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omments3.xml" ContentType="application/vnd.openxmlformats-officedocument.spreadsheetml.comment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omments4.xml" ContentType="application/vnd.openxmlformats-officedocument.spreadsheetml.comments+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charts/chart13.xml" ContentType="application/vnd.openxmlformats-officedocument.drawingml.chart+xml"/>
  <Override PartName="/xl/charts/style9.xml" ContentType="application/vnd.ms-office.chartstyle+xml"/>
  <Override PartName="/xl/charts/colors9.xml" ContentType="application/vnd.ms-office.chartcolorstyle+xml"/>
  <Override PartName="/xl/charts/chart14.xml" ContentType="application/vnd.openxmlformats-officedocument.drawingml.chart+xml"/>
  <Override PartName="/xl/charts/style10.xml" ContentType="application/vnd.ms-office.chartstyle+xml"/>
  <Override PartName="/xl/charts/colors10.xml" ContentType="application/vnd.ms-office.chartcolorstyle+xml"/>
  <Override PartName="/xl/charts/chart15.xml" ContentType="application/vnd.openxmlformats-officedocument.drawingml.chart+xml"/>
  <Override PartName="/xl/charts/style11.xml" ContentType="application/vnd.ms-office.chartstyle+xml"/>
  <Override PartName="/xl/charts/colors11.xml" ContentType="application/vnd.ms-office.chartcolorstyle+xml"/>
  <Override PartName="/xl/charts/chart16.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omments5.xml" ContentType="application/vnd.openxmlformats-officedocument.spreadsheetml.comments+xml"/>
  <Override PartName="/xl/drawings/drawing5.xml" ContentType="application/vnd.openxmlformats-officedocument.drawing+xml"/>
  <Override PartName="/xl/comments6.xml" ContentType="application/vnd.openxmlformats-officedocument.spreadsheetml.comments+xml"/>
  <Override PartName="/xl/charts/chart17.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https://fundamentainvestments-my.sharepoint.com/personal/sebastianl_fundamentainvestments_onmicrosoft_com/Documents/FAM/Research/BRASIL/LOJAS RENNER/"/>
    </mc:Choice>
  </mc:AlternateContent>
  <xr:revisionPtr revIDLastSave="430" documentId="13_ncr:1_{8E2CA5ED-8C4A-4836-9F50-5EAB9FC56E8B}" xr6:coauthVersionLast="47" xr6:coauthVersionMax="47" xr10:uidLastSave="{A3D9E73E-0111-4A90-A323-1C931BC12BC1}"/>
  <bookViews>
    <workbookView xWindow="28680" yWindow="-120" windowWidth="29040" windowHeight="15720" tabRatio="601" firstSheet="1" activeTab="1" xr2:uid="{00000000-000D-0000-FFFF-FFFF00000000}"/>
  </bookViews>
  <sheets>
    <sheet name="VP" sheetId="4" r:id="rId1"/>
    <sheet name="WACC" sheetId="9" r:id="rId2"/>
    <sheet name="Resumo" sheetId="3" r:id="rId3"/>
    <sheet name="FAT" sheetId="1" r:id="rId4"/>
    <sheet name="PROJ" sheetId="5" r:id="rId5"/>
    <sheet name="Cartao" sheetId="2" r:id="rId6"/>
    <sheet name="Divida" sheetId="6" r:id="rId7"/>
    <sheet name="MACRO" sheetId="8" r:id="rId8"/>
    <sheet name="ESG" sheetId="7" r:id="rId9"/>
    <sheet name="Dafiti" sheetId="11" r:id="rId10"/>
    <sheet name="Comps" sheetId="10" r:id="rId11"/>
    <sheet name="Estudo PE tgt" sheetId="12" r:id="rId12"/>
  </sheets>
  <externalReferences>
    <externalReference r:id="rId13"/>
  </externalReferences>
  <definedNames>
    <definedName name="___fl1111" hidden="1">{"Fecha_Novembro",#N/A,FALSE,"FECHAMENTO-2002 ";"Defer_Novembro",#N/A,FALSE,"DIFERIDO";"Pis_Novembro",#N/A,FALSE,"PIS COFINS";"Iss_Novembro",#N/A,FALSE,"ISS"}</definedName>
    <definedName name="__123Graph_A" hidden="1">#REF!</definedName>
    <definedName name="__123Graph_AAcompMeta" hidden="1">#N/A</definedName>
    <definedName name="__123Graph_AAD" hidden="1">#N/A</definedName>
    <definedName name="__123Graph_AAD92" hidden="1">#N/A</definedName>
    <definedName name="__123Graph_AAD93" hidden="1">#N/A</definedName>
    <definedName name="__123Graph_AAD95" hidden="1">#N/A</definedName>
    <definedName name="__123Graph_AAgvEmiBr" hidden="1">#N/A</definedName>
    <definedName name="__123Graph_AAgvig" hidden="1">#N/A</definedName>
    <definedName name="__123Graph_AAtenres" hidden="1">#N/A</definedName>
    <definedName name="__123Graph_ACapta" hidden="1">#N/A</definedName>
    <definedName name="__123Graph_ACCred94" hidden="1">#REF!</definedName>
    <definedName name="__123Graph_ACham94" hidden="1">#N/A</definedName>
    <definedName name="__123Graph_AChamAt94" hidden="1">#N/A</definedName>
    <definedName name="__123Graph_AChamOper" hidden="1">#N/A</definedName>
    <definedName name="__123Graph_AChamOper2" hidden="1">#N/A</definedName>
    <definedName name="__123Graph_AChamRec" hidden="1">#N/A</definedName>
    <definedName name="__123Graph_AChamRes" hidden="1">#N/A</definedName>
    <definedName name="__123Graph_AChamRes2" hidden="1">#N/A</definedName>
    <definedName name="__123Graph_AChamResAtend1" hidden="1">#N/A</definedName>
    <definedName name="__123Graph_AChamResAtend2" hidden="1">#N/A</definedName>
    <definedName name="__123Graph_AChamTel" hidden="1">#N/A</definedName>
    <definedName name="__123Graph_AChamTelAt" hidden="1">#N/A</definedName>
    <definedName name="__123Graph_ACli_DiarAG" hidden="1">#REF!</definedName>
    <definedName name="__123Graph_ACli_DiarFV" hidden="1">#REF!</definedName>
    <definedName name="__123Graph_ACli_DiarLL" hidden="1">#REF!</definedName>
    <definedName name="__123Graph_ACli_DiarPF" hidden="1">#REF!</definedName>
    <definedName name="__123Graph_AClienAG" hidden="1">#REF!</definedName>
    <definedName name="__123Graph_AClienFV" hidden="1">#REF!</definedName>
    <definedName name="__123Graph_AClienLL" hidden="1">#REF!</definedName>
    <definedName name="__123Graph_AClienPF" hidden="1">#REF!</definedName>
    <definedName name="__123Graph_ACLIENTE" hidden="1">#N/A</definedName>
    <definedName name="__123Graph_AClientesPF" hidden="1">#REF!</definedName>
    <definedName name="__123Graph_ACOInt" hidden="1">#N/A</definedName>
    <definedName name="__123Graph_ACOMBUSTA" hidden="1">#REF!</definedName>
    <definedName name="__123Graph_ACONac" hidden="1">#N/A</definedName>
    <definedName name="__123Graph_ACURRENT" hidden="1">#REF!</definedName>
    <definedName name="__123Graph_ACustCr" hidden="1">#N/A</definedName>
    <definedName name="__123Graph_ACustRes" hidden="1">#N/A</definedName>
    <definedName name="__123Graph_ADAtendAG" hidden="1">#REF!</definedName>
    <definedName name="__123Graph_ADAtendME" hidden="1">#REF!</definedName>
    <definedName name="__123Graph_ADAtendMI" hidden="1">#REF!</definedName>
    <definedName name="__123Graph_ADAtenPJ" hidden="1">#REF!</definedName>
    <definedName name="__123Graph_ADescPrAG" hidden="1">#REF!</definedName>
    <definedName name="__123Graph_ADescProm" hidden="1">#REF!</definedName>
    <definedName name="__123Graph_ADescPrPF" hidden="1">#REF!</definedName>
    <definedName name="__123Graph_ADescPrPJ" hidden="1">#REF!</definedName>
    <definedName name="__123Graph_ADescPrSeg" hidden="1">#REF!</definedName>
    <definedName name="__123Graph_ADescPrSeg94" hidden="1">#REF!</definedName>
    <definedName name="__123Graph_ADestRes" hidden="1">#N/A</definedName>
    <definedName name="__123Graph_ADiaLocAG" hidden="1">#REF!</definedName>
    <definedName name="__123Graph_ADiaLocME" hidden="1">#REF!</definedName>
    <definedName name="__123Graph_ADiaLocMI" hidden="1">#REF!</definedName>
    <definedName name="__123Graph_ADiaLocPF" hidden="1">#REF!</definedName>
    <definedName name="__123Graph_ADiarAG" hidden="1">#REF!</definedName>
    <definedName name="__123Graph_ADiarEA" hidden="1">#REF!</definedName>
    <definedName name="__123Graph_ADiarEAPF" hidden="1">#REF!</definedName>
    <definedName name="__123Graph_ADiarEV" hidden="1">#REF!</definedName>
    <definedName name="__123Graph_ADiarME" hidden="1">#REF!</definedName>
    <definedName name="__123Graph_ADiarMI" hidden="1">#REF!</definedName>
    <definedName name="__123Graph_ADiarSeg2" hidden="1">#REF!</definedName>
    <definedName name="__123Graph_ADiarSeg3" hidden="1">#REF!</definedName>
    <definedName name="__123Graph_ADiarSeg95" hidden="1">#REF!</definedName>
    <definedName name="__123Graph_ADiarSegm" hidden="1">#REF!</definedName>
    <definedName name="__123Graph_ADiarSegmEV" hidden="1">#REF!</definedName>
    <definedName name="__123Graph_ADiaSegEV95" hidden="1">#REF!</definedName>
    <definedName name="__123Graph_AEmiAE" hidden="1">#N/A</definedName>
    <definedName name="__123Graph_AEnAD_Pr96" hidden="1">#REF!</definedName>
    <definedName name="__123Graph_AEvAgvEmi" hidden="1">#N/A</definedName>
    <definedName name="__123Graph_AEvCCred" hidden="1">#REF!</definedName>
    <definedName name="__123Graph_AEvCompCustRes" hidden="1">#N/A</definedName>
    <definedName name="__123Graph_AEvEmiBr" hidden="1">#N/A</definedName>
    <definedName name="__123Graph_AEvEmiBr2" hidden="1">#N/A</definedName>
    <definedName name="__123Graph_AEvoAten" hidden="1">#N/A</definedName>
    <definedName name="__123Graph_AEvolRes" hidden="1">#N/A</definedName>
    <definedName name="__123Graph_Aevolrestint" hidden="1">#N/A</definedName>
    <definedName name="__123Graph_AEvReIntE" hidden="1">#N/A</definedName>
    <definedName name="__123Graph_AEvResAD" hidden="1">#N/A</definedName>
    <definedName name="__123Graph_AEvResAD2" hidden="1">#N/A</definedName>
    <definedName name="__123Graph_AEvResAtRecSist" hidden="1">#N/A</definedName>
    <definedName name="__123Graph_AEvResCO" hidden="1">#N/A</definedName>
    <definedName name="__123Graph_AEvResCO2" hidden="1">#N/A</definedName>
    <definedName name="__123Graph_AEvResLi" hidden="1">#N/A</definedName>
    <definedName name="__123Graph_AEvResLi2" hidden="1">#N/A</definedName>
    <definedName name="__123Graph_AEvRsInt" hidden="1">#N/A</definedName>
    <definedName name="__123Graph_AEvTCCred" hidden="1">#REF!</definedName>
    <definedName name="__123Graph_AExtInt" hidden="1">#N/A</definedName>
    <definedName name="__123Graph_AFormaFat" hidden="1">#REF!</definedName>
    <definedName name="__123Graph_AFrAlug" hidden="1">#REF!</definedName>
    <definedName name="__123Graph_AFranInt" hidden="1">#N/A</definedName>
    <definedName name="__123Graph_AFrannosh" hidden="1">#N/A</definedName>
    <definedName name="__123Graph_AFranq" hidden="1">#N/A</definedName>
    <definedName name="__123Graph_AFranqInt" hidden="1">#N/A</definedName>
    <definedName name="__123Graph_AFranqNac" hidden="1">#N/A</definedName>
    <definedName name="__123Graph_AGraph1" hidden="1">#N/A</definedName>
    <definedName name="__123Graph_AGraph101" hidden="1">#REF!</definedName>
    <definedName name="__123Graph_AGraph102" hidden="1">#REF!</definedName>
    <definedName name="__123Graph_AGraph103" hidden="1">#REF!</definedName>
    <definedName name="__123Graph_AGraph104" hidden="1">#REF!</definedName>
    <definedName name="__123Graph_AGraph105" hidden="1">#REF!</definedName>
    <definedName name="__123Graph_AGraph106" hidden="1">#REF!</definedName>
    <definedName name="__123Graph_AGraph16" hidden="1">#REF!</definedName>
    <definedName name="__123Graph_AGraph17" hidden="1">#REF!</definedName>
    <definedName name="__123Graph_AGraph18" hidden="1">#REF!</definedName>
    <definedName name="__123Graph_AGraph2" hidden="1">#REF!</definedName>
    <definedName name="__123Graph_AGraph20" hidden="1">#REF!</definedName>
    <definedName name="__123Graph_AGraph23" hidden="1">#REF!</definedName>
    <definedName name="__123Graph_AGraph24" hidden="1">#REF!</definedName>
    <definedName name="__123Graph_AGraph27" hidden="1">#REF!</definedName>
    <definedName name="__123Graph_AGraph28" hidden="1">#REF!</definedName>
    <definedName name="__123Graph_AGraph29" hidden="1">#REF!</definedName>
    <definedName name="__123Graph_AGraph3" hidden="1">#N/A</definedName>
    <definedName name="__123Graph_AGraph30" hidden="1">#REF!</definedName>
    <definedName name="__123Graph_AGraph34" hidden="1">#REF!</definedName>
    <definedName name="__123Graph_AGraph35" hidden="1">#REF!</definedName>
    <definedName name="__123Graph_AGraph37" hidden="1">#REF!</definedName>
    <definedName name="__123Graph_AGraph38" hidden="1">#REF!</definedName>
    <definedName name="__123Graph_AGraph39" hidden="1">#REF!</definedName>
    <definedName name="__123Graph_AGraph4" hidden="1">#N/A</definedName>
    <definedName name="__123Graph_AGraph40" hidden="1">#REF!</definedName>
    <definedName name="__123Graph_AGraph41" hidden="1">#REF!</definedName>
    <definedName name="__123Graph_AGraph42" hidden="1">#REF!</definedName>
    <definedName name="__123Graph_AGraph44" hidden="1">#REF!</definedName>
    <definedName name="__123Graph_AGraph45" hidden="1">#REF!</definedName>
    <definedName name="__123Graph_AGraph47" hidden="1">#REF!</definedName>
    <definedName name="__123Graph_AGraph48" hidden="1">#REF!</definedName>
    <definedName name="__123Graph_AGraph49" hidden="1">#REF!</definedName>
    <definedName name="__123Graph_AGraph51" hidden="1">#REF!</definedName>
    <definedName name="__123Graph_AGraph52" hidden="1">#REF!</definedName>
    <definedName name="__123Graph_AGraph53" hidden="1">#REF!</definedName>
    <definedName name="__123Graph_AGraph54" hidden="1">#REF!</definedName>
    <definedName name="__123Graph_AGraph55" hidden="1">#REF!</definedName>
    <definedName name="__123Graph_AGraph56" hidden="1">#REF!</definedName>
    <definedName name="__123Graph_AGraph57" hidden="1">#REF!</definedName>
    <definedName name="__123Graph_AGraph58" hidden="1">#REF!</definedName>
    <definedName name="__123Graph_AGraph59" hidden="1">#REF!</definedName>
    <definedName name="__123Graph_AGraph6" hidden="1">#REF!</definedName>
    <definedName name="__123Graph_AGraph60" hidden="1">#REF!</definedName>
    <definedName name="__123Graph_AGraph61" hidden="1">#REF!</definedName>
    <definedName name="__123Graph_AGraph62" hidden="1">#REF!</definedName>
    <definedName name="__123Graph_AGraph63" hidden="1">#REF!</definedName>
    <definedName name="__123Graph_AGraph64" hidden="1">#REF!</definedName>
    <definedName name="__123Graph_AGraph65" hidden="1">#REF!</definedName>
    <definedName name="__123Graph_AGraph66" hidden="1">#REF!</definedName>
    <definedName name="__123Graph_AGraph68" hidden="1">#REF!</definedName>
    <definedName name="__123Graph_AGraph69" hidden="1">#REF!</definedName>
    <definedName name="__123Graph_AGraph7" hidden="1">#REF!</definedName>
    <definedName name="__123Graph_AGraph70" hidden="1">#REF!</definedName>
    <definedName name="__123Graph_AGraph71" hidden="1">#REF!</definedName>
    <definedName name="__123Graph_AGraph72" hidden="1">#REF!</definedName>
    <definedName name="__123Graph_AGraph74" hidden="1">#REF!</definedName>
    <definedName name="__123Graph_AGraph75" hidden="1">#REF!</definedName>
    <definedName name="__123Graph_AGraph76" hidden="1">#REF!</definedName>
    <definedName name="__123Graph_AGraph77" hidden="1">#REF!</definedName>
    <definedName name="__123Graph_AGraph78" hidden="1">#REF!</definedName>
    <definedName name="__123Graph_AGraph79" hidden="1">#REF!</definedName>
    <definedName name="__123Graph_AGraph80" hidden="1">#REF!</definedName>
    <definedName name="__123Graph_AGraph81" hidden="1">#REF!</definedName>
    <definedName name="__123Graph_AGraph82" hidden="1">#REF!</definedName>
    <definedName name="__123Graph_AGraph83" hidden="1">#REF!</definedName>
    <definedName name="__123Graph_AGraph84" hidden="1">#REF!</definedName>
    <definedName name="__123Graph_AGraph85" hidden="1">#REF!</definedName>
    <definedName name="__123Graph_AGraph86" hidden="1">#REF!</definedName>
    <definedName name="__123Graph_AGraph87" hidden="1">#REF!</definedName>
    <definedName name="__123Graph_AGraph88" hidden="1">#REF!</definedName>
    <definedName name="__123Graph_AGraph89" hidden="1">#REF!</definedName>
    <definedName name="__123Graph_AGraph9" hidden="1">#REF!</definedName>
    <definedName name="__123Graph_AGraph90" hidden="1">#REF!</definedName>
    <definedName name="__123Graph_AGraph91" hidden="1">#REF!</definedName>
    <definedName name="__123Graph_AGraph92" hidden="1">#REF!</definedName>
    <definedName name="__123Graph_AGraph93" hidden="1">#REF!</definedName>
    <definedName name="__123Graph_AGraph94" hidden="1">#REF!</definedName>
    <definedName name="__123Graph_AGraph96" hidden="1">#REF!</definedName>
    <definedName name="__123Graph_AGraph97" hidden="1">#REF!</definedName>
    <definedName name="__123Graph_AGraph98" hidden="1">#REF!</definedName>
    <definedName name="__123Graph_AInserted100" hidden="1">#N/A</definedName>
    <definedName name="__123Graph_AInserted101" hidden="1">#N/A</definedName>
    <definedName name="__123Graph_AInserted99" hidden="1">#N/A</definedName>
    <definedName name="__123Graph_AKmDiaAg" hidden="1">#REF!</definedName>
    <definedName name="__123Graph_AKmDiaME" hidden="1">#REF!</definedName>
    <definedName name="__123Graph_AKmDiaMI" hidden="1">#REF!</definedName>
    <definedName name="__123Graph_AKmDiaPF" hidden="1">#REF!</definedName>
    <definedName name="__123Graph_ALiEmisBr" hidden="1">#N/A</definedName>
    <definedName name="__123Graph_ALoc" hidden="1">#REF!</definedName>
    <definedName name="__123Graph_ALoc_Reser" hidden="1">#N/A</definedName>
    <definedName name="__123Graph_ALocME" hidden="1">#REF!</definedName>
    <definedName name="__123Graph_ALocMI" hidden="1">#REF!</definedName>
    <definedName name="__123Graph_ALocPF" hidden="1">#REF!</definedName>
    <definedName name="__123Graph_ALocPJ" hidden="1">#REF!</definedName>
    <definedName name="__123Graph_ALocRes2" hidden="1">#N/A</definedName>
    <definedName name="__123Graph_ALocResAC" hidden="1">#N/A</definedName>
    <definedName name="__123Graph_AlocresAG" hidden="1">#N/A</definedName>
    <definedName name="__123Graph_Alocrespj" hidden="1">#N/A</definedName>
    <definedName name="__123Graph_Alocresvig" hidden="1">#N/A</definedName>
    <definedName name="__123Graph_ALocSegm95" hidden="1">#REF!</definedName>
    <definedName name="__123Graph_ALocSegm96" hidden="1">#REF!</definedName>
    <definedName name="__123Graph_AMANUTETA" hidden="1">#REF!</definedName>
    <definedName name="__123Graph_AMixAG" hidden="1">#REF!</definedName>
    <definedName name="__123Graph_AMixAG93" hidden="1">#REF!</definedName>
    <definedName name="__123Graph_AMixAG95" hidden="1">#REF!</definedName>
    <definedName name="__123Graph_AMixDiar" hidden="1">#REF!</definedName>
    <definedName name="__123Graph_AMixDiar2" hidden="1">#REF!</definedName>
    <definedName name="__123Graph_AMixDiar3" hidden="1">#REF!</definedName>
    <definedName name="__123Graph_AMixDiar95" hidden="1">#REF!</definedName>
    <definedName name="__123Graph_AMixDiarAbr" hidden="1">#REF!</definedName>
    <definedName name="__123Graph_AMixDiarAG" hidden="1">#REF!</definedName>
    <definedName name="__123Graph_AMixDiarME" hidden="1">#REF!</definedName>
    <definedName name="__123Graph_AMixDiarMI" hidden="1">#REF!</definedName>
    <definedName name="__123Graph_AMixDiarPF" hidden="1">#REF!</definedName>
    <definedName name="__123Graph_AMixME" hidden="1">#REF!</definedName>
    <definedName name="__123Graph_AMixME94" hidden="1">#REF!</definedName>
    <definedName name="__123Graph_Aorires" hidden="1">#N/A</definedName>
    <definedName name="__123Graph_AORIRESNAC" hidden="1">#N/A</definedName>
    <definedName name="__123Graph_APF" hidden="1">#N/A</definedName>
    <definedName name="__123Graph_APJ" hidden="1">#N/A</definedName>
    <definedName name="__123Graph_ARecAG" hidden="1">#REF!</definedName>
    <definedName name="__123Graph_ARecBr" hidden="1">#REF!</definedName>
    <definedName name="__123Graph_ARecDiaAG" hidden="1">#REF!</definedName>
    <definedName name="__123Graph_ARecDiaPF" hidden="1">#REF!</definedName>
    <definedName name="__123Graph_ARecLiqDia" hidden="1">#REF!</definedName>
    <definedName name="__123Graph_ARecLPV" hidden="1">#REF!</definedName>
    <definedName name="__123Graph_ARecME" hidden="1">#REF!</definedName>
    <definedName name="__123Graph_ARecMI" hidden="1">#REF!</definedName>
    <definedName name="__123Graph_ARecPF" hidden="1">#REF!</definedName>
    <definedName name="__123Graph_ARecSegm" hidden="1">#REF!</definedName>
    <definedName name="__123Graph_ARecSegm94" hidden="1">#REF!</definedName>
    <definedName name="__123Graph_AResAD" hidden="1">#N/A</definedName>
    <definedName name="__123Graph_AResCO" hidden="1">#N/A</definedName>
    <definedName name="__123Graph_AResCOInt" hidden="1">#N/A</definedName>
    <definedName name="__123Graph_AResCONac" hidden="1">#N/A</definedName>
    <definedName name="__123Graph_AResExpAe" hidden="1">#N/A</definedName>
    <definedName name="__123Graph_AResEXpAE1" hidden="1">#N/A</definedName>
    <definedName name="__123Graph_AResFraIn" hidden="1">#N/A</definedName>
    <definedName name="__123Graph_AResFranq" hidden="1">#N/A</definedName>
    <definedName name="__123Graph_AResInExp" hidden="1">#N/A</definedName>
    <definedName name="__123Graph_AResIntAEQ" hidden="1">#N/A</definedName>
    <definedName name="__123Graph_AResIntExt" hidden="1">#N/A</definedName>
    <definedName name="__123Graph_AResIntFrI1" hidden="1">#N/A</definedName>
    <definedName name="__123Graph_AResLiInt" hidden="1">#N/A</definedName>
    <definedName name="__123Graph_AResNAcSeg" hidden="1">#N/A</definedName>
    <definedName name="__123Graph_AResOper" hidden="1">#N/A</definedName>
    <definedName name="__123Graph_AResOper2" hidden="1">#N/A</definedName>
    <definedName name="__123Graph_AResTotFr" hidden="1">#N/A</definedName>
    <definedName name="__123Graph_ARoberto" hidden="1">#REF!</definedName>
    <definedName name="__123Graph_ARRecAG" hidden="1">#REF!</definedName>
    <definedName name="__123Graph_ARRecCash" hidden="1">#REF!</definedName>
    <definedName name="__123Graph_ARRecFat" hidden="1">#REF!</definedName>
    <definedName name="__123Graph_ARRecME" hidden="1">#REF!</definedName>
    <definedName name="__123Graph_ARRecMI" hidden="1">#REF!</definedName>
    <definedName name="__123Graph_ARRecPF" hidden="1">#REF!</definedName>
    <definedName name="__123Graph_ARRecPJ" hidden="1">#REF!</definedName>
    <definedName name="__123Graph_ASegm92" hidden="1">#N/A</definedName>
    <definedName name="__123Graph_ASegm93" hidden="1">#N/A</definedName>
    <definedName name="__123Graph_ASegm94" hidden="1">#N/A</definedName>
    <definedName name="__123Graph_ASegm95" hidden="1">#N/A</definedName>
    <definedName name="__123Graph_ATarifAG" hidden="1">#REF!</definedName>
    <definedName name="__123Graph_ATarifLL" hidden="1">#REF!</definedName>
    <definedName name="__123Graph_ATarifME" hidden="1">#REF!</definedName>
    <definedName name="__123Graph_ATarifPJ" hidden="1">#REF!</definedName>
    <definedName name="__123Graph_ATeleVend" hidden="1">#N/A</definedName>
    <definedName name="__123Graph_ATotEmiBr" hidden="1">#N/A</definedName>
    <definedName name="__123Graph_ATotEmiBr2" hidden="1">#N/A</definedName>
    <definedName name="__123Graph_AVrFrOp" hidden="1">#REF!</definedName>
    <definedName name="__123Graph_B" hidden="1">#REF!</definedName>
    <definedName name="__123Graph_BAcompMeta" hidden="1">#N/A</definedName>
    <definedName name="__123Graph_BAgvig" hidden="1">#N/A</definedName>
    <definedName name="__123Graph_BChamRec" hidden="1">#N/A</definedName>
    <definedName name="__123Graph_BCURRENT" hidden="1">#REF!</definedName>
    <definedName name="__123Graph_BCustCr" hidden="1">#N/A</definedName>
    <definedName name="__123Graph_BCustRes" hidden="1">#N/A</definedName>
    <definedName name="__123Graph_BDAtendAG" hidden="1">#REF!</definedName>
    <definedName name="__123Graph_BDAtendME" hidden="1">#REF!</definedName>
    <definedName name="__123Graph_BDAtendMI" hidden="1">#REF!</definedName>
    <definedName name="__123Graph_BDAtenPJ" hidden="1">#REF!</definedName>
    <definedName name="__123Graph_BDescPrAG" hidden="1">#REF!</definedName>
    <definedName name="__123Graph_BDescProm" hidden="1">#REF!</definedName>
    <definedName name="__123Graph_BDescPrPF" hidden="1">#REF!</definedName>
    <definedName name="__123Graph_BDescPrPJ" hidden="1">#REF!</definedName>
    <definedName name="__123Graph_BDescPrSeg" hidden="1">#REF!</definedName>
    <definedName name="__123Graph_BDescPrSeg94" hidden="1">#REF!</definedName>
    <definedName name="__123Graph_BDiaLocAG" hidden="1">#REF!</definedName>
    <definedName name="__123Graph_BDiaLocME" hidden="1">#REF!</definedName>
    <definedName name="__123Graph_BDiaLocMI" hidden="1">#REF!</definedName>
    <definedName name="__123Graph_BDiaLocPF" hidden="1">#REF!</definedName>
    <definedName name="__123Graph_BDiarAG" hidden="1">#REF!</definedName>
    <definedName name="__123Graph_BDiarEA" hidden="1">#REF!</definedName>
    <definedName name="__123Graph_BDiarEAPF" hidden="1">#REF!</definedName>
    <definedName name="__123Graph_BDiarEV" hidden="1">#REF!</definedName>
    <definedName name="__123Graph_BDiarME" hidden="1">#REF!</definedName>
    <definedName name="__123Graph_BDiarMI" hidden="1">#REF!</definedName>
    <definedName name="__123Graph_BEnAD_Pr96" hidden="1">#REF!</definedName>
    <definedName name="__123Graph_BEvAgvEmi" hidden="1">#N/A</definedName>
    <definedName name="__123Graph_BEvCompCustRes" hidden="1">#N/A</definedName>
    <definedName name="__123Graph_BEvEmiBr" hidden="1">#N/A</definedName>
    <definedName name="__123Graph_BEvEmiBr2" hidden="1">#N/A</definedName>
    <definedName name="__123Graph_BEvoAten" hidden="1">#N/A</definedName>
    <definedName name="__123Graph_BEvolRes" hidden="1">#N/A</definedName>
    <definedName name="__123Graph_Bevolresn" hidden="1">#N/A</definedName>
    <definedName name="__123Graph_Bevolrestint" hidden="1">#N/A</definedName>
    <definedName name="__123Graph_BEvReIntE" hidden="1">#N/A</definedName>
    <definedName name="__123Graph_BEvResAD" hidden="1">#N/A</definedName>
    <definedName name="__123Graph_BEvResAD2" hidden="1">#N/A</definedName>
    <definedName name="__123Graph_BEvResAtRecSist" hidden="1">#N/A</definedName>
    <definedName name="__123Graph_BEvResCO" hidden="1">#N/A</definedName>
    <definedName name="__123Graph_BEvResCO2" hidden="1">#N/A</definedName>
    <definedName name="__123Graph_BEvResLi" hidden="1">#N/A</definedName>
    <definedName name="__123Graph_BEvResLi2" hidden="1">#N/A</definedName>
    <definedName name="__123Graph_BEvRsInt" hidden="1">#N/A</definedName>
    <definedName name="__123Graph_BEvTCCred" hidden="1">#REF!</definedName>
    <definedName name="__123Graph_BGraph102" hidden="1">#REF!</definedName>
    <definedName name="__123Graph_BGraph103" hidden="1">#REF!</definedName>
    <definedName name="__123Graph_BGraph104" hidden="1">#REF!</definedName>
    <definedName name="__123Graph_BGraph17" hidden="1">#REF!</definedName>
    <definedName name="__123Graph_BGraph18" hidden="1">#REF!</definedName>
    <definedName name="__123Graph_BGraph2" hidden="1">#REF!</definedName>
    <definedName name="__123Graph_BGraph20" hidden="1">#REF!</definedName>
    <definedName name="__123Graph_BGraph23" hidden="1">#REF!</definedName>
    <definedName name="__123Graph_BGraph24" hidden="1">#REF!</definedName>
    <definedName name="__123Graph_BGraph27" hidden="1">#REF!</definedName>
    <definedName name="__123Graph_BGraph28" hidden="1">#REF!</definedName>
    <definedName name="__123Graph_BGraph29" hidden="1">#REF!</definedName>
    <definedName name="__123Graph_BGraph30" hidden="1">#REF!</definedName>
    <definedName name="__123Graph_BGraph34" hidden="1">#REF!</definedName>
    <definedName name="__123Graph_BGraph35" hidden="1">#REF!</definedName>
    <definedName name="__123Graph_BGraph37" hidden="1">#REF!</definedName>
    <definedName name="__123Graph_BGraph38" hidden="1">#REF!</definedName>
    <definedName name="__123Graph_BGraph40" hidden="1">#REF!</definedName>
    <definedName name="__123Graph_BGraph41" hidden="1">#REF!</definedName>
    <definedName name="__123Graph_BGraph42" hidden="1">#REF!</definedName>
    <definedName name="__123Graph_BGraph44" hidden="1">#REF!</definedName>
    <definedName name="__123Graph_BGraph45" hidden="1">#REF!</definedName>
    <definedName name="__123Graph_BGraph47" hidden="1">#REF!</definedName>
    <definedName name="__123Graph_BGraph48" hidden="1">#REF!</definedName>
    <definedName name="__123Graph_BGraph49" hidden="1">#REF!</definedName>
    <definedName name="__123Graph_BGraph51" hidden="1">#REF!</definedName>
    <definedName name="__123Graph_BGraph52" hidden="1">#REF!</definedName>
    <definedName name="__123Graph_BGraph53" hidden="1">#REF!</definedName>
    <definedName name="__123Graph_BGraph54" hidden="1">#REF!</definedName>
    <definedName name="__123Graph_BGraph55" hidden="1">#REF!</definedName>
    <definedName name="__123Graph_BGraph56" hidden="1">#REF!</definedName>
    <definedName name="__123Graph_BGraph57" hidden="1">#REF!</definedName>
    <definedName name="__123Graph_BGraph58" hidden="1">#REF!</definedName>
    <definedName name="__123Graph_BGraph59" hidden="1">#REF!</definedName>
    <definedName name="__123Graph_BGraph6" hidden="1">#REF!</definedName>
    <definedName name="__123Graph_BGraph60" hidden="1">#REF!</definedName>
    <definedName name="__123Graph_BGraph61" hidden="1">#REF!</definedName>
    <definedName name="__123Graph_BGraph62" hidden="1">#REF!</definedName>
    <definedName name="__123Graph_BGraph63" hidden="1">#REF!</definedName>
    <definedName name="__123Graph_BGraph64" hidden="1">#REF!</definedName>
    <definedName name="__123Graph_BGraph65" hidden="1">#REF!</definedName>
    <definedName name="__123Graph_BGraph66" hidden="1">#REF!</definedName>
    <definedName name="__123Graph_BGraph68" hidden="1">#REF!</definedName>
    <definedName name="__123Graph_BGraph69" hidden="1">#REF!</definedName>
    <definedName name="__123Graph_BGraph7" hidden="1">#REF!</definedName>
    <definedName name="__123Graph_BGraph70" hidden="1">#REF!</definedName>
    <definedName name="__123Graph_BGraph71" hidden="1">#REF!</definedName>
    <definedName name="__123Graph_BGraph72" hidden="1">#REF!</definedName>
    <definedName name="__123Graph_BGraph74" hidden="1">#REF!</definedName>
    <definedName name="__123Graph_BGraph75" hidden="1">#REF!</definedName>
    <definedName name="__123Graph_BGraph76" hidden="1">#REF!</definedName>
    <definedName name="__123Graph_BGraph77" hidden="1">#REF!</definedName>
    <definedName name="__123Graph_BGraph9" hidden="1">#REF!</definedName>
    <definedName name="__123Graph_BGraph90" hidden="1">#REF!</definedName>
    <definedName name="__123Graph_BGraph91" hidden="1">#REF!</definedName>
    <definedName name="__123Graph_BGraph92" hidden="1">#REF!</definedName>
    <definedName name="__123Graph_BGraph93" hidden="1">#REF!</definedName>
    <definedName name="__123Graph_BGraph94" hidden="1">#REF!</definedName>
    <definedName name="__123Graph_BKmDiaAg" hidden="1">#REF!</definedName>
    <definedName name="__123Graph_BKmDiaME" hidden="1">#REF!</definedName>
    <definedName name="__123Graph_BKmDiaMI" hidden="1">#REF!</definedName>
    <definedName name="__123Graph_BKmDiaPF" hidden="1">#REF!</definedName>
    <definedName name="__123Graph_BLoc" hidden="1">#REF!</definedName>
    <definedName name="__123Graph_BLoc_Reser" hidden="1">#N/A</definedName>
    <definedName name="__123Graph_BLocME" hidden="1">#REF!</definedName>
    <definedName name="__123Graph_BLocMI" hidden="1">#REF!</definedName>
    <definedName name="__123Graph_BLocPF" hidden="1">#REF!</definedName>
    <definedName name="__123Graph_BLocPJ" hidden="1">#REF!</definedName>
    <definedName name="__123Graph_BLocRes2" hidden="1">#N/A</definedName>
    <definedName name="__123Graph_BLocResAC" hidden="1">#N/A</definedName>
    <definedName name="__123Graph_BlocresAG" hidden="1">#N/A</definedName>
    <definedName name="__123Graph_Blocrespj" hidden="1">#N/A</definedName>
    <definedName name="__123Graph_Blocresvig" hidden="1">#N/A</definedName>
    <definedName name="__123Graph_BORIRESNAC" hidden="1">#N/A</definedName>
    <definedName name="__123Graph_BPF" hidden="1">#N/A</definedName>
    <definedName name="__123Graph_BPJ" hidden="1">#N/A</definedName>
    <definedName name="__123Graph_BRecAG" hidden="1">#REF!</definedName>
    <definedName name="__123Graph_BRecBr" hidden="1">#REF!</definedName>
    <definedName name="__123Graph_BRecDiaAG" hidden="1">#REF!</definedName>
    <definedName name="__123Graph_BRecDiaPF" hidden="1">#REF!</definedName>
    <definedName name="__123Graph_BRecLiqDia" hidden="1">#REF!</definedName>
    <definedName name="__123Graph_BRecLPV" hidden="1">#REF!</definedName>
    <definedName name="__123Graph_BRecME" hidden="1">#REF!</definedName>
    <definedName name="__123Graph_BRecMI" hidden="1">#REF!</definedName>
    <definedName name="__123Graph_BRecPF" hidden="1">#REF!</definedName>
    <definedName name="__123Graph_BResAD" hidden="1">#N/A</definedName>
    <definedName name="__123Graph_BResCO" hidden="1">#N/A</definedName>
    <definedName name="__123Graph_BResCOInt" hidden="1">#N/A</definedName>
    <definedName name="__123Graph_BResCONac" hidden="1">#N/A</definedName>
    <definedName name="__123Graph_BResFraIn" hidden="1">#N/A</definedName>
    <definedName name="__123Graph_BResFranq" hidden="1">#N/A</definedName>
    <definedName name="__123Graph_BResIntAEQ" hidden="1">#N/A</definedName>
    <definedName name="__123Graph_BResIntExt" hidden="1">#N/A</definedName>
    <definedName name="__123Graph_BResLiInt" hidden="1">#N/A</definedName>
    <definedName name="__123Graph_BResNAcSeg" hidden="1">#N/A</definedName>
    <definedName name="__123Graph_BResTotFr" hidden="1">#N/A</definedName>
    <definedName name="__123Graph_BRoberto" hidden="1">#REF!</definedName>
    <definedName name="__123Graph_BVrFrOp" hidden="1">#REF!</definedName>
    <definedName name="__123Graph_C" hidden="1">#REF!</definedName>
    <definedName name="__123Graph_CAcompMeta" hidden="1">#N/A</definedName>
    <definedName name="__123Graph_CAgvig" hidden="1">#N/A</definedName>
    <definedName name="__123Graph_CChamRec" hidden="1">#N/A</definedName>
    <definedName name="__123Graph_CCURRENT" hidden="1">#REF!</definedName>
    <definedName name="__123Graph_CCustCr" hidden="1">#N/A</definedName>
    <definedName name="__123Graph_CDAtendAG" hidden="1">#REF!</definedName>
    <definedName name="__123Graph_CDAtendME" hidden="1">#REF!</definedName>
    <definedName name="__123Graph_CDAtendMI" hidden="1">#REF!</definedName>
    <definedName name="__123Graph_CDAtenPJ" hidden="1">#REF!</definedName>
    <definedName name="__123Graph_CDescPrAG" hidden="1">#REF!</definedName>
    <definedName name="__123Graph_CDescProm" hidden="1">#REF!</definedName>
    <definedName name="__123Graph_CDescPrPF" hidden="1">#REF!</definedName>
    <definedName name="__123Graph_CDescPrPJ" hidden="1">#REF!</definedName>
    <definedName name="__123Graph_CDiaLocAG" hidden="1">#REF!</definedName>
    <definedName name="__123Graph_CDiaLocME" hidden="1">#REF!</definedName>
    <definedName name="__123Graph_CDiaLocMI" hidden="1">#REF!</definedName>
    <definedName name="__123Graph_CDiaLocPF" hidden="1">#REF!</definedName>
    <definedName name="__123Graph_CDiarAG" hidden="1">#REF!</definedName>
    <definedName name="__123Graph_CDiarEA" hidden="1">#REF!</definedName>
    <definedName name="__123Graph_CDiarEAPF" hidden="1">#REF!</definedName>
    <definedName name="__123Graph_CDiarEV" hidden="1">#REF!</definedName>
    <definedName name="__123Graph_CDiarME" hidden="1">#REF!</definedName>
    <definedName name="__123Graph_CDiarMI" hidden="1">#REF!</definedName>
    <definedName name="__123Graph_CEnAD_Pr96" hidden="1">#REF!</definedName>
    <definedName name="__123Graph_CEvCompCustRes" hidden="1">#N/A</definedName>
    <definedName name="__123Graph_CEvEmiBr" hidden="1">#N/A</definedName>
    <definedName name="__123Graph_CEvEmiBr2" hidden="1">#N/A</definedName>
    <definedName name="__123Graph_CEvoAten" hidden="1">#N/A</definedName>
    <definedName name="__123Graph_CEvolRes" hidden="1">#N/A</definedName>
    <definedName name="__123Graph_Cevolrestint" hidden="1">#N/A</definedName>
    <definedName name="__123Graph_CEvReIntE" hidden="1">#N/A</definedName>
    <definedName name="__123Graph_CEvTCCred" hidden="1">#REF!</definedName>
    <definedName name="__123Graph_CGraph102" hidden="1">#REF!</definedName>
    <definedName name="__123Graph_CGraph103" hidden="1">#REF!</definedName>
    <definedName name="__123Graph_CGraph104" hidden="1">#REF!</definedName>
    <definedName name="__123Graph_CGraph17" hidden="1">#REF!</definedName>
    <definedName name="__123Graph_CGraph18" hidden="1">#REF!</definedName>
    <definedName name="__123Graph_CGraph2" hidden="1">#REF!</definedName>
    <definedName name="__123Graph_CGraph20" hidden="1">#REF!</definedName>
    <definedName name="__123Graph_CGraph23" hidden="1">#REF!</definedName>
    <definedName name="__123Graph_CGraph24" hidden="1">#REF!</definedName>
    <definedName name="__123Graph_CGraph27" hidden="1">#REF!</definedName>
    <definedName name="__123Graph_CGraph28" hidden="1">#REF!</definedName>
    <definedName name="__123Graph_CGraph29" hidden="1">#REF!</definedName>
    <definedName name="__123Graph_CGraph30" hidden="1">#REF!</definedName>
    <definedName name="__123Graph_CGraph35" hidden="1">#REF!</definedName>
    <definedName name="__123Graph_CGraph37" hidden="1">#REF!</definedName>
    <definedName name="__123Graph_CGraph38" hidden="1">#REF!</definedName>
    <definedName name="__123Graph_CGraph40" hidden="1">#REF!</definedName>
    <definedName name="__123Graph_CGraph41" hidden="1">#REF!</definedName>
    <definedName name="__123Graph_CGraph42" hidden="1">#REF!</definedName>
    <definedName name="__123Graph_CGraph44" hidden="1">#REF!</definedName>
    <definedName name="__123Graph_CGraph45" hidden="1">#REF!</definedName>
    <definedName name="__123Graph_CGraph47" hidden="1">#REF!</definedName>
    <definedName name="__123Graph_CGraph48" hidden="1">#REF!</definedName>
    <definedName name="__123Graph_CGraph49" hidden="1">#REF!</definedName>
    <definedName name="__123Graph_CGraph51" hidden="1">#REF!</definedName>
    <definedName name="__123Graph_CGraph52" hidden="1">#REF!</definedName>
    <definedName name="__123Graph_CGraph53" hidden="1">#REF!</definedName>
    <definedName name="__123Graph_CGraph54" hidden="1">#REF!</definedName>
    <definedName name="__123Graph_CGraph55" hidden="1">#REF!</definedName>
    <definedName name="__123Graph_CGraph56" hidden="1">#REF!</definedName>
    <definedName name="__123Graph_CGraph57" hidden="1">#REF!</definedName>
    <definedName name="__123Graph_CGraph58" hidden="1">#REF!</definedName>
    <definedName name="__123Graph_CGraph59" hidden="1">#REF!</definedName>
    <definedName name="__123Graph_CGraph6" hidden="1">#REF!</definedName>
    <definedName name="__123Graph_CGraph60" hidden="1">#REF!</definedName>
    <definedName name="__123Graph_CGraph61" hidden="1">#REF!</definedName>
    <definedName name="__123Graph_CGraph62" hidden="1">#REF!</definedName>
    <definedName name="__123Graph_CGraph63" hidden="1">#REF!</definedName>
    <definedName name="__123Graph_CGraph64" hidden="1">#REF!</definedName>
    <definedName name="__123Graph_CGraph65" hidden="1">#REF!</definedName>
    <definedName name="__123Graph_CGraph66" hidden="1">#REF!</definedName>
    <definedName name="__123Graph_CGraph68" hidden="1">#REF!</definedName>
    <definedName name="__123Graph_CGraph69" hidden="1">#REF!</definedName>
    <definedName name="__123Graph_CGraph7" hidden="1">#REF!</definedName>
    <definedName name="__123Graph_CGraph70" hidden="1">#REF!</definedName>
    <definedName name="__123Graph_CGraph71" hidden="1">#REF!</definedName>
    <definedName name="__123Graph_CGraph72" hidden="1">#REF!</definedName>
    <definedName name="__123Graph_CGraph74" hidden="1">#REF!</definedName>
    <definedName name="__123Graph_CGraph75" hidden="1">#REF!</definedName>
    <definedName name="__123Graph_CGraph76" hidden="1">#REF!</definedName>
    <definedName name="__123Graph_CGraph77" hidden="1">#REF!</definedName>
    <definedName name="__123Graph_CGraph9" hidden="1">#REF!</definedName>
    <definedName name="__123Graph_CGraph90" hidden="1">#REF!</definedName>
    <definedName name="__123Graph_CGraph91" hidden="1">#REF!</definedName>
    <definedName name="__123Graph_CGraph92" hidden="1">#REF!</definedName>
    <definedName name="__123Graph_CGraph93" hidden="1">#REF!</definedName>
    <definedName name="__123Graph_CGraph94" hidden="1">#REF!</definedName>
    <definedName name="__123Graph_CKmDiaAg" hidden="1">#REF!</definedName>
    <definedName name="__123Graph_CKmDiaME" hidden="1">#REF!</definedName>
    <definedName name="__123Graph_CKmDiaMI" hidden="1">#REF!</definedName>
    <definedName name="__123Graph_CKmDiaPF" hidden="1">#REF!</definedName>
    <definedName name="__123Graph_CLoc" hidden="1">#REF!</definedName>
    <definedName name="__123Graph_CLocME" hidden="1">#REF!</definedName>
    <definedName name="__123Graph_CLocMI" hidden="1">#REF!</definedName>
    <definedName name="__123Graph_CLocPF" hidden="1">#REF!</definedName>
    <definedName name="__123Graph_CLocPJ" hidden="1">#REF!</definedName>
    <definedName name="__123Graph_CORIRESNAC" hidden="1">#N/A</definedName>
    <definedName name="__123Graph_CPF" hidden="1">#N/A</definedName>
    <definedName name="__123Graph_CPJ" hidden="1">#N/A</definedName>
    <definedName name="__123Graph_CRecAG" hidden="1">#REF!</definedName>
    <definedName name="__123Graph_CRecBr" hidden="1">#REF!</definedName>
    <definedName name="__123Graph_CRecDiaAG" hidden="1">#REF!</definedName>
    <definedName name="__123Graph_CRecDiaPF" hidden="1">#REF!</definedName>
    <definedName name="__123Graph_CRecLiqDia" hidden="1">#REF!</definedName>
    <definedName name="__123Graph_CRecLPV" hidden="1">#REF!</definedName>
    <definedName name="__123Graph_CRecME" hidden="1">#REF!</definedName>
    <definedName name="__123Graph_CRecMI" hidden="1">#REF!</definedName>
    <definedName name="__123Graph_CRecPF" hidden="1">#REF!</definedName>
    <definedName name="__123Graph_CResNAcSeg" hidden="1">#N/A</definedName>
    <definedName name="__123Graph_CRoberto" hidden="1">#REF!</definedName>
    <definedName name="__123Graph_CVrFrOp" hidden="1">#REF!</definedName>
    <definedName name="__123Graph_D" hidden="1">#REF!</definedName>
    <definedName name="__123Graph_DChamRec" hidden="1">#N/A</definedName>
    <definedName name="__123Graph_DCURRENT" hidden="1">#REF!</definedName>
    <definedName name="__123Graph_DDAtendAG" hidden="1">#REF!</definedName>
    <definedName name="__123Graph_DDAtendME" hidden="1">#REF!</definedName>
    <definedName name="__123Graph_DDAtendMI" hidden="1">#REF!</definedName>
    <definedName name="__123Graph_DDAtenPJ" hidden="1">#REF!</definedName>
    <definedName name="__123Graph_DDescPrAG" hidden="1">#REF!</definedName>
    <definedName name="__123Graph_DDescProm" hidden="1">#REF!</definedName>
    <definedName name="__123Graph_DDescPrPF" hidden="1">#REF!</definedName>
    <definedName name="__123Graph_DDescPrPJ" hidden="1">#REF!</definedName>
    <definedName name="__123Graph_DDiaLocAG" hidden="1">#REF!</definedName>
    <definedName name="__123Graph_DDiaLocME" hidden="1">#REF!</definedName>
    <definedName name="__123Graph_DDiaLocMI" hidden="1">#REF!</definedName>
    <definedName name="__123Graph_DDiaLocPF" hidden="1">#REF!</definedName>
    <definedName name="__123Graph_DDiarAG" hidden="1">#REF!</definedName>
    <definedName name="__123Graph_DDiarEA" hidden="1">#REF!</definedName>
    <definedName name="__123Graph_DDiarEAPF" hidden="1">#REF!</definedName>
    <definedName name="__123Graph_DDiarEV" hidden="1">#REF!</definedName>
    <definedName name="__123Graph_DDiarME" hidden="1">#REF!</definedName>
    <definedName name="__123Graph_DDiarMI" hidden="1">#REF!</definedName>
    <definedName name="__123Graph_DEnAD_Pr96" hidden="1">#REF!</definedName>
    <definedName name="__123Graph_DEvolRes" hidden="1">#N/A</definedName>
    <definedName name="__123Graph_Devolrestint" hidden="1">#N/A</definedName>
    <definedName name="__123Graph_DEvTCCred" hidden="1">#REF!</definedName>
    <definedName name="__123Graph_DGraph102" hidden="1">#REF!</definedName>
    <definedName name="__123Graph_DGraph103" hidden="1">#REF!</definedName>
    <definedName name="__123Graph_DGraph17" hidden="1">#REF!</definedName>
    <definedName name="__123Graph_DGraph2" hidden="1">#REF!</definedName>
    <definedName name="__123Graph_DGraph27" hidden="1">#REF!</definedName>
    <definedName name="__123Graph_DGraph28" hidden="1">#REF!</definedName>
    <definedName name="__123Graph_DGraph29" hidden="1">#REF!</definedName>
    <definedName name="__123Graph_DGraph37" hidden="1">#REF!</definedName>
    <definedName name="__123Graph_DGraph38" hidden="1">#REF!</definedName>
    <definedName name="__123Graph_DGraph40" hidden="1">#REF!</definedName>
    <definedName name="__123Graph_DGraph41" hidden="1">#REF!</definedName>
    <definedName name="__123Graph_DGraph42" hidden="1">#REF!</definedName>
    <definedName name="__123Graph_DGraph47" hidden="1">#REF!</definedName>
    <definedName name="__123Graph_DGraph48" hidden="1">#REF!</definedName>
    <definedName name="__123Graph_DGraph49" hidden="1">#REF!</definedName>
    <definedName name="__123Graph_DGraph51" hidden="1">#REF!</definedName>
    <definedName name="__123Graph_DGraph52" hidden="1">#REF!</definedName>
    <definedName name="__123Graph_DGraph53" hidden="1">#REF!</definedName>
    <definedName name="__123Graph_DGraph54" hidden="1">#REF!</definedName>
    <definedName name="__123Graph_DGraph6" hidden="1">#REF!</definedName>
    <definedName name="__123Graph_DGraph64" hidden="1">#REF!</definedName>
    <definedName name="__123Graph_DGraph65" hidden="1">#REF!</definedName>
    <definedName name="__123Graph_DGraph66" hidden="1">#REF!</definedName>
    <definedName name="__123Graph_DGraph68" hidden="1">#REF!</definedName>
    <definedName name="__123Graph_DGraph69" hidden="1">#REF!</definedName>
    <definedName name="__123Graph_DGraph7" hidden="1">#REF!</definedName>
    <definedName name="__123Graph_DGraph70" hidden="1">#REF!</definedName>
    <definedName name="__123Graph_DGraph71" hidden="1">#REF!</definedName>
    <definedName name="__123Graph_DGraph72" hidden="1">#REF!</definedName>
    <definedName name="__123Graph_DGraph74" hidden="1">#REF!</definedName>
    <definedName name="__123Graph_DGraph75" hidden="1">#REF!</definedName>
    <definedName name="__123Graph_DGraph76" hidden="1">#REF!</definedName>
    <definedName name="__123Graph_DGraph9" hidden="1">#REF!</definedName>
    <definedName name="__123Graph_DGraph90" hidden="1">#REF!</definedName>
    <definedName name="__123Graph_DGraph91" hidden="1">#REF!</definedName>
    <definedName name="__123Graph_DGraph93" hidden="1">#REF!</definedName>
    <definedName name="__123Graph_DKmDiaAg" hidden="1">#REF!</definedName>
    <definedName name="__123Graph_DKmDiaME" hidden="1">#REF!</definedName>
    <definedName name="__123Graph_DKmDiaMI" hidden="1">#REF!</definedName>
    <definedName name="__123Graph_DKmDiaPF" hidden="1">#REF!</definedName>
    <definedName name="__123Graph_DLoc" hidden="1">#REF!</definedName>
    <definedName name="__123Graph_DLocME" hidden="1">#REF!</definedName>
    <definedName name="__123Graph_DLocMI" hidden="1">#REF!</definedName>
    <definedName name="__123Graph_DLocPF" hidden="1">#REF!</definedName>
    <definedName name="__123Graph_DLocPJ" hidden="1">#REF!</definedName>
    <definedName name="__123Graph_DRecAG" hidden="1">#REF!</definedName>
    <definedName name="__123Graph_DRecBr" hidden="1">#REF!</definedName>
    <definedName name="__123Graph_DRecDiaAG" hidden="1">#REF!</definedName>
    <definedName name="__123Graph_DRecDiaPF" hidden="1">#REF!</definedName>
    <definedName name="__123Graph_DRecLiqDia" hidden="1">#REF!</definedName>
    <definedName name="__123Graph_DRecLPV" hidden="1">#REF!</definedName>
    <definedName name="__123Graph_DRecME" hidden="1">#REF!</definedName>
    <definedName name="__123Graph_DRecMI" hidden="1">#REF!</definedName>
    <definedName name="__123Graph_DRecPF" hidden="1">#REF!</definedName>
    <definedName name="__123Graph_DResEXpAE1" hidden="1">#N/A</definedName>
    <definedName name="__123Graph_DRoberto" hidden="1">#REF!</definedName>
    <definedName name="__123Graph_DVrFrOp" hidden="1">#REF!</definedName>
    <definedName name="__123Graph_E" hidden="1">#REF!</definedName>
    <definedName name="__123Graph_ECURRENT" hidden="1">#REF!</definedName>
    <definedName name="__123Graph_EDAtendAG" hidden="1">#REF!</definedName>
    <definedName name="__123Graph_EDAtendME" hidden="1">#REF!</definedName>
    <definedName name="__123Graph_EDAtendMI" hidden="1">#REF!</definedName>
    <definedName name="__123Graph_EDescPrAG" hidden="1">#REF!</definedName>
    <definedName name="__123Graph_EDescProm" hidden="1">#REF!</definedName>
    <definedName name="__123Graph_EDescPrPF" hidden="1">#REF!</definedName>
    <definedName name="__123Graph_EDescPrPJ" hidden="1">#REF!</definedName>
    <definedName name="__123Graph_EDiaLocAG" hidden="1">#REF!</definedName>
    <definedName name="__123Graph_EDiaLocMI" hidden="1">#REF!</definedName>
    <definedName name="__123Graph_EDiaLocPF" hidden="1">#REF!</definedName>
    <definedName name="__123Graph_EDiarAG" hidden="1">#REF!</definedName>
    <definedName name="__123Graph_EDiarEA" hidden="1">#REF!</definedName>
    <definedName name="__123Graph_EDiarEAPF" hidden="1">#REF!</definedName>
    <definedName name="__123Graph_EDiarEV" hidden="1">#REF!</definedName>
    <definedName name="__123Graph_EDiarME" hidden="1">#REF!</definedName>
    <definedName name="__123Graph_EDiarMI" hidden="1">#REF!</definedName>
    <definedName name="__123Graph_EEvTCCred" hidden="1">#REF!</definedName>
    <definedName name="__123Graph_EGraph102" hidden="1">#REF!</definedName>
    <definedName name="__123Graph_EGraph103" hidden="1">#REF!</definedName>
    <definedName name="__123Graph_EGraph29" hidden="1">#REF!</definedName>
    <definedName name="__123Graph_EGraph47" hidden="1">#REF!</definedName>
    <definedName name="__123Graph_EGraph48" hidden="1">#REF!</definedName>
    <definedName name="__123Graph_EGraph49" hidden="1">#REF!</definedName>
    <definedName name="__123Graph_EGraph51" hidden="1">#REF!</definedName>
    <definedName name="__123Graph_EGraph6" hidden="1">#REF!</definedName>
    <definedName name="__123Graph_EGraph69" hidden="1">#REF!</definedName>
    <definedName name="__123Graph_EGraph7" hidden="1">#REF!</definedName>
    <definedName name="__123Graph_EGraph70" hidden="1">#REF!</definedName>
    <definedName name="__123Graph_EGraph72" hidden="1">#REF!</definedName>
    <definedName name="__123Graph_EGraph74" hidden="1">#REF!</definedName>
    <definedName name="__123Graph_EGraph76" hidden="1">#REF!</definedName>
    <definedName name="__123Graph_EGraph9" hidden="1">#REF!</definedName>
    <definedName name="__123Graph_EGraph90" hidden="1">#REF!</definedName>
    <definedName name="__123Graph_EKmDiaAg" hidden="1">#REF!</definedName>
    <definedName name="__123Graph_EKmDiaME" hidden="1">#REF!</definedName>
    <definedName name="__123Graph_EKmDiaMI" hidden="1">#REF!</definedName>
    <definedName name="__123Graph_EKmDiaPF" hidden="1">#REF!</definedName>
    <definedName name="__123Graph_ELoc" hidden="1">#REF!</definedName>
    <definedName name="__123Graph_ELocME" hidden="1">#REF!</definedName>
    <definedName name="__123Graph_ELocMI" hidden="1">#REF!</definedName>
    <definedName name="__123Graph_ELocPF" hidden="1">#REF!</definedName>
    <definedName name="__123Graph_ELocPJ" hidden="1">#REF!</definedName>
    <definedName name="__123Graph_ERecAG" hidden="1">#REF!</definedName>
    <definedName name="__123Graph_ERecBr" hidden="1">#REF!</definedName>
    <definedName name="__123Graph_ERecDiaAG" hidden="1">#REF!</definedName>
    <definedName name="__123Graph_ERecDiaPF" hidden="1">#REF!</definedName>
    <definedName name="__123Graph_ERecLiqDia" hidden="1">#REF!</definedName>
    <definedName name="__123Graph_ERecLPV" hidden="1">#REF!</definedName>
    <definedName name="__123Graph_ERecMI" hidden="1">#REF!</definedName>
    <definedName name="__123Graph_ERecPF" hidden="1">#REF!</definedName>
    <definedName name="__123Graph_ERoberto" hidden="1">#REF!</definedName>
    <definedName name="__123Graph_EVrFrOp" hidden="1">#REF!</definedName>
    <definedName name="__123Graph_F" hidden="1">#REF!</definedName>
    <definedName name="__123Graph_FCURRENT" hidden="1">#REF!</definedName>
    <definedName name="__123Graph_FDAtendAG" hidden="1">#REF!</definedName>
    <definedName name="__123Graph_FDAtendME" hidden="1">#REF!</definedName>
    <definedName name="__123Graph_FDAtendMI" hidden="1">#REF!</definedName>
    <definedName name="__123Graph_FDescPrAG" hidden="1">#REF!</definedName>
    <definedName name="__123Graph_FDescProm" hidden="1">#REF!</definedName>
    <definedName name="__123Graph_FDescPrPF" hidden="1">#REF!</definedName>
    <definedName name="__123Graph_FDescPrPJ" hidden="1">#REF!</definedName>
    <definedName name="__123Graph_FDiaLocAG" hidden="1">#REF!</definedName>
    <definedName name="__123Graph_FDiaLocPF" hidden="1">#REF!</definedName>
    <definedName name="__123Graph_FDiarAG" hidden="1">#REF!</definedName>
    <definedName name="__123Graph_FDiarEA" hidden="1">#REF!</definedName>
    <definedName name="__123Graph_FDiarEAPF" hidden="1">#REF!</definedName>
    <definedName name="__123Graph_FDiarEV" hidden="1">#REF!</definedName>
    <definedName name="__123Graph_FDiarME" hidden="1">#REF!</definedName>
    <definedName name="__123Graph_FDiarMI" hidden="1">#REF!</definedName>
    <definedName name="__123Graph_FEvTCCred" hidden="1">#REF!</definedName>
    <definedName name="__123Graph_FGraph102" hidden="1">#REF!</definedName>
    <definedName name="__123Graph_FGraph103" hidden="1">#REF!</definedName>
    <definedName name="__123Graph_FGraph47" hidden="1">#REF!</definedName>
    <definedName name="__123Graph_FGraph48" hidden="1">#REF!</definedName>
    <definedName name="__123Graph_FGraph49" hidden="1">#REF!</definedName>
    <definedName name="__123Graph_FGraph6" hidden="1">#REF!</definedName>
    <definedName name="__123Graph_FGraph69" hidden="1">#REF!</definedName>
    <definedName name="__123Graph_FGraph7" hidden="1">#REF!</definedName>
    <definedName name="__123Graph_FGraph70" hidden="1">#REF!</definedName>
    <definedName name="__123Graph_FGraph74" hidden="1">#REF!</definedName>
    <definedName name="__123Graph_FGraph9" hidden="1">#REF!</definedName>
    <definedName name="__123Graph_FGraph90" hidden="1">#REF!</definedName>
    <definedName name="__123Graph_FKmDiaAg" hidden="1">#REF!</definedName>
    <definedName name="__123Graph_FKmDiaPF" hidden="1">#REF!</definedName>
    <definedName name="__123Graph_FLoc" hidden="1">#REF!</definedName>
    <definedName name="__123Graph_FLocPF" hidden="1">#REF!</definedName>
    <definedName name="__123Graph_FLocPJ" hidden="1">#REF!</definedName>
    <definedName name="__123Graph_FRecAG" hidden="1">#REF!</definedName>
    <definedName name="__123Graph_FRecBr" hidden="1">#REF!</definedName>
    <definedName name="__123Graph_FRecDiaAG" hidden="1">#REF!</definedName>
    <definedName name="__123Graph_FRecDiaPF" hidden="1">#REF!</definedName>
    <definedName name="__123Graph_FRecLiqDia" hidden="1">#REF!</definedName>
    <definedName name="__123Graph_FRecLPV" hidden="1">#REF!</definedName>
    <definedName name="__123Graph_FRecPF" hidden="1">#REF!</definedName>
    <definedName name="__123Graph_FVrFrOp" hidden="1">#REF!</definedName>
    <definedName name="__123Graph_LBL_AChamOper2" hidden="1">#N/A</definedName>
    <definedName name="__123Graph_LBL_AChamRes2" hidden="1">#N/A</definedName>
    <definedName name="__123Graph_LBL_AChamResAtend1" hidden="1">#N/A</definedName>
    <definedName name="__123Graph_LBL_ACli_DiarAG" hidden="1">#REF!</definedName>
    <definedName name="__123Graph_LBL_ACli_DiarFV" hidden="1">#REF!</definedName>
    <definedName name="__123Graph_LBL_ACli_DiarLL" hidden="1">#REF!</definedName>
    <definedName name="__123Graph_LBL_ACli_DiarPF" hidden="1">#REF!</definedName>
    <definedName name="__123Graph_LBL_AClienAG" hidden="1">#REF!</definedName>
    <definedName name="__123Graph_LBL_AClienFV" hidden="1">#REF!</definedName>
    <definedName name="__123Graph_LBL_AClienLL" hidden="1">#REF!</definedName>
    <definedName name="__123Graph_LBL_AClienPF" hidden="1">#REF!</definedName>
    <definedName name="__123Graph_LBL_ACustCr" hidden="1">#N/A</definedName>
    <definedName name="__123Graph_LBL_ADescPrSeg" hidden="1">#REF!</definedName>
    <definedName name="__123Graph_LBL_ADescPrSeg94" hidden="1">#REF!</definedName>
    <definedName name="__123Graph_LBL_AFrAlug" hidden="1">#REF!</definedName>
    <definedName name="__123Graph_LBL_AGraph101" hidden="1">#REF!</definedName>
    <definedName name="__123Graph_LBL_AGraph105" hidden="1">#REF!</definedName>
    <definedName name="__123Graph_LBL_AGraph106" hidden="1">#REF!</definedName>
    <definedName name="__123Graph_LBL_AGraph16" hidden="1">#REF!</definedName>
    <definedName name="__123Graph_LBL_AGraph4" hidden="1">#N/A</definedName>
    <definedName name="__123Graph_LBL_AGraph96" hidden="1">#REF!</definedName>
    <definedName name="__123Graph_LBL_AGraph97" hidden="1">#REF!</definedName>
    <definedName name="__123Graph_LBL_AGraph98" hidden="1">#REF!</definedName>
    <definedName name="__123Graph_LBL_AInserted100" hidden="1">#N/A</definedName>
    <definedName name="__123Graph_LBL_AResOper2" hidden="1">#N/A</definedName>
    <definedName name="__123Graph_LBL_ATarifAG" hidden="1">#REF!</definedName>
    <definedName name="__123Graph_LBL_ATarifME" hidden="1">#REF!</definedName>
    <definedName name="__123Graph_LBL_ATarifPJ" hidden="1">#REF!</definedName>
    <definedName name="__123Graph_LBL_BCustCr" hidden="1">#N/A</definedName>
    <definedName name="__123Graph_LBL_BGraph57" hidden="1">#REF!</definedName>
    <definedName name="__123Graph_LBL_BGraph58" hidden="1">#REF!</definedName>
    <definedName name="__123Graph_LBL_BGraph59" hidden="1">#REF!</definedName>
    <definedName name="__123Graph_LBL_BGraph60" hidden="1">#REF!</definedName>
    <definedName name="__123Graph_LBL_BGraph61" hidden="1">#REF!</definedName>
    <definedName name="__123Graph_LBL_BGraph62" hidden="1">#REF!</definedName>
    <definedName name="__123Graph_LBL_BGraph63" hidden="1">#REF!</definedName>
    <definedName name="__123Graph_LBL_BLocResAC" hidden="1">#N/A</definedName>
    <definedName name="__123Graph_LBL_BlocresAG" hidden="1">#N/A</definedName>
    <definedName name="__123Graph_LBL_Blocrespj" hidden="1">#N/A</definedName>
    <definedName name="__123Graph_LBL_Blocresvig" hidden="1">#N/A</definedName>
    <definedName name="__123Graph_LBL_BResAD" hidden="1">#N/A</definedName>
    <definedName name="__123Graph_LBL_BResCO" hidden="1">#N/A</definedName>
    <definedName name="__123Graph_LBL_BResCOInt" hidden="1">#N/A</definedName>
    <definedName name="__123Graph_LBL_BResCONac" hidden="1">#N/A</definedName>
    <definedName name="__123Graph_LBL_BResFraIn" hidden="1">#N/A</definedName>
    <definedName name="__123Graph_LBL_BResFranq" hidden="1">#N/A</definedName>
    <definedName name="__123Graph_LBL_BResIntAEQ" hidden="1">#N/A</definedName>
    <definedName name="__123Graph_LBL_BResIntExt" hidden="1">#N/A</definedName>
    <definedName name="__123Graph_LBL_BResLiInt" hidden="1">#N/A</definedName>
    <definedName name="__123Graph_LBL_BResTotFr" hidden="1">#N/A</definedName>
    <definedName name="__123Graph_LBL_CCustCr" hidden="1">#N/A</definedName>
    <definedName name="__123Graph_X" hidden="1">#REF!</definedName>
    <definedName name="__123Graph_XAD" hidden="1">#N/A</definedName>
    <definedName name="__123Graph_XAD93" hidden="1">#N/A</definedName>
    <definedName name="__123Graph_XChamAt94" hidden="1">#N/A</definedName>
    <definedName name="__123Graph_XChamResAtend2" hidden="1">#N/A</definedName>
    <definedName name="__123Graph_XChamTel" hidden="1">#N/A</definedName>
    <definedName name="__123Graph_XCli_DiarFV" hidden="1">#REF!</definedName>
    <definedName name="__123Graph_XCli_DiarLL" hidden="1">#REF!</definedName>
    <definedName name="__123Graph_XCOInt" hidden="1">#N/A</definedName>
    <definedName name="__123Graph_XCOMBUSTA" hidden="1">#REF!</definedName>
    <definedName name="__123Graph_XCONac" hidden="1">#N/A</definedName>
    <definedName name="__123Graph_XDiarSeg3" hidden="1">#REF!</definedName>
    <definedName name="__123Graph_XEvTCCred" hidden="1">#REF!</definedName>
    <definedName name="__123Graph_XExtInt" hidden="1">#N/A</definedName>
    <definedName name="__123Graph_XFranInt" hidden="1">#N/A</definedName>
    <definedName name="__123Graph_XFrannosh" hidden="1">#N/A</definedName>
    <definedName name="__123Graph_XFranq" hidden="1">#N/A</definedName>
    <definedName name="__123Graph_XGraph35" hidden="1">#REF!</definedName>
    <definedName name="__123Graph_XGraph40" hidden="1">#REF!</definedName>
    <definedName name="__123Graph_XGraph79" hidden="1">#REF!</definedName>
    <definedName name="__123Graph_XGraph81" hidden="1">#REF!</definedName>
    <definedName name="__123Graph_XGraph85" hidden="1">#REF!</definedName>
    <definedName name="__123Graph_XGraph87" hidden="1">#REF!</definedName>
    <definedName name="__123Graph_XGraph89" hidden="1">#REF!</definedName>
    <definedName name="__123Graph_XInserted100" hidden="1">#N/A</definedName>
    <definedName name="__123Graph_XInserted101" hidden="1">#N/A</definedName>
    <definedName name="__123Graph_XLocRes2" hidden="1">#N/A</definedName>
    <definedName name="__123Graph_XLocResAC" hidden="1">#N/A</definedName>
    <definedName name="__123Graph_Xlocresvig" hidden="1">#N/A</definedName>
    <definedName name="__123Graph_XLocSegm96" hidden="1">#REF!</definedName>
    <definedName name="__123Graph_XMANUTETA" hidden="1">#REF!</definedName>
    <definedName name="__123Graph_XMixAG93" hidden="1">#REF!</definedName>
    <definedName name="__123Graph_XMixDiar3" hidden="1">#REF!</definedName>
    <definedName name="__123Graph_XResEXpAE1" hidden="1">#N/A</definedName>
    <definedName name="__123Graph_XResIntFrI1" hidden="1">#N/A</definedName>
    <definedName name="__123Graph_XRRecFat" hidden="1">#REF!</definedName>
    <definedName name="__123Graph_XSegm94" hidden="1">#N/A</definedName>
    <definedName name="__123Graph_XSegm95" hidden="1">#N/A</definedName>
    <definedName name="__ACC2" hidden="1">#REF!</definedName>
    <definedName name="__c" hidden="1">{#N/A,#N/A,FALSE,"WOB_1.XLS";#N/A,#N/A,FALSE,"WOB_2.XLS";#N/A,#N/A,FALSE,"WOB_3.XLS";#N/A,#N/A,FALSE,"WOB_4.XLS";#N/A,#N/A,FALSE,"WOB_5.XLS"}</definedName>
    <definedName name="__cer3" hidden="1">{#N/A,#N/A,FALSE,"WOBE_DE.XLS";#N/A,#N/A,FALSE,"WOB_1.XLS";#N/A,#N/A,FALSE,"WOB_2.XLS";#N/A,#N/A,FALSE,"WOB_3.XLS";#N/A,#N/A,FALSE,"WOB_4.XLS";#N/A,#N/A,FALSE,"WOB_5.XLS"}</definedName>
    <definedName name="__CuN3" hidden="1">{#N/A,#N/A,FALSE,"WOBE_DE.XLS";#N/A,#N/A,FALSE,"WOB_1.XLS";#N/A,#N/A,FALSE,"WOB_2.XLS";#N/A,#N/A,FALSE,"WOB_3.XLS";#N/A,#N/A,FALSE,"WOB_4.XLS";#N/A,#N/A,FALSE,"WOB_5.XLS"}</definedName>
    <definedName name="__fl1111" hidden="1">{"Fecha_Novembro",#N/A,FALSE,"FECHAMENTO-2002 ";"Defer_Novembro",#N/A,FALSE,"DIFERIDO";"Pis_Novembro",#N/A,FALSE,"PIS COFINS";"Iss_Novembro",#N/A,FALSE,"ISS"}</definedName>
    <definedName name="__IntlFixup" hidden="1">TRUE</definedName>
    <definedName name="__x1" hidden="1">#REF!</definedName>
    <definedName name="__X10" hidden="1">#REF!</definedName>
    <definedName name="__X11" hidden="1">#REF!</definedName>
    <definedName name="__X12" hidden="1">#REF!</definedName>
    <definedName name="__X13" hidden="1">#REF!</definedName>
    <definedName name="__X14" hidden="1">#REF!</definedName>
    <definedName name="__X15" hidden="1">#REF!</definedName>
    <definedName name="__x2" hidden="1">#REF!</definedName>
    <definedName name="__x3" hidden="1">#REF!</definedName>
    <definedName name="__x4" hidden="1">#REF!</definedName>
    <definedName name="__x5" hidden="1">#REF!</definedName>
    <definedName name="__X6" hidden="1">#REF!</definedName>
    <definedName name="__X7" hidden="1">#REF!</definedName>
    <definedName name="__X8" hidden="1">#REF!</definedName>
    <definedName name="__X9" hidden="1">#REF!</definedName>
    <definedName name="_1__123Graph_ACHART_1" hidden="1">#REF!</definedName>
    <definedName name="_1__123Graph_ACO_s" hidden="1">#N/A</definedName>
    <definedName name="_2__123Graph_BCHART_1" hidden="1">#REF!</definedName>
    <definedName name="_2__123Graph_XCO_s" hidden="1">#N/A</definedName>
    <definedName name="_3__123Graph_CCHART_1" hidden="1">#REF!</definedName>
    <definedName name="_4__123Graph_XCHART_1" hidden="1">#REF!</definedName>
    <definedName name="_ACC2" hidden="1">#REF!</definedName>
    <definedName name="_bdm.1356A79B419C4968A04114A9D157CB1B.edm" hidden="1">#REF!</definedName>
    <definedName name="_BQ4.160" hidden="1">#REF!</definedName>
    <definedName name="_BQ4.62" hidden="1">#REF!</definedName>
    <definedName name="_c" hidden="1">{#N/A,#N/A,FALSE,"WOB_1.XLS";#N/A,#N/A,FALSE,"WOB_2.XLS";#N/A,#N/A,FALSE,"WOB_3.XLS";#N/A,#N/A,FALSE,"WOB_4.XLS";#N/A,#N/A,FALSE,"WOB_5.XLS"}</definedName>
    <definedName name="_cer3" hidden="1">{#N/A,#N/A,FALSE,"WOBE_DE.XLS";#N/A,#N/A,FALSE,"WOB_1.XLS";#N/A,#N/A,FALSE,"WOB_2.XLS";#N/A,#N/A,FALSE,"WOB_3.XLS";#N/A,#N/A,FALSE,"WOB_4.XLS";#N/A,#N/A,FALSE,"WOB_5.XLS"}</definedName>
    <definedName name="_CuN3" hidden="1">{#N/A,#N/A,FALSE,"WOBE_DE.XLS";#N/A,#N/A,FALSE,"WOB_1.XLS";#N/A,#N/A,FALSE,"WOB_2.XLS";#N/A,#N/A,FALSE,"WOB_3.XLS";#N/A,#N/A,FALSE,"WOB_4.XLS";#N/A,#N/A,FALSE,"WOB_5.XLS"}</definedName>
    <definedName name="_dem2" hidden="1">{"cash",#N/A,FALSE,"cash";"historico",#N/A,FALSE,"historico"}</definedName>
    <definedName name="_Fill" hidden="1">#REF!</definedName>
    <definedName name="_FILL2" hidden="1">#REF!</definedName>
    <definedName name="_xlnm._FilterDatabase" hidden="1">#REF!</definedName>
    <definedName name="_FiltroDatabase" hidden="1">#REF!</definedName>
    <definedName name="_fl1111" hidden="1">{"Fecha_Novembro",#N/A,FALSE,"FECHAMENTO-2002 ";"Defer_Novembro",#N/A,FALSE,"DIFERIDO";"Pis_Novembro",#N/A,FALSE,"PIS COFINS";"Iss_Novembro",#N/A,FALSE,"ISS"}</definedName>
    <definedName name="_I2004" hidden="1">{#N/A,#N/A,FALSE,"Aging Summary";#N/A,#N/A,FALSE,"Ratio Analysis";#N/A,#N/A,FALSE,"Test 120 Day Accts";#N/A,#N/A,FALSE,"Tickmarks"}</definedName>
    <definedName name="_JAN2001" hidden="1">{#N/A,#N/A,FALSE,"Aging Summary";#N/A,#N/A,FALSE,"Ratio Analysis";#N/A,#N/A,FALSE,"Test 120 Day Accts";#N/A,#N/A,FALSE,"Tickmarks"}</definedName>
    <definedName name="_Key1" hidden="1">#REF!</definedName>
    <definedName name="_Key2" hidden="1">#REF!</definedName>
    <definedName name="_Order1" hidden="1">255</definedName>
    <definedName name="_Order2" hidden="1">255</definedName>
    <definedName name="_Regression_Int" hidden="1">1</definedName>
    <definedName name="_Regression_X" hidden="1">#REF!</definedName>
    <definedName name="_Sort" hidden="1">#REF!</definedName>
    <definedName name="_x1" hidden="1">#REF!</definedName>
    <definedName name="_X10" hidden="1">#REF!</definedName>
    <definedName name="_X11" hidden="1">#REF!</definedName>
    <definedName name="_X12" hidden="1">#REF!</definedName>
    <definedName name="_X13" hidden="1">#REF!</definedName>
    <definedName name="_X14" hidden="1">#REF!</definedName>
    <definedName name="_X15" hidden="1">#REF!</definedName>
    <definedName name="_x2" hidden="1">#REF!</definedName>
    <definedName name="_x3" hidden="1">#REF!</definedName>
    <definedName name="_x4" hidden="1">#REF!</definedName>
    <definedName name="_x5" hidden="1">#REF!</definedName>
    <definedName name="_X6" hidden="1">#REF!</definedName>
    <definedName name="_X7" hidden="1">#REF!</definedName>
    <definedName name="_X8" hidden="1">#REF!</definedName>
    <definedName name="_X9" hidden="1">#REF!</definedName>
    <definedName name="aa" hidden="1">{"Fecha_Novembro",#N/A,FALSE,"FECHAMENTO-2002 ";"Defer_Novembro",#N/A,FALSE,"DIFERIDO";"Pis_Novembro",#N/A,FALSE,"PIS COFINS";"Iss_Novembro",#N/A,FALSE,"ISS"}</definedName>
    <definedName name="aaa" hidden="1">{#N/A,#N/A,FALSE,"RecBrMod";#N/A,#N/A,FALSE,"FormaRec";#N/A,#N/A,FALSE,"FormaRecSeg";#N/A,#N/A,FALSE,"RecBrSegm";#N/A,#N/A,FALSE,"Frota";#N/A,#N/A,FALSE,"FrAlug";#N/A,#N/A,FALSE,"Util";#N/A,#N/A,FALSE,"VrFrOp";#N/A,#N/A,FALSE,"MetaAten";#N/A,#N/A,FALSE,"ObjVen";#N/A,#N/A,FALSE,"DiarEA";#N/A,#N/A,FALSE,"DiarSegmEA+AM";#N/A,#N/A,FALSE,"DiarSegmEA";#N/A,#N/A,FALSE,"MixDiar";#N/A,#N/A,FALSE,"Loc";#N/A,#N/A,FALSE,"LocSegm+AM";#N/A,#N/A,FALSE,"LocSegm";#N/A,#N/A,FALSE,"DiaLoc";#N/A,#N/A,FALSE,"DiaLocSegm";#N/A,#N/A,FALSE,"KmLoc";#N/A,#N/A,FALSE,"KmDia";#N/A,#N/A,FALSE,"DiarVE";#N/A,#N/A,FALSE,"DiarSegmEV+AM";#N/A,#N/A,FALSE,"DiarSegmEV";#N/A,#N/A,FALSE,"RecBr";#N/A,#N/A,FALSE,"RecLPV";#N/A,#N/A,FALSE,"CCred";#N/A,#N/A,FALSE,"EvCCred";#N/A,#N/A,FALSE,"DescProm";#N/A,#N/A,FALSE,"DescPrSeg";#N/A,#N/A,FALSE,"TarifLL";#N/A,#N/A,FALSE,"ClienLL";#N/A,#N/A,FALSE,"ClienFV";#N/A,#N/A,FALSE,"Indic99";#N/A,#N/A,FALSE,"Indic98"}</definedName>
    <definedName name="AAB_Addin5" hidden="1">"AAB_Description for addin 5,Description for addin 5,Description for addin 5,Description for addin 5,Description for addin 5,Description for addin 5"</definedName>
    <definedName name="abc"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adeletar" hidden="1">{"TotalGeralDespesasPorArea",#N/A,FALSE,"VinculosAccessEfetivo"}</definedName>
    <definedName name="adeletar1" hidden="1">{"TotalGeralDespesasPorArea",#N/A,FALSE,"VinculosAccessEfetivo"}</definedName>
    <definedName name="adeletar10" hidden="1">{"TotalGeralDespesasPorArea",#N/A,FALSE,"VinculosAccessEfetivo"}</definedName>
    <definedName name="adeletar2" hidden="1">{"TotalGeralDespesasPorArea",#N/A,FALSE,"VinculosAccessEfetivo"}</definedName>
    <definedName name="adeletar20" hidden="1">{"TotalGeralDespesasPorArea",#N/A,FALSE,"VinculosAccessEfetivo"}</definedName>
    <definedName name="adeletar4" hidden="1">{"TotalGeralDespesasPorArea",#N/A,FALSE,"VinculosAccessEfetivo"}</definedName>
    <definedName name="adeletar50" hidden="1">{"TotalGeralDespesasPorArea",#N/A,FALSE,"VinculosAccessEfetivo"}</definedName>
    <definedName name="adeletar51" hidden="1">{"TotalGeralDespesasPorArea",#N/A,FALSE,"VinculosAccessEfetivo"}</definedName>
    <definedName name="AJUSTE" hidden="1">{"Fecha_Dezembro",#N/A,FALSE,"FECHAMENTO-2002 ";"Defer_Dezermbro",#N/A,FALSE,"DIFERIDO";"Pis_Dezembro",#N/A,FALSE,"PIS COFINS";"Iss_Dezembro",#N/A,FALSE,"ISS"}</definedName>
    <definedName name="ALUG.VENCIDOSGER" hidden="1">{#N/A,#N/A,FALSE,"Vendas e Receitas";#N/A,#N/A,FALSE,"Veículos";#N/A,#N/A,FALSE,"Posição de atraso";#N/A,#N/A,FALSE,"Inadimplência";#N/A,#N/A,FALSE,"Alug.vencidos";#N/A,#N/A,FALSE,"vacancy";#N/A,#N/A,FALSE,"luvas";#N/A,#N/A,FALSE,"DespCond1";#N/A,#N/A,FALSE,"DespCond2-pg13";#N/A,#N/A,FALSE,"DespCond3 pg14"}</definedName>
    <definedName name="ALUGGEREN" hidden="1">{#N/A,#N/A,FALSE,"V-R-gr";#N/A,#N/A,FALSE,"Veículos -gr"}</definedName>
    <definedName name="ana" hidden="1">#REF!,#REF!,#REF!,#REF!,#REF!,#REF!,#REF!,#REF!,#REF!,#REF!,#REF!,#REF!,#REF!,#REF!,#REF!,#REF!,#REF!,#REF!,#REF!,#REF!,#REF!,#REF!,#REF!,#REF!,#REF!,#REF!,#REF!</definedName>
    <definedName name="anafer" hidden="1">#REF!</definedName>
    <definedName name="AnaliseVariação" hidden="1">{#N/A,#N/A,FALSE,"LocSegm+ML";#N/A,#N/A,FALSE,"LocSegm";#N/A,#N/A,FALSE,"DiarSegmEA";#N/A,#N/A,FALSE,"DiarSegmEA+ML";#N/A,#N/A,FALSE,"DiarSegmEV";#N/A,#N/A,FALSE,"DiarSegmEV+ML";#N/A,#N/A,FALSE,"DiaLocSegm";#N/A,#N/A,FALSE,"RecBrSegm";#N/A,#N/A,FALSE,"RecBrMod";#N/A,#N/A,FALSE,"FormaRecSeg";#N/A,#N/A,FALSE,"MetaML";#N/A,#N/A,FALSE,"MixDiarML";#N/A,#N/A,FALSE,"LocML";#N/A,#N/A,FALSE,"DiaLocML";#N/A,#N/A,FALSE,"KmDiaML";#N/A,#N/A,FALSE,"FormaRecML";#N/A,#N/A,FALSE,"TarifML"}</definedName>
    <definedName name="Ano" hidden="1">{"Asset_Liability",#N/A,FALSE,"Input Sheet"}</definedName>
    <definedName name="anscount" hidden="1">3</definedName>
    <definedName name="ANUAL_2002" hidden="1">{"capa",#N/A,FALSE,"capa";"RES",#N/A,FALSE,"RESULTADO";"REALIZ97",#N/A,FALSE,"RES97";"BAL",#N/A,FALSE,"BAL.PATRIM";"BALREALIZ",#N/A,FALSE,"BAL97"}</definedName>
    <definedName name="ap" hidden="1">{"Fecha_Novembro",#N/A,FALSE,"FECHAMENTO-2002 ";"Defer_Novembro",#N/A,FALSE,"DIFERIDO";"Pis_Novembro",#N/A,FALSE,"PIS COFINS";"Iss_Novembro",#N/A,FALSE,"ISS"}</definedName>
    <definedName name="as" hidden="1">{#N/A,#N/A,FALSE,"IRENDA"}</definedName>
    <definedName name="AS2DocOpenMode" hidden="1">"AS2DocumentEdit"</definedName>
    <definedName name="AS2HasNoAutoHeaderFooter" hidden="1">" "</definedName>
    <definedName name="AS2NamedRange" hidden="1">4</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b" hidden="1">{#N/A,#N/A,FALSE,"Aging Summary";#N/A,#N/A,FALSE,"Ratio Analysis";#N/A,#N/A,FALSE,"Test 120 Day Accts";#N/A,#N/A,FALSE,"Tickmarks"}</definedName>
    <definedName name="asdf"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asertg" hidden="1">{#N/A,#N/A,FALSE,"Aging Summary";#N/A,#N/A,FALSE,"Ratio Analysis";#N/A,#N/A,FALSE,"Test 120 Day Accts";#N/A,#N/A,FALSE,"Tickmarks"}</definedName>
    <definedName name="asfsdfsdf" hidden="1">#REF!</definedName>
    <definedName name="asvq" hidden="1">{#N/A,#N/A,FALSE,"Aging Summary";#N/A,#N/A,FALSE,"Ratio Analysis";#N/A,#N/A,FALSE,"Test 120 Day Accts";#N/A,#N/A,FALSE,"Tickmarks"}</definedName>
    <definedName name="av" hidden="1">{#N/A,#N/A,FALSE,"Aging Summary";#N/A,#N/A,FALSE,"Ratio Analysis";#N/A,#N/A,FALSE,"Test 120 Day Accts";#N/A,#N/A,FALSE,"Tickmarks"}</definedName>
    <definedName name="azs" hidden="1">{#N/A,#N/A,FALSE,"Aging Summary";#N/A,#N/A,FALSE,"Ratio Analysis";#N/A,#N/A,FALSE,"Test 120 Day Accts";#N/A,#N/A,FALSE,"Tickmarks"}</definedName>
    <definedName name="balls" hidden="1">{#N/A,#N/A,TRUE,"CASH COND_B1";#N/A,#N/A,TRUE,"COMP DESP COND_B2_B3";#N/A,#N/A,TRUE,"11";#N/A,#N/A,TRUE,"12";#N/A,#N/A,TRUE,"13";#N/A,#N/A,TRUE,"14";#N/A,#N/A,TRUE,"15";#N/A,#N/A,TRUE,"16";#N/A,#N/A,TRUE,"19";#N/A,#N/A,TRUE,"21";#N/A,#N/A,TRUE,"22";#N/A,#N/A,TRUE,"23";#N/A,#N/A,TRUE,"24";#N/A,#N/A,TRUE,"27";#N/A,#N/A,TRUE,"IMOB COND_B5";#N/A,#N/A,TRUE,"B6";#N/A,#N/A,TRUE,"B7";#N/A,#N/A,TRUE,"QUADRO PESSOAL";#N/A,#N/A,TRUE,"ORG."}</definedName>
    <definedName name="bb" hidden="1">{"Fecha_Novembro",#N/A,FALSE,"FECHAMENTO-2002 ";"Defer_Novembro",#N/A,FALSE,"DIFERIDO";"Pis_Novembro",#N/A,FALSE,"PIS COFINS";"Iss_Novembro",#N/A,FALSE,"ISS"}</definedName>
    <definedName name="be" hidden="1">{#N/A,#N/A,FALSE,"Aging Summary";#N/A,#N/A,FALSE,"Ratio Analysis";#N/A,#N/A,FALSE,"Test 120 Day Accts";#N/A,#N/A,FALSE,"Tickmarks"}</definedName>
    <definedName name="BG" hidden="1">{#N/A,#N/A,FALSE,"Vendas e Receitas";#N/A,#N/A,FALSE,"Veículos";#N/A,#N/A,FALSE,"Posição de atraso";#N/A,#N/A,FALSE,"Inadimplência";#N/A,#N/A,FALSE,"Alug.vencidos";#N/A,#N/A,FALSE,"vacancy";#N/A,#N/A,FALSE,"luvas";#N/A,#N/A,FALSE,"DespCond1";#N/A,#N/A,FALSE,"DespCond2-pg13";#N/A,#N/A,FALSE,"DespCond3 pg14"}</definedName>
    <definedName name="BG_Del" hidden="1">15</definedName>
    <definedName name="BG_Ins" hidden="1">4</definedName>
    <definedName name="BG_Mod" hidden="1">6</definedName>
    <definedName name="bhgv" hidden="1">{#N/A,#N/A,FALSE,"Aging Summary";#N/A,#N/A,FALSE,"Ratio Analysis";#N/A,#N/A,FALSE,"Test 120 Day Accts";#N/A,#N/A,FALSE,"Tickmarks"}</definedName>
    <definedName name="bhj" hidden="1">{#N/A,#N/A,FALSE,"Aging Summary";#N/A,#N/A,FALSE,"Ratio Analysis";#N/A,#N/A,FALSE,"Test 120 Day Accts";#N/A,#N/A,FALSE,"Tickmarks"}</definedName>
    <definedName name="bhk" hidden="1">{#N/A,#N/A,FALSE,"Aging Summary";#N/A,#N/A,FALSE,"Ratio Analysis";#N/A,#N/A,FALSE,"Test 120 Day Accts";#N/A,#N/A,FALSE,"Tickmarks"}</definedName>
    <definedName name="bn" hidden="1">{#N/A,#N/A,FALSE,"Aging Summary";#N/A,#N/A,FALSE,"Ratio Analysis";#N/A,#N/A,FALSE,"Test 120 Day Accts";#N/A,#N/A,FALSE,"Tickmarks"}</definedName>
    <definedName name="bnhg" hidden="1">{#N/A,#N/A,FALSE,"Aging Summary";#N/A,#N/A,FALSE,"Ratio Analysis";#N/A,#N/A,FALSE,"Test 120 Day Accts";#N/A,#N/A,FALSE,"Tickmarks"}</definedName>
    <definedName name="bnjl" hidden="1">{#N/A,#N/A,FALSE,"Aging Summary";#N/A,#N/A,FALSE,"Ratio Analysis";#N/A,#N/A,FALSE,"Test 120 Day Accts";#N/A,#N/A,FALSE,"Tickmarks"}</definedName>
    <definedName name="borra" hidden="1">{#N/A,#N/A,FALSE,"Aging Summary";#N/A,#N/A,FALSE,"Ratio Analysis";#N/A,#N/A,FALSE,"Test 120 Day Accts";#N/A,#N/A,FALSE,"Tickmarks"}</definedName>
    <definedName name="boston" hidden="1">{"TotalGeralDespesasPorArea",#N/A,FALSE,"VinculosAccessEfetivo"}</definedName>
    <definedName name="bvnhfsdkj" hidden="1">{#N/A,#N/A,FALSE,"Aging Summary";#N/A,#N/A,FALSE,"Ratio Analysis";#N/A,#N/A,FALSE,"Test 120 Day Accts";#N/A,#N/A,FALSE,"Tickmarks"}</definedName>
    <definedName name="bzxbzbxbxs" hidden="1">{#N/A,#N/A,FALSE,"Aging Summary";#N/A,#N/A,FALSE,"Ratio Analysis";#N/A,#N/A,FALSE,"Test 120 Day Accts";#N/A,#N/A,FALSE,"Tickmarks"}</definedName>
    <definedName name="cala" hidden="1">{#N/A,#N/A,FALSE,"Aging Summary";#N/A,#N/A,FALSE,"Ratio Analysis";#N/A,#N/A,FALSE,"Test 120 Day Accts";#N/A,#N/A,FALSE,"Tickmarks"}</definedName>
    <definedName name="carla" hidden="1">{#N/A,#N/A,FALSE,"Aging Summary";#N/A,#N/A,FALSE,"Ratio Analysis";#N/A,#N/A,FALSE,"Test 120 Day Accts";#N/A,#N/A,FALSE,"Tickmarks"}</definedName>
    <definedName name="carlita" hidden="1">{#N/A,#N/A,FALSE,"Aging Summary";#N/A,#N/A,FALSE,"Ratio Analysis";#N/A,#N/A,FALSE,"Test 120 Day Accts";#N/A,#N/A,FALSE,"Tickmarks"}</definedName>
    <definedName name="cas" hidden="1">{"Asset_Liability",#N/A,FALSE,"Input Sheet"}</definedName>
    <definedName name="cbs" hidden="1">{#N/A,#N/A,FALSE,"IRENDA"}</definedName>
    <definedName name="cc" hidden="1">{"Fecha_Outubro",#N/A,FALSE,"FECHAMENTO-2002 ";"Defer_Outubro",#N/A,FALSE,"DIFERIDO";"Pis_Outubro",#N/A,FALSE,"PIS COFINS";"Iss_Outubro",#N/A,FALSE,"ISS"}</definedName>
    <definedName name="ccc" hidden="1">{#N/A,#N/A,FALSE,"HONORÁRIOS"}</definedName>
    <definedName name="CD" hidden="1">{#N/A,#N/A,FALSE,"Aging Summary";#N/A,#N/A,FALSE,"Ratio Analysis";#N/A,#N/A,FALSE,"Test 120 Day Accts";#N/A,#N/A,FALSE,"Tickmarks"}</definedName>
    <definedName name="CELULAR" hidden="1">{"Profit_Loss",#N/A,FALSE,"Input Sheet"}</definedName>
    <definedName name="Celulose">#REF!</definedName>
    <definedName name="CIQWBGuid" hidden="1">"6f55bbd4-3506-4042-a244-076e1ff392d8"</definedName>
    <definedName name="CIQWBInfo" hidden="1">"{ ""CIQVersion"":""9.47.1108.4092"" }"</definedName>
    <definedName name="Class">#REF!</definedName>
    <definedName name="COFINS" hidden="1">{"Fecha_Dezembro",#N/A,FALSE,"FECHAMENTO-2002 ";"Defer_Dezermbro",#N/A,FALSE,"DIFERIDO";"Pis_Dezembro",#N/A,FALSE,"PIS COFINS";"Iss_Dezembro",#N/A,FALSE,"ISS"}</definedName>
    <definedName name="cofins1" hidden="1">{"Fecha_Outubro",#N/A,FALSE,"FECHAMENTO-2002 ";"Defer_Outubro",#N/A,FALSE,"DIFERIDO";"Pis_Outubro",#N/A,FALSE,"PIS COFINS";"Iss_Outubro",#N/A,FALSE,"ISS"}</definedName>
    <definedName name="cruzamento" hidden="1">{#N/A,#N/A,FALSE,"Aging Summary";#N/A,#N/A,FALSE,"Ratio Analysis";#N/A,#N/A,FALSE,"Test 120 Day Accts";#N/A,#N/A,FALSE,"Tickmarks"}</definedName>
    <definedName name="cun" hidden="1">{#N/A,#N/A,FALSE,"WOB_1.XLS";#N/A,#N/A,FALSE,"WOB_2.XLS";#N/A,#N/A,FALSE,"WOB_3.XLS";#N/A,#N/A,FALSE,"WOB_4.XLS";#N/A,#N/A,FALSE,"WOB_5.XLS"}</definedName>
    <definedName name="CUNDEZ" hidden="1">{#N/A,#N/A,FALSE,"WOB_1.XLS";#N/A,#N/A,FALSE,"WOB_2.XLS";#N/A,#N/A,FALSE,"WOB_3.XLS";#N/A,#N/A,FALSE,"WOB_4.XLS";#N/A,#N/A,FALSE,"WOB_5.XLS"}</definedName>
    <definedName name="cursource" hidden="1">#N/A</definedName>
    <definedName name="cvbxcvgdfg" hidden="1">{#N/A,#N/A,FALSE,"WOBE_DE.XLS";#N/A,#N/A,FALSE,"WOB_1.XLS";#N/A,#N/A,FALSE,"WOB_2.XLS";#N/A,#N/A,FALSE,"WOB_3.XLS";#N/A,#N/A,FALSE,"WOB_4.XLS";#N/A,#N/A,FALSE,"WOB_5.XLS"}</definedName>
    <definedName name="cvgh" hidden="1">{#N/A,#N/A,FALSE,"Aging Summary";#N/A,#N/A,FALSE,"Ratio Analysis";#N/A,#N/A,FALSE,"Test 120 Day Accts";#N/A,#N/A,FALSE,"Tickmarks"}</definedName>
    <definedName name="cx" hidden="1">{#N/A,#N/A,FALSE,"Aging Summary";#N/A,#N/A,FALSE,"Ratio Analysis";#N/A,#N/A,FALSE,"Test 120 Day Accts";#N/A,#N/A,FALSE,"Tickmarks"}</definedName>
    <definedName name="d" hidden="1">{"Fecha_Novembro",#N/A,FALSE,"FECHAMENTO-2002 ";"Defer_Novembro",#N/A,FALSE,"DIFERIDO";"Pis_Novembro",#N/A,FALSE,"PIS COFINS";"Iss_Novembro",#N/A,FALSE,"ISS"}</definedName>
    <definedName name="DCCOMP" hidden="1">{"DEMCONTCA",#N/A,FALSE,"C V M"}</definedName>
    <definedName name="dddddddddddd" hidden="1">{0,#N/A,FALSE,0;0,#N/A,FALSE,0;0,#N/A,FALSE,0;0,#N/A,FALSE,0}</definedName>
    <definedName name="de" hidden="1">{"Fecha_Dezembro",#N/A,FALSE,"FECHAMENTO-2002 ";"Defer_Dezermbro",#N/A,FALSE,"DIFERIDO";"Pis_Dezembro",#N/A,FALSE,"PIS COFINS";"Iss_Dezembro",#N/A,FALSE,"ISS"}</definedName>
    <definedName name="deee" hidden="1">{"Fecha_Setembro",#N/A,FALSE,"FECHAMENTO-2002 ";"Defer_Setembro",#N/A,FALSE,"DIFERIDO";"Pis_Setembro",#N/A,FALSE,"PIS COFINS";"Iss_Setembro",#N/A,FALSE,"ISS"}</definedName>
    <definedName name="Detail" hidden="1">{"Profit_Loss",#N/A,FALSE,"Input Sheet";"Asset_Liability",#N/A,FALSE,"Input Sheet"}</definedName>
    <definedName name="dfgsdf" hidden="1">{#N/A,#N/A,FALSE,"WOB_1.XLS";#N/A,#N/A,FALSE,"WOB_2.XLS";#N/A,#N/A,FALSE,"WOB_3.XLS";#N/A,#N/A,FALSE,"WOB_4.XLS";#N/A,#N/A,FALSE,"WOB_5.XLS"}</definedName>
    <definedName name="DIferido_junho" hidden="1">#REF!,#REF!,#REF!,#REF!,#REF!,#REF!,#REF!,#REF!,#REF!,#REF!,#REF!,#REF!,#REF!,#REF!,#REF!,#REF!,#REF!,#REF!,#REF!,#REF!,#REF!,#REF!,#REF!,#REF!,#REF!,#REF!,#REF!</definedName>
    <definedName name="DIR" hidden="1">{"cash",#N/A,FALSE,"cash";"historico",#N/A,FALSE,"historico"}</definedName>
    <definedName name="DivLiq">#REF!</definedName>
    <definedName name="dolly" hidden="1">#REF!</definedName>
    <definedName name="DSDSDS" hidden="1">{#N/A,#N/A,FALSE,"Vendas e Receitas";#N/A,#N/A,FALSE,"Veículos";#N/A,#N/A,FALSE,"Posição de atraso";#N/A,#N/A,FALSE,"Inadimplência";#N/A,#N/A,FALSE,"Alug.vencidos";#N/A,#N/A,FALSE,"vacancy";#N/A,#N/A,FALSE,"luvas";#N/A,#N/A,FALSE,"DespCond1";#N/A,#N/A,FALSE,"DespCond2-pg13";#N/A,#N/A,FALSE,"DespCond3 pg14"}</definedName>
    <definedName name="ebitda03">#REF!</definedName>
    <definedName name="ebitda04">#REF!</definedName>
    <definedName name="ebitda05">#REF!</definedName>
    <definedName name="Economics">#REF!</definedName>
    <definedName name="eee" hidden="1">{#N/A,#N/A,FALSE,"Aging Summary";#N/A,#N/A,FALSE,"Ratio Analysis";#N/A,#N/A,FALSE,"Test 120 Day Accts";#N/A,#N/A,FALSE,"Tickmarks"}</definedName>
    <definedName name="emir" hidden="1">{#N/A,#N/A,FALSE,"Aging Summary";#N/A,#N/A,FALSE,"Ratio Analysis";#N/A,#N/A,FALSE,"Test 120 Day Accts";#N/A,#N/A,FALSE,"Tickmarks"}</definedName>
    <definedName name="enrique" hidden="1">{#N/A,#N/A,FALSE,"Aging Summary";#N/A,#N/A,FALSE,"Ratio Analysis";#N/A,#N/A,FALSE,"Test 120 Day Accts";#N/A,#N/A,FALSE,"Tickmarks"}</definedName>
    <definedName name="ergebnis" hidden="1">{#N/A,#N/A,FALSE,"WOBE_DE.XLS";#N/A,#N/A,FALSE,"WOB_1.XLS";#N/A,#N/A,FALSE,"WOB_2.XLS";#N/A,#N/A,FALSE,"WOB_3.XLS";#N/A,#N/A,FALSE,"WOB_4.XLS";#N/A,#N/A,FALSE,"WOB_5.XLS"}</definedName>
    <definedName name="erreferf" hidden="1">{#N/A,#N/A,FALSE,"Aging Summary";#N/A,#N/A,FALSE,"Ratio Analysis";#N/A,#N/A,FALSE,"Test 120 Day Accts";#N/A,#N/A,FALSE,"Tickmarks"}</definedName>
    <definedName name="EST" hidden="1">{"capa",#N/A,FALSE,"capa";"RES",#N/A,FALSE,"RESULTADO";"REALIZ97",#N/A,FALSE,"RES97";"BAL",#N/A,FALSE,"BAL.PATRIM";"BALREALIZ",#N/A,FALSE,"BAL97"}</definedName>
    <definedName name="esti" hidden="1">{#N/A,#N/A,TRUE,"CASH COND_B1";#N/A,#N/A,TRUE,"COMP DESP COND_B2_B3";#N/A,#N/A,TRUE,"11";#N/A,#N/A,TRUE,"12";#N/A,#N/A,TRUE,"13";#N/A,#N/A,TRUE,"14";#N/A,#N/A,TRUE,"15";#N/A,#N/A,TRUE,"16";#N/A,#N/A,TRUE,"19";#N/A,#N/A,TRUE,"21";#N/A,#N/A,TRUE,"22";#N/A,#N/A,TRUE,"23";#N/A,#N/A,TRUE,"24";#N/A,#N/A,TRUE,"27";#N/A,#N/A,TRUE,"IMOB COND_B5";#N/A,#N/A,TRUE,"B6";#N/A,#N/A,TRUE,"B7";#N/A,#N/A,TRUE,"QUADRO PESSOAL";#N/A,#N/A,TRUE,"ORG."}</definedName>
    <definedName name="EV__ALLOWSTOPEXPAND__" hidden="1">1</definedName>
    <definedName name="EV__CVPARAMS__" hidden="1">"Any by Any!$B$17:$C$28;"</definedName>
    <definedName name="EV__EXPOPTIONS__" hidden="1">0</definedName>
    <definedName name="EV__LASTREFTIME__" hidden="1">39576.6112962963</definedName>
    <definedName name="EV__MAXEXPCOLS__" hidden="1">100</definedName>
    <definedName name="EV__MAXEXPROWS__" hidden="1">1000</definedName>
    <definedName name="EV__MEMORYCVW__" hidden="1">0</definedName>
    <definedName name="EV__WBEVMODE__" hidden="1">0</definedName>
    <definedName name="EV__WBREFOPTIONS__" hidden="1">134217783</definedName>
    <definedName name="EV__WBVERSION__" hidden="1">0</definedName>
    <definedName name="EV__WSINFO__" hidden="1">"ukprem"</definedName>
    <definedName name="eventos" hidden="1">{#N/A,#N/A,TRUE,"CASH COND_B1";#N/A,#N/A,TRUE,"COMP DESP COND_B2_B3";#N/A,#N/A,TRUE,"11";#N/A,#N/A,TRUE,"12";#N/A,#N/A,TRUE,"13";#N/A,#N/A,TRUE,"14";#N/A,#N/A,TRUE,"15";#N/A,#N/A,TRUE,"16";#N/A,#N/A,TRUE,"19";#N/A,#N/A,TRUE,"21";#N/A,#N/A,TRUE,"22";#N/A,#N/A,TRUE,"23";#N/A,#N/A,TRUE,"24";#N/A,#N/A,TRUE,"27";#N/A,#N/A,TRUE,"IMOB COND_B5";#N/A,#N/A,TRUE,"B6";#N/A,#N/A,TRUE,"B7";#N/A,#N/A,TRUE,"QUADRO PESSOAL";#N/A,#N/A,TRUE,"ORG."}</definedName>
    <definedName name="fdergf" hidden="1">{#N/A,#N/A,TRUE,"CASH COND_B1";#N/A,#N/A,TRUE,"COMP DESP COND_B2_B3";#N/A,#N/A,TRUE,"11";#N/A,#N/A,TRUE,"12";#N/A,#N/A,TRUE,"13";#N/A,#N/A,TRUE,"14";#N/A,#N/A,TRUE,"15";#N/A,#N/A,TRUE,"16";#N/A,#N/A,TRUE,"19";#N/A,#N/A,TRUE,"21";#N/A,#N/A,TRUE,"22";#N/A,#N/A,TRUE,"23";#N/A,#N/A,TRUE,"24";#N/A,#N/A,TRUE,"27";#N/A,#N/A,TRUE,"IMOB COND_B5";#N/A,#N/A,TRUE,"B6";#N/A,#N/A,TRUE,"B7";#N/A,#N/A,TRUE,"QUADRO PESSOAL";#N/A,#N/A,TRUE,"ORG."}</definedName>
    <definedName name="FF" hidden="1">{"ATPASRESANALITICO",#N/A,FALSE,"C V M"}</definedName>
    <definedName name="FFF" hidden="1">{"COMPOSIÇÃO",#N/A,FALSE,"C V M"}</definedName>
    <definedName name="fgf" hidden="1">{#N/A,#N/A,FALSE,"Aging Summary";#N/A,#N/A,FALSE,"Ratio Analysis";#N/A,#N/A,FALSE,"Test 120 Day Accts";#N/A,#N/A,FALSE,"Tickmarks"}</definedName>
    <definedName name="fjujo" hidden="1">{#N/A,#N/A,FALSE,"BALAJUS";#N/A,#N/A,FALSE,"GYPAJAUS";#N/A,#N/A,FALSE,"PATRIAJUS";#N/A,#N/A,FALSE,"FLUJOAJUS";#N/A,#N/A,FALSE,"BALANC_hist";#N/A,#N/A,FALSE,"GYP_hist";#N/A,#N/A,FALSE,"PATRIM-hist";#N/A,#N/A,FALSE,"FLUJ-hist"}</definedName>
    <definedName name="Frontpage1" hidden="1">{#N/A,#N/A,FALSE,"WOBE_DE.XLS";#N/A,#N/A,FALSE,"WOB_1.XLS";#N/A,#N/A,FALSE,"WOB_2.XLS";#N/A,#N/A,FALSE,"WOB_3.XLS";#N/A,#N/A,FALSE,"WOB_4.XLS";#N/A,#N/A,FALSE,"WOB_5.XLS"}</definedName>
    <definedName name="galo" hidden="1">{#N/A,#N/A,FALSE,"Aging Summary";#N/A,#N/A,FALSE,"Ratio Analysis";#N/A,#N/A,FALSE,"Test 120 Day Accts";#N/A,#N/A,FALSE,"Tickmarks"}</definedName>
    <definedName name="GAN" hidden="1">#REF!</definedName>
    <definedName name="GCIA" hidden="1">{#N/A,#N/A,FALSE,"Aging Summary";#N/A,#N/A,FALSE,"Ratio Analysis";#N/A,#N/A,FALSE,"Test 120 Day Accts";#N/A,#N/A,FALSE,"Tickmarks"}</definedName>
    <definedName name="gggb" hidden="1">{#N/A,#N/A,FALSE,"Aging Summary";#N/A,#N/A,FALSE,"Ratio Analysis";#N/A,#N/A,FALSE,"Test 120 Day Accts";#N/A,#N/A,FALSE,"Tickmarks"}</definedName>
    <definedName name="gggdd" hidden="1">{#N/A,#N/A,FALSE,"Aging Summary";#N/A,#N/A,FALSE,"Ratio Analysis";#N/A,#N/A,FALSE,"Test 120 Day Accts";#N/A,#N/A,FALSE,"Tickmarks"}</definedName>
    <definedName name="ggggggg" hidden="1">{"capa",#N/A,FALSE,"capa";"RES",#N/A,FALSE,"RESULTADO";"REALIZ97",#N/A,FALSE,"RES97";"BAL",#N/A,FALSE,"BAL.PATRIM";"BALREALIZ",#N/A,FALSE,"BAL97"}</definedName>
    <definedName name="GH" hidden="1">{#N/A,#N/A,FALSE,"Aging Summary";#N/A,#N/A,FALSE,"Ratio Analysis";#N/A,#N/A,FALSE,"Test 120 Day Accts";#N/A,#N/A,FALSE,"Tickmarks"}</definedName>
    <definedName name="GHHJJ" hidden="1">{#N/A,#N/A,FALSE,"Aging Summary";#N/A,#N/A,FALSE,"Ratio Analysis";#N/A,#N/A,FALSE,"Test 120 Day Accts";#N/A,#N/A,FALSE,"Tickmarks"}</definedName>
    <definedName name="ghz" hidden="1">{#N/A,#N/A,FALSE,"Aging Summary";#N/A,#N/A,FALSE,"Ratio Analysis";#N/A,#N/A,FALSE,"Test 120 Day Accts";#N/A,#N/A,FALSE,"Tickmarks"}</definedName>
    <definedName name="gigiu" hidden="1">{#N/A,#N/A,FALSE,"BALAJUS";#N/A,#N/A,FALSE,"GYPAJAUS";#N/A,#N/A,FALSE,"PATRIAJUS";#N/A,#N/A,FALSE,"FLUJOAJUS";#N/A,#N/A,FALSE,"BALANC_hist";#N/A,#N/A,FALSE,"GYP_hist";#N/A,#N/A,FALSE,"PATRIM-hist";#N/A,#N/A,FALSE,"FLUJ-hist"}</definedName>
    <definedName name="hduhud" hidden="1">{"DEMCONTCA",#N/A,FALSE,"C V M"}</definedName>
    <definedName name="hdwhahdahsdx" hidden="1">{#N/A,#N/A,FALSE,"Aging Summary";#N/A,#N/A,FALSE,"Ratio Analysis";#N/A,#N/A,FALSE,"Test 120 Day Accts";#N/A,#N/A,FALSE,"Tickmarks"}</definedName>
    <definedName name="hello" hidden="1">{#N/A,#N/A,FALSE,"Aging Summary";#N/A,#N/A,FALSE,"Ratio Analysis";#N/A,#N/A,FALSE,"Test 120 Day Accts";#N/A,#N/A,FALSE,"Tickmarks"}</definedName>
    <definedName name="hgj" hidden="1">{#N/A,#N/A,FALSE,"Aging Summary";#N/A,#N/A,FALSE,"Ratio Analysis";#N/A,#N/A,FALSE,"Test 120 Day Accts";#N/A,#N/A,FALSE,"Tickmarks"}</definedName>
    <definedName name="hhhhhh" hidden="1">{#N/A,#N/A,FALSE,"Aging Summary";#N/A,#N/A,FALSE,"Ratio Analysis";#N/A,#N/A,FALSE,"Test 120 Day Accts";#N/A,#N/A,FALSE,"Tickmarks"}</definedName>
    <definedName name="HHJ" hidden="1">{#N/A,#N/A,FALSE,"Aging Summary";#N/A,#N/A,FALSE,"Ratio Analysis";#N/A,#N/A,FALSE,"Test 120 Day Accts";#N/A,#N/A,FALSE,"Tickmarks"}</definedName>
    <definedName name="HJ" hidden="1">{#N/A,#N/A,FALSE,"Aging Summary";#N/A,#N/A,FALSE,"Ratio Analysis";#N/A,#N/A,FALSE,"Test 120 Day Accts";#N/A,#N/A,FALSE,"Tickmarks"}</definedName>
    <definedName name="hjh" hidden="1">{#N/A,#N/A,FALSE,"Aging Summary";#N/A,#N/A,FALSE,"Ratio Analysis";#N/A,#N/A,FALSE,"Test 120 Day Accts";#N/A,#N/A,FALSE,"Tickmarks"}</definedName>
    <definedName name="hjhjhj" hidden="1">{#N/A,#N/A,FALSE,"Index";"Stmts_Qtrs",#N/A,FALSE,"Summary";"Stmts_24 mo",#N/A,FALSE,"Summary";"Summary_24",#N/A,FALSE,"Revenue";"Month_24",#N/A,FALSE,"Engineering";"Month_24",#N/A,FALSE,"Marketing";"Month_24",#N/A,FALSE,"G &amp; A";"Month_24",#N/A,FALSE,"Manufacturing"}</definedName>
    <definedName name="hjiu" hidden="1">{#N/A,#N/A,FALSE,"Aging Summary";#N/A,#N/A,FALSE,"Ratio Analysis";#N/A,#N/A,FALSE,"Test 120 Day Accts";#N/A,#N/A,FALSE,"Tickmarks"}</definedName>
    <definedName name="hjnv" hidden="1">{#N/A,#N/A,FALSE,"Aging Summary";#N/A,#N/A,FALSE,"Ratio Analysis";#N/A,#N/A,FALSE,"Test 120 Day Accts";#N/A,#N/A,FALSE,"Tickmarks"}</definedName>
    <definedName name="hsvd" hidden="1">{#N/A,#N/A,FALSE,"Aging Summary";#N/A,#N/A,FALSE,"Ratio Analysis";#N/A,#N/A,FALSE,"Test 120 Day Accts";#N/A,#N/A,FALSE,"Tickmarks"}</definedName>
    <definedName name="HTML_CodePage" hidden="1">1252</definedName>
    <definedName name="HTML_Control" hidden="1">{"'Sheet1'!$A$12:$K$110"}</definedName>
    <definedName name="HTML_Description" hidden="1">""</definedName>
    <definedName name="HTML_Email" hidden="1">""</definedName>
    <definedName name="HTML_Header" hidden="1">"Sheet1"</definedName>
    <definedName name="HTML_LastUpdate" hidden="1">"2/3/99"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 hidden="1">"L:\bol\BOA\New Webreports\Open invoices\MyHTML.htm"</definedName>
    <definedName name="HTML_PathFileMac" hidden="1">"Macintosh HD:TEACHING:EqValnSpr99:datasets99:wacc.html"</definedName>
    <definedName name="HTML_Title" hidden="1">"wacc"</definedName>
    <definedName name="HTML1_1" hidden="1">"[APU97.XLS]INTRA!$A$1:$B$93"</definedName>
    <definedName name="HTML1_10" hidden="1">""</definedName>
    <definedName name="HTML1_11" hidden="1">1</definedName>
    <definedName name="HTML1_12" hidden="1">"\\NT_ECON\InetPub\wwwroot\Fiscal\Impostos\CSIRADI.htm"</definedName>
    <definedName name="HTML1_2" hidden="1">1</definedName>
    <definedName name="HTML1_3" hidden="1">""</definedName>
    <definedName name="HTML1_4" hidden="1">""</definedName>
    <definedName name="HTML1_5" hidden="1">""</definedName>
    <definedName name="HTML1_6" hidden="1">-4146</definedName>
    <definedName name="HTML1_7" hidden="1">-4146</definedName>
    <definedName name="HTML1_8" hidden="1">"08/08/97"</definedName>
    <definedName name="HTML1_9" hidden="1">"MARCELO H. VIOLA CANDIDO"</definedName>
    <definedName name="HTML2_1" hidden="1">"[APU97.XLS]INTRA!$A$1:$B$92"</definedName>
    <definedName name="HTML2_10" hidden="1">""</definedName>
    <definedName name="HTML2_11" hidden="1">1</definedName>
    <definedName name="HTML2_12" hidden="1">"\\NT_ECON\InetPub\wwwroot\Fiscal\Impostos\CSIRADI.htm"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"08/08/97"</definedName>
    <definedName name="HTML2_9" hidden="1">""</definedName>
    <definedName name="HTML3_1" hidden="1">"[APU97.XLS]INTRA!$A$2:$B$92"</definedName>
    <definedName name="HTML3_10" hidden="1">""</definedName>
    <definedName name="HTML3_11" hidden="1">1</definedName>
    <definedName name="HTML3_12" hidden="1">"C:\Meus Documentos\IR1997\csiradi.htm"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"21/08/97"</definedName>
    <definedName name="HTML3_9" hidden="1">""</definedName>
    <definedName name="HTML4_1" hidden="1">"[APU97.XLS]INTRA!$A$1:$B$91"</definedName>
    <definedName name="HTML4_10" hidden="1">""</definedName>
    <definedName name="HTML4_11" hidden="1">1</definedName>
    <definedName name="HTML4_12" hidden="1">"\\NT_ECON\InetPub\wwwroot\Fiscal\Impostos\CSIRADI.htm"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"08/08/97"</definedName>
    <definedName name="HTML4_9" hidden="1">""</definedName>
    <definedName name="HTML5_1" hidden="1">"[APU97.XLS]INTRA!$D$2:$E$92"</definedName>
    <definedName name="HTML5_10" hidden="1">""</definedName>
    <definedName name="HTML5_11" hidden="1">1</definedName>
    <definedName name="HTML5_12" hidden="1">"C:\Meus Documentos\IR1997\csirinfo.htm"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"21/08/97"</definedName>
    <definedName name="HTML5_9" hidden="1">""</definedName>
    <definedName name="HTML6_1" hidden="1">"[APU97.XLS]INTRA!$G$2:$H$92"</definedName>
    <definedName name="HTML6_10" hidden="1">""</definedName>
    <definedName name="HTML6_11" hidden="1">1</definedName>
    <definedName name="HTML6_12" hidden="1">"C:\Meus Documentos\IR1997\csiritph.htm"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"21/08/97"</definedName>
    <definedName name="HTML6_9" hidden="1">""</definedName>
    <definedName name="HTML7_1" hidden="1">"[APU97.XLS]INTRA!$J$2:$K$92"</definedName>
    <definedName name="HTML7_10" hidden="1">""</definedName>
    <definedName name="HTML7_11" hidden="1">1</definedName>
    <definedName name="HTML7_12" hidden="1">"C:\Meus Documentos\IR1997\csircom.htm"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"21/08/97"</definedName>
    <definedName name="HTML7_9" hidden="1">""</definedName>
    <definedName name="HTML8_1" hidden="1">"[APU97.XLS]INTRA!$M$2:$N$92"</definedName>
    <definedName name="HTML8_10" hidden="1">""</definedName>
    <definedName name="HTML8_11" hidden="1">1</definedName>
    <definedName name="HTML8_12" hidden="1">"C:\Meus Documentos\IR1997\csiripp.htm"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"21/08/97"</definedName>
    <definedName name="HTML8_9" hidden="1">""</definedName>
    <definedName name="HTMLCount" hidden="1">8</definedName>
    <definedName name="hurz" hidden="1">{#N/A,#N/A,FALSE,"WOB_1.XLS";#N/A,#N/A,FALSE,"WOB_2.XLS";#N/A,#N/A,FALSE,"WOB_3.XLS";#N/A,#N/A,FALSE,"WOB_4.XLS";#N/A,#N/A,FALSE,"WOB_5.XLS"}</definedName>
    <definedName name="hurz2" hidden="1">{#N/A,#N/A,FALSE,"WOBE_DE.XLS";#N/A,#N/A,FALSE,"WOB_1.XLS";#N/A,#N/A,FALSE,"WOB_2.XLS";#N/A,#N/A,FALSE,"WOB_3.XLS";#N/A,#N/A,FALSE,"WOB_4.XLS";#N/A,#N/A,FALSE,"WOB_5.XLS"}</definedName>
    <definedName name="hurz3" hidden="1">{#N/A,#N/A,FALSE,"WOB_1.XLS";#N/A,#N/A,FALSE,"WOB_2.XLS";#N/A,#N/A,FALSE,"WOB_3.XLS";#N/A,#N/A,FALSE,"WOB_4.XLS";#N/A,#N/A,FALSE,"WOB_5.XLS"}</definedName>
    <definedName name="hurz4" hidden="1">{#N/A,#N/A,FALSE,"WOBE_DE.XLS";#N/A,#N/A,FALSE,"WOB_1.XLS";#N/A,#N/A,FALSE,"WOB_2.XLS";#N/A,#N/A,FALSE,"WOB_3.XLS";#N/A,#N/A,FALSE,"WOB_4.XLS";#N/A,#N/A,FALSE,"WOB_5.XLS"}</definedName>
    <definedName name="hurz5" hidden="1">{#N/A,#N/A,FALSE,"WOB_1.XLS";#N/A,#N/A,FALSE,"WOB_2.XLS";#N/A,#N/A,FALSE,"WOB_3.XLS";#N/A,#N/A,FALSE,"WOB_4.XLS";#N/A,#N/A,FALSE,"WOB_5.XLS"}</definedName>
    <definedName name="HYOI" hidden="1">{#N/A,#N/A,FALSE,"Aging Summary";#N/A,#N/A,FALSE,"Ratio Analysis";#N/A,#N/A,FALSE,"Test 120 Day Accts";#N/A,#N/A,FALSE,"Tickmarks"}</definedName>
    <definedName name="idiot" hidden="1">{#N/A,#N/A,FALSE,"Aging Summary";#N/A,#N/A,FALSE,"Ratio Analysis";#N/A,#N/A,FALSE,"Test 120 Day Accts";#N/A,#N/A,FALSE,"Tickmarks"}</definedName>
    <definedName name="IESC" hidden="1">{"capapetros",#N/A,FALSE,"capa petros";"RESPETROS",#N/A,FALSE,"RESULTADO";"REALIZ97PETROS",#N/A,FALSE,"RES97"}</definedName>
    <definedName name="iiiiiiiiiiiiiiiiiiiiiiiiiii" hidden="1">{#N/A,#N/A,FALSE,"Aging Summary";#N/A,#N/A,FALSE,"Ratio Analysis";#N/A,#N/A,FALSE,"Test 120 Day Accts";#N/A,#N/A,FALSE,"Tickmarks"}</definedName>
    <definedName name="IJHG" hidden="1">{#N/A,#N/A,FALSE,"IRENDA"}</definedName>
    <definedName name="ikju" hidden="1">{#N/A,#N/A,TRUE,"Dem_A1";#N/A,#N/A,TRUE,"Vend Rec_A2";#N/A,#N/A,TRUE,"Desc_A5";#N/A,#N/A,TRUE,"COMP_A6";#N/A,#N/A,TRUE,"DR00_A7";#N/A,#N/A,TRUE,"DR 99_A7";#N/A,#N/A,TRUE,"Desc_ A8";#N/A,#N/A,TRUE,"CASH EMPR_A9";#N/A,#N/A,TRUE,"CASH OBRA_A9";#N/A,#N/A,TRUE,"20Empr.";#N/A,#N/A,TRUE,"100%Jurid";#N/A,#N/A,TRUE,"22Empr.";#N/A,#N/A,TRUE,"23Empr.";#N/A,#N/A,TRUE,"IMOB EMPR OBRAS_A11"}</definedName>
    <definedName name="Imprimir" hidden="1">{#N/A,#N/A,FALSE,"LocSegm+ML";#N/A,#N/A,FALSE,"LocSegm";#N/A,#N/A,FALSE,"DiarSegmEA";#N/A,#N/A,FALSE,"DiarSegmEA+ML";#N/A,#N/A,FALSE,"DiarSegmEV";#N/A,#N/A,FALSE,"DiarSegmEV+ML";#N/A,#N/A,FALSE,"DiaLocSegm";#N/A,#N/A,FALSE,"RecBrSegm";#N/A,#N/A,FALSE,"RecBrMod";#N/A,#N/A,FALSE,"FormaRecSeg";#N/A,#N/A,FALSE,"MetaML";#N/A,#N/A,FALSE,"MixDiarML";#N/A,#N/A,FALSE,"LocML";#N/A,#N/A,FALSE,"DiaLocML";#N/A,#N/A,FALSE,"KmDiaML";#N/A,#N/A,FALSE,"FormaRecML";#N/A,#N/A,FALSE,"TarifML"}</definedName>
    <definedName name="indic" hidden="1">{"capapetros",#N/A,FALSE,"capa petros";"RESPETROS",#N/A,FALSE,"RESULTADO";"REALIZ97PETROS",#N/A,FALSE,"RES97"}</definedName>
    <definedName name="int_ext_sel" hidden="1">1</definedName>
    <definedName name="iop" hidden="1">{"capa",#N/A,FALSE,"capa";"RES",#N/A,FALSE,"RESULTADO";"REALIZ97",#N/A,FALSE,"RES97";"BAL",#N/A,FALSE,"BAL.PATRIM";"BALREALIZ",#N/A,FALSE,"BAL97"}</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PS" hidden="1">"IQ_EPS"</definedName>
    <definedName name="IQ_EST_EPS_SURPRISE" hidden="1">"c1635"</definedName>
    <definedName name="IQ_EXTRA_ACC_ITEMS_BR" hidden="1">"c412"</definedName>
    <definedName name="IQ_FH">100000</definedName>
    <definedName name="IQ_FQ">500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Y">1000</definedName>
    <definedName name="IQ_FY_DATE" hidden="1">"IQ_FY_DATE"</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_DATE" hidden="1">"IQ_LTM_DATE"</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"07/25/2022 12:52:38"</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PRICEDATETIME" hidden="1">"IQ_PRICEDATETIME"</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IQB_BOOKMARK_COUNT" hidden="1">5</definedName>
    <definedName name="IQB_BOOKMARK_LOCATION_0" hidden="1">#REF!</definedName>
    <definedName name="IQB_BOOKMARK_LOCATION_1" hidden="1">#REF!</definedName>
    <definedName name="IQB_BOOKMARK_LOCATION_2" hidden="1">#REF!</definedName>
    <definedName name="IQB_BOOKMARK_LOCATION_3" hidden="1">#REF!</definedName>
    <definedName name="IQB_BOOKMARK_LOCATION_4" hidden="1">#REF!</definedName>
    <definedName name="iugoiñ" hidden="1">{#N/A,#N/A,FALSE,"Aging Summary";#N/A,#N/A,FALSE,"Ratio Analysis";#N/A,#N/A,FALSE,"Test 120 Day Accts";#N/A,#N/A,FALSE,"Tickmarks"}</definedName>
    <definedName name="ivor"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ivor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james"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jhjhj"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jhjk" hidden="1">{#N/A,#N/A,FALSE,"PIS"}</definedName>
    <definedName name="JHUIO" hidden="1">{#N/A,#N/A,FALSE,"Aging Summary";#N/A,#N/A,FALSE,"Ratio Analysis";#N/A,#N/A,FALSE,"Test 120 Day Accts";#N/A,#N/A,FALSE,"Tickmarks"}</definedName>
    <definedName name="jj" hidden="1">{#N/A,#N/A,FALSE,"Aging Summary";#N/A,#N/A,FALSE,"Ratio Analysis";#N/A,#N/A,FALSE,"Test 120 Day Accts";#N/A,#N/A,FALSE,"Tickmarks"}</definedName>
    <definedName name="jjj" hidden="1">{#N/A,#N/A,FALSE,"RecBrMod";#N/A,#N/A,FALSE,"FormaRec";#N/A,#N/A,FALSE,"FormaRecSeg";#N/A,#N/A,FALSE,"RecBrSegm";#N/A,#N/A,FALSE,"Frota";#N/A,#N/A,FALSE,"FrAlug";#N/A,#N/A,FALSE,"Util";#N/A,#N/A,FALSE,"VrFrOp";#N/A,#N/A,FALSE,"MetaAten";#N/A,#N/A,FALSE,"ObjVen";#N/A,#N/A,FALSE,"DiarEA";#N/A,#N/A,FALSE,"DiarSegmEA+AM";#N/A,#N/A,FALSE,"DiarSegmEA";#N/A,#N/A,FALSE,"MixDiar";#N/A,#N/A,FALSE,"Loc";#N/A,#N/A,FALSE,"LocSegm+AM";#N/A,#N/A,FALSE,"LocSegm";#N/A,#N/A,FALSE,"DiaLoc";#N/A,#N/A,FALSE,"DiaLocSegm";#N/A,#N/A,FALSE,"KmLoc";#N/A,#N/A,FALSE,"KmDia";#N/A,#N/A,FALSE,"DiarVE";#N/A,#N/A,FALSE,"DiarSegmEV+AM";#N/A,#N/A,FALSE,"DiarSegmEV";#N/A,#N/A,FALSE,"RecBr";#N/A,#N/A,FALSE,"RecLPV";#N/A,#N/A,FALSE,"CCred";#N/A,#N/A,FALSE,"EvCCred";#N/A,#N/A,FALSE,"DescProm";#N/A,#N/A,FALSE,"DescPrSeg";#N/A,#N/A,FALSE,"TarifLL";#N/A,#N/A,FALSE,"ClienLL";#N/A,#N/A,FALSE,"ClienFV";#N/A,#N/A,FALSE,"Indic99";#N/A,#N/A,FALSE,"Indic98"}</definedName>
    <definedName name="jjjj" hidden="1">{#N/A,#N/A,FALSE,"Aging Summary";#N/A,#N/A,FALSE,"Ratio Analysis";#N/A,#N/A,FALSE,"Test 120 Day Accts";#N/A,#N/A,FALSE,"Tickmarks"}</definedName>
    <definedName name="jjjk" hidden="1">{#N/A,#N/A,FALSE,"Aging Summary";#N/A,#N/A,FALSE,"Ratio Analysis";#N/A,#N/A,FALSE,"Test 120 Day Accts";#N/A,#N/A,FALSE,"Tickmarks"}</definedName>
    <definedName name="jjk" hidden="1">{#N/A,#N/A,FALSE,"Aging Summary";#N/A,#N/A,FALSE,"Ratio Analysis";#N/A,#N/A,FALSE,"Test 120 Day Accts";#N/A,#N/A,FALSE,"Tickmarks"}</definedName>
    <definedName name="JNPRpublish" hidden="1">{#N/A,#N/A,FALSE,"Index";"Stmts_Qtrs",#N/A,FALSE,"Summary";"Stmts_24 mo",#N/A,FALSE,"Summary";"Summary_24",#N/A,FALSE,"Revenue";"Month_24",#N/A,FALSE,"Engineering";"Month_24",#N/A,FALSE,"Marketing";"Month_24",#N/A,FALSE,"G &amp; A";"Month_24",#N/A,FALSE,"Manufacturing"}</definedName>
    <definedName name="ju" hidden="1">{"ATPASRESANALITICO",#N/A,FALSE,"C V M"}</definedName>
    <definedName name="juju" hidden="1">{#N/A,#N/A,FALSE,"Aging Summary";#N/A,#N/A,FALSE,"Ratio Analysis";#N/A,#N/A,FALSE,"Test 120 Day Accts";#N/A,#N/A,FALSE,"Tickmarks"}</definedName>
    <definedName name="julin" hidden="1">{#N/A,#N/A,FALSE,"Aging Summary";#N/A,#N/A,FALSE,"Ratio Analysis";#N/A,#N/A,FALSE,"Test 120 Day Accts";#N/A,#N/A,FALSE,"Tickmarks"}</definedName>
    <definedName name="K2_WBEVMODE" hidden="1">0</definedName>
    <definedName name="kaka" hidden="1">{"DEMCONTCA",#N/A,FALSE,"C V M"}</definedName>
    <definedName name="KEI" hidden="1">#REF!</definedName>
    <definedName name="Kennzahl" hidden="1">{#N/A,#N/A,FALSE,"WOB_1.XLS";#N/A,#N/A,FALSE,"WOB_2.XLS";#N/A,#N/A,FALSE,"WOB_3.XLS";#N/A,#N/A,FALSE,"WOB_4.XLS";#N/A,#N/A,FALSE,"WOB_5.XLS"}</definedName>
    <definedName name="kj" hidden="1">{#N/A,#N/A,FALSE,"Aging Summary";#N/A,#N/A,FALSE,"Ratio Analysis";#N/A,#N/A,FALSE,"Test 120 Day Accts";#N/A,#N/A,FALSE,"Tickmarks"}</definedName>
    <definedName name="KJKJ" hidden="1">#REF!</definedName>
    <definedName name="kjnil" hidden="1">{#N/A,#N/A,TRUE,"RECEITA ESTAC";#N/A,#N/A,TRUE,"CASH ESTAC";#N/A,#N/A,TRUE,"11Est";#N/A,#N/A,TRUE,"13Est";#N/A,#N/A,TRUE,"14Est";#N/A,#N/A,TRUE,"16Est";#N/A,#N/A,TRUE,"IMOB ESTAC_A4"}</definedName>
    <definedName name="KKK" hidden="1">{"DEMCONTCA",#N/A,FALSE,"C V M"}</definedName>
    <definedName name="kkkkk" hidden="1">{"TotalGeralDespesasPorArea",#N/A,FALSE,"VinculosAccessEfetivo"}</definedName>
    <definedName name="klhjkj" hidden="1">{"capa",#N/A,FALSE,"capa";"RES",#N/A,FALSE,"RESULTADO";"REALIZ97",#N/A,FALSE,"RES97";"BAL",#N/A,FALSE,"BAL.PATRIM";"BALREALIZ",#N/A,FALSE,"BAL97"}</definedName>
    <definedName name="klklklkl" hidden="1">{#N/A,#N/A,FALSE,"Index";"Stmts_Qtrs",#N/A,FALSE,"Summary";"Stmts_24 mo",#N/A,FALSE,"Summary";"Summary_24",#N/A,FALSE,"Revenue";"Month_24",#N/A,FALSE,"Engineering";"Month_24",#N/A,FALSE,"Marketing";"Month_24",#N/A,FALSE,"G &amp; A";"Month_24",#N/A,FALSE,"Manufacturing"}</definedName>
    <definedName name="limcount" hidden="1">3</definedName>
    <definedName name="ListOffset" hidden="1">1</definedName>
    <definedName name="lkj" hidden="1">{#N/A,#N/A,FALSE,"Aging Summary";#N/A,#N/A,FALSE,"Ratio Analysis";#N/A,#N/A,FALSE,"Test 120 Day Accts";#N/A,#N/A,FALSE,"Tickmarks"}</definedName>
    <definedName name="lkoi" hidden="1">#REF!</definedName>
    <definedName name="ll"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llkh" hidden="1">{#N/A,#N/A,FALSE,"Aging Summary";#N/A,#N/A,FALSE,"Ratio Analysis";#N/A,#N/A,FALSE,"Test 120 Day Accts";#N/A,#N/A,FALSE,"Tickmarks"}</definedName>
    <definedName name="lll" hidden="1">{"Fecha_Novembro",#N/A,FALSE,"FECHAMENTO-2002 ";"Defer_Novembro",#N/A,FALSE,"DIFERIDO";"Pis_Novembro",#N/A,FALSE,"PIS COFINS";"Iss_Novembro",#N/A,FALSE,"ISS"}</definedName>
    <definedName name="lmk" hidden="1">{#N/A,#N/A,FALSE,"Aging Summary";#N/A,#N/A,FALSE,"Ratio Analysis";#N/A,#N/A,FALSE,"Test 120 Day Accts";#N/A,#N/A,FALSE,"Tickmarks"}</definedName>
    <definedName name="ln" hidden="1">{#N/A,#N/A,FALSE,"Aging Summary";#N/A,#N/A,FALSE,"Ratio Analysis";#N/A,#N/A,FALSE,"Test 120 Day Accts";#N/A,#N/A,FALSE,"Tickmarks"}</definedName>
    <definedName name="loi" hidden="1">{#N/A,#N/A,FALSE,"Aging Summary";#N/A,#N/A,FALSE,"Ratio Analysis";#N/A,#N/A,FALSE,"Test 120 Day Accts";#N/A,#N/A,FALSE,"Tickmarks"}</definedName>
    <definedName name="LOIIII" hidden="1">{#N/A,#N/A,FALSE,"Aging Summary";#N/A,#N/A,FALSE,"Ratio Analysis";#N/A,#N/A,FALSE,"Test 120 Day Accts";#N/A,#N/A,FALSE,"Tickmarks"}</definedName>
    <definedName name="loip" hidden="1">{#N/A,#N/A,FALSE,"Aging Summary";#N/A,#N/A,FALSE,"Ratio Analysis";#N/A,#N/A,FALSE,"Test 120 Day Accts";#N/A,#N/A,FALSE,"Tickmarks"}</definedName>
    <definedName name="lucro03">#REF!</definedName>
    <definedName name="lucro04">#REF!</definedName>
    <definedName name="lucro05">#REF!</definedName>
    <definedName name="m" hidden="1">{#N/A,#N/A,FALSE,"RecBrMod";#N/A,#N/A,FALSE,"FormaRec";#N/A,#N/A,FALSE,"FormaRecSeg";#N/A,#N/A,FALSE,"RecBrSegm";#N/A,#N/A,FALSE,"Frota";#N/A,#N/A,FALSE,"FrAlug";#N/A,#N/A,FALSE,"Util";#N/A,#N/A,FALSE,"VrFrOp";#N/A,#N/A,FALSE,"MetaAten";#N/A,#N/A,FALSE,"ObjVen";#N/A,#N/A,FALSE,"DiarEA";#N/A,#N/A,FALSE,"DiarSegmEA+AM";#N/A,#N/A,FALSE,"DiarSegmEA";#N/A,#N/A,FALSE,"MixDiar";#N/A,#N/A,FALSE,"Loc";#N/A,#N/A,FALSE,"LocSegm+AM";#N/A,#N/A,FALSE,"LocSegm";#N/A,#N/A,FALSE,"DiaLoc";#N/A,#N/A,FALSE,"DiaLocSegm";#N/A,#N/A,FALSE,"KmLoc";#N/A,#N/A,FALSE,"KmDia";#N/A,#N/A,FALSE,"DiarVE";#N/A,#N/A,FALSE,"DiarSegmEV+AM";#N/A,#N/A,FALSE,"DiarSegmEV";#N/A,#N/A,FALSE,"RecBr";#N/A,#N/A,FALSE,"RecLPV";#N/A,#N/A,FALSE,"CCred";#N/A,#N/A,FALSE,"EvCCred";#N/A,#N/A,FALSE,"DescProm";#N/A,#N/A,FALSE,"DescPrSeg";#N/A,#N/A,FALSE,"TarifLL";#N/A,#N/A,FALSE,"ClienLL";#N/A,#N/A,FALSE,"ClienFV";#N/A,#N/A,FALSE,"Indic99";#N/A,#N/A,FALSE,"Indic98"}</definedName>
    <definedName name="manrique" hidden="1">{#N/A,#N/A,FALSE,"Aging Summary";#N/A,#N/A,FALSE,"Ratio Analysis";#N/A,#N/A,FALSE,"Test 120 Day Accts";#N/A,#N/A,FALSE,"Tickmarks"}</definedName>
    <definedName name="Maria" hidden="1">{#N/A,#N/A,FALSE,"Aging Summary";#N/A,#N/A,FALSE,"Ratio Analysis";#N/A,#N/A,FALSE,"Test 120 Day Accts";#N/A,#N/A,FALSE,"Tickmarks"}</definedName>
    <definedName name="Marketing" hidden="1">{#N/A,#N/A,FALSE,"V-R-gr";#N/A,#N/A,FALSE,"Veículos -gr"}</definedName>
    <definedName name="mauro" hidden="1">{#N/A,#N/A,FALSE,"RecBrMod";#N/A,#N/A,FALSE,"FormaRec";#N/A,#N/A,FALSE,"FormaRecSeg";#N/A,#N/A,FALSE,"RecBrSegm";#N/A,#N/A,FALSE,"Frota";#N/A,#N/A,FALSE,"FrAlug";#N/A,#N/A,FALSE,"Util";#N/A,#N/A,FALSE,"VrFrOp";#N/A,#N/A,FALSE,"MetaAten";#N/A,#N/A,FALSE,"ObjVen";#N/A,#N/A,FALSE,"DiarEA";#N/A,#N/A,FALSE,"DiarSegmEA+AM";#N/A,#N/A,FALSE,"DiarSegmEA";#N/A,#N/A,FALSE,"MixDiar";#N/A,#N/A,FALSE,"Loc";#N/A,#N/A,FALSE,"LocSegm+AM";#N/A,#N/A,FALSE,"LocSegm";#N/A,#N/A,FALSE,"DiaLoc";#N/A,#N/A,FALSE,"DiaLocSegm";#N/A,#N/A,FALSE,"KmLoc";#N/A,#N/A,FALSE,"KmDia";#N/A,#N/A,FALSE,"DiarVE";#N/A,#N/A,FALSE,"DiarSegmEV+AM";#N/A,#N/A,FALSE,"DiarSegmEV";#N/A,#N/A,FALSE,"RecBr";#N/A,#N/A,FALSE,"RecLPV";#N/A,#N/A,FALSE,"CCred";#N/A,#N/A,FALSE,"EvCCred";#N/A,#N/A,FALSE,"DescProm";#N/A,#N/A,FALSE,"DescPrSeg";#N/A,#N/A,FALSE,"TarifLL";#N/A,#N/A,FALSE,"ClienLL";#N/A,#N/A,FALSE,"ClienFV";#N/A,#N/A,FALSE,"Indic99";#N/A,#N/A,FALSE,"Indic98"}</definedName>
    <definedName name="MercadoInterno">#REF!</definedName>
    <definedName name="MgBruta">#REF!</definedName>
    <definedName name="MgEbitda">#REF!</definedName>
    <definedName name="mike"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mm" hidden="1">{#N/A,#N/A,FALSE,"IRENDA"}</definedName>
    <definedName name="Mobiliario" hidden="1">{#N/A,#N/A,FALSE,"Aging Summary";#N/A,#N/A,FALSE,"Ratio Analysis";#N/A,#N/A,FALSE,"Test 120 Day Accts";#N/A,#N/A,FALSE,"Tickmarks"}</definedName>
    <definedName name="movi" hidden="1">{#N/A,#N/A,FALSE,"Aging Summary";#N/A,#N/A,FALSE,"Ratio Analysis";#N/A,#N/A,FALSE,"Test 120 Day Accts";#N/A,#N/A,FALSE,"Tickmarks"}</definedName>
    <definedName name="multSecurities_L">#REF!</definedName>
    <definedName name="n" hidden="1">{TRUE,TRUE,-0.5,-14.75,483,275.25,FALSE,FALSE,TRUE,TRUE,0,3,#N/A,6,#N/A,7,16.7647058823529,1,FALSE,FALSE,3,TRUE,1,FALSE,100,"Swvu.Profit_Loss.","ACwvu.Profit_Loss.",#N/A,FALSE,FALSE,0,0,0,0,1,"","",TRUE,TRUE,FALSE,FALSE,1,#N/A,1,1,"=R5C2:R75C20",FALSE,#N/A,#N/A,FALSE,FALSE,FALSE,39,#N/A,#N/A,FALSE,FALSE,TRUE,TRUE,TRUE}</definedName>
    <definedName name="Nacoes">#REF!</definedName>
    <definedName name="name" hidden="1">{#N/A,#N/A,FALSE,"IRENDA"}</definedName>
    <definedName name="NEW" hidden="1">{#N/A,#N/A,FALSE,"Aging Summary";#N/A,#N/A,FALSE,"Ratio Analysis";#N/A,#N/A,FALSE,"Test 120 Day Accts";#N/A,#N/A,FALSE,"Tickmarks"}</definedName>
    <definedName name="nj" hidden="1">{#N/A,#N/A,FALSE,"Aging Summary";#N/A,#N/A,FALSE,"Ratio Analysis";#N/A,#N/A,FALSE,"Test 120 Day Accts";#N/A,#N/A,FALSE,"Tickmarks"}</definedName>
    <definedName name="njkn" hidden="1">{"VUSS",#N/A,TRUE,"VUS$";"VIPC",#N/A,TRUE,"VIPC";"RUSS",#N/A,TRUE,"RUS$";"RIPC",#N/A,TRUE,"RIPC";"RIPCM2",#N/A,TRUE,"R IPC-M2";"RENT",#N/A,TRUE,"RENT";"COND",#N/A,TRUE,"COND";"LFESC",#N/A,TRUE,"LFESC";"SHOPP",#N/A,TRUE,"SHOPP";"PESS",#N/A,TRUE,"PESS";"LFP",#N/A,TRUE,"LFP"}</definedName>
    <definedName name="ñljk" hidden="1">{#N/A,#N/A,FALSE,"Aging Summary";#N/A,#N/A,FALSE,"Ratio Analysis";#N/A,#N/A,FALSE,"Test 120 Day Accts";#N/A,#N/A,FALSE,"Tickmarks"}</definedName>
    <definedName name="nmn" hidden="1">{#N/A,#N/A,FALSE,"Aging Summary";#N/A,#N/A,FALSE,"Ratio Analysis";#N/A,#N/A,FALSE,"Test 120 Day Accts";#N/A,#N/A,FALSE,"Tickmarks"}</definedName>
    <definedName name="nmnmm" hidden="1">{#N/A,#N/A,FALSE,"Index";"Stmts_Qtrs",#N/A,FALSE,"Summary";"Stmts_24 mo",#N/A,FALSE,"Summary";"Summary_24",#N/A,FALSE,"Revenue";"Month_24",#N/A,FALSE,"Engineering";"Month_24",#N/A,FALSE,"Marketing";"Month_24",#N/A,FALSE,"G &amp; A";"Month_24",#N/A,FALSE,"Manufacturing"}</definedName>
    <definedName name="NN" hidden="1">{#N/A,#N/A,FALSE,"Aging Summary";#N/A,#N/A,FALSE,"Ratio Analysis";#N/A,#N/A,FALSE,"Test 120 Day Accts";#N/A,#N/A,FALSE,"Tickmarks"}</definedName>
    <definedName name="ññ" hidden="1">{#N/A,#N/A,FALSE,"Aging Summary";#N/A,#N/A,FALSE,"Ratio Analysis";#N/A,#N/A,FALSE,"Test 120 Day Accts";#N/A,#N/A,FALSE,"Tickmarks"}</definedName>
    <definedName name="ÑÑÑ" hidden="1">{#N/A,#N/A,FALSE,"Aging Summary";#N/A,#N/A,FALSE,"Ratio Analysis";#N/A,#N/A,FALSE,"Test 120 Day Accts";#N/A,#N/A,FALSE,"Tickmarks"}</definedName>
    <definedName name="nora" hidden="1">{#N/A,#N/A,FALSE,"RecBrMod";#N/A,#N/A,FALSE,"FormaRec";#N/A,#N/A,FALSE,"FormaRecSeg";#N/A,#N/A,FALSE,"RecBrSegm";#N/A,#N/A,FALSE,"Frota";#N/A,#N/A,FALSE,"FrAlug";#N/A,#N/A,FALSE,"Util";#N/A,#N/A,FALSE,"VrFrOp";#N/A,#N/A,FALSE,"MetaAten";#N/A,#N/A,FALSE,"ObjVen";#N/A,#N/A,FALSE,"DiarEA";#N/A,#N/A,FALSE,"DiarSegmEA+AM";#N/A,#N/A,FALSE,"DiarSegmEA";#N/A,#N/A,FALSE,"MixDiar";#N/A,#N/A,FALSE,"Loc";#N/A,#N/A,FALSE,"LocSegm+AM";#N/A,#N/A,FALSE,"LocSegm";#N/A,#N/A,FALSE,"DiaLoc";#N/A,#N/A,FALSE,"DiaLocSegm";#N/A,#N/A,FALSE,"KmLoc";#N/A,#N/A,FALSE,"KmDia";#N/A,#N/A,FALSE,"DiarVE";#N/A,#N/A,FALSE,"DiarSegmEV+AM";#N/A,#N/A,FALSE,"DiarSegmEV";#N/A,#N/A,FALSE,"RecBr";#N/A,#N/A,FALSE,"RecLPV";#N/A,#N/A,FALSE,"CCred";#N/A,#N/A,FALSE,"EvCCred";#N/A,#N/A,FALSE,"DescProm";#N/A,#N/A,FALSE,"DescPrSeg";#N/A,#N/A,FALSE,"TarifLL";#N/A,#N/A,FALSE,"ClienLL";#N/A,#N/A,FALSE,"ClienFV";#N/A,#N/A,FALSE,"Indic99";#N/A,#N/A,FALSE,"Indic98"}</definedName>
    <definedName name="norm"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nova" hidden="1">{#N/A,#N/A,FALSE,"LocSegm+ML";#N/A,#N/A,FALSE,"LocSegm";#N/A,#N/A,FALSE,"DiarSegmEA";#N/A,#N/A,FALSE,"DiarSegmEA+ML";#N/A,#N/A,FALSE,"DiarSegmEV";#N/A,#N/A,FALSE,"DiarSegmEV+ML";#N/A,#N/A,FALSE,"DiaLocSegm";#N/A,#N/A,FALSE,"RecBrSegm";#N/A,#N/A,FALSE,"RecBrMod";#N/A,#N/A,FALSE,"FormaRecSeg";#N/A,#N/A,FALSE,"MetaPJ+ML";#N/A,#N/A,FALSE,"MetaPJ";#N/A,#N/A,FALSE,"DAtendPJ";#N/A,#N/A,FALSE,"DiarPJ";#N/A,#N/A,FALSE,"LocPJ+ML";#N/A,#N/A,FALSE,"DiaLocPJ";#N/A,#N/A,FALSE,"KmDiaPJ";#N/A,#N/A,FALSE,"TarifPJ";#N/A,#N/A,FALSE,"ClienPJ AC";#N/A,#N/A,FALSE,"MixDiarPJ";#N/A,#N/A,FALSE,"FormaRecPJ";#N/A,#N/A,FALSE,"FormaRecPJ+ML";#N/A,#N/A,FALSE,"RecDiaPJ";#N/A,#N/A,FALSE,"DescPrPJ"}</definedName>
    <definedName name="ñp" hidden="1">{#N/A,#N/A,FALSE,"Aging Summary";#N/A,#N/A,FALSE,"Ratio Analysis";#N/A,#N/A,FALSE,"Test 120 Day Accts";#N/A,#N/A,FALSE,"Tickmarks"}</definedName>
    <definedName name="ñpi" hidden="1">{#N/A,#N/A,FALSE,"Aging Summary";#N/A,#N/A,FALSE,"Ratio Analysis";#N/A,#N/A,FALSE,"Test 120 Day Accts";#N/A,#N/A,FALSE,"Tickmarks"}</definedName>
    <definedName name="o" hidden="1">{#N/A,#N/A,FALSE,"LocSegm+ML";#N/A,#N/A,FALSE,"LocSegm";#N/A,#N/A,FALSE,"DiarSegmEA";#N/A,#N/A,FALSE,"DiarSegmEA+ML";#N/A,#N/A,FALSE,"DiarSegmEV";#N/A,#N/A,FALSE,"DiarSegmEV+ML";#N/A,#N/A,FALSE,"DiaLocSegm";#N/A,#N/A,FALSE,"RecBrSegm";#N/A,#N/A,FALSE,"RecBrMod";#N/A,#N/A,FALSE,"FormaRecSeg";#N/A,#N/A,FALSE,"MetaPJ+ML";#N/A,#N/A,FALSE,"MetaPJ";#N/A,#N/A,FALSE,"DAtendPJ";#N/A,#N/A,FALSE,"DiarPJ";#N/A,#N/A,FALSE,"LocPJ+ML";#N/A,#N/A,FALSE,"DiaLocPJ";#N/A,#N/A,FALSE,"KmDiaPJ";#N/A,#N/A,FALSE,"TarifPJ";#N/A,#N/A,FALSE,"ClienPJ AC";#N/A,#N/A,FALSE,"MixDiarPJ";#N/A,#N/A,FALSE,"FormaRecPJ";#N/A,#N/A,FALSE,"FormaRecPJ+ML";#N/A,#N/A,FALSE,"RecDiaPJ";#N/A,#N/A,FALSE,"DescPrPJ"}</definedName>
    <definedName name="oi" hidden="1">{#N/A,#N/A,FALSE,"Aging Summary";#N/A,#N/A,FALSE,"Ratio Analysis";#N/A,#N/A,FALSE,"Test 120 Day Accts";#N/A,#N/A,FALSE,"Tickmarks"}</definedName>
    <definedName name="oip" hidden="1">{#N/A,#N/A,FALSE,"Aging Summary";#N/A,#N/A,FALSE,"Ratio Analysis";#N/A,#N/A,FALSE,"Test 120 Day Accts";#N/A,#N/A,FALSE,"Tickmarks"}</definedName>
    <definedName name="ol" hidden="1">{"capa",#N/A,FALSE,"capa";"RES",#N/A,FALSE,"RESULTADO";"REALIZ97",#N/A,FALSE,"RES97";"BAL",#N/A,FALSE,"BAL.PATRIM";"BALREALIZ",#N/A,FALSE,"BAL97"}</definedName>
    <definedName name="ORÇADAS" hidden="1">{#N/A,#N/A,TRUE,"CASH COND_B1";#N/A,#N/A,TRUE,"COMP DESP COND_B2_B3";#N/A,#N/A,TRUE,"11";#N/A,#N/A,TRUE,"12";#N/A,#N/A,TRUE,"13";#N/A,#N/A,TRUE,"14";#N/A,#N/A,TRUE,"15";#N/A,#N/A,TRUE,"16";#N/A,#N/A,TRUE,"19";#N/A,#N/A,TRUE,"21";#N/A,#N/A,TRUE,"22";#N/A,#N/A,TRUE,"23";#N/A,#N/A,TRUE,"24";#N/A,#N/A,TRUE,"27";#N/A,#N/A,TRUE,"IMOB COND_B5";#N/A,#N/A,TRUE,"B6";#N/A,#N/A,TRUE,"B7";#N/A,#N/A,TRUE,"QUADRO PESSOAL";#N/A,#N/A,TRUE,"ORG."}</definedName>
    <definedName name="outor" hidden="1">{#N/A,#N/A,FALSE,"Aging Summary";#N/A,#N/A,FALSE,"Ratio Analysis";#N/A,#N/A,FALSE,"Test 120 Day Accts";#N/A,#N/A,FALSE,"Tickmarks"}</definedName>
    <definedName name="P_L" hidden="1">{"Profit_Loss",#N/A,FALSE,"Input Sheet"}</definedName>
    <definedName name="pa" hidden="1">{"Profit_Loss",#N/A,FALSE,"Input Sheet";"Asset_Liability",#N/A,FALSE,"Input Sheet"}</definedName>
    <definedName name="pati" hidden="1">{"Asset_Liability",#N/A,FALSE,"Input Sheet"}</definedName>
    <definedName name="patricia" hidden="1">{"Profit_Loss",#N/A,FALSE,"Input Sheet"}</definedName>
    <definedName name="Paty" hidden="1">{"Asset_Liability",#N/A,FALSE,"Input Sheet"}</definedName>
    <definedName name="per" hidden="1">{#N/A,#N/A,FALSE,"Aging Summary";#N/A,#N/A,FALSE,"Ratio Analysis";#N/A,#N/A,FALSE,"Test 120 Day Accts";#N/A,#N/A,FALSE,"Tickmarks"}</definedName>
    <definedName name="PJ" hidden="1">{#N/A,#N/A,FALSE,"LocSegm+ML";#N/A,#N/A,FALSE,"LocSegm";#N/A,#N/A,FALSE,"DiarSegmEA";#N/A,#N/A,FALSE,"DiarSegmEA+ML";#N/A,#N/A,FALSE,"DiarSegmEV";#N/A,#N/A,FALSE,"DiarSegmEV+ML";#N/A,#N/A,FALSE,"DiaLocSegm";#N/A,#N/A,FALSE,"RecBrSegm";#N/A,#N/A,FALSE,"RecBrMod";#N/A,#N/A,FALSE,"FormaRecSeg";#N/A,#N/A,FALSE,"MetaPJ+ML";#N/A,#N/A,FALSE,"MetaPJ";#N/A,#N/A,FALSE,"DAtendPJ";#N/A,#N/A,FALSE,"DiarPJ";#N/A,#N/A,FALSE,"LocPJ+ML";#N/A,#N/A,FALSE,"DiaLocPJ";#N/A,#N/A,FALSE,"KmDiaPJ";#N/A,#N/A,FALSE,"TarifPJ";#N/A,#N/A,FALSE,"ClienPJ AC";#N/A,#N/A,FALSE,"MixDiarPJ";#N/A,#N/A,FALSE,"FormaRecPJ";#N/A,#N/A,FALSE,"FormaRecPJ+ML";#N/A,#N/A,FALSE,"RecDiaPJ";#N/A,#N/A,FALSE,"DescPrPJ"}</definedName>
    <definedName name="planilha" hidden="1">{#N/A,#N/A,FALSE,"Aging Summary";#N/A,#N/A,FALSE,"Ratio Analysis";#N/A,#N/A,FALSE,"Test 120 Day Accts";#N/A,#N/A,FALSE,"Tickmarks"}</definedName>
    <definedName name="plo" hidden="1">{"capapetros",#N/A,FALSE,"capa petros";"RESPETROS",#N/A,FALSE,"RESULTADO";"REALIZ97PETROS",#N/A,FALSE,"RES97"}</definedName>
    <definedName name="PLx" hidden="1">{"Profit_Loss",#N/A,FALSE,"Input Sheet";"Asset_Liability",#N/A,FALSE,"Input Sheet"}</definedName>
    <definedName name="poi" hidden="1">{"capapetros",#N/A,FALSE,"capa petros";"RESPETROS",#N/A,FALSE,"RESULTADO";"REALIZ97PETROS",#N/A,FALSE,"RES97"}</definedName>
    <definedName name="poiu" hidden="1">{#N/A,#N/A,TRUE,"CASH COND_B1";#N/A,#N/A,TRUE,"COMP DESP COND_B2_B3";#N/A,#N/A,TRUE,"11";#N/A,#N/A,TRUE,"12";#N/A,#N/A,TRUE,"13";#N/A,#N/A,TRUE,"14";#N/A,#N/A,TRUE,"15";#N/A,#N/A,TRUE,"16";#N/A,#N/A,TRUE,"19";#N/A,#N/A,TRUE,"21";#N/A,#N/A,TRUE,"22";#N/A,#N/A,TRUE,"23";#N/A,#N/A,TRUE,"24";#N/A,#N/A,TRUE,"27";#N/A,#N/A,TRUE,"IMOB COND_B5";#N/A,#N/A,TRUE,"B6";#N/A,#N/A,TRUE,"B7";#N/A,#N/A,TRUE,"QUADRO PESSOAL";#N/A,#N/A,TRUE,"ORG."}</definedName>
    <definedName name="poju" hidden="1">{#N/A,#N/A,FALSE,"Aging Summary";#N/A,#N/A,FALSE,"Ratio Analysis";#N/A,#N/A,FALSE,"Test 120 Day Accts";#N/A,#N/A,FALSE,"Tickmarks"}</definedName>
    <definedName name="PPP" hidden="1">{#N/A,#N/A,FALSE,"CSOCIAL"}</definedName>
    <definedName name="ppppppppppppp" hidden="1">{#N/A,#N/A,FALSE,"Aging Summary";#N/A,#N/A,FALSE,"Ratio Analysis";#N/A,#N/A,FALSE,"Test 120 Day Accts";#N/A,#N/A,FALSE,"Tickmarks"}</definedName>
    <definedName name="prtu" hidden="1">{#N/A,#N/A,FALSE,"Aging Summary";#N/A,#N/A,FALSE,"Ratio Analysis";#N/A,#N/A,FALSE,"Test 120 Day Accts";#N/A,#N/A,FALSE,"Tickmarks"}</definedName>
    <definedName name="prueba" hidden="1">{#N/A,#N/A,FALSE,"Aging Summary";#N/A,#N/A,FALSE,"Ratio Analysis";#N/A,#N/A,FALSE,"Test 120 Day Accts";#N/A,#N/A,FALSE,"Tickmarks"}</definedName>
    <definedName name="qely" hidden="1">{#N/A,#N/A,FALSE,"Aging Summary";#N/A,#N/A,FALSE,"Ratio Analysis";#N/A,#N/A,FALSE,"Test 120 Day Accts";#N/A,#N/A,FALSE,"Tickmarks"}</definedName>
    <definedName name="qq" hidden="1">{#N/A,#N/A,FALSE,"WOB_1.XLS";#N/A,#N/A,FALSE,"WOB_2.XLS";#N/A,#N/A,FALSE,"WOB_3.XLS";#N/A,#N/A,FALSE,"WOB_4.XLS";#N/A,#N/A,FALSE,"WOB_5.XLS"}</definedName>
    <definedName name="quelu" hidden="1">{#N/A,#N/A,FALSE,"Aging Summary";#N/A,#N/A,FALSE,"Ratio Analysis";#N/A,#N/A,FALSE,"Test 120 Day Accts";#N/A,#N/A,FALSE,"Tickmarks"}</definedName>
    <definedName name="Rat_Desp" hidden="1">{#N/A,#N/A,TRUE,"CASH COND_B1";#N/A,#N/A,TRUE,"COMP DESP COND_B2_B3";#N/A,#N/A,TRUE,"11";#N/A,#N/A,TRUE,"12";#N/A,#N/A,TRUE,"13";#N/A,#N/A,TRUE,"14";#N/A,#N/A,TRUE,"15";#N/A,#N/A,TRUE,"16";#N/A,#N/A,TRUE,"19";#N/A,#N/A,TRUE,"21";#N/A,#N/A,TRUE,"22";#N/A,#N/A,TRUE,"23";#N/A,#N/A,TRUE,"24";#N/A,#N/A,TRUE,"27";#N/A,#N/A,TRUE,"IMOB COND_B5";#N/A,#N/A,TRUE,"B6";#N/A,#N/A,TRUE,"B7";#N/A,#N/A,TRUE,"QUADRO PESSOAL";#N/A,#N/A,TRUE,"ORG."}</definedName>
    <definedName name="reajuste" hidden="1">{#N/A,#N/A,FALSE,"Aging Summary";#N/A,#N/A,FALSE,"Ratio Analysis";#N/A,#N/A,FALSE,"Test 120 Day Accts";#N/A,#N/A,FALSE,"Tickmarks"}</definedName>
    <definedName name="relevantes" hidden="1">{"capa",#N/A,FALSE,"capa";"RES",#N/A,FALSE,"RESULTADO";"REALIZ97",#N/A,FALSE,"RES97";"BAL",#N/A,FALSE,"BAL.PATRIM";"BALREALIZ",#N/A,FALSE,"BAL97"}</definedName>
    <definedName name="Resumo" hidden="1">{#N/A,#N/A,FALSE,"Index";"Stmts_Qtrs",#N/A,FALSE,"Summary";"Stmts_24 mo",#N/A,FALSE,"Summary";"Summary_24",#N/A,FALSE,"Revenue";"Month_24",#N/A,FALSE,"Engineering";"Month_24",#N/A,FALSE,"Marketing";"Month_24",#N/A,FALSE,"G &amp; A";"Month_24",#N/A,FALSE,"Manufacturing"}</definedName>
    <definedName name="rete" hidden="1">{#N/A,#N/A,FALSE,"Aging Summary";#N/A,#N/A,FALSE,"Ratio Analysis";#N/A,#N/A,FALSE,"Test 120 Day Accts";#N/A,#N/A,FALSE,"Tickmarks"}</definedName>
    <definedName name="rey" hidden="1">{#N/A,#N/A,FALSE,"Aging Summary";#N/A,#N/A,FALSE,"Ratio Analysis";#N/A,#N/A,FALSE,"Test 120 Day Accts";#N/A,#N/A,FALSE,"Tickmarks"}</definedName>
    <definedName name="rngCompanyName" hidden="1">#REF!</definedName>
    <definedName name="rngCountry" hidden="1">#REF!</definedName>
    <definedName name="rngPeriod" hidden="1">#REF!</definedName>
    <definedName name="rngSurtaxBase" hidden="1">#REF!</definedName>
    <definedName name="rob"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ROIC">#REF!</definedName>
    <definedName name="RPI.activo.fijo.SURAL.1990" hidden="1">{#N/A,#N/A,FALSE,"Aging Summary";#N/A,#N/A,FALSE,"Ratio Analysis";#N/A,#N/A,FALSE,"Test 120 Day Accts";#N/A,#N/A,FALSE,"Tickmarks"}</definedName>
    <definedName name="rtrrr" hidden="1">{#N/A,#N/A,FALSE,"Aging Summary";#N/A,#N/A,FALSE,"Ratio Analysis";#N/A,#N/A,FALSE,"Test 120 Day Accts";#N/A,#N/A,FALSE,"Tickmarks"}</definedName>
    <definedName name="sada" hidden="1">{#N/A,#N/A,TRUE,"RECEITA ESTAC";#N/A,#N/A,TRUE,"CASH ESTAC";#N/A,#N/A,TRUE,"11Est";#N/A,#N/A,TRUE,"13Est";#N/A,#N/A,TRUE,"14Est";#N/A,#N/A,TRUE,"16Est";#N/A,#N/A,TRUE,"IMOB ESTAC_A4"}</definedName>
    <definedName name="SAPBEXrevision" hidden="1">5</definedName>
    <definedName name="SAPBEXsysID" hidden="1">"WP1"</definedName>
    <definedName name="SAPBEXwbID" hidden="1">"3OQ9EYPDZ186Q2DR3YMKXNB3R"</definedName>
    <definedName name="SAPFuncF4Help" hidden="1">ManagementSystemsFY03ActualSales()</definedName>
    <definedName name="sas" hidden="1">"AS2DocumentBrowse"</definedName>
    <definedName name="sda" hidden="1">{#N/A,#N/A,FALSE,"Aging Summary";#N/A,#N/A,FALSE,"Ratio Analysis";#N/A,#N/A,FALSE,"Test 120 Day Accts";#N/A,#N/A,FALSE,"Tickmarks"}</definedName>
    <definedName name="sdfghgff" hidden="1">{#N/A,#N/A,FALSE,"Aging Summary";#N/A,#N/A,FALSE,"Ratio Analysis";#N/A,#N/A,FALSE,"Test 120 Day Accts";#N/A,#N/A,FALSE,"Tickmarks"}</definedName>
    <definedName name="sdfkljlksdfjkl" hidden="1">{#N/A,#N/A,FALSE,"WOBE_DE.XLS";#N/A,#N/A,FALSE,"WOB_1.XLS";#N/A,#N/A,FALSE,"WOB_2.XLS";#N/A,#N/A,FALSE,"WOB_3.XLS";#N/A,#N/A,FALSE,"WOB_4.XLS";#N/A,#N/A,FALSE,"WOB_5.XLS"}</definedName>
    <definedName name="sencount" hidden="1">3</definedName>
    <definedName name="Setembro01" hidden="1">{#N/A,#N/A,FALSE,"Vendas e Receitas";#N/A,#N/A,FALSE,"Veículos";#N/A,#N/A,FALSE,"Posição de atraso";#N/A,#N/A,FALSE,"Inadimplência";#N/A,#N/A,FALSE,"Alug.vencidos";#N/A,#N/A,FALSE,"vacancy";#N/A,#N/A,FALSE,"luvas";#N/A,#N/A,FALSE,"DespCond1";#N/A,#N/A,FALSE,"DespCond2-pg13";#N/A,#N/A,FALSE,"DespCond3 pg14"}</definedName>
    <definedName name="Sftry" hidden="1">{#N/A,#N/A,FALSE,"Aging Summary";#N/A,#N/A,FALSE,"Ratio Analysis";#N/A,#N/A,FALSE,"Test 120 Day Accts";#N/A,#N/A,FALSE,"Tickmarks"}</definedName>
    <definedName name="solver_adj" hidden="1">#REF!,#REF!</definedName>
    <definedName name="solver_lin" hidden="1">0</definedName>
    <definedName name="solver_num" hidden="1">0</definedName>
    <definedName name="solver_opt" hidden="1">#REF!</definedName>
    <definedName name="solver_typ" hidden="1">1</definedName>
    <definedName name="solver_val" hidden="1">0</definedName>
    <definedName name="sos" hidden="1">{"capapetros",#N/A,FALSE,"capa petros";"RESPETROS",#N/A,FALSE,"RESULTADO";"REALIZ97PETROS",#N/A,FALSE,"RES97"}</definedName>
    <definedName name="ss" hidden="1">{"view1",#N/A,FALSE,"Consolidated";"view2",#N/A,FALSE,"Consolidated (sum)";"view1",#N/A,FALSE,"Gen Sys";"view1",#N/A,FALSE,"Semicon";"view1",#N/A,FALSE,"Mess|Med";"view1",#N/A,FALSE,"Land Mob";"view1",#N/A,FALSE,"Other Prod";"view1",#N/A,FALSE,"Adj|Elim"}</definedName>
    <definedName name="sss" hidden="1">{#N/A,#N/A,FALSE,"HONORÁRIOS"}</definedName>
    <definedName name="ssss" hidden="1">{"Fecha_Dezembro",#N/A,FALSE,"FECHAMENTO-2002 ";"Defer_Dezermbro",#N/A,FALSE,"DIFERIDO";"Pis_Dezembro",#N/A,FALSE,"PIS COFINS";"Iss_Dezembro",#N/A,FALSE,"ISS"}</definedName>
    <definedName name="sssse" hidden="1">{#N/A,#N/A,FALSE,"Aging Summary";#N/A,#N/A,FALSE,"Ratio Analysis";#N/A,#N/A,FALSE,"Test 120 Day Accts";#N/A,#N/A,FALSE,"Tickmarks"}</definedName>
    <definedName name="sssssss" hidden="1">{"Fecha_Dezembro",#N/A,FALSE,"FECHAMENTO-2002 ";"Defer_Dezermbro",#N/A,FALSE,"DIFERIDO";"Pis_Dezembro",#N/A,FALSE,"PIS COFINS";"Iss_Dezembro",#N/A,FALSE,"ISS"}</definedName>
    <definedName name="Stratcost"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target">#REF!</definedName>
    <definedName name="TC" hidden="1">{#N/A,#N/A,FALSE,"WOB_1.XLS";#N/A,#N/A,FALSE,"WOB_2.XLS";#N/A,#N/A,FALSE,"WOB_3.XLS";#N/A,#N/A,FALSE,"WOB_4.XLS";#N/A,#N/A,FALSE,"WOB_5.XLS"}</definedName>
    <definedName name="te" hidden="1">{#N/A,#N/A,FALSE,"Aging Summary";#N/A,#N/A,FALSE,"Ratio Analysis";#N/A,#N/A,FALSE,"Test 120 Day Accts";#N/A,#N/A,FALSE,"Tickmarks"}</definedName>
    <definedName name="teste2" hidden="1">{"Fecha_Novembro",#N/A,FALSE,"FECHAMENTO-2002 ";"Defer_Novembro",#N/A,FALSE,"DIFERIDO";"Pis_Novembro",#N/A,FALSE,"PIS COFINS";"Iss_Novembro",#N/A,FALSE,"ISS"}</definedName>
    <definedName name="teste3" hidden="1">{"Fecha_Outubro",#N/A,FALSE,"FECHAMENTO-2002 ";"Defer_Outubro",#N/A,FALSE,"DIFERIDO";"Pis_Outubro",#N/A,FALSE,"PIS COFINS";"Iss_Outubro",#N/A,FALSE,"ISS"}</definedName>
    <definedName name="teste4" hidden="1">{#N/A,#N/A,FALSE,"HONORÁRIOS"}</definedName>
    <definedName name="teste5" hidden="1">{"Fecha_Setembro",#N/A,FALSE,"FECHAMENTO-2002 ";"Defer_Setembro",#N/A,FALSE,"DIFERIDO";"Pis_Setembro",#N/A,FALSE,"PIS COFINS";"Iss_Setembro",#N/A,FALSE,"ISS"}</definedName>
    <definedName name="TextRefCopyRangeCount" hidden="1">9</definedName>
    <definedName name="ticker">OFFSET(#REF!,1,0,COUNTA(#REF!)-1,1)</definedName>
    <definedName name="trabajo" hidden="1">{#N/A,#N/A,FALSE,"Aging Summary";#N/A,#N/A,FALSE,"Ratio Analysis";#N/A,#N/A,FALSE,"Test 120 Day Accts";#N/A,#N/A,FALSE,"Tickmarks"}</definedName>
    <definedName name="ty" hidden="1">{#N/A,#N/A,FALSE,"Aging Summary";#N/A,#N/A,FALSE,"Ratio Analysis";#N/A,#N/A,FALSE,"Test 120 Day Accts";#N/A,#N/A,FALSE,"Tickmarks"}</definedName>
    <definedName name="UGIG" hidden="1">{#N/A,#N/A,FALSE,"Aging Summary";#N/A,#N/A,FALSE,"Ratio Analysis";#N/A,#N/A,FALSE,"Test 120 Day Accts";#N/A,#N/A,FALSE,"Tickmarks"}</definedName>
    <definedName name="uhokj" hidden="1">{#N/A,#N/A,FALSE,"Aging Summary";#N/A,#N/A,FALSE,"Ratio Analysis";#N/A,#N/A,FALSE,"Test 120 Day Accts";#N/A,#N/A,FALSE,"Tickmarks"}</definedName>
    <definedName name="uihuigi" hidden="1">{"capapetros",#N/A,FALSE,"capa petros";"RESPETROS",#N/A,FALSE,"RESULTADO";"REALIZ97PETROS",#N/A,FALSE,"RES97"}</definedName>
    <definedName name="uiugyoigt" hidden="1">{#N/A,#N/A,FALSE,"Aging Summary";#N/A,#N/A,FALSE,"Ratio Analysis";#N/A,#N/A,FALSE,"Test 120 Day Accts";#N/A,#N/A,FALSE,"Tickmarks"}</definedName>
    <definedName name="utir" hidden="1">{#N/A,#N/A,FALSE,"Aging Summary";#N/A,#N/A,FALSE,"Ratio Analysis";#N/A,#N/A,FALSE,"Test 120 Day Accts";#N/A,#N/A,FALSE,"Tickmarks"}</definedName>
    <definedName name="UYYK" hidden="1">{#N/A,#N/A,FALSE,"Aging Summary";#N/A,#N/A,FALSE,"Ratio Analysis";#N/A,#N/A,FALSE,"Test 120 Day Accts";#N/A,#N/A,FALSE,"Tickmarks"}</definedName>
    <definedName name="vbh" hidden="1">#REF!</definedName>
    <definedName name="vbhg" hidden="1">{#N/A,#N/A,FALSE,"Aging Summary";#N/A,#N/A,FALSE,"Ratio Analysis";#N/A,#N/A,FALSE,"Test 120 Day Accts";#N/A,#N/A,FALSE,"Tickmarks"}</definedName>
    <definedName name="VBVBVB" hidden="1">{#N/A,#N/A,FALSE,"Aging Summary";#N/A,#N/A,FALSE,"Ratio Analysis";#N/A,#N/A,FALSE,"Test 120 Day Accts";#N/A,#N/A,FALSE,"Tickmarks"}</definedName>
    <definedName name="VG" hidden="1">{#N/A,#N/A,FALSE,"Aging Summary";#N/A,#N/A,FALSE,"Ratio Analysis";#N/A,#N/A,FALSE,"Test 120 Day Accts";#N/A,#N/A,FALSE,"Tickmarks"}</definedName>
    <definedName name="vghkiihy" hidden="1">{#N/A,#N/A,FALSE,"Aging Summary";#N/A,#N/A,FALSE,"Ratio Analysis";#N/A,#N/A,FALSE,"Test 120 Day Accts";#N/A,#N/A,FALSE,"Tickmarks"}</definedName>
    <definedName name="vhj" hidden="1">{#N/A,#N/A,FALSE,"Aging Summary";#N/A,#N/A,FALSE,"Ratio Analysis";#N/A,#N/A,FALSE,"Test 120 Day Accts";#N/A,#N/A,FALSE,"Tickmarks"}</definedName>
    <definedName name="vv" hidden="1">{#N/A,#N/A,FALSE,"Aging Summary";#N/A,#N/A,FALSE,"Ratio Analysis";#N/A,#N/A,FALSE,"Test 120 Day Accts";#N/A,#N/A,FALSE,"Tickmarks"}</definedName>
    <definedName name="vvv" hidden="1">{#N/A,#N/A,FALSE,"Aging Summary";#N/A,#N/A,FALSE,"Ratio Analysis";#N/A,#N/A,FALSE,"Test 120 Day Accts";#N/A,#N/A,FALSE,"Tickmarks"}</definedName>
    <definedName name="VVVV" hidden="1">{#N/A,#N/A,FALSE,"Aging Summary";#N/A,#N/A,FALSE,"Ratio Analysis";#N/A,#N/A,FALSE,"Test 120 Day Accts";#N/A,#N/A,FALSE,"Tickmarks"}</definedName>
    <definedName name="we" hidden="1">{#N/A,#N/A,FALSE,"Aging Summary";#N/A,#N/A,FALSE,"Ratio Analysis";#N/A,#N/A,FALSE,"Test 120 Day Accts";#N/A,#N/A,FALSE,"Tickmarks"}</definedName>
    <definedName name="wer" hidden="1">{#N/A,#N/A,FALSE,"Aging Summary";#N/A,#N/A,FALSE,"Ratio Analysis";#N/A,#N/A,FALSE,"Test 120 Day Accts";#N/A,#N/A,FALSE,"Tickmarks"}</definedName>
    <definedName name="will"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wqw" hidden="1">#REF!</definedName>
    <definedName name="wr.petros" hidden="1">{"capapetros",#N/A,FALSE,"capa petros";"RESPETROS",#N/A,FALSE,"RESULTADO";"REALIZ97PETROS",#N/A,FALSE,"RES97"}</definedName>
    <definedName name="wrn.Aging._.and._.Trend._.Analysis." hidden="1">{#N/A,#N/A,FALSE,"Aging Summary";#N/A,#N/A,FALSE,"Ratio Analysis";#N/A,#N/A,FALSE,"Test 120 Day Accts";#N/A,#N/A,FALSE,"Tickmarks"}</definedName>
    <definedName name="wrn.Aging._.and._.Trend._.Analysis2" hidden="1">{#N/A,#N/A,FALSE,"Aging Summary";#N/A,#N/A,FALSE,"Ratio Analysis";#N/A,#N/A,FALSE,"Test 120 Day Accts";#N/A,#N/A,FALSE,"Tickmarks"}</definedName>
    <definedName name="wrn.AJUSTADO." hidden="1">{#N/A,#N/A,FALSE,"balanc_ajus";#N/A,#N/A,FALSE,"G&amp;pAJUS";#N/A,#N/A,FALSE,"patr_ajus";#N/A,#N/A,FALSE,"fluj_ajus"}</definedName>
    <definedName name="wrn.ajustados." hidden="1">{#N/A,#N/A,FALSE,"balanc_ajus";#N/A,#N/A,FALSE,"G&amp;pAJUS";#N/A,#N/A,FALSE,"patr_ajus";#N/A,#N/A,FALSE,"fluj_ajus"}</definedName>
    <definedName name="wrn.APURAÇÃO." hidden="1">{"APURAÇÃO",#N/A,FALSE,"C V M"}</definedName>
    <definedName name="wrn.arquivo." hidden="1">{"cash",#N/A,FALSE,"cash";"historico",#N/A,FALSE,"historico"}</definedName>
    <definedName name="wrn.Asset_Liability." hidden="1">{"Asset_Liability",#N/A,FALSE,"Input Sheet"}</definedName>
    <definedName name="wrn.ATPASRESANALITICO." hidden="1">{"ATPASRESANALITICO",#N/A,FALSE,"C V M"}</definedName>
    <definedName name="wrn.ATPASRESINDGERENCIAL." hidden="1">{"ATPASRESINDGERENCIAL",#N/A,FALSE,"C V M"}</definedName>
    <definedName name="wrn.B._.P._.TDS." hidden="1">{#N/A,#N/A,TRUE,"Récap.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wrn.Base._.Cash." hidden="1">{#N/A,#N/A,FALSE,"CAPA";#N/A,#N/A,FALSE,"BASE-CAIXA 1";#N/A,#N/A,FALSE,"DESPESAS 2";#N/A,#N/A,FALSE,"Comp Desp Cond";#N/A,#N/A,FALSE,"Dados Veículos 3";#N/A,#N/A,FALSE,"RECEITAS 4";#N/A,#N/A,FALSE,"ATRASOS_5";#N/A,#N/A,FALSE,"Dados Atraso_6";#N/A,#N/A,FALSE,"Maiores Devedores_7";#N/A,#N/A,FALSE,"GRÁFICO_8";#N/A,#N/A,FALSE,"Auditoria 9";#N/A,#N/A,FALSE,"PESSOAL 10";#N/A,#N/A,FALSE,"Loc.temp_11"}</definedName>
    <definedName name="wrn.COMPOSIÇÃO." hidden="1">{"COMPOSIÇÃO",#N/A,FALSE,"C V M"}</definedName>
    <definedName name="wrn.Condominio." hidden="1">{#N/A,#N/A,TRUE,"CASH COND_B1";#N/A,#N/A,TRUE,"COMP DESP COND_B2_B3";#N/A,#N/A,TRUE,"11";#N/A,#N/A,TRUE,"12";#N/A,#N/A,TRUE,"13";#N/A,#N/A,TRUE,"14";#N/A,#N/A,TRUE,"15";#N/A,#N/A,TRUE,"16";#N/A,#N/A,TRUE,"19";#N/A,#N/A,TRUE,"21";#N/A,#N/A,TRUE,"22";#N/A,#N/A,TRUE,"23";#N/A,#N/A,TRUE,"24";#N/A,#N/A,TRUE,"27";#N/A,#N/A,TRUE,"IMOB COND_B5";#N/A,#N/A,TRUE,"B6";#N/A,#N/A,TRUE,"B7";#N/A,#N/A,TRUE,"QUADRO PESSOAL";#N/A,#N/A,TRUE,"ORG."}</definedName>
    <definedName name="wrn.Consolidated._.Statements." hidden="1">{"view1",#N/A,FALSE,"EARN (US$)";"view1",#N/A,FALSE,"DASTBS (US$)";"view1",#N/A,FALSE,"DASTCF (US$)"}</definedName>
    <definedName name="wrn.Covers." hidden="1">{"view1",#N/A,FALSE,"MOTEARN";"view1",#N/A,FALSE,"Bal Sht";"view1",#N/A,FALSE,"Cash Flows"}</definedName>
    <definedName name="wrn.CSOCIAL." hidden="1">{#N/A,#N/A,FALSE,"CSOCIAL"}</definedName>
    <definedName name="wrn.DEMCONTAPR5." hidden="1">{"DEMCONTAPR5",#N/A,FALSE,"C V M"}</definedName>
    <definedName name="wrn.DEMCONTAPRIND." hidden="1">{"DEMCONTAPRIND",#N/A,FALSE,"C V M"}</definedName>
    <definedName name="wrn.DEMCONTCA." hidden="1">{"DEMCONTCA",#N/A,FALSE,"C V M"}</definedName>
    <definedName name="wrn.DespesasPorArea." hidden="1">{"TotalGeralDespesasPorArea",#N/A,FALSE,"VinculosAccessEfetivo"}</definedName>
    <definedName name="wrn.Deutsch._.TKMC._.A3." hidden="1">{"Deutsch - TKMC - A3001 - Bilanz",#N/A,TRUE,"Hyperion";"Deutsch - TKMC - A3002 - G&amp;V",#N/A,TRUE,"Hyperion";"Deutsch - TKMC - A3003 - Aktiva (detaliert)",#N/A,TRUE,"Hyperion";"Deutsch - TKMC - A3004 - Passiva (detaliert)",#N/A,TRUE,"Hyperion";"Deutsch - TKMC - A3005 - G&amp;V (detaliert)",#N/A,TRUE,"Hyperion";"Deutsch - TKMC - A3006 - Zusatzangaben",#N/A,TRUE,"Hyperion"}</definedName>
    <definedName name="wrn.Deutsch._.TKMC._.A4." hidden="1">{"Deutsch - TKMC - A4001 - Bilanz",#N/A,TRUE,"Hyperion";"Deutsch - TKMC - A4002 - G&amp;V",#N/A,TRUE,"Hyperion";"Deutsch - TKMC - A4003 - Aktiva (detaliert)",#N/A,TRUE,"Hyperion";"Deutsch - TKMC - A4004 - Passiva (detaliert)",#N/A,TRUE,"Hyperion";"Deutsch - TKMC - A4005 - G&amp;V (detaliert)",#N/A,TRUE,"Hyperion";"Deutsch - TKMC - A4006 - Zusatzangaben",#N/A,TRUE,"Hyperion"}</definedName>
    <definedName name="wrn.Deutsch._.TKPS." hidden="1">{"Deutsch - TKPS - 001 - Bilanz",#N/A,FALSE,"Hyperion";"Deutsch - TKPS - 002 - G&amp;V",#N/A,FALSE,"Hyperion";"Deutsch - TKPS - 003 - Aktiva (detaliert)",#N/A,FALSE,"Hyperion";"Deutsch - TKPS - 004 - Passiva (detaliert)",#N/A,FALSE,"Hyperion";"Deutsch - TKPS - 005 - G&amp;V (detaliert)",#N/A,FALSE,"Hyperion";"Deutsch - TKPS - 006 - Zusatzangaben",#N/A,FALSE,"Hyperion"}</definedName>
    <definedName name="wrn.Deutsch._.TKPS._.A4." hidden="1">{"Deutsch - TKPS - A4001 - Bilanz",#N/A,TRUE,"Hyperion";"Deutsch - TKPS - A4002 - G&amp;V",#N/A,TRUE,"Hyperion";"Deutsch - TKPS - A4003 - Aktiva (detaliert)",#N/A,TRUE,"Hyperion"}</definedName>
    <definedName name="wrn.Dezembro." hidden="1">{"Fecha_Dezembro",#N/A,FALSE,"FECHAMENTO-2002 ";"Defer_Dezermbro",#N/A,FALSE,"DIFERIDO";"Pis_Dezembro",#N/A,FALSE,"PIS COFINS";"Iss_Dezembro",#N/A,FALSE,"ISS"}</definedName>
    <definedName name="wrn.diners." hidden="1">{#N/A,#N/A,FALSE,"DINERS"}</definedName>
    <definedName name="wrn.Empreendedor." hidden="1">{#N/A,#N/A,TRUE,"Dem_A1";#N/A,#N/A,TRUE,"Vend Rec_A2";#N/A,#N/A,TRUE,"Desc_A5";#N/A,#N/A,TRUE,"COMP_A6";#N/A,#N/A,TRUE,"DR00_A7";#N/A,#N/A,TRUE,"DR 99_A7";#N/A,#N/A,TRUE,"Desc_ A8";#N/A,#N/A,TRUE,"CASH EMPR_A9";#N/A,#N/A,TRUE,"CASH OBRA_A9";#N/A,#N/A,TRUE,"20Empr.";#N/A,#N/A,TRUE,"100%Jurid";#N/A,#N/A,TRUE,"22Empr.";#N/A,#N/A,TRUE,"23Empr.";#N/A,#N/A,TRUE,"IMOB EMPR OBRAS_A11"}</definedName>
    <definedName name="wrn.Empreendedor._.MPSC." hidden="1">{#N/A,#N/A,FALSE,"Capa";#N/A,#N/A,FALSE,"Indice";#N/A,#N/A,FALSE,"Premissas";#N/A,#N/A,FALSE," Pró Memória ";#N/A,#N/A,FALSE,"VenRec SintR$";#N/A,#N/A,FALSE,"ProjVendasRecR$";#N/A,#N/A,FALSE,"ProjVendasRecIPC";#N/A,#N/A,FALSE,"Desc. comerciais";#N/A,#N/A,FALSE,"Desc. Carência Novas Oper";#N/A,#N/A,FALSE,"Sumário Comparativo";#N/A,#N/A,FALSE,"Descontos op Reformas";#N/A,#N/A,FALSE,"Sumário2001";#N/A,#N/A,FALSE,"Sumário2000";#N/A,#N/A,FALSE,"Área Vaga";#N/A,#N/A,FALSE,"Cond. Irrec.";#N/A,#N/A,FALSE,"Demost.Corretagem ";#N/A,#N/A,FALSE,"Cash 2001";#N/A,#N/A,FALSE,"Cash 2000";#N/A,#N/A,FALSE,"Imobilizado";#N/A,#N/A,FALSE,"Comparativo Despesas";#N/A,#N/A,FALSE,"Comparativo por Conta Orç.";#N/A,#N/A,FALSE,"CONSOLIDADO CC";#N/A,#N/A,FALSE,"CONSOLIDADO CO";#N/A,#N/A,FALSE,"CO11";#N/A,#N/A,FALSE,"CC11 2001";#N/A,#N/A,FALSE,"CO12";#N/A,#N/A,FALSE,"PA 11";#N/A,#N/A,FALSE,"CC12 2001";#N/A,#N/A,FALSE,"PA12";#N/A,#N/A,FALSE,"CO22";#N/A,#N/A,FALSE,"CC22 2001";#N/A,#N/A,FALSE,"PA 22";#N/A,#N/A,FALSE,"pessoal ano";#N/A,#N/A,FALSE,"pessoal evoluçao";#N/A,#N/A,FALSE,"comp h.e"}</definedName>
    <definedName name="wrn.Estacionamento." hidden="1">{#N/A,#N/A,TRUE,"RECEITA ESTAC";#N/A,#N/A,TRUE,"CASH ESTAC";#N/A,#N/A,TRUE,"11Est";#N/A,#N/A,TRUE,"13Est";#N/A,#N/A,TRUE,"14Est";#N/A,#N/A,TRUE,"16Est";#N/A,#N/A,TRUE,"IMOB ESTAC_A4"}</definedName>
    <definedName name="wrn.FISV._.5._.year._.model." hidden="1">{"Assns Fax",#N/A,FALSE,"Assumptions";"Financial View",#N/A,FALSE,"Earnings";"DCF View",#N/A,FALSE,"Earnings";"Sensitivity",#N/A,FALSE,"DCF"}</definedName>
    <definedName name="wrn.HISTORICO." hidden="1">{#N/A,#N/A,FALSE,"balnc_hist";#N/A,#N/A,FALSE,"G&amp;P-HIST";#N/A,#N/A,FALSE,"PATRI_HIST";#N/A,#N/A,FALSE,"FLUJ_HIST"}</definedName>
    <definedName name="wrn.historicos." hidden="1">{#N/A,#N/A,FALSE,"Activo_Hist";#N/A,#N/A,FALSE,"Pasivo_Hist";#N/A,#N/A,FALSE,"Ganan_Perd_Hist";#N/A,#N/A,FALSE,"Patrimonio_Hist";#N/A,#N/A,FALSE,"Flujo_Hist"}</definedName>
    <definedName name="wrn.históricos." hidden="1">{#N/A,#N/A,FALSE,"balnc_hist";#N/A,#N/A,FALSE,"G&amp;P-HIST";#N/A,#N/A,FALSE,"PATRI_HIST";#N/A,#N/A,FALSE,"FLUJ_HIST"}</definedName>
    <definedName name="wrn.impressao." hidden="1">{#N/A,#N/A,FALSE,"Vendas e Receitas";#N/A,#N/A,FALSE,"Veículos";#N/A,#N/A,FALSE,"Posição de atraso";#N/A,#N/A,FALSE,"Inadimplência";#N/A,#N/A,FALSE,"Alug.vencidos";#N/A,#N/A,FALSE,"vacancy";#N/A,#N/A,FALSE,"luvas";#N/A,#N/A,FALSE,"DespCond1";#N/A,#N/A,FALSE,"DespCond2-pg13";#N/A,#N/A,FALSE,"DespCond3 pg14"}</definedName>
    <definedName name="wrn.IMPRIME." hidden="1">{"VUSS",#N/A,TRUE,"VUS$";"VIPC",#N/A,TRUE,"VIPC";"RUSS",#N/A,TRUE,"RUS$";"RIPC",#N/A,TRUE,"RIPC";"RIPCM2",#N/A,TRUE,"R IPC-M2";"RENT",#N/A,TRUE,"RENT";"COND",#N/A,TRUE,"COND";"LFESC",#N/A,TRUE,"LFESC";"SHOPP",#N/A,TRUE,"SHOPP";"PESS",#N/A,TRUE,"PESS";"LFP",#N/A,TRUE,"LFP"}</definedName>
    <definedName name="wrn.Imprimir._.AG_ME." hidden="1">{#N/A,#N/A,FALSE,"MetaME";#N/A,#N/A,FALSE,"DiarME";#N/A,#N/A,FALSE,"DAtendME";#N/A,#N/A,FALSE,"MixME";#N/A,#N/A,FALSE,"LocME";#N/A,#N/A,FALSE,"DiaLocME";#N/A,#N/A,FALSE,"KmDiaME";#N/A,#N/A,FALSE,"TarifME";#N/A,#N/A,FALSE,"MixDiarME";#N/A,#N/A,FALSE,"FormaRecME";#N/A,#N/A,FALSE,"LocComAGME"}</definedName>
    <definedName name="wrn.Imprimir._.AG_MI." hidden="1">{#N/A,#N/A,FALSE,"MetaMI";#N/A,#N/A,FALSE,"MetaMI+ML";#N/A,#N/A,FALSE,"DAtendMI";#N/A,#N/A,FALSE,"DiarMI";#N/A,#N/A,FALSE,"LocMI";#N/A,#N/A,FALSE,"DiaLocMI";#N/A,#N/A,FALSE,"KmDiaMI";#N/A,#N/A,FALSE,"TarifMI";#N/A,#N/A,FALSE,"MixDiarMI";#N/A,#N/A,FALSE,"FormaRecMI";#N/A,#N/A,FALSE,"FormaRecMI+ML";#N/A,#N/A,FALSE,"LocComAGMI";#N/A,#N/A,FALSE,"LocComAGMI+ML"}</definedName>
    <definedName name="wrn.Imprimir._.AGVIG." hidden="1">{#N/A,#N/A,FALSE,"LocSegm+ML";#N/A,#N/A,FALSE,"LocSegm";#N/A,#N/A,FALSE,"DiarSegmEA";#N/A,#N/A,FALSE,"DiarSegmEA+ML";#N/A,#N/A,FALSE,"DiarSegmEV";#N/A,#N/A,FALSE,"DiarSegmEV+ML";#N/A,#N/A,FALSE,"DiaLocSegm";#N/A,#N/A,FALSE,"RecBrSegm";#N/A,#N/A,FALSE,"RecBrMod";#N/A,#N/A,FALSE,"FormaRecSeg";#N/A,#N/A,FALSE,"MetaAG+ML";#N/A,#N/A,FALSE,"DAtendAG";#N/A,#N/A,FALSE,"DiarAG";#N/A,#N/A,FALSE,"MixAG";#N/A,#N/A,FALSE,"MixAG+ML";#N/A,#N/A,FALSE,"LocAG";#N/A,#N/A,FALSE,"DiaLocAG";#N/A,#N/A,FALSE,"KmDiaAG";#N/A,#N/A,FALSE,"TarifAG";#N/A,#N/A,FALSE,"MixDiarAG";#N/A,#N/A,FALSE,"ClienAG AC";#N/A,#N/A,FALSE,"FormaRecSeg";#N/A,#N/A,FALSE,"FormaRecAG";#N/A,#N/A,FALSE,"FormaRecAG+ML";#N/A,#N/A,FALSE,"RecDiaAG";#N/A,#N/A,FALSE,"LocComAG";#N/A,#N/A,FALSE,"LocComAG+ML";#N/A,#N/A,FALSE,"DescPrAG"}</definedName>
    <definedName name="wrn.Imprimir._.GL." hidden="1">{#N/A,#N/A,FALSE,"MetaGL";#N/A,#N/A,FALSE,"DiarGL";#N/A,#N/A,FALSE,"LocGL";#N/A,#N/A,FALSE,"DiaLocLIC";#N/A,#N/A,FALSE,"DiaLocSegm";#N/A,#N/A,FALSE,"KmDiaGL";#N/A,#N/A,FALSE,"TarifGL";#N/A,#N/A,FALSE,"ClienGL";#N/A,#N/A,FALSE,"MixDiarGL";#N/A,#N/A,FALSE,"RecDiaGL";#N/A,#N/A,FALSE,"FormaRecGL"}</definedName>
    <definedName name="wrn.Imprimir._.ML." hidden="1">{#N/A,#N/A,FALSE,"LocSegm+ML";#N/A,#N/A,FALSE,"LocSegm";#N/A,#N/A,FALSE,"DiarSegmEA";#N/A,#N/A,FALSE,"DiarSegmEA+ML";#N/A,#N/A,FALSE,"DiarSegmEV";#N/A,#N/A,FALSE,"DiarSegmEV+ML";#N/A,#N/A,FALSE,"DiaLocSegm";#N/A,#N/A,FALSE,"RecBrSegm";#N/A,#N/A,FALSE,"RecBrMod";#N/A,#N/A,FALSE,"FormaRecSeg";#N/A,#N/A,FALSE,"MetaML";#N/A,#N/A,FALSE,"MixDiarML";#N/A,#N/A,FALSE,"LocML";#N/A,#N/A,FALSE,"DiaLocML";#N/A,#N/A,FALSE,"KmDiaML";#N/A,#N/A,FALSE,"FormaRecML";#N/A,#N/A,FALSE,"TarifML"}</definedName>
    <definedName name="wrn.Imprimir._.PF." hidden="1">{#N/A,#N/A,FALSE,"LocSegm+ML";#N/A,#N/A,FALSE,"LocSegm";#N/A,#N/A,FALSE,"DiarSegmEA";#N/A,#N/A,FALSE,"DiarSegmEA+ML";#N/A,#N/A,FALSE,"DiaLocSegm";#N/A,#N/A,FALSE,"RecBrSegm";#N/A,#N/A,FALSE,"RecBrMod";#N/A,#N/A,FALSE,"FormaRecSeg";#N/A,#N/A,FALSE,"MetaPF+ML";#N/A,#N/A,FALSE,"MetaPF";#N/A,#N/A,FALSE,"DiarEAPF";#N/A,#N/A,FALSE,"LocPF";#N/A,#N/A,FALSE,"DiaLocPF";#N/A,#N/A,FALSE,"KmDiaPF";#N/A,#N/A,FALSE,"TarifPF";#N/A,#N/A,FALSE,"ClienPF AC";#N/A,#N/A,FALSE,"MixDiarPF";#N/A,#N/A,FALSE,"RecDiaPF";#N/A,#N/A,FALSE,"FormaRecPF";#N/A,#N/A,FALSE,"FormaRecPF+ML";#N/A,#N/A,FALSE,"DescPrPF"}</definedName>
    <definedName name="wrn.Imprimir._.PJ." hidden="1">{#N/A,#N/A,FALSE,"LocSegm+ML";#N/A,#N/A,FALSE,"LocSegm";#N/A,#N/A,FALSE,"DiarSegmEA";#N/A,#N/A,FALSE,"DiarSegmEA+ML";#N/A,#N/A,FALSE,"DiarSegmEV";#N/A,#N/A,FALSE,"DiarSegmEV+ML";#N/A,#N/A,FALSE,"DiaLocSegm";#N/A,#N/A,FALSE,"RecBrSegm";#N/A,#N/A,FALSE,"RecBrMod";#N/A,#N/A,FALSE,"FormaRecSeg";#N/A,#N/A,FALSE,"MetaPJ+ML";#N/A,#N/A,FALSE,"MetaPJ";#N/A,#N/A,FALSE,"DAtendPJ";#N/A,#N/A,FALSE,"DiarPJ";#N/A,#N/A,FALSE,"LocPJ+ML";#N/A,#N/A,FALSE,"DiaLocPJ";#N/A,#N/A,FALSE,"KmDiaPJ";#N/A,#N/A,FALSE,"TarifPJ";#N/A,#N/A,FALSE,"ClienPJ AC";#N/A,#N/A,FALSE,"MixDiarPJ";#N/A,#N/A,FALSE,"FormaRecPJ";#N/A,#N/A,FALSE,"FormaRecPJ+ML";#N/A,#N/A,FALSE,"RecDiaPJ";#N/A,#N/A,FALSE,"DescPrPJ"}</definedName>
    <definedName name="wrn.Imprimir._.RE." hidden="1">{#N/A,#N/A,FALSE,"LocSegm+ML";#N/A,#N/A,FALSE,"LocSegm";#N/A,#N/A,FALSE,"DiarSegmEA";#N/A,#N/A,FALSE,"DiarSegmEA+ML";#N/A,#N/A,FALSE,"DiarSegmEV";#N/A,#N/A,FALSE,"DiarSegmEV+ML";#N/A,#N/A,FALSE,"DiaLocSegm";#N/A,#N/A,FALSE,"RecBrSegm";#N/A,#N/A,FALSE,"RecBrMod";#N/A,#N/A,FALSE,"FormaRecSeg";#N/A,#N/A,FALSE,"MetaRE";#N/A,#N/A,FALSE,"DiarRE";#N/A,#N/A,FALSE,"LocRE";#N/A,#N/A,FALSE,"DiaLocRE";#N/A,#N/A,FALSE,"KmDiaRE";#N/A,#N/A,FALSE,"TarifRE";#N/A,#N/A,FALSE,"ClienRE";#N/A,#N/A,FALSE,"MixDiarRE";#N/A,#N/A,FALSE,"RecDiaRE";#N/A,#N/A,FALSE,"FormaRecRE"}</definedName>
    <definedName name="wrn.Imprimir._.Todos." hidden="1">{#N/A,#N/A,FALSE,"ACTIVO";#N/A,#N/A,FALSE,"PASIVO";#N/A,#N/A,FALSE,"RESULTAD_AJUS";#N/A,#N/A,FALSE,"PATRIMONIO_AJUS";#N/A,#N/A,FALSE,"FLUJO_AJUS";#N/A,#N/A,FALSE,"Activo_Hist";#N/A,#N/A,FALSE,"Pasivo_Hist";#N/A,#N/A,FALSE,"Ganan_Perd_Hist";#N/A,#N/A,FALSE,"Patrimonio_Hist";#N/A,#N/A,FALSE,"Flujo_Hist"}</definedName>
    <definedName name="wrn.Imprimir_Inf.._.Gerais." hidden="1">{#N/A,#N/A,FALSE,"ObjVen";#N/A,#N/A,FALSE,"MetaAten";#N/A,#N/A,FALSE,"DiarEA";#N/A,#N/A,FALSE,"DiarSegmEA+ML";#N/A,#N/A,FALSE,"DiarSegmEA";#N/A,#N/A,FALSE,"MixDiar";#N/A,#N/A,FALSE,"KmDia";#N/A,#N/A,FALSE,"TarifLL";#N/A,#N/A,FALSE,"GTarifLL";#N/A,#N/A,FALSE,"ClienFV";#N/A,#N/A,FALSE,"ClienLL";#N/A,#N/A,FALSE,"Loc";#N/A,#N/A,FALSE,"LocSegm+ML";#N/A,#N/A,FALSE,"LocSegm";#N/A,#N/A,FALSE,"KmLoc";#N/A,#N/A,FALSE,"DiaLoc";#N/A,#N/A,FALSE,"DiaLocSegm";#N/A,#N/A,FALSE,"DiarVE";#N/A,#N/A,FALSE,"DiarSegmEV";#N/A,#N/A,FALSE,"DiarSegmEV+ML";#N/A,#N/A,FALSE,"RecBr";#N/A,#N/A,FALSE,"RecLPV";#N/A,#N/A,FALSE,"RecBrMod";#N/A,#N/A,FALSE,"RecBrSegm";#N/A,#N/A,FALSE,"DescProm";#N/A,#N/A,FALSE,"DescPrSeg";#N/A,#N/A,FALSE,"FormaRec";#N/A,#N/A,FALSE,"FormaRecSeg";#N/A,#N/A,FALSE,"CCred";#N/A,#N/A,FALSE,"EvCCred";#N/A,#N/A,FALSE,"Frota";#N/A,#N/A,FALSE,"FrAlug";#N/A,#N/A,FALSE,"Util";#N/A,#N/A,FALSE,"VrFrOp"}</definedName>
    <definedName name="wrn.Input._.Sheet." hidden="1">{"Profit_Loss",#N/A,FALSE,"Input Sheet";"Asset_Liability",#N/A,FALSE,"Input Sheet"}</definedName>
    <definedName name="wrn.INTERNO." hidden="1">{"capa",#N/A,FALSE,"capa";"RES",#N/A,FALSE,"RESULTADO";"REALIZ97",#N/A,FALSE,"RES97";"BAL",#N/A,FALSE,"BAL.PATRIM";"BALREALIZ",#N/A,FALSE,"BAL97"}</definedName>
    <definedName name="wrn.IRENDA." hidden="1">{#N/A,#N/A,FALSE,"IRENDA"}</definedName>
    <definedName name="wrn.mensal." hidden="1">{"mensal",#N/A,FALSE,"cash"}</definedName>
    <definedName name="wrn.Month_Only."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wrn.MÚTUOS." hidden="1">{"INF OP",#N/A,TRUE,"Dolar Flutuante";"INF OP 2",#N/A,TRUE,"Dolar Flutuante";"INF OP 3",#N/A,TRUE,"Dolar Flutuante";"LFESC LFI",#N/A,TRUE,"CONTRATOS EM CDI";"LFESC LFI 2",#N/A,TRUE,"CONTRATOS EM CDI";"LFESC OP",#N/A,TRUE,"CONTRATOS EM CDI";"LFESC OPERATE 2",#N/A,TRUE,"CONTRATOS EM CDI";"LFP KALILA",#N/A,TRUE,"CONTRATOS EM CDI";"SCRB KALILA",#N/A,TRUE,"CONTRATOS EM CDI";"ISEI IESC",#N/A,TRUE,"CONTRATOS EM TRD";"LFESC IESC",#N/A,TRUE,"CONTRATOS EM TRD";"LFESC IESC NEG",#N/A,TRUE,"CONTRATOS EM TRD";"ISEI ITATINGA",#N/A,TRUE,"CONTRATOS EM U$ COM";"ANWOLD LFESC",#N/A,TRUE,"CONTRATOS EM UFIR";"LFESC BICO DA MATA",#N/A,TRUE,"CONTRATOS EM UFIR";"SEGROB MAIOJAMA",#N/A,TRUE,"CONTRATOS EM UFIR";"MARCELO SCRB",#N/A,TRUE,"CONTRATOS EM IGP-DI";"OSWALDO SCRB",#N/A,TRUE,"CONTRATOS EM IGP-DI";"PAULO SCRB",#N/A,TRUE,"CONTRATOS EM IGP-DI"}</definedName>
    <definedName name="wrn.Normal." hidden="1">{"Sales_Norm",#N/A,FALSE,"Summary SALES";"Ebit_Norm",#N/A,FALSE,"Summary EBIT";"France_Norm",#N/A,FALSE,"France";"Holland_Norm",#N/A,FALSE,"Holland";"Scorex_Norm",#N/A,FALSE,"Scorex";"SAfrica_Norm",#N/A,FALSE,"South Africa";"SEurope_Norm",#N/A,FALSE,"SEurope";"Germany_Norm",#N/A,FALSE,"Germany";"Newmarkets_Norm",#N/A,FALSE,"Newmarkets";"Bureau_Norm",#N/A,FALSE,"Bureau";"HOffice_Norm",#N/A,FALSE,"Hoffice ";"LAmerica_Norm",#N/A,FALSE,"LAmerica";"Asiapac_Norm",#N/A,FALSE,"Asiapacific";"Interest_Norm",#N/A,FALSE,"Interest";"Recharges_Norm",#N/A,FALSE,"Recharges";"Marketing_Norm",#N/A,FALSE,"Marketing";"MinRoyalty_Norm",#N/A,FALSE,"Gua min royalty"}</definedName>
    <definedName name="wrn.Novembro." hidden="1">{"Fecha_Novembro",#N/A,FALSE,"FECHAMENTO-2002 ";"Defer_Novembro",#N/A,FALSE,"DIFERIDO";"Pis_Novembro",#N/A,FALSE,"PIS COFINS";"Iss_Novembro",#N/A,FALSE,"ISS"}</definedName>
    <definedName name="wrn.Outubro." hidden="1">{"Fecha_Outubro",#N/A,FALSE,"FECHAMENTO-2002 ";"Defer_Outubro",#N/A,FALSE,"DIFERIDO";"Pis_Outubro",#N/A,FALSE,"PIS COFINS";"Iss_Outubro",#N/A,FALSE,"ISS"}</definedName>
    <definedName name="wrn.performance." hidden="1">{#N/A,#N/A,FALSE,"Capa";#N/A,#N/A,FALSE,"COMP.1_4";#N/A,#N/A,FALSE,"GRAF.05";#N/A,#N/A,FALSE,"ABL_06";#N/A,#N/A,FALSE,"Vacancy 07";#N/A,#N/A,FALSE,"veic_8";#N/A,#N/A,FALSE,"Pág. 09";#N/A,#N/A,FALSE,"Real atual 10"}</definedName>
    <definedName name="wrn.PETROS." hidden="1">{"capapetros",#N/A,FALSE,"capa petros";"RESPETROS",#N/A,FALSE,"RESULTADO";"REALIZ97PETROS",#N/A,FALSE,"RES97"}</definedName>
    <definedName name="wrn.PIS." hidden="1">{#N/A,#N/A,FALSE,"PIS"}</definedName>
    <definedName name="wrn.prest.contas." hidden="1">{#N/A,#N/A,FALSE,"Ant I";#N/A,#N/A,FALSE,"Ant II";#N/A,#N/A,FALSE,"Final I";#N/A,#N/A,FALSE,"Final II"}</definedName>
    <definedName name="wrn.PREST_CONTAS." hidden="1">{#N/A,#N/A,FALSE,"Ant II";#N/A,#N/A,FALSE,"Ant I";#N/A,#N/A,FALSE,"Final I";#N/A,#N/A,FALSE,"Final II"}</definedName>
    <definedName name="wrn.Print._.24." hidden="1">{#N/A,#N/A,FALSE,"Index";"Stmts_Qtrs",#N/A,FALSE,"Summary";"Stmts_24 mo",#N/A,FALSE,"Summary";"Summary_24",#N/A,FALSE,"Revenue";"Month_24",#N/A,FALSE,"Engineering";"Month_24",#N/A,FALSE,"Marketing";"Month_24",#N/A,FALSE,"G &amp; A";"Month_24",#N/A,FALSE,"Manufacturing"}</definedName>
    <definedName name="wrn.Profit_Loss." hidden="1">{"Profit_Loss",#N/A,FALSE,"Input Sheet"}</definedName>
    <definedName name="wrn.REINPC96." hidden="1">{#N/A,#N/A,FALSE,"A"}</definedName>
    <definedName name="wrn.Rel.._.Gerencial." hidden="1">{#N/A,#N/A,FALSE,"Demontrativo";#N/A,#N/A,FALSE,"Condir";#N/A,#N/A,FALSE,"Rec_ven";#N/A,#N/A,FALSE,"veic";#N/A,#N/A,FALSE,"Cash_est";#N/A,#N/A,FALSE,"Funcesp (2)";#N/A,#N/A,FALSE,"Vacancy";#N/A,#N/A,FALSE,"outros";#N/A,#N/A,FALSE,"Desempenho";#N/A,#N/A,FALSE,"DCTD";#N/A,#N/A,FALSE,"DCCC"}</definedName>
    <definedName name="wrn.relatorio._.final." hidden="1">{"cash",#N/A,FALSE,"cash"}</definedName>
    <definedName name="wrn.RELATORIOSCONSELHO." hidden="1">{"RELATORIOSCONSELHO",#N/A,FALSE,"C V M"}</definedName>
    <definedName name="wrn.RESINPC." hidden="1">{#N/A,#N/A,FALSE,"A"}</definedName>
    <definedName name="wrn.RESUMO." hidden="1">{#N/A,#N/A,FALSE,"HONORÁRIOS"}</definedName>
    <definedName name="wrn.Rig._.Completo." hidden="1">{#N/A,#N/A,FALSE,"ObjVen";#N/A,#N/A,FALSE,"MetaAten";#N/A,#N/A,FALSE,"DiarEA";#N/A,#N/A,FALSE,"DiarSegmEA+ML";#N/A,#N/A,FALSE,"DiarSegmEA";#N/A,#N/A,FALSE,"MixDiar";#N/A,#N/A,FALSE,"KmDia";#N/A,#N/A,FALSE,"GTarifLL";#N/A,#N/A,FALSE,"TarifLL";#N/A,#N/A,FALSE,"ClienFV";#N/A,#N/A,FALSE,"ClienLL";#N/A,#N/A,FALSE,"Loc";#N/A,#N/A,FALSE,"LocSegm+ML";#N/A,#N/A,FALSE,"LocSegm";#N/A,#N/A,FALSE,"DiaLoc";#N/A,#N/A,FALSE,"DiaLocSegm";#N/A,#N/A,FALSE,"DiarVE";#N/A,#N/A,FALSE,"DiarSegmEV";#N/A,#N/A,FALSE,"DiarSegmEV+ML";#N/A,#N/A,FALSE,"RecBr";#N/A,#N/A,FALSE,"RecBr";#N/A,#N/A,FALSE,"RecLPV";#N/A,#N/A,FALSE,"RecBrMod";#N/A,#N/A,FALSE,"RecBrSegm";#N/A,#N/A,FALSE,"DescProm";#N/A,#N/A,FALSE,"DescProm (AD+ML)";#N/A,#N/A,FALSE,"FormaRec";#N/A,#N/A,FALSE,"FormaRecSeg";#N/A,#N/A,FALSE,"CCred";#N/A,#N/A,FALSE,"EvCCred";#N/A,#N/A,FALSE,"KmLoc";#N/A,#N/A,FALSE,"Frota";#N/A,#N/A,FALSE,"FrAlug";#N/A,#N/A,FALSE,"Util";#N/A,#N/A,FALSE,"VrFrOp";#N/A,#N/A,FALSE,"MetaPF+ML";#N/A,#N/A,FALSE,"MetaPF";#N/A,#N/A,FALSE,"DiarEAPF";#N/A,#N/A,FALSE,"MixDiarPF";#N/A,#N/A,FALSE,"TarifPF";#N/A,#N/A,FALSE,"LocPF";#N/A,#N/A,FALSE,"DiaLocPF";#N/A,#N/A,FALSE,"KmDiaPF";#N/A,#N/A,FALSE,"ClienPF AC";#N/A,#N/A,FALSE,"FormaRecPF";#N/A,#N/A,FALSE,"FormaRecPF+ML";#N/A,#N/A,FALSE,"RecDiaPF";#N/A,#N/A,FALSE,"MetaPJ";#N/A,#N/A,FALSE,"DAtendPJ";#N/A,#N/A,FALSE,"DiarPJ";#N/A,#N/A,FALSE,"MixDiarPJ";#N/A,#N/A,FALSE,"TarifPJ";#N/A,#N/A,FALSE,"LocPJ+ML";#N/A,#N/A,FALSE,"DiaLocPJ";#N/A,#N/A,FALSE,"KmDiaPJ";#N/A,#N/A,FALSE,"ClienPJ AC";#N/A,#N/A,FALSE,"FormaRecPJ";#N/A,#N/A,FALSE,"FormaRecPJ+ML";#N/A,#N/A,FALSE,"RecDiaPJ";#N/A,#N/A,FALSE,"MetaAG+ML";#N/A,#N/A,FALSE,"DAtendAG";#N/A,#N/A,FALSE,"MixAG";#N/A,#N/A,FALSE,"MixAG+ML";#N/A,#N/A,FALSE,"DiarAG";#N/A,#N/A,FALSE,"MixDiarAG";#N/A,#N/A,FALSE,"TarifAG";#N/A,#N/A,FALSE,"LocAG";#N/A,#N/A,FALSE,"DiaLocAG";#N/A,#N/A,FALSE,"KmDiaAG";#N/A,#N/A,FALSE,"ClienAG AC";#N/A,#N/A,FALSE,"FormaRecSeg";#N/A,#N/A,FALSE,"FormaRecAG";#N/A,#N/A,FALSE,"RecDiaAG";#N/A,#N/A,FALSE,"LocComAG";#N/A,#N/A,FALSE,"LocComAG+ML";#N/A,#N/A,FALSE,"MetaMI";#N/A,#N/A,FALSE,"MetaMI+ML";#N/A,#N/A,FALSE,"FormaRecMI+ML";#N/A,#N/A,FALSE,"LocComAGMI";#N/A,#N/A,FALSE,"TarifMI";#N/A,#N/A,FALSE,"DAtendMI";#N/A,#N/A,FALSE,"DiarMI";#N/A,#N/A,FALSE,"MixDiarMI";#N/A,#N/A,FALSE,"LocMI";#N/A,#N/A,FALSE,"DiaLocMI";#N/A,#N/A,FALSE,"KmDiaMI";#N/A,#N/A,FALSE,"FormaRecMI";#N/A,#N/A,FALSE,"FormaRecMI+ML";#N/A,#N/A,FALSE,"LocComAG";#N/A,#N/A,FALSE,"LocComAGMI+ML";#N/A,#N/A,FALSE,"MetaME";#N/A,#N/A,FALSE,"DiarME";#N/A,#N/A,FALSE,"MixME";#N/A,#N/A,FALSE,"DAtendME";#N/A,#N/A,FALSE,"MixDiarME";#N/A,#N/A,FALSE,"TarifME";#N/A,#N/A,FALSE,"LocME";#N/A,#N/A,FALSE,"DiaLocME";#N/A,#N/A,FALSE,"KmDiaME";#N/A,#N/A,FALSE,"FormaRecME";#N/A,#N/A,FALSE,"LocComAGME";#N/A,#N/A,FALSE,"MetaRE";#N/A,#N/A,FALSE,"DiarRE";#N/A,#N/A,FALSE,"MixDiarRE";#N/A,#N/A,FALSE,"TarifRE";#N/A,#N/A,FALSE,"LocRE";#N/A,#N/A,FALSE,"DiaLocRE";#N/A,#N/A,FALSE,"KmDiaRE";#N/A,#N/A,FALSE,"ClienRE";#N/A,#N/A,FALSE,"FormaRecRE";#N/A,#N/A,FALSE,"RecDiaRE";#N/A,#N/A,FALSE,"MetaGL";#N/A,#N/A,FALSE,"DiarGL";#N/A,#N/A,FALSE,"MixDiarGL";#N/A,#N/A,FALSE,"TarifGL";#N/A,#N/A,FALSE,"LocGL";#N/A,#N/A,FALSE,"DiaLocLIC";#N/A,#N/A,FALSE,"KmDiaGL";#N/A,#N/A,FALSE,"ClienGL";#N/A,#N/A,FALSE,"FormaRecGL";#N/A,#N/A,FALSE,"RecDiaGL";#N/A,#N/A,FALSE,"FormaRecML";#N/A,#N/A,FALSE,"MixDiarML";#N/A,#N/A,FALSE,"TarifML";#N/A,#N/A,FALSE,"LocML";#N/A,#N/A,FALSE,"DiaLocML";#N/A,#N/A,FALSE,"KmDiaML";#N/A,#N/A,FALSE,"FormaRecML"}</definedName>
    <definedName name="wrn.Rig_Flavio." hidden="1">{#N/A,#N/A,FALSE,"RecBrMod";#N/A,#N/A,FALSE,"FormaRec";#N/A,#N/A,FALSE,"FormaRecSeg";#N/A,#N/A,FALSE,"RecBrSegm";#N/A,#N/A,FALSE,"Frota";#N/A,#N/A,FALSE,"FrAlug";#N/A,#N/A,FALSE,"Util";#N/A,#N/A,FALSE,"VrFrOp";#N/A,#N/A,FALSE,"MetaAten";#N/A,#N/A,FALSE,"ObjVen";#N/A,#N/A,FALSE,"DiarEA";#N/A,#N/A,FALSE,"DiarSegmEA+AM";#N/A,#N/A,FALSE,"DiarSegmEA";#N/A,#N/A,FALSE,"MixDiar";#N/A,#N/A,FALSE,"Loc";#N/A,#N/A,FALSE,"LocSegm+AM";#N/A,#N/A,FALSE,"LocSegm";#N/A,#N/A,FALSE,"DiaLoc";#N/A,#N/A,FALSE,"DiaLocSegm";#N/A,#N/A,FALSE,"KmLoc";#N/A,#N/A,FALSE,"KmDia";#N/A,#N/A,FALSE,"DiarVE";#N/A,#N/A,FALSE,"DiarSegmEV+AM";#N/A,#N/A,FALSE,"DiarSegmEV";#N/A,#N/A,FALSE,"RecBr";#N/A,#N/A,FALSE,"RecLPV";#N/A,#N/A,FALSE,"CCred";#N/A,#N/A,FALSE,"EvCCred";#N/A,#N/A,FALSE,"DescProm";#N/A,#N/A,FALSE,"DescPrSeg";#N/A,#N/A,FALSE,"TarifLL";#N/A,#N/A,FALSE,"ClienLL";#N/A,#N/A,FALSE,"ClienFV";#N/A,#N/A,FALSE,"Indic99";#N/A,#N/A,FALSE,"Indic98"}</definedName>
    <definedName name="wrn.Segments." hidden="1">{"view1",#N/A,FALSE,"Consolidated";"view2",#N/A,FALSE,"Consolidated (sum)";"view1",#N/A,FALSE,"Gen Sys";"view1",#N/A,FALSE,"Semicon";"view1",#N/A,FALSE,"Mess|Med";"view1",#N/A,FALSE,"Land Mob";"view1",#N/A,FALSE,"Other Prod";"view1",#N/A,FALSE,"Adj|Elim"}</definedName>
    <definedName name="wrn.Sensitivity._.Analysis." hidden="1">{"Sensitivity Tables",#N/A,FALSE,"DCF"}</definedName>
    <definedName name="wrn.Setembro." hidden="1">{"Fecha_Setembro",#N/A,FALSE,"FECHAMENTO-2002 ";"Defer_Setembro",#N/A,FALSE,"DIFERIDO";"Pis_Setembro",#N/A,FALSE,"PIS COFINS";"Iss_Setembro",#N/A,FALSE,"ISS"}</definedName>
    <definedName name="wrn.tabelas." hidden="1">{#N/A,#N/A,FALSE,"V-R-gr";#N/A,#N/A,FALSE,"Veículos -gr"}</definedName>
    <definedName name="wrn.Tables." hidden="1">{"view1",#N/A,FALSE,"Tables";"view2",#N/A,FALSE,"Tables";"view3",#N/A,FALSE,"Tables"}</definedName>
    <definedName name="wrn.todos." hidden="1">{#N/A,#N/A,FALSE,"balnc_hist";#N/A,#N/A,FALSE,"G&amp;P-HIST";#N/A,#N/A,FALSE,"PATRI_HIST";#N/A,#N/A,FALSE,"FLUJ_HIST";#N/A,#N/A,FALSE,"balanc_ajus";#N/A,#N/A,FALSE,"G&amp;pAJUS";#N/A,#N/A,FALSE,"patr_ajus";#N/A,#N/A,FALSE,"fluj_ajus"}</definedName>
    <definedName name="wrn.Wochenbericht." hidden="1">{#N/A,#N/A,FALSE,"WOBE_DE.XLS";#N/A,#N/A,FALSE,"WOB_1.XLS";#N/A,#N/A,FALSE,"WOB_2.XLS";#N/A,#N/A,FALSE,"WOB_3.XLS";#N/A,#N/A,FALSE,"WOB_4.XLS";#N/A,#N/A,FALSE,"WOB_5.XLS"}</definedName>
    <definedName name="wrn.Wochenbericht._.o.._.Deckblatt." hidden="1">{#N/A,#N/A,FALSE,"WOB_1.XLS";#N/A,#N/A,FALSE,"WOB_2.XLS";#N/A,#N/A,FALSE,"WOB_3.XLS";#N/A,#N/A,FALSE,"WOB_4.XLS";#N/A,#N/A,FALSE,"WOB_5.XLS"}</definedName>
    <definedName name="wvu.Asset_Liability." hidden="1">{TRUE,TRUE,-0.5,-14.75,483,275.25,FALSE,FALSE,TRUE,TRUE,0,23,#N/A,7,#N/A,6.375,17.2941176470588,1,FALSE,FALSE,3,TRUE,1,FALSE,100,"Swvu.Asset_Liability.","ACwvu.Asset_Liability.",#N/A,FALSE,FALSE,0,0,0,0,2,"","",TRUE,TRUE,FALSE,FALSE,1,#N/A,1,1,"=R7C23:R48C33",FALSE,#N/A,#N/A,FALSE,FALSE,FALSE,39,#N/A,#N/A,FALSE,FALSE,TRUE,TRUE,TRUE}</definedName>
    <definedName name="wvu.Profit_Loss." hidden="1">{TRUE,TRUE,-0.5,-14.75,483,275.25,FALSE,FALSE,TRUE,TRUE,0,3,#N/A,6,#N/A,7,16.7647058823529,1,FALSE,FALSE,3,TRUE,1,FALSE,100,"Swvu.Profit_Loss.","ACwvu.Profit_Loss.",#N/A,FALSE,FALSE,0,0,0,0,1,"","",TRUE,TRUE,FALSE,FALSE,1,#N/A,1,1,"=R5C2:R75C20",FALSE,#N/A,#N/A,FALSE,FALSE,FALSE,39,#N/A,#N/A,FALSE,FALSE,TRUE,TRUE,TRUE}</definedName>
    <definedName name="wwww" hidden="1">{#N/A,#N/A,FALSE,"Aging Summary";#N/A,#N/A,FALSE,"Ratio Analysis";#N/A,#N/A,FALSE,"Test 120 Day Accts";#N/A,#N/A,FALSE,"Tickmarks"}</definedName>
    <definedName name="x" hidden="1">{"view1",#N/A,FALSE,"EARN (US$)";"view1",#N/A,FALSE,"DASTBS (US$)";"view1",#N/A,FALSE,"DASTCF (US$)"}</definedName>
    <definedName name="XCXCX" hidden="1">{#N/A,#N/A,FALSE,"Aging Summary";#N/A,#N/A,FALSE,"Ratio Analysis";#N/A,#N/A,FALSE,"Test 120 Day Accts";#N/A,#N/A,FALSE,"Tickmarks"}</definedName>
    <definedName name="xdf" hidden="1">{#N/A,#N/A,FALSE,"Aging Summary";#N/A,#N/A,FALSE,"Ratio Analysis";#N/A,#N/A,FALSE,"Test 120 Day Accts";#N/A,#N/A,FALSE,"Tickmarks"}</definedName>
    <definedName name="xpto" hidden="1">{#N/A,#N/A,FALSE,"MetaMI";#N/A,#N/A,FALSE,"MetaMI+ML";#N/A,#N/A,FALSE,"DAtendMI";#N/A,#N/A,FALSE,"DiarMI";#N/A,#N/A,FALSE,"LocMI";#N/A,#N/A,FALSE,"DiaLocMI";#N/A,#N/A,FALSE,"KmDiaMI";#N/A,#N/A,FALSE,"TarifMI";#N/A,#N/A,FALSE,"MixDiarMI";#N/A,#N/A,FALSE,"FormaRecMI";#N/A,#N/A,FALSE,"FormaRecMI+ML";#N/A,#N/A,FALSE,"LocComAGMI";#N/A,#N/A,FALSE,"LocComAGMI+ML"}</definedName>
    <definedName name="XRe" hidden="1">#REF!</definedName>
    <definedName name="XRef" hidden="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22" hidden="1">#REF!</definedName>
    <definedName name="XREF_COLUMN_23" hidden="1">#REF!</definedName>
    <definedName name="XREF_COLUMN_24"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32" hidden="1">#REF!</definedName>
    <definedName name="XREF_COLUMN_33" hidden="1">#REF!</definedName>
    <definedName name="XREF_COLUMN_38"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3</definedName>
    <definedName name="XRefCopy1" hidden="1">#REF!</definedName>
    <definedName name="XRefCopy10" hidden="1">#REF!</definedName>
    <definedName name="XRefCopy100" hidden="1">#REF!</definedName>
    <definedName name="XRefCopy101" hidden="1">#REF!</definedName>
    <definedName name="XRefCopy102" hidden="1">#REF!</definedName>
    <definedName name="XRefCopy103" hidden="1">#REF!</definedName>
    <definedName name="XRefCopy104" hidden="1">#REF!</definedName>
    <definedName name="XRefCopy105" hidden="1">#REF!</definedName>
    <definedName name="XRefCopy106" hidden="1">#REF!</definedName>
    <definedName name="XRefCopy107" hidden="1">#REF!</definedName>
    <definedName name="XRefCopy108" hidden="1">#REF!</definedName>
    <definedName name="XRefCopy109" hidden="1">#REF!</definedName>
    <definedName name="XRefCopy10Row" hidden="1">#REF!</definedName>
    <definedName name="XRefCopy11" hidden="1">#REF!</definedName>
    <definedName name="XRefCopy110" hidden="1">#REF!</definedName>
    <definedName name="XRefCopy111" hidden="1">#REF!</definedName>
    <definedName name="XRefCopy112" hidden="1">#REF!</definedName>
    <definedName name="XRefCopy113" hidden="1">#REF!</definedName>
    <definedName name="XRefCopy114" hidden="1">#REF!</definedName>
    <definedName name="XRefCopy115" hidden="1">#REF!</definedName>
    <definedName name="XRefCopy116" hidden="1">#REF!</definedName>
    <definedName name="XRefCopy117" hidden="1">#REF!</definedName>
    <definedName name="XRefCopy118" hidden="1">#REF!</definedName>
    <definedName name="XRefCopy119" hidden="1">#REF!</definedName>
    <definedName name="XRefCopy11Row" hidden="1">#REF!</definedName>
    <definedName name="XRefCopy12" hidden="1">#REF!</definedName>
    <definedName name="XRefCopy120" hidden="1">#REF!</definedName>
    <definedName name="XRefCopy122" hidden="1">#REF!</definedName>
    <definedName name="XRefCopy123" hidden="1">#REF!</definedName>
    <definedName name="XRefCopy124" hidden="1">#REF!</definedName>
    <definedName name="XRefCopy125" hidden="1">#REF!</definedName>
    <definedName name="XRefCopy126" hidden="1">#REF!</definedName>
    <definedName name="XRefCopy127" hidden="1">#REF!</definedName>
    <definedName name="XRefCopy128" hidden="1">#REF!</definedName>
    <definedName name="XRefCopy129" hidden="1">#REF!</definedName>
    <definedName name="XRefCopy12Row" hidden="1">#REF!</definedName>
    <definedName name="XRefCopy13" hidden="1">#REF!</definedName>
    <definedName name="XRefCopy131"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Row" hidden="1">#REF!</definedName>
    <definedName name="XRefCopy52Row" hidden="1">#REF!</definedName>
    <definedName name="XRefCopy53" hidden="1">#REF!</definedName>
    <definedName name="XRefCopy53Row"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Row" hidden="1">#REF!</definedName>
    <definedName name="XRefCopy58" hidden="1">#REF!</definedName>
    <definedName name="XRefCopy58Row" hidden="1">#REF!</definedName>
    <definedName name="XRefCopy59" hidden="1">#REF!</definedName>
    <definedName name="XRefCopy59Row" hidden="1">#REF!</definedName>
    <definedName name="XRefCopy5Row" hidden="1">#REF!</definedName>
    <definedName name="XRefCopy6" hidden="1">#REF!</definedName>
    <definedName name="XRefCopy60Row" hidden="1">#REF!</definedName>
    <definedName name="XRefCopy61" hidden="1">#REF!</definedName>
    <definedName name="XRefCopy61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 hidden="1">#REF!</definedName>
    <definedName name="XRefCopy67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1" hidden="1">#REF!</definedName>
    <definedName name="XRefCopy71Row" hidden="1">#REF!</definedName>
    <definedName name="XRefCopy72Row" hidden="1">#REF!</definedName>
    <definedName name="XRefCopy73" hidden="1">#REF!</definedName>
    <definedName name="XRefCopy73Row" hidden="1">#REF!</definedName>
    <definedName name="XRefCopy74" hidden="1">#REF!</definedName>
    <definedName name="XRefCopy74Row" hidden="1">#REF!</definedName>
    <definedName name="XRefCopy75Row" hidden="1">#REF!</definedName>
    <definedName name="XRefCopy76Row" hidden="1">#REF!</definedName>
    <definedName name="XRefCopy77" hidden="1">#REF!</definedName>
    <definedName name="XRefCopy77Row" hidden="1">#REF!</definedName>
    <definedName name="XRefCopy78" hidden="1">#REF!</definedName>
    <definedName name="XRefCopy78Row" hidden="1">#REF!</definedName>
    <definedName name="XRefCopy79" hidden="1">#REF!</definedName>
    <definedName name="XRefCopy79Row" hidden="1">#REF!</definedName>
    <definedName name="XRefCopy7Row" hidden="1">#REF!</definedName>
    <definedName name="XRefCopy8" hidden="1">#REF!</definedName>
    <definedName name="XRefCopy80" hidden="1">#REF!</definedName>
    <definedName name="XRefCopy80Row" hidden="1">#REF!</definedName>
    <definedName name="XRefCopy81Row" hidden="1">#REF!</definedName>
    <definedName name="XRefCopy82Row" hidden="1">#REF!</definedName>
    <definedName name="XRefCopy83Row" hidden="1">#REF!</definedName>
    <definedName name="XRefCopy84Row" hidden="1">#REF!</definedName>
    <definedName name="XRefCopy85" hidden="1">#REF!</definedName>
    <definedName name="XRefCopy85Row" hidden="1">#REF!</definedName>
    <definedName name="XRefCopy86" hidden="1">#REF!</definedName>
    <definedName name="XRefCopy86Row" hidden="1">#REF!</definedName>
    <definedName name="XRefCopy87" hidden="1">#REF!</definedName>
    <definedName name="XRefCopy87Row" hidden="1">#REF!</definedName>
    <definedName name="XRefCopy88" hidden="1">#REF!</definedName>
    <definedName name="XRefCopy88Row" hidden="1">#REF!</definedName>
    <definedName name="XRefCopy89Row" hidden="1">#REF!</definedName>
    <definedName name="XRefCopy8Row" hidden="1">#REF!</definedName>
    <definedName name="XRefCopy9" hidden="1">#REF!</definedName>
    <definedName name="XRefCopy90Row" hidden="1">#REF!</definedName>
    <definedName name="XRefCopy91" hidden="1">#REF!</definedName>
    <definedName name="XRefCopy92" hidden="1">#REF!</definedName>
    <definedName name="XRefCopy94" hidden="1">#REF!</definedName>
    <definedName name="XRefCopy94Row" hidden="1">#REF!</definedName>
    <definedName name="XRefCopy95" hidden="1">#REF!</definedName>
    <definedName name="XRefCopy96" hidden="1">#REF!</definedName>
    <definedName name="XRefCopy97" hidden="1">#REF!</definedName>
    <definedName name="XRefCopy97Row" hidden="1">#REF!</definedName>
    <definedName name="XRefCopy98" hidden="1">#REF!</definedName>
    <definedName name="XRefCopy99" hidden="1">#REF!</definedName>
    <definedName name="XRefCopy9Row" hidden="1">#REF!</definedName>
    <definedName name="XRefCopyRangeCount" hidden="1">49</definedName>
    <definedName name="xrefi" hidden="1">#REF!</definedName>
    <definedName name="XRefPaste1" hidden="1">#REF!</definedName>
    <definedName name="XRefPaste10" hidden="1">#REF!</definedName>
    <definedName name="XRefPaste100Row" hidden="1">#REF!</definedName>
    <definedName name="XRefPaste101Row" hidden="1">#REF!</definedName>
    <definedName name="XRefPaste102Row" hidden="1">#REF!</definedName>
    <definedName name="XRefPaste103Row" hidden="1">#REF!</definedName>
    <definedName name="XRefPaste104Row" hidden="1">#REF!</definedName>
    <definedName name="XRefPaste105Row" hidden="1">#REF!</definedName>
    <definedName name="XRefPaste106Row" hidden="1">#REF!</definedName>
    <definedName name="XRefPaste107Row" hidden="1">#REF!</definedName>
    <definedName name="XRefPaste108Row" hidden="1">#REF!</definedName>
    <definedName name="XRefPaste109Row" hidden="1">#REF!</definedName>
    <definedName name="XRefPaste10Row" hidden="1">#REF!</definedName>
    <definedName name="XRefPaste11" hidden="1">#REF!</definedName>
    <definedName name="XRefPaste110Row" hidden="1">#REF!</definedName>
    <definedName name="XRefPaste111Row" hidden="1">#REF!</definedName>
    <definedName name="XRefPaste112Row" hidden="1">#REF!</definedName>
    <definedName name="XRefPaste113Row" hidden="1">#REF!</definedName>
    <definedName name="XRefPaste114Row" hidden="1">#REF!</definedName>
    <definedName name="XRefPaste115Row" hidden="1">#REF!</definedName>
    <definedName name="XRefPaste116Row" hidden="1">#REF!</definedName>
    <definedName name="XRefPaste117Row" hidden="1">#REF!</definedName>
    <definedName name="XRefPaste118Row" hidden="1">#REF!</definedName>
    <definedName name="XRefPaste119Row" hidden="1">#REF!</definedName>
    <definedName name="XRefPaste11Row" hidden="1">#REF!</definedName>
    <definedName name="XRefPaste12" hidden="1">#REF!</definedName>
    <definedName name="XRefPaste120Row" hidden="1">#REF!</definedName>
    <definedName name="XRefPaste121Row" hidden="1">#REF!</definedName>
    <definedName name="XRefPaste122Row" hidden="1">#REF!</definedName>
    <definedName name="XRefPaste123Row" hidden="1">#REF!</definedName>
    <definedName name="XRefPaste124Row" hidden="1">#REF!</definedName>
    <definedName name="XRefPaste125Row" hidden="1">#REF!</definedName>
    <definedName name="XRefPaste126Row" hidden="1">#REF!</definedName>
    <definedName name="XRefPaste127Row" hidden="1">#REF!</definedName>
    <definedName name="XRefPaste128Row" hidden="1">#REF!</definedName>
    <definedName name="XRefPaste129Row" hidden="1">#REF!</definedName>
    <definedName name="XRefPaste12Row" hidden="1">#REF!</definedName>
    <definedName name="XRefPaste13" hidden="1">#REF!</definedName>
    <definedName name="XRefPaste130Row" hidden="1">#REF!</definedName>
    <definedName name="XRefPaste131Row" hidden="1">#REF!</definedName>
    <definedName name="XRefPaste132Row" hidden="1">#REF!</definedName>
    <definedName name="XRefPaste133Row" hidden="1">#REF!</definedName>
    <definedName name="XRefPaste134Row" hidden="1">#REF!</definedName>
    <definedName name="XRefPaste135Row" hidden="1">#REF!</definedName>
    <definedName name="XRefPaste136Row" hidden="1">#REF!</definedName>
    <definedName name="XRefPaste137Row" hidden="1">#REF!</definedName>
    <definedName name="XRefPaste138Row" hidden="1">#REF!</definedName>
    <definedName name="XRefPaste139Row" hidden="1">#REF!</definedName>
    <definedName name="XRefPaste13Row" hidden="1">#REF!</definedName>
    <definedName name="XRefPaste14" hidden="1">#REF!</definedName>
    <definedName name="XRefPaste140Row" hidden="1">#REF!</definedName>
    <definedName name="XRefPaste141Row" hidden="1">#REF!</definedName>
    <definedName name="XRefPaste142Row" hidden="1">#REF!</definedName>
    <definedName name="XRefPaste143Row" hidden="1">#REF!</definedName>
    <definedName name="XRefPaste144Row" hidden="1">#REF!</definedName>
    <definedName name="XRefPaste145Row" hidden="1">#REF!</definedName>
    <definedName name="XRefPaste146Row" hidden="1">#REF!</definedName>
    <definedName name="XRefPaste147Row" hidden="1">#REF!</definedName>
    <definedName name="XRefPaste148Row" hidden="1">#REF!</definedName>
    <definedName name="XRefPaste149Row" hidden="1">#REF!</definedName>
    <definedName name="XRefPaste14Row" hidden="1">#REF!</definedName>
    <definedName name="XRefPaste15" hidden="1">#REF!</definedName>
    <definedName name="XRefPaste150Row" hidden="1">#REF!</definedName>
    <definedName name="XRefPaste151Row" hidden="1">#REF!</definedName>
    <definedName name="XRefPaste152Row" hidden="1">#REF!</definedName>
    <definedName name="XRefPaste153Row" hidden="1">#REF!</definedName>
    <definedName name="XRefPaste154Row" hidden="1">#REF!</definedName>
    <definedName name="XRefPaste155Row" hidden="1">#REF!</definedName>
    <definedName name="XRefPaste156Row" hidden="1">#REF!</definedName>
    <definedName name="XRefPaste157Row" hidden="1">#REF!</definedName>
    <definedName name="XRefPaste158Row" hidden="1">#REF!</definedName>
    <definedName name="XRefPaste159Row" hidden="1">#REF!</definedName>
    <definedName name="XRefPaste15Row" hidden="1">#REF!</definedName>
    <definedName name="XRefPaste16" hidden="1">#REF!</definedName>
    <definedName name="XRefPaste160Row" hidden="1">#REF!</definedName>
    <definedName name="XRefPaste161Row" hidden="1">#REF!</definedName>
    <definedName name="XRefPaste162Row" hidden="1">#REF!</definedName>
    <definedName name="XRefPaste163Row" hidden="1">#REF!</definedName>
    <definedName name="XRefPaste164Row" hidden="1">#REF!</definedName>
    <definedName name="XRefPaste165Row" hidden="1">#REF!</definedName>
    <definedName name="XRefPaste16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1" hidden="1">#REF!</definedName>
    <definedName name="XRefPaste202"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Row" hidden="1">#REF!</definedName>
    <definedName name="XRefPaste42Row" hidden="1">#REF!</definedName>
    <definedName name="XRefPaste43Row" hidden="1">#REF!</definedName>
    <definedName name="XRefPaste44Row" hidden="1">#REF!</definedName>
    <definedName name="XRefPaste45Row"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5Row"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Row" hidden="1">#REF!</definedName>
    <definedName name="XRefPaste61Row" hidden="1">#REF!</definedName>
    <definedName name="XRefPaste62Row" hidden="1">#REF!</definedName>
    <definedName name="XRefPaste63" hidden="1">#REF!</definedName>
    <definedName name="XRefPaste64" hidden="1">#REF!</definedName>
    <definedName name="XRefPaste65" hidden="1">#REF!</definedName>
    <definedName name="XRefPaste65Row" hidden="1">#REF!</definedName>
    <definedName name="XRefPaste66Row" hidden="1">#REF!</definedName>
    <definedName name="XRefPaste67Row" hidden="1">#REF!</definedName>
    <definedName name="XRefPaste68Row" hidden="1">#REF!</definedName>
    <definedName name="XRefPaste69Row" hidden="1">#REF!</definedName>
    <definedName name="XRefPaste6Row" hidden="1">#REF!</definedName>
    <definedName name="XRefPaste7" hidden="1">#REF!</definedName>
    <definedName name="XRefPaste70Row" hidden="1">#REF!</definedName>
    <definedName name="XRefPaste71Row" hidden="1">#REF!</definedName>
    <definedName name="XRefPaste72" hidden="1">#REF!</definedName>
    <definedName name="XRefPaste72Row" hidden="1">#REF!</definedName>
    <definedName name="XRefPaste73Row" hidden="1">#REF!</definedName>
    <definedName name="XRefPaste74Row" hidden="1">#REF!</definedName>
    <definedName name="XRefPaste75Row" hidden="1">#REF!</definedName>
    <definedName name="XRefPaste76Row" hidden="1">#REF!</definedName>
    <definedName name="XRefPaste77Row" hidden="1">#REF!</definedName>
    <definedName name="XRefPaste78Row" hidden="1">#REF!</definedName>
    <definedName name="XRefPaste79Row" hidden="1">#REF!</definedName>
    <definedName name="XRefPaste7Row" hidden="1">#REF!</definedName>
    <definedName name="XRefPaste8" hidden="1">#REF!</definedName>
    <definedName name="XRefPaste80Row" hidden="1">#REF!</definedName>
    <definedName name="XRefPaste81Row" hidden="1">#REF!</definedName>
    <definedName name="XRefPaste82Row" hidden="1">#REF!</definedName>
    <definedName name="XRefPaste83Row" hidden="1">#REF!</definedName>
    <definedName name="XRefPaste84Row" hidden="1">#REF!</definedName>
    <definedName name="XRefPaste85Row" hidden="1">#REF!</definedName>
    <definedName name="XRefPaste86Row" hidden="1">#REF!</definedName>
    <definedName name="XRefPaste87Row" hidden="1">#REF!</definedName>
    <definedName name="XRefPaste88Row" hidden="1">#REF!</definedName>
    <definedName name="XRefPaste89Row" hidden="1">#REF!</definedName>
    <definedName name="XRefPaste8Row" hidden="1">#REF!</definedName>
    <definedName name="XRefPaste9" hidden="1">#REF!</definedName>
    <definedName name="XRefPaste90Row" hidden="1">#REF!</definedName>
    <definedName name="XRefPaste91Row" hidden="1">#REF!</definedName>
    <definedName name="XRefPaste92Row" hidden="1">#REF!</definedName>
    <definedName name="XRefPaste93Row" hidden="1">#REF!</definedName>
    <definedName name="XRefPaste94Row" hidden="1">#REF!</definedName>
    <definedName name="XRefPaste95Row" hidden="1">#REF!</definedName>
    <definedName name="XRefPaste96Row" hidden="1">#REF!</definedName>
    <definedName name="XRefPaste97Row" hidden="1">#REF!</definedName>
    <definedName name="XRefPaste98Row" hidden="1">#REF!</definedName>
    <definedName name="XRefPaste99Row" hidden="1">#REF!</definedName>
    <definedName name="XRefPaste9Row" hidden="1">#REF!</definedName>
    <definedName name="XRefPasteRangeCount" hidden="1">40</definedName>
    <definedName name="xx" hidden="1">#REF!</definedName>
    <definedName name="XXXXXXXX" hidden="1">{"Profit_Loss",#N/A,FALSE,"Input Sheet"}</definedName>
    <definedName name="XXXXXXXXXXXXXXXXXXXXXXXXXXXXX" hidden="1">{"Profit_Loss",#N/A,FALSE,"Input Sheet"}</definedName>
    <definedName name="YENY" hidden="1">{#N/A,#N/A,FALSE,"Aging Summary";#N/A,#N/A,FALSE,"Ratio Analysis";#N/A,#N/A,FALSE,"Test 120 Day Accts";#N/A,#N/A,FALSE,"Tickmarks"}</definedName>
    <definedName name="yy" hidden="1">{"Fecha_Novembro",#N/A,FALSE,"FECHAMENTO-2002 ";"Defer_Novembro",#N/A,FALSE,"DIFERIDO";"Pis_Novembro",#N/A,FALSE,"PIS COFINS";"Iss_Novembro",#N/A,FALSE,"ISS"}</definedName>
    <definedName name="yyy" hidden="1">{"Fecha_Novembro",#N/A,FALSE,"FECHAMENTO-2002 ";"Defer_Novembro",#N/A,FALSE,"DIFERIDO";"Pis_Novembro",#N/A,FALSE,"PIS COFINS";"Iss_Novembro",#N/A,FALSE,"ISS"}</definedName>
    <definedName name="yyyyy" hidden="1">{"Fecha_Outubro",#N/A,FALSE,"FECHAMENTO-2002 ";"Defer_Outubro",#N/A,FALSE,"DIFERIDO";"Pis_Outubro",#N/A,FALSE,"PIS COFINS";"Iss_Outubro",#N/A,FALSE,"ISS"}</definedName>
    <definedName name="yyyyyy" hidden="1">{"Fecha_Setembro",#N/A,FALSE,"FECHAMENTO-2002 ";"Defer_Setembro",#N/A,FALSE,"DIFERIDO";"Pis_Setembro",#N/A,FALSE,"PIS COFINS";"Iss_Setembro",#N/A,FALSE,"ISS"}</definedName>
    <definedName name="yyyyyyy" hidden="1">{#N/A,#N/A,FALSE,"HONORÁRIOS"}</definedName>
    <definedName name="yyyyyyyy" hidden="1">{"Fecha_Dezembro",#N/A,FALSE,"FECHAMENTO-2002 ";"Defer_Dezermbro",#N/A,FALSE,"DIFERIDO";"Pis_Dezembro",#N/A,FALSE,"PIS COFINS";"Iss_Dezembro",#N/A,FALSE,"ISS"}</definedName>
    <definedName name="yyyyyyyyyyyyyyyy" hidden="1">{"Fecha_Dezembro",#N/A,FALSE,"FECHAMENTO-2002 ";"Defer_Dezermbro",#N/A,FALSE,"DIFERIDO";"Pis_Dezembro",#N/A,FALSE,"PIS COFINS";"Iss_Dezembro",#N/A,FALSE,"ISS"}</definedName>
    <definedName name="yyyyyyyyyyyyyyyyyyy" hidden="1">{"Fecha_Dezembro",#N/A,FALSE,"FECHAMENTO-2002 ";"Defer_Dezermbro",#N/A,FALSE,"DIFERIDO";"Pis_Dezembro",#N/A,FALSE,"PIS COFINS";"Iss_Dezembro",#N/A,FALSE,"ISS"}</definedName>
    <definedName name="yyyyyyyyyyyyyyyyyyyyyyyyyyyyyyyyyyy" hidden="1">{"Profit_Loss",#N/A,FALSE,"Input Sheet";"Asset_Liability",#N/A,FALSE,"Input Sheet"}</definedName>
    <definedName name="Z_1985B260_DC01_11D8_A672_000102451E3B_.wvu.PrintArea" hidden="1">#REF!</definedName>
    <definedName name="Z_1985B260_DC01_11D8_A672_000102451E3B_.wvu.PrintTitles" hidden="1">#REF!</definedName>
    <definedName name="Z_1985B260_DC01_11D8_A672_000102451E3B_.wvu.Rows" hidden="1">#REF!,#REF!,#REF!,#REF!,#REF!,#REF!,#REF!,#REF!,#REF!,#REF!,#REF!,#REF!,#REF!,#REF!,#REF!,#REF!,#REF!,#REF!,#REF!,#REF!,#REF!,#REF!,#REF!,#REF!,#REF!,#REF!,#REF!</definedName>
    <definedName name="Z_1FA1B411_C91E_11D8_9DB6_005004ACA56B_.wvu.PrintArea" hidden="1">#REF!</definedName>
    <definedName name="Z_1FA1B411_C91E_11D8_9DB6_005004ACA56B_.wvu.PrintTitles" hidden="1">#REF!</definedName>
    <definedName name="Z_1FA1B411_C91E_11D8_9DB6_005004ACA56B_.wvu.Rows" hidden="1">#REF!,#REF!,#REF!,#REF!,#REF!,#REF!,#REF!,#REF!,#REF!,#REF!,#REF!,#REF!,#REF!,#REF!,#REF!,#REF!,#REF!,#REF!,#REF!,#REF!,#REF!,#REF!,#REF!,#REF!,#REF!,#REF!,#REF!</definedName>
    <definedName name="Z_28310E63_1BED_43E8_9C48_B639BCAB51F1_.wvu.PrintArea" hidden="1">#REF!</definedName>
    <definedName name="Z_28310E63_1BED_43E8_9C48_B639BCAB51F1_.wvu.PrintTitles" hidden="1">#REF!</definedName>
    <definedName name="Z_28310E63_1BED_43E8_9C48_B639BCAB51F1_.wvu.Rows" hidden="1">#REF!,#REF!,#REF!,#REF!,#REF!,#REF!,#REF!,#REF!,#REF!,#REF!,#REF!,#REF!,#REF!,#REF!,#REF!,#REF!,#REF!,#REF!,#REF!,#REF!,#REF!,#REF!,#REF!,#REF!,#REF!,#REF!,#REF!</definedName>
    <definedName name="Z_7F2EA402_44AC_40B0_93A5_1169A482C9E4_.wvu.Cols" hidden="1">#REF!,#REF!</definedName>
    <definedName name="Z_7F2EA402_44AC_40B0_93A5_1169A482C9E4_.wvu.Rows" hidden="1">#REF!,#REF!,#REF!,#REF!,#REF!,#REF!</definedName>
    <definedName name="Z_AC2610F1_C926_11D8_BFE1_00403359B8C3_.wvu.PrintArea" hidden="1">#REF!</definedName>
    <definedName name="Z_AC2610F1_C926_11D8_BFE1_00403359B8C3_.wvu.PrintTitles" hidden="1">#REF!</definedName>
    <definedName name="Z_AC2610F1_C926_11D8_BFE1_00403359B8C3_.wvu.Rows" hidden="1">#REF!,#REF!,#REF!,#REF!</definedName>
    <definedName name="zsz" hidden="1">{#N/A,#N/A,FALSE,"Aging Summary";#N/A,#N/A,FALSE,"Ratio Analysis";#N/A,#N/A,FALSE,"Test 120 Day Accts";#N/A,#N/A,FALSE,"Tickmarks"}</definedName>
    <definedName name="zz" hidden="1">{#N/A,#N/A,FALSE,"Aging Summary";#N/A,#N/A,FALSE,"Ratio Analysis";#N/A,#N/A,FALSE,"Test 120 Day Accts";#N/A,#N/A,FALSE,"Tickmarks"}</definedName>
    <definedName name="zzz" hidden="1">{#N/A,#N/A,FALSE,"WOBE_DE.XLS";#N/A,#N/A,FALSE,"WOB_1.XLS";#N/A,#N/A,FALSE,"WOB_2.XLS";#N/A,#N/A,FALSE,"WOB_3.XLS";#N/A,#N/A,FALSE,"WOB_4.XLS";#N/A,#N/A,FALSE,"WOB_5.XLS"}</definedName>
    <definedName name="zzzzzzzzzzzzzzzzzzzzzzzzzzzzzzzzzz" hidden="1">{"Asset_Liability",#N/A,FALSE,"Input Sheet"}</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L30" i="1" l="1"/>
  <c r="CL74" i="1"/>
  <c r="AA13" i="3"/>
  <c r="CQ17" i="5"/>
  <c r="CP368" i="1"/>
  <c r="CO368" i="1"/>
  <c r="CN368" i="1"/>
  <c r="CM368" i="1"/>
  <c r="AC31" i="3"/>
  <c r="AD31" i="3"/>
  <c r="AA16" i="3"/>
  <c r="CP115" i="1"/>
  <c r="CO115" i="1"/>
  <c r="CN115" i="1"/>
  <c r="CM115" i="1"/>
  <c r="CP109" i="1"/>
  <c r="CO109" i="1"/>
  <c r="CN109" i="1"/>
  <c r="CM109" i="1"/>
  <c r="DT233" i="1"/>
  <c r="DU233" i="1" s="1"/>
  <c r="DV233" i="1" s="1"/>
  <c r="DS225" i="1"/>
  <c r="CP236" i="1"/>
  <c r="CP224" i="1"/>
  <c r="CP307" i="1" s="1"/>
  <c r="DR114" i="2"/>
  <c r="CM90" i="2"/>
  <c r="CN90" i="2"/>
  <c r="CO90" i="2" s="1"/>
  <c r="CP90" i="2" s="1"/>
  <c r="CL264" i="2"/>
  <c r="CK265" i="2"/>
  <c r="CP222" i="2"/>
  <c r="CP221" i="2" s="1"/>
  <c r="CO222" i="2"/>
  <c r="CN222" i="2"/>
  <c r="CM222" i="2"/>
  <c r="CK211" i="2"/>
  <c r="DQ321" i="2"/>
  <c r="DQ312" i="2" s="1"/>
  <c r="DQ314" i="2"/>
  <c r="DQ294" i="2"/>
  <c r="DQ124" i="2"/>
  <c r="DQ126" i="2" s="1"/>
  <c r="DQ93" i="2"/>
  <c r="DQ57" i="2"/>
  <c r="DQ55" i="2"/>
  <c r="DQ15" i="2"/>
  <c r="DQ248" i="2"/>
  <c r="DQ240" i="2"/>
  <c r="DQ233" i="2"/>
  <c r="DQ234" i="2" s="1"/>
  <c r="DQ196" i="2"/>
  <c r="DQ166" i="2"/>
  <c r="DQ168" i="2" s="1"/>
  <c r="DQ94" i="2"/>
  <c r="DQ59" i="2"/>
  <c r="DQ21" i="2"/>
  <c r="DQ249" i="2"/>
  <c r="DQ129" i="2"/>
  <c r="DQ22" i="2"/>
  <c r="DQ16" i="2"/>
  <c r="DQ1" i="2"/>
  <c r="DQ283" i="5"/>
  <c r="DQ229" i="5"/>
  <c r="DQ223" i="5"/>
  <c r="DQ222" i="5"/>
  <c r="DQ221" i="5"/>
  <c r="DQ220" i="5"/>
  <c r="DQ219" i="5"/>
  <c r="DQ213" i="5"/>
  <c r="DQ212" i="5"/>
  <c r="DQ193" i="5"/>
  <c r="DQ185" i="5"/>
  <c r="DQ33" i="5"/>
  <c r="DQ32" i="5"/>
  <c r="DQ48" i="5" s="1"/>
  <c r="DQ31" i="5"/>
  <c r="DQ59" i="5" s="1"/>
  <c r="DQ127" i="5"/>
  <c r="DQ124" i="5"/>
  <c r="DQ121" i="5"/>
  <c r="DQ120" i="5"/>
  <c r="DQ118" i="5"/>
  <c r="DQ116" i="5"/>
  <c r="DQ147" i="5" s="1"/>
  <c r="DQ115" i="5"/>
  <c r="DQ113" i="5"/>
  <c r="DQ111" i="5"/>
  <c r="DQ110" i="5"/>
  <c r="DQ106" i="5"/>
  <c r="DQ103" i="5"/>
  <c r="DQ100" i="5"/>
  <c r="DQ99" i="5"/>
  <c r="DQ91" i="5"/>
  <c r="DQ67" i="5" s="1"/>
  <c r="DQ83" i="5" s="1"/>
  <c r="DQ333" i="5"/>
  <c r="DQ330" i="5"/>
  <c r="DQ327" i="5"/>
  <c r="DQ321" i="5"/>
  <c r="DQ313" i="5"/>
  <c r="DQ311" i="5"/>
  <c r="DQ309" i="5"/>
  <c r="DQ307" i="5"/>
  <c r="DQ299" i="5"/>
  <c r="DQ298" i="5"/>
  <c r="DQ288" i="5"/>
  <c r="DQ287" i="5"/>
  <c r="DQ270" i="5"/>
  <c r="DQ183" i="5"/>
  <c r="DQ142" i="5"/>
  <c r="DQ141" i="5"/>
  <c r="DQ145" i="5"/>
  <c r="DQ148" i="5"/>
  <c r="DQ82" i="5"/>
  <c r="DQ74" i="5"/>
  <c r="DQ65" i="5"/>
  <c r="DQ64" i="5"/>
  <c r="DQ49" i="5"/>
  <c r="DQ2" i="5"/>
  <c r="DR383" i="1"/>
  <c r="DR192" i="1"/>
  <c r="DR99" i="1"/>
  <c r="DR247" i="1"/>
  <c r="DR248" i="1" s="1"/>
  <c r="DR245" i="1"/>
  <c r="DR326" i="1"/>
  <c r="DR325" i="1"/>
  <c r="DR324" i="1"/>
  <c r="DR323" i="1"/>
  <c r="DR315" i="1"/>
  <c r="DR314" i="1"/>
  <c r="DR313" i="1"/>
  <c r="DR312" i="1"/>
  <c r="DR311" i="1"/>
  <c r="DR310" i="1"/>
  <c r="DR309" i="1"/>
  <c r="DR246" i="1"/>
  <c r="DR61" i="1"/>
  <c r="DR45" i="1"/>
  <c r="DR42" i="1"/>
  <c r="DR1" i="1"/>
  <c r="AW143" i="6"/>
  <c r="AX143" i="6" s="1"/>
  <c r="AY143" i="6" s="1"/>
  <c r="AX142" i="6"/>
  <c r="AW142" i="6"/>
  <c r="AW141" i="6"/>
  <c r="AX141" i="6" s="1"/>
  <c r="AY141" i="6" s="1"/>
  <c r="AW140" i="6"/>
  <c r="AW139" i="6"/>
  <c r="AX139" i="6" s="1"/>
  <c r="AY139" i="6" s="1"/>
  <c r="AW138" i="6"/>
  <c r="AW137" i="6"/>
  <c r="AX137" i="6" s="1"/>
  <c r="AY137" i="6" s="1"/>
  <c r="AW136" i="6"/>
  <c r="AX136" i="6" s="1"/>
  <c r="AW133" i="6"/>
  <c r="AX133" i="6" s="1"/>
  <c r="AY133" i="6" s="1"/>
  <c r="AZ133" i="6" s="1"/>
  <c r="AW132" i="6"/>
  <c r="AX132" i="6" s="1"/>
  <c r="AY132" i="6" s="1"/>
  <c r="AZ132" i="6" s="1"/>
  <c r="AW131" i="6"/>
  <c r="AX131" i="6" s="1"/>
  <c r="AY131" i="6" s="1"/>
  <c r="AZ131" i="6" s="1"/>
  <c r="AW130" i="6"/>
  <c r="AX130" i="6" s="1"/>
  <c r="AY130" i="6" s="1"/>
  <c r="AZ130" i="6" s="1"/>
  <c r="AW129" i="6"/>
  <c r="AX129" i="6" s="1"/>
  <c r="AY129" i="6" s="1"/>
  <c r="AZ129" i="6" s="1"/>
  <c r="AW128" i="6"/>
  <c r="AX128" i="6" s="1"/>
  <c r="AY128" i="6" s="1"/>
  <c r="AZ128" i="6" s="1"/>
  <c r="AW127" i="6"/>
  <c r="AX127" i="6" s="1"/>
  <c r="AY127" i="6" s="1"/>
  <c r="AZ127" i="6" s="1"/>
  <c r="AW121" i="6"/>
  <c r="AX121" i="6" s="1"/>
  <c r="AW120" i="6"/>
  <c r="AX120" i="6" s="1"/>
  <c r="AY119" i="6"/>
  <c r="AZ119" i="6" s="1"/>
  <c r="AX119" i="6"/>
  <c r="AW119" i="6"/>
  <c r="AW118" i="6"/>
  <c r="AX118" i="6" s="1"/>
  <c r="AW116" i="6"/>
  <c r="AX116" i="6" s="1"/>
  <c r="AW115" i="6"/>
  <c r="AX115" i="6" s="1"/>
  <c r="AW110" i="6"/>
  <c r="AW106" i="6"/>
  <c r="AW103" i="6"/>
  <c r="AX103" i="6" s="1"/>
  <c r="AY103" i="6" s="1"/>
  <c r="AZ103" i="6" s="1"/>
  <c r="AW102" i="6"/>
  <c r="AX102" i="6" s="1"/>
  <c r="AY102" i="6" s="1"/>
  <c r="AZ102" i="6" s="1"/>
  <c r="AW101" i="6"/>
  <c r="AX101" i="6" s="1"/>
  <c r="AW100" i="6"/>
  <c r="AX100" i="6" s="1"/>
  <c r="AY100" i="6" s="1"/>
  <c r="AZ100" i="6" s="1"/>
  <c r="AW99" i="6"/>
  <c r="AW98" i="6"/>
  <c r="AX98" i="6" s="1"/>
  <c r="AY98" i="6" s="1"/>
  <c r="AZ98" i="6" s="1"/>
  <c r="AW97" i="6"/>
  <c r="AW65" i="6"/>
  <c r="AW64" i="6"/>
  <c r="AX64" i="6" s="1"/>
  <c r="AY64" i="6" s="1"/>
  <c r="AZ64" i="6" s="1"/>
  <c r="AW63" i="6"/>
  <c r="AW62" i="6"/>
  <c r="AX62" i="6" s="1"/>
  <c r="AY62" i="6" s="1"/>
  <c r="AZ62" i="6" s="1"/>
  <c r="AW61" i="6"/>
  <c r="AW60" i="6"/>
  <c r="AX60" i="6" s="1"/>
  <c r="AY60" i="6" s="1"/>
  <c r="AZ60" i="6" s="1"/>
  <c r="AW59" i="6"/>
  <c r="AW47" i="6"/>
  <c r="AX47" i="6" s="1"/>
  <c r="AY47" i="6" s="1"/>
  <c r="AZ47" i="6" s="1"/>
  <c r="AW46" i="6"/>
  <c r="AX46" i="6" s="1"/>
  <c r="AY46" i="6" s="1"/>
  <c r="AZ46" i="6" s="1"/>
  <c r="AW45" i="6"/>
  <c r="AX45" i="6" s="1"/>
  <c r="AY45" i="6" s="1"/>
  <c r="AZ45" i="6" s="1"/>
  <c r="AW44" i="6"/>
  <c r="AX44" i="6" s="1"/>
  <c r="AY44" i="6" s="1"/>
  <c r="AZ44" i="6" s="1"/>
  <c r="AW43" i="6"/>
  <c r="AX43" i="6" s="1"/>
  <c r="AY43" i="6" s="1"/>
  <c r="AZ43" i="6" s="1"/>
  <c r="AW42" i="6"/>
  <c r="AX42" i="6" s="1"/>
  <c r="AY42" i="6" s="1"/>
  <c r="AZ42" i="6" s="1"/>
  <c r="AW41" i="6"/>
  <c r="AZ12" i="6"/>
  <c r="AY12" i="6"/>
  <c r="AX12" i="6"/>
  <c r="AW12" i="6"/>
  <c r="AZ4" i="6"/>
  <c r="AY4" i="6"/>
  <c r="AX4" i="6"/>
  <c r="AW4" i="6"/>
  <c r="CM321" i="2"/>
  <c r="CM312" i="2"/>
  <c r="CM309" i="2"/>
  <c r="CP274" i="2"/>
  <c r="CO274" i="2"/>
  <c r="CN274" i="2"/>
  <c r="CM274" i="2"/>
  <c r="CM271" i="2"/>
  <c r="CM249" i="2"/>
  <c r="CN249" i="2" s="1"/>
  <c r="CO242" i="2"/>
  <c r="CN242" i="2"/>
  <c r="CO240" i="2"/>
  <c r="CN240" i="2"/>
  <c r="CM240" i="2"/>
  <c r="CP219" i="2"/>
  <c r="CO219" i="2"/>
  <c r="CN219" i="2"/>
  <c r="CM219" i="2"/>
  <c r="CM197" i="2"/>
  <c r="CN197" i="2" s="1"/>
  <c r="CO166" i="2"/>
  <c r="CN166" i="2"/>
  <c r="CO221" i="2" s="1"/>
  <c r="CM166" i="2"/>
  <c r="CO124" i="2"/>
  <c r="CN124" i="2"/>
  <c r="CM124" i="2"/>
  <c r="CM99" i="1" s="1"/>
  <c r="CM93" i="2"/>
  <c r="CN93" i="2" s="1"/>
  <c r="CN72" i="2" s="1"/>
  <c r="CM85" i="2"/>
  <c r="CM72" i="2"/>
  <c r="CM38" i="2"/>
  <c r="CN38" i="2" s="1"/>
  <c r="CM34" i="2"/>
  <c r="CO21" i="2"/>
  <c r="CN21" i="2"/>
  <c r="CM15" i="2"/>
  <c r="CP3" i="2"/>
  <c r="CO3" i="2"/>
  <c r="CN3" i="2"/>
  <c r="CM3" i="2"/>
  <c r="CN1" i="2"/>
  <c r="CO1" i="2" s="1"/>
  <c r="CP1" i="2" s="1"/>
  <c r="CM1" i="2"/>
  <c r="CM330" i="5"/>
  <c r="CM327" i="5"/>
  <c r="CM325" i="5"/>
  <c r="CN321" i="5"/>
  <c r="CM321" i="5"/>
  <c r="CN310" i="5"/>
  <c r="CM310" i="5"/>
  <c r="CM307" i="5"/>
  <c r="CN287" i="5"/>
  <c r="CM287" i="5"/>
  <c r="CN283" i="5"/>
  <c r="CO283" i="5" s="1"/>
  <c r="CM283" i="5"/>
  <c r="CP235" i="5"/>
  <c r="CP213" i="5"/>
  <c r="CO213" i="5"/>
  <c r="CN213" i="5"/>
  <c r="CM213" i="5"/>
  <c r="CP201" i="5"/>
  <c r="CO201" i="5"/>
  <c r="CN201" i="5"/>
  <c r="CM201" i="5"/>
  <c r="CP197" i="5"/>
  <c r="CO197" i="5"/>
  <c r="CN197" i="5"/>
  <c r="CM197" i="5"/>
  <c r="CM63" i="5" s="1"/>
  <c r="CM183" i="5"/>
  <c r="CN183" i="5" s="1"/>
  <c r="CO183" i="5" s="1"/>
  <c r="CP183" i="5" s="1"/>
  <c r="CP174" i="5"/>
  <c r="CO174" i="5"/>
  <c r="CN174" i="5"/>
  <c r="CP160" i="5"/>
  <c r="CN160" i="5"/>
  <c r="CO160" i="5" s="1"/>
  <c r="CM160" i="5"/>
  <c r="CM148" i="5"/>
  <c r="CP147" i="5"/>
  <c r="CO147" i="5"/>
  <c r="CN147" i="5"/>
  <c r="CM147" i="5"/>
  <c r="CM121" i="5"/>
  <c r="CN121" i="5" s="1"/>
  <c r="CO121" i="5" s="1"/>
  <c r="CP121" i="5" s="1"/>
  <c r="CN118" i="5"/>
  <c r="CO118" i="5" s="1"/>
  <c r="CP118" i="5" s="1"/>
  <c r="CM118" i="5"/>
  <c r="CM115" i="5"/>
  <c r="CN115" i="5" s="1"/>
  <c r="CO115" i="5" s="1"/>
  <c r="CP115" i="5" s="1"/>
  <c r="CM113" i="5"/>
  <c r="CN113" i="5" s="1"/>
  <c r="CO113" i="5" s="1"/>
  <c r="CP113" i="5" s="1"/>
  <c r="CM106" i="5"/>
  <c r="CN106" i="5" s="1"/>
  <c r="CO106" i="5" s="1"/>
  <c r="CP106" i="5" s="1"/>
  <c r="CM103" i="5"/>
  <c r="CM100" i="5"/>
  <c r="CM99" i="5"/>
  <c r="CM91" i="5"/>
  <c r="CN91" i="5" s="1"/>
  <c r="CP82" i="5"/>
  <c r="CO82" i="5"/>
  <c r="CN82" i="5"/>
  <c r="CM82" i="5"/>
  <c r="CN81" i="5"/>
  <c r="CM81" i="5"/>
  <c r="CP74" i="5"/>
  <c r="CO74" i="5"/>
  <c r="CN74" i="5"/>
  <c r="CM74" i="5"/>
  <c r="CM67" i="5"/>
  <c r="CM83" i="5" s="1"/>
  <c r="CP63" i="5"/>
  <c r="CP81" i="5" s="1"/>
  <c r="CO63" i="5"/>
  <c r="CO81" i="5" s="1"/>
  <c r="CN63" i="5"/>
  <c r="CP59" i="5"/>
  <c r="CO59" i="5"/>
  <c r="CN59" i="5"/>
  <c r="CM59" i="5"/>
  <c r="CP49" i="5"/>
  <c r="CO49" i="5"/>
  <c r="CN49" i="5"/>
  <c r="CM49" i="5"/>
  <c r="CP48" i="5"/>
  <c r="CO48" i="5"/>
  <c r="CN48" i="5"/>
  <c r="CM48" i="5"/>
  <c r="CM42" i="5"/>
  <c r="CM2" i="5"/>
  <c r="CN2" i="5" s="1"/>
  <c r="CO2" i="5" s="1"/>
  <c r="CP2" i="5" s="1"/>
  <c r="CM401" i="1"/>
  <c r="CP383" i="1"/>
  <c r="CO383" i="1"/>
  <c r="CN383" i="1"/>
  <c r="CM383" i="1"/>
  <c r="CP372" i="1"/>
  <c r="CO372" i="1"/>
  <c r="CP326" i="1"/>
  <c r="CO326" i="1"/>
  <c r="CN326" i="1"/>
  <c r="CM326" i="1"/>
  <c r="CP325" i="1"/>
  <c r="CO325" i="1"/>
  <c r="CN325" i="1"/>
  <c r="CM325" i="1"/>
  <c r="CP324" i="1"/>
  <c r="CO324" i="1"/>
  <c r="CN324" i="1"/>
  <c r="CM324" i="1"/>
  <c r="CO323" i="1"/>
  <c r="CN323" i="1"/>
  <c r="CM323" i="1"/>
  <c r="CO321" i="1"/>
  <c r="CN321" i="1"/>
  <c r="CM321" i="1"/>
  <c r="CP315" i="1"/>
  <c r="CO315" i="1"/>
  <c r="CN315" i="1"/>
  <c r="CM315" i="1"/>
  <c r="CP314" i="1"/>
  <c r="CO314" i="1"/>
  <c r="CN314" i="1"/>
  <c r="CM314" i="1"/>
  <c r="CP313" i="1"/>
  <c r="CO313" i="1"/>
  <c r="CN313" i="1"/>
  <c r="CM313" i="1"/>
  <c r="CP312" i="1"/>
  <c r="CO312" i="1"/>
  <c r="CN312" i="1"/>
  <c r="CM312" i="1"/>
  <c r="CP311" i="1"/>
  <c r="CO311" i="1"/>
  <c r="CN311" i="1"/>
  <c r="CM311" i="1"/>
  <c r="CP310" i="1"/>
  <c r="CO310" i="1"/>
  <c r="CN310" i="1"/>
  <c r="CM310" i="1"/>
  <c r="CO309" i="1"/>
  <c r="CN309" i="1"/>
  <c r="CM309" i="1"/>
  <c r="CO307" i="1"/>
  <c r="CN307" i="1"/>
  <c r="CM307" i="1"/>
  <c r="DR307" i="1" s="1"/>
  <c r="DR308" i="1" s="1"/>
  <c r="CP302" i="1"/>
  <c r="CO302" i="1"/>
  <c r="CN302" i="1"/>
  <c r="CM302" i="1"/>
  <c r="CO283" i="1"/>
  <c r="CN283" i="1"/>
  <c r="CM283" i="1"/>
  <c r="CN279" i="1"/>
  <c r="CO279" i="1" s="1"/>
  <c r="CP279" i="1" s="1"/>
  <c r="CM279" i="1"/>
  <c r="CO251" i="1"/>
  <c r="CN251" i="1"/>
  <c r="CM251" i="1"/>
  <c r="CM248" i="1"/>
  <c r="CN248" i="1" s="1"/>
  <c r="CO248" i="1" s="1"/>
  <c r="CP248" i="1" s="1"/>
  <c r="CO241" i="1"/>
  <c r="CN241" i="1"/>
  <c r="CM241" i="1"/>
  <c r="CM238" i="1"/>
  <c r="CN238" i="1" s="1"/>
  <c r="CO238" i="1" s="1"/>
  <c r="CP238" i="1" s="1"/>
  <c r="CO229" i="1"/>
  <c r="CN229" i="1"/>
  <c r="CM229" i="1"/>
  <c r="CP191" i="1"/>
  <c r="CO191" i="1"/>
  <c r="CN191" i="1"/>
  <c r="CM191" i="1"/>
  <c r="CN143" i="1"/>
  <c r="CM143" i="1"/>
  <c r="CO140" i="1"/>
  <c r="CN140" i="1"/>
  <c r="CM140" i="1"/>
  <c r="CM138" i="1"/>
  <c r="CM134" i="1"/>
  <c r="CN134" i="1" s="1"/>
  <c r="CO134" i="1" s="1"/>
  <c r="CP134" i="1" s="1"/>
  <c r="CP118" i="1"/>
  <c r="CO118" i="1"/>
  <c r="CN118" i="1"/>
  <c r="CM118" i="1"/>
  <c r="CO82" i="1"/>
  <c r="CO86" i="1" s="1"/>
  <c r="CN82" i="1"/>
  <c r="CN12" i="5" s="1"/>
  <c r="CM82" i="1"/>
  <c r="CP74" i="1"/>
  <c r="CO74" i="1"/>
  <c r="CN74" i="1"/>
  <c r="CM74" i="1"/>
  <c r="CN45" i="1"/>
  <c r="CM45" i="1"/>
  <c r="CM23" i="1"/>
  <c r="CM20" i="1"/>
  <c r="CM1" i="1"/>
  <c r="CN1" i="1" s="1"/>
  <c r="CO1" i="1" s="1"/>
  <c r="CP1" i="1" s="1"/>
  <c r="CO12" i="5" l="1"/>
  <c r="CM12" i="5"/>
  <c r="DT225" i="1"/>
  <c r="DU225" i="1" s="1"/>
  <c r="DV225" i="1" s="1"/>
  <c r="CP321" i="1"/>
  <c r="CP322" i="1" s="1"/>
  <c r="DQ241" i="2"/>
  <c r="DQ58" i="2"/>
  <c r="DQ56" i="2"/>
  <c r="DQ167" i="2"/>
  <c r="DQ72" i="2"/>
  <c r="DQ197" i="2"/>
  <c r="DQ201" i="5"/>
  <c r="DQ300" i="5"/>
  <c r="DQ301" i="5" s="1"/>
  <c r="DQ322" i="5"/>
  <c r="DQ308" i="5"/>
  <c r="DQ328" i="5"/>
  <c r="DQ197" i="5"/>
  <c r="DQ85" i="5"/>
  <c r="DR306" i="1"/>
  <c r="DR316" i="1" s="1"/>
  <c r="DR388" i="1"/>
  <c r="AY115" i="6"/>
  <c r="AY101" i="6"/>
  <c r="AZ101" i="6" s="1"/>
  <c r="AX110" i="6"/>
  <c r="AY121" i="6"/>
  <c r="AX112" i="6"/>
  <c r="AY136" i="6"/>
  <c r="AZ110" i="6"/>
  <c r="AZ126" i="6"/>
  <c r="AZ125" i="6" s="1"/>
  <c r="AX59" i="6"/>
  <c r="AY120" i="6"/>
  <c r="AX111" i="6"/>
  <c r="AX138" i="6"/>
  <c r="AW112" i="6"/>
  <c r="AX140" i="6"/>
  <c r="AW40" i="6"/>
  <c r="AX61" i="6"/>
  <c r="AX65" i="6"/>
  <c r="AW96" i="6"/>
  <c r="AY118" i="6"/>
  <c r="AW126" i="6"/>
  <c r="AW125" i="6" s="1"/>
  <c r="AZ141" i="6"/>
  <c r="AY116" i="6"/>
  <c r="AX107" i="6"/>
  <c r="AZ143" i="6"/>
  <c r="AX63" i="6"/>
  <c r="AX99" i="6"/>
  <c r="AZ139" i="6"/>
  <c r="AX41" i="6"/>
  <c r="AX97" i="6"/>
  <c r="AX106" i="6" s="1"/>
  <c r="AX126" i="6"/>
  <c r="AX125" i="6" s="1"/>
  <c r="AY126" i="6"/>
  <c r="AY125" i="6" s="1"/>
  <c r="AZ137" i="6"/>
  <c r="AY142" i="6"/>
  <c r="AW107" i="6"/>
  <c r="AW111" i="6"/>
  <c r="CO61" i="1"/>
  <c r="CO22" i="2"/>
  <c r="CN221" i="2"/>
  <c r="CO93" i="2"/>
  <c r="CO72" i="2" s="1"/>
  <c r="CM46" i="2"/>
  <c r="CN15" i="2"/>
  <c r="CO249" i="2"/>
  <c r="CN248" i="2"/>
  <c r="CP309" i="2"/>
  <c r="CN61" i="1"/>
  <c r="CN22" i="2"/>
  <c r="CN99" i="1"/>
  <c r="CN127" i="2"/>
  <c r="CO99" i="1"/>
  <c r="CO127" i="2"/>
  <c r="CN85" i="2"/>
  <c r="CN196" i="2"/>
  <c r="CO197" i="2"/>
  <c r="CM21" i="2"/>
  <c r="CN89" i="2"/>
  <c r="CO38" i="2"/>
  <c r="CN271" i="2"/>
  <c r="CN309" i="2"/>
  <c r="CN321" i="2"/>
  <c r="CN312" i="2" s="1"/>
  <c r="CO309" i="2"/>
  <c r="CO321" i="2"/>
  <c r="CO312" i="2" s="1"/>
  <c r="CO287" i="5"/>
  <c r="CO91" i="5"/>
  <c r="CN288" i="5"/>
  <c r="CN270" i="5" s="1"/>
  <c r="CN67" i="5"/>
  <c r="CN83" i="5" s="1"/>
  <c r="CN141" i="5"/>
  <c r="CN99" i="5"/>
  <c r="CN307" i="5"/>
  <c r="CO310" i="5"/>
  <c r="CN330" i="5"/>
  <c r="CM288" i="5"/>
  <c r="CM270" i="5" s="1"/>
  <c r="CM141" i="5"/>
  <c r="CO321" i="5"/>
  <c r="CM229" i="5"/>
  <c r="CN100" i="5"/>
  <c r="CP283" i="5"/>
  <c r="CN325" i="5"/>
  <c r="CN103" i="5"/>
  <c r="CN327" i="5"/>
  <c r="CO143" i="1"/>
  <c r="CN86" i="1"/>
  <c r="CO45" i="1"/>
  <c r="CN138" i="1"/>
  <c r="CN20" i="1"/>
  <c r="CO20" i="1" s="1"/>
  <c r="CN23" i="1"/>
  <c r="CO23" i="1" s="1"/>
  <c r="CN372" i="1"/>
  <c r="CN401" i="1"/>
  <c r="CP308" i="1"/>
  <c r="CO373" i="1"/>
  <c r="CP373" i="1"/>
  <c r="CO89" i="2" l="1"/>
  <c r="DQ63" i="5"/>
  <c r="DQ81" i="5" s="1"/>
  <c r="AX105" i="6"/>
  <c r="AY59" i="6"/>
  <c r="AY65" i="6"/>
  <c r="AY138" i="6"/>
  <c r="AZ142" i="6"/>
  <c r="AZ118" i="6"/>
  <c r="AZ121" i="6"/>
  <c r="AZ112" i="6" s="1"/>
  <c r="AY112" i="6"/>
  <c r="AX96" i="6"/>
  <c r="AY97" i="6"/>
  <c r="AZ116" i="6"/>
  <c r="AZ107" i="6" s="1"/>
  <c r="AY107" i="6"/>
  <c r="AX40" i="6"/>
  <c r="AY41" i="6"/>
  <c r="AY99" i="6"/>
  <c r="AY61" i="6"/>
  <c r="AZ115" i="6"/>
  <c r="AY106" i="6"/>
  <c r="AZ120" i="6"/>
  <c r="AZ111" i="6" s="1"/>
  <c r="AY111" i="6"/>
  <c r="AZ136" i="6"/>
  <c r="AY140" i="6"/>
  <c r="AW105" i="6"/>
  <c r="AY63" i="6"/>
  <c r="AY110" i="6"/>
  <c r="CP321" i="2"/>
  <c r="CP312" i="2" s="1"/>
  <c r="CO196" i="2"/>
  <c r="CP197" i="2"/>
  <c r="CP196" i="2" s="1"/>
  <c r="CO271" i="2"/>
  <c r="CP271" i="2" s="1"/>
  <c r="CP38" i="2"/>
  <c r="CP249" i="2"/>
  <c r="CP248" i="2" s="1"/>
  <c r="CO248" i="2"/>
  <c r="CN46" i="2"/>
  <c r="CO15" i="2"/>
  <c r="CM61" i="1"/>
  <c r="CM22" i="2"/>
  <c r="CP93" i="2"/>
  <c r="CP72" i="2" s="1"/>
  <c r="CO85" i="2"/>
  <c r="CO330" i="5"/>
  <c r="CP310" i="5"/>
  <c r="CO327" i="5"/>
  <c r="CP321" i="5"/>
  <c r="CO99" i="5"/>
  <c r="CO103" i="5"/>
  <c r="CN148" i="5"/>
  <c r="CN229" i="5"/>
  <c r="CO100" i="5"/>
  <c r="CO325" i="5"/>
  <c r="CO307" i="5"/>
  <c r="CO67" i="5"/>
  <c r="CO83" i="5" s="1"/>
  <c r="CO141" i="5"/>
  <c r="CO288" i="5"/>
  <c r="CO270" i="5" s="1"/>
  <c r="CP287" i="5"/>
  <c r="CP91" i="5"/>
  <c r="CP45" i="1"/>
  <c r="CO138" i="1"/>
  <c r="CP143" i="1"/>
  <c r="CP23" i="1"/>
  <c r="CP20" i="1"/>
  <c r="CO401" i="1"/>
  <c r="AY40" i="6" l="1"/>
  <c r="AZ41" i="6"/>
  <c r="AZ40" i="6" s="1"/>
  <c r="AZ65" i="6"/>
  <c r="AZ140" i="6"/>
  <c r="AY105" i="6"/>
  <c r="AZ106" i="6"/>
  <c r="AZ61" i="6"/>
  <c r="AY96" i="6"/>
  <c r="AZ97" i="6"/>
  <c r="AZ59" i="6"/>
  <c r="AZ63" i="6"/>
  <c r="AZ99" i="6"/>
  <c r="AZ138" i="6"/>
  <c r="CO276" i="2"/>
  <c r="CP85" i="2"/>
  <c r="CP276" i="2"/>
  <c r="CO46" i="2"/>
  <c r="CP15" i="2"/>
  <c r="CP307" i="5"/>
  <c r="CP141" i="5"/>
  <c r="CP288" i="5"/>
  <c r="CP270" i="5" s="1"/>
  <c r="CP67" i="5"/>
  <c r="CP83" i="5" s="1"/>
  <c r="CO148" i="5"/>
  <c r="CP103" i="5"/>
  <c r="CP99" i="5"/>
  <c r="CP330" i="5"/>
  <c r="CO229" i="5"/>
  <c r="CP100" i="5"/>
  <c r="CP229" i="5" s="1"/>
  <c r="CP325" i="5"/>
  <c r="CP327" i="5"/>
  <c r="CP138" i="1"/>
  <c r="CP401" i="1"/>
  <c r="AZ96" i="6" l="1"/>
  <c r="AZ105" i="6"/>
  <c r="CP46" i="2"/>
  <c r="CP148" i="5"/>
  <c r="AP364" i="1" l="1"/>
  <c r="AO364" i="1"/>
  <c r="AN364" i="1"/>
  <c r="AM364" i="1"/>
  <c r="AL364" i="1"/>
  <c r="AK364" i="1"/>
  <c r="AJ364" i="1"/>
  <c r="AI364" i="1"/>
  <c r="AH364" i="1"/>
  <c r="AG364" i="1"/>
  <c r="AF364" i="1"/>
  <c r="AE364" i="1"/>
  <c r="AD364" i="1"/>
  <c r="AC364" i="1"/>
  <c r="AB364" i="1"/>
  <c r="AA364" i="1"/>
  <c r="Z364" i="1"/>
  <c r="Y364" i="1"/>
  <c r="X364" i="1"/>
  <c r="W364" i="1"/>
  <c r="V364" i="1"/>
  <c r="U364" i="1"/>
  <c r="T364" i="1"/>
  <c r="S364" i="1"/>
  <c r="R364" i="1"/>
  <c r="Q364" i="1"/>
  <c r="P364" i="1"/>
  <c r="O364" i="1"/>
  <c r="N364" i="1"/>
  <c r="M364" i="1"/>
  <c r="L364" i="1"/>
  <c r="K364" i="1"/>
  <c r="J364" i="1"/>
  <c r="I364" i="1"/>
  <c r="H364" i="1"/>
  <c r="G364" i="1"/>
  <c r="F364" i="1"/>
  <c r="E364" i="1"/>
  <c r="D364" i="1"/>
  <c r="C364" i="1"/>
  <c r="DC11" i="8"/>
  <c r="DB11" i="8"/>
  <c r="DA11" i="8"/>
  <c r="CZ11" i="8"/>
  <c r="CY11" i="8"/>
  <c r="CX11" i="8"/>
  <c r="CW11" i="8"/>
  <c r="CW10" i="8"/>
  <c r="DC9" i="8"/>
  <c r="DB9" i="8"/>
  <c r="DA9" i="8"/>
  <c r="CZ9" i="8"/>
  <c r="CY9" i="8"/>
  <c r="CX9" i="8"/>
  <c r="CW9" i="8"/>
  <c r="DC8" i="8"/>
  <c r="DB8" i="8"/>
  <c r="DA8" i="8"/>
  <c r="CZ8" i="8"/>
  <c r="CY8" i="8"/>
  <c r="CX8" i="8"/>
  <c r="CW8" i="8"/>
  <c r="CG354" i="1"/>
  <c r="CF2" i="1"/>
  <c r="CF2" i="2" s="1"/>
  <c r="DC7" i="8"/>
  <c r="DB7" i="8"/>
  <c r="DA7" i="8"/>
  <c r="CZ7" i="8"/>
  <c r="CY7" i="8"/>
  <c r="CX7" i="8"/>
  <c r="CW7" i="8"/>
  <c r="DC6" i="8"/>
  <c r="DB6" i="8"/>
  <c r="DA6" i="8"/>
  <c r="CZ6" i="8"/>
  <c r="CY6" i="8"/>
  <c r="CX6" i="8"/>
  <c r="CW6" i="8"/>
  <c r="AL160" i="6"/>
  <c r="CA291" i="2"/>
  <c r="DC5" i="8"/>
  <c r="DB5" i="8"/>
  <c r="DA5" i="8"/>
  <c r="CZ5" i="8"/>
  <c r="CY5" i="8"/>
  <c r="CX5" i="8"/>
  <c r="CW5" i="8"/>
  <c r="CY4" i="8"/>
  <c r="CX4" i="8"/>
  <c r="CW4" i="8"/>
  <c r="CX3" i="8"/>
  <c r="CW3" i="8"/>
  <c r="CC354" i="1"/>
  <c r="CD2" i="1"/>
  <c r="CD2" i="2" s="1"/>
  <c r="EI12" i="8"/>
  <c r="EH12" i="8"/>
  <c r="EM11" i="8"/>
  <c r="EL11" i="8"/>
  <c r="EK11" i="8"/>
  <c r="EJ11" i="8"/>
  <c r="EI11" i="8"/>
  <c r="EH11" i="8"/>
  <c r="EM9" i="8"/>
  <c r="EL9" i="8"/>
  <c r="EK9" i="8"/>
  <c r="EJ9" i="8"/>
  <c r="EI9" i="8"/>
  <c r="EH9" i="8"/>
  <c r="EK8" i="8"/>
  <c r="EJ8" i="8"/>
  <c r="EI8" i="8"/>
  <c r="EH8" i="8"/>
  <c r="DQ354" i="1" s="1"/>
  <c r="DP354" i="1"/>
  <c r="EI7" i="8"/>
  <c r="EH7" i="8"/>
  <c r="EM5" i="8"/>
  <c r="EM6" i="8" s="1"/>
  <c r="EL5" i="8"/>
  <c r="EL6" i="8" s="1"/>
  <c r="EK5" i="8"/>
  <c r="EK6" i="8" s="1"/>
  <c r="EJ5" i="8"/>
  <c r="EJ6" i="8" s="1"/>
  <c r="DR304" i="2" s="1"/>
  <c r="EI5" i="8"/>
  <c r="EI6" i="8" s="1"/>
  <c r="EH5" i="8"/>
  <c r="EH6" i="8" s="1"/>
  <c r="DP304" i="2" s="1"/>
  <c r="CV11" i="8"/>
  <c r="CV10" i="8"/>
  <c r="CV9" i="8"/>
  <c r="CV8" i="8"/>
  <c r="CV7" i="8"/>
  <c r="CV6" i="8"/>
  <c r="CI291" i="2" s="1"/>
  <c r="CV5" i="8"/>
  <c r="CV4" i="8"/>
  <c r="CV3" i="8"/>
  <c r="CK308" i="2"/>
  <c r="CK321" i="2"/>
  <c r="CK294" i="2"/>
  <c r="CK164" i="2"/>
  <c r="CK207" i="2"/>
  <c r="CK217" i="2"/>
  <c r="CK210" i="2"/>
  <c r="CK26" i="2" s="1"/>
  <c r="CK258" i="2"/>
  <c r="CK248" i="2"/>
  <c r="CK264" i="2"/>
  <c r="CK240" i="2"/>
  <c r="CK166" i="2"/>
  <c r="CK126" i="2"/>
  <c r="CK85" i="2"/>
  <c r="CK59" i="2"/>
  <c r="CK58" i="2"/>
  <c r="CK56" i="2"/>
  <c r="CK299" i="5"/>
  <c r="CJ299" i="5"/>
  <c r="CK298" i="5"/>
  <c r="CJ298" i="5"/>
  <c r="AT12" i="6" s="1"/>
  <c r="CK288" i="5"/>
  <c r="CJ288" i="5"/>
  <c r="CJ270" i="5" s="1"/>
  <c r="CK287" i="5"/>
  <c r="CJ287" i="5"/>
  <c r="CK232" i="5"/>
  <c r="CK234" i="5" s="1"/>
  <c r="CK229" i="5"/>
  <c r="CJ229" i="5"/>
  <c r="CK214" i="5"/>
  <c r="CJ214" i="5" s="1"/>
  <c r="CK223" i="5"/>
  <c r="CJ222" i="5"/>
  <c r="DP222" i="5" s="1"/>
  <c r="CJ221" i="5"/>
  <c r="DP221" i="5" s="1"/>
  <c r="CJ220" i="5"/>
  <c r="DP220" i="5" s="1"/>
  <c r="CJ219" i="5"/>
  <c r="DP219" i="5" s="1"/>
  <c r="CJ216" i="5"/>
  <c r="CJ232" i="5" s="1"/>
  <c r="CJ213" i="5"/>
  <c r="CJ210" i="5"/>
  <c r="CJ201" i="5"/>
  <c r="CJ197" i="5"/>
  <c r="CJ63" i="5" s="1"/>
  <c r="CJ81" i="5" s="1"/>
  <c r="CK188" i="5"/>
  <c r="CJ188" i="5"/>
  <c r="CK142" i="5"/>
  <c r="CJ142" i="5"/>
  <c r="CJ303" i="2" s="1"/>
  <c r="CH142" i="5"/>
  <c r="CG142" i="5"/>
  <c r="CF142" i="5"/>
  <c r="CE142" i="5"/>
  <c r="CE303" i="2" s="1"/>
  <c r="CD142" i="5"/>
  <c r="CC142" i="5"/>
  <c r="CB142" i="5"/>
  <c r="CA142" i="5"/>
  <c r="BZ142" i="5"/>
  <c r="CA85" i="5" s="1"/>
  <c r="BY142" i="5"/>
  <c r="BX142" i="5"/>
  <c r="BW142" i="5"/>
  <c r="BV142" i="5"/>
  <c r="BU142" i="5"/>
  <c r="BT142" i="5"/>
  <c r="BS142" i="5"/>
  <c r="BR142" i="5"/>
  <c r="BQ142" i="5"/>
  <c r="BP142" i="5"/>
  <c r="BP303" i="2" s="1"/>
  <c r="BO142" i="5"/>
  <c r="BN142" i="5"/>
  <c r="BM142" i="5"/>
  <c r="BL142" i="5"/>
  <c r="BL303" i="2" s="1"/>
  <c r="BK142" i="5"/>
  <c r="BJ142" i="5"/>
  <c r="BI142" i="5"/>
  <c r="BH142" i="5"/>
  <c r="BG142" i="5"/>
  <c r="BF142" i="5"/>
  <c r="BE142" i="5"/>
  <c r="BD142" i="5"/>
  <c r="BC142" i="5"/>
  <c r="BB142" i="5"/>
  <c r="BB85" i="5" s="1"/>
  <c r="BA142" i="5"/>
  <c r="AZ142" i="5"/>
  <c r="AY142" i="5"/>
  <c r="AX142" i="5"/>
  <c r="AW142" i="5"/>
  <c r="AV142" i="5"/>
  <c r="AU142" i="5"/>
  <c r="U142" i="5"/>
  <c r="T142" i="5"/>
  <c r="S142" i="5"/>
  <c r="Q142" i="5"/>
  <c r="P142" i="5"/>
  <c r="O142" i="5"/>
  <c r="N142" i="5"/>
  <c r="M142" i="5"/>
  <c r="L142" i="5"/>
  <c r="K142" i="5"/>
  <c r="J142" i="5"/>
  <c r="I142" i="5"/>
  <c r="H142" i="5"/>
  <c r="G142" i="5"/>
  <c r="F142" i="5"/>
  <c r="E142" i="5"/>
  <c r="D142" i="5"/>
  <c r="D85" i="5" s="1"/>
  <c r="C142" i="5"/>
  <c r="CI142" i="5"/>
  <c r="CK150" i="5"/>
  <c r="CK149" i="5"/>
  <c r="CK148" i="5"/>
  <c r="CK147" i="5"/>
  <c r="CK146" i="5"/>
  <c r="CK144" i="5"/>
  <c r="CK141" i="5"/>
  <c r="CK140" i="5"/>
  <c r="CK135" i="5"/>
  <c r="CK134" i="5"/>
  <c r="CK133" i="5"/>
  <c r="CK67" i="5"/>
  <c r="CK83" i="5" s="1"/>
  <c r="CK60" i="5"/>
  <c r="CK59" i="5"/>
  <c r="CK49" i="5"/>
  <c r="CK48" i="5"/>
  <c r="CK42" i="5"/>
  <c r="CJ69" i="5"/>
  <c r="CJ67" i="5"/>
  <c r="CJ83" i="5" s="1"/>
  <c r="CJ65" i="5"/>
  <c r="CJ64" i="5"/>
  <c r="CJ59" i="5"/>
  <c r="CJ49" i="5"/>
  <c r="CJ48" i="5"/>
  <c r="CJ44" i="5"/>
  <c r="CJ42" i="5"/>
  <c r="CK277" i="1"/>
  <c r="CK268" i="1"/>
  <c r="CK262" i="1"/>
  <c r="CK258" i="1"/>
  <c r="CK243" i="1"/>
  <c r="CK246" i="1"/>
  <c r="CK248" i="1"/>
  <c r="CK253" i="1"/>
  <c r="CK252" i="1"/>
  <c r="CK236" i="1"/>
  <c r="CK238" i="1"/>
  <c r="CL238" i="1" s="1"/>
  <c r="CK240" i="1"/>
  <c r="CK242" i="1"/>
  <c r="CK231" i="1"/>
  <c r="CK230" i="1"/>
  <c r="CK228" i="1"/>
  <c r="CK224" i="1"/>
  <c r="CK21" i="1"/>
  <c r="CK23" i="1" s="1"/>
  <c r="CK18" i="1"/>
  <c r="CK20" i="1" s="1"/>
  <c r="CU108" i="1"/>
  <c r="CU89" i="1"/>
  <c r="CU82" i="1"/>
  <c r="CU73" i="1"/>
  <c r="CU34" i="1"/>
  <c r="CU30" i="1"/>
  <c r="CU11" i="1"/>
  <c r="CU7" i="1"/>
  <c r="CK191" i="1"/>
  <c r="CK157" i="1"/>
  <c r="CK156" i="1"/>
  <c r="CK155" i="1"/>
  <c r="CK130" i="1"/>
  <c r="CU130" i="1" s="1"/>
  <c r="CK85" i="1"/>
  <c r="CK57" i="1"/>
  <c r="CK53" i="1"/>
  <c r="CK45" i="1"/>
  <c r="CL45" i="1" s="1"/>
  <c r="I19" i="4"/>
  <c r="J13" i="10"/>
  <c r="K13" i="10"/>
  <c r="L8" i="10"/>
  <c r="E14" i="10"/>
  <c r="E6" i="10"/>
  <c r="E9" i="7"/>
  <c r="F9" i="7"/>
  <c r="G9" i="7"/>
  <c r="F16" i="7"/>
  <c r="G16" i="7"/>
  <c r="G19" i="7"/>
  <c r="Q12" i="7"/>
  <c r="P12" i="7"/>
  <c r="Q8" i="7"/>
  <c r="P8" i="7"/>
  <c r="P4" i="7"/>
  <c r="Q4" i="7"/>
  <c r="CJ258" i="2"/>
  <c r="CJ150" i="5"/>
  <c r="CJ149" i="5"/>
  <c r="CJ148" i="5"/>
  <c r="CJ147" i="5"/>
  <c r="CJ146" i="5"/>
  <c r="CJ144" i="5"/>
  <c r="CJ141" i="5"/>
  <c r="CJ140" i="5"/>
  <c r="CJ135" i="5"/>
  <c r="CJ134" i="5"/>
  <c r="CJ133" i="5"/>
  <c r="CL121" i="5"/>
  <c r="DP121" i="5" s="1"/>
  <c r="DR121" i="5" s="1"/>
  <c r="DS121" i="5" s="1"/>
  <c r="DT121" i="5" s="1"/>
  <c r="DU121" i="5" s="1"/>
  <c r="DO121" i="5"/>
  <c r="DN121" i="5"/>
  <c r="DM121" i="5"/>
  <c r="DL121" i="5"/>
  <c r="DK121" i="5"/>
  <c r="DJ121" i="5"/>
  <c r="DI121" i="5"/>
  <c r="DH121" i="5"/>
  <c r="DG121" i="5"/>
  <c r="DF121" i="5"/>
  <c r="CL113" i="5"/>
  <c r="DP113" i="5" s="1"/>
  <c r="DR113" i="5" s="1"/>
  <c r="DS113" i="5" s="1"/>
  <c r="DT113" i="5" s="1"/>
  <c r="DU113" i="5" s="1"/>
  <c r="DO113" i="5"/>
  <c r="DN113" i="5"/>
  <c r="DM113" i="5"/>
  <c r="DL113" i="5"/>
  <c r="DK113" i="5"/>
  <c r="DJ113" i="5"/>
  <c r="DI113" i="5"/>
  <c r="DH113" i="5"/>
  <c r="DG113" i="5"/>
  <c r="DF113" i="5"/>
  <c r="DO112" i="5"/>
  <c r="DN112" i="5"/>
  <c r="DO145" i="1" s="1"/>
  <c r="DM112" i="5"/>
  <c r="DL112" i="5"/>
  <c r="DM145" i="1" s="1"/>
  <c r="DK112" i="5"/>
  <c r="DJ112" i="5"/>
  <c r="DI112" i="5"/>
  <c r="DH112" i="5"/>
  <c r="DG112" i="5"/>
  <c r="DF112" i="5"/>
  <c r="DO111" i="5"/>
  <c r="DO298" i="5" s="1"/>
  <c r="DN111" i="5"/>
  <c r="DM111" i="5"/>
  <c r="DL111" i="5"/>
  <c r="DK111" i="5"/>
  <c r="DJ111" i="5"/>
  <c r="DJ298" i="5" s="1"/>
  <c r="DI111" i="5"/>
  <c r="DH111" i="5"/>
  <c r="DG111" i="5"/>
  <c r="DG298" i="5" s="1"/>
  <c r="DF111" i="5"/>
  <c r="DF298" i="5" s="1"/>
  <c r="DP110" i="5"/>
  <c r="DO110" i="5"/>
  <c r="DN110" i="5"/>
  <c r="DM110" i="5"/>
  <c r="DL110" i="5"/>
  <c r="DK110" i="5"/>
  <c r="DJ110" i="5"/>
  <c r="DI110" i="5"/>
  <c r="DH110" i="5"/>
  <c r="DG110" i="5"/>
  <c r="DF110" i="5"/>
  <c r="AP295" i="1"/>
  <c r="AO295" i="1"/>
  <c r="AN295" i="1"/>
  <c r="AM295" i="1"/>
  <c r="AL295" i="1"/>
  <c r="AK295" i="1"/>
  <c r="AP281" i="1"/>
  <c r="AT283" i="1" s="1"/>
  <c r="AO281" i="1"/>
  <c r="AS283" i="1" s="1"/>
  <c r="AN281" i="1"/>
  <c r="AR283" i="1" s="1"/>
  <c r="AM281" i="1"/>
  <c r="AQ283" i="1"/>
  <c r="AL281" i="1"/>
  <c r="AK281" i="1"/>
  <c r="AJ281" i="1"/>
  <c r="AI281" i="1"/>
  <c r="AH281" i="1"/>
  <c r="AG281" i="1"/>
  <c r="AF281" i="1"/>
  <c r="AE281" i="1"/>
  <c r="AD281" i="1"/>
  <c r="AC281" i="1"/>
  <c r="AB281" i="1"/>
  <c r="AA281" i="1"/>
  <c r="Z281" i="1"/>
  <c r="Y281" i="1"/>
  <c r="X281" i="1"/>
  <c r="W281" i="1"/>
  <c r="V281" i="1"/>
  <c r="U281" i="1"/>
  <c r="T281" i="1"/>
  <c r="S281" i="1"/>
  <c r="R281" i="1"/>
  <c r="Q281" i="1"/>
  <c r="P281" i="1"/>
  <c r="O281" i="1"/>
  <c r="N281" i="1"/>
  <c r="M281" i="1"/>
  <c r="L281" i="1"/>
  <c r="K281" i="1"/>
  <c r="J281" i="1"/>
  <c r="I281" i="1"/>
  <c r="H281" i="1"/>
  <c r="G281" i="1"/>
  <c r="F281" i="1"/>
  <c r="E281" i="1"/>
  <c r="D281" i="1"/>
  <c r="C281" i="1"/>
  <c r="CJ207" i="2"/>
  <c r="CJ217" i="2"/>
  <c r="CJ64" i="2"/>
  <c r="CI64" i="2"/>
  <c r="CJ242" i="1"/>
  <c r="CJ13" i="2"/>
  <c r="CJ16" i="2" s="1"/>
  <c r="CJ59" i="2"/>
  <c r="CJ58" i="2"/>
  <c r="CJ56" i="2"/>
  <c r="CJ324" i="2"/>
  <c r="CJ312" i="2"/>
  <c r="CJ285" i="2"/>
  <c r="CJ294" i="2"/>
  <c r="CJ240" i="2"/>
  <c r="CJ21" i="2" s="1"/>
  <c r="CJ61" i="1" s="1"/>
  <c r="CJ265" i="2"/>
  <c r="CJ211" i="2"/>
  <c r="CJ212" i="2"/>
  <c r="CJ104" i="2" s="1"/>
  <c r="AU261" i="2"/>
  <c r="AT261" i="2"/>
  <c r="AS261" i="2"/>
  <c r="AR261" i="2"/>
  <c r="AQ261" i="2"/>
  <c r="CJ266" i="2"/>
  <c r="CJ279" i="2" s="1"/>
  <c r="CJ99" i="2"/>
  <c r="CI99" i="2"/>
  <c r="CT99" i="2" s="1"/>
  <c r="CJ248" i="2"/>
  <c r="CJ196" i="2"/>
  <c r="CJ198" i="2" s="1"/>
  <c r="CJ166" i="2"/>
  <c r="CJ127" i="2"/>
  <c r="CJ126" i="2"/>
  <c r="CJ85" i="2"/>
  <c r="CJ21" i="1"/>
  <c r="CJ18" i="1"/>
  <c r="CJ20" i="1" s="1"/>
  <c r="CJ378" i="1"/>
  <c r="CJ363" i="1" s="1"/>
  <c r="CJ350" i="1"/>
  <c r="CJ277" i="1"/>
  <c r="CJ268" i="1"/>
  <c r="CJ262" i="1"/>
  <c r="CJ258" i="1"/>
  <c r="CJ246" i="1"/>
  <c r="CJ248" i="1"/>
  <c r="CJ250" i="1"/>
  <c r="CJ252" i="1"/>
  <c r="CJ240" i="1"/>
  <c r="CJ238" i="1"/>
  <c r="CJ236" i="1"/>
  <c r="CJ230" i="1"/>
  <c r="CJ228" i="1"/>
  <c r="CJ224" i="1"/>
  <c r="CJ321" i="1" s="1"/>
  <c r="CJ191" i="1"/>
  <c r="CJ157" i="1"/>
  <c r="CJ156" i="1"/>
  <c r="CJ155" i="1"/>
  <c r="CJ130" i="1"/>
  <c r="CJ132" i="1" s="1"/>
  <c r="CJ41" i="5" s="1"/>
  <c r="CJ51" i="5" s="1"/>
  <c r="CJ75" i="5" s="1"/>
  <c r="CJ85" i="1"/>
  <c r="CJ57" i="1"/>
  <c r="CJ58" i="1" s="1"/>
  <c r="CJ53" i="1"/>
  <c r="CJ45" i="1"/>
  <c r="DM291" i="2"/>
  <c r="DA291" i="2"/>
  <c r="CZ291" i="2"/>
  <c r="CY291" i="2"/>
  <c r="BZ291" i="2"/>
  <c r="BY291" i="2"/>
  <c r="BX291" i="2"/>
  <c r="BW291" i="2"/>
  <c r="DF1" i="2"/>
  <c r="DG1" i="2" s="1"/>
  <c r="DH1" i="2" s="1"/>
  <c r="DI1" i="2" s="1"/>
  <c r="DJ1" i="2" s="1"/>
  <c r="DK1" i="2" s="1"/>
  <c r="DL1" i="2" s="1"/>
  <c r="DM1" i="2" s="1"/>
  <c r="DN1" i="2" s="1"/>
  <c r="DO1" i="2" s="1"/>
  <c r="DP1" i="2" s="1"/>
  <c r="DR1" i="2" s="1"/>
  <c r="DS1" i="2" s="1"/>
  <c r="DT1" i="2" s="1"/>
  <c r="DU1" i="2" s="1"/>
  <c r="CI1" i="2"/>
  <c r="CJ1" i="2" s="1"/>
  <c r="CK1" i="2" s="1"/>
  <c r="CL1" i="2" s="1"/>
  <c r="Q17" i="4"/>
  <c r="CI256" i="1"/>
  <c r="CI253" i="1"/>
  <c r="CI243" i="1"/>
  <c r="CI231" i="1"/>
  <c r="CI135" i="2"/>
  <c r="Q15" i="4"/>
  <c r="N17" i="4"/>
  <c r="N13" i="4"/>
  <c r="Q13" i="4"/>
  <c r="N2" i="4" a="1"/>
  <c r="N2" i="4" s="1"/>
  <c r="N1" i="4" a="1"/>
  <c r="N1" i="4" s="1"/>
  <c r="Q23" i="4"/>
  <c r="Q21" i="4"/>
  <c r="N15" i="4"/>
  <c r="Q9" i="4"/>
  <c r="CI258" i="2"/>
  <c r="CH258" i="2"/>
  <c r="CG258" i="2"/>
  <c r="CF258" i="2"/>
  <c r="CE258" i="2"/>
  <c r="CD258" i="2"/>
  <c r="CC258" i="2"/>
  <c r="CB258" i="2"/>
  <c r="CA258" i="2"/>
  <c r="BZ258" i="2"/>
  <c r="BY258" i="2"/>
  <c r="BX258" i="2"/>
  <c r="BW258" i="2"/>
  <c r="BV258" i="2"/>
  <c r="BU258" i="2"/>
  <c r="BT258" i="2"/>
  <c r="BS258" i="2"/>
  <c r="BR258" i="2"/>
  <c r="BQ258" i="2"/>
  <c r="BP258" i="2"/>
  <c r="BO258" i="2"/>
  <c r="BN258" i="2"/>
  <c r="BN261" i="2" s="1"/>
  <c r="BM258" i="2"/>
  <c r="BM261" i="2" s="1"/>
  <c r="BL258" i="2"/>
  <c r="BL261" i="2" s="1"/>
  <c r="BK258" i="2"/>
  <c r="BJ258" i="2"/>
  <c r="BI258" i="2"/>
  <c r="BH258" i="2"/>
  <c r="BG258" i="2"/>
  <c r="BF258" i="2"/>
  <c r="BE258" i="2"/>
  <c r="BD258" i="2"/>
  <c r="BC258" i="2"/>
  <c r="BB258" i="2"/>
  <c r="BA258" i="2"/>
  <c r="AZ258" i="2"/>
  <c r="AY258" i="2"/>
  <c r="AX258" i="2"/>
  <c r="AX261" i="2" s="1"/>
  <c r="AW258" i="2"/>
  <c r="AW261" i="2" s="1"/>
  <c r="AV258" i="2"/>
  <c r="AV261" i="2" s="1"/>
  <c r="CH207" i="2"/>
  <c r="CG207" i="2"/>
  <c r="CF207" i="2"/>
  <c r="CE207" i="2"/>
  <c r="CD207" i="2"/>
  <c r="CC207" i="2"/>
  <c r="CB207" i="2"/>
  <c r="CA207" i="2"/>
  <c r="BZ207" i="2"/>
  <c r="CA221" i="2" s="1"/>
  <c r="CA224" i="2" s="1"/>
  <c r="BY207" i="2"/>
  <c r="BX207" i="2"/>
  <c r="BW207" i="2"/>
  <c r="BV207" i="2"/>
  <c r="BU207" i="2"/>
  <c r="BT207" i="2"/>
  <c r="BS207" i="2"/>
  <c r="BR207" i="2"/>
  <c r="BS221" i="2" s="1"/>
  <c r="BS224" i="2" s="1"/>
  <c r="BQ207" i="2"/>
  <c r="BP207" i="2"/>
  <c r="BO207" i="2"/>
  <c r="BN207" i="2"/>
  <c r="BO221" i="2" s="1"/>
  <c r="BM207" i="2"/>
  <c r="BL207" i="2"/>
  <c r="BK207" i="2"/>
  <c r="BJ207" i="2"/>
  <c r="BI207" i="2"/>
  <c r="BH207" i="2"/>
  <c r="BG207" i="2"/>
  <c r="BF207" i="2"/>
  <c r="BG221" i="2" s="1"/>
  <c r="BE207" i="2"/>
  <c r="BD207" i="2"/>
  <c r="BC207" i="2"/>
  <c r="BB207" i="2"/>
  <c r="BA207" i="2"/>
  <c r="AZ207" i="2"/>
  <c r="AY207" i="2"/>
  <c r="AX207" i="2"/>
  <c r="AW207" i="2"/>
  <c r="AV207" i="2"/>
  <c r="AU207" i="2"/>
  <c r="AT207" i="2"/>
  <c r="AS207" i="2"/>
  <c r="AR207" i="2"/>
  <c r="AQ207" i="2"/>
  <c r="AR221" i="2" s="1"/>
  <c r="AQ221" i="2"/>
  <c r="CI207" i="2"/>
  <c r="CI211" i="2"/>
  <c r="CH146" i="1"/>
  <c r="CG146" i="1"/>
  <c r="CF146" i="1"/>
  <c r="CE146" i="1"/>
  <c r="CD146" i="1"/>
  <c r="CC146" i="1"/>
  <c r="CB146" i="1"/>
  <c r="CA146" i="1"/>
  <c r="BZ146" i="1"/>
  <c r="BY146" i="1"/>
  <c r="BX146" i="1"/>
  <c r="BW146" i="1"/>
  <c r="BV146" i="1"/>
  <c r="BU146" i="1"/>
  <c r="BT146" i="1"/>
  <c r="BS146" i="1"/>
  <c r="BR146" i="1"/>
  <c r="BQ146" i="1"/>
  <c r="BP146" i="1"/>
  <c r="BO146" i="1"/>
  <c r="BN146" i="1"/>
  <c r="BM146" i="1"/>
  <c r="BL146" i="1"/>
  <c r="BK146" i="1"/>
  <c r="CH145" i="1"/>
  <c r="CG145" i="1"/>
  <c r="CF145" i="1"/>
  <c r="CE145" i="1"/>
  <c r="CD145" i="1"/>
  <c r="CD144" i="1" s="1"/>
  <c r="CC145" i="1"/>
  <c r="CB145" i="1"/>
  <c r="CB144" i="1" s="1"/>
  <c r="CA145" i="1"/>
  <c r="CA144" i="1" s="1"/>
  <c r="BZ145" i="1"/>
  <c r="BZ144" i="1" s="1"/>
  <c r="BY145" i="1"/>
  <c r="BX145" i="1"/>
  <c r="BX144" i="1" s="1"/>
  <c r="BW145" i="1"/>
  <c r="BV145" i="1"/>
  <c r="BV144" i="1" s="1"/>
  <c r="BU145" i="1"/>
  <c r="BT145" i="1"/>
  <c r="BS145" i="1"/>
  <c r="BS144" i="1" s="1"/>
  <c r="BR145" i="1"/>
  <c r="BQ145" i="1"/>
  <c r="BQ144" i="1" s="1"/>
  <c r="BP145" i="1"/>
  <c r="BO145" i="1"/>
  <c r="BN145" i="1"/>
  <c r="BM145" i="1"/>
  <c r="BL145" i="1"/>
  <c r="BL144" i="1" s="1"/>
  <c r="BK145" i="1"/>
  <c r="CI146" i="1"/>
  <c r="CI145" i="1"/>
  <c r="CH137" i="1"/>
  <c r="CG137" i="1"/>
  <c r="CF137" i="1"/>
  <c r="CF140" i="1" s="1"/>
  <c r="CE137" i="1"/>
  <c r="CD137" i="1"/>
  <c r="CD140" i="1" s="1"/>
  <c r="CC137" i="1"/>
  <c r="CB137" i="1"/>
  <c r="CA137" i="1"/>
  <c r="BZ137" i="1"/>
  <c r="CA138" i="1" s="1"/>
  <c r="BY137" i="1"/>
  <c r="BY140" i="1" s="1"/>
  <c r="BX137" i="1"/>
  <c r="BY138" i="1" s="1"/>
  <c r="BW137" i="1"/>
  <c r="BV137" i="1"/>
  <c r="BU137" i="1"/>
  <c r="BU140" i="1" s="1"/>
  <c r="BU141" i="1" s="1"/>
  <c r="BT137" i="1"/>
  <c r="BS137" i="1"/>
  <c r="BS140" i="1" s="1"/>
  <c r="BR137" i="1"/>
  <c r="BQ137" i="1"/>
  <c r="BQ140" i="1" s="1"/>
  <c r="BP137" i="1"/>
  <c r="BQ138" i="1" s="1"/>
  <c r="BO137" i="1"/>
  <c r="BN137" i="1"/>
  <c r="BM137" i="1"/>
  <c r="BM140" i="1" s="1"/>
  <c r="BQ141" i="1" s="1"/>
  <c r="BL137" i="1"/>
  <c r="BK137" i="1"/>
  <c r="BK140" i="1" s="1"/>
  <c r="CI137" i="1"/>
  <c r="CH133" i="1"/>
  <c r="CG133" i="1"/>
  <c r="CF133" i="1"/>
  <c r="CE133" i="1"/>
  <c r="CD133" i="1"/>
  <c r="CE134" i="1" s="1"/>
  <c r="CC133" i="1"/>
  <c r="CB133" i="1"/>
  <c r="CA133" i="1"/>
  <c r="BZ133" i="1"/>
  <c r="CA134" i="1" s="1"/>
  <c r="BY133" i="1"/>
  <c r="BZ134" i="1" s="1"/>
  <c r="BX133" i="1"/>
  <c r="BW133" i="1"/>
  <c r="BV133" i="1"/>
  <c r="BU133" i="1"/>
  <c r="BT133" i="1"/>
  <c r="BS133" i="1"/>
  <c r="BR133" i="1"/>
  <c r="BQ133" i="1"/>
  <c r="BP133" i="1"/>
  <c r="BO133" i="1"/>
  <c r="BN133" i="1"/>
  <c r="BM133" i="1"/>
  <c r="BL133" i="1"/>
  <c r="BK133" i="1"/>
  <c r="BJ133" i="1"/>
  <c r="BI133" i="1"/>
  <c r="BJ134" i="1" s="1"/>
  <c r="BH133" i="1"/>
  <c r="BG133" i="1"/>
  <c r="BH134" i="1" s="1"/>
  <c r="BF133" i="1"/>
  <c r="BE133" i="1"/>
  <c r="BD133" i="1"/>
  <c r="BC133" i="1"/>
  <c r="BB133" i="1"/>
  <c r="BA133" i="1"/>
  <c r="BB134" i="1" s="1"/>
  <c r="AZ133" i="1"/>
  <c r="AY133" i="1"/>
  <c r="AX133" i="1"/>
  <c r="AW133" i="1"/>
  <c r="AV133" i="1"/>
  <c r="AU133" i="1"/>
  <c r="AT133" i="1"/>
  <c r="AS133" i="1"/>
  <c r="AR133" i="1"/>
  <c r="AQ133" i="1"/>
  <c r="AP133" i="1"/>
  <c r="AQ134" i="1" s="1"/>
  <c r="AO133" i="1"/>
  <c r="AN133" i="1"/>
  <c r="AM133" i="1"/>
  <c r="AL133" i="1"/>
  <c r="AK133" i="1"/>
  <c r="AJ133" i="1"/>
  <c r="AI133" i="1"/>
  <c r="AH133" i="1"/>
  <c r="AG133" i="1"/>
  <c r="AF133" i="1"/>
  <c r="AE133" i="1"/>
  <c r="AD133" i="1"/>
  <c r="AC133" i="1"/>
  <c r="AB133" i="1"/>
  <c r="AA133" i="1"/>
  <c r="Z133" i="1"/>
  <c r="Y133" i="1"/>
  <c r="X133" i="1"/>
  <c r="W133" i="1"/>
  <c r="V133" i="1"/>
  <c r="U133" i="1"/>
  <c r="T133" i="1"/>
  <c r="S133" i="1"/>
  <c r="R133" i="1"/>
  <c r="Q133" i="1"/>
  <c r="P133" i="1"/>
  <c r="O133" i="1"/>
  <c r="N133" i="1"/>
  <c r="M133" i="1"/>
  <c r="L133" i="1"/>
  <c r="K133" i="1"/>
  <c r="J133" i="1"/>
  <c r="I133" i="1"/>
  <c r="H133" i="1"/>
  <c r="G133" i="1"/>
  <c r="F133" i="1"/>
  <c r="E133" i="1"/>
  <c r="D133" i="1"/>
  <c r="C133" i="1"/>
  <c r="CI133" i="1"/>
  <c r="CJ134" i="1" s="1"/>
  <c r="DV61" i="1"/>
  <c r="DU61" i="1"/>
  <c r="DT61" i="1"/>
  <c r="DS61" i="1"/>
  <c r="DQ61" i="1"/>
  <c r="CI308" i="2"/>
  <c r="CI321" i="2"/>
  <c r="CI312" i="2" s="1"/>
  <c r="CI294" i="2"/>
  <c r="DJ57" i="2"/>
  <c r="DK57" i="2"/>
  <c r="CI59" i="2"/>
  <c r="CI58" i="2"/>
  <c r="CI56" i="2"/>
  <c r="CI256" i="2"/>
  <c r="CI164" i="2"/>
  <c r="CI217" i="2"/>
  <c r="CI218" i="2" s="1"/>
  <c r="CI279" i="2"/>
  <c r="CI270" i="2"/>
  <c r="CI265" i="2"/>
  <c r="CI240" i="2"/>
  <c r="CH248" i="2"/>
  <c r="DO248" i="2" s="1"/>
  <c r="CG248" i="2"/>
  <c r="CF248" i="2"/>
  <c r="CE248" i="2"/>
  <c r="CE250" i="2" s="1"/>
  <c r="CD248" i="2"/>
  <c r="CC248" i="2"/>
  <c r="CB248" i="2"/>
  <c r="CB250" i="2" s="1"/>
  <c r="CA248" i="2"/>
  <c r="CA250" i="2" s="1"/>
  <c r="BZ248" i="2"/>
  <c r="DM248" i="2" s="1"/>
  <c r="BY248" i="2"/>
  <c r="BY250" i="2" s="1"/>
  <c r="BX248" i="2"/>
  <c r="BW248" i="2"/>
  <c r="BV248" i="2"/>
  <c r="BW276" i="2" s="1"/>
  <c r="BU248" i="2"/>
  <c r="BT248" i="2"/>
  <c r="BS248" i="2"/>
  <c r="BS250" i="2" s="1"/>
  <c r="CI248" i="2"/>
  <c r="AQ255" i="2"/>
  <c r="DO254" i="2"/>
  <c r="DN254" i="2"/>
  <c r="DM254" i="2"/>
  <c r="DL254" i="2"/>
  <c r="DL255" i="2" s="1"/>
  <c r="DK254" i="2"/>
  <c r="DJ254" i="2"/>
  <c r="DI254" i="2"/>
  <c r="DH254" i="2"/>
  <c r="DG254" i="2"/>
  <c r="DF254" i="2"/>
  <c r="CH204" i="2"/>
  <c r="CG204" i="2"/>
  <c r="CF204" i="2"/>
  <c r="CE204" i="2"/>
  <c r="CD204" i="2"/>
  <c r="CC204" i="2"/>
  <c r="CB204" i="2"/>
  <c r="CA204" i="2"/>
  <c r="BZ204" i="2"/>
  <c r="BY204" i="2"/>
  <c r="BX204" i="2"/>
  <c r="BW204" i="2"/>
  <c r="BV204" i="2"/>
  <c r="BU204" i="2"/>
  <c r="BT204" i="2"/>
  <c r="BS204" i="2"/>
  <c r="BR204" i="2"/>
  <c r="BQ204" i="2"/>
  <c r="BP204" i="2"/>
  <c r="BO204" i="2"/>
  <c r="BN204" i="2"/>
  <c r="BM204" i="2"/>
  <c r="BL204" i="2"/>
  <c r="BK204" i="2"/>
  <c r="BJ204" i="2"/>
  <c r="BI204" i="2"/>
  <c r="BH204" i="2"/>
  <c r="BG204" i="2"/>
  <c r="AQ204" i="2"/>
  <c r="AQ203" i="2"/>
  <c r="CI204" i="2"/>
  <c r="CI201" i="2"/>
  <c r="CI166" i="2"/>
  <c r="CI196" i="2"/>
  <c r="CH196" i="2"/>
  <c r="DO196" i="2" s="1"/>
  <c r="CG196" i="2"/>
  <c r="CG198" i="2" s="1"/>
  <c r="CF196" i="2"/>
  <c r="CE196" i="2"/>
  <c r="CD196" i="2"/>
  <c r="CC196" i="2"/>
  <c r="CB196" i="2"/>
  <c r="CB198" i="2" s="1"/>
  <c r="CA196" i="2"/>
  <c r="CA198" i="2" s="1"/>
  <c r="BZ196" i="2"/>
  <c r="BY196" i="2"/>
  <c r="BX196" i="2"/>
  <c r="BX198" i="2" s="1"/>
  <c r="BW196" i="2"/>
  <c r="BW198" i="2" s="1"/>
  <c r="BV196" i="2"/>
  <c r="BU196" i="2"/>
  <c r="BT196" i="2"/>
  <c r="BT198" i="2" s="1"/>
  <c r="BS196" i="2"/>
  <c r="BS198" i="2" s="1"/>
  <c r="BK221" i="2"/>
  <c r="BK224" i="2" s="1"/>
  <c r="BJ215" i="2"/>
  <c r="CI85" i="2"/>
  <c r="CI65" i="5"/>
  <c r="CI64" i="5"/>
  <c r="CI299" i="5"/>
  <c r="CI298" i="5"/>
  <c r="AS12" i="6" s="1"/>
  <c r="CI288" i="5"/>
  <c r="CI270" i="5" s="1"/>
  <c r="CI287" i="5"/>
  <c r="CI279" i="5"/>
  <c r="CI280" i="5" s="1"/>
  <c r="CI277" i="5"/>
  <c r="CI232" i="5"/>
  <c r="CI234" i="5" s="1"/>
  <c r="CI229" i="5"/>
  <c r="CI223" i="5"/>
  <c r="CI201" i="5"/>
  <c r="CI197" i="5"/>
  <c r="CI63" i="5" s="1"/>
  <c r="CI188" i="5"/>
  <c r="CI150" i="5"/>
  <c r="CI149" i="5"/>
  <c r="CI148" i="5"/>
  <c r="CI147" i="5"/>
  <c r="CI146" i="5"/>
  <c r="CI144" i="5"/>
  <c r="CI141" i="5"/>
  <c r="CI140" i="5"/>
  <c r="CI135" i="5"/>
  <c r="CI134" i="5"/>
  <c r="CI133" i="5"/>
  <c r="CI130" i="1"/>
  <c r="CI378" i="1"/>
  <c r="CI363" i="1" s="1"/>
  <c r="CI364" i="1" s="1"/>
  <c r="CI277" i="1"/>
  <c r="CI268" i="1"/>
  <c r="CI286" i="1" s="1"/>
  <c r="CI288" i="1" s="1"/>
  <c r="CI262" i="1"/>
  <c r="CI258" i="1"/>
  <c r="CI224" i="1"/>
  <c r="CI307" i="1" s="1"/>
  <c r="CI248" i="1"/>
  <c r="CI236" i="1"/>
  <c r="CI238" i="1"/>
  <c r="CI252" i="1"/>
  <c r="CI250" i="1"/>
  <c r="CI246" i="1"/>
  <c r="CI242" i="1"/>
  <c r="CI240" i="1"/>
  <c r="CI230" i="1"/>
  <c r="CI228" i="1"/>
  <c r="AP181" i="1"/>
  <c r="AO181" i="1"/>
  <c r="AN181" i="1"/>
  <c r="AN177" i="1" s="1"/>
  <c r="AN178" i="1" s="1"/>
  <c r="AM181" i="1"/>
  <c r="AM177" i="1" s="1"/>
  <c r="AM178" i="1" s="1"/>
  <c r="AL181" i="1"/>
  <c r="AK181" i="1"/>
  <c r="AJ181" i="1"/>
  <c r="AI181" i="1"/>
  <c r="AH181" i="1"/>
  <c r="AG181" i="1"/>
  <c r="AF181" i="1"/>
  <c r="AE181" i="1"/>
  <c r="AE177" i="1" s="1"/>
  <c r="AE178" i="1" s="1"/>
  <c r="AD181" i="1"/>
  <c r="AD177" i="1" s="1"/>
  <c r="AD178" i="1" s="1"/>
  <c r="AC181" i="1"/>
  <c r="AB181" i="1"/>
  <c r="AB177" i="1" s="1"/>
  <c r="AB178" i="1" s="1"/>
  <c r="AA181" i="1"/>
  <c r="Z181" i="1"/>
  <c r="Y181" i="1"/>
  <c r="X181" i="1"/>
  <c r="W181" i="1"/>
  <c r="W177" i="1" s="1"/>
  <c r="W178" i="1" s="1"/>
  <c r="CI191" i="1"/>
  <c r="CI157" i="1"/>
  <c r="CI156" i="1"/>
  <c r="CI155" i="1"/>
  <c r="CI86" i="1"/>
  <c r="CI85" i="1"/>
  <c r="CI57" i="1"/>
  <c r="CI53" i="1"/>
  <c r="CI54" i="1" s="1"/>
  <c r="CI46" i="1"/>
  <c r="CI45" i="1"/>
  <c r="CI21" i="1"/>
  <c r="CI18" i="1"/>
  <c r="J14" i="10"/>
  <c r="G14" i="10" s="1"/>
  <c r="K4" i="10"/>
  <c r="H4" i="10"/>
  <c r="K6" i="10"/>
  <c r="H6" i="10"/>
  <c r="K7" i="10"/>
  <c r="H7" i="10"/>
  <c r="K9" i="10"/>
  <c r="K11" i="10"/>
  <c r="H11" i="10"/>
  <c r="K16" i="10"/>
  <c r="K14" i="10"/>
  <c r="H14" i="10"/>
  <c r="J9" i="10"/>
  <c r="J16" i="10"/>
  <c r="G16" i="10" s="1"/>
  <c r="J11" i="10"/>
  <c r="G11" i="10"/>
  <c r="J7" i="10"/>
  <c r="J6" i="10"/>
  <c r="G6" i="10" s="1"/>
  <c r="J4" i="10"/>
  <c r="CI69" i="1"/>
  <c r="CI126" i="2"/>
  <c r="CT124" i="2"/>
  <c r="CT117" i="2"/>
  <c r="CT114" i="2"/>
  <c r="CT6" i="2"/>
  <c r="CI2" i="5"/>
  <c r="AS4" i="6" s="1"/>
  <c r="AS13" i="3"/>
  <c r="AR13" i="3"/>
  <c r="AL13" i="3"/>
  <c r="AK13" i="3"/>
  <c r="AD22" i="3"/>
  <c r="AC22" i="3"/>
  <c r="AD17" i="3"/>
  <c r="AC17" i="3"/>
  <c r="AD6" i="3"/>
  <c r="AC6" i="3"/>
  <c r="AD4" i="3"/>
  <c r="AC4" i="3"/>
  <c r="AL15" i="3"/>
  <c r="AK15" i="3"/>
  <c r="AL20" i="3"/>
  <c r="AL21" i="3"/>
  <c r="AK20" i="3"/>
  <c r="AK21" i="3"/>
  <c r="AL18" i="3"/>
  <c r="AK18" i="3"/>
  <c r="AL7" i="3"/>
  <c r="AI5" i="3"/>
  <c r="AP7" i="3"/>
  <c r="AI20" i="3"/>
  <c r="AI21" i="3" s="1"/>
  <c r="AH20" i="3"/>
  <c r="AH21" i="3" s="1"/>
  <c r="AI18" i="3"/>
  <c r="AH18" i="3"/>
  <c r="AP19" i="3"/>
  <c r="AD19" i="3" s="1"/>
  <c r="AP20" i="3"/>
  <c r="AP12" i="3"/>
  <c r="AP15" i="3" s="1"/>
  <c r="AO19" i="3"/>
  <c r="AO20" i="3" s="1"/>
  <c r="AO12" i="3"/>
  <c r="AO15" i="3" s="1"/>
  <c r="AS43" i="3"/>
  <c r="AR43" i="3"/>
  <c r="AS7" i="3"/>
  <c r="AS15" i="3"/>
  <c r="AR15" i="3"/>
  <c r="AS20" i="3"/>
  <c r="AS21" i="3" s="1"/>
  <c r="AR20" i="3"/>
  <c r="AR21" i="3" s="1"/>
  <c r="AS18" i="3"/>
  <c r="AR18" i="3"/>
  <c r="AC12" i="3"/>
  <c r="AO13" i="3"/>
  <c r="AP13" i="3"/>
  <c r="AC19" i="3"/>
  <c r="CH18" i="1"/>
  <c r="CH20" i="1" s="1"/>
  <c r="CG258" i="1"/>
  <c r="CF258" i="1"/>
  <c r="CE258" i="1"/>
  <c r="CD258" i="1"/>
  <c r="CC258" i="1"/>
  <c r="CB258" i="1"/>
  <c r="CA258" i="1"/>
  <c r="BZ258" i="1"/>
  <c r="BY258" i="1"/>
  <c r="BX258" i="1"/>
  <c r="BW258" i="1"/>
  <c r="BV258" i="1"/>
  <c r="BU258" i="1"/>
  <c r="BT258" i="1"/>
  <c r="BS258" i="1"/>
  <c r="BS259" i="1" s="1"/>
  <c r="BR258" i="1"/>
  <c r="BR259" i="1" s="1"/>
  <c r="BQ258" i="1"/>
  <c r="BP258" i="1"/>
  <c r="BO258" i="1"/>
  <c r="BN258" i="1"/>
  <c r="BM258" i="1"/>
  <c r="BL258" i="1"/>
  <c r="BK258" i="1"/>
  <c r="BJ258" i="1"/>
  <c r="BI258" i="1"/>
  <c r="BH258" i="1"/>
  <c r="BG258" i="1"/>
  <c r="BF258" i="1"/>
  <c r="BE258" i="1"/>
  <c r="BD258" i="1"/>
  <c r="BC258" i="1"/>
  <c r="BB258" i="1"/>
  <c r="BA258" i="1"/>
  <c r="AZ258" i="1"/>
  <c r="AY258" i="1"/>
  <c r="AX258" i="1"/>
  <c r="AW258" i="1"/>
  <c r="AV258" i="1"/>
  <c r="AU258" i="1"/>
  <c r="AT258" i="1"/>
  <c r="AS258" i="1"/>
  <c r="AR258" i="1"/>
  <c r="AQ258" i="1"/>
  <c r="AP258" i="1"/>
  <c r="AP259" i="1" s="1"/>
  <c r="AO258" i="1"/>
  <c r="AO259" i="1" s="1"/>
  <c r="AN258" i="1"/>
  <c r="AN259" i="1" s="1"/>
  <c r="AM258" i="1"/>
  <c r="AM259" i="1" s="1"/>
  <c r="AL258" i="1"/>
  <c r="AL259" i="1" s="1"/>
  <c r="AK258" i="1"/>
  <c r="AK259" i="1" s="1"/>
  <c r="AJ258" i="1"/>
  <c r="AJ259" i="1" s="1"/>
  <c r="AI258" i="1"/>
  <c r="AI259" i="1"/>
  <c r="AH258" i="1"/>
  <c r="AH259" i="1" s="1"/>
  <c r="AG258" i="1"/>
  <c r="AG259" i="1" s="1"/>
  <c r="AF258" i="1"/>
  <c r="AF259" i="1" s="1"/>
  <c r="AE258" i="1"/>
  <c r="AE259" i="1" s="1"/>
  <c r="AD258" i="1"/>
  <c r="AD259" i="1" s="1"/>
  <c r="AC258" i="1"/>
  <c r="AC259" i="1" s="1"/>
  <c r="AB258" i="1"/>
  <c r="AB259" i="1"/>
  <c r="AA258" i="1"/>
  <c r="AA259" i="1" s="1"/>
  <c r="Z258" i="1"/>
  <c r="Z259" i="1" s="1"/>
  <c r="Y258" i="1"/>
  <c r="Y259" i="1" s="1"/>
  <c r="X258" i="1"/>
  <c r="X259" i="1" s="1"/>
  <c r="W258" i="1"/>
  <c r="W259" i="1" s="1"/>
  <c r="V258" i="1"/>
  <c r="V259" i="1"/>
  <c r="U258" i="1"/>
  <c r="U259" i="1" s="1"/>
  <c r="T258" i="1"/>
  <c r="T259" i="1" s="1"/>
  <c r="S258" i="1"/>
  <c r="S259" i="1" s="1"/>
  <c r="R258" i="1"/>
  <c r="R259" i="1" s="1"/>
  <c r="Q258" i="1"/>
  <c r="Q259" i="1" s="1"/>
  <c r="P258" i="1"/>
  <c r="P259" i="1"/>
  <c r="O258" i="1"/>
  <c r="O259" i="1" s="1"/>
  <c r="N258" i="1"/>
  <c r="N259" i="1" s="1"/>
  <c r="M258" i="1"/>
  <c r="M259" i="1" s="1"/>
  <c r="L258" i="1"/>
  <c r="L259" i="1" s="1"/>
  <c r="K258" i="1"/>
  <c r="K259" i="1" s="1"/>
  <c r="J258" i="1"/>
  <c r="J259" i="1" s="1"/>
  <c r="I258" i="1"/>
  <c r="I259" i="1" s="1"/>
  <c r="H258" i="1"/>
  <c r="H259" i="1" s="1"/>
  <c r="G258" i="1"/>
  <c r="G259" i="1" s="1"/>
  <c r="F258" i="1"/>
  <c r="F259" i="1" s="1"/>
  <c r="E258" i="1"/>
  <c r="E259" i="1" s="1"/>
  <c r="D258" i="1"/>
  <c r="D259" i="1" s="1"/>
  <c r="C258" i="1"/>
  <c r="C259" i="1" s="1"/>
  <c r="B258" i="1"/>
  <c r="B259" i="1"/>
  <c r="CH258" i="1"/>
  <c r="CL251" i="1"/>
  <c r="CP251" i="1" s="1"/>
  <c r="CL241" i="1"/>
  <c r="CP241" i="1" s="1"/>
  <c r="CL229" i="1"/>
  <c r="CP229" i="1" s="1"/>
  <c r="CH308" i="2"/>
  <c r="CH314" i="2"/>
  <c r="CH307" i="2"/>
  <c r="DO307" i="2" s="1"/>
  <c r="DO44" i="5" s="1"/>
  <c r="CH299" i="2"/>
  <c r="CH289" i="2"/>
  <c r="DO289" i="2" s="1"/>
  <c r="CH284" i="2"/>
  <c r="CH217" i="2"/>
  <c r="CH240" i="2"/>
  <c r="CI246" i="2" s="1"/>
  <c r="CH166" i="2"/>
  <c r="CH126" i="2"/>
  <c r="CH64" i="2"/>
  <c r="CH85" i="2"/>
  <c r="CH59" i="2"/>
  <c r="CH58" i="2"/>
  <c r="CH56" i="2"/>
  <c r="CH299" i="5"/>
  <c r="CH298" i="5"/>
  <c r="AR12" i="6" s="1"/>
  <c r="CH288" i="5"/>
  <c r="CH287" i="5"/>
  <c r="CH279" i="5"/>
  <c r="CH277" i="5"/>
  <c r="CH229" i="5"/>
  <c r="CH221" i="5"/>
  <c r="DO221" i="5"/>
  <c r="CH220" i="5"/>
  <c r="CH219" i="5"/>
  <c r="CH216" i="5"/>
  <c r="CH232" i="5" s="1"/>
  <c r="CH234" i="5" s="1"/>
  <c r="CH214" i="5"/>
  <c r="DO214" i="5" s="1"/>
  <c r="CH213" i="5"/>
  <c r="DO213" i="5" s="1"/>
  <c r="O110" i="3" s="1"/>
  <c r="CH210" i="5"/>
  <c r="DO210" i="5" s="1"/>
  <c r="CH201" i="5"/>
  <c r="CH197" i="5"/>
  <c r="CH63" i="5" s="1"/>
  <c r="CH81" i="5" s="1"/>
  <c r="CH188" i="5"/>
  <c r="CH150" i="5"/>
  <c r="CH149" i="5"/>
  <c r="CH148" i="5"/>
  <c r="CH147" i="5"/>
  <c r="CH146" i="5"/>
  <c r="CH144" i="5"/>
  <c r="CH141" i="5"/>
  <c r="CH140" i="5"/>
  <c r="CH135" i="5"/>
  <c r="CH134" i="5"/>
  <c r="CH133" i="5"/>
  <c r="CH127" i="5"/>
  <c r="DO127" i="5" s="1"/>
  <c r="DO145" i="5" s="1"/>
  <c r="CH119" i="5"/>
  <c r="CH108" i="5"/>
  <c r="DO108" i="5" s="1"/>
  <c r="CH102" i="5"/>
  <c r="CH96" i="5"/>
  <c r="DO96" i="5" s="1"/>
  <c r="CH89" i="5"/>
  <c r="CH82" i="5"/>
  <c r="CH74" i="5"/>
  <c r="CH69" i="5"/>
  <c r="CH67" i="5"/>
  <c r="CH83" i="5" s="1"/>
  <c r="CH65" i="5"/>
  <c r="CH64" i="5"/>
  <c r="CH59" i="5"/>
  <c r="CH48" i="5"/>
  <c r="CH40" i="5"/>
  <c r="CH51" i="5"/>
  <c r="CH75" i="5"/>
  <c r="CH6" i="5"/>
  <c r="CH404" i="1"/>
  <c r="CH403" i="1"/>
  <c r="CH398" i="1"/>
  <c r="CH397" i="1"/>
  <c r="CH384" i="1"/>
  <c r="CH378" i="1"/>
  <c r="CH363" i="1" s="1"/>
  <c r="CH364" i="1" s="1"/>
  <c r="CH373" i="1"/>
  <c r="CH372" i="1"/>
  <c r="CH350" i="1"/>
  <c r="CH277" i="1"/>
  <c r="CH268" i="1"/>
  <c r="CH262" i="1"/>
  <c r="CH252" i="1"/>
  <c r="CH250" i="1"/>
  <c r="CH248" i="1"/>
  <c r="CH246" i="1"/>
  <c r="CH242" i="1"/>
  <c r="CH240" i="1"/>
  <c r="CH238" i="1"/>
  <c r="CH236" i="1"/>
  <c r="CH230" i="1"/>
  <c r="CH228" i="1"/>
  <c r="CH226" i="1"/>
  <c r="CH224" i="1"/>
  <c r="CH207" i="1"/>
  <c r="CH206" i="1"/>
  <c r="CH191" i="1"/>
  <c r="CL191" i="1" s="1"/>
  <c r="CH188" i="1"/>
  <c r="CH157" i="1"/>
  <c r="CH156" i="1"/>
  <c r="CH130" i="1"/>
  <c r="CH117" i="1"/>
  <c r="CH108" i="1"/>
  <c r="CH72" i="1" s="1"/>
  <c r="CH100" i="1"/>
  <c r="CH92" i="1"/>
  <c r="CH91" i="1"/>
  <c r="CH86" i="1"/>
  <c r="CH85" i="1"/>
  <c r="CH84" i="1"/>
  <c r="CH77" i="1"/>
  <c r="CH76" i="1"/>
  <c r="CH75" i="1"/>
  <c r="CH57" i="1"/>
  <c r="CH58" i="1" s="1"/>
  <c r="CH53" i="1"/>
  <c r="CH46" i="1"/>
  <c r="CH45" i="1"/>
  <c r="CH43" i="1"/>
  <c r="CH42" i="1"/>
  <c r="CH38" i="1"/>
  <c r="CH36" i="1"/>
  <c r="CH32" i="1"/>
  <c r="CH26" i="1"/>
  <c r="CH121" i="1" s="1"/>
  <c r="CH21" i="1"/>
  <c r="CH23" i="1" s="1"/>
  <c r="CH13" i="1"/>
  <c r="CH9" i="1"/>
  <c r="CH3" i="1"/>
  <c r="CH12" i="1" s="1"/>
  <c r="CH8" i="1" s="1"/>
  <c r="CH280" i="5"/>
  <c r="C20" i="4" a="1"/>
  <c r="C20" i="4" s="1"/>
  <c r="V2" i="3" s="1"/>
  <c r="CG297" i="2"/>
  <c r="CG321" i="2"/>
  <c r="CG312" i="2" s="1"/>
  <c r="CG308" i="2"/>
  <c r="CG285" i="2"/>
  <c r="CG294" i="2"/>
  <c r="CG217" i="2"/>
  <c r="CG240" i="2"/>
  <c r="CH246" i="2" s="1"/>
  <c r="CH164" i="2"/>
  <c r="CG127" i="2"/>
  <c r="CG126" i="2"/>
  <c r="CG85" i="2"/>
  <c r="CG13" i="2"/>
  <c r="CG61" i="2" s="1"/>
  <c r="CG59" i="2"/>
  <c r="CG58" i="2"/>
  <c r="CG56" i="2"/>
  <c r="CF65" i="5"/>
  <c r="CE65" i="5"/>
  <c r="CD65" i="5"/>
  <c r="CC65" i="5"/>
  <c r="CB65" i="5"/>
  <c r="CA65" i="5"/>
  <c r="BZ65" i="5"/>
  <c r="BY65" i="5"/>
  <c r="BX65" i="5"/>
  <c r="BW65" i="5"/>
  <c r="BV65" i="5"/>
  <c r="BU65" i="5"/>
  <c r="BT65" i="5"/>
  <c r="BS65" i="5"/>
  <c r="BR65" i="5"/>
  <c r="BQ65" i="5"/>
  <c r="BP65" i="5"/>
  <c r="BO65" i="5"/>
  <c r="BN65" i="5"/>
  <c r="BM65" i="5"/>
  <c r="BL65" i="5"/>
  <c r="BK65" i="5"/>
  <c r="BJ65" i="5"/>
  <c r="BI65" i="5"/>
  <c r="BH65" i="5"/>
  <c r="BG65" i="5"/>
  <c r="BF65" i="5"/>
  <c r="BE65" i="5"/>
  <c r="BD65" i="5"/>
  <c r="BC65" i="5"/>
  <c r="BB65" i="5"/>
  <c r="BA65" i="5"/>
  <c r="AZ65" i="5"/>
  <c r="AY65" i="5"/>
  <c r="AX65" i="5"/>
  <c r="AW65" i="5"/>
  <c r="AV65" i="5"/>
  <c r="AC65" i="5"/>
  <c r="AB65" i="5"/>
  <c r="AA65" i="5"/>
  <c r="Z65" i="5"/>
  <c r="Y65" i="5"/>
  <c r="X65" i="5"/>
  <c r="W65" i="5"/>
  <c r="V65" i="5"/>
  <c r="U65" i="5"/>
  <c r="T65" i="5"/>
  <c r="S65" i="5"/>
  <c r="R65" i="5"/>
  <c r="Q65" i="5"/>
  <c r="P65" i="5"/>
  <c r="O65" i="5"/>
  <c r="N65" i="5"/>
  <c r="M65" i="5"/>
  <c r="L65" i="5"/>
  <c r="K65" i="5"/>
  <c r="J65" i="5"/>
  <c r="I65" i="5"/>
  <c r="H65" i="5"/>
  <c r="G65" i="5"/>
  <c r="F65" i="5"/>
  <c r="E65" i="5"/>
  <c r="D65" i="5"/>
  <c r="C65" i="5"/>
  <c r="CG65" i="5"/>
  <c r="CG64" i="5"/>
  <c r="CF64" i="5"/>
  <c r="CG232" i="5"/>
  <c r="CG234" i="5" s="1"/>
  <c r="CG229" i="5"/>
  <c r="CG223" i="5"/>
  <c r="CG299" i="5"/>
  <c r="CG298" i="5"/>
  <c r="AQ12" i="6" s="1"/>
  <c r="CG288" i="5"/>
  <c r="CG287" i="5"/>
  <c r="CG269" i="5" s="1"/>
  <c r="CG279" i="5"/>
  <c r="CG280" i="5" s="1"/>
  <c r="CG277" i="5"/>
  <c r="CG201" i="5"/>
  <c r="CG197" i="5"/>
  <c r="CG63" i="5" s="1"/>
  <c r="CG81" i="5" s="1"/>
  <c r="CG188" i="5"/>
  <c r="CG150" i="5"/>
  <c r="CH58" i="5" s="1"/>
  <c r="CH80" i="5" s="1"/>
  <c r="CG149" i="5"/>
  <c r="CG148" i="5"/>
  <c r="CG147" i="5"/>
  <c r="CG146" i="5"/>
  <c r="CG145" i="5"/>
  <c r="CG144" i="5"/>
  <c r="CG141" i="5"/>
  <c r="CG140" i="5"/>
  <c r="CG135" i="5"/>
  <c r="CG134" i="5"/>
  <c r="CG133" i="5"/>
  <c r="CG132" i="5" s="1"/>
  <c r="CG86" i="1"/>
  <c r="CG85" i="1"/>
  <c r="CG84" i="1"/>
  <c r="CG77" i="1"/>
  <c r="CG76" i="1"/>
  <c r="CG75" i="1"/>
  <c r="CG277" i="1"/>
  <c r="CG268" i="1"/>
  <c r="CG262" i="1"/>
  <c r="CG246" i="1"/>
  <c r="CG248" i="1"/>
  <c r="CG250" i="1"/>
  <c r="CG252" i="1"/>
  <c r="CG242" i="1"/>
  <c r="CG236" i="1"/>
  <c r="CG238" i="1"/>
  <c r="CG240" i="1"/>
  <c r="CG230" i="1"/>
  <c r="CG228" i="1"/>
  <c r="CG224" i="1"/>
  <c r="CG226" i="1"/>
  <c r="CG191" i="1"/>
  <c r="CG157" i="1"/>
  <c r="CG156" i="1"/>
  <c r="CG155" i="1"/>
  <c r="CG130" i="1"/>
  <c r="CG132" i="1" s="1"/>
  <c r="CG57" i="1"/>
  <c r="CG58" i="1" s="1"/>
  <c r="CG53" i="1"/>
  <c r="CG54" i="1" s="1"/>
  <c r="CG45" i="1"/>
  <c r="CG21" i="1"/>
  <c r="CG23" i="1" s="1"/>
  <c r="CG18" i="1"/>
  <c r="CG20" i="1" s="1"/>
  <c r="CG166" i="2"/>
  <c r="DP314" i="2"/>
  <c r="DP57" i="2"/>
  <c r="DP55" i="2"/>
  <c r="DP233" i="2"/>
  <c r="DR233" i="2" s="1"/>
  <c r="DS233" i="2" s="1"/>
  <c r="DT233" i="2" s="1"/>
  <c r="DU233" i="2" s="1"/>
  <c r="DP212" i="5"/>
  <c r="DP193" i="5"/>
  <c r="DP185" i="5"/>
  <c r="DP201" i="5" s="1"/>
  <c r="DP33" i="5"/>
  <c r="DP32" i="5"/>
  <c r="DP48" i="5" s="1"/>
  <c r="DP31" i="5"/>
  <c r="DP59" i="5" s="1"/>
  <c r="DP124" i="5"/>
  <c r="DP116" i="5"/>
  <c r="DP333" i="5"/>
  <c r="DP313" i="5"/>
  <c r="DP82" i="5"/>
  <c r="DP74" i="5"/>
  <c r="DP49" i="5"/>
  <c r="DQ192" i="1"/>
  <c r="CL213" i="5"/>
  <c r="CL201" i="5"/>
  <c r="CK201" i="5"/>
  <c r="CL197" i="5"/>
  <c r="CL63" i="5" s="1"/>
  <c r="CL81" i="5" s="1"/>
  <c r="CK197" i="5"/>
  <c r="CK63" i="5" s="1"/>
  <c r="CK81" i="5" s="1"/>
  <c r="CL147" i="5"/>
  <c r="CL82" i="5"/>
  <c r="CK82" i="5"/>
  <c r="CJ82" i="5"/>
  <c r="CI82" i="5"/>
  <c r="CL74" i="5"/>
  <c r="CK74" i="5"/>
  <c r="CJ74" i="5"/>
  <c r="CI74" i="5"/>
  <c r="CL59" i="5"/>
  <c r="CI59" i="5"/>
  <c r="CL49" i="5"/>
  <c r="CI49" i="5"/>
  <c r="CL48" i="5"/>
  <c r="CI48" i="5"/>
  <c r="CL383" i="1"/>
  <c r="DQ383" i="1" s="1"/>
  <c r="CL321" i="1"/>
  <c r="CI321" i="1"/>
  <c r="CJ12" i="5"/>
  <c r="CI12" i="5"/>
  <c r="M30" i="3"/>
  <c r="L30" i="3"/>
  <c r="K30" i="3"/>
  <c r="J30" i="3"/>
  <c r="I30" i="3"/>
  <c r="H30" i="3"/>
  <c r="G30" i="3"/>
  <c r="F30" i="3"/>
  <c r="E30" i="3"/>
  <c r="D30" i="3"/>
  <c r="N28" i="3"/>
  <c r="CF299" i="5"/>
  <c r="CF298" i="5"/>
  <c r="AP12" i="6" s="1"/>
  <c r="CF288" i="5"/>
  <c r="CF287" i="5"/>
  <c r="CF232" i="5"/>
  <c r="CF234" i="5" s="1"/>
  <c r="CF229" i="5"/>
  <c r="CF223" i="5"/>
  <c r="CF188" i="5"/>
  <c r="DD62" i="2"/>
  <c r="DC62" i="2"/>
  <c r="DB62" i="2"/>
  <c r="DA62" i="2"/>
  <c r="CZ62" i="2"/>
  <c r="CY62" i="2"/>
  <c r="CX62" i="2"/>
  <c r="CW62" i="2"/>
  <c r="CV62" i="2"/>
  <c r="DI57" i="2"/>
  <c r="DO55" i="2"/>
  <c r="DN55" i="2"/>
  <c r="DM55" i="2"/>
  <c r="DN56" i="2" s="1"/>
  <c r="DL55" i="2"/>
  <c r="DK55" i="2"/>
  <c r="DJ55" i="2"/>
  <c r="DI55" i="2"/>
  <c r="DI59" i="2" s="1"/>
  <c r="CF59" i="2"/>
  <c r="CF58" i="2"/>
  <c r="CF56" i="2"/>
  <c r="CF127" i="2"/>
  <c r="CF126" i="2"/>
  <c r="CF308" i="2"/>
  <c r="CF285" i="2"/>
  <c r="CF297" i="2"/>
  <c r="CF20" i="5" s="1"/>
  <c r="CF260" i="5" s="1"/>
  <c r="CF312" i="2"/>
  <c r="CF294" i="2"/>
  <c r="CF240" i="2"/>
  <c r="CF276" i="2"/>
  <c r="CF266" i="2"/>
  <c r="CF279" i="2" s="1"/>
  <c r="CF264" i="2"/>
  <c r="CE217" i="2"/>
  <c r="CE218" i="2" s="1"/>
  <c r="CD217" i="2"/>
  <c r="CC217" i="2"/>
  <c r="CB217" i="2"/>
  <c r="CA217" i="2"/>
  <c r="CA218" i="2"/>
  <c r="BZ217" i="2"/>
  <c r="BY217" i="2"/>
  <c r="BX217" i="2"/>
  <c r="BW217" i="2"/>
  <c r="BW218" i="2" s="1"/>
  <c r="BV217" i="2"/>
  <c r="BU217" i="2"/>
  <c r="BT217" i="2"/>
  <c r="BS217" i="2"/>
  <c r="BS218" i="2" s="1"/>
  <c r="BR217" i="2"/>
  <c r="BQ217" i="2"/>
  <c r="BP217" i="2"/>
  <c r="BO217" i="2"/>
  <c r="BO218" i="2" s="1"/>
  <c r="BN217" i="2"/>
  <c r="BM217" i="2"/>
  <c r="BL217" i="2"/>
  <c r="BK217" i="2"/>
  <c r="BK218" i="2" s="1"/>
  <c r="BK219" i="2" s="1"/>
  <c r="BJ217" i="2"/>
  <c r="BI217" i="2"/>
  <c r="BH217" i="2"/>
  <c r="BG217" i="2"/>
  <c r="BF217" i="2"/>
  <c r="BE217" i="2"/>
  <c r="BD217" i="2"/>
  <c r="BC217" i="2"/>
  <c r="BC218" i="2" s="1"/>
  <c r="BB217" i="2"/>
  <c r="BA217" i="2"/>
  <c r="AZ217" i="2"/>
  <c r="AY217" i="2"/>
  <c r="AY218" i="2" s="1"/>
  <c r="AX217" i="2"/>
  <c r="AW217" i="2"/>
  <c r="AV217" i="2"/>
  <c r="AU217" i="2"/>
  <c r="CF217" i="2"/>
  <c r="CF212" i="2"/>
  <c r="CG212" i="2" s="1"/>
  <c r="CF210" i="2"/>
  <c r="CF26" i="2" s="1"/>
  <c r="CF166" i="2"/>
  <c r="CF64" i="2"/>
  <c r="CF85" i="2"/>
  <c r="CF150" i="5"/>
  <c r="CF149" i="5"/>
  <c r="CF148" i="5"/>
  <c r="CF147" i="5"/>
  <c r="CF146" i="5"/>
  <c r="CF144" i="5"/>
  <c r="CF141" i="5"/>
  <c r="CF140" i="5"/>
  <c r="CF135" i="5"/>
  <c r="CF134" i="5"/>
  <c r="CF133" i="5"/>
  <c r="CF132" i="5" s="1"/>
  <c r="BV134" i="5"/>
  <c r="CF378" i="1"/>
  <c r="CF363" i="1" s="1"/>
  <c r="CF373" i="1"/>
  <c r="CF372" i="1"/>
  <c r="CF350" i="1"/>
  <c r="CJ351" i="1" s="1"/>
  <c r="CF277" i="1"/>
  <c r="CF268" i="1"/>
  <c r="CF270" i="1" s="1"/>
  <c r="CF262" i="1"/>
  <c r="CF263" i="1" s="1"/>
  <c r="CF248" i="1"/>
  <c r="CF246" i="1"/>
  <c r="CF236" i="1"/>
  <c r="CF238" i="1"/>
  <c r="CF240" i="1"/>
  <c r="CF242" i="1"/>
  <c r="CF250" i="1"/>
  <c r="CF252" i="1"/>
  <c r="CF230" i="1"/>
  <c r="CF228" i="1"/>
  <c r="CF226" i="1"/>
  <c r="CF224" i="1"/>
  <c r="CF85" i="1"/>
  <c r="CF84" i="1"/>
  <c r="CF77" i="1"/>
  <c r="CF76" i="1"/>
  <c r="CF75" i="1"/>
  <c r="CF191" i="1"/>
  <c r="CF111" i="1"/>
  <c r="CF156" i="1"/>
  <c r="CF157" i="1"/>
  <c r="CF155" i="1"/>
  <c r="CF130" i="1"/>
  <c r="CF132" i="1" s="1"/>
  <c r="CG164" i="2"/>
  <c r="CJ86" i="1"/>
  <c r="CL307" i="1"/>
  <c r="CL15" i="2"/>
  <c r="DP15" i="2" s="1"/>
  <c r="CF57" i="1"/>
  <c r="CF58" i="1" s="1"/>
  <c r="CF53" i="1"/>
  <c r="CF45" i="1"/>
  <c r="CF21" i="1"/>
  <c r="CF23" i="1" s="1"/>
  <c r="CF18" i="1"/>
  <c r="CB294" i="2"/>
  <c r="CA294" i="2"/>
  <c r="BY294" i="2"/>
  <c r="BX294" i="2"/>
  <c r="BW294" i="2"/>
  <c r="BZ289" i="2"/>
  <c r="CD289" i="2"/>
  <c r="DN289" i="2" s="1"/>
  <c r="CJ72" i="2"/>
  <c r="CE59" i="2"/>
  <c r="CE58" i="2"/>
  <c r="CE56" i="2"/>
  <c r="CE308" i="2"/>
  <c r="CE294" i="2"/>
  <c r="CE285" i="2"/>
  <c r="CE321" i="2"/>
  <c r="CE240" i="2"/>
  <c r="CE279" i="2"/>
  <c r="CE270" i="2"/>
  <c r="CE265" i="2"/>
  <c r="CE211" i="2"/>
  <c r="CF164" i="2"/>
  <c r="CE126" i="2"/>
  <c r="CE85" i="2"/>
  <c r="CE64" i="5"/>
  <c r="CE60" i="5"/>
  <c r="CE59" i="5"/>
  <c r="CE232" i="5"/>
  <c r="CE234" i="5" s="1"/>
  <c r="CE229" i="5"/>
  <c r="CE223" i="5"/>
  <c r="CE201" i="5"/>
  <c r="CE197" i="5"/>
  <c r="CE63" i="5" s="1"/>
  <c r="CE81" i="5" s="1"/>
  <c r="DN118" i="5"/>
  <c r="DM118" i="5"/>
  <c r="DL118" i="5"/>
  <c r="DJ141" i="5"/>
  <c r="DI141" i="5"/>
  <c r="C9" i="4" s="1"/>
  <c r="CE150" i="5"/>
  <c r="CF58" i="5" s="1"/>
  <c r="CF80" i="5" s="1"/>
  <c r="CC150" i="5"/>
  <c r="CB150" i="5"/>
  <c r="CA150" i="5"/>
  <c r="BZ150" i="5"/>
  <c r="BY150" i="5"/>
  <c r="BX150" i="5"/>
  <c r="BW150" i="5"/>
  <c r="BV150" i="5"/>
  <c r="BU150" i="5"/>
  <c r="BV58" i="5" s="1"/>
  <c r="BV80" i="5" s="1"/>
  <c r="BT150" i="5"/>
  <c r="BS150" i="5"/>
  <c r="BR150" i="5"/>
  <c r="BQ150" i="5"/>
  <c r="BP150" i="5"/>
  <c r="BO150" i="5"/>
  <c r="BN150" i="5"/>
  <c r="BM150" i="5"/>
  <c r="BL150" i="5"/>
  <c r="BK150" i="5"/>
  <c r="BJ150" i="5"/>
  <c r="BH150" i="5"/>
  <c r="BG150" i="5"/>
  <c r="BF150" i="5"/>
  <c r="BE150" i="5"/>
  <c r="BD150" i="5"/>
  <c r="BD58" i="5" s="1"/>
  <c r="BD80" i="5" s="1"/>
  <c r="BC150" i="5"/>
  <c r="BB150" i="5"/>
  <c r="BA150" i="5"/>
  <c r="AX150" i="5"/>
  <c r="AW150" i="5"/>
  <c r="AV150" i="5"/>
  <c r="AU150" i="5"/>
  <c r="CE149" i="5"/>
  <c r="CC149" i="5"/>
  <c r="CB149" i="5"/>
  <c r="CA149" i="5"/>
  <c r="BZ149" i="5"/>
  <c r="BY149" i="5"/>
  <c r="BX149" i="5"/>
  <c r="BW149" i="5"/>
  <c r="BV149" i="5"/>
  <c r="BU149" i="5"/>
  <c r="BT149" i="5"/>
  <c r="BS149" i="5"/>
  <c r="BR149" i="5"/>
  <c r="BQ149" i="5"/>
  <c r="BP149" i="5"/>
  <c r="BO149" i="5"/>
  <c r="BN149" i="5"/>
  <c r="BM149" i="5"/>
  <c r="BL149" i="5"/>
  <c r="BK149" i="5"/>
  <c r="BJ149" i="5"/>
  <c r="BI149" i="5"/>
  <c r="BH149" i="5"/>
  <c r="BG149" i="5"/>
  <c r="BF149" i="5"/>
  <c r="BE149" i="5"/>
  <c r="BD149" i="5"/>
  <c r="BC149" i="5"/>
  <c r="BB149" i="5"/>
  <c r="BA149" i="5"/>
  <c r="AZ149" i="5"/>
  <c r="AY149" i="5"/>
  <c r="AX149" i="5"/>
  <c r="AW149" i="5"/>
  <c r="AV149" i="5"/>
  <c r="AU149" i="5"/>
  <c r="CE148" i="5"/>
  <c r="CC148" i="5"/>
  <c r="CB148" i="5"/>
  <c r="CA148" i="5"/>
  <c r="BZ148" i="5"/>
  <c r="BY148" i="5"/>
  <c r="BX148" i="5"/>
  <c r="BW148" i="5"/>
  <c r="BV148" i="5"/>
  <c r="BU148" i="5"/>
  <c r="BT148" i="5"/>
  <c r="BS148" i="5"/>
  <c r="BR148" i="5"/>
  <c r="BQ148" i="5"/>
  <c r="BP148" i="5"/>
  <c r="BO148" i="5"/>
  <c r="BN148" i="5"/>
  <c r="BM148" i="5"/>
  <c r="BL148" i="5"/>
  <c r="BK148" i="5"/>
  <c r="BJ148" i="5"/>
  <c r="BI148" i="5"/>
  <c r="BH148" i="5"/>
  <c r="BG148" i="5"/>
  <c r="BF148" i="5"/>
  <c r="BE148" i="5"/>
  <c r="BD148" i="5"/>
  <c r="BC148" i="5"/>
  <c r="BB148" i="5"/>
  <c r="BA148" i="5"/>
  <c r="AZ148" i="5"/>
  <c r="AY148" i="5"/>
  <c r="AX148" i="5"/>
  <c r="AW148" i="5"/>
  <c r="AV148" i="5"/>
  <c r="AU148" i="5"/>
  <c r="CE147" i="5"/>
  <c r="CC147" i="5"/>
  <c r="CB147" i="5"/>
  <c r="CA147" i="5"/>
  <c r="BZ147" i="5"/>
  <c r="BY147" i="5"/>
  <c r="BX147" i="5"/>
  <c r="BW147" i="5"/>
  <c r="BV147" i="5"/>
  <c r="BU147" i="5"/>
  <c r="BT147" i="5"/>
  <c r="BS147" i="5"/>
  <c r="BR147" i="5"/>
  <c r="BQ147" i="5"/>
  <c r="BP147" i="5"/>
  <c r="BO147" i="5"/>
  <c r="BN147" i="5"/>
  <c r="BM147" i="5"/>
  <c r="BL147" i="5"/>
  <c r="BK147" i="5"/>
  <c r="BJ147" i="5"/>
  <c r="BI147" i="5"/>
  <c r="BH147" i="5"/>
  <c r="BG147" i="5"/>
  <c r="BF147" i="5"/>
  <c r="BE147" i="5"/>
  <c r="BD147" i="5"/>
  <c r="BC147" i="5"/>
  <c r="BB147" i="5"/>
  <c r="BA147" i="5"/>
  <c r="AZ147" i="5"/>
  <c r="AY147" i="5"/>
  <c r="AX147" i="5"/>
  <c r="AW147" i="5"/>
  <c r="AV147" i="5"/>
  <c r="AU147" i="5"/>
  <c r="CE146" i="5"/>
  <c r="CC146" i="5"/>
  <c r="CB146" i="5"/>
  <c r="CA146" i="5"/>
  <c r="BZ146" i="5"/>
  <c r="BY146" i="5"/>
  <c r="BX146" i="5"/>
  <c r="BN146" i="5"/>
  <c r="BM146" i="5"/>
  <c r="BL146" i="5"/>
  <c r="BK146" i="5"/>
  <c r="BL52" i="5" s="1"/>
  <c r="BL73" i="5" s="1"/>
  <c r="BJ146" i="5"/>
  <c r="BI146" i="5"/>
  <c r="BH146" i="5"/>
  <c r="BG146" i="5"/>
  <c r="BF146" i="5"/>
  <c r="BG52" i="5" s="1"/>
  <c r="BG73" i="5" s="1"/>
  <c r="BE146" i="5"/>
  <c r="BD146" i="5"/>
  <c r="BC146" i="5"/>
  <c r="BB146" i="5"/>
  <c r="BA146" i="5"/>
  <c r="AZ146" i="5"/>
  <c r="AY146" i="5"/>
  <c r="AX146" i="5"/>
  <c r="AY52" i="5" s="1"/>
  <c r="AY73" i="5" s="1"/>
  <c r="AW146" i="5"/>
  <c r="AV146" i="5"/>
  <c r="AU146" i="5"/>
  <c r="AV52" i="5" s="1"/>
  <c r="AV73" i="5" s="1"/>
  <c r="BP145" i="5"/>
  <c r="BO145" i="5"/>
  <c r="BN145" i="5"/>
  <c r="BM145" i="5"/>
  <c r="BL145" i="5"/>
  <c r="BK145" i="5"/>
  <c r="BJ145" i="5"/>
  <c r="BG145" i="5"/>
  <c r="BE145" i="5"/>
  <c r="BD145" i="5"/>
  <c r="BC145" i="5"/>
  <c r="BB145" i="5"/>
  <c r="BA145" i="5"/>
  <c r="AZ145" i="5"/>
  <c r="AY145" i="5"/>
  <c r="AX145" i="5"/>
  <c r="CE144" i="5"/>
  <c r="CC144" i="5"/>
  <c r="CB144" i="5"/>
  <c r="CA144" i="5"/>
  <c r="BZ144" i="5"/>
  <c r="BY144" i="5"/>
  <c r="BX144" i="5"/>
  <c r="BW144" i="5"/>
  <c r="BV144" i="5"/>
  <c r="BU144" i="5"/>
  <c r="BT144" i="5"/>
  <c r="BS144" i="5"/>
  <c r="BR144" i="5"/>
  <c r="BQ144" i="5"/>
  <c r="BP144" i="5"/>
  <c r="BO144" i="5"/>
  <c r="BN144" i="5"/>
  <c r="BM144" i="5"/>
  <c r="BL144" i="5"/>
  <c r="BK144" i="5"/>
  <c r="BJ144" i="5"/>
  <c r="BI144" i="5"/>
  <c r="BH144" i="5"/>
  <c r="BG144" i="5"/>
  <c r="BF144" i="5"/>
  <c r="BE144" i="5"/>
  <c r="BD144" i="5"/>
  <c r="BC144" i="5"/>
  <c r="BB144" i="5"/>
  <c r="BA144" i="5"/>
  <c r="AZ144" i="5"/>
  <c r="AY144" i="5"/>
  <c r="AX144" i="5"/>
  <c r="AW144" i="5"/>
  <c r="AV144" i="5"/>
  <c r="AU144" i="5"/>
  <c r="BY303" i="2"/>
  <c r="BX85" i="5"/>
  <c r="CE141" i="5"/>
  <c r="CC141" i="5"/>
  <c r="CB141" i="5"/>
  <c r="CA141" i="5"/>
  <c r="BZ141" i="5"/>
  <c r="BY141" i="5"/>
  <c r="BX141" i="5"/>
  <c r="BW141" i="5"/>
  <c r="BV141" i="5"/>
  <c r="BU141" i="5"/>
  <c r="BT141" i="5"/>
  <c r="BS141" i="5"/>
  <c r="BR141" i="5"/>
  <c r="BQ141" i="5"/>
  <c r="BP141" i="5"/>
  <c r="BO141" i="5"/>
  <c r="BN141" i="5"/>
  <c r="BM141" i="5"/>
  <c r="BL141" i="5"/>
  <c r="BK141" i="5"/>
  <c r="BJ141" i="5"/>
  <c r="BI141" i="5"/>
  <c r="BH141" i="5"/>
  <c r="BG141" i="5"/>
  <c r="BF141" i="5"/>
  <c r="BE141" i="5"/>
  <c r="BD141" i="5"/>
  <c r="BC141" i="5"/>
  <c r="BB141" i="5"/>
  <c r="BA141" i="5"/>
  <c r="AZ141" i="5"/>
  <c r="AY141" i="5"/>
  <c r="AX141" i="5"/>
  <c r="AW141" i="5"/>
  <c r="AV141" i="5"/>
  <c r="AU141" i="5"/>
  <c r="CE140" i="5"/>
  <c r="CC140" i="5"/>
  <c r="CB140" i="5"/>
  <c r="CA140" i="5"/>
  <c r="BZ140" i="5"/>
  <c r="BY140" i="5"/>
  <c r="BX140" i="5"/>
  <c r="BX139" i="5" s="1"/>
  <c r="BW140" i="5"/>
  <c r="BW139" i="5" s="1"/>
  <c r="BV140" i="5"/>
  <c r="BU140" i="5"/>
  <c r="BT140" i="5"/>
  <c r="BS140" i="5"/>
  <c r="BR140" i="5"/>
  <c r="BQ140" i="5"/>
  <c r="BP140" i="5"/>
  <c r="BO140" i="5"/>
  <c r="BN140" i="5"/>
  <c r="BM140" i="5"/>
  <c r="BL140" i="5"/>
  <c r="BK140" i="5"/>
  <c r="BJ140" i="5"/>
  <c r="BI140" i="5"/>
  <c r="BI139" i="5" s="1"/>
  <c r="BH140" i="5"/>
  <c r="BH139" i="5" s="1"/>
  <c r="BG140" i="5"/>
  <c r="BF140" i="5"/>
  <c r="BE140" i="5"/>
  <c r="BD140" i="5"/>
  <c r="BC140" i="5"/>
  <c r="BB140" i="5"/>
  <c r="BA140" i="5"/>
  <c r="AZ140" i="5"/>
  <c r="AY140" i="5"/>
  <c r="AZ259" i="5" s="1"/>
  <c r="AX140" i="5"/>
  <c r="AW140" i="5"/>
  <c r="AV140" i="5"/>
  <c r="AU140" i="5"/>
  <c r="CD148" i="5"/>
  <c r="DN103" i="5"/>
  <c r="DN148" i="5" s="1"/>
  <c r="DM103" i="5"/>
  <c r="DM148" i="5" s="1"/>
  <c r="DL103" i="5"/>
  <c r="DL148" i="5" s="1"/>
  <c r="DK103" i="5"/>
  <c r="DK148" i="5" s="1"/>
  <c r="DJ103" i="5"/>
  <c r="DJ148" i="5" s="1"/>
  <c r="DI103" i="5"/>
  <c r="DI148" i="5" s="1"/>
  <c r="DH103" i="5"/>
  <c r="DG103" i="5"/>
  <c r="DG148" i="5" s="1"/>
  <c r="DF103" i="5"/>
  <c r="CW102" i="5"/>
  <c r="CV102" i="5"/>
  <c r="CU102" i="5"/>
  <c r="CD102" i="5"/>
  <c r="CC102" i="5"/>
  <c r="CB102" i="5"/>
  <c r="CA102" i="5"/>
  <c r="BZ102" i="5"/>
  <c r="BY102" i="5"/>
  <c r="BX102" i="5"/>
  <c r="BW102" i="5"/>
  <c r="BV102" i="5"/>
  <c r="BU102" i="5"/>
  <c r="BT102" i="5"/>
  <c r="BS102" i="5"/>
  <c r="BR102" i="5"/>
  <c r="BQ102" i="5"/>
  <c r="BP102" i="5"/>
  <c r="BO102" i="5"/>
  <c r="BN102" i="5"/>
  <c r="BM102" i="5"/>
  <c r="BL102" i="5"/>
  <c r="BK102" i="5"/>
  <c r="BJ102" i="5"/>
  <c r="BI102" i="5"/>
  <c r="BH102" i="5"/>
  <c r="BG102" i="5"/>
  <c r="BG107" i="5" s="1"/>
  <c r="BF102" i="5"/>
  <c r="BE102" i="5"/>
  <c r="BD102" i="5"/>
  <c r="BC102" i="5"/>
  <c r="BB102" i="5"/>
  <c r="BA102" i="5"/>
  <c r="AZ102" i="5"/>
  <c r="AY102" i="5"/>
  <c r="AX102" i="5"/>
  <c r="AW102" i="5"/>
  <c r="AV102" i="5"/>
  <c r="AU102" i="5"/>
  <c r="AT102" i="5"/>
  <c r="AS102" i="5"/>
  <c r="AR102" i="5"/>
  <c r="AQ102" i="5"/>
  <c r="AO102" i="5"/>
  <c r="AN102" i="5"/>
  <c r="AM102" i="5"/>
  <c r="AL102" i="5"/>
  <c r="AK102" i="5"/>
  <c r="AJ102" i="5"/>
  <c r="AI102" i="5"/>
  <c r="AH102" i="5"/>
  <c r="AG102" i="5"/>
  <c r="AF102" i="5"/>
  <c r="AE102" i="5"/>
  <c r="AD102" i="5"/>
  <c r="AC102" i="5"/>
  <c r="AB102" i="5"/>
  <c r="AA102" i="5"/>
  <c r="Z102" i="5"/>
  <c r="Y102" i="5"/>
  <c r="X102" i="5"/>
  <c r="W102" i="5"/>
  <c r="V102" i="5"/>
  <c r="U102" i="5"/>
  <c r="T102" i="5"/>
  <c r="S102" i="5"/>
  <c r="R102" i="5"/>
  <c r="Q102" i="5"/>
  <c r="P102" i="5"/>
  <c r="O102" i="5"/>
  <c r="N102" i="5"/>
  <c r="M102" i="5"/>
  <c r="L102" i="5"/>
  <c r="K102" i="5"/>
  <c r="J102" i="5"/>
  <c r="I102" i="5"/>
  <c r="H102" i="5"/>
  <c r="G102" i="5"/>
  <c r="F102" i="5"/>
  <c r="E102" i="5"/>
  <c r="D102" i="5"/>
  <c r="C102" i="5"/>
  <c r="CE102" i="5"/>
  <c r="CE21" i="1"/>
  <c r="CE18" i="1"/>
  <c r="CE238" i="1"/>
  <c r="CE350" i="1"/>
  <c r="CE277" i="1"/>
  <c r="CE281" i="1" s="1"/>
  <c r="CI283" i="1" s="1"/>
  <c r="CE268" i="1"/>
  <c r="CE262" i="1"/>
  <c r="CE242" i="1"/>
  <c r="CE240" i="1"/>
  <c r="CE236" i="1"/>
  <c r="CE224" i="1"/>
  <c r="CE321" i="1"/>
  <c r="CE252" i="1"/>
  <c r="CD246" i="1"/>
  <c r="CE250" i="1"/>
  <c r="CE230" i="1"/>
  <c r="CE228" i="1"/>
  <c r="CE191" i="1"/>
  <c r="CE157" i="1"/>
  <c r="CE156" i="1"/>
  <c r="CE155" i="1"/>
  <c r="CE130" i="1"/>
  <c r="CE132" i="1" s="1"/>
  <c r="CE76" i="1"/>
  <c r="CE85" i="1"/>
  <c r="CE57" i="1"/>
  <c r="CE58" i="1" s="1"/>
  <c r="CE53" i="1"/>
  <c r="CE45" i="1"/>
  <c r="CI270" i="1"/>
  <c r="DO118" i="5"/>
  <c r="CL118" i="5"/>
  <c r="DP118" i="5" s="1"/>
  <c r="DR118" i="5" s="1"/>
  <c r="DS118" i="5" s="1"/>
  <c r="DT118" i="5" s="1"/>
  <c r="DU118" i="5" s="1"/>
  <c r="CK72" i="2"/>
  <c r="CI72" i="2"/>
  <c r="CE166" i="2"/>
  <c r="CF200" i="2" s="1"/>
  <c r="CL93" i="2"/>
  <c r="DP93" i="2" s="1"/>
  <c r="CT212" i="2"/>
  <c r="DO103" i="5"/>
  <c r="DO148" i="5" s="1"/>
  <c r="CI104" i="2"/>
  <c r="CD69" i="5"/>
  <c r="CC69" i="5"/>
  <c r="CB69" i="5"/>
  <c r="CA69" i="5"/>
  <c r="BZ69" i="5"/>
  <c r="BY69" i="5"/>
  <c r="BX69" i="5"/>
  <c r="BW69" i="5"/>
  <c r="BV69" i="5"/>
  <c r="BU69" i="5"/>
  <c r="BT69" i="5"/>
  <c r="BS69" i="5"/>
  <c r="BR69" i="5"/>
  <c r="BQ69" i="5"/>
  <c r="BP69" i="5"/>
  <c r="BO69" i="5"/>
  <c r="BN69" i="5"/>
  <c r="BM69" i="5"/>
  <c r="BL69" i="5"/>
  <c r="BK69" i="5"/>
  <c r="BJ69" i="5"/>
  <c r="BI69" i="5"/>
  <c r="BH69" i="5"/>
  <c r="BG69" i="5"/>
  <c r="BF69" i="5"/>
  <c r="BE69" i="5"/>
  <c r="BD69" i="5"/>
  <c r="BC69" i="5"/>
  <c r="BB69" i="5"/>
  <c r="BA69" i="5"/>
  <c r="AZ69" i="5"/>
  <c r="AY69" i="5"/>
  <c r="AX69" i="5"/>
  <c r="AW69" i="5"/>
  <c r="AV69" i="5"/>
  <c r="AU69" i="5"/>
  <c r="AT69" i="5"/>
  <c r="AS69" i="5"/>
  <c r="AR69" i="5"/>
  <c r="AQ69" i="5"/>
  <c r="AP69" i="5"/>
  <c r="AO69" i="5"/>
  <c r="AN69" i="5"/>
  <c r="AM69" i="5"/>
  <c r="AL69" i="5"/>
  <c r="AK69" i="5"/>
  <c r="AJ69" i="5"/>
  <c r="AI69" i="5"/>
  <c r="AH69" i="5"/>
  <c r="AG69" i="5"/>
  <c r="AF69" i="5"/>
  <c r="AE69" i="5"/>
  <c r="AD69" i="5"/>
  <c r="AC69" i="5"/>
  <c r="AB69" i="5"/>
  <c r="AA69" i="5"/>
  <c r="Z69" i="5"/>
  <c r="Y69" i="5"/>
  <c r="X69" i="5"/>
  <c r="W69" i="5"/>
  <c r="C69" i="5"/>
  <c r="CD67" i="5"/>
  <c r="CD83" i="5" s="1"/>
  <c r="CC67" i="5"/>
  <c r="CC83" i="5" s="1"/>
  <c r="CB67" i="5"/>
  <c r="CB83" i="5" s="1"/>
  <c r="CA67" i="5"/>
  <c r="CA83" i="5" s="1"/>
  <c r="BZ67" i="5"/>
  <c r="BZ83" i="5" s="1"/>
  <c r="BY67" i="5"/>
  <c r="BY83" i="5" s="1"/>
  <c r="BX67" i="5"/>
  <c r="BX83" i="5" s="1"/>
  <c r="BW67" i="5"/>
  <c r="BW83" i="5" s="1"/>
  <c r="BV67" i="5"/>
  <c r="BV83" i="5" s="1"/>
  <c r="BU67" i="5"/>
  <c r="BU83" i="5" s="1"/>
  <c r="BT67" i="5"/>
  <c r="BT83" i="5" s="1"/>
  <c r="BS67" i="5"/>
  <c r="BS83" i="5" s="1"/>
  <c r="BR67" i="5"/>
  <c r="BR83" i="5" s="1"/>
  <c r="BQ67" i="5"/>
  <c r="BQ83" i="5" s="1"/>
  <c r="BP67" i="5"/>
  <c r="BO67" i="5"/>
  <c r="BN67" i="5"/>
  <c r="BN83" i="5" s="1"/>
  <c r="BM67" i="5"/>
  <c r="BM83" i="5" s="1"/>
  <c r="BL67" i="5"/>
  <c r="BL83" i="5" s="1"/>
  <c r="BK67" i="5"/>
  <c r="BK83" i="5" s="1"/>
  <c r="BJ67" i="5"/>
  <c r="BI67" i="5"/>
  <c r="BI83" i="5" s="1"/>
  <c r="BH67" i="5"/>
  <c r="BH83" i="5" s="1"/>
  <c r="BG67" i="5"/>
  <c r="BF67" i="5"/>
  <c r="BF83" i="5" s="1"/>
  <c r="BE67" i="5"/>
  <c r="BE83" i="5" s="1"/>
  <c r="BD67" i="5"/>
  <c r="BD83" i="5" s="1"/>
  <c r="BC67" i="5"/>
  <c r="BC83" i="5" s="1"/>
  <c r="BB67" i="5"/>
  <c r="BA67" i="5"/>
  <c r="BA83" i="5" s="1"/>
  <c r="AZ67" i="5"/>
  <c r="AZ83" i="5" s="1"/>
  <c r="AY67" i="5"/>
  <c r="AY83" i="5" s="1"/>
  <c r="AX67" i="5"/>
  <c r="AX83" i="5" s="1"/>
  <c r="AW67" i="5"/>
  <c r="AW83" i="5" s="1"/>
  <c r="AV67" i="5"/>
  <c r="AV83" i="5" s="1"/>
  <c r="AU67" i="5"/>
  <c r="AT67" i="5"/>
  <c r="AT83" i="5" s="1"/>
  <c r="AS67" i="5"/>
  <c r="AS83" i="5" s="1"/>
  <c r="AR67" i="5"/>
  <c r="AR83" i="5" s="1"/>
  <c r="AQ67" i="5"/>
  <c r="AP67" i="5"/>
  <c r="AP83" i="5" s="1"/>
  <c r="AO67" i="5"/>
  <c r="AN67" i="5"/>
  <c r="AN83" i="5" s="1"/>
  <c r="AM67" i="5"/>
  <c r="AM83" i="5" s="1"/>
  <c r="AL67" i="5"/>
  <c r="AL83" i="5" s="1"/>
  <c r="AK67" i="5"/>
  <c r="AK83" i="5" s="1"/>
  <c r="AJ67" i="5"/>
  <c r="AI67" i="5"/>
  <c r="C67" i="5"/>
  <c r="C83" i="5" s="1"/>
  <c r="CD64" i="5"/>
  <c r="CC64" i="5"/>
  <c r="CB64" i="5"/>
  <c r="CA64" i="5"/>
  <c r="BZ64" i="5"/>
  <c r="BY64" i="5"/>
  <c r="BX64" i="5"/>
  <c r="BW64" i="5"/>
  <c r="BV64" i="5"/>
  <c r="BU64" i="5"/>
  <c r="BT64" i="5"/>
  <c r="BS64" i="5"/>
  <c r="BR64" i="5"/>
  <c r="BQ64" i="5"/>
  <c r="BP64" i="5"/>
  <c r="BO64" i="5"/>
  <c r="BN64" i="5"/>
  <c r="BM64" i="5"/>
  <c r="BL64" i="5"/>
  <c r="BK64" i="5"/>
  <c r="BJ64" i="5"/>
  <c r="BI64" i="5"/>
  <c r="BH64" i="5"/>
  <c r="BG64" i="5"/>
  <c r="BF64" i="5"/>
  <c r="BE64" i="5"/>
  <c r="BD64" i="5"/>
  <c r="BC64" i="5"/>
  <c r="BB64" i="5"/>
  <c r="BA64" i="5"/>
  <c r="AZ64" i="5"/>
  <c r="AY64" i="5"/>
  <c r="AX64" i="5"/>
  <c r="AW64" i="5"/>
  <c r="AV64" i="5"/>
  <c r="U64" i="5"/>
  <c r="T64" i="5"/>
  <c r="Q64" i="5"/>
  <c r="P64" i="5"/>
  <c r="O64" i="5"/>
  <c r="N64" i="5"/>
  <c r="M64" i="5"/>
  <c r="L64" i="5"/>
  <c r="K64" i="5"/>
  <c r="J64" i="5"/>
  <c r="I64" i="5"/>
  <c r="H64" i="5"/>
  <c r="G64" i="5"/>
  <c r="F64" i="5"/>
  <c r="E64" i="5"/>
  <c r="D64" i="5"/>
  <c r="C64" i="5"/>
  <c r="CD60" i="5"/>
  <c r="CC60" i="5"/>
  <c r="CB60" i="5"/>
  <c r="CA60" i="5"/>
  <c r="BZ60" i="5"/>
  <c r="BY60" i="5"/>
  <c r="BX60" i="5"/>
  <c r="BW60" i="5"/>
  <c r="BV60" i="5"/>
  <c r="BU60" i="5"/>
  <c r="BT60" i="5"/>
  <c r="BS60" i="5"/>
  <c r="BQ60" i="5"/>
  <c r="BP60" i="5"/>
  <c r="BO60" i="5"/>
  <c r="BN60" i="5"/>
  <c r="BM60" i="5"/>
  <c r="BL60" i="5"/>
  <c r="BK60" i="5"/>
  <c r="N60" i="5"/>
  <c r="M60" i="5"/>
  <c r="L60" i="5"/>
  <c r="K60" i="5"/>
  <c r="J60" i="5"/>
  <c r="I60" i="5"/>
  <c r="H60" i="5"/>
  <c r="F60" i="5"/>
  <c r="E60" i="5"/>
  <c r="D60" i="5"/>
  <c r="CG59" i="5"/>
  <c r="CF59" i="5"/>
  <c r="CD59" i="5"/>
  <c r="CC59" i="5"/>
  <c r="CB59" i="5"/>
  <c r="CA59" i="5"/>
  <c r="BZ59" i="5"/>
  <c r="BY59" i="5"/>
  <c r="BX59" i="5"/>
  <c r="BW59" i="5"/>
  <c r="BV59" i="5"/>
  <c r="BU59" i="5"/>
  <c r="BT59" i="5"/>
  <c r="BS59" i="5"/>
  <c r="BR59" i="5"/>
  <c r="BQ59" i="5"/>
  <c r="BP59" i="5"/>
  <c r="BO59" i="5"/>
  <c r="BN59" i="5"/>
  <c r="BM59" i="5"/>
  <c r="BL59" i="5"/>
  <c r="BK59" i="5"/>
  <c r="BJ59" i="5"/>
  <c r="BI59" i="5"/>
  <c r="BH59" i="5"/>
  <c r="BG59" i="5"/>
  <c r="BF59" i="5"/>
  <c r="BE59" i="5"/>
  <c r="BD59" i="5"/>
  <c r="BC59" i="5"/>
  <c r="BB59" i="5"/>
  <c r="BA59" i="5"/>
  <c r="AZ59" i="5"/>
  <c r="AY59" i="5"/>
  <c r="AX59" i="5"/>
  <c r="AW59" i="5"/>
  <c r="AV59" i="5"/>
  <c r="AU59" i="5"/>
  <c r="AT59" i="5"/>
  <c r="AS59" i="5"/>
  <c r="AR59" i="5"/>
  <c r="AQ59" i="5"/>
  <c r="AP59" i="5"/>
  <c r="AO59" i="5"/>
  <c r="AN59" i="5"/>
  <c r="AM59" i="5"/>
  <c r="AL59" i="5"/>
  <c r="AK59" i="5"/>
  <c r="AJ59" i="5"/>
  <c r="AI59" i="5"/>
  <c r="AH59" i="5"/>
  <c r="AG59" i="5"/>
  <c r="AF59" i="5"/>
  <c r="AE59" i="5"/>
  <c r="AD59" i="5"/>
  <c r="AC59" i="5"/>
  <c r="AB59" i="5"/>
  <c r="AA59" i="5"/>
  <c r="Z59" i="5"/>
  <c r="Y59" i="5"/>
  <c r="X59" i="5"/>
  <c r="W59" i="5"/>
  <c r="V59" i="5"/>
  <c r="U59" i="5"/>
  <c r="T59" i="5"/>
  <c r="S59" i="5"/>
  <c r="R59" i="5"/>
  <c r="Q59" i="5"/>
  <c r="P59" i="5"/>
  <c r="O59" i="5"/>
  <c r="N59" i="5"/>
  <c r="M59" i="5"/>
  <c r="L59" i="5"/>
  <c r="K59" i="5"/>
  <c r="J59" i="5"/>
  <c r="I59" i="5"/>
  <c r="H59" i="5"/>
  <c r="G59" i="5"/>
  <c r="F59" i="5"/>
  <c r="E59" i="5"/>
  <c r="D59" i="5"/>
  <c r="C59" i="5"/>
  <c r="CG49" i="5"/>
  <c r="CF49" i="5"/>
  <c r="CE49" i="5"/>
  <c r="CD49" i="5"/>
  <c r="CC49" i="5"/>
  <c r="CB49" i="5"/>
  <c r="CA49" i="5"/>
  <c r="BZ49" i="5"/>
  <c r="BY49" i="5"/>
  <c r="BX49" i="5"/>
  <c r="BW49" i="5"/>
  <c r="BV49" i="5"/>
  <c r="BU49" i="5"/>
  <c r="BT49" i="5"/>
  <c r="BS49" i="5"/>
  <c r="BR49" i="5"/>
  <c r="BQ49" i="5"/>
  <c r="BP49" i="5"/>
  <c r="BO49" i="5"/>
  <c r="BN49" i="5"/>
  <c r="BM49" i="5"/>
  <c r="BL49" i="5"/>
  <c r="BK49" i="5"/>
  <c r="BJ49" i="5"/>
  <c r="BI49" i="5"/>
  <c r="BH49" i="5"/>
  <c r="BG49" i="5"/>
  <c r="BF49" i="5"/>
  <c r="BE49" i="5"/>
  <c r="BD49" i="5"/>
  <c r="BC49" i="5"/>
  <c r="BB49" i="5"/>
  <c r="BA49" i="5"/>
  <c r="AZ49" i="5"/>
  <c r="AY49" i="5"/>
  <c r="AX49" i="5"/>
  <c r="AT49" i="5"/>
  <c r="AS49" i="5"/>
  <c r="AR49" i="5"/>
  <c r="AQ49" i="5"/>
  <c r="AP49" i="5"/>
  <c r="AO49" i="5"/>
  <c r="AN49" i="5"/>
  <c r="AM49" i="5"/>
  <c r="AL49" i="5"/>
  <c r="AK49" i="5"/>
  <c r="AJ49" i="5"/>
  <c r="AI49" i="5"/>
  <c r="AH49" i="5"/>
  <c r="AG49" i="5"/>
  <c r="AF49" i="5"/>
  <c r="AE49" i="5"/>
  <c r="AD49" i="5"/>
  <c r="AC49" i="5"/>
  <c r="AB49" i="5"/>
  <c r="AA49" i="5"/>
  <c r="Z49" i="5"/>
  <c r="Y49" i="5"/>
  <c r="X49" i="5"/>
  <c r="W49" i="5"/>
  <c r="V49" i="5"/>
  <c r="U49" i="5"/>
  <c r="T49" i="5"/>
  <c r="S49" i="5"/>
  <c r="R49" i="5"/>
  <c r="Q49" i="5"/>
  <c r="P49" i="5"/>
  <c r="O49" i="5"/>
  <c r="N49" i="5"/>
  <c r="M49" i="5"/>
  <c r="L49" i="5"/>
  <c r="K49" i="5"/>
  <c r="J49" i="5"/>
  <c r="I49" i="5"/>
  <c r="H49" i="5"/>
  <c r="G49" i="5"/>
  <c r="F49" i="5"/>
  <c r="E49" i="5"/>
  <c r="D49" i="5"/>
  <c r="C49" i="5"/>
  <c r="CG48" i="5"/>
  <c r="CF48" i="5"/>
  <c r="CE48" i="5"/>
  <c r="CD48" i="5"/>
  <c r="CC48" i="5"/>
  <c r="CB48" i="5"/>
  <c r="CA48" i="5"/>
  <c r="BZ48" i="5"/>
  <c r="BY48" i="5"/>
  <c r="BX48" i="5"/>
  <c r="BW48" i="5"/>
  <c r="BV48" i="5"/>
  <c r="BU48" i="5"/>
  <c r="BT48" i="5"/>
  <c r="BS48" i="5"/>
  <c r="BR48" i="5"/>
  <c r="BQ48" i="5"/>
  <c r="BP48" i="5"/>
  <c r="BO48" i="5"/>
  <c r="BN48" i="5"/>
  <c r="BM48" i="5"/>
  <c r="BL48" i="5"/>
  <c r="BK48" i="5"/>
  <c r="BJ48" i="5"/>
  <c r="BI48" i="5"/>
  <c r="BH48" i="5"/>
  <c r="BG48" i="5"/>
  <c r="BF48" i="5"/>
  <c r="BE48" i="5"/>
  <c r="BD48" i="5"/>
  <c r="BC48" i="5"/>
  <c r="BB48" i="5"/>
  <c r="BA48" i="5"/>
  <c r="AZ48" i="5"/>
  <c r="AY48" i="5"/>
  <c r="AX48" i="5"/>
  <c r="AW48" i="5"/>
  <c r="AV48" i="5"/>
  <c r="AU48" i="5"/>
  <c r="AT48" i="5"/>
  <c r="AS48" i="5"/>
  <c r="AR48" i="5"/>
  <c r="AQ48" i="5"/>
  <c r="AP48" i="5"/>
  <c r="AO48" i="5"/>
  <c r="AN48" i="5"/>
  <c r="AM48" i="5"/>
  <c r="AL48" i="5"/>
  <c r="AK48" i="5"/>
  <c r="AJ48" i="5"/>
  <c r="AI48" i="5"/>
  <c r="AH48" i="5"/>
  <c r="AG48" i="5"/>
  <c r="AF48" i="5"/>
  <c r="AE48" i="5"/>
  <c r="AD48" i="5"/>
  <c r="AC48" i="5"/>
  <c r="AB48" i="5"/>
  <c r="AA48" i="5"/>
  <c r="Z48" i="5"/>
  <c r="Y48" i="5"/>
  <c r="X48" i="5"/>
  <c r="W48" i="5"/>
  <c r="V48" i="5"/>
  <c r="U48" i="5"/>
  <c r="T48" i="5"/>
  <c r="S48" i="5"/>
  <c r="R48" i="5"/>
  <c r="Q48" i="5"/>
  <c r="P48" i="5"/>
  <c r="O48" i="5"/>
  <c r="N48" i="5"/>
  <c r="M48" i="5"/>
  <c r="L48" i="5"/>
  <c r="K48" i="5"/>
  <c r="J48" i="5"/>
  <c r="I48" i="5"/>
  <c r="H48" i="5"/>
  <c r="G48" i="5"/>
  <c r="F48" i="5"/>
  <c r="E48" i="5"/>
  <c r="D48" i="5"/>
  <c r="C48" i="5"/>
  <c r="CC44" i="5"/>
  <c r="CB44" i="5"/>
  <c r="CA44" i="5"/>
  <c r="BY44" i="5"/>
  <c r="BX44" i="5"/>
  <c r="BW44" i="5"/>
  <c r="BV44" i="5"/>
  <c r="BU44" i="5"/>
  <c r="BT44" i="5"/>
  <c r="BS44" i="5"/>
  <c r="BR44" i="5"/>
  <c r="BQ44" i="5"/>
  <c r="BP44" i="5"/>
  <c r="BO44" i="5"/>
  <c r="BN44" i="5"/>
  <c r="BM44" i="5"/>
  <c r="BL44" i="5"/>
  <c r="BJ44" i="5"/>
  <c r="BI44" i="5"/>
  <c r="BH44" i="5"/>
  <c r="BG44" i="5"/>
  <c r="BF44" i="5"/>
  <c r="BE44" i="5"/>
  <c r="BD44" i="5"/>
  <c r="BC44" i="5"/>
  <c r="BB44" i="5"/>
  <c r="BA44" i="5"/>
  <c r="AZ44" i="5"/>
  <c r="AY44" i="5"/>
  <c r="AX44" i="5"/>
  <c r="AW44" i="5"/>
  <c r="AV44" i="5"/>
  <c r="AU44" i="5"/>
  <c r="AT44" i="5"/>
  <c r="AS44" i="5"/>
  <c r="AR44" i="5"/>
  <c r="AQ44" i="5"/>
  <c r="AP44" i="5"/>
  <c r="AO44" i="5"/>
  <c r="AN44" i="5"/>
  <c r="AM44" i="5"/>
  <c r="AL44" i="5"/>
  <c r="AK44" i="5"/>
  <c r="AJ44" i="5"/>
  <c r="AI44" i="5"/>
  <c r="AH44" i="5"/>
  <c r="AG44" i="5"/>
  <c r="AF44" i="5"/>
  <c r="AE44" i="5"/>
  <c r="AD44" i="5"/>
  <c r="AC44" i="5"/>
  <c r="AB44" i="5"/>
  <c r="AA44" i="5"/>
  <c r="Z44" i="5"/>
  <c r="Y44" i="5"/>
  <c r="X44" i="5"/>
  <c r="W44" i="5"/>
  <c r="V44" i="5"/>
  <c r="U44" i="5"/>
  <c r="T44" i="5"/>
  <c r="S44" i="5"/>
  <c r="R44" i="5"/>
  <c r="Q44" i="5"/>
  <c r="P44" i="5"/>
  <c r="O44" i="5"/>
  <c r="N44" i="5"/>
  <c r="M44" i="5"/>
  <c r="L44" i="5"/>
  <c r="K44" i="5"/>
  <c r="J44" i="5"/>
  <c r="I44" i="5"/>
  <c r="H44" i="5"/>
  <c r="G44" i="5"/>
  <c r="F44" i="5"/>
  <c r="E44" i="5"/>
  <c r="D44" i="5"/>
  <c r="C44" i="5"/>
  <c r="CD42" i="5"/>
  <c r="CC42" i="5"/>
  <c r="CB42" i="5"/>
  <c r="CA42" i="5"/>
  <c r="BY42" i="5"/>
  <c r="BX42" i="5"/>
  <c r="BW42" i="5"/>
  <c r="BS42" i="5"/>
  <c r="BQ42" i="5"/>
  <c r="BP42" i="5"/>
  <c r="BM42" i="5"/>
  <c r="BK42" i="5"/>
  <c r="BJ42" i="5"/>
  <c r="BI42" i="5"/>
  <c r="BH42" i="5"/>
  <c r="BG42" i="5"/>
  <c r="BF42" i="5"/>
  <c r="BE42" i="5"/>
  <c r="BD42" i="5"/>
  <c r="BC42" i="5"/>
  <c r="BB42" i="5"/>
  <c r="BA42" i="5"/>
  <c r="AZ42" i="5"/>
  <c r="AZ40" i="5" s="1"/>
  <c r="AY42" i="5"/>
  <c r="AX42" i="5"/>
  <c r="AW42" i="5"/>
  <c r="AV42" i="5"/>
  <c r="AU42" i="5"/>
  <c r="AT42" i="5"/>
  <c r="AS42" i="5"/>
  <c r="AR42" i="5"/>
  <c r="AQ42" i="5"/>
  <c r="AP42" i="5"/>
  <c r="AO42" i="5"/>
  <c r="AN42" i="5"/>
  <c r="AM42" i="5"/>
  <c r="AL42" i="5"/>
  <c r="AK42" i="5"/>
  <c r="AJ42" i="5"/>
  <c r="AI42" i="5"/>
  <c r="AH42" i="5"/>
  <c r="AG42" i="5"/>
  <c r="AF42" i="5"/>
  <c r="AE42" i="5"/>
  <c r="AD42" i="5"/>
  <c r="AC42" i="5"/>
  <c r="AB42" i="5"/>
  <c r="AB40" i="5" s="1"/>
  <c r="AA42" i="5"/>
  <c r="Z42" i="5"/>
  <c r="Y42" i="5"/>
  <c r="X42" i="5"/>
  <c r="W42" i="5"/>
  <c r="V42" i="5"/>
  <c r="U42" i="5"/>
  <c r="T42" i="5"/>
  <c r="S42" i="5"/>
  <c r="R42" i="5"/>
  <c r="Q42" i="5"/>
  <c r="P42" i="5"/>
  <c r="O42" i="5"/>
  <c r="N42" i="5"/>
  <c r="M42" i="5"/>
  <c r="L42" i="5"/>
  <c r="K42" i="5"/>
  <c r="J42" i="5"/>
  <c r="I42" i="5"/>
  <c r="H42" i="5"/>
  <c r="G42" i="5"/>
  <c r="F42" i="5"/>
  <c r="E42" i="5"/>
  <c r="D42" i="5"/>
  <c r="D40" i="5" s="1"/>
  <c r="C42" i="5"/>
  <c r="AP41" i="5"/>
  <c r="AP168" i="5" s="1"/>
  <c r="AO41" i="5"/>
  <c r="AN41" i="5"/>
  <c r="AM41" i="5"/>
  <c r="AM51" i="5" s="1"/>
  <c r="AM75" i="5" s="1"/>
  <c r="AL41" i="5"/>
  <c r="AK41" i="5"/>
  <c r="AK168" i="5" s="1"/>
  <c r="AJ41" i="5"/>
  <c r="AJ168" i="5" s="1"/>
  <c r="AI41" i="5"/>
  <c r="AI168" i="5" s="1"/>
  <c r="AH41" i="5"/>
  <c r="AG41" i="5"/>
  <c r="AF41" i="5"/>
  <c r="AF51" i="5" s="1"/>
  <c r="AF75" i="5" s="1"/>
  <c r="AE41" i="5"/>
  <c r="AD41" i="5"/>
  <c r="AC41" i="5"/>
  <c r="AB41" i="5"/>
  <c r="AB168" i="5" s="1"/>
  <c r="AA41" i="5"/>
  <c r="Z41" i="5"/>
  <c r="Z51" i="5" s="1"/>
  <c r="Z75" i="5" s="1"/>
  <c r="Y41" i="5"/>
  <c r="X41" i="5"/>
  <c r="W41" i="5"/>
  <c r="W168" i="5" s="1"/>
  <c r="V41" i="5"/>
  <c r="V51" i="5" s="1"/>
  <c r="V75" i="5" s="1"/>
  <c r="U41" i="5"/>
  <c r="U51" i="5" s="1"/>
  <c r="U75" i="5" s="1"/>
  <c r="T41" i="5"/>
  <c r="T51" i="5" s="1"/>
  <c r="T75" i="5" s="1"/>
  <c r="S41" i="5"/>
  <c r="R41" i="5"/>
  <c r="R168" i="5" s="1"/>
  <c r="Q41" i="5"/>
  <c r="Q51" i="5" s="1"/>
  <c r="Q75" i="5" s="1"/>
  <c r="P41" i="5"/>
  <c r="O41" i="5"/>
  <c r="O51" i="5" s="1"/>
  <c r="O75" i="5" s="1"/>
  <c r="N41" i="5"/>
  <c r="N51" i="5" s="1"/>
  <c r="N75" i="5" s="1"/>
  <c r="M41" i="5"/>
  <c r="M51" i="5" s="1"/>
  <c r="M75" i="5" s="1"/>
  <c r="L41" i="5"/>
  <c r="K41" i="5"/>
  <c r="J41" i="5"/>
  <c r="J168" i="5" s="1"/>
  <c r="I41" i="5"/>
  <c r="H41" i="5"/>
  <c r="H168" i="5" s="1"/>
  <c r="G41" i="5"/>
  <c r="G51" i="5" s="1"/>
  <c r="G75" i="5" s="1"/>
  <c r="F41" i="5"/>
  <c r="F168" i="5" s="1"/>
  <c r="E41" i="5"/>
  <c r="D41" i="5"/>
  <c r="D168" i="5" s="1"/>
  <c r="C168" i="5" s="1"/>
  <c r="C41" i="5"/>
  <c r="CE188" i="5"/>
  <c r="DO368" i="1"/>
  <c r="DN368" i="1"/>
  <c r="DM368" i="1"/>
  <c r="DL174" i="5" s="1"/>
  <c r="DO165" i="1"/>
  <c r="DN165" i="1"/>
  <c r="DM165" i="1"/>
  <c r="DL165" i="1"/>
  <c r="DK165" i="1"/>
  <c r="DJ165" i="1"/>
  <c r="DI165" i="1"/>
  <c r="CD229" i="5"/>
  <c r="CD210" i="5"/>
  <c r="DN210" i="5" s="1"/>
  <c r="CD221" i="5"/>
  <c r="DN221" i="5" s="1"/>
  <c r="CD220" i="5"/>
  <c r="CD219" i="5"/>
  <c r="DN219" i="5" s="1"/>
  <c r="CD213" i="5"/>
  <c r="DN213" i="5" s="1"/>
  <c r="CD308" i="2"/>
  <c r="CD321" i="2"/>
  <c r="DN321" i="2" s="1"/>
  <c r="CD314" i="2"/>
  <c r="DN314" i="2" s="1"/>
  <c r="DN312" i="2" s="1"/>
  <c r="CD307" i="2"/>
  <c r="CD44" i="5" s="1"/>
  <c r="CD299" i="2"/>
  <c r="CD291" i="5"/>
  <c r="CE164" i="2"/>
  <c r="CD240" i="2"/>
  <c r="CE246" i="2" s="1"/>
  <c r="CD85" i="2"/>
  <c r="CD127" i="2"/>
  <c r="CD126" i="2"/>
  <c r="CD59" i="2"/>
  <c r="CD58" i="2"/>
  <c r="CD56" i="2"/>
  <c r="CD29" i="2"/>
  <c r="CF34" i="2" s="1"/>
  <c r="CD299" i="5"/>
  <c r="CD298" i="5"/>
  <c r="AN12" i="6" s="1"/>
  <c r="BH12" i="6" s="1"/>
  <c r="BI12" i="6" s="1"/>
  <c r="CD288" i="5"/>
  <c r="DT288" i="5" s="1"/>
  <c r="CD287" i="5"/>
  <c r="CD201" i="5"/>
  <c r="CD197" i="5"/>
  <c r="CD63" i="5" s="1"/>
  <c r="CD81" i="5" s="1"/>
  <c r="CD188" i="5"/>
  <c r="CD150" i="5"/>
  <c r="CE58" i="5" s="1"/>
  <c r="CE80" i="5" s="1"/>
  <c r="CD149" i="5"/>
  <c r="CD147" i="5"/>
  <c r="CD146" i="5"/>
  <c r="CD144" i="5"/>
  <c r="CD141" i="5"/>
  <c r="CD140" i="5"/>
  <c r="CD135" i="5"/>
  <c r="CD134" i="5"/>
  <c r="CD133" i="5"/>
  <c r="CD238" i="1"/>
  <c r="CD248" i="1"/>
  <c r="CD277" i="1"/>
  <c r="CD268" i="1"/>
  <c r="CD252" i="1"/>
  <c r="CD250" i="1"/>
  <c r="CD242" i="1"/>
  <c r="CD240" i="1"/>
  <c r="CD236" i="1"/>
  <c r="CD224" i="1"/>
  <c r="CD321" i="1" s="1"/>
  <c r="CD230" i="1"/>
  <c r="CD228" i="1"/>
  <c r="CD100" i="1"/>
  <c r="CD86" i="1"/>
  <c r="CD85" i="1"/>
  <c r="CD77" i="1"/>
  <c r="CD76" i="1"/>
  <c r="CD207" i="1"/>
  <c r="CD206" i="1"/>
  <c r="CD191" i="1"/>
  <c r="CD157" i="1"/>
  <c r="CD156" i="1"/>
  <c r="CD155" i="1"/>
  <c r="CD153" i="1" s="1"/>
  <c r="CD130" i="1"/>
  <c r="CD132" i="1" s="1"/>
  <c r="CD41" i="5" s="1"/>
  <c r="CD57" i="1"/>
  <c r="CD58" i="1" s="1"/>
  <c r="CD53" i="1"/>
  <c r="CD54" i="1" s="1"/>
  <c r="CD46" i="1"/>
  <c r="CD45" i="1"/>
  <c r="CD21" i="1"/>
  <c r="CD23" i="1" s="1"/>
  <c r="CD18" i="1"/>
  <c r="W91" i="3"/>
  <c r="X91" i="3" s="1"/>
  <c r="U91" i="3"/>
  <c r="T91" i="3"/>
  <c r="W103" i="3"/>
  <c r="X103" i="3"/>
  <c r="U103" i="3"/>
  <c r="T103" i="3" s="1"/>
  <c r="CD166" i="2"/>
  <c r="DN166" i="2" s="1"/>
  <c r="S92" i="3"/>
  <c r="CC100" i="1"/>
  <c r="CB100" i="1"/>
  <c r="CA100" i="1"/>
  <c r="BZ100" i="1"/>
  <c r="BY100" i="1"/>
  <c r="BX100" i="1"/>
  <c r="BW100" i="1"/>
  <c r="BV100" i="1"/>
  <c r="BU100" i="1"/>
  <c r="BT100" i="1"/>
  <c r="BS100" i="1"/>
  <c r="BR100" i="1"/>
  <c r="BQ100" i="1"/>
  <c r="BP100" i="1"/>
  <c r="BO100" i="1"/>
  <c r="BN100" i="1"/>
  <c r="BM100" i="1"/>
  <c r="BL100" i="1"/>
  <c r="BK100" i="1"/>
  <c r="BJ100" i="1"/>
  <c r="BI100" i="1"/>
  <c r="BH100" i="1"/>
  <c r="BG100" i="1"/>
  <c r="BF100" i="1"/>
  <c r="BE100" i="1"/>
  <c r="BD100" i="1"/>
  <c r="BC100" i="1"/>
  <c r="BB100" i="1"/>
  <c r="BA100"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Y100" i="1"/>
  <c r="X100" i="1"/>
  <c r="W100" i="1"/>
  <c r="V100" i="1"/>
  <c r="U100" i="1"/>
  <c r="T100" i="1"/>
  <c r="S100" i="1"/>
  <c r="R100" i="1"/>
  <c r="Q100" i="1"/>
  <c r="P100" i="1"/>
  <c r="O100" i="1"/>
  <c r="N100" i="1"/>
  <c r="M100" i="1"/>
  <c r="L100" i="1"/>
  <c r="K100" i="1"/>
  <c r="J100" i="1"/>
  <c r="I100" i="1"/>
  <c r="H100" i="1"/>
  <c r="G100" i="1"/>
  <c r="CB234" i="5"/>
  <c r="CB232" i="5" s="1"/>
  <c r="BJ234" i="5"/>
  <c r="BJ232" i="5" s="1"/>
  <c r="BI234" i="5"/>
  <c r="BI232" i="5" s="1"/>
  <c r="BH234" i="5"/>
  <c r="BH232" i="5" s="1"/>
  <c r="BG234" i="5"/>
  <c r="BG232" i="5" s="1"/>
  <c r="BF234" i="5"/>
  <c r="BF232" i="5" s="1"/>
  <c r="BE234" i="5"/>
  <c r="BE232" i="5" s="1"/>
  <c r="BD234" i="5"/>
  <c r="BD232" i="5" s="1"/>
  <c r="BC234" i="5"/>
  <c r="BC232" i="5" s="1"/>
  <c r="BB234" i="5"/>
  <c r="BB232" i="5" s="1"/>
  <c r="BA234" i="5"/>
  <c r="BA232" i="5" s="1"/>
  <c r="AZ234" i="5"/>
  <c r="AZ232" i="5" s="1"/>
  <c r="AY234" i="5"/>
  <c r="AY232" i="5" s="1"/>
  <c r="AX234" i="5"/>
  <c r="AX232" i="5" s="1"/>
  <c r="AW234" i="5"/>
  <c r="AW232" i="5" s="1"/>
  <c r="AV234" i="5"/>
  <c r="AV232" i="5" s="1"/>
  <c r="AU234" i="5"/>
  <c r="AU232" i="5" s="1"/>
  <c r="AT234" i="5"/>
  <c r="AT232" i="5" s="1"/>
  <c r="AS234" i="5"/>
  <c r="AS232" i="5" s="1"/>
  <c r="AR234" i="5"/>
  <c r="AR232" i="5" s="1"/>
  <c r="AQ234" i="5"/>
  <c r="AQ232" i="5" s="1"/>
  <c r="AP234" i="5"/>
  <c r="AP232" i="5" s="1"/>
  <c r="AO234" i="5"/>
  <c r="AO232" i="5" s="1"/>
  <c r="AN234" i="5"/>
  <c r="AN232" i="5" s="1"/>
  <c r="AM234" i="5"/>
  <c r="AM232" i="5" s="1"/>
  <c r="AL234" i="5"/>
  <c r="AL232" i="5" s="1"/>
  <c r="AK234" i="5"/>
  <c r="AK232" i="5" s="1"/>
  <c r="AJ234" i="5"/>
  <c r="AJ232" i="5" s="1"/>
  <c r="AI234" i="5"/>
  <c r="AI232" i="5" s="1"/>
  <c r="AH234" i="5"/>
  <c r="AH232" i="5" s="1"/>
  <c r="AG234" i="5"/>
  <c r="AG232" i="5" s="1"/>
  <c r="AF234" i="5"/>
  <c r="AF232" i="5" s="1"/>
  <c r="AE234" i="5"/>
  <c r="AE232" i="5" s="1"/>
  <c r="AD234" i="5"/>
  <c r="AD232" i="5" s="1"/>
  <c r="AC234" i="5"/>
  <c r="AC232" i="5" s="1"/>
  <c r="AB234" i="5"/>
  <c r="AB232" i="5" s="1"/>
  <c r="AA234" i="5"/>
  <c r="AA232" i="5" s="1"/>
  <c r="Z234" i="5"/>
  <c r="Z232" i="5" s="1"/>
  <c r="Y234" i="5"/>
  <c r="Y232" i="5" s="1"/>
  <c r="X234" i="5"/>
  <c r="X232" i="5" s="1"/>
  <c r="W234" i="5"/>
  <c r="W232" i="5" s="1"/>
  <c r="V234" i="5"/>
  <c r="V232" i="5" s="1"/>
  <c r="U234" i="5"/>
  <c r="U232" i="5" s="1"/>
  <c r="T234" i="5"/>
  <c r="T232" i="5" s="1"/>
  <c r="S234" i="5"/>
  <c r="S232" i="5" s="1"/>
  <c r="R234" i="5"/>
  <c r="R232" i="5" s="1"/>
  <c r="Q234" i="5"/>
  <c r="Q232" i="5" s="1"/>
  <c r="P234" i="5"/>
  <c r="P232" i="5" s="1"/>
  <c r="O234" i="5"/>
  <c r="O232" i="5" s="1"/>
  <c r="N234" i="5"/>
  <c r="N232" i="5" s="1"/>
  <c r="M234" i="5"/>
  <c r="M232" i="5" s="1"/>
  <c r="L234" i="5"/>
  <c r="L232" i="5" s="1"/>
  <c r="K234" i="5"/>
  <c r="K232" i="5" s="1"/>
  <c r="J234" i="5"/>
  <c r="J232" i="5" s="1"/>
  <c r="I234" i="5"/>
  <c r="H234" i="5"/>
  <c r="H232" i="5" s="1"/>
  <c r="G234" i="5"/>
  <c r="G232" i="5" s="1"/>
  <c r="F234" i="5"/>
  <c r="F232" i="5" s="1"/>
  <c r="E234" i="5"/>
  <c r="E232" i="5" s="1"/>
  <c r="D234" i="5"/>
  <c r="D232" i="5" s="1"/>
  <c r="C234" i="5"/>
  <c r="C232" i="5" s="1"/>
  <c r="CF80" i="1"/>
  <c r="CI174" i="5"/>
  <c r="CI372" i="1"/>
  <c r="CI373" i="1"/>
  <c r="CJ372" i="1"/>
  <c r="CJ174" i="5"/>
  <c r="CJ373" i="1"/>
  <c r="BZ81" i="1"/>
  <c r="BY81" i="1"/>
  <c r="CA81" i="1"/>
  <c r="CA80" i="1"/>
  <c r="CB81" i="1"/>
  <c r="CB80" i="1"/>
  <c r="CC81" i="1"/>
  <c r="DO15" i="2"/>
  <c r="DN15" i="2"/>
  <c r="DM15" i="2"/>
  <c r="DL15" i="2"/>
  <c r="DK15" i="2"/>
  <c r="DJ15" i="2"/>
  <c r="DI15" i="2"/>
  <c r="DI16" i="2" s="1"/>
  <c r="DH15" i="2"/>
  <c r="DG15" i="2"/>
  <c r="DF15" i="2"/>
  <c r="DE15" i="2"/>
  <c r="CC21" i="1"/>
  <c r="CC23" i="1"/>
  <c r="CB21" i="1"/>
  <c r="CA21" i="1"/>
  <c r="BZ21" i="1"/>
  <c r="BZ23" i="1" s="1"/>
  <c r="BY21" i="1"/>
  <c r="BX21" i="1"/>
  <c r="BX23" i="1" s="1"/>
  <c r="BW21" i="1"/>
  <c r="BW23" i="1" s="1"/>
  <c r="CC18" i="1"/>
  <c r="CC20" i="1" s="1"/>
  <c r="CB18" i="1"/>
  <c r="CA18" i="1"/>
  <c r="BZ18" i="1"/>
  <c r="BY18" i="1"/>
  <c r="BY20" i="1" s="1"/>
  <c r="BX18" i="1"/>
  <c r="BW18" i="1"/>
  <c r="BW20" i="1" s="1"/>
  <c r="BJ201" i="1"/>
  <c r="BJ210" i="1"/>
  <c r="BJ211" i="1" s="1"/>
  <c r="BI201" i="1"/>
  <c r="BI210" i="1" s="1"/>
  <c r="BI211" i="1" s="1"/>
  <c r="BH201" i="1"/>
  <c r="BH210" i="1" s="1"/>
  <c r="BH211" i="1" s="1"/>
  <c r="BG201" i="1"/>
  <c r="BG210" i="1" s="1"/>
  <c r="BG211" i="1" s="1"/>
  <c r="BF201" i="1"/>
  <c r="BE201" i="1"/>
  <c r="BE210" i="1"/>
  <c r="BE211" i="1" s="1"/>
  <c r="BD201" i="1"/>
  <c r="BD210" i="1" s="1"/>
  <c r="BD211" i="1" s="1"/>
  <c r="BC201" i="1"/>
  <c r="BC210" i="1" s="1"/>
  <c r="BC211" i="1" s="1"/>
  <c r="BB201" i="1"/>
  <c r="BA201" i="1"/>
  <c r="AZ201" i="1"/>
  <c r="AZ210" i="1" s="1"/>
  <c r="AZ211" i="1" s="1"/>
  <c r="AY201" i="1"/>
  <c r="AY210" i="1" s="1"/>
  <c r="AY211" i="1" s="1"/>
  <c r="AX201" i="1"/>
  <c r="AX210" i="1" s="1"/>
  <c r="AX211" i="1" s="1"/>
  <c r="AW201" i="1"/>
  <c r="AW210" i="1" s="1"/>
  <c r="AW211" i="1" s="1"/>
  <c r="AV201" i="1"/>
  <c r="AV210" i="1" s="1"/>
  <c r="AV211" i="1" s="1"/>
  <c r="AU201" i="1"/>
  <c r="AT201" i="1"/>
  <c r="AT210" i="1" s="1"/>
  <c r="AT211" i="1" s="1"/>
  <c r="AS201" i="1"/>
  <c r="AS210" i="1" s="1"/>
  <c r="AS211" i="1" s="1"/>
  <c r="AR201" i="1"/>
  <c r="AR210" i="1" s="1"/>
  <c r="AR211" i="1" s="1"/>
  <c r="AQ201" i="1"/>
  <c r="AP201" i="1"/>
  <c r="AP210" i="1" s="1"/>
  <c r="AP211" i="1" s="1"/>
  <c r="AO201" i="1"/>
  <c r="AO210" i="1"/>
  <c r="AO211" i="1" s="1"/>
  <c r="AN201" i="1"/>
  <c r="AN210" i="1" s="1"/>
  <c r="AN211" i="1" s="1"/>
  <c r="AM201" i="1"/>
  <c r="AM210" i="1" s="1"/>
  <c r="AM211" i="1" s="1"/>
  <c r="AL201" i="1"/>
  <c r="AL210" i="1" s="1"/>
  <c r="AL211" i="1" s="1"/>
  <c r="AK201" i="1"/>
  <c r="AK210" i="1" s="1"/>
  <c r="AK211" i="1" s="1"/>
  <c r="AJ201" i="1"/>
  <c r="AJ210" i="1" s="1"/>
  <c r="AJ211" i="1" s="1"/>
  <c r="AI201" i="1"/>
  <c r="AI210" i="1" s="1"/>
  <c r="AI211" i="1" s="1"/>
  <c r="AH201" i="1"/>
  <c r="AH210" i="1" s="1"/>
  <c r="AH211" i="1" s="1"/>
  <c r="AG201" i="1"/>
  <c r="AG210" i="1" s="1"/>
  <c r="AG211" i="1" s="1"/>
  <c r="AF201" i="1"/>
  <c r="AF210" i="1" s="1"/>
  <c r="AF211" i="1" s="1"/>
  <c r="AE201" i="1"/>
  <c r="AE210" i="1" s="1"/>
  <c r="AE211" i="1" s="1"/>
  <c r="AD201" i="1"/>
  <c r="AD210" i="1" s="1"/>
  <c r="AD211" i="1" s="1"/>
  <c r="AC201" i="1"/>
  <c r="AC210" i="1" s="1"/>
  <c r="AC211" i="1" s="1"/>
  <c r="AB201" i="1"/>
  <c r="AB210" i="1" s="1"/>
  <c r="AB211" i="1" s="1"/>
  <c r="AA201" i="1"/>
  <c r="AA210" i="1" s="1"/>
  <c r="AA211" i="1" s="1"/>
  <c r="Z201" i="1"/>
  <c r="Z210" i="1"/>
  <c r="Z211" i="1" s="1"/>
  <c r="Y201" i="1"/>
  <c r="Y210" i="1"/>
  <c r="Y211" i="1" s="1"/>
  <c r="X201" i="1"/>
  <c r="X210" i="1" s="1"/>
  <c r="X211" i="1" s="1"/>
  <c r="W201" i="1"/>
  <c r="W210" i="1" s="1"/>
  <c r="W211" i="1" s="1"/>
  <c r="V201" i="1"/>
  <c r="V210" i="1" s="1"/>
  <c r="V211" i="1" s="1"/>
  <c r="U201" i="1"/>
  <c r="U210" i="1" s="1"/>
  <c r="U211" i="1" s="1"/>
  <c r="T201" i="1"/>
  <c r="T210" i="1" s="1"/>
  <c r="T211" i="1" s="1"/>
  <c r="S201" i="1"/>
  <c r="S210" i="1" s="1"/>
  <c r="S211" i="1" s="1"/>
  <c r="R201" i="1"/>
  <c r="R210" i="1" s="1"/>
  <c r="R211" i="1" s="1"/>
  <c r="Q201" i="1"/>
  <c r="Q210" i="1" s="1"/>
  <c r="Q211" i="1" s="1"/>
  <c r="P201" i="1"/>
  <c r="P210" i="1"/>
  <c r="P211" i="1" s="1"/>
  <c r="O201" i="1"/>
  <c r="O210" i="1" s="1"/>
  <c r="O211" i="1" s="1"/>
  <c r="N201" i="1"/>
  <c r="N210" i="1" s="1"/>
  <c r="N211" i="1" s="1"/>
  <c r="M201" i="1"/>
  <c r="M210" i="1" s="1"/>
  <c r="L201" i="1"/>
  <c r="L210" i="1" s="1"/>
  <c r="K201" i="1"/>
  <c r="K210" i="1" s="1"/>
  <c r="J201" i="1"/>
  <c r="J210" i="1" s="1"/>
  <c r="I201" i="1"/>
  <c r="I210" i="1" s="1"/>
  <c r="H201" i="1"/>
  <c r="H210" i="1" s="1"/>
  <c r="G201" i="1"/>
  <c r="G210" i="1" s="1"/>
  <c r="F201" i="1"/>
  <c r="F210" i="1" s="1"/>
  <c r="E201" i="1"/>
  <c r="E210" i="1" s="1"/>
  <c r="D201" i="1"/>
  <c r="D210" i="1" s="1"/>
  <c r="C201" i="1"/>
  <c r="C210" i="1" s="1"/>
  <c r="B201" i="1"/>
  <c r="B210" i="1" s="1"/>
  <c r="U85" i="3"/>
  <c r="T85" i="3" s="1"/>
  <c r="W97" i="3"/>
  <c r="X97" i="3"/>
  <c r="DO314" i="2"/>
  <c r="DO93" i="2"/>
  <c r="DO72" i="2" s="1"/>
  <c r="DO233" i="2"/>
  <c r="AP167" i="1"/>
  <c r="AO167" i="1"/>
  <c r="AN167" i="1"/>
  <c r="AM167" i="1"/>
  <c r="AL167" i="1"/>
  <c r="AK167" i="1"/>
  <c r="AJ167" i="1"/>
  <c r="AI167" i="1"/>
  <c r="AH167" i="1"/>
  <c r="AG167" i="1"/>
  <c r="AF167" i="1"/>
  <c r="AE167" i="1"/>
  <c r="AD167" i="1"/>
  <c r="AC167" i="1"/>
  <c r="AB167" i="1"/>
  <c r="AA167" i="1"/>
  <c r="Z167" i="1"/>
  <c r="Y167" i="1"/>
  <c r="X167" i="1"/>
  <c r="W167" i="1"/>
  <c r="V167" i="1"/>
  <c r="V177" i="1" s="1"/>
  <c r="V178" i="1" s="1"/>
  <c r="U167" i="1"/>
  <c r="U177" i="1" s="1"/>
  <c r="U178" i="1" s="1"/>
  <c r="T167" i="1"/>
  <c r="T177" i="1" s="1"/>
  <c r="T178" i="1" s="1"/>
  <c r="S167" i="1"/>
  <c r="S177" i="1" s="1"/>
  <c r="S178" i="1" s="1"/>
  <c r="R167" i="1"/>
  <c r="R177" i="1" s="1"/>
  <c r="R178" i="1" s="1"/>
  <c r="Q167" i="1"/>
  <c r="Q177" i="1" s="1"/>
  <c r="Q178" i="1" s="1"/>
  <c r="P167" i="1"/>
  <c r="P177" i="1" s="1"/>
  <c r="P178" i="1" s="1"/>
  <c r="O167" i="1"/>
  <c r="O177" i="1" s="1"/>
  <c r="O178" i="1" s="1"/>
  <c r="N167" i="1"/>
  <c r="N177" i="1" s="1"/>
  <c r="N178" i="1" s="1"/>
  <c r="M167" i="1"/>
  <c r="M177" i="1" s="1"/>
  <c r="L167" i="1"/>
  <c r="L177" i="1" s="1"/>
  <c r="K167" i="1"/>
  <c r="K177" i="1" s="1"/>
  <c r="J167" i="1"/>
  <c r="J177" i="1" s="1"/>
  <c r="I167" i="1"/>
  <c r="I177" i="1" s="1"/>
  <c r="H167" i="1"/>
  <c r="H177" i="1" s="1"/>
  <c r="G167" i="1"/>
  <c r="G177" i="1" s="1"/>
  <c r="F167" i="1"/>
  <c r="F177" i="1" s="1"/>
  <c r="E167" i="1"/>
  <c r="E177" i="1" s="1"/>
  <c r="D167" i="1"/>
  <c r="D177" i="1" s="1"/>
  <c r="C167" i="1"/>
  <c r="C177" i="1" s="1"/>
  <c r="B167" i="1"/>
  <c r="B177" i="1" s="1"/>
  <c r="DL214" i="5"/>
  <c r="DK214" i="5"/>
  <c r="DJ214" i="5"/>
  <c r="CC86" i="1"/>
  <c r="CC85" i="1"/>
  <c r="CC84" i="1"/>
  <c r="CC77" i="1"/>
  <c r="CC76" i="1"/>
  <c r="CC75" i="1"/>
  <c r="W85" i="3"/>
  <c r="X85" i="3"/>
  <c r="U97" i="3"/>
  <c r="T97" i="3"/>
  <c r="CC64" i="2"/>
  <c r="CC59" i="2"/>
  <c r="CC58" i="2"/>
  <c r="CC56" i="2"/>
  <c r="CC29" i="2"/>
  <c r="CE34" i="2" s="1"/>
  <c r="CC13" i="2"/>
  <c r="CC36" i="2" s="1"/>
  <c r="CC7" i="2"/>
  <c r="CC308" i="2"/>
  <c r="CC284" i="2"/>
  <c r="CC240" i="2"/>
  <c r="CD246" i="2" s="1"/>
  <c r="CD164" i="2"/>
  <c r="CC85" i="2"/>
  <c r="CC299" i="5"/>
  <c r="CC298" i="5"/>
  <c r="CC300" i="5" s="1"/>
  <c r="CC291" i="5"/>
  <c r="CC288" i="5"/>
  <c r="DS288" i="5" s="1"/>
  <c r="CC287" i="5"/>
  <c r="CC223" i="5"/>
  <c r="CC216" i="5"/>
  <c r="CC214" i="5"/>
  <c r="BY216" i="5"/>
  <c r="BY234" i="5" s="1"/>
  <c r="BY232" i="5" s="1"/>
  <c r="BY214" i="5"/>
  <c r="DM214" i="5" s="1"/>
  <c r="CC201" i="5"/>
  <c r="CC197" i="5"/>
  <c r="CC63" i="5" s="1"/>
  <c r="CC81" i="5" s="1"/>
  <c r="CC188" i="5"/>
  <c r="CC135" i="5"/>
  <c r="CC134" i="5"/>
  <c r="CC133" i="5"/>
  <c r="CC132" i="5" s="1"/>
  <c r="CC350" i="1"/>
  <c r="CC277" i="1"/>
  <c r="CC259" i="1" s="1"/>
  <c r="CC268" i="1"/>
  <c r="CC262" i="1"/>
  <c r="CC240" i="1"/>
  <c r="CC236" i="1"/>
  <c r="CC238" i="1"/>
  <c r="CC252" i="1"/>
  <c r="CB252" i="1"/>
  <c r="CA252" i="1"/>
  <c r="BZ252" i="1"/>
  <c r="BY252" i="1"/>
  <c r="BX252" i="1"/>
  <c r="BW252" i="1"/>
  <c r="BV252" i="1"/>
  <c r="BU252" i="1"/>
  <c r="BT252" i="1"/>
  <c r="BS252" i="1"/>
  <c r="BR252" i="1"/>
  <c r="BQ252" i="1"/>
  <c r="BP252" i="1"/>
  <c r="BO252" i="1"/>
  <c r="BN252" i="1"/>
  <c r="BM252" i="1"/>
  <c r="BL252" i="1"/>
  <c r="BK252" i="1"/>
  <c r="BJ252" i="1"/>
  <c r="BI252" i="1"/>
  <c r="BH252" i="1"/>
  <c r="BG252" i="1"/>
  <c r="BF252" i="1"/>
  <c r="BE252" i="1"/>
  <c r="BD252" i="1"/>
  <c r="BC252" i="1"/>
  <c r="BB252" i="1"/>
  <c r="BA252" i="1"/>
  <c r="AZ252" i="1"/>
  <c r="AY252" i="1"/>
  <c r="AX252" i="1"/>
  <c r="AW252" i="1"/>
  <c r="AV252" i="1"/>
  <c r="AU252" i="1"/>
  <c r="AT252" i="1"/>
  <c r="AS252" i="1"/>
  <c r="AR252" i="1"/>
  <c r="AQ252" i="1"/>
  <c r="CC242" i="1"/>
  <c r="CB242" i="1"/>
  <c r="CA242" i="1"/>
  <c r="BZ242" i="1"/>
  <c r="BY242" i="1"/>
  <c r="BX242" i="1"/>
  <c r="BW242" i="1"/>
  <c r="BV242" i="1"/>
  <c r="BU242" i="1"/>
  <c r="BT242" i="1"/>
  <c r="BS242" i="1"/>
  <c r="BR242" i="1"/>
  <c r="BQ242" i="1"/>
  <c r="BP242" i="1"/>
  <c r="BO242" i="1"/>
  <c r="BN242" i="1"/>
  <c r="BM242" i="1"/>
  <c r="BL242" i="1"/>
  <c r="BK242" i="1"/>
  <c r="BJ242" i="1"/>
  <c r="BI242" i="1"/>
  <c r="BH242" i="1"/>
  <c r="BG242" i="1"/>
  <c r="BF242" i="1"/>
  <c r="BE242" i="1"/>
  <c r="BD242" i="1"/>
  <c r="BC242" i="1"/>
  <c r="BB242" i="1"/>
  <c r="BA242" i="1"/>
  <c r="AZ242" i="1"/>
  <c r="AY242" i="1"/>
  <c r="AX242" i="1"/>
  <c r="AW242" i="1"/>
  <c r="AV242" i="1"/>
  <c r="AU242" i="1"/>
  <c r="AT242" i="1"/>
  <c r="AS242" i="1"/>
  <c r="AR242" i="1"/>
  <c r="AQ242" i="1"/>
  <c r="CB230" i="1"/>
  <c r="CA230" i="1"/>
  <c r="BZ230" i="1"/>
  <c r="BY230" i="1"/>
  <c r="BX230" i="1"/>
  <c r="BW230" i="1"/>
  <c r="BV230" i="1"/>
  <c r="BU230" i="1"/>
  <c r="BT230" i="1"/>
  <c r="BS230" i="1"/>
  <c r="BR230" i="1"/>
  <c r="BQ230" i="1"/>
  <c r="BP230" i="1"/>
  <c r="BO230" i="1"/>
  <c r="BN230" i="1"/>
  <c r="BM230" i="1"/>
  <c r="BL230" i="1"/>
  <c r="BK230" i="1"/>
  <c r="BJ230" i="1"/>
  <c r="BI230" i="1"/>
  <c r="BH230" i="1"/>
  <c r="BG230" i="1"/>
  <c r="BF230" i="1"/>
  <c r="BE230" i="1"/>
  <c r="BD230" i="1"/>
  <c r="BC230" i="1"/>
  <c r="BB230" i="1"/>
  <c r="BA230" i="1"/>
  <c r="AZ230" i="1"/>
  <c r="AY230" i="1"/>
  <c r="AX230" i="1"/>
  <c r="AW230" i="1"/>
  <c r="AV230" i="1"/>
  <c r="AU230" i="1"/>
  <c r="AT230" i="1"/>
  <c r="AS230" i="1"/>
  <c r="AR230" i="1"/>
  <c r="AQ230" i="1"/>
  <c r="CC230" i="1"/>
  <c r="CC250" i="1"/>
  <c r="CC248" i="1"/>
  <c r="CC246" i="1"/>
  <c r="CC228" i="1"/>
  <c r="CC224" i="1"/>
  <c r="CC233" i="1" s="1"/>
  <c r="CC191" i="1"/>
  <c r="CC130" i="1"/>
  <c r="CC57" i="1"/>
  <c r="CC58" i="1" s="1"/>
  <c r="CG59" i="1" s="1"/>
  <c r="CC53" i="1"/>
  <c r="CC45" i="1"/>
  <c r="CC9" i="1"/>
  <c r="DJ222" i="5"/>
  <c r="DJ221" i="5"/>
  <c r="DJ220" i="5"/>
  <c r="DJ212" i="5"/>
  <c r="BN219" i="5"/>
  <c r="DJ219" i="5" s="1"/>
  <c r="BN213" i="5"/>
  <c r="DJ213" i="5" s="1"/>
  <c r="N110" i="3" s="1"/>
  <c r="BN210" i="5"/>
  <c r="DJ210" i="5" s="1"/>
  <c r="BM223" i="5"/>
  <c r="BM216" i="5"/>
  <c r="BL223" i="5"/>
  <c r="BL216" i="5"/>
  <c r="BL234" i="5" s="1"/>
  <c r="BL232" i="5" s="1"/>
  <c r="BK223" i="5"/>
  <c r="BK216" i="5"/>
  <c r="BK234" i="5" s="1"/>
  <c r="BK232" i="5" s="1"/>
  <c r="L8" i="7"/>
  <c r="M8" i="7"/>
  <c r="O8" i="7"/>
  <c r="N8" i="7"/>
  <c r="O12" i="7"/>
  <c r="E20" i="7"/>
  <c r="E19" i="7"/>
  <c r="AR4" i="6"/>
  <c r="AQ4" i="6"/>
  <c r="AP4" i="6"/>
  <c r="AO4" i="6"/>
  <c r="CB299" i="5"/>
  <c r="CB300" i="5" s="1"/>
  <c r="CC301" i="5" s="1"/>
  <c r="CB298" i="5"/>
  <c r="AL12" i="6" s="1"/>
  <c r="CB307" i="5" s="1"/>
  <c r="CB291" i="5"/>
  <c r="CB288" i="5"/>
  <c r="DR288" i="5" s="1"/>
  <c r="DR270" i="5" s="1"/>
  <c r="CB287" i="5"/>
  <c r="CB279" i="5"/>
  <c r="CB277" i="5"/>
  <c r="CB229" i="5"/>
  <c r="CB223" i="5"/>
  <c r="CB308" i="2"/>
  <c r="CB285" i="2"/>
  <c r="CB13" i="2"/>
  <c r="CB61" i="2" s="1"/>
  <c r="CB7" i="2"/>
  <c r="CB59" i="2"/>
  <c r="CB58" i="2"/>
  <c r="CB56" i="2"/>
  <c r="CB29" i="2"/>
  <c r="CC33" i="2" s="1"/>
  <c r="CB188" i="5"/>
  <c r="CB212" i="2"/>
  <c r="CB104" i="2" s="1"/>
  <c r="CB210" i="2"/>
  <c r="CB266" i="2"/>
  <c r="CB264" i="2"/>
  <c r="CB240" i="2"/>
  <c r="CB64" i="2"/>
  <c r="CB125" i="2" s="1"/>
  <c r="CB201" i="5"/>
  <c r="CB197" i="5"/>
  <c r="CB63" i="5" s="1"/>
  <c r="CB81" i="5" s="1"/>
  <c r="CB175" i="5"/>
  <c r="CB174" i="5"/>
  <c r="CB173" i="5" s="1"/>
  <c r="CB172" i="5" s="1"/>
  <c r="CB135" i="5"/>
  <c r="CB134" i="5"/>
  <c r="CB133" i="5"/>
  <c r="CB378" i="1"/>
  <c r="CB350" i="1"/>
  <c r="CB277" i="1"/>
  <c r="CB268" i="1"/>
  <c r="CB262" i="1"/>
  <c r="CB238" i="1"/>
  <c r="CB236" i="1"/>
  <c r="CB246" i="1"/>
  <c r="CB240" i="1"/>
  <c r="CB248" i="1"/>
  <c r="CB250" i="1"/>
  <c r="CB228" i="1"/>
  <c r="CB224" i="1"/>
  <c r="CB191" i="1"/>
  <c r="CB130" i="1"/>
  <c r="CB86" i="1"/>
  <c r="CB85" i="1"/>
  <c r="CB87" i="1" s="1"/>
  <c r="CB84" i="1"/>
  <c r="CB77" i="1"/>
  <c r="CB76" i="1"/>
  <c r="CB75" i="1"/>
  <c r="CB72" i="1"/>
  <c r="CB57" i="1"/>
  <c r="CB58" i="1" s="1"/>
  <c r="CB53" i="1"/>
  <c r="CB54" i="1" s="1"/>
  <c r="CB45" i="1"/>
  <c r="CC166" i="2"/>
  <c r="CD200" i="2" s="1"/>
  <c r="CC164" i="2"/>
  <c r="CA10" i="1"/>
  <c r="DO124" i="5"/>
  <c r="DO116" i="5"/>
  <c r="DO147" i="5" s="1"/>
  <c r="DO222" i="5"/>
  <c r="DO220" i="5"/>
  <c r="DO219" i="5"/>
  <c r="DO212" i="5"/>
  <c r="DO185" i="5"/>
  <c r="DO201" i="5" s="1"/>
  <c r="DO32" i="5"/>
  <c r="DO48" i="5" s="1"/>
  <c r="DO31" i="5"/>
  <c r="DO59" i="5" s="1"/>
  <c r="DO333" i="5"/>
  <c r="DO313" i="5"/>
  <c r="DO193" i="5"/>
  <c r="DO82" i="5"/>
  <c r="DO74" i="5"/>
  <c r="DO49" i="5"/>
  <c r="DO33" i="5"/>
  <c r="DP192" i="1"/>
  <c r="DU213" i="5"/>
  <c r="DT213" i="5"/>
  <c r="DS213" i="5"/>
  <c r="DU201" i="5"/>
  <c r="DT201" i="5"/>
  <c r="DS201" i="5"/>
  <c r="DU82" i="5"/>
  <c r="DT82" i="5"/>
  <c r="DS82" i="5"/>
  <c r="DU74" i="5"/>
  <c r="DT74" i="5"/>
  <c r="DS74" i="5"/>
  <c r="DU49" i="5"/>
  <c r="DT49" i="5"/>
  <c r="DS49" i="5"/>
  <c r="DU48" i="5"/>
  <c r="DT48" i="5"/>
  <c r="DS48" i="5"/>
  <c r="DG1" i="1"/>
  <c r="DH1" i="1"/>
  <c r="DI1" i="1" s="1"/>
  <c r="DJ1" i="1" s="1"/>
  <c r="DK1" i="1" s="1"/>
  <c r="DL1" i="1" s="1"/>
  <c r="DM1" i="1" s="1"/>
  <c r="DN1" i="1" s="1"/>
  <c r="DO1" i="1" s="1"/>
  <c r="DP1" i="1" s="1"/>
  <c r="DQ1" i="1" s="1"/>
  <c r="DS1" i="1" s="1"/>
  <c r="DT1" i="1" s="1"/>
  <c r="DU1" i="1" s="1"/>
  <c r="DV1" i="1" s="1"/>
  <c r="DV321" i="1"/>
  <c r="DV322" i="1" s="1"/>
  <c r="DU321" i="1"/>
  <c r="DU322" i="1" s="1"/>
  <c r="DV323" i="1" s="1"/>
  <c r="DT321" i="1"/>
  <c r="DT322" i="1" s="1"/>
  <c r="DU323" i="1" s="1"/>
  <c r="DV324" i="1" s="1"/>
  <c r="DV263" i="1"/>
  <c r="DU263" i="1"/>
  <c r="DT263" i="1"/>
  <c r="DF2" i="5"/>
  <c r="DG2" i="5" s="1"/>
  <c r="DH2" i="5" s="1"/>
  <c r="DI2" i="5" s="1"/>
  <c r="DJ2" i="5" s="1"/>
  <c r="DK2" i="5" s="1"/>
  <c r="DL2" i="5" s="1"/>
  <c r="DM2" i="5" s="1"/>
  <c r="DN2" i="5" s="1"/>
  <c r="DO2" i="5" s="1"/>
  <c r="DP2" i="5" s="1"/>
  <c r="DR2" i="5" s="1"/>
  <c r="DS2" i="5" s="1"/>
  <c r="DT2" i="5" s="1"/>
  <c r="DU2" i="5" s="1"/>
  <c r="CE12" i="5"/>
  <c r="CG11" i="5"/>
  <c r="CE11" i="5"/>
  <c r="CF201" i="5"/>
  <c r="CF197" i="5"/>
  <c r="CF63" i="5" s="1"/>
  <c r="CF81" i="5" s="1"/>
  <c r="CG82" i="5"/>
  <c r="CF82" i="5"/>
  <c r="CE82" i="5"/>
  <c r="CG74" i="5"/>
  <c r="CF74" i="5"/>
  <c r="CE74" i="5"/>
  <c r="CH72" i="2"/>
  <c r="CG72" i="2"/>
  <c r="CF72" i="2"/>
  <c r="CE72" i="2"/>
  <c r="DX2" i="8"/>
  <c r="DY2" i="8" s="1"/>
  <c r="DZ2" i="8" s="1"/>
  <c r="EA2" i="8" s="1"/>
  <c r="EB2" i="8" s="1"/>
  <c r="EC2" i="8" s="1"/>
  <c r="ED2" i="8" s="1"/>
  <c r="EE2" i="8" s="1"/>
  <c r="EH2" i="8" s="1"/>
  <c r="EI2" i="8" s="1"/>
  <c r="EJ2" i="8" s="1"/>
  <c r="EK2" i="8" s="1"/>
  <c r="EL2" i="8" s="1"/>
  <c r="EM2" i="8" s="1"/>
  <c r="DP2" i="1"/>
  <c r="DO2" i="2" s="1"/>
  <c r="CB354" i="1"/>
  <c r="CA354" i="1"/>
  <c r="CH286" i="2"/>
  <c r="CG311" i="5"/>
  <c r="CF96" i="2"/>
  <c r="CF291" i="2"/>
  <c r="CE291" i="2"/>
  <c r="CI285" i="2"/>
  <c r="CF311" i="5"/>
  <c r="CF286" i="2"/>
  <c r="DP383" i="1"/>
  <c r="AP117" i="6"/>
  <c r="AP160" i="6"/>
  <c r="CF304" i="2"/>
  <c r="CE72" i="1"/>
  <c r="CG72" i="1"/>
  <c r="CI19" i="5"/>
  <c r="CA59" i="2"/>
  <c r="CA58" i="2"/>
  <c r="CA56" i="2"/>
  <c r="CA29" i="2"/>
  <c r="CC34" i="2" s="1"/>
  <c r="CA26" i="2"/>
  <c r="CA13" i="2"/>
  <c r="CA36" i="2" s="1"/>
  <c r="CA7" i="2"/>
  <c r="CA285" i="2"/>
  <c r="CA308" i="2"/>
  <c r="CA279" i="2"/>
  <c r="CA270" i="2"/>
  <c r="CA265" i="2"/>
  <c r="CA240" i="2"/>
  <c r="CA197" i="5"/>
  <c r="CA63" i="5" s="1"/>
  <c r="CA81" i="5" s="1"/>
  <c r="CA188" i="5"/>
  <c r="CA299" i="5"/>
  <c r="CA298" i="5"/>
  <c r="AK12" i="6" s="1"/>
  <c r="CA307" i="5" s="1"/>
  <c r="CA291" i="5"/>
  <c r="CA288" i="5"/>
  <c r="CA287" i="5"/>
  <c r="CA279" i="5"/>
  <c r="CA280" i="5" s="1"/>
  <c r="CA277" i="5"/>
  <c r="CA216" i="5"/>
  <c r="CA223" i="5"/>
  <c r="CA135" i="5"/>
  <c r="CA134" i="5"/>
  <c r="CA132" i="5" s="1"/>
  <c r="CA133" i="5"/>
  <c r="DE110" i="5"/>
  <c r="DD110" i="5"/>
  <c r="DC110" i="5"/>
  <c r="DB110" i="5"/>
  <c r="DA110" i="5"/>
  <c r="CZ110" i="5"/>
  <c r="CY110" i="5"/>
  <c r="CX110" i="5"/>
  <c r="CW134" i="5"/>
  <c r="CU134" i="5"/>
  <c r="BY134" i="5"/>
  <c r="BX134" i="5"/>
  <c r="BW134" i="5"/>
  <c r="BU134" i="5"/>
  <c r="BT134" i="5"/>
  <c r="BS134" i="5"/>
  <c r="BR134" i="5"/>
  <c r="BQ134" i="5"/>
  <c r="BP134" i="5"/>
  <c r="BO134" i="5"/>
  <c r="BN134" i="5"/>
  <c r="BM134" i="5"/>
  <c r="BM132" i="5" s="1"/>
  <c r="BL134" i="5"/>
  <c r="BK134" i="5"/>
  <c r="BJ134" i="5"/>
  <c r="BI134" i="5"/>
  <c r="BH134" i="5"/>
  <c r="BG134" i="5"/>
  <c r="BF134" i="5"/>
  <c r="BE134" i="5"/>
  <c r="BD134" i="5"/>
  <c r="BC134" i="5"/>
  <c r="BB134" i="5"/>
  <c r="BA134" i="5"/>
  <c r="AZ134" i="5"/>
  <c r="AY134" i="5"/>
  <c r="AX134" i="5"/>
  <c r="AW134" i="5"/>
  <c r="AV134" i="5"/>
  <c r="AU134" i="5"/>
  <c r="C134" i="5"/>
  <c r="BZ134" i="5"/>
  <c r="CA378" i="1"/>
  <c r="CA277" i="1"/>
  <c r="CA281" i="1" s="1"/>
  <c r="CE283" i="1" s="1"/>
  <c r="CA268" i="1"/>
  <c r="CA262" i="1"/>
  <c r="CA240" i="1"/>
  <c r="CA238" i="1"/>
  <c r="CA236" i="1"/>
  <c r="CA248" i="1"/>
  <c r="CA250" i="1"/>
  <c r="CA246" i="1"/>
  <c r="CA228" i="1"/>
  <c r="CA224" i="1"/>
  <c r="CA321" i="1" s="1"/>
  <c r="CA233" i="1"/>
  <c r="CA191" i="1"/>
  <c r="CA157" i="1"/>
  <c r="CA156" i="1"/>
  <c r="CA155" i="1"/>
  <c r="CA130" i="1"/>
  <c r="CA111" i="1"/>
  <c r="CA85" i="1"/>
  <c r="CA76" i="1"/>
  <c r="BZ53" i="1"/>
  <c r="BZ54" i="1" s="1"/>
  <c r="CA57" i="1"/>
  <c r="CA58" i="1" s="1"/>
  <c r="CA53" i="1"/>
  <c r="CA54" i="1" s="1"/>
  <c r="CA45" i="1"/>
  <c r="BZ299" i="5"/>
  <c r="BZ298" i="5"/>
  <c r="AJ12" i="6" s="1"/>
  <c r="BZ288" i="5"/>
  <c r="DP288" i="5" s="1"/>
  <c r="BZ287" i="5"/>
  <c r="BZ203" i="5"/>
  <c r="BZ219" i="5"/>
  <c r="DM219" i="5" s="1"/>
  <c r="BZ222" i="5"/>
  <c r="DM222" i="5" s="1"/>
  <c r="BZ221" i="5"/>
  <c r="DM221" i="5" s="1"/>
  <c r="BZ220" i="5"/>
  <c r="DM220" i="5" s="1"/>
  <c r="BZ213" i="5"/>
  <c r="BZ212" i="5"/>
  <c r="DM212" i="5" s="1"/>
  <c r="BZ210" i="5"/>
  <c r="DM210" i="5" s="1"/>
  <c r="U24" i="12"/>
  <c r="U25" i="12"/>
  <c r="U31" i="12"/>
  <c r="U30" i="12"/>
  <c r="U29" i="12"/>
  <c r="U27" i="12"/>
  <c r="R24" i="12"/>
  <c r="U26" i="12"/>
  <c r="R26" i="12"/>
  <c r="R25" i="12"/>
  <c r="R37" i="12"/>
  <c r="BZ14" i="5"/>
  <c r="BZ13" i="5"/>
  <c r="BZ12" i="5"/>
  <c r="BZ11" i="5"/>
  <c r="BZ135" i="5"/>
  <c r="BZ133" i="5"/>
  <c r="BZ314" i="2"/>
  <c r="DM314" i="2" s="1"/>
  <c r="BZ307" i="2"/>
  <c r="BZ44" i="5" s="1"/>
  <c r="BZ299" i="2"/>
  <c r="BZ284" i="2"/>
  <c r="DM284" i="2" s="1"/>
  <c r="DM285" i="2" s="1"/>
  <c r="BZ99" i="2"/>
  <c r="BZ101" i="2" s="1"/>
  <c r="BZ72" i="2"/>
  <c r="BZ64" i="2"/>
  <c r="BZ125" i="2" s="1"/>
  <c r="BZ59" i="2"/>
  <c r="BZ58" i="2"/>
  <c r="BZ56" i="2"/>
  <c r="BZ13" i="2"/>
  <c r="BZ7" i="2"/>
  <c r="BZ136" i="1"/>
  <c r="BZ42" i="5" s="1"/>
  <c r="BZ400" i="1"/>
  <c r="BZ3" i="1"/>
  <c r="BZ277" i="1"/>
  <c r="BZ268" i="1"/>
  <c r="BZ262" i="1"/>
  <c r="BZ240" i="1"/>
  <c r="BZ238" i="1"/>
  <c r="BZ236" i="1"/>
  <c r="BZ246" i="1"/>
  <c r="BZ250" i="1"/>
  <c r="BZ248" i="1"/>
  <c r="BZ224" i="1"/>
  <c r="BZ233" i="1" s="1"/>
  <c r="BZ228" i="1"/>
  <c r="BZ191" i="1"/>
  <c r="BZ130" i="1"/>
  <c r="BZ77" i="1"/>
  <c r="BZ76" i="1"/>
  <c r="BZ75" i="1"/>
  <c r="BZ86" i="1"/>
  <c r="BZ85" i="1"/>
  <c r="BZ84" i="1"/>
  <c r="BZ57" i="1"/>
  <c r="BZ58" i="1"/>
  <c r="BZ45" i="1"/>
  <c r="BR400" i="1"/>
  <c r="BP400" i="1"/>
  <c r="BP378" i="1" s="1"/>
  <c r="BB400" i="1"/>
  <c r="BA400" i="1"/>
  <c r="AZ400" i="1"/>
  <c r="AY400" i="1"/>
  <c r="AX400" i="1"/>
  <c r="AW400" i="1"/>
  <c r="AV400" i="1"/>
  <c r="AU400" i="1"/>
  <c r="AT400" i="1"/>
  <c r="AS400" i="1"/>
  <c r="AR400" i="1"/>
  <c r="AQ400" i="1"/>
  <c r="BZ360" i="1"/>
  <c r="BZ240" i="2"/>
  <c r="CA246" i="2" s="1"/>
  <c r="BZ253" i="2"/>
  <c r="BI33" i="2"/>
  <c r="BH33" i="2"/>
  <c r="BK34" i="2"/>
  <c r="BJ34" i="2"/>
  <c r="BI34" i="2"/>
  <c r="BH34" i="2"/>
  <c r="BX29" i="2"/>
  <c r="BZ34" i="2" s="1"/>
  <c r="BW29" i="2"/>
  <c r="CA30" i="2" s="1"/>
  <c r="BV29" i="2"/>
  <c r="BU29" i="2"/>
  <c r="BW34" i="2" s="1"/>
  <c r="BT29" i="2"/>
  <c r="BS29" i="2"/>
  <c r="BR29" i="2"/>
  <c r="BQ29" i="2"/>
  <c r="BP29" i="2"/>
  <c r="BO29" i="2"/>
  <c r="BN29" i="2"/>
  <c r="BM29" i="2"/>
  <c r="BL29" i="2"/>
  <c r="BN34" i="2" s="1"/>
  <c r="BK29" i="2"/>
  <c r="BJ29" i="2"/>
  <c r="BL34" i="2" s="1"/>
  <c r="BJ33" i="2"/>
  <c r="BY29" i="2"/>
  <c r="BS26" i="2"/>
  <c r="BO26" i="2"/>
  <c r="BK26" i="2"/>
  <c r="BG26" i="2"/>
  <c r="BC26" i="2"/>
  <c r="AY26" i="2"/>
  <c r="AX26" i="2"/>
  <c r="AW26" i="2"/>
  <c r="AV26" i="2"/>
  <c r="AU26" i="2"/>
  <c r="AT26" i="2"/>
  <c r="AS26" i="2"/>
  <c r="AR26" i="2"/>
  <c r="AQ26" i="2"/>
  <c r="BW26" i="2"/>
  <c r="BZ129" i="2"/>
  <c r="AI138" i="6"/>
  <c r="AJ138" i="6" s="1"/>
  <c r="AI130" i="6"/>
  <c r="AI129" i="6"/>
  <c r="AI149" i="6" s="1"/>
  <c r="AI47" i="6"/>
  <c r="AJ47" i="6" s="1"/>
  <c r="BY223" i="5"/>
  <c r="CA211" i="2"/>
  <c r="CA85" i="2"/>
  <c r="BQ34" i="2"/>
  <c r="C16" i="4" a="1"/>
  <c r="C16" i="4" s="1"/>
  <c r="BY9" i="1"/>
  <c r="BY45" i="1"/>
  <c r="BY77" i="1"/>
  <c r="BY76" i="1"/>
  <c r="BY75" i="1"/>
  <c r="BY86" i="1"/>
  <c r="BY85" i="1"/>
  <c r="BY84" i="1"/>
  <c r="BY312" i="2"/>
  <c r="BY20" i="5" s="1"/>
  <c r="BY260" i="5" s="1"/>
  <c r="BY308" i="2"/>
  <c r="BY285" i="2"/>
  <c r="BY240" i="2"/>
  <c r="BY166" i="2"/>
  <c r="BY126" i="2"/>
  <c r="BY105" i="2"/>
  <c r="BY99" i="2"/>
  <c r="BY13" i="2"/>
  <c r="BY41" i="2" s="1"/>
  <c r="BY7" i="2"/>
  <c r="BY59" i="2"/>
  <c r="BY58" i="2"/>
  <c r="BY56" i="2"/>
  <c r="BY299" i="5"/>
  <c r="BY298" i="5"/>
  <c r="AI12" i="6" s="1"/>
  <c r="BY291" i="5"/>
  <c r="BX288" i="5"/>
  <c r="DN288" i="5" s="1"/>
  <c r="BW288" i="5"/>
  <c r="BV288" i="5"/>
  <c r="DL288" i="5" s="1"/>
  <c r="DL270" i="5" s="1"/>
  <c r="BU288" i="5"/>
  <c r="BT288" i="5"/>
  <c r="BS288" i="5"/>
  <c r="BR288" i="5"/>
  <c r="BQ288" i="5"/>
  <c r="BP288" i="5"/>
  <c r="BO288" i="5"/>
  <c r="BN288" i="5"/>
  <c r="DJ288" i="5" s="1"/>
  <c r="BM288" i="5"/>
  <c r="BL288" i="5"/>
  <c r="BK288" i="5"/>
  <c r="BJ288" i="5"/>
  <c r="DI288" i="5" s="1"/>
  <c r="BI288" i="5"/>
  <c r="BH288" i="5"/>
  <c r="BG288" i="5"/>
  <c r="BF288" i="5"/>
  <c r="DH288" i="5" s="1"/>
  <c r="DI287" i="5" s="1"/>
  <c r="BE288" i="5"/>
  <c r="BD288" i="5"/>
  <c r="BC288" i="5"/>
  <c r="BB288" i="5"/>
  <c r="DG288" i="5" s="1"/>
  <c r="BA288" i="5"/>
  <c r="AZ288" i="5"/>
  <c r="AY288" i="5"/>
  <c r="AX288" i="5"/>
  <c r="AW288" i="5"/>
  <c r="AV288" i="5"/>
  <c r="AU288" i="5"/>
  <c r="AT288" i="5"/>
  <c r="AS288" i="5"/>
  <c r="AR288" i="5"/>
  <c r="AQ288" i="5"/>
  <c r="DE288" i="5" s="1"/>
  <c r="DF287" i="5" s="1"/>
  <c r="AP288" i="5"/>
  <c r="DD288" i="5" s="1"/>
  <c r="AO288" i="5"/>
  <c r="AN288" i="5"/>
  <c r="AM288" i="5"/>
  <c r="AL288" i="5"/>
  <c r="DC288" i="5" s="1"/>
  <c r="AK288" i="5"/>
  <c r="AJ288" i="5"/>
  <c r="AI288" i="5"/>
  <c r="AH288" i="5"/>
  <c r="C288" i="5"/>
  <c r="BY288" i="5"/>
  <c r="DO288" i="5" s="1"/>
  <c r="BY287" i="5"/>
  <c r="BY201" i="5"/>
  <c r="BY197" i="5"/>
  <c r="BY63" i="5" s="1"/>
  <c r="BY81" i="5" s="1"/>
  <c r="BY135" i="5"/>
  <c r="BY133" i="5"/>
  <c r="BY378" i="1"/>
  <c r="BY384" i="1"/>
  <c r="BY277" i="1"/>
  <c r="BY268" i="1"/>
  <c r="BY262" i="1"/>
  <c r="BY238" i="1"/>
  <c r="BY240" i="1"/>
  <c r="BY236" i="1"/>
  <c r="BY226" i="1"/>
  <c r="BY248" i="1"/>
  <c r="BY250" i="1"/>
  <c r="BY246" i="1"/>
  <c r="BY228" i="1"/>
  <c r="BY224" i="1"/>
  <c r="BY307" i="1" s="1"/>
  <c r="BY191" i="1"/>
  <c r="BY130" i="1"/>
  <c r="BY132" i="1" s="1"/>
  <c r="BY41" i="5" s="1"/>
  <c r="BY168" i="5" s="1"/>
  <c r="BY57" i="1"/>
  <c r="BY58" i="1" s="1"/>
  <c r="BY53" i="1"/>
  <c r="BY54" i="1" s="1"/>
  <c r="BZ203" i="2"/>
  <c r="BZ271" i="1"/>
  <c r="BY188" i="5"/>
  <c r="BX276" i="2"/>
  <c r="BV253" i="2"/>
  <c r="BU253" i="2"/>
  <c r="BT253" i="2"/>
  <c r="BS253" i="2"/>
  <c r="BR253" i="2"/>
  <c r="BQ253" i="2"/>
  <c r="BP253" i="2"/>
  <c r="BO253" i="2"/>
  <c r="BN253" i="2"/>
  <c r="BM253" i="2"/>
  <c r="BL253" i="2"/>
  <c r="BK253" i="2"/>
  <c r="BJ253" i="2"/>
  <c r="BI253" i="2"/>
  <c r="BH253" i="2"/>
  <c r="BG253" i="2"/>
  <c r="BF253" i="2"/>
  <c r="BE253" i="2"/>
  <c r="BD253" i="2"/>
  <c r="BC253" i="2"/>
  <c r="BB253" i="2"/>
  <c r="BA253" i="2"/>
  <c r="AZ253" i="2"/>
  <c r="AY253" i="2"/>
  <c r="AX253" i="2"/>
  <c r="AW253" i="2"/>
  <c r="AV253" i="2"/>
  <c r="AU253" i="2"/>
  <c r="BW250" i="2"/>
  <c r="BV250" i="2"/>
  <c r="BR250" i="2"/>
  <c r="BQ250" i="2"/>
  <c r="BP250" i="2"/>
  <c r="BO250" i="2"/>
  <c r="BN250" i="2"/>
  <c r="BM250" i="2"/>
  <c r="BL250" i="2"/>
  <c r="BK250" i="2"/>
  <c r="BJ250" i="2"/>
  <c r="BI250" i="2"/>
  <c r="BH250" i="2"/>
  <c r="BG250" i="2"/>
  <c r="BF250" i="2"/>
  <c r="BE250" i="2"/>
  <c r="BD250" i="2"/>
  <c r="BC250" i="2"/>
  <c r="BB250" i="2"/>
  <c r="BA250" i="2"/>
  <c r="AZ250" i="2"/>
  <c r="AY250" i="2"/>
  <c r="AX250" i="2"/>
  <c r="AW250" i="2"/>
  <c r="AV250" i="2"/>
  <c r="AU250" i="2"/>
  <c r="DW245" i="1"/>
  <c r="DW241" i="1"/>
  <c r="DW240" i="1"/>
  <c r="DW239" i="1"/>
  <c r="AQ279" i="2"/>
  <c r="AR279" i="2"/>
  <c r="AS279" i="2"/>
  <c r="AT279" i="2"/>
  <c r="AU279" i="2"/>
  <c r="AV279" i="2"/>
  <c r="AW279" i="2"/>
  <c r="AX279" i="2"/>
  <c r="AY279" i="2"/>
  <c r="BC279" i="2"/>
  <c r="BK279" i="2"/>
  <c r="BO279" i="2"/>
  <c r="BS279" i="2"/>
  <c r="BW279" i="2"/>
  <c r="BE160" i="6"/>
  <c r="AD125" i="6"/>
  <c r="AC125" i="6"/>
  <c r="AB125" i="6"/>
  <c r="AA125" i="6"/>
  <c r="Y125" i="6"/>
  <c r="X125" i="6"/>
  <c r="W125" i="6"/>
  <c r="V125" i="6"/>
  <c r="U125" i="6"/>
  <c r="T125" i="6"/>
  <c r="S125" i="6"/>
  <c r="R125" i="6"/>
  <c r="Q125" i="6"/>
  <c r="P125" i="6"/>
  <c r="O125" i="6"/>
  <c r="N125" i="6"/>
  <c r="M125" i="6"/>
  <c r="L125" i="6"/>
  <c r="K125" i="6"/>
  <c r="J125" i="6"/>
  <c r="I125" i="6"/>
  <c r="H125" i="6"/>
  <c r="G125" i="6"/>
  <c r="F125" i="6"/>
  <c r="E125" i="6"/>
  <c r="D125" i="6"/>
  <c r="AJ125" i="6"/>
  <c r="AE125" i="6"/>
  <c r="AH125" i="6"/>
  <c r="AJ143" i="6"/>
  <c r="AK143" i="6" s="1"/>
  <c r="AH79" i="6"/>
  <c r="AH47" i="6"/>
  <c r="AH43" i="6"/>
  <c r="C2" i="4"/>
  <c r="E2" i="4" s="1"/>
  <c r="T2" i="3"/>
  <c r="DE183" i="5"/>
  <c r="DF183" i="5" s="1"/>
  <c r="DG183" i="5" s="1"/>
  <c r="DH183" i="5" s="1"/>
  <c r="DI183" i="5" s="1"/>
  <c r="DJ183" i="5" s="1"/>
  <c r="DK183" i="5" s="1"/>
  <c r="DL183" i="5" s="1"/>
  <c r="DM183" i="5" s="1"/>
  <c r="DN183" i="5" s="1"/>
  <c r="DO183" i="5" s="1"/>
  <c r="DP183" i="5" s="1"/>
  <c r="DR183" i="5" s="1"/>
  <c r="DS183" i="5" s="1"/>
  <c r="DT183" i="5" s="1"/>
  <c r="DU183" i="5" s="1"/>
  <c r="BX203" i="5"/>
  <c r="BP223" i="5"/>
  <c r="BP216" i="5"/>
  <c r="BO223" i="5"/>
  <c r="BO216" i="5"/>
  <c r="BO234" i="5" s="1"/>
  <c r="BO232" i="5" s="1"/>
  <c r="BR222" i="5"/>
  <c r="DK222" i="5" s="1"/>
  <c r="BR220" i="5"/>
  <c r="DK220" i="5" s="1"/>
  <c r="BR219" i="5"/>
  <c r="DK219" i="5" s="1"/>
  <c r="BR213" i="5"/>
  <c r="DK213" i="5" s="1"/>
  <c r="BR210" i="5"/>
  <c r="DK210" i="5" s="1"/>
  <c r="BV222" i="5"/>
  <c r="DL222" i="5" s="1"/>
  <c r="BV221" i="5"/>
  <c r="DL221" i="5" s="1"/>
  <c r="BV220" i="5"/>
  <c r="DL220" i="5" s="1"/>
  <c r="BV219" i="5"/>
  <c r="DL219" i="5" s="1"/>
  <c r="BV213" i="5"/>
  <c r="DL213" i="5" s="1"/>
  <c r="BV212" i="5"/>
  <c r="DL212" i="5" s="1"/>
  <c r="BV210" i="5"/>
  <c r="DL210" i="5" s="1"/>
  <c r="DR213" i="5"/>
  <c r="DN222" i="5"/>
  <c r="DK221" i="5"/>
  <c r="DN220" i="5"/>
  <c r="DN212" i="5"/>
  <c r="DK212" i="5"/>
  <c r="BQ216" i="5"/>
  <c r="BQ234" i="5" s="1"/>
  <c r="BQ232" i="5" s="1"/>
  <c r="BU223" i="5"/>
  <c r="BU216" i="5"/>
  <c r="BU234" i="5" s="1"/>
  <c r="BU232" i="5" s="1"/>
  <c r="BX223" i="5"/>
  <c r="BX216" i="5"/>
  <c r="BT223" i="5"/>
  <c r="BT216" i="5"/>
  <c r="BT234" i="5" s="1"/>
  <c r="BT232" i="5" s="1"/>
  <c r="BJ227" i="5"/>
  <c r="BI227" i="5"/>
  <c r="BH227" i="5"/>
  <c r="BG227" i="5"/>
  <c r="BF227" i="5"/>
  <c r="BE227" i="5"/>
  <c r="BD227" i="5"/>
  <c r="BC227" i="5"/>
  <c r="BB227" i="5"/>
  <c r="BA227" i="5"/>
  <c r="AZ227" i="5"/>
  <c r="AY227" i="5"/>
  <c r="AX227" i="5"/>
  <c r="AW227" i="5"/>
  <c r="AV227" i="5"/>
  <c r="AU227" i="5"/>
  <c r="AT227" i="5"/>
  <c r="AS227" i="5"/>
  <c r="AR227" i="5"/>
  <c r="AQ227" i="5"/>
  <c r="AP227" i="5"/>
  <c r="AO227" i="5"/>
  <c r="AN227" i="5"/>
  <c r="AM227" i="5"/>
  <c r="AL227" i="5"/>
  <c r="AK227" i="5"/>
  <c r="AJ227" i="5"/>
  <c r="AI227" i="5"/>
  <c r="AH227" i="5"/>
  <c r="AG227" i="5"/>
  <c r="AF227" i="5"/>
  <c r="AE227" i="5"/>
  <c r="AD227" i="5"/>
  <c r="AC227" i="5"/>
  <c r="AB227" i="5"/>
  <c r="AA227" i="5"/>
  <c r="Y227" i="5"/>
  <c r="X227" i="5"/>
  <c r="W227" i="5"/>
  <c r="V227" i="5"/>
  <c r="U227" i="5"/>
  <c r="T227" i="5"/>
  <c r="S227" i="5"/>
  <c r="R227" i="5"/>
  <c r="Q227" i="5"/>
  <c r="P227" i="5"/>
  <c r="O227" i="5"/>
  <c r="N227" i="5"/>
  <c r="M227" i="5"/>
  <c r="L227" i="5"/>
  <c r="K227" i="5"/>
  <c r="J227" i="5"/>
  <c r="I227" i="5"/>
  <c r="H227" i="5"/>
  <c r="G227" i="5"/>
  <c r="F227" i="5"/>
  <c r="E227" i="5"/>
  <c r="D227" i="5"/>
  <c r="C227" i="5"/>
  <c r="BW223" i="5"/>
  <c r="BW216" i="5"/>
  <c r="BW234" i="5" s="1"/>
  <c r="BW232" i="5" s="1"/>
  <c r="BS223" i="5"/>
  <c r="BS216" i="5"/>
  <c r="BW203" i="5"/>
  <c r="BV203" i="5"/>
  <c r="BU203" i="5"/>
  <c r="BT203" i="5"/>
  <c r="BS203" i="5"/>
  <c r="BR203" i="5"/>
  <c r="BQ203" i="5"/>
  <c r="BP203" i="5"/>
  <c r="BO203" i="5"/>
  <c r="BN203" i="5"/>
  <c r="BM203" i="5"/>
  <c r="BL203" i="5"/>
  <c r="BK203" i="5"/>
  <c r="BJ203" i="5"/>
  <c r="BI203" i="5"/>
  <c r="BH203" i="5"/>
  <c r="BG203" i="5"/>
  <c r="BF203" i="5"/>
  <c r="BE203" i="5"/>
  <c r="BD203" i="5"/>
  <c r="BC203" i="5"/>
  <c r="BB203" i="5"/>
  <c r="BA203" i="5"/>
  <c r="AZ203" i="5"/>
  <c r="BX285" i="2"/>
  <c r="BX308" i="2"/>
  <c r="BX312" i="2"/>
  <c r="BX299" i="5"/>
  <c r="BX298" i="5"/>
  <c r="AH12" i="6" s="1"/>
  <c r="BX307" i="5" s="1"/>
  <c r="BX291" i="5"/>
  <c r="BX287" i="5"/>
  <c r="BX279" i="5"/>
  <c r="BX277" i="5"/>
  <c r="BX229" i="5"/>
  <c r="DN229" i="5" s="1"/>
  <c r="BX201" i="5"/>
  <c r="BX197" i="5"/>
  <c r="BX63" i="5" s="1"/>
  <c r="BX81" i="5" s="1"/>
  <c r="BX188" i="5"/>
  <c r="BX135" i="5"/>
  <c r="BX133" i="5"/>
  <c r="BX77" i="1"/>
  <c r="BX76" i="1"/>
  <c r="BX75" i="1"/>
  <c r="BX86" i="1"/>
  <c r="BX85" i="1"/>
  <c r="BX84" i="1"/>
  <c r="BX398" i="1"/>
  <c r="BX397" i="1"/>
  <c r="BX404" i="1"/>
  <c r="BX403" i="1"/>
  <c r="BX277" i="1"/>
  <c r="BX268" i="1"/>
  <c r="BX262" i="1"/>
  <c r="BX250" i="1"/>
  <c r="BX248" i="1"/>
  <c r="BX246" i="1"/>
  <c r="BX238" i="1"/>
  <c r="BX240" i="1"/>
  <c r="BX236" i="1"/>
  <c r="BX224" i="1"/>
  <c r="BX321" i="1" s="1"/>
  <c r="BX226" i="1"/>
  <c r="BX228" i="1"/>
  <c r="BX191" i="1"/>
  <c r="BX157" i="1"/>
  <c r="BX156" i="1"/>
  <c r="BX155" i="1"/>
  <c r="BX130" i="1"/>
  <c r="BX132" i="1" s="1"/>
  <c r="BX57" i="1"/>
  <c r="BX53" i="1"/>
  <c r="BX54" i="1" s="1"/>
  <c r="BX46" i="1"/>
  <c r="BX45" i="1"/>
  <c r="BX13" i="2"/>
  <c r="BX7" i="2"/>
  <c r="BX59" i="2"/>
  <c r="BX58" i="2"/>
  <c r="BX56" i="2"/>
  <c r="BX212" i="2"/>
  <c r="BY212" i="2" s="1"/>
  <c r="BY104" i="2" s="1"/>
  <c r="BX210" i="2"/>
  <c r="BX85" i="2"/>
  <c r="BY127" i="2"/>
  <c r="BX266" i="2"/>
  <c r="BX264" i="2"/>
  <c r="BY264" i="2" s="1"/>
  <c r="BY265" i="2" s="1"/>
  <c r="C19" i="7"/>
  <c r="D19" i="7"/>
  <c r="D16" i="7"/>
  <c r="E16" i="7"/>
  <c r="D9" i="7"/>
  <c r="D3" i="7"/>
  <c r="E3" i="7"/>
  <c r="F3" i="7"/>
  <c r="G3" i="7"/>
  <c r="D20" i="7"/>
  <c r="N12" i="7"/>
  <c r="M4" i="7"/>
  <c r="N4" i="7"/>
  <c r="O4" i="7"/>
  <c r="BX166" i="2"/>
  <c r="BY164" i="2"/>
  <c r="BD297" i="2"/>
  <c r="BD299" i="2" s="1"/>
  <c r="BD291" i="5" s="1"/>
  <c r="BM238" i="2"/>
  <c r="BL238" i="2"/>
  <c r="BK238" i="2"/>
  <c r="DI237" i="2"/>
  <c r="DD237" i="2"/>
  <c r="DC237" i="2"/>
  <c r="DB237" i="2"/>
  <c r="BK118" i="2"/>
  <c r="BJ118" i="2"/>
  <c r="BI118" i="2"/>
  <c r="BH118" i="2"/>
  <c r="BL118" i="2"/>
  <c r="BM118" i="2"/>
  <c r="BW277" i="1"/>
  <c r="BW287" i="5"/>
  <c r="BW279" i="5"/>
  <c r="BW277" i="5"/>
  <c r="AF130" i="6"/>
  <c r="AF149" i="6" s="1"/>
  <c r="AF129" i="6"/>
  <c r="BF129" i="6" s="1"/>
  <c r="AF126" i="6"/>
  <c r="BF126" i="6" s="1"/>
  <c r="AA103" i="6"/>
  <c r="AA112" i="6" s="1"/>
  <c r="AA94" i="6" s="1"/>
  <c r="AA102" i="6"/>
  <c r="AA111" i="6" s="1"/>
  <c r="AA93" i="6" s="1"/>
  <c r="AA101" i="6"/>
  <c r="AA110" i="6" s="1"/>
  <c r="AA92" i="6" s="1"/>
  <c r="AA100" i="6"/>
  <c r="AA99" i="6"/>
  <c r="AA108" i="6" s="1"/>
  <c r="AA90" i="6" s="1"/>
  <c r="AA98" i="6"/>
  <c r="AA107" i="6" s="1"/>
  <c r="AA89" i="6" s="1"/>
  <c r="AA97" i="6"/>
  <c r="AF79" i="6"/>
  <c r="AF97" i="6" s="1"/>
  <c r="BF97" i="6" s="1"/>
  <c r="AF47" i="6"/>
  <c r="BF47" i="6" s="1"/>
  <c r="AF43" i="6"/>
  <c r="BF43" i="6" s="1"/>
  <c r="AF42" i="6"/>
  <c r="AG130" i="6"/>
  <c r="AG149" i="6" s="1"/>
  <c r="AG129" i="6"/>
  <c r="AG126" i="6"/>
  <c r="AG79" i="6"/>
  <c r="AG47" i="6"/>
  <c r="AG42" i="6"/>
  <c r="AG4" i="6"/>
  <c r="AF125" i="6"/>
  <c r="DL251" i="1"/>
  <c r="DK251" i="1"/>
  <c r="DJ251" i="1"/>
  <c r="DI251" i="1"/>
  <c r="DH251" i="1"/>
  <c r="DF251" i="1"/>
  <c r="DL249" i="1"/>
  <c r="DK249" i="1"/>
  <c r="DJ249" i="1"/>
  <c r="DI249" i="1"/>
  <c r="DH249" i="1"/>
  <c r="DG249" i="1"/>
  <c r="DF249" i="1"/>
  <c r="DL227" i="1"/>
  <c r="DL228" i="1" s="1"/>
  <c r="DK227" i="1"/>
  <c r="DJ227" i="1"/>
  <c r="DI227" i="1"/>
  <c r="DH227" i="1"/>
  <c r="DG227" i="1"/>
  <c r="DF227" i="1"/>
  <c r="BS211" i="2"/>
  <c r="BO211" i="2"/>
  <c r="BK211" i="2"/>
  <c r="BG211" i="2"/>
  <c r="BC211" i="2"/>
  <c r="AY211" i="2"/>
  <c r="BW211" i="2"/>
  <c r="BW268" i="1"/>
  <c r="BW228" i="1"/>
  <c r="BV228" i="1"/>
  <c r="BU228" i="1"/>
  <c r="BT228" i="1"/>
  <c r="BS228" i="1"/>
  <c r="BR228" i="1"/>
  <c r="BQ228" i="1"/>
  <c r="BP228" i="1"/>
  <c r="BO228" i="1"/>
  <c r="BN228" i="1"/>
  <c r="BM228" i="1"/>
  <c r="BL228" i="1"/>
  <c r="BK228" i="1"/>
  <c r="BJ228" i="1"/>
  <c r="BI228" i="1"/>
  <c r="BH228" i="1"/>
  <c r="BG228" i="1"/>
  <c r="BF228" i="1"/>
  <c r="BE228" i="1"/>
  <c r="BD228" i="1"/>
  <c r="BC228" i="1"/>
  <c r="BB228" i="1"/>
  <c r="BA228" i="1"/>
  <c r="AZ228" i="1"/>
  <c r="AY228" i="1"/>
  <c r="AX228" i="1"/>
  <c r="AW228" i="1"/>
  <c r="AV228" i="1"/>
  <c r="AU228" i="1"/>
  <c r="BW238" i="1"/>
  <c r="BV238" i="1"/>
  <c r="BU238" i="1"/>
  <c r="BT238" i="1"/>
  <c r="BS238" i="1"/>
  <c r="BR238" i="1"/>
  <c r="BQ238" i="1"/>
  <c r="BP238" i="1"/>
  <c r="BO238" i="1"/>
  <c r="BN238" i="1"/>
  <c r="BM238" i="1"/>
  <c r="BL238" i="1"/>
  <c r="BK238" i="1"/>
  <c r="BJ238" i="1"/>
  <c r="BI238" i="1"/>
  <c r="BH238" i="1"/>
  <c r="BG238" i="1"/>
  <c r="BF238" i="1"/>
  <c r="BE238" i="1"/>
  <c r="BD238" i="1"/>
  <c r="BC238" i="1"/>
  <c r="BB238" i="1"/>
  <c r="BA238" i="1"/>
  <c r="AZ238" i="1"/>
  <c r="AY238" i="1"/>
  <c r="AX238" i="1"/>
  <c r="AW238" i="1"/>
  <c r="AV238" i="1"/>
  <c r="AU238" i="1"/>
  <c r="AT238" i="1"/>
  <c r="AS238" i="1"/>
  <c r="AR238" i="1"/>
  <c r="AQ238" i="1"/>
  <c r="BW240" i="1"/>
  <c r="BV240" i="1"/>
  <c r="BU240" i="1"/>
  <c r="BT240" i="1"/>
  <c r="BS240" i="1"/>
  <c r="BR240" i="1"/>
  <c r="BQ240" i="1"/>
  <c r="BP240" i="1"/>
  <c r="BO240" i="1"/>
  <c r="BN240" i="1"/>
  <c r="BM240" i="1"/>
  <c r="BL240" i="1"/>
  <c r="BK240" i="1"/>
  <c r="BJ240" i="1"/>
  <c r="BI240" i="1"/>
  <c r="BH240" i="1"/>
  <c r="BG240" i="1"/>
  <c r="BF240" i="1"/>
  <c r="BE240" i="1"/>
  <c r="BD240" i="1"/>
  <c r="BC240" i="1"/>
  <c r="BB240" i="1"/>
  <c r="BA240" i="1"/>
  <c r="AZ240" i="1"/>
  <c r="AY240" i="1"/>
  <c r="AX240" i="1"/>
  <c r="AW240" i="1"/>
  <c r="AV240" i="1"/>
  <c r="AU240" i="1"/>
  <c r="BV250" i="1"/>
  <c r="BU250" i="1"/>
  <c r="BT250" i="1"/>
  <c r="BS250" i="1"/>
  <c r="BR250" i="1"/>
  <c r="BQ250" i="1"/>
  <c r="BP250" i="1"/>
  <c r="BO250" i="1"/>
  <c r="BN250" i="1"/>
  <c r="BM250" i="1"/>
  <c r="BL250" i="1"/>
  <c r="BK250" i="1"/>
  <c r="BJ250" i="1"/>
  <c r="BI250" i="1"/>
  <c r="BH250" i="1"/>
  <c r="BG250" i="1"/>
  <c r="BF250" i="1"/>
  <c r="BE250" i="1"/>
  <c r="BD250" i="1"/>
  <c r="BC250" i="1"/>
  <c r="BB250" i="1"/>
  <c r="BA250" i="1"/>
  <c r="AZ250" i="1"/>
  <c r="AY250" i="1"/>
  <c r="AX250" i="1"/>
  <c r="AW250" i="1"/>
  <c r="AV250" i="1"/>
  <c r="AU250" i="1"/>
  <c r="BV248" i="1"/>
  <c r="BU248" i="1"/>
  <c r="BT248" i="1"/>
  <c r="BS248" i="1"/>
  <c r="BR248" i="1"/>
  <c r="BQ248" i="1"/>
  <c r="BP248" i="1"/>
  <c r="BO248" i="1"/>
  <c r="BN248" i="1"/>
  <c r="BM248" i="1"/>
  <c r="BL248" i="1"/>
  <c r="BK248" i="1"/>
  <c r="BJ248" i="1"/>
  <c r="BI248" i="1"/>
  <c r="BH248" i="1"/>
  <c r="BG248" i="1"/>
  <c r="BF248" i="1"/>
  <c r="BE248" i="1"/>
  <c r="BD248" i="1"/>
  <c r="BC248" i="1"/>
  <c r="BB248" i="1"/>
  <c r="BA248" i="1"/>
  <c r="AZ248" i="1"/>
  <c r="AY248" i="1"/>
  <c r="AX248" i="1"/>
  <c r="AW248" i="1"/>
  <c r="AV248" i="1"/>
  <c r="AU248" i="1"/>
  <c r="AT248" i="1"/>
  <c r="AS248" i="1"/>
  <c r="AR248" i="1"/>
  <c r="AQ248" i="1"/>
  <c r="BW248" i="1"/>
  <c r="BW246" i="1"/>
  <c r="BW250" i="1"/>
  <c r="BW236" i="1"/>
  <c r="BV226" i="1"/>
  <c r="BU226" i="1"/>
  <c r="BT226" i="1"/>
  <c r="BS226" i="1"/>
  <c r="BR226" i="1"/>
  <c r="BQ226" i="1"/>
  <c r="BP226" i="1"/>
  <c r="BO226" i="1"/>
  <c r="BN226" i="1"/>
  <c r="BM226" i="1"/>
  <c r="BL226" i="1"/>
  <c r="BK226" i="1"/>
  <c r="BJ226" i="1"/>
  <c r="BI226" i="1"/>
  <c r="BH226" i="1"/>
  <c r="BG226" i="1"/>
  <c r="BF226" i="1"/>
  <c r="BE226" i="1"/>
  <c r="BD226" i="1"/>
  <c r="BC226" i="1"/>
  <c r="BB226" i="1"/>
  <c r="BA226" i="1"/>
  <c r="AZ226" i="1"/>
  <c r="AY226" i="1"/>
  <c r="AX226" i="1"/>
  <c r="AW226" i="1"/>
  <c r="AV226" i="1"/>
  <c r="AU226" i="1"/>
  <c r="AT226" i="1"/>
  <c r="AS226" i="1"/>
  <c r="AR226" i="1"/>
  <c r="AQ226" i="1"/>
  <c r="BW226" i="1"/>
  <c r="BW224" i="1"/>
  <c r="BW188" i="5"/>
  <c r="BW299" i="5"/>
  <c r="BW298" i="5"/>
  <c r="BW291" i="5"/>
  <c r="BW7" i="2"/>
  <c r="BW240" i="2"/>
  <c r="BW308" i="2"/>
  <c r="BW285" i="2"/>
  <c r="BW321" i="2"/>
  <c r="BW312" i="2" s="1"/>
  <c r="BW270" i="2"/>
  <c r="BW265" i="2"/>
  <c r="BW373" i="1"/>
  <c r="BW372" i="1"/>
  <c r="BW384" i="1"/>
  <c r="BW398" i="1"/>
  <c r="BW397" i="1"/>
  <c r="BW404" i="1"/>
  <c r="BW403" i="1"/>
  <c r="BV198" i="2"/>
  <c r="BX164" i="2"/>
  <c r="BV59" i="2"/>
  <c r="BU59" i="2"/>
  <c r="BT59" i="2"/>
  <c r="BS59" i="2"/>
  <c r="BR59" i="2"/>
  <c r="BQ59" i="2"/>
  <c r="BP59" i="2"/>
  <c r="BO59" i="2"/>
  <c r="BN59" i="2"/>
  <c r="BM59" i="2"/>
  <c r="BL59" i="2"/>
  <c r="BK59" i="2"/>
  <c r="BJ59" i="2"/>
  <c r="BI59" i="2"/>
  <c r="BH59" i="2"/>
  <c r="BG59" i="2"/>
  <c r="BF59" i="2"/>
  <c r="BE59" i="2"/>
  <c r="BD59" i="2"/>
  <c r="BC59" i="2"/>
  <c r="BB59" i="2"/>
  <c r="BA59" i="2"/>
  <c r="AZ59" i="2"/>
  <c r="AY59" i="2"/>
  <c r="AX59" i="2"/>
  <c r="AW59" i="2"/>
  <c r="AV59" i="2"/>
  <c r="AU59" i="2"/>
  <c r="AT59" i="2"/>
  <c r="AS59" i="2"/>
  <c r="AR59" i="2"/>
  <c r="AQ59" i="2"/>
  <c r="BW59" i="2"/>
  <c r="BW58" i="2"/>
  <c r="BW56" i="2"/>
  <c r="DD58" i="2"/>
  <c r="DC58" i="2"/>
  <c r="DB58" i="2"/>
  <c r="DA58" i="2"/>
  <c r="CZ58" i="2"/>
  <c r="CY58" i="2"/>
  <c r="CX58" i="2"/>
  <c r="CW58" i="2"/>
  <c r="CV58" i="2"/>
  <c r="BV58" i="2"/>
  <c r="BU58" i="2"/>
  <c r="BT58" i="2"/>
  <c r="BS58" i="2"/>
  <c r="BR58" i="2"/>
  <c r="BQ58" i="2"/>
  <c r="BP58" i="2"/>
  <c r="BO58" i="2"/>
  <c r="BN58" i="2"/>
  <c r="BM58" i="2"/>
  <c r="BL58" i="2"/>
  <c r="BK58" i="2"/>
  <c r="BJ58" i="2"/>
  <c r="BI58" i="2"/>
  <c r="BH58" i="2"/>
  <c r="BG58" i="2"/>
  <c r="BF58" i="2"/>
  <c r="BE58" i="2"/>
  <c r="BD58" i="2"/>
  <c r="BC58" i="2"/>
  <c r="BB58" i="2"/>
  <c r="BA58" i="2"/>
  <c r="AZ58" i="2"/>
  <c r="AY58" i="2"/>
  <c r="AX58" i="2"/>
  <c r="AW58" i="2"/>
  <c r="AV58" i="2"/>
  <c r="AU58" i="2"/>
  <c r="M46" i="3"/>
  <c r="M47" i="3"/>
  <c r="L46" i="3"/>
  <c r="L47" i="3" s="1"/>
  <c r="K46" i="3"/>
  <c r="K47" i="3" s="1"/>
  <c r="J46" i="3"/>
  <c r="J47" i="3" s="1"/>
  <c r="I46" i="3"/>
  <c r="I47" i="3" s="1"/>
  <c r="H46" i="3"/>
  <c r="H47" i="3" s="1"/>
  <c r="G46" i="3"/>
  <c r="G47" i="3" s="1"/>
  <c r="F46" i="3"/>
  <c r="F47" i="3" s="1"/>
  <c r="E46" i="3"/>
  <c r="E47" i="3" s="1"/>
  <c r="D46" i="3"/>
  <c r="D47" i="3" s="1"/>
  <c r="C46" i="3"/>
  <c r="C47" i="3" s="1"/>
  <c r="M43" i="3"/>
  <c r="M44" i="3" s="1"/>
  <c r="L43" i="3"/>
  <c r="L44" i="3" s="1"/>
  <c r="K43" i="3"/>
  <c r="K44" i="3" s="1"/>
  <c r="J43" i="3"/>
  <c r="J44" i="3" s="1"/>
  <c r="I43" i="3"/>
  <c r="I44" i="3" s="1"/>
  <c r="H43" i="3"/>
  <c r="H44" i="3" s="1"/>
  <c r="G43" i="3"/>
  <c r="G44" i="3" s="1"/>
  <c r="F43" i="3"/>
  <c r="F44" i="3" s="1"/>
  <c r="E43" i="3"/>
  <c r="E44" i="3" s="1"/>
  <c r="D43" i="3"/>
  <c r="D44" i="3" s="1"/>
  <c r="C43" i="3"/>
  <c r="C44" i="3" s="1"/>
  <c r="M40" i="3"/>
  <c r="M41" i="3" s="1"/>
  <c r="L40" i="3"/>
  <c r="L41" i="3" s="1"/>
  <c r="K40" i="3"/>
  <c r="K41" i="3" s="1"/>
  <c r="J40" i="3"/>
  <c r="J41" i="3" s="1"/>
  <c r="I40" i="3"/>
  <c r="I41" i="3" s="1"/>
  <c r="H40" i="3"/>
  <c r="H41" i="3" s="1"/>
  <c r="G40" i="3"/>
  <c r="G41" i="3" s="1"/>
  <c r="F40" i="3"/>
  <c r="F41" i="3" s="1"/>
  <c r="E40" i="3"/>
  <c r="E41" i="3" s="1"/>
  <c r="D40" i="3"/>
  <c r="D41" i="3" s="1"/>
  <c r="C40" i="3"/>
  <c r="C41" i="3" s="1"/>
  <c r="BW229" i="5"/>
  <c r="BW201" i="5"/>
  <c r="BW197" i="5"/>
  <c r="BW63" i="5" s="1"/>
  <c r="BW81" i="5" s="1"/>
  <c r="CW150" i="5"/>
  <c r="CU150" i="5"/>
  <c r="CW149" i="5"/>
  <c r="CU149" i="5"/>
  <c r="CW147" i="5"/>
  <c r="CU147" i="5"/>
  <c r="CW146" i="5"/>
  <c r="CU146" i="5"/>
  <c r="CW145" i="5"/>
  <c r="CU145" i="5"/>
  <c r="CW144" i="5"/>
  <c r="CU144" i="5"/>
  <c r="CW142" i="5"/>
  <c r="CU142" i="5"/>
  <c r="CW141" i="5"/>
  <c r="CU141" i="5"/>
  <c r="CW140" i="5"/>
  <c r="CW139" i="5" s="1"/>
  <c r="CU140" i="5"/>
  <c r="CW135" i="5"/>
  <c r="CU135" i="5"/>
  <c r="BV135" i="5"/>
  <c r="BU135" i="5"/>
  <c r="BT135" i="5"/>
  <c r="BS135" i="5"/>
  <c r="BR135" i="5"/>
  <c r="BQ135" i="5"/>
  <c r="BP135" i="5"/>
  <c r="BO135" i="5"/>
  <c r="BN135" i="5"/>
  <c r="BM135" i="5"/>
  <c r="BL135" i="5"/>
  <c r="BK135" i="5"/>
  <c r="BJ135" i="5"/>
  <c r="BI135" i="5"/>
  <c r="BH135" i="5"/>
  <c r="BG135" i="5"/>
  <c r="BF135" i="5"/>
  <c r="BE135" i="5"/>
  <c r="BD135" i="5"/>
  <c r="BC135" i="5"/>
  <c r="BB135" i="5"/>
  <c r="BA135" i="5"/>
  <c r="AZ135" i="5"/>
  <c r="AY135" i="5"/>
  <c r="AX135" i="5"/>
  <c r="AW135" i="5"/>
  <c r="AV135" i="5"/>
  <c r="AU135" i="5"/>
  <c r="CW133" i="5"/>
  <c r="CW132" i="5" s="1"/>
  <c r="CW131" i="5" s="1"/>
  <c r="CU133" i="5"/>
  <c r="CU132" i="5" s="1"/>
  <c r="CU131" i="5" s="1"/>
  <c r="BV133" i="5"/>
  <c r="BU133" i="5"/>
  <c r="BT133" i="5"/>
  <c r="BS133" i="5"/>
  <c r="BR133" i="5"/>
  <c r="BQ133" i="5"/>
  <c r="BP133" i="5"/>
  <c r="BO133" i="5"/>
  <c r="BN133" i="5"/>
  <c r="BM133" i="5"/>
  <c r="BL133" i="5"/>
  <c r="BK133" i="5"/>
  <c r="BJ133" i="5"/>
  <c r="BI133" i="5"/>
  <c r="BH133" i="5"/>
  <c r="BG133" i="5"/>
  <c r="BF133" i="5"/>
  <c r="BE133" i="5"/>
  <c r="BD133" i="5"/>
  <c r="BC133" i="5"/>
  <c r="BB133" i="5"/>
  <c r="BA133" i="5"/>
  <c r="AZ133" i="5"/>
  <c r="AY133" i="5"/>
  <c r="AY132" i="5" s="1"/>
  <c r="AX133" i="5"/>
  <c r="AW133" i="5"/>
  <c r="AV133" i="5"/>
  <c r="AU133" i="5"/>
  <c r="BW135" i="5"/>
  <c r="BW133" i="5"/>
  <c r="BW253" i="2"/>
  <c r="BW166" i="2"/>
  <c r="BX203" i="2" s="1"/>
  <c r="CE287" i="5"/>
  <c r="CE67" i="5"/>
  <c r="CE83" i="5" s="1"/>
  <c r="CE288" i="5"/>
  <c r="DU288" i="5" s="1"/>
  <c r="DU270" i="5" s="1"/>
  <c r="CF67" i="5"/>
  <c r="CF83" i="5" s="1"/>
  <c r="AT149" i="5"/>
  <c r="AS149" i="5"/>
  <c r="AR149" i="5"/>
  <c r="AQ149" i="5"/>
  <c r="AP149" i="5"/>
  <c r="AO149" i="5"/>
  <c r="AN149" i="5"/>
  <c r="AM149" i="5"/>
  <c r="AL149" i="5"/>
  <c r="AK149" i="5"/>
  <c r="AJ149" i="5"/>
  <c r="AI149" i="5"/>
  <c r="AH149" i="5"/>
  <c r="AG149" i="5"/>
  <c r="AF149" i="5"/>
  <c r="AE149" i="5"/>
  <c r="AD149" i="5"/>
  <c r="AC149" i="5"/>
  <c r="AB149" i="5"/>
  <c r="AA149" i="5"/>
  <c r="Z149" i="5"/>
  <c r="Y149" i="5"/>
  <c r="X149" i="5"/>
  <c r="W149" i="5"/>
  <c r="V149" i="5"/>
  <c r="U149" i="5"/>
  <c r="T149" i="5"/>
  <c r="S149" i="5"/>
  <c r="R149" i="5"/>
  <c r="Q149" i="5"/>
  <c r="P149" i="5"/>
  <c r="O149" i="5"/>
  <c r="N149" i="5"/>
  <c r="M149" i="5"/>
  <c r="L149" i="5"/>
  <c r="K149" i="5"/>
  <c r="J149" i="5"/>
  <c r="I149" i="5"/>
  <c r="H149" i="5"/>
  <c r="G149" i="5"/>
  <c r="F149" i="5"/>
  <c r="E149" i="5"/>
  <c r="D149" i="5"/>
  <c r="C149" i="5"/>
  <c r="CW76" i="5"/>
  <c r="CU76" i="5"/>
  <c r="BU19" i="5"/>
  <c r="BW14" i="5"/>
  <c r="BV14" i="5"/>
  <c r="BU14" i="5"/>
  <c r="BT14" i="5"/>
  <c r="BS14" i="5"/>
  <c r="BR14" i="5"/>
  <c r="BQ14" i="5"/>
  <c r="BP14" i="5"/>
  <c r="BO14" i="5"/>
  <c r="BN14" i="5"/>
  <c r="BM14" i="5"/>
  <c r="BL14" i="5"/>
  <c r="BK14" i="5"/>
  <c r="BJ14" i="5"/>
  <c r="BI14" i="5"/>
  <c r="BH14" i="5"/>
  <c r="BG14" i="5"/>
  <c r="BF14" i="5"/>
  <c r="BE14" i="5"/>
  <c r="BD14" i="5"/>
  <c r="BC14" i="5"/>
  <c r="BB14" i="5"/>
  <c r="BA14" i="5"/>
  <c r="AZ14" i="5"/>
  <c r="AY14" i="5"/>
  <c r="AX14" i="5"/>
  <c r="AW14" i="5"/>
  <c r="AV14" i="5"/>
  <c r="AU14" i="5"/>
  <c r="BW96" i="1"/>
  <c r="BV96" i="1"/>
  <c r="BV64" i="1" s="1"/>
  <c r="BU96" i="1"/>
  <c r="BT96" i="1"/>
  <c r="BT15" i="5" s="1"/>
  <c r="BS96" i="1"/>
  <c r="BS15" i="5" s="1"/>
  <c r="BR96" i="1"/>
  <c r="BR64" i="1"/>
  <c r="BR69" i="1" s="1"/>
  <c r="BQ96" i="1"/>
  <c r="BQ64" i="1" s="1"/>
  <c r="BQ69" i="1" s="1"/>
  <c r="BP96" i="1"/>
  <c r="BP15" i="5" s="1"/>
  <c r="BP64" i="1"/>
  <c r="BO96" i="1"/>
  <c r="BO64" i="1" s="1"/>
  <c r="BN96" i="1"/>
  <c r="BN64" i="1" s="1"/>
  <c r="BN69" i="1" s="1"/>
  <c r="BM96" i="1"/>
  <c r="BM64" i="1" s="1"/>
  <c r="BM69" i="1" s="1"/>
  <c r="BL96" i="1"/>
  <c r="BK96" i="1"/>
  <c r="BK64" i="1" s="1"/>
  <c r="BK69" i="1" s="1"/>
  <c r="BJ96" i="1"/>
  <c r="BJ64" i="1"/>
  <c r="BI96" i="1"/>
  <c r="BH96" i="1"/>
  <c r="BH64" i="1" s="1"/>
  <c r="BG96" i="1"/>
  <c r="BG64" i="1" s="1"/>
  <c r="BG69" i="1" s="1"/>
  <c r="BF96" i="1"/>
  <c r="BF64" i="1" s="1"/>
  <c r="BE96" i="1"/>
  <c r="BD96" i="1"/>
  <c r="BC96" i="1"/>
  <c r="BC15" i="5" s="1"/>
  <c r="BB96" i="1"/>
  <c r="BB64" i="1" s="1"/>
  <c r="BB69" i="1" s="1"/>
  <c r="BB70" i="1" s="1"/>
  <c r="BA96" i="1"/>
  <c r="BA64" i="1" s="1"/>
  <c r="BA69" i="1" s="1"/>
  <c r="AZ96" i="1"/>
  <c r="AY96" i="1"/>
  <c r="AY64" i="1" s="1"/>
  <c r="AY69" i="1" s="1"/>
  <c r="AX96" i="1"/>
  <c r="AW96" i="1"/>
  <c r="AW15" i="5" s="1"/>
  <c r="AV96" i="1"/>
  <c r="AV64" i="1" s="1"/>
  <c r="AU96" i="1"/>
  <c r="AU64" i="1" s="1"/>
  <c r="AS96" i="1"/>
  <c r="AR96" i="1"/>
  <c r="AR64" i="1" s="1"/>
  <c r="AQ96" i="1"/>
  <c r="AQ64" i="1" s="1"/>
  <c r="AQ66" i="1" s="1"/>
  <c r="DO192" i="1"/>
  <c r="DN192" i="1"/>
  <c r="DM192" i="1"/>
  <c r="DL192" i="1"/>
  <c r="DK192" i="1"/>
  <c r="DM190" i="1"/>
  <c r="DL190" i="1"/>
  <c r="DK190" i="1"/>
  <c r="DM189" i="1"/>
  <c r="DL189" i="1"/>
  <c r="DK189" i="1"/>
  <c r="BV191" i="1"/>
  <c r="BU191" i="1"/>
  <c r="BT191" i="1"/>
  <c r="BS191" i="1"/>
  <c r="BR191" i="1"/>
  <c r="BQ191" i="1"/>
  <c r="BP191" i="1"/>
  <c r="BO191" i="1"/>
  <c r="BN191" i="1"/>
  <c r="BM191" i="1"/>
  <c r="BL191" i="1"/>
  <c r="BK191" i="1"/>
  <c r="BW191" i="1"/>
  <c r="BW188" i="1"/>
  <c r="BV188" i="1"/>
  <c r="BU188" i="1"/>
  <c r="BT188" i="1"/>
  <c r="BS188" i="1"/>
  <c r="BR188" i="1"/>
  <c r="BQ188" i="1"/>
  <c r="BP188" i="1"/>
  <c r="BO188" i="1"/>
  <c r="BN188" i="1"/>
  <c r="BM188" i="1"/>
  <c r="BL188" i="1"/>
  <c r="BK188" i="1"/>
  <c r="AR155" i="1"/>
  <c r="AS155" i="1"/>
  <c r="AU155" i="1"/>
  <c r="AV155" i="1"/>
  <c r="AW155" i="1"/>
  <c r="AX155" i="1"/>
  <c r="AY155" i="1"/>
  <c r="AZ155" i="1"/>
  <c r="BA155" i="1"/>
  <c r="BB155" i="1"/>
  <c r="BC155" i="1"/>
  <c r="BD155" i="1"/>
  <c r="BE155" i="1"/>
  <c r="BF155" i="1"/>
  <c r="BG155" i="1"/>
  <c r="BH155" i="1"/>
  <c r="BI155" i="1"/>
  <c r="BJ155" i="1"/>
  <c r="BK155" i="1"/>
  <c r="BL155" i="1"/>
  <c r="BL153" i="1" s="1"/>
  <c r="BL154" i="1" s="1"/>
  <c r="BM155" i="1"/>
  <c r="BN155" i="1"/>
  <c r="BO155" i="1"/>
  <c r="BP155" i="1"/>
  <c r="BQ155" i="1"/>
  <c r="BR155" i="1"/>
  <c r="BS155" i="1"/>
  <c r="BT155" i="1"/>
  <c r="BU155" i="1"/>
  <c r="BV155" i="1"/>
  <c r="BW155" i="1"/>
  <c r="CV155" i="1"/>
  <c r="CW155" i="1"/>
  <c r="CX155" i="1"/>
  <c r="CY155" i="1"/>
  <c r="CZ155" i="1"/>
  <c r="DA155" i="1"/>
  <c r="DB155" i="1"/>
  <c r="DC155" i="1"/>
  <c r="DD155" i="1"/>
  <c r="DE155" i="1"/>
  <c r="AR156" i="1"/>
  <c r="AS156" i="1"/>
  <c r="AT156" i="1"/>
  <c r="AU156" i="1"/>
  <c r="AV156" i="1"/>
  <c r="AW156" i="1"/>
  <c r="AX156" i="1"/>
  <c r="AY156" i="1"/>
  <c r="AZ156" i="1"/>
  <c r="BA156" i="1"/>
  <c r="BB156" i="1"/>
  <c r="BC156" i="1"/>
  <c r="BD156" i="1"/>
  <c r="BE156" i="1"/>
  <c r="BF156" i="1"/>
  <c r="BG156" i="1"/>
  <c r="BH156" i="1"/>
  <c r="BI156" i="1"/>
  <c r="BJ156" i="1"/>
  <c r="BK156" i="1"/>
  <c r="BL156" i="1"/>
  <c r="BM156" i="1"/>
  <c r="BN156" i="1"/>
  <c r="BO156" i="1"/>
  <c r="BP156" i="1"/>
  <c r="BQ156" i="1"/>
  <c r="BR156" i="1"/>
  <c r="BS156" i="1"/>
  <c r="BT156" i="1"/>
  <c r="BU156" i="1"/>
  <c r="BV156" i="1"/>
  <c r="BW156" i="1"/>
  <c r="CV156" i="1"/>
  <c r="CW156" i="1"/>
  <c r="CX156" i="1"/>
  <c r="CY156" i="1"/>
  <c r="CZ156" i="1"/>
  <c r="DA156" i="1"/>
  <c r="DB156" i="1"/>
  <c r="DC156" i="1"/>
  <c r="DD156" i="1"/>
  <c r="DE156" i="1"/>
  <c r="AR157" i="1"/>
  <c r="AS157" i="1"/>
  <c r="AT157" i="1"/>
  <c r="AU157" i="1"/>
  <c r="AV157" i="1"/>
  <c r="AW157" i="1"/>
  <c r="AX157" i="1"/>
  <c r="AY157" i="1"/>
  <c r="AZ157" i="1"/>
  <c r="BA157" i="1"/>
  <c r="BB157" i="1"/>
  <c r="BC157" i="1"/>
  <c r="BD157" i="1"/>
  <c r="BE157" i="1"/>
  <c r="BF157" i="1"/>
  <c r="BG157" i="1"/>
  <c r="BH157" i="1"/>
  <c r="BI157" i="1"/>
  <c r="BJ157" i="1"/>
  <c r="BK157" i="1"/>
  <c r="BL157" i="1"/>
  <c r="BM157" i="1"/>
  <c r="BN157" i="1"/>
  <c r="BO157" i="1"/>
  <c r="BP157" i="1"/>
  <c r="BQ157" i="1"/>
  <c r="BR157" i="1"/>
  <c r="BS157" i="1"/>
  <c r="BT157" i="1"/>
  <c r="BU157" i="1"/>
  <c r="BV157" i="1"/>
  <c r="BW157" i="1"/>
  <c r="CV157" i="1"/>
  <c r="CW157" i="1"/>
  <c r="CX157" i="1"/>
  <c r="CY157" i="1"/>
  <c r="CZ157" i="1"/>
  <c r="DA157" i="1"/>
  <c r="DB157" i="1"/>
  <c r="DC157" i="1"/>
  <c r="DD157" i="1"/>
  <c r="DE157" i="1"/>
  <c r="AQ157" i="1"/>
  <c r="AQ156" i="1"/>
  <c r="AQ155" i="1"/>
  <c r="CG67" i="5"/>
  <c r="CG83" i="5" s="1"/>
  <c r="DO91" i="5"/>
  <c r="DO141" i="5" s="1"/>
  <c r="CI67" i="5"/>
  <c r="CI83" i="5" s="1"/>
  <c r="DP225" i="1"/>
  <c r="DM120" i="1"/>
  <c r="DM156" i="1" s="1"/>
  <c r="DL120" i="1"/>
  <c r="DL156" i="1" s="1"/>
  <c r="DK120" i="1"/>
  <c r="DK156" i="1" s="1"/>
  <c r="DJ120" i="1"/>
  <c r="DJ156" i="1" s="1"/>
  <c r="DI120" i="1"/>
  <c r="DI156" i="1" s="1"/>
  <c r="DH120" i="1"/>
  <c r="DH156" i="1"/>
  <c r="DG120" i="1"/>
  <c r="DG156" i="1" s="1"/>
  <c r="DM114" i="1"/>
  <c r="DM157" i="1" s="1"/>
  <c r="DL114" i="1"/>
  <c r="DL157" i="1" s="1"/>
  <c r="DK114" i="1"/>
  <c r="DJ114" i="1"/>
  <c r="DJ157" i="1" s="1"/>
  <c r="DI114" i="1"/>
  <c r="DH114" i="1"/>
  <c r="DG114" i="1"/>
  <c r="DG157" i="1"/>
  <c r="DF114" i="1"/>
  <c r="DK157" i="1"/>
  <c r="DF120" i="1"/>
  <c r="DF156" i="1" s="1"/>
  <c r="BW64" i="2"/>
  <c r="BW99" i="2"/>
  <c r="BW126" i="2"/>
  <c r="BW127" i="2"/>
  <c r="BW38" i="1"/>
  <c r="BW130" i="1"/>
  <c r="BW132" i="1" s="1"/>
  <c r="BW84" i="1"/>
  <c r="BW85" i="1"/>
  <c r="BW86" i="1"/>
  <c r="BW75" i="1"/>
  <c r="BW76" i="1"/>
  <c r="BW77" i="1"/>
  <c r="BW53" i="1"/>
  <c r="BW54" i="1" s="1"/>
  <c r="BW57" i="1"/>
  <c r="BW58" i="1" s="1"/>
  <c r="BW45" i="1"/>
  <c r="I55" i="3"/>
  <c r="H55" i="3"/>
  <c r="G55" i="3"/>
  <c r="F55" i="3"/>
  <c r="E55" i="3"/>
  <c r="D55" i="3"/>
  <c r="C55" i="3"/>
  <c r="C56" i="3"/>
  <c r="BU57" i="1"/>
  <c r="BT57" i="1"/>
  <c r="BT58" i="1"/>
  <c r="BS57" i="1"/>
  <c r="BS58" i="1" s="1"/>
  <c r="BR57" i="1"/>
  <c r="BR58" i="1" s="1"/>
  <c r="BQ57" i="1"/>
  <c r="BQ58" i="1" s="1"/>
  <c r="BP57" i="1"/>
  <c r="BP58" i="1" s="1"/>
  <c r="BO57" i="1"/>
  <c r="BO58" i="1"/>
  <c r="BN57" i="1"/>
  <c r="BM57" i="1"/>
  <c r="BM58" i="1" s="1"/>
  <c r="BL57" i="1"/>
  <c r="BL58" i="1" s="1"/>
  <c r="BK57" i="1"/>
  <c r="BK58" i="1" s="1"/>
  <c r="BJ57" i="1"/>
  <c r="BJ58" i="1" s="1"/>
  <c r="BI57" i="1"/>
  <c r="BI58" i="1" s="1"/>
  <c r="BH57" i="1"/>
  <c r="BH58" i="1"/>
  <c r="BG57" i="1"/>
  <c r="BG58" i="1" s="1"/>
  <c r="BF57" i="1"/>
  <c r="BF58" i="1" s="1"/>
  <c r="BE57" i="1"/>
  <c r="BE58" i="1" s="1"/>
  <c r="BD57" i="1"/>
  <c r="BD58" i="1" s="1"/>
  <c r="BC57" i="1"/>
  <c r="BC58" i="1" s="1"/>
  <c r="BB57" i="1"/>
  <c r="BB58" i="1" s="1"/>
  <c r="BA57" i="1"/>
  <c r="BA58" i="1" s="1"/>
  <c r="AZ57" i="1"/>
  <c r="AZ58" i="1" s="1"/>
  <c r="AY57" i="1"/>
  <c r="AY58" i="1" s="1"/>
  <c r="AX57" i="1"/>
  <c r="AX58" i="1" s="1"/>
  <c r="AW57" i="1"/>
  <c r="AW58" i="1" s="1"/>
  <c r="AV57" i="1"/>
  <c r="AV58" i="1"/>
  <c r="AU57" i="1"/>
  <c r="AU58" i="1" s="1"/>
  <c r="AT57" i="1"/>
  <c r="AT58" i="1" s="1"/>
  <c r="AT59" i="1" s="1"/>
  <c r="AS57" i="1"/>
  <c r="AS58" i="1" s="1"/>
  <c r="AR57" i="1"/>
  <c r="AR58" i="1" s="1"/>
  <c r="AR59" i="1" s="1"/>
  <c r="AQ57" i="1"/>
  <c r="AQ58" i="1" s="1"/>
  <c r="AQ59" i="1" s="1"/>
  <c r="BV57" i="1"/>
  <c r="BV58" i="1" s="1"/>
  <c r="BV130" i="1"/>
  <c r="BV56" i="2"/>
  <c r="BV13" i="2"/>
  <c r="BV36" i="2" s="1"/>
  <c r="BV7" i="2"/>
  <c r="BV312" i="2"/>
  <c r="BV308" i="2"/>
  <c r="BV285" i="2"/>
  <c r="BV240" i="2"/>
  <c r="BV85" i="2"/>
  <c r="E36" i="11"/>
  <c r="D36" i="11"/>
  <c r="E34" i="11"/>
  <c r="D34" i="11"/>
  <c r="E32" i="11"/>
  <c r="D32" i="11"/>
  <c r="E30" i="11"/>
  <c r="D30" i="11"/>
  <c r="E27" i="11"/>
  <c r="D27" i="11"/>
  <c r="E25" i="11"/>
  <c r="D25" i="11"/>
  <c r="E23" i="11"/>
  <c r="D23" i="11"/>
  <c r="E21" i="11"/>
  <c r="D21" i="11"/>
  <c r="E19" i="11"/>
  <c r="D19" i="11"/>
  <c r="E16" i="11"/>
  <c r="D16" i="11"/>
  <c r="M12" i="11"/>
  <c r="M11" i="11"/>
  <c r="E10" i="11"/>
  <c r="D10" i="11"/>
  <c r="E3" i="11"/>
  <c r="D3" i="11"/>
  <c r="D17" i="11"/>
  <c r="E17" i="11"/>
  <c r="D28" i="11"/>
  <c r="E28" i="11"/>
  <c r="N11" i="11"/>
  <c r="M13" i="11"/>
  <c r="BV85" i="1"/>
  <c r="BU85" i="1"/>
  <c r="BV76" i="1"/>
  <c r="BU76" i="1"/>
  <c r="BV299" i="5"/>
  <c r="BV298" i="5"/>
  <c r="AF12" i="6" s="1"/>
  <c r="BV287" i="5"/>
  <c r="BV279" i="5"/>
  <c r="BV280" i="5" s="1"/>
  <c r="BV277" i="5"/>
  <c r="BV269" i="5" s="1"/>
  <c r="BV188" i="5"/>
  <c r="BV229" i="5"/>
  <c r="BV201" i="5"/>
  <c r="BV197" i="5"/>
  <c r="BV63" i="5" s="1"/>
  <c r="BV81" i="5" s="1"/>
  <c r="DK91" i="5"/>
  <c r="DK141" i="5" s="1"/>
  <c r="DL91" i="5"/>
  <c r="DM91" i="5"/>
  <c r="DM141" i="5" s="1"/>
  <c r="DN91" i="5"/>
  <c r="DN67" i="5" s="1"/>
  <c r="DN83" i="5" s="1"/>
  <c r="BV75" i="1"/>
  <c r="BV77" i="1"/>
  <c r="BV84" i="1"/>
  <c r="BV86" i="1"/>
  <c r="BV45" i="1"/>
  <c r="BV21" i="1"/>
  <c r="BV18" i="1"/>
  <c r="BV20" i="1" s="1"/>
  <c r="BV277" i="1"/>
  <c r="BV268" i="1"/>
  <c r="BV262" i="1"/>
  <c r="BV246" i="1"/>
  <c r="BV236" i="1"/>
  <c r="BV224" i="1"/>
  <c r="BV233" i="1" s="1"/>
  <c r="BV53" i="1"/>
  <c r="BV54" i="1" s="1"/>
  <c r="BE65" i="6"/>
  <c r="BE73" i="6"/>
  <c r="BE132" i="6"/>
  <c r="BE131" i="6"/>
  <c r="BE130" i="6"/>
  <c r="BE129" i="6"/>
  <c r="BE128" i="6"/>
  <c r="BE127" i="6"/>
  <c r="BE142" i="6"/>
  <c r="BE141" i="6"/>
  <c r="BE140" i="6"/>
  <c r="BE139" i="6"/>
  <c r="BE138" i="6"/>
  <c r="BE137" i="6"/>
  <c r="BE136" i="6"/>
  <c r="BE147" i="6"/>
  <c r="BE148" i="6"/>
  <c r="BE149" i="6"/>
  <c r="BE150" i="6"/>
  <c r="BE151" i="6"/>
  <c r="F1" i="9"/>
  <c r="G1" i="9"/>
  <c r="H1" i="9"/>
  <c r="I1" i="9"/>
  <c r="J1" i="9"/>
  <c r="K1" i="9"/>
  <c r="L1" i="9"/>
  <c r="M1" i="9"/>
  <c r="L12" i="7"/>
  <c r="M12" i="7"/>
  <c r="C20" i="7"/>
  <c r="BF142" i="6"/>
  <c r="BF141" i="6"/>
  <c r="BF140" i="6"/>
  <c r="BF139" i="6"/>
  <c r="BF138" i="6"/>
  <c r="BF137" i="6"/>
  <c r="BF136" i="6"/>
  <c r="BF133" i="6"/>
  <c r="BF132" i="6"/>
  <c r="BF131" i="6"/>
  <c r="BF130" i="6"/>
  <c r="BF128" i="6"/>
  <c r="AC160" i="6"/>
  <c r="AB160" i="6"/>
  <c r="AA160" i="6"/>
  <c r="Z160" i="6"/>
  <c r="BS304" i="2"/>
  <c r="BR304" i="2"/>
  <c r="BQ304" i="2"/>
  <c r="BP304" i="2"/>
  <c r="BO304" i="2"/>
  <c r="BN304" i="2"/>
  <c r="BM304" i="2"/>
  <c r="BL304" i="2"/>
  <c r="BK304" i="2"/>
  <c r="BJ304" i="2"/>
  <c r="BI304" i="2"/>
  <c r="BH304" i="2"/>
  <c r="BG304" i="2"/>
  <c r="BF304" i="2"/>
  <c r="BE304" i="2"/>
  <c r="BD304" i="2"/>
  <c r="BC304" i="2"/>
  <c r="BB304" i="2"/>
  <c r="BA304" i="2"/>
  <c r="AZ304" i="2"/>
  <c r="AY304" i="2"/>
  <c r="AX304" i="2"/>
  <c r="AW304" i="2"/>
  <c r="AV304" i="2"/>
  <c r="AU304" i="2"/>
  <c r="AT304" i="2"/>
  <c r="AS304" i="2"/>
  <c r="AR304" i="2"/>
  <c r="AQ304" i="2"/>
  <c r="DK304" i="2"/>
  <c r="DJ304" i="2"/>
  <c r="DI304" i="2"/>
  <c r="DH304" i="2"/>
  <c r="DG304" i="2"/>
  <c r="DF304" i="2"/>
  <c r="DE304" i="2"/>
  <c r="DA304" i="2"/>
  <c r="CZ304" i="2"/>
  <c r="CY304" i="2"/>
  <c r="AQ252" i="2"/>
  <c r="DK251" i="2"/>
  <c r="DJ251" i="2"/>
  <c r="DI251" i="2"/>
  <c r="DH251" i="2"/>
  <c r="DG251" i="2"/>
  <c r="DF251" i="2"/>
  <c r="DK248" i="2"/>
  <c r="DJ248" i="2"/>
  <c r="DI248" i="2"/>
  <c r="DH248" i="2"/>
  <c r="DG248" i="2"/>
  <c r="DF248" i="2"/>
  <c r="BQ15" i="8"/>
  <c r="BR15" i="8" s="1"/>
  <c r="BS15" i="8" s="1"/>
  <c r="BT15" i="8" s="1"/>
  <c r="BU15" i="8" s="1"/>
  <c r="BV15" i="8" s="1"/>
  <c r="BW15" i="8" s="1"/>
  <c r="BX15" i="8" s="1"/>
  <c r="BY15" i="8" s="1"/>
  <c r="BZ15" i="8" s="1"/>
  <c r="CA15" i="8" s="1"/>
  <c r="CB15" i="8" s="1"/>
  <c r="CC15" i="8" s="1"/>
  <c r="CD15" i="8" s="1"/>
  <c r="CE15" i="8" s="1"/>
  <c r="CF15" i="8" s="1"/>
  <c r="CG15" i="8" s="1"/>
  <c r="CH15" i="8" s="1"/>
  <c r="CI15" i="8" s="1"/>
  <c r="CJ15" i="8" s="1"/>
  <c r="CK15" i="8" s="1"/>
  <c r="CL15" i="8" s="1"/>
  <c r="CM15" i="8" s="1"/>
  <c r="CF14" i="8"/>
  <c r="BS3" i="2" s="1"/>
  <c r="CE14" i="8"/>
  <c r="BR3" i="2" s="1"/>
  <c r="CD14" i="8"/>
  <c r="BQ3" i="2" s="1"/>
  <c r="CC14" i="8"/>
  <c r="BP3" i="2" s="1"/>
  <c r="CB14" i="8"/>
  <c r="BO3" i="2" s="1"/>
  <c r="CA14" i="8"/>
  <c r="BN3" i="2" s="1"/>
  <c r="BZ14" i="8"/>
  <c r="BM3" i="2" s="1"/>
  <c r="BY14" i="8"/>
  <c r="BL3" i="2" s="1"/>
  <c r="BX14" i="8"/>
  <c r="BK3" i="2" s="1"/>
  <c r="BW14" i="8"/>
  <c r="BJ3" i="2" s="1"/>
  <c r="BV14" i="8"/>
  <c r="BI3" i="2" s="1"/>
  <c r="BU14" i="8"/>
  <c r="BH3" i="2" s="1"/>
  <c r="BT14" i="8"/>
  <c r="BG3" i="2" s="1"/>
  <c r="BS14" i="8"/>
  <c r="BF3" i="2" s="1"/>
  <c r="BR14" i="8"/>
  <c r="BE3" i="2" s="1"/>
  <c r="BQ14" i="8"/>
  <c r="BD3" i="2" s="1"/>
  <c r="BP14" i="8"/>
  <c r="BC3" i="2" s="1"/>
  <c r="AK128" i="6"/>
  <c r="AL128" i="6" s="1"/>
  <c r="AM128" i="6" s="1"/>
  <c r="AN128" i="6" s="1"/>
  <c r="AJ65" i="6"/>
  <c r="BG65" i="6" s="1"/>
  <c r="BG73" i="6" s="1"/>
  <c r="AK65" i="6"/>
  <c r="AL65" i="6" s="1"/>
  <c r="AM65" i="6" s="1"/>
  <c r="AN65" i="6" s="1"/>
  <c r="AO65" i="6" s="1"/>
  <c r="AP65" i="6" s="1"/>
  <c r="AP73" i="6" s="1"/>
  <c r="BF65" i="6"/>
  <c r="BF73" i="6" s="1"/>
  <c r="BG129" i="6"/>
  <c r="BF127" i="6"/>
  <c r="BG131" i="6"/>
  <c r="BG128" i="6"/>
  <c r="AJ142" i="6"/>
  <c r="BG142" i="6" s="1"/>
  <c r="AK142" i="6"/>
  <c r="AK129" i="6"/>
  <c r="AJ140" i="6"/>
  <c r="AK140" i="6" s="1"/>
  <c r="AL140" i="6" s="1"/>
  <c r="AM140" i="6" s="1"/>
  <c r="AN140" i="6" s="1"/>
  <c r="AO140" i="6" s="1"/>
  <c r="AP140" i="6" s="1"/>
  <c r="AI137" i="6"/>
  <c r="AK130" i="6"/>
  <c r="BG130" i="6"/>
  <c r="AJ141" i="6"/>
  <c r="BG141" i="6" s="1"/>
  <c r="AK141" i="6"/>
  <c r="AK131" i="6"/>
  <c r="AL131" i="6" s="1"/>
  <c r="AM131" i="6" s="1"/>
  <c r="AN131" i="6" s="1"/>
  <c r="AI136" i="6"/>
  <c r="AJ136" i="6" s="1"/>
  <c r="AJ139" i="6"/>
  <c r="AJ149" i="6" s="1"/>
  <c r="BG132" i="6"/>
  <c r="AL130" i="6"/>
  <c r="AM130" i="6" s="1"/>
  <c r="AN130" i="6" s="1"/>
  <c r="AK132" i="6"/>
  <c r="AL132" i="6" s="1"/>
  <c r="AM132" i="6" s="1"/>
  <c r="AN132" i="6" s="1"/>
  <c r="BG133" i="6"/>
  <c r="BG127" i="6"/>
  <c r="AK127" i="6"/>
  <c r="AK133" i="6"/>
  <c r="AL133" i="6" s="1"/>
  <c r="AM133" i="6" s="1"/>
  <c r="AN133" i="6" s="1"/>
  <c r="AL127" i="6"/>
  <c r="AM127" i="6"/>
  <c r="AN127" i="6" s="1"/>
  <c r="BU33" i="1"/>
  <c r="BT33" i="1"/>
  <c r="BS33" i="1"/>
  <c r="BT10" i="1"/>
  <c r="BS10" i="1"/>
  <c r="BU10" i="1"/>
  <c r="AD47" i="6"/>
  <c r="AD42" i="6"/>
  <c r="AE47" i="6"/>
  <c r="AE42" i="6"/>
  <c r="BU299" i="5"/>
  <c r="BU298" i="5"/>
  <c r="BU291" i="5"/>
  <c r="BU287" i="5"/>
  <c r="BU269" i="5" s="1"/>
  <c r="BU279" i="5"/>
  <c r="BU280" i="5" s="1"/>
  <c r="BU277" i="5"/>
  <c r="BU229" i="5"/>
  <c r="BU201" i="5"/>
  <c r="BU197" i="5"/>
  <c r="BU63" i="5" s="1"/>
  <c r="BU81" i="5" s="1"/>
  <c r="BU175" i="5"/>
  <c r="BU174" i="5"/>
  <c r="BU13" i="5"/>
  <c r="BU12" i="5"/>
  <c r="BU11" i="5"/>
  <c r="BU56" i="2"/>
  <c r="BU13" i="2"/>
  <c r="BU7" i="2"/>
  <c r="BU38" i="1"/>
  <c r="BU7" i="5" s="1"/>
  <c r="BU217" i="5" s="1"/>
  <c r="BU350" i="1"/>
  <c r="BU277" i="1"/>
  <c r="BU268" i="1"/>
  <c r="BU262" i="1"/>
  <c r="BU224" i="1"/>
  <c r="BU246" i="1"/>
  <c r="BU236" i="1"/>
  <c r="BU64" i="2"/>
  <c r="BU125" i="2" s="1"/>
  <c r="BU285" i="2"/>
  <c r="BU240" i="2"/>
  <c r="BU105" i="2"/>
  <c r="BU99" i="2"/>
  <c r="BU85" i="2"/>
  <c r="BU130" i="1"/>
  <c r="BU21" i="1"/>
  <c r="BU18" i="1"/>
  <c r="BU45" i="1"/>
  <c r="BU53" i="1"/>
  <c r="BU54" i="1" s="1"/>
  <c r="BU198" i="2"/>
  <c r="BU166" i="2"/>
  <c r="BU115" i="2" s="1"/>
  <c r="BT308" i="2"/>
  <c r="BT285" i="2"/>
  <c r="BT212" i="2"/>
  <c r="BT104" i="2" s="1"/>
  <c r="BT210" i="2"/>
  <c r="BT266" i="2"/>
  <c r="BT264" i="2"/>
  <c r="BS240" i="2"/>
  <c r="BT56" i="2"/>
  <c r="BT13" i="2"/>
  <c r="BT41" i="2" s="1"/>
  <c r="BT7" i="2"/>
  <c r="BT299" i="5"/>
  <c r="BT298" i="5"/>
  <c r="AD12" i="6" s="1"/>
  <c r="BT291" i="5"/>
  <c r="BT287" i="5"/>
  <c r="BT279" i="5"/>
  <c r="BT280" i="5" s="1"/>
  <c r="BT277" i="5"/>
  <c r="BT229" i="5"/>
  <c r="BT201" i="5"/>
  <c r="BT197" i="5"/>
  <c r="BT63" i="5" s="1"/>
  <c r="BT81" i="5" s="1"/>
  <c r="BT175" i="5"/>
  <c r="BT174" i="5"/>
  <c r="BT21" i="1"/>
  <c r="BT23" i="1" s="1"/>
  <c r="BT18" i="1"/>
  <c r="BT38" i="1"/>
  <c r="BT136" i="1"/>
  <c r="BT42" i="5" s="1"/>
  <c r="BT378" i="1"/>
  <c r="BT363" i="1" s="1"/>
  <c r="BT350" i="1"/>
  <c r="BT277" i="1"/>
  <c r="BT259" i="1" s="1"/>
  <c r="BT268" i="1"/>
  <c r="BT262" i="1"/>
  <c r="BT246" i="1"/>
  <c r="BT236" i="1"/>
  <c r="BS236" i="1"/>
  <c r="BT224" i="1"/>
  <c r="BT321" i="1" s="1"/>
  <c r="BT130" i="1"/>
  <c r="BT77" i="1"/>
  <c r="BT76" i="1"/>
  <c r="BT75" i="1"/>
  <c r="BT86" i="1"/>
  <c r="BT85" i="1"/>
  <c r="BT84" i="1"/>
  <c r="BT53" i="1"/>
  <c r="BT54" i="1" s="1"/>
  <c r="BT55" i="1" s="1"/>
  <c r="BT45" i="1"/>
  <c r="CL38" i="2"/>
  <c r="BT80" i="1"/>
  <c r="H16" i="10"/>
  <c r="DL32" i="5"/>
  <c r="DL48" i="5" s="1"/>
  <c r="DN32" i="5"/>
  <c r="DN48" i="5" s="1"/>
  <c r="DM32" i="5"/>
  <c r="DM48" i="5" s="1"/>
  <c r="AH4" i="6"/>
  <c r="AI4" i="6"/>
  <c r="AJ4" i="6"/>
  <c r="AK4" i="6"/>
  <c r="AL4" i="6"/>
  <c r="AM4" i="6"/>
  <c r="AN4" i="6"/>
  <c r="AC12" i="6"/>
  <c r="BS307" i="5" s="1"/>
  <c r="DK307" i="5" s="1"/>
  <c r="AC19" i="6"/>
  <c r="BS327" i="5" s="1"/>
  <c r="AC42" i="6"/>
  <c r="AJ42" i="6"/>
  <c r="AK42" i="6" s="1"/>
  <c r="AL42" i="6" s="1"/>
  <c r="AM42" i="6" s="1"/>
  <c r="AN42" i="6" s="1"/>
  <c r="AO42" i="6" s="1"/>
  <c r="AP42" i="6" s="1"/>
  <c r="AQ42" i="6" s="1"/>
  <c r="AR42" i="6" s="1"/>
  <c r="AS42" i="6" s="1"/>
  <c r="AT42" i="6" s="1"/>
  <c r="AU42" i="6" s="1"/>
  <c r="AV42" i="6" s="1"/>
  <c r="AC43" i="6"/>
  <c r="AC44" i="6"/>
  <c r="AD44" i="6" s="1"/>
  <c r="AE44" i="6" s="1"/>
  <c r="AF44" i="6" s="1"/>
  <c r="AG44" i="6" s="1"/>
  <c r="AH44" i="6" s="1"/>
  <c r="AI44" i="6" s="1"/>
  <c r="AE46" i="6"/>
  <c r="AF46" i="6"/>
  <c r="AC47" i="6"/>
  <c r="BF61" i="6"/>
  <c r="AE62" i="6"/>
  <c r="AF62" i="6" s="1"/>
  <c r="AC69" i="6"/>
  <c r="AC70" i="6"/>
  <c r="AC73" i="6"/>
  <c r="BE61" i="6"/>
  <c r="BE69" i="6" s="1"/>
  <c r="BE52" i="6"/>
  <c r="BE44" i="6"/>
  <c r="BE43" i="6"/>
  <c r="DN93" i="2"/>
  <c r="DN233" i="2"/>
  <c r="DM93" i="2"/>
  <c r="DM72" i="2" s="1"/>
  <c r="DM233" i="2"/>
  <c r="DN185" i="5"/>
  <c r="DN201" i="5" s="1"/>
  <c r="DR201" i="5"/>
  <c r="DR82" i="5"/>
  <c r="DR74" i="5"/>
  <c r="DR49" i="5"/>
  <c r="DR48" i="5"/>
  <c r="DN124" i="5"/>
  <c r="DN116" i="5"/>
  <c r="DN147" i="5" s="1"/>
  <c r="DM124" i="5"/>
  <c r="DM116" i="5"/>
  <c r="DM147" i="5" s="1"/>
  <c r="DN193" i="5"/>
  <c r="DN33" i="5"/>
  <c r="DN82" i="5"/>
  <c r="DN74" i="5"/>
  <c r="DN49" i="5"/>
  <c r="DM193" i="5"/>
  <c r="DM33" i="5"/>
  <c r="DM82" i="5"/>
  <c r="DM74" i="5"/>
  <c r="DM49" i="5"/>
  <c r="DS321" i="1"/>
  <c r="DS263" i="1"/>
  <c r="CD72" i="2"/>
  <c r="CC72" i="2"/>
  <c r="CB72" i="2"/>
  <c r="CA72" i="2"/>
  <c r="BY72" i="2"/>
  <c r="BX72" i="2"/>
  <c r="BW72" i="2"/>
  <c r="BS11" i="5"/>
  <c r="BS12" i="5"/>
  <c r="BS13" i="5"/>
  <c r="BS19" i="5"/>
  <c r="BS74" i="5"/>
  <c r="BT74" i="5"/>
  <c r="BU74" i="5"/>
  <c r="BV74" i="5"/>
  <c r="BS82" i="5"/>
  <c r="BT82" i="5"/>
  <c r="BU82" i="5"/>
  <c r="BV82" i="5"/>
  <c r="BS89" i="5"/>
  <c r="BS96" i="5"/>
  <c r="BS108" i="5"/>
  <c r="BS174" i="5"/>
  <c r="BS175" i="5"/>
  <c r="BS188" i="5"/>
  <c r="BT188" i="5"/>
  <c r="BS197" i="5"/>
  <c r="BS63" i="5" s="1"/>
  <c r="BS81" i="5" s="1"/>
  <c r="BS201" i="5"/>
  <c r="BS229" i="5"/>
  <c r="BS277" i="5"/>
  <c r="BS279" i="5"/>
  <c r="BS284" i="5"/>
  <c r="BS287" i="5"/>
  <c r="BS291" i="5"/>
  <c r="BS298" i="5"/>
  <c r="BS299" i="5"/>
  <c r="CA201" i="5"/>
  <c r="CD82" i="5"/>
  <c r="CC82" i="5"/>
  <c r="CB82" i="5"/>
  <c r="CA82" i="5"/>
  <c r="BZ82" i="5"/>
  <c r="BY82" i="5"/>
  <c r="BX82" i="5"/>
  <c r="BW82" i="5"/>
  <c r="CD74" i="5"/>
  <c r="CC74" i="5"/>
  <c r="CB74" i="5"/>
  <c r="CA74" i="5"/>
  <c r="BZ74" i="5"/>
  <c r="BY74" i="5"/>
  <c r="BX74" i="5"/>
  <c r="BW74" i="5"/>
  <c r="CA307" i="1"/>
  <c r="CA12" i="5"/>
  <c r="BG160" i="6"/>
  <c r="BF160" i="6"/>
  <c r="BZ2" i="1"/>
  <c r="BZ2" i="2" s="1"/>
  <c r="AG97" i="6"/>
  <c r="AG106" i="6" s="1"/>
  <c r="AH97" i="6"/>
  <c r="AH106" i="6" s="1"/>
  <c r="AH88" i="6" s="1"/>
  <c r="DN115" i="5"/>
  <c r="BZ284" i="5"/>
  <c r="BZ331" i="5"/>
  <c r="BZ311" i="5"/>
  <c r="AJ117" i="6"/>
  <c r="BZ304" i="2"/>
  <c r="BZ286" i="2"/>
  <c r="AI117" i="6"/>
  <c r="AI90" i="6" s="1"/>
  <c r="AI118" i="6"/>
  <c r="AI91" i="6" s="1"/>
  <c r="AI97" i="6"/>
  <c r="AJ97" i="6" s="1"/>
  <c r="AI98" i="6"/>
  <c r="AI107" i="6" s="1"/>
  <c r="AI89" i="6" s="1"/>
  <c r="AI100" i="6"/>
  <c r="AJ100" i="6" s="1"/>
  <c r="AK100" i="6" s="1"/>
  <c r="AL100" i="6" s="1"/>
  <c r="AI99" i="6"/>
  <c r="AJ99" i="6" s="1"/>
  <c r="AK99" i="6" s="1"/>
  <c r="BY331" i="5"/>
  <c r="BY96" i="2"/>
  <c r="BY311" i="5"/>
  <c r="BY304" i="2"/>
  <c r="BY286" i="2"/>
  <c r="BY284" i="5"/>
  <c r="AH148" i="6"/>
  <c r="AH147" i="6"/>
  <c r="AH153" i="6"/>
  <c r="AH146" i="6"/>
  <c r="AH152" i="6"/>
  <c r="AH150" i="6"/>
  <c r="AH151" i="6"/>
  <c r="AH149" i="6"/>
  <c r="AI152" i="6"/>
  <c r="AI148" i="6"/>
  <c r="AI151" i="6"/>
  <c r="AI150" i="6"/>
  <c r="AI153" i="6"/>
  <c r="BX331" i="5"/>
  <c r="BX311" i="5"/>
  <c r="BX286" i="2"/>
  <c r="BX304" i="2"/>
  <c r="BX284" i="5"/>
  <c r="AG150" i="6"/>
  <c r="AG73" i="6"/>
  <c r="AG147" i="6"/>
  <c r="AG146" i="6"/>
  <c r="AG69" i="6"/>
  <c r="AG52" i="6" s="1"/>
  <c r="AG68" i="6"/>
  <c r="BW284" i="5"/>
  <c r="AG160" i="6"/>
  <c r="AG152" i="6"/>
  <c r="AG151" i="6"/>
  <c r="AG148" i="6"/>
  <c r="BW311" i="5"/>
  <c r="BW286" i="2"/>
  <c r="BW331" i="5"/>
  <c r="BW11" i="5"/>
  <c r="DM304" i="2"/>
  <c r="DL304" i="2"/>
  <c r="DN354" i="1"/>
  <c r="DO354" i="1"/>
  <c r="AH160" i="6"/>
  <c r="BW304" i="2"/>
  <c r="BZ354" i="1"/>
  <c r="CM14" i="8"/>
  <c r="BZ3" i="2" s="1"/>
  <c r="BY354" i="1"/>
  <c r="BZ96" i="2"/>
  <c r="AJ160" i="6"/>
  <c r="BX354" i="1"/>
  <c r="AI160" i="6"/>
  <c r="BW354" i="1"/>
  <c r="BG126" i="6"/>
  <c r="DM115" i="5"/>
  <c r="BW96" i="2"/>
  <c r="BX2" i="1"/>
  <c r="BX2" i="2" s="1"/>
  <c r="BY2" i="1"/>
  <c r="BY2" i="2" s="1"/>
  <c r="BW12" i="5"/>
  <c r="BW2" i="1"/>
  <c r="BW2" i="2" s="1"/>
  <c r="DN2" i="1"/>
  <c r="DM2" i="2" s="1"/>
  <c r="BX96" i="2"/>
  <c r="DM96" i="2"/>
  <c r="BX19" i="5"/>
  <c r="DO2" i="1"/>
  <c r="DN2" i="2" s="1"/>
  <c r="DM286" i="2"/>
  <c r="AH73" i="6"/>
  <c r="AI73" i="6"/>
  <c r="BF69" i="6"/>
  <c r="CA72" i="1"/>
  <c r="DN383" i="1"/>
  <c r="DL31" i="5"/>
  <c r="Q24" i="3" s="1"/>
  <c r="DO115" i="5"/>
  <c r="CL115" i="5"/>
  <c r="DP115" i="5" s="1"/>
  <c r="DR115" i="5" s="1"/>
  <c r="DS115" i="5" s="1"/>
  <c r="DT115" i="5" s="1"/>
  <c r="DU115" i="5" s="1"/>
  <c r="BW19" i="5"/>
  <c r="AJ41" i="6"/>
  <c r="AK41" i="6" s="1"/>
  <c r="AL41" i="6" s="1"/>
  <c r="BF60" i="6"/>
  <c r="BF68" i="6" s="1"/>
  <c r="AJ43" i="6"/>
  <c r="BG43" i="6" s="1"/>
  <c r="CA11" i="5"/>
  <c r="DM99" i="5"/>
  <c r="DM106" i="5"/>
  <c r="AH69" i="6"/>
  <c r="AJ61" i="6"/>
  <c r="AJ69" i="6" s="1"/>
  <c r="AJ52" i="6" s="1"/>
  <c r="BY19" i="5"/>
  <c r="AI69" i="6"/>
  <c r="AI52" i="6" s="1"/>
  <c r="AH68" i="6"/>
  <c r="AH51" i="6" s="1"/>
  <c r="DM100" i="5"/>
  <c r="BY229" i="5"/>
  <c r="DM31" i="5"/>
  <c r="R24" i="3" s="1"/>
  <c r="DN99" i="5"/>
  <c r="CA19" i="5"/>
  <c r="CB19" i="5"/>
  <c r="CB259" i="5" s="1"/>
  <c r="AJ60" i="6"/>
  <c r="BG60" i="6" s="1"/>
  <c r="BG68" i="6" s="1"/>
  <c r="AI68" i="6"/>
  <c r="AI51" i="6" s="1"/>
  <c r="BZ229" i="5"/>
  <c r="DO99" i="5"/>
  <c r="CL99" i="5"/>
  <c r="DP99" i="5" s="1"/>
  <c r="DR99" i="5" s="1"/>
  <c r="DS99" i="5" s="1"/>
  <c r="DT99" i="5" s="1"/>
  <c r="DU99" i="5" s="1"/>
  <c r="DO106" i="5"/>
  <c r="CL106" i="5"/>
  <c r="DP106" i="5" s="1"/>
  <c r="DR106" i="5" s="1"/>
  <c r="DS106" i="5" s="1"/>
  <c r="DT106" i="5" s="1"/>
  <c r="DU106" i="5" s="1"/>
  <c r="AK60" i="6"/>
  <c r="AL60" i="6" s="1"/>
  <c r="DN106" i="5"/>
  <c r="AJ68" i="6"/>
  <c r="CA229" i="5"/>
  <c r="CE19" i="5"/>
  <c r="AM60" i="6"/>
  <c r="AN60" i="6" s="1"/>
  <c r="CF19" i="5"/>
  <c r="CC229" i="5"/>
  <c r="CG19" i="5"/>
  <c r="DN100" i="5"/>
  <c r="DN31" i="5"/>
  <c r="BS161" i="2"/>
  <c r="BR161" i="2"/>
  <c r="BQ161" i="2"/>
  <c r="BP161" i="2"/>
  <c r="BO161" i="2"/>
  <c r="BN161" i="2"/>
  <c r="BM161" i="2"/>
  <c r="BL161" i="2"/>
  <c r="BK161" i="2"/>
  <c r="BJ161" i="2"/>
  <c r="J53" i="3"/>
  <c r="J54" i="3" s="1"/>
  <c r="I53" i="3"/>
  <c r="H53" i="3"/>
  <c r="G53" i="3"/>
  <c r="F53" i="3"/>
  <c r="F54" i="3" s="1"/>
  <c r="E53" i="3"/>
  <c r="D53" i="3"/>
  <c r="C53" i="3"/>
  <c r="BR19" i="5"/>
  <c r="BS285" i="2"/>
  <c r="BS270" i="2"/>
  <c r="BS265" i="2"/>
  <c r="BS85" i="2"/>
  <c r="BS56" i="2"/>
  <c r="BS7" i="2"/>
  <c r="BS350" i="1"/>
  <c r="BS277" i="1"/>
  <c r="BS268" i="1"/>
  <c r="BS262" i="1"/>
  <c r="BS265" i="1" s="1"/>
  <c r="BS246" i="1"/>
  <c r="BS224" i="1"/>
  <c r="BS130" i="1"/>
  <c r="BS132" i="1" s="1"/>
  <c r="BS86" i="1"/>
  <c r="BS85" i="1"/>
  <c r="BS84" i="1"/>
  <c r="BS77" i="1"/>
  <c r="BS76" i="1"/>
  <c r="BS75" i="1"/>
  <c r="BS53" i="1"/>
  <c r="BS54" i="1" s="1"/>
  <c r="BS45" i="1"/>
  <c r="BS21" i="1"/>
  <c r="BS23" i="1" s="1"/>
  <c r="BS18" i="1"/>
  <c r="DO100" i="5"/>
  <c r="BS166" i="2"/>
  <c r="BT203" i="2" s="1"/>
  <c r="AB19" i="6"/>
  <c r="BR327" i="5" s="1"/>
  <c r="DK327" i="5" s="1"/>
  <c r="AB12" i="6"/>
  <c r="BR307" i="5" s="1"/>
  <c r="AB47" i="6"/>
  <c r="BE47" i="6" s="1"/>
  <c r="AB46" i="6"/>
  <c r="BE46" i="6" s="1"/>
  <c r="AA78" i="6"/>
  <c r="AB42" i="6"/>
  <c r="BE42" i="6" s="1"/>
  <c r="BR7" i="1"/>
  <c r="BR11" i="1"/>
  <c r="BR287" i="5"/>
  <c r="BR174" i="5"/>
  <c r="BR372" i="1"/>
  <c r="BR373" i="1"/>
  <c r="BR277" i="1"/>
  <c r="BR262" i="1"/>
  <c r="BR268" i="1"/>
  <c r="BR246" i="1"/>
  <c r="BR236" i="1"/>
  <c r="BR224" i="1"/>
  <c r="BR321" i="1" s="1"/>
  <c r="BR233" i="1"/>
  <c r="BR285" i="2"/>
  <c r="BR64" i="2"/>
  <c r="BR125" i="2" s="1"/>
  <c r="BR56" i="2"/>
  <c r="BR7" i="2"/>
  <c r="BR240" i="2"/>
  <c r="BS246" i="2" s="1"/>
  <c r="BR163" i="2"/>
  <c r="BR166" i="2" s="1"/>
  <c r="BR115" i="2" s="1"/>
  <c r="BS242" i="2"/>
  <c r="BV175" i="5"/>
  <c r="BR175" i="5"/>
  <c r="DO383" i="1"/>
  <c r="BR13" i="2"/>
  <c r="BR16" i="2" s="1"/>
  <c r="BR17" i="2" s="1"/>
  <c r="BR11" i="5"/>
  <c r="BR12" i="5"/>
  <c r="BR13" i="5"/>
  <c r="BR130" i="1"/>
  <c r="BR86" i="1"/>
  <c r="BR85" i="1"/>
  <c r="BR77" i="1"/>
  <c r="BR76" i="1"/>
  <c r="BR53" i="1"/>
  <c r="BR54" i="1" s="1"/>
  <c r="BR45" i="1"/>
  <c r="BR36" i="1"/>
  <c r="BR32" i="1"/>
  <c r="BR277" i="5"/>
  <c r="BB96" i="2"/>
  <c r="BA96" i="2"/>
  <c r="AZ96" i="2"/>
  <c r="AY96" i="2"/>
  <c r="AX96" i="2"/>
  <c r="AW96" i="2"/>
  <c r="AV96" i="2"/>
  <c r="AU96" i="2"/>
  <c r="AT96" i="2"/>
  <c r="AS96" i="2"/>
  <c r="AR96" i="2"/>
  <c r="AQ96" i="2"/>
  <c r="BN163" i="2"/>
  <c r="BQ163" i="2"/>
  <c r="BQ166" i="2" s="1"/>
  <c r="BR203" i="2" s="1"/>
  <c r="BQ240" i="2"/>
  <c r="BP240" i="2"/>
  <c r="DI213" i="2"/>
  <c r="DJ209" i="2" s="1"/>
  <c r="DF218" i="2"/>
  <c r="DE218" i="2"/>
  <c r="BP266" i="2"/>
  <c r="BP264" i="2"/>
  <c r="BP212" i="2"/>
  <c r="BP210" i="2"/>
  <c r="BO270" i="2"/>
  <c r="AA152" i="6"/>
  <c r="AA46" i="6"/>
  <c r="AA42" i="6"/>
  <c r="AA40" i="6" s="1"/>
  <c r="BP327" i="5"/>
  <c r="BQ327" i="5"/>
  <c r="BQ307" i="5"/>
  <c r="BQ299" i="5"/>
  <c r="BQ298" i="5"/>
  <c r="BQ291" i="5"/>
  <c r="BQ287" i="5"/>
  <c r="BP197" i="5"/>
  <c r="BP63" i="5" s="1"/>
  <c r="BP81" i="5" s="1"/>
  <c r="BQ197" i="5"/>
  <c r="BQ63" i="5" s="1"/>
  <c r="BQ81" i="5" s="1"/>
  <c r="BQ174" i="5"/>
  <c r="BQ175" i="5"/>
  <c r="BQ11" i="5"/>
  <c r="BQ12" i="5"/>
  <c r="BQ13" i="5"/>
  <c r="BQ284" i="2"/>
  <c r="BQ285" i="2" s="1"/>
  <c r="BQ198" i="2"/>
  <c r="BQ99" i="2"/>
  <c r="BQ105" i="2"/>
  <c r="BQ56" i="2"/>
  <c r="BQ7" i="2"/>
  <c r="BQ378" i="1"/>
  <c r="BQ363" i="1" s="1"/>
  <c r="BQ277" i="1"/>
  <c r="BQ246" i="1"/>
  <c r="BP246" i="1"/>
  <c r="BQ236" i="1"/>
  <c r="BP236" i="1"/>
  <c r="BO236" i="1"/>
  <c r="BQ224" i="1"/>
  <c r="BQ233" i="1" s="1"/>
  <c r="BQ268" i="1"/>
  <c r="BQ380" i="1" s="1"/>
  <c r="BQ262" i="1"/>
  <c r="BQ130" i="1"/>
  <c r="BQ77" i="1"/>
  <c r="BQ76" i="1"/>
  <c r="BQ75" i="1"/>
  <c r="BQ86" i="1"/>
  <c r="BQ85" i="1"/>
  <c r="BQ84" i="1"/>
  <c r="BQ53" i="1"/>
  <c r="BQ45" i="1"/>
  <c r="BQ21" i="1"/>
  <c r="BQ23" i="1" s="1"/>
  <c r="BQ18" i="1"/>
  <c r="BQ20" i="1" s="1"/>
  <c r="DJ67" i="5"/>
  <c r="DL49" i="5"/>
  <c r="DK49" i="5"/>
  <c r="DJ49" i="5"/>
  <c r="DI49" i="5"/>
  <c r="DH49" i="5"/>
  <c r="DG49" i="5"/>
  <c r="DF49" i="5"/>
  <c r="DE49" i="5"/>
  <c r="DE48" i="5"/>
  <c r="DI42" i="5"/>
  <c r="DH42" i="5"/>
  <c r="DG42" i="5"/>
  <c r="DF42" i="5"/>
  <c r="DE42" i="5"/>
  <c r="DL33" i="5"/>
  <c r="CX195" i="5"/>
  <c r="CY195" i="5"/>
  <c r="CZ195" i="5"/>
  <c r="BP285" i="2"/>
  <c r="BO285" i="2"/>
  <c r="BN285" i="2"/>
  <c r="BM285" i="2"/>
  <c r="BL285" i="2"/>
  <c r="BK285" i="2"/>
  <c r="BI285" i="2"/>
  <c r="BH285" i="2"/>
  <c r="BG285" i="2"/>
  <c r="DJ122" i="5"/>
  <c r="DJ308" i="2" s="1"/>
  <c r="BK307" i="2"/>
  <c r="DJ307" i="2" s="1"/>
  <c r="DJ44" i="5" s="1"/>
  <c r="BK44" i="5"/>
  <c r="DJ18" i="5"/>
  <c r="DJ60" i="5" s="1"/>
  <c r="BP308" i="2"/>
  <c r="BO308" i="2"/>
  <c r="BP297" i="2"/>
  <c r="BO130" i="1"/>
  <c r="BN130" i="1"/>
  <c r="BM130" i="1"/>
  <c r="BL130" i="1"/>
  <c r="BL132" i="1" s="1"/>
  <c r="BL41" i="5" s="1"/>
  <c r="BK130" i="1"/>
  <c r="BK132" i="1" s="1"/>
  <c r="BJ130" i="1"/>
  <c r="BJ132" i="1" s="1"/>
  <c r="BI130" i="1"/>
  <c r="BH130" i="1"/>
  <c r="BH132" i="1" s="1"/>
  <c r="BH41" i="5" s="1"/>
  <c r="BG130" i="1"/>
  <c r="BG132" i="1" s="1"/>
  <c r="BG41" i="5" s="1"/>
  <c r="BG51" i="5" s="1"/>
  <c r="BG75" i="5" s="1"/>
  <c r="BF130" i="1"/>
  <c r="BF132" i="1" s="1"/>
  <c r="BE130" i="1"/>
  <c r="BE132" i="1" s="1"/>
  <c r="BD130" i="1"/>
  <c r="DI130" i="1" s="1"/>
  <c r="DI89" i="1" s="1"/>
  <c r="BC130" i="1"/>
  <c r="BC132" i="1" s="1"/>
  <c r="BB130" i="1"/>
  <c r="BA130" i="1"/>
  <c r="AZ130" i="1"/>
  <c r="AZ132" i="1"/>
  <c r="AZ41" i="5" s="1"/>
  <c r="AZ51" i="5" s="1"/>
  <c r="AZ75" i="5" s="1"/>
  <c r="AY130" i="1"/>
  <c r="AY132" i="1" s="1"/>
  <c r="AY41" i="5" s="1"/>
  <c r="AY168" i="5" s="1"/>
  <c r="AX130" i="1"/>
  <c r="AX132" i="1" s="1"/>
  <c r="AW130" i="1"/>
  <c r="AW132" i="1" s="1"/>
  <c r="AV130" i="1"/>
  <c r="AV132" i="1" s="1"/>
  <c r="AU130" i="1"/>
  <c r="AS130" i="1"/>
  <c r="AS132" i="1" s="1"/>
  <c r="AR130" i="1"/>
  <c r="AR132" i="1"/>
  <c r="AR41" i="5" s="1"/>
  <c r="AR168" i="5" s="1"/>
  <c r="AQ130" i="1"/>
  <c r="AQ132" i="1" s="1"/>
  <c r="DK33" i="5"/>
  <c r="DJ33" i="5"/>
  <c r="DI33" i="5"/>
  <c r="DH33" i="5"/>
  <c r="DG33" i="5"/>
  <c r="DF33" i="5"/>
  <c r="DK32" i="5"/>
  <c r="DK48" i="5" s="1"/>
  <c r="DJ32" i="5"/>
  <c r="DJ48" i="5" s="1"/>
  <c r="DI32" i="5"/>
  <c r="DI48" i="5" s="1"/>
  <c r="DH32" i="5"/>
  <c r="DH48" i="5" s="1"/>
  <c r="DG32" i="5"/>
  <c r="DG48" i="5" s="1"/>
  <c r="DF32" i="5"/>
  <c r="DF48" i="5" s="1"/>
  <c r="DL321" i="2"/>
  <c r="O3" i="3"/>
  <c r="DL241" i="1"/>
  <c r="DK241" i="1"/>
  <c r="DJ241" i="1"/>
  <c r="DI241" i="1"/>
  <c r="DH241" i="1"/>
  <c r="DF241" i="1"/>
  <c r="DL239" i="1"/>
  <c r="DK239" i="1"/>
  <c r="DJ239" i="1"/>
  <c r="DI239" i="1"/>
  <c r="DJ240" i="1" s="1"/>
  <c r="DH239" i="1"/>
  <c r="DF239" i="1"/>
  <c r="BO404" i="1"/>
  <c r="BN404" i="1"/>
  <c r="BM404" i="1"/>
  <c r="BL404" i="1"/>
  <c r="BK404" i="1"/>
  <c r="BJ404" i="1"/>
  <c r="BI404" i="1"/>
  <c r="BH404" i="1"/>
  <c r="BG404" i="1"/>
  <c r="BF404" i="1"/>
  <c r="BE404" i="1"/>
  <c r="BD404" i="1"/>
  <c r="BO403" i="1"/>
  <c r="BN403" i="1"/>
  <c r="BM403" i="1"/>
  <c r="BL403" i="1"/>
  <c r="BK403" i="1"/>
  <c r="BJ403" i="1"/>
  <c r="BI403" i="1"/>
  <c r="BH403" i="1"/>
  <c r="BG403" i="1"/>
  <c r="BP13" i="1"/>
  <c r="BO13" i="1"/>
  <c r="BN13" i="1"/>
  <c r="BM13" i="1"/>
  <c r="BL13" i="1"/>
  <c r="BK13" i="1"/>
  <c r="BJ13" i="1"/>
  <c r="BI13" i="1"/>
  <c r="BH13" i="1"/>
  <c r="BG13" i="1"/>
  <c r="BO9" i="1"/>
  <c r="BN9" i="1"/>
  <c r="BM9" i="1"/>
  <c r="BL9" i="1"/>
  <c r="BK9" i="1"/>
  <c r="BJ9" i="1"/>
  <c r="BI9" i="1"/>
  <c r="BH9" i="1"/>
  <c r="BG9" i="1"/>
  <c r="BP9" i="1"/>
  <c r="BL136" i="1"/>
  <c r="BL42" i="5" s="1"/>
  <c r="BO136" i="1"/>
  <c r="CB312" i="2"/>
  <c r="CA312" i="2"/>
  <c r="CC312" i="2"/>
  <c r="CD312" i="2"/>
  <c r="Z133" i="6"/>
  <c r="Z126" i="6"/>
  <c r="AB121" i="6"/>
  <c r="AC121" i="6" s="1"/>
  <c r="AD121" i="6" s="1"/>
  <c r="AE121" i="6" s="1"/>
  <c r="AF121" i="6" s="1"/>
  <c r="AG121" i="6" s="1"/>
  <c r="AH121" i="6" s="1"/>
  <c r="AI121" i="6" s="1"/>
  <c r="AJ121" i="6" s="1"/>
  <c r="AK121" i="6" s="1"/>
  <c r="AL121" i="6" s="1"/>
  <c r="AM121" i="6" s="1"/>
  <c r="AN121" i="6" s="1"/>
  <c r="AO121" i="6" s="1"/>
  <c r="AP121" i="6" s="1"/>
  <c r="AQ121" i="6" s="1"/>
  <c r="AR121" i="6" s="1"/>
  <c r="AS121" i="6" s="1"/>
  <c r="AT121" i="6" s="1"/>
  <c r="AU121" i="6" s="1"/>
  <c r="AV121" i="6" s="1"/>
  <c r="Z85" i="6"/>
  <c r="Z103" i="6" s="1"/>
  <c r="Z112" i="6" s="1"/>
  <c r="Z84" i="6"/>
  <c r="Z102" i="6" s="1"/>
  <c r="Z111" i="6" s="1"/>
  <c r="Z93" i="6" s="1"/>
  <c r="Z83" i="6"/>
  <c r="Z101" i="6" s="1"/>
  <c r="Z110" i="6" s="1"/>
  <c r="Z92" i="6" s="1"/>
  <c r="Z82" i="6"/>
  <c r="Z100" i="6" s="1"/>
  <c r="Z109" i="6" s="1"/>
  <c r="Z91" i="6" s="1"/>
  <c r="Z81" i="6"/>
  <c r="Z99" i="6" s="1"/>
  <c r="Z108" i="6" s="1"/>
  <c r="Z80" i="6"/>
  <c r="Z98" i="6" s="1"/>
  <c r="Z107" i="6" s="1"/>
  <c r="Z89" i="6" s="1"/>
  <c r="Z79" i="6"/>
  <c r="Z97" i="6" s="1"/>
  <c r="BF4" i="6"/>
  <c r="BG4" i="6" s="1"/>
  <c r="BH4" i="6" s="1"/>
  <c r="BI4" i="6" s="1"/>
  <c r="BJ4" i="6" s="1"/>
  <c r="BK4" i="6" s="1"/>
  <c r="BL4" i="6" s="1"/>
  <c r="BM4" i="6" s="1"/>
  <c r="BN4" i="6" s="1"/>
  <c r="BO4" i="6" s="1"/>
  <c r="AF4" i="6"/>
  <c r="AE4" i="6"/>
  <c r="AD4" i="6"/>
  <c r="AC4" i="6"/>
  <c r="AB4" i="6"/>
  <c r="AA4" i="6"/>
  <c r="AB63" i="6"/>
  <c r="AC63" i="6"/>
  <c r="AD63" i="6" s="1"/>
  <c r="AE63" i="6" s="1"/>
  <c r="AE71" i="6" s="1"/>
  <c r="BE62" i="6"/>
  <c r="BE70" i="6" s="1"/>
  <c r="AB60" i="6"/>
  <c r="AC60" i="6" s="1"/>
  <c r="AC68" i="6" s="1"/>
  <c r="Z46" i="6"/>
  <c r="Z45" i="6"/>
  <c r="AB45" i="6"/>
  <c r="AC45" i="6" s="1"/>
  <c r="AD45" i="6" s="1"/>
  <c r="AE45" i="6" s="1"/>
  <c r="AF45" i="6" s="1"/>
  <c r="BF45" i="6" s="1"/>
  <c r="Z42" i="6"/>
  <c r="BQ96" i="2"/>
  <c r="BP96" i="2"/>
  <c r="BR2" i="1"/>
  <c r="BR2" i="2" s="1"/>
  <c r="CE312" i="2"/>
  <c r="BV286" i="2"/>
  <c r="AF69" i="6"/>
  <c r="AF68" i="6"/>
  <c r="AF147" i="6"/>
  <c r="AF146" i="6"/>
  <c r="AF152" i="6"/>
  <c r="AF151" i="6"/>
  <c r="AF73" i="6"/>
  <c r="AF150" i="6"/>
  <c r="BV284" i="5"/>
  <c r="BV331" i="5"/>
  <c r="BV311" i="5"/>
  <c r="AE148" i="6"/>
  <c r="AE147" i="6"/>
  <c r="AE146" i="6"/>
  <c r="AE152" i="6"/>
  <c r="AE160" i="6"/>
  <c r="BU304" i="2"/>
  <c r="AE151" i="6"/>
  <c r="AE149" i="6"/>
  <c r="AE150" i="6"/>
  <c r="BT304" i="2"/>
  <c r="AD160" i="6"/>
  <c r="BT354" i="1"/>
  <c r="CG14" i="8"/>
  <c r="BT3" i="2" s="1"/>
  <c r="CI14" i="8"/>
  <c r="BV3" i="2" s="1"/>
  <c r="CL14" i="8"/>
  <c r="BY3" i="2" s="1"/>
  <c r="CK14" i="8"/>
  <c r="BX3" i="2" s="1"/>
  <c r="CJ14" i="8"/>
  <c r="BW3" i="2" s="1"/>
  <c r="CH14" i="8"/>
  <c r="BU3" i="2" s="1"/>
  <c r="AF160" i="6"/>
  <c r="BV304" i="2"/>
  <c r="AD73" i="6"/>
  <c r="AD70" i="6"/>
  <c r="AD69" i="6"/>
  <c r="AD52" i="6" s="1"/>
  <c r="AD146" i="6"/>
  <c r="AD71" i="6"/>
  <c r="BU354" i="1"/>
  <c r="BU2" i="1"/>
  <c r="BU2" i="2" s="1"/>
  <c r="BU286" i="2"/>
  <c r="BU311" i="5"/>
  <c r="BU331" i="5"/>
  <c r="BU284" i="5"/>
  <c r="BT286" i="2"/>
  <c r="BT284" i="5"/>
  <c r="BT331" i="5"/>
  <c r="BT311" i="5"/>
  <c r="AE69" i="6"/>
  <c r="AE52" i="6" s="1"/>
  <c r="AE73" i="6"/>
  <c r="AE68" i="6"/>
  <c r="AC146" i="6"/>
  <c r="BS286" i="2"/>
  <c r="BS311" i="5"/>
  <c r="BS331" i="5"/>
  <c r="BS354" i="1"/>
  <c r="BS2" i="1"/>
  <c r="BS2" i="2" s="1"/>
  <c r="BR96" i="2"/>
  <c r="BR284" i="5"/>
  <c r="BR286" i="2"/>
  <c r="AB73" i="6"/>
  <c r="AB56" i="6" s="1"/>
  <c r="BE56" i="6" s="1"/>
  <c r="BR311" i="5"/>
  <c r="BR331" i="5"/>
  <c r="DE286" i="2"/>
  <c r="DE96" i="2"/>
  <c r="DJ286" i="2"/>
  <c r="DJ96" i="2"/>
  <c r="BV96" i="2"/>
  <c r="DG286" i="2"/>
  <c r="DG96" i="2"/>
  <c r="DF286" i="2"/>
  <c r="DF96" i="2"/>
  <c r="DK286" i="2"/>
  <c r="DK96" i="2"/>
  <c r="BO96" i="2"/>
  <c r="BS96" i="2"/>
  <c r="DH286" i="2"/>
  <c r="DH96" i="2"/>
  <c r="DL286" i="2"/>
  <c r="DL96" i="2"/>
  <c r="BT96" i="2"/>
  <c r="DI286" i="2"/>
  <c r="DI96" i="2"/>
  <c r="BU96" i="2"/>
  <c r="BP331" i="5"/>
  <c r="BP311" i="5"/>
  <c r="BQ331" i="5"/>
  <c r="AA146" i="6"/>
  <c r="BQ286" i="2"/>
  <c r="BQ311" i="5"/>
  <c r="BQ284" i="5"/>
  <c r="BE126" i="6"/>
  <c r="Z68" i="6"/>
  <c r="Z70" i="6"/>
  <c r="Z53" i="6" s="1"/>
  <c r="Z71" i="6"/>
  <c r="Z72" i="6"/>
  <c r="AB71" i="6"/>
  <c r="AA72" i="6"/>
  <c r="Z146" i="6"/>
  <c r="Z67" i="6"/>
  <c r="Z50" i="6" s="1"/>
  <c r="AB146" i="6"/>
  <c r="AC120" i="6"/>
  <c r="AD120" i="6" s="1"/>
  <c r="AE120" i="6" s="1"/>
  <c r="AF120" i="6" s="1"/>
  <c r="BF120" i="6" s="1"/>
  <c r="BG120" i="6" s="1"/>
  <c r="BH120" i="6" s="1"/>
  <c r="BI120" i="6" s="1"/>
  <c r="BJ120" i="6" s="1"/>
  <c r="BK120" i="6" s="1"/>
  <c r="BL120" i="6" s="1"/>
  <c r="BM120" i="6" s="1"/>
  <c r="BN120" i="6" s="1"/>
  <c r="BO120" i="6" s="1"/>
  <c r="BE120" i="6"/>
  <c r="AB115" i="6"/>
  <c r="BE115" i="6" s="1"/>
  <c r="AA70" i="6"/>
  <c r="AA53" i="6" s="1"/>
  <c r="BE63" i="6"/>
  <c r="BE71" i="6" s="1"/>
  <c r="AB70" i="6"/>
  <c r="AB53" i="6" s="1"/>
  <c r="AA68" i="6"/>
  <c r="AA71" i="6"/>
  <c r="AA54" i="6" s="1"/>
  <c r="BE116" i="6"/>
  <c r="AC116" i="6"/>
  <c r="AB118" i="6"/>
  <c r="AC118" i="6" s="1"/>
  <c r="AD118" i="6" s="1"/>
  <c r="AE118" i="6" s="1"/>
  <c r="AF118" i="6" s="1"/>
  <c r="AB64" i="6"/>
  <c r="AA67" i="6"/>
  <c r="AA50" i="6" s="1"/>
  <c r="AB59" i="6"/>
  <c r="AB67" i="6" s="1"/>
  <c r="AB50" i="6" s="1"/>
  <c r="AC59" i="6"/>
  <c r="AC67" i="6" s="1"/>
  <c r="AC50" i="6" s="1"/>
  <c r="BE41" i="6"/>
  <c r="BO323" i="5"/>
  <c r="BO324" i="5" s="1"/>
  <c r="BM96" i="2"/>
  <c r="BK96" i="2"/>
  <c r="BJ96" i="2"/>
  <c r="BI96" i="2"/>
  <c r="BH96" i="2"/>
  <c r="BG96" i="2"/>
  <c r="BF96" i="2"/>
  <c r="BE96" i="2"/>
  <c r="BD96" i="2"/>
  <c r="BC96" i="2"/>
  <c r="BR321" i="5"/>
  <c r="BS321" i="5" s="1"/>
  <c r="BT321" i="5" s="1"/>
  <c r="BU321" i="5" s="1"/>
  <c r="BP307" i="5"/>
  <c r="Z4" i="6"/>
  <c r="BM323" i="5"/>
  <c r="BM324" i="5" s="1"/>
  <c r="BN323" i="5"/>
  <c r="BN324" i="5" s="1"/>
  <c r="BN96" i="2"/>
  <c r="BL323" i="5"/>
  <c r="BL324" i="5" s="1"/>
  <c r="BL96" i="2"/>
  <c r="AA106" i="6"/>
  <c r="AA88" i="6" s="1"/>
  <c r="BE133" i="6"/>
  <c r="AC119" i="6"/>
  <c r="AD119" i="6" s="1"/>
  <c r="AE119" i="6" s="1"/>
  <c r="AF119" i="6" s="1"/>
  <c r="AG119" i="6" s="1"/>
  <c r="AH119" i="6" s="1"/>
  <c r="AI119" i="6" s="1"/>
  <c r="AJ119" i="6" s="1"/>
  <c r="AK119" i="6" s="1"/>
  <c r="AL119" i="6" s="1"/>
  <c r="AM119" i="6" s="1"/>
  <c r="AN119" i="6" s="1"/>
  <c r="AO119" i="6" s="1"/>
  <c r="AP119" i="6" s="1"/>
  <c r="AQ119" i="6" s="1"/>
  <c r="AR119" i="6" s="1"/>
  <c r="AS119" i="6" s="1"/>
  <c r="AT119" i="6" s="1"/>
  <c r="AU119" i="6" s="1"/>
  <c r="AV119" i="6" s="1"/>
  <c r="BE117" i="6"/>
  <c r="AC117" i="6"/>
  <c r="AD117" i="6" s="1"/>
  <c r="AE117" i="6" s="1"/>
  <c r="AF117" i="6" s="1"/>
  <c r="BE119" i="6"/>
  <c r="AC115" i="6"/>
  <c r="AD115" i="6" s="1"/>
  <c r="AE115" i="6" s="1"/>
  <c r="AD116" i="6"/>
  <c r="AE116" i="6" s="1"/>
  <c r="AF116" i="6" s="1"/>
  <c r="BF116" i="6" s="1"/>
  <c r="BG116" i="6" s="1"/>
  <c r="BH116" i="6" s="1"/>
  <c r="BI116" i="6" s="1"/>
  <c r="BJ116" i="6" s="1"/>
  <c r="BK116" i="6" s="1"/>
  <c r="BL116" i="6" s="1"/>
  <c r="BM116" i="6" s="1"/>
  <c r="BN116" i="6" s="1"/>
  <c r="BO116" i="6" s="1"/>
  <c r="BE118" i="6"/>
  <c r="AC152" i="6"/>
  <c r="AB152" i="6"/>
  <c r="AD152" i="6"/>
  <c r="BF115" i="6"/>
  <c r="BG115" i="6" s="1"/>
  <c r="BH115" i="6" s="1"/>
  <c r="BI115" i="6" s="1"/>
  <c r="BJ115" i="6" s="1"/>
  <c r="BK115" i="6" s="1"/>
  <c r="BL115" i="6" s="1"/>
  <c r="BM115" i="6" s="1"/>
  <c r="BN115" i="6" s="1"/>
  <c r="BO115" i="6" s="1"/>
  <c r="BF41" i="6"/>
  <c r="AJ115" i="6"/>
  <c r="AK115" i="6"/>
  <c r="AL115" i="6" s="1"/>
  <c r="AM115" i="6" s="1"/>
  <c r="AN115" i="6" s="1"/>
  <c r="AO115" i="6" s="1"/>
  <c r="AP115" i="6" s="1"/>
  <c r="AQ115" i="6" s="1"/>
  <c r="AR115" i="6" s="1"/>
  <c r="AS115" i="6" s="1"/>
  <c r="AT115" i="6" s="1"/>
  <c r="AU115" i="6" s="1"/>
  <c r="AV115" i="6" s="1"/>
  <c r="AJ116" i="6"/>
  <c r="AK116" i="6" s="1"/>
  <c r="AL116" i="6" s="1"/>
  <c r="AM116" i="6" s="1"/>
  <c r="AN116" i="6" s="1"/>
  <c r="AO116" i="6" s="1"/>
  <c r="AP116" i="6" s="1"/>
  <c r="AQ116" i="6" s="1"/>
  <c r="AR116" i="6" s="1"/>
  <c r="AS116" i="6" s="1"/>
  <c r="AT116" i="6" s="1"/>
  <c r="AU116" i="6" s="1"/>
  <c r="AV116" i="6" s="1"/>
  <c r="BP287" i="5"/>
  <c r="BP291" i="5"/>
  <c r="BP298" i="5"/>
  <c r="BP299" i="5"/>
  <c r="BP174" i="5"/>
  <c r="BP19" i="5"/>
  <c r="BP13" i="5"/>
  <c r="BP12" i="5"/>
  <c r="BP11" i="5"/>
  <c r="BP198" i="2"/>
  <c r="BP99" i="2"/>
  <c r="BP105" i="2"/>
  <c r="BP85" i="2"/>
  <c r="BP64" i="2"/>
  <c r="BP277" i="1"/>
  <c r="BP268" i="1"/>
  <c r="BP271" i="1" s="1"/>
  <c r="BP369" i="1" s="1"/>
  <c r="BP224" i="1"/>
  <c r="BP321" i="1" s="1"/>
  <c r="AR1" i="1"/>
  <c r="AS1" i="1" s="1"/>
  <c r="AT1" i="1" s="1"/>
  <c r="AU1" i="1" s="1"/>
  <c r="AV1" i="1" s="1"/>
  <c r="AW1" i="1" s="1"/>
  <c r="AX1" i="1" s="1"/>
  <c r="AY1" i="1" s="1"/>
  <c r="AZ1" i="1" s="1"/>
  <c r="BA1" i="1" s="1"/>
  <c r="BB1" i="1" s="1"/>
  <c r="BC1" i="1" s="1"/>
  <c r="BD1" i="1" s="1"/>
  <c r="BE1" i="1" s="1"/>
  <c r="BF1" i="1" s="1"/>
  <c r="BG1" i="1" s="1"/>
  <c r="BH1" i="1" s="1"/>
  <c r="BI1" i="1" s="1"/>
  <c r="BJ1" i="1" s="1"/>
  <c r="BK1" i="1" s="1"/>
  <c r="BL1" i="1" s="1"/>
  <c r="BM1" i="1" s="1"/>
  <c r="BN1" i="1" s="1"/>
  <c r="BO1" i="1" s="1"/>
  <c r="BP1" i="1" s="1"/>
  <c r="BQ1" i="1" s="1"/>
  <c r="BR1" i="1" s="1"/>
  <c r="BS1" i="1" s="1"/>
  <c r="BT1" i="1" s="1"/>
  <c r="BU1" i="1" s="1"/>
  <c r="BV1" i="1" s="1"/>
  <c r="BW1" i="1" s="1"/>
  <c r="BX1" i="1" s="1"/>
  <c r="BY1" i="1" s="1"/>
  <c r="BZ1" i="1" s="1"/>
  <c r="CA1" i="1" s="1"/>
  <c r="CB1" i="1" s="1"/>
  <c r="CC1" i="1" s="1"/>
  <c r="CD1" i="1" s="1"/>
  <c r="CE1" i="1" s="1"/>
  <c r="CF1" i="1" s="1"/>
  <c r="CG1" i="1" s="1"/>
  <c r="CH1" i="1" s="1"/>
  <c r="CI1" i="1" s="1"/>
  <c r="CJ1" i="1" s="1"/>
  <c r="CK1" i="1" s="1"/>
  <c r="CL1" i="1" s="1"/>
  <c r="BQ398" i="1"/>
  <c r="BP3" i="1"/>
  <c r="BP4" i="2"/>
  <c r="BO7" i="2"/>
  <c r="BO13" i="2"/>
  <c r="BP72" i="2"/>
  <c r="BO72" i="2"/>
  <c r="BO64" i="2"/>
  <c r="BO125" i="2" s="1"/>
  <c r="BP56" i="2"/>
  <c r="BP13" i="2"/>
  <c r="BP49" i="2" s="1"/>
  <c r="BP7" i="2"/>
  <c r="BP130" i="1"/>
  <c r="BP132" i="1" s="1"/>
  <c r="BP86" i="1"/>
  <c r="BP85" i="1"/>
  <c r="BP87" i="1" s="1"/>
  <c r="BP77" i="1"/>
  <c r="BP76" i="1"/>
  <c r="BP53" i="1"/>
  <c r="BP54" i="1" s="1"/>
  <c r="BP38" i="1"/>
  <c r="BP45" i="1"/>
  <c r="BP42" i="1"/>
  <c r="BP21" i="1"/>
  <c r="BP23" i="1"/>
  <c r="BP18" i="1"/>
  <c r="BQ403" i="1"/>
  <c r="BQ373" i="1"/>
  <c r="BQ372" i="1"/>
  <c r="BQ397" i="1"/>
  <c r="BO291" i="5"/>
  <c r="BO327" i="5"/>
  <c r="BO307" i="5"/>
  <c r="Y4" i="6"/>
  <c r="BO175" i="5"/>
  <c r="BO174" i="5"/>
  <c r="BO108" i="5"/>
  <c r="BO96" i="5"/>
  <c r="BO89" i="5"/>
  <c r="BO297" i="2"/>
  <c r="BO312" i="2"/>
  <c r="BO240" i="2"/>
  <c r="BO198" i="2"/>
  <c r="BO105" i="2"/>
  <c r="BO99" i="2"/>
  <c r="BO56" i="2"/>
  <c r="BO4" i="2"/>
  <c r="BO19" i="5"/>
  <c r="BO274" i="5" s="1"/>
  <c r="BO13" i="5"/>
  <c r="BO12" i="5"/>
  <c r="BO11" i="5"/>
  <c r="BO378" i="1"/>
  <c r="BN378" i="1"/>
  <c r="BO384" i="1"/>
  <c r="BO373" i="1"/>
  <c r="BN373" i="1"/>
  <c r="BO372" i="1"/>
  <c r="BN372" i="1"/>
  <c r="BO277" i="1"/>
  <c r="BO268" i="1"/>
  <c r="BO246" i="1"/>
  <c r="BO224" i="1"/>
  <c r="BO86" i="1"/>
  <c r="BO85" i="1"/>
  <c r="BO84" i="1"/>
  <c r="BO77" i="1"/>
  <c r="BO76" i="1"/>
  <c r="BO75" i="1"/>
  <c r="BO45" i="1"/>
  <c r="BO42" i="1"/>
  <c r="BO3" i="1"/>
  <c r="BO26" i="1"/>
  <c r="BO21" i="1"/>
  <c r="BO23" i="1"/>
  <c r="BO18" i="1"/>
  <c r="BI132" i="1"/>
  <c r="DL193" i="5"/>
  <c r="AQ20" i="1"/>
  <c r="AQ7" i="1" s="1"/>
  <c r="AQ9" i="1" s="1"/>
  <c r="BL297" i="2"/>
  <c r="BM297" i="2"/>
  <c r="BN297" i="2"/>
  <c r="BN20" i="5" s="1"/>
  <c r="BK297" i="2"/>
  <c r="DL116" i="5"/>
  <c r="DL147" i="5" s="1"/>
  <c r="DL124" i="5"/>
  <c r="BK308" i="2"/>
  <c r="BL308" i="2"/>
  <c r="BM308" i="2"/>
  <c r="BN308" i="2"/>
  <c r="BL291" i="5"/>
  <c r="BM291" i="5"/>
  <c r="BN291" i="5"/>
  <c r="AU298" i="5"/>
  <c r="AU300" i="5" s="1"/>
  <c r="AV298" i="5"/>
  <c r="AW298" i="5"/>
  <c r="AX298" i="5"/>
  <c r="AX300" i="5" s="1"/>
  <c r="AY298" i="5"/>
  <c r="AZ298" i="5"/>
  <c r="BA298" i="5"/>
  <c r="BB298" i="5"/>
  <c r="BC298" i="5"/>
  <c r="BD298" i="5"/>
  <c r="BE298" i="5"/>
  <c r="BF298" i="5"/>
  <c r="BG298" i="5"/>
  <c r="BH298" i="5"/>
  <c r="BI298" i="5"/>
  <c r="BJ298" i="5"/>
  <c r="BK298" i="5"/>
  <c r="BL298" i="5"/>
  <c r="BM298" i="5"/>
  <c r="AU299" i="5"/>
  <c r="AV299" i="5"/>
  <c r="AW299" i="5"/>
  <c r="AX299" i="5"/>
  <c r="AY299" i="5"/>
  <c r="AZ299" i="5"/>
  <c r="BA299" i="5"/>
  <c r="BA300" i="5" s="1"/>
  <c r="BA322" i="5" s="1"/>
  <c r="BB299" i="5"/>
  <c r="BC299" i="5"/>
  <c r="BD299" i="5"/>
  <c r="BE299" i="5"/>
  <c r="BF299" i="5"/>
  <c r="BG299" i="5"/>
  <c r="BH299" i="5"/>
  <c r="BI299" i="5"/>
  <c r="BI300" i="5" s="1"/>
  <c r="BJ299" i="5"/>
  <c r="BK299" i="5"/>
  <c r="BL299" i="5"/>
  <c r="BM299" i="5"/>
  <c r="BO298" i="5"/>
  <c r="BN299" i="5"/>
  <c r="BQ308" i="2"/>
  <c r="T24" i="3"/>
  <c r="BN11" i="5"/>
  <c r="BN12" i="5"/>
  <c r="BN13" i="5"/>
  <c r="BN19" i="5"/>
  <c r="DK314" i="2"/>
  <c r="DJ314" i="2"/>
  <c r="DL314" i="2"/>
  <c r="DL312" i="2" s="1"/>
  <c r="DR314" i="2"/>
  <c r="DS314" i="2" s="1"/>
  <c r="DT314" i="2" s="1"/>
  <c r="DU314" i="2" s="1"/>
  <c r="DG263" i="2"/>
  <c r="BG265" i="2"/>
  <c r="BK265" i="2"/>
  <c r="BN85" i="2"/>
  <c r="BL212" i="2"/>
  <c r="BL104" i="2" s="1"/>
  <c r="BG85" i="2"/>
  <c r="BH85" i="2"/>
  <c r="BI85" i="2"/>
  <c r="BJ85" i="2"/>
  <c r="BK85" i="2"/>
  <c r="BL85" i="2"/>
  <c r="BM85" i="2"/>
  <c r="BT397" i="1"/>
  <c r="BU397" i="1"/>
  <c r="BV307" i="1"/>
  <c r="BU404" i="1"/>
  <c r="BU403" i="1"/>
  <c r="BT404" i="1"/>
  <c r="BS403" i="1"/>
  <c r="BU398" i="1"/>
  <c r="BU378" i="1"/>
  <c r="BT398" i="1"/>
  <c r="BS397" i="1"/>
  <c r="BS378" i="1"/>
  <c r="BS363" i="1" s="1"/>
  <c r="DL93" i="2"/>
  <c r="BN384" i="1"/>
  <c r="BN277" i="1"/>
  <c r="BN268" i="1"/>
  <c r="BN246" i="1"/>
  <c r="BN236" i="1"/>
  <c r="BN224" i="1"/>
  <c r="BN307" i="1" s="1"/>
  <c r="DK307" i="1" s="1"/>
  <c r="DK308" i="1" s="1"/>
  <c r="BN91" i="1"/>
  <c r="BN92" i="1"/>
  <c r="BN84" i="1"/>
  <c r="BN85" i="1"/>
  <c r="BN86" i="1"/>
  <c r="BN75" i="1"/>
  <c r="BN76" i="1"/>
  <c r="BN77" i="1"/>
  <c r="BN38" i="1"/>
  <c r="BN7" i="5" s="1"/>
  <c r="BN45" i="1"/>
  <c r="BN46" i="1"/>
  <c r="BN42" i="1"/>
  <c r="BN43" i="1"/>
  <c r="BN105" i="2"/>
  <c r="BN99" i="2"/>
  <c r="BN122" i="2"/>
  <c r="BN94" i="2"/>
  <c r="BN201" i="2"/>
  <c r="BN198" i="2"/>
  <c r="BN234" i="2"/>
  <c r="BN235" i="2"/>
  <c r="BN240" i="2"/>
  <c r="DJ240" i="2" s="1"/>
  <c r="DK252" i="2" s="1"/>
  <c r="BM163" i="2"/>
  <c r="BM166" i="2" s="1"/>
  <c r="BN72" i="2"/>
  <c r="BN56" i="2"/>
  <c r="BN7" i="2"/>
  <c r="BN312" i="2"/>
  <c r="BL307" i="5"/>
  <c r="BM307" i="5"/>
  <c r="BN307" i="5"/>
  <c r="DJ307" i="5" s="1"/>
  <c r="BL327" i="5"/>
  <c r="BM327" i="5"/>
  <c r="BN327" i="5"/>
  <c r="DJ327" i="5" s="1"/>
  <c r="BN119" i="5"/>
  <c r="BN108" i="5"/>
  <c r="DL185" i="5"/>
  <c r="DL201" i="5" s="1"/>
  <c r="DK383" i="1"/>
  <c r="BS398" i="1"/>
  <c r="DK193" i="5"/>
  <c r="DJ193" i="5"/>
  <c r="DK31" i="5"/>
  <c r="DK59" i="5" s="1"/>
  <c r="DK394" i="1"/>
  <c r="BV397" i="1"/>
  <c r="BV398" i="1"/>
  <c r="DM394" i="1"/>
  <c r="BM13" i="2"/>
  <c r="BM49" i="2" s="1"/>
  <c r="BM240" i="2"/>
  <c r="BM234" i="2"/>
  <c r="BM235" i="2"/>
  <c r="BM201" i="2"/>
  <c r="BM198" i="2"/>
  <c r="BM126" i="2"/>
  <c r="BM127" i="2"/>
  <c r="BM122" i="2"/>
  <c r="BM105" i="2"/>
  <c r="BM99" i="2"/>
  <c r="BM64" i="2"/>
  <c r="BM66" i="2" s="1"/>
  <c r="BM56" i="2"/>
  <c r="BM7" i="2"/>
  <c r="BM11" i="5"/>
  <c r="BM12" i="5"/>
  <c r="BM13" i="5"/>
  <c r="BI378" i="1"/>
  <c r="BI363" i="1" s="1"/>
  <c r="BI379" i="1" s="1"/>
  <c r="BJ378" i="1"/>
  <c r="BJ363" i="1" s="1"/>
  <c r="DJ363" i="1" s="1"/>
  <c r="BK378" i="1"/>
  <c r="BL378" i="1"/>
  <c r="BL363" i="1" s="1"/>
  <c r="BM378" i="1"/>
  <c r="BL277" i="1"/>
  <c r="BL259" i="1" s="1"/>
  <c r="BM277" i="1"/>
  <c r="BL268" i="1"/>
  <c r="BM268" i="1"/>
  <c r="BL246" i="1"/>
  <c r="BM246" i="1"/>
  <c r="BL236" i="1"/>
  <c r="BM236" i="1"/>
  <c r="BK224" i="1"/>
  <c r="BL224" i="1"/>
  <c r="BM224" i="1"/>
  <c r="BM233" i="1" s="1"/>
  <c r="BM91" i="1"/>
  <c r="BM92" i="1"/>
  <c r="BM86" i="1"/>
  <c r="BM85" i="1"/>
  <c r="BM84" i="1"/>
  <c r="BM77" i="1"/>
  <c r="BM76" i="1"/>
  <c r="BM75" i="1"/>
  <c r="BM45" i="1"/>
  <c r="BM46" i="1"/>
  <c r="BM42" i="1"/>
  <c r="BM38" i="1"/>
  <c r="BM7" i="5" s="1"/>
  <c r="DK124" i="5"/>
  <c r="DK116" i="5"/>
  <c r="DK147" i="5" s="1"/>
  <c r="BL119" i="5"/>
  <c r="BM119" i="5"/>
  <c r="BL96" i="5"/>
  <c r="BM96" i="5"/>
  <c r="BM19" i="5"/>
  <c r="BL19" i="5"/>
  <c r="BL274" i="5" s="1"/>
  <c r="BL312" i="2"/>
  <c r="BL13" i="5"/>
  <c r="BL12" i="5"/>
  <c r="BL11" i="5"/>
  <c r="BO74" i="5"/>
  <c r="BP74" i="5"/>
  <c r="BQ74" i="5"/>
  <c r="BR74" i="5"/>
  <c r="BO82" i="5"/>
  <c r="BP82" i="5"/>
  <c r="BQ82" i="5"/>
  <c r="BR82" i="5"/>
  <c r="BQ201" i="5"/>
  <c r="BO201" i="5"/>
  <c r="BP397" i="1"/>
  <c r="DL394" i="1"/>
  <c r="BO397" i="1"/>
  <c r="BO398" i="1"/>
  <c r="BL354" i="1"/>
  <c r="BL284" i="5"/>
  <c r="BK284" i="5"/>
  <c r="DM383" i="1"/>
  <c r="DN388" i="1" s="1"/>
  <c r="BP354" i="1"/>
  <c r="BP2" i="1"/>
  <c r="BP2" i="2" s="1"/>
  <c r="BQ354" i="1"/>
  <c r="BQ2" i="1"/>
  <c r="BQ2" i="2" s="1"/>
  <c r="BP286" i="2"/>
  <c r="BP284" i="5"/>
  <c r="BO354" i="1"/>
  <c r="BO2" i="1"/>
  <c r="BO2" i="2" s="1"/>
  <c r="BO286" i="2"/>
  <c r="BO311" i="5"/>
  <c r="BO284" i="5"/>
  <c r="BO331" i="5"/>
  <c r="BO197" i="5"/>
  <c r="BO63" i="5" s="1"/>
  <c r="BO81" i="5" s="1"/>
  <c r="DL383" i="1"/>
  <c r="BR398" i="1"/>
  <c r="BR397" i="1"/>
  <c r="BR354" i="1"/>
  <c r="BP398" i="1"/>
  <c r="BP201" i="5"/>
  <c r="BP373" i="1"/>
  <c r="BP372" i="1"/>
  <c r="BT2" i="1"/>
  <c r="BT2" i="2" s="1"/>
  <c r="BV2" i="1"/>
  <c r="BV2" i="2" s="1"/>
  <c r="BV354" i="1"/>
  <c r="BL266" i="2"/>
  <c r="BM266" i="2" s="1"/>
  <c r="BL264" i="2"/>
  <c r="BL265" i="2" s="1"/>
  <c r="BL210" i="2"/>
  <c r="BL240" i="2"/>
  <c r="BL235" i="2"/>
  <c r="BL234" i="2"/>
  <c r="BL201" i="2"/>
  <c r="BL198" i="2"/>
  <c r="BL140" i="2"/>
  <c r="BL139" i="2" s="1"/>
  <c r="BL127" i="2"/>
  <c r="BL126" i="2"/>
  <c r="BL122" i="2"/>
  <c r="BL94" i="2"/>
  <c r="BL105" i="2"/>
  <c r="BL99" i="2"/>
  <c r="BL72" i="2"/>
  <c r="BL64" i="2"/>
  <c r="BL56" i="2"/>
  <c r="BL13" i="2"/>
  <c r="BL41" i="2" s="1"/>
  <c r="BL7" i="2"/>
  <c r="BL91" i="1"/>
  <c r="BL92" i="1"/>
  <c r="BL84" i="1"/>
  <c r="BL85" i="1"/>
  <c r="BL86" i="1"/>
  <c r="BL75" i="1"/>
  <c r="BL76" i="1"/>
  <c r="BL77" i="1"/>
  <c r="BL53" i="1"/>
  <c r="BL54" i="1" s="1"/>
  <c r="BL45" i="1"/>
  <c r="BL46" i="1"/>
  <c r="BL42" i="1"/>
  <c r="BL43" i="1"/>
  <c r="BL38" i="1"/>
  <c r="AQ23" i="1"/>
  <c r="AR23" i="1" s="1"/>
  <c r="AR11" i="1" s="1"/>
  <c r="BL21" i="1"/>
  <c r="BL18" i="1"/>
  <c r="BL26" i="1"/>
  <c r="BL27" i="1" s="1"/>
  <c r="DL354" i="1"/>
  <c r="BN284" i="5"/>
  <c r="BM284" i="5"/>
  <c r="BL286" i="2"/>
  <c r="BN354" i="1"/>
  <c r="BM286" i="2"/>
  <c r="BN286" i="2"/>
  <c r="BM354" i="1"/>
  <c r="BM2" i="1"/>
  <c r="BM2" i="2" s="1"/>
  <c r="DI321" i="5"/>
  <c r="BK19" i="5"/>
  <c r="BK274" i="5" s="1"/>
  <c r="BK13" i="5"/>
  <c r="BK12" i="5"/>
  <c r="BK11" i="5"/>
  <c r="BK287" i="5"/>
  <c r="BK327" i="5"/>
  <c r="BK307" i="5"/>
  <c r="U4" i="6"/>
  <c r="V4" i="6"/>
  <c r="W4" i="6"/>
  <c r="X4" i="6"/>
  <c r="BK286" i="2"/>
  <c r="BK291" i="5"/>
  <c r="BK270" i="2"/>
  <c r="BK240" i="2"/>
  <c r="BL246" i="2" s="1"/>
  <c r="BK235" i="2"/>
  <c r="BK234" i="2"/>
  <c r="BK201" i="2"/>
  <c r="BK198" i="2"/>
  <c r="BK163" i="2"/>
  <c r="BK166" i="2" s="1"/>
  <c r="BK127" i="2"/>
  <c r="BK126" i="2"/>
  <c r="BK122" i="2"/>
  <c r="BK105" i="2"/>
  <c r="BK99" i="2"/>
  <c r="BO101" i="2" s="1"/>
  <c r="BK94" i="2"/>
  <c r="BK72" i="2"/>
  <c r="BK64" i="2"/>
  <c r="BK65" i="2" s="1"/>
  <c r="BK56" i="2"/>
  <c r="BK13" i="2"/>
  <c r="BK7" i="2"/>
  <c r="BK4" i="2"/>
  <c r="BK40" i="2" s="1"/>
  <c r="BK397" i="1"/>
  <c r="BK398" i="1"/>
  <c r="BK384" i="1"/>
  <c r="BK372" i="1"/>
  <c r="BK373" i="1"/>
  <c r="BK350" i="1"/>
  <c r="BK277" i="1"/>
  <c r="BK268" i="1"/>
  <c r="BK246" i="1"/>
  <c r="BK236" i="1"/>
  <c r="BK262" i="1"/>
  <c r="BK84" i="1"/>
  <c r="BK85" i="1"/>
  <c r="BK86" i="1"/>
  <c r="BK77" i="1"/>
  <c r="BK76" i="1"/>
  <c r="BK75" i="1"/>
  <c r="BK53" i="1"/>
  <c r="BK54" i="1" s="1"/>
  <c r="BK42" i="1"/>
  <c r="BK43" i="1"/>
  <c r="BK45" i="1"/>
  <c r="BK46" i="1"/>
  <c r="BK38" i="1"/>
  <c r="BK18" i="1"/>
  <c r="BK21" i="1"/>
  <c r="BK23" i="1" s="1"/>
  <c r="BK26" i="1"/>
  <c r="BK112" i="1" s="1"/>
  <c r="BK74" i="1"/>
  <c r="BK36" i="1"/>
  <c r="BK32" i="1"/>
  <c r="BK119" i="5"/>
  <c r="BK128" i="5" s="1"/>
  <c r="BK108" i="5"/>
  <c r="BK96" i="5"/>
  <c r="BL252" i="2"/>
  <c r="BO270" i="1"/>
  <c r="BJ327" i="5"/>
  <c r="DI327" i="5" s="1"/>
  <c r="BJ307" i="5"/>
  <c r="DI307" i="5" s="1"/>
  <c r="Q4" i="6"/>
  <c r="R4" i="6"/>
  <c r="S4" i="6"/>
  <c r="T4" i="6"/>
  <c r="BJ4" i="2"/>
  <c r="BJ48" i="2" s="1"/>
  <c r="BJ140" i="2"/>
  <c r="BJ139" i="2" s="1"/>
  <c r="DI139" i="2" s="1"/>
  <c r="DI140" i="2" s="1"/>
  <c r="BJ163" i="2"/>
  <c r="BJ284" i="2"/>
  <c r="BJ240" i="2"/>
  <c r="BJ234" i="2"/>
  <c r="BJ235" i="2"/>
  <c r="BJ201" i="2"/>
  <c r="BJ198" i="2"/>
  <c r="BI163" i="2"/>
  <c r="BI166" i="2" s="1"/>
  <c r="BJ200" i="2" s="1"/>
  <c r="BJ105" i="2"/>
  <c r="BJ99" i="2"/>
  <c r="BJ72" i="2"/>
  <c r="BJ64" i="2"/>
  <c r="BJ69" i="2" s="1"/>
  <c r="BJ56" i="2"/>
  <c r="BJ13" i="2"/>
  <c r="BJ49" i="2" s="1"/>
  <c r="BJ7" i="2"/>
  <c r="BJ126" i="2"/>
  <c r="BJ127" i="2"/>
  <c r="BJ122" i="2"/>
  <c r="BJ94" i="2"/>
  <c r="BJ11" i="5"/>
  <c r="BJ12" i="5"/>
  <c r="BJ13" i="5"/>
  <c r="BJ350" i="1"/>
  <c r="BJ84" i="1"/>
  <c r="BJ85" i="1"/>
  <c r="BJ86" i="1"/>
  <c r="BJ75" i="1"/>
  <c r="BJ76" i="1"/>
  <c r="BJ77" i="1"/>
  <c r="BH91" i="1"/>
  <c r="BI91" i="1"/>
  <c r="BJ91" i="1"/>
  <c r="BH92" i="1"/>
  <c r="BI92" i="1"/>
  <c r="BJ92" i="1"/>
  <c r="BJ277" i="1"/>
  <c r="BJ53" i="1"/>
  <c r="BJ54" i="1" s="1"/>
  <c r="BJ45" i="1"/>
  <c r="BJ46" i="1"/>
  <c r="BJ42" i="1"/>
  <c r="BJ43" i="1"/>
  <c r="BJ38" i="1"/>
  <c r="BI18" i="1"/>
  <c r="BI20" i="1"/>
  <c r="BJ18" i="1"/>
  <c r="BJ20" i="1" s="1"/>
  <c r="BI21" i="1"/>
  <c r="BI23" i="1" s="1"/>
  <c r="BJ21" i="1"/>
  <c r="BJ23" i="1" s="1"/>
  <c r="BJ26" i="1"/>
  <c r="BJ103" i="1" s="1"/>
  <c r="BJ36" i="1"/>
  <c r="BJ32" i="1"/>
  <c r="BJ268" i="1"/>
  <c r="BJ246" i="1"/>
  <c r="BJ236" i="1"/>
  <c r="BH372" i="1"/>
  <c r="BI372" i="1"/>
  <c r="BJ372" i="1"/>
  <c r="BH373" i="1"/>
  <c r="BI373" i="1"/>
  <c r="BJ373" i="1"/>
  <c r="BH378" i="1"/>
  <c r="BH363" i="1" s="1"/>
  <c r="BH364" i="1" s="1"/>
  <c r="BH397" i="1"/>
  <c r="BI397" i="1"/>
  <c r="BJ397" i="1"/>
  <c r="BH398" i="1"/>
  <c r="BI398" i="1"/>
  <c r="BJ398" i="1"/>
  <c r="BH384" i="1"/>
  <c r="BI384" i="1"/>
  <c r="BJ119" i="5"/>
  <c r="BJ108" i="5"/>
  <c r="BJ96" i="5"/>
  <c r="BH327" i="5"/>
  <c r="BI327" i="5"/>
  <c r="BI307" i="5"/>
  <c r="BH307" i="5"/>
  <c r="BI321" i="2"/>
  <c r="BI314" i="2"/>
  <c r="BH321" i="2"/>
  <c r="BH314" i="2"/>
  <c r="BH299" i="2"/>
  <c r="BI299" i="2"/>
  <c r="BH264" i="2"/>
  <c r="BH210" i="2"/>
  <c r="BH240" i="2"/>
  <c r="BI240" i="2"/>
  <c r="BH234" i="2"/>
  <c r="BI234" i="2"/>
  <c r="BH235" i="2"/>
  <c r="BI235" i="2"/>
  <c r="BH201" i="2"/>
  <c r="BI201" i="2"/>
  <c r="BI198" i="2"/>
  <c r="BF163" i="2"/>
  <c r="BF164" i="2" s="1"/>
  <c r="BH198" i="2"/>
  <c r="BI242" i="2"/>
  <c r="BJ246" i="2"/>
  <c r="BG163" i="2"/>
  <c r="BH11" i="5"/>
  <c r="BI11" i="5"/>
  <c r="BH12" i="5"/>
  <c r="BI12" i="5"/>
  <c r="BH13" i="5"/>
  <c r="BI13" i="5"/>
  <c r="BI125" i="5"/>
  <c r="BH119" i="5"/>
  <c r="BH108" i="5"/>
  <c r="BI108" i="5"/>
  <c r="BH96" i="5"/>
  <c r="BI96" i="5"/>
  <c r="BI89" i="5"/>
  <c r="BH89" i="5"/>
  <c r="BH107" i="5" s="1"/>
  <c r="BH126" i="2"/>
  <c r="BI126" i="2"/>
  <c r="BH127" i="2"/>
  <c r="BI127" i="2"/>
  <c r="BH122" i="2"/>
  <c r="BI122" i="2"/>
  <c r="BH105" i="2"/>
  <c r="BI105" i="2"/>
  <c r="BH99" i="2"/>
  <c r="BI99" i="2"/>
  <c r="BH94" i="2"/>
  <c r="BI94" i="2"/>
  <c r="BI140" i="2"/>
  <c r="BI139" i="2" s="1"/>
  <c r="BH140" i="2"/>
  <c r="BH139" i="2" s="1"/>
  <c r="BH56" i="2"/>
  <c r="BI56" i="2"/>
  <c r="BH13" i="2"/>
  <c r="BH16" i="2" s="1"/>
  <c r="BH17" i="2" s="1"/>
  <c r="BI13" i="2"/>
  <c r="BG7" i="2"/>
  <c r="BH7" i="2"/>
  <c r="BI7" i="2"/>
  <c r="BG4" i="2"/>
  <c r="BG40" i="2" s="1"/>
  <c r="BH4" i="2"/>
  <c r="BH40" i="2" s="1"/>
  <c r="BI4" i="2"/>
  <c r="BI48" i="2" s="1"/>
  <c r="BH84" i="1"/>
  <c r="BI84" i="1"/>
  <c r="BH85" i="1"/>
  <c r="BI85" i="1"/>
  <c r="BH86" i="1"/>
  <c r="BI86" i="1"/>
  <c r="BH75" i="1"/>
  <c r="BI75" i="1"/>
  <c r="BH76" i="1"/>
  <c r="BI76" i="1"/>
  <c r="BH77" i="1"/>
  <c r="BI77" i="1"/>
  <c r="BH53" i="1"/>
  <c r="BH54" i="1" s="1"/>
  <c r="BI53" i="1"/>
  <c r="BI54" i="1" s="1"/>
  <c r="BH45" i="1"/>
  <c r="BI45" i="1"/>
  <c r="BH46" i="1"/>
  <c r="BI46" i="1"/>
  <c r="BH42" i="1"/>
  <c r="BI42" i="1"/>
  <c r="BH43" i="1"/>
  <c r="BI43" i="1"/>
  <c r="BH38" i="1"/>
  <c r="BI38" i="1"/>
  <c r="BI7" i="5" s="1"/>
  <c r="BQ72" i="2"/>
  <c r="BH350" i="1"/>
  <c r="BI350" i="1"/>
  <c r="BH277" i="1"/>
  <c r="BI277" i="1"/>
  <c r="BH236" i="1"/>
  <c r="BI236" i="1"/>
  <c r="BH246" i="1"/>
  <c r="BI246" i="1"/>
  <c r="BJ224" i="1"/>
  <c r="BI224" i="1"/>
  <c r="BI233" i="1"/>
  <c r="BH224" i="1"/>
  <c r="BH307" i="1" s="1"/>
  <c r="BH26" i="1"/>
  <c r="BH357" i="1" s="1"/>
  <c r="BI26" i="1"/>
  <c r="BH21" i="1"/>
  <c r="BH18" i="1"/>
  <c r="BH3" i="1"/>
  <c r="BI3" i="1"/>
  <c r="BI12" i="1"/>
  <c r="BI8" i="1" s="1"/>
  <c r="DK93" i="2"/>
  <c r="DK72" i="2"/>
  <c r="BR72" i="2"/>
  <c r="BS72" i="2"/>
  <c r="BT72" i="2"/>
  <c r="BG321" i="2"/>
  <c r="BG314" i="2"/>
  <c r="BG19" i="5"/>
  <c r="BF307" i="5"/>
  <c r="DH307" i="5" s="1"/>
  <c r="BG307" i="5"/>
  <c r="BE327" i="5"/>
  <c r="BF327" i="5"/>
  <c r="DH327" i="5" s="1"/>
  <c r="BG327" i="5"/>
  <c r="BG297" i="2"/>
  <c r="BG266" i="2"/>
  <c r="BG212" i="2"/>
  <c r="BG218" i="2" s="1"/>
  <c r="BG240" i="2"/>
  <c r="BG90" i="2" s="1"/>
  <c r="BG234" i="2"/>
  <c r="BG235" i="2"/>
  <c r="BG201" i="2"/>
  <c r="BG198" i="2"/>
  <c r="BG140" i="2"/>
  <c r="BG139" i="2" s="1"/>
  <c r="BG127" i="2"/>
  <c r="BG126" i="2"/>
  <c r="BG105" i="2"/>
  <c r="BG99" i="2"/>
  <c r="BG122" i="2"/>
  <c r="BG56" i="2"/>
  <c r="BG13" i="2"/>
  <c r="BG49" i="2" s="1"/>
  <c r="BG398" i="1"/>
  <c r="BG397" i="1"/>
  <c r="BG373" i="1"/>
  <c r="BG372" i="1"/>
  <c r="BG350" i="1"/>
  <c r="BG277" i="1"/>
  <c r="BG268" i="1"/>
  <c r="BG246" i="1"/>
  <c r="BG236" i="1"/>
  <c r="BG224" i="1"/>
  <c r="BG11" i="5"/>
  <c r="BG12" i="5"/>
  <c r="BG13" i="5"/>
  <c r="BF75" i="1"/>
  <c r="BG75" i="1"/>
  <c r="BF76" i="1"/>
  <c r="BG76" i="1"/>
  <c r="BF77" i="1"/>
  <c r="BG77" i="1"/>
  <c r="BF84" i="1"/>
  <c r="BG84" i="1"/>
  <c r="BF85" i="1"/>
  <c r="BG85" i="1"/>
  <c r="BF86" i="1"/>
  <c r="BG86" i="1"/>
  <c r="BF91" i="1"/>
  <c r="BG91" i="1"/>
  <c r="BF92" i="1"/>
  <c r="BG92" i="1"/>
  <c r="BG45" i="1"/>
  <c r="BF42" i="1"/>
  <c r="BG42" i="1"/>
  <c r="BG53" i="1"/>
  <c r="BG38" i="1"/>
  <c r="BG7" i="5" s="1"/>
  <c r="BG18" i="1"/>
  <c r="BG119" i="5"/>
  <c r="BF108" i="5"/>
  <c r="BG108" i="5"/>
  <c r="BG96" i="5"/>
  <c r="BG89" i="5"/>
  <c r="BU72" i="2"/>
  <c r="BV72" i="2"/>
  <c r="DJ116" i="5"/>
  <c r="DJ147" i="5" s="1"/>
  <c r="DI116" i="5"/>
  <c r="DI147" i="5" s="1"/>
  <c r="DJ31" i="5"/>
  <c r="DJ59" i="5" s="1"/>
  <c r="DI31" i="5"/>
  <c r="DI59" i="5" s="1"/>
  <c r="BG378" i="1"/>
  <c r="BG363" i="1" s="1"/>
  <c r="BG364" i="1" s="1"/>
  <c r="BE321" i="2"/>
  <c r="BE314" i="2"/>
  <c r="BE307" i="5"/>
  <c r="BE119" i="5"/>
  <c r="BF119" i="5"/>
  <c r="DH119" i="5" s="1"/>
  <c r="BE108" i="5"/>
  <c r="BE96" i="5"/>
  <c r="BF96" i="5"/>
  <c r="BF89" i="5"/>
  <c r="BE89" i="5"/>
  <c r="BE297" i="2"/>
  <c r="BE284" i="2"/>
  <c r="BV378" i="1"/>
  <c r="DM400" i="1"/>
  <c r="BJ142" i="2"/>
  <c r="BE234" i="2"/>
  <c r="BF234" i="2"/>
  <c r="BE240" i="2"/>
  <c r="BF240" i="2"/>
  <c r="BF90" i="2" s="1"/>
  <c r="BE126" i="2"/>
  <c r="BF126" i="2"/>
  <c r="BE127" i="2"/>
  <c r="BF127" i="2"/>
  <c r="BE122" i="2"/>
  <c r="BF122" i="2"/>
  <c r="BE105" i="2"/>
  <c r="BF105" i="2"/>
  <c r="BE99" i="2"/>
  <c r="BF99" i="2"/>
  <c r="BE56" i="2"/>
  <c r="BF56" i="2"/>
  <c r="BE13" i="2"/>
  <c r="BE49" i="2" s="1"/>
  <c r="BF13" i="2"/>
  <c r="BF41" i="2" s="1"/>
  <c r="BF191" i="2" s="1"/>
  <c r="BE7" i="2"/>
  <c r="BF7" i="2"/>
  <c r="BE4" i="2"/>
  <c r="BF4" i="2"/>
  <c r="BC378" i="1"/>
  <c r="BC363" i="1" s="1"/>
  <c r="BE378" i="1"/>
  <c r="BE363" i="1" s="1"/>
  <c r="BE365" i="1" s="1"/>
  <c r="BF378" i="1"/>
  <c r="BD372" i="1"/>
  <c r="BE372" i="1"/>
  <c r="BF372" i="1"/>
  <c r="BD373" i="1"/>
  <c r="BE373" i="1"/>
  <c r="BF373" i="1"/>
  <c r="BE277" i="1"/>
  <c r="BF277" i="1"/>
  <c r="BE268" i="1"/>
  <c r="BF268" i="1"/>
  <c r="BF286" i="1" s="1"/>
  <c r="BF288" i="1" s="1"/>
  <c r="BF246" i="1"/>
  <c r="BE246" i="1"/>
  <c r="BF236" i="1"/>
  <c r="BE236" i="1"/>
  <c r="BE224" i="1"/>
  <c r="BE233" i="1" s="1"/>
  <c r="BF224" i="1"/>
  <c r="BF307" i="1" s="1"/>
  <c r="DI307" i="1" s="1"/>
  <c r="BD91" i="1"/>
  <c r="BE91" i="1"/>
  <c r="BD92" i="1"/>
  <c r="BE92" i="1"/>
  <c r="BE84" i="1"/>
  <c r="BE85" i="1"/>
  <c r="BE86" i="1"/>
  <c r="BE77" i="1"/>
  <c r="BE76" i="1"/>
  <c r="BE38" i="1"/>
  <c r="BF38" i="1"/>
  <c r="BE45" i="1"/>
  <c r="BF45" i="1"/>
  <c r="BE46" i="1"/>
  <c r="BF46" i="1"/>
  <c r="BE42" i="1"/>
  <c r="BE43" i="1"/>
  <c r="BF43" i="1"/>
  <c r="BE3" i="1"/>
  <c r="BF3" i="1"/>
  <c r="BE26" i="1"/>
  <c r="BE115" i="1" s="1"/>
  <c r="BF26" i="1"/>
  <c r="BC3" i="1"/>
  <c r="BC12" i="1" s="1"/>
  <c r="BC8" i="1" s="1"/>
  <c r="BG252" i="2"/>
  <c r="BV404" i="1"/>
  <c r="DL368" i="1"/>
  <c r="BG246" i="2"/>
  <c r="BF354" i="1"/>
  <c r="BF2" i="1"/>
  <c r="BF2" i="2" s="1"/>
  <c r="BE2" i="1"/>
  <c r="BE2" i="2" s="1"/>
  <c r="BE354" i="1"/>
  <c r="BF311" i="5"/>
  <c r="BF284" i="5"/>
  <c r="BF286" i="2"/>
  <c r="BE284" i="5"/>
  <c r="BE286" i="2"/>
  <c r="DK400" i="1"/>
  <c r="BN82" i="5"/>
  <c r="BM82" i="5"/>
  <c r="BL82" i="5"/>
  <c r="BK82" i="5"/>
  <c r="BN74" i="5"/>
  <c r="BM74" i="5"/>
  <c r="BL74" i="5"/>
  <c r="BK74" i="5"/>
  <c r="BN140" i="2"/>
  <c r="BM140" i="2"/>
  <c r="BK140" i="2"/>
  <c r="BK139" i="2" s="1"/>
  <c r="BN398" i="1"/>
  <c r="BM398" i="1"/>
  <c r="BL398" i="1"/>
  <c r="BN397" i="1"/>
  <c r="BM397" i="1"/>
  <c r="BL397" i="1"/>
  <c r="DK354" i="1"/>
  <c r="BG354" i="1"/>
  <c r="BK354" i="1"/>
  <c r="BK2" i="1"/>
  <c r="BK2" i="2" s="1"/>
  <c r="BJ286" i="2"/>
  <c r="BJ284" i="5"/>
  <c r="BJ354" i="1"/>
  <c r="BJ2" i="1"/>
  <c r="BJ2" i="2" s="1"/>
  <c r="BH286" i="2"/>
  <c r="BH284" i="5"/>
  <c r="BI284" i="5"/>
  <c r="BI286" i="2"/>
  <c r="BH2" i="1"/>
  <c r="BH2" i="2" s="1"/>
  <c r="BH354" i="1"/>
  <c r="BI2" i="1"/>
  <c r="BI2" i="2" s="1"/>
  <c r="BI354" i="1"/>
  <c r="BG286" i="2"/>
  <c r="BG284" i="5"/>
  <c r="BN2" i="1"/>
  <c r="BN2" i="2" s="1"/>
  <c r="BL2" i="1"/>
  <c r="BL2" i="2" s="1"/>
  <c r="AR2" i="1"/>
  <c r="AR2" i="2" s="1"/>
  <c r="AZ2" i="1"/>
  <c r="AZ2" i="2" s="1"/>
  <c r="BC354" i="1"/>
  <c r="BD354" i="1"/>
  <c r="DF354" i="1"/>
  <c r="DH2" i="1"/>
  <c r="DG2" i="2" s="1"/>
  <c r="AW286" i="2"/>
  <c r="AS339" i="5"/>
  <c r="N26" i="6"/>
  <c r="N35" i="6" s="1"/>
  <c r="D4" i="6"/>
  <c r="E4" i="6"/>
  <c r="F4" i="6"/>
  <c r="G4" i="6"/>
  <c r="H4" i="6"/>
  <c r="I4" i="6"/>
  <c r="J4" i="6"/>
  <c r="K4" i="6"/>
  <c r="L4" i="6"/>
  <c r="M4" i="6"/>
  <c r="N4" i="6"/>
  <c r="O4" i="6"/>
  <c r="P4" i="6"/>
  <c r="F7" i="6"/>
  <c r="G7" i="6"/>
  <c r="H7" i="6"/>
  <c r="H30" i="6" s="1"/>
  <c r="AX311" i="5" s="1"/>
  <c r="AX313" i="5" s="1"/>
  <c r="I7" i="6"/>
  <c r="I8" i="6" s="1"/>
  <c r="I17" i="6" s="1"/>
  <c r="J7" i="6"/>
  <c r="J8" i="6" s="1"/>
  <c r="J17" i="6" s="1"/>
  <c r="K7" i="6"/>
  <c r="K12" i="6" s="1"/>
  <c r="BA307" i="5" s="1"/>
  <c r="L7" i="6"/>
  <c r="L12" i="6" s="1"/>
  <c r="BB307" i="5" s="1"/>
  <c r="DG307" i="5" s="1"/>
  <c r="M7" i="6"/>
  <c r="M12" i="6" s="1"/>
  <c r="BC307" i="5" s="1"/>
  <c r="N7" i="6"/>
  <c r="N12" i="6"/>
  <c r="BD307" i="5" s="1"/>
  <c r="D8" i="6"/>
  <c r="D12" i="6" s="1"/>
  <c r="AT307" i="5" s="1"/>
  <c r="DE307" i="5" s="1"/>
  <c r="E8" i="6"/>
  <c r="F8" i="6"/>
  <c r="G8" i="6"/>
  <c r="D9" i="6"/>
  <c r="E9" i="6"/>
  <c r="F9" i="6"/>
  <c r="G9" i="6"/>
  <c r="D15" i="6"/>
  <c r="E15" i="6"/>
  <c r="F15" i="6"/>
  <c r="D16" i="6"/>
  <c r="E16" i="6"/>
  <c r="F16" i="6"/>
  <c r="G16" i="6"/>
  <c r="G37" i="6" s="1"/>
  <c r="AW331" i="5" s="1"/>
  <c r="AW333" i="5" s="1"/>
  <c r="K17" i="6"/>
  <c r="L17" i="6"/>
  <c r="D18" i="6"/>
  <c r="E18" i="6"/>
  <c r="F18" i="6"/>
  <c r="G18" i="6"/>
  <c r="H18" i="6"/>
  <c r="H37" i="6" s="1"/>
  <c r="AX331" i="5" s="1"/>
  <c r="AX333" i="5" s="1"/>
  <c r="H19" i="6"/>
  <c r="AX327" i="5" s="1"/>
  <c r="I18" i="6"/>
  <c r="J18" i="6"/>
  <c r="K18" i="6"/>
  <c r="L18" i="6"/>
  <c r="M18" i="6"/>
  <c r="M19" i="6" s="1"/>
  <c r="BC327" i="5" s="1"/>
  <c r="N18" i="6"/>
  <c r="N19" i="6" s="1"/>
  <c r="BD327" i="5" s="1"/>
  <c r="M24" i="6"/>
  <c r="N24" i="6"/>
  <c r="I25" i="6"/>
  <c r="J25" i="6"/>
  <c r="K25" i="6"/>
  <c r="L25" i="6"/>
  <c r="M25" i="6"/>
  <c r="N25" i="6"/>
  <c r="I26" i="6"/>
  <c r="I35" i="6"/>
  <c r="J26" i="6"/>
  <c r="J35" i="6" s="1"/>
  <c r="J37" i="6" s="1"/>
  <c r="AZ331" i="5" s="1"/>
  <c r="AZ333" i="5" s="1"/>
  <c r="K26" i="6"/>
  <c r="K35" i="6" s="1"/>
  <c r="L26" i="6"/>
  <c r="L35" i="6" s="1"/>
  <c r="M26" i="6"/>
  <c r="M35" i="6" s="1"/>
  <c r="I36" i="6"/>
  <c r="J36" i="6"/>
  <c r="K36" i="6"/>
  <c r="L36" i="6"/>
  <c r="M36" i="6"/>
  <c r="N36" i="6"/>
  <c r="CV5" i="2"/>
  <c r="CU6" i="2"/>
  <c r="CV6" i="2"/>
  <c r="CW6" i="2"/>
  <c r="CX6" i="2"/>
  <c r="CY6" i="2"/>
  <c r="CZ6" i="2"/>
  <c r="DA6" i="2"/>
  <c r="DB6" i="2"/>
  <c r="DB7" i="2" s="1"/>
  <c r="DC6" i="2"/>
  <c r="DD6" i="2"/>
  <c r="DE6" i="2"/>
  <c r="DF6" i="2"/>
  <c r="DG6" i="2"/>
  <c r="DG7" i="2" s="1"/>
  <c r="AQ7" i="2"/>
  <c r="AR7" i="2"/>
  <c r="AS7" i="2"/>
  <c r="AT7" i="2"/>
  <c r="AU7" i="2"/>
  <c r="AV7" i="2"/>
  <c r="AW7" i="2"/>
  <c r="AX7" i="2"/>
  <c r="AY7" i="2"/>
  <c r="AZ7" i="2"/>
  <c r="BA7" i="2"/>
  <c r="BB7" i="2"/>
  <c r="BC7" i="2"/>
  <c r="BD7" i="2"/>
  <c r="AQ13" i="2"/>
  <c r="AQ41" i="2" s="1"/>
  <c r="AQ152" i="2" s="1"/>
  <c r="AR13" i="2"/>
  <c r="AS13" i="2"/>
  <c r="AT13" i="2"/>
  <c r="AT16" i="2" s="1"/>
  <c r="AT17" i="2" s="1"/>
  <c r="AU13" i="2"/>
  <c r="AU49" i="2" s="1"/>
  <c r="AV13" i="2"/>
  <c r="AW13" i="2"/>
  <c r="AX13" i="2"/>
  <c r="AX16" i="2" s="1"/>
  <c r="AX17" i="2" s="1"/>
  <c r="AY13" i="2"/>
  <c r="AY61" i="2" s="1"/>
  <c r="AZ13" i="2"/>
  <c r="AZ16" i="2" s="1"/>
  <c r="AZ17" i="2" s="1"/>
  <c r="BA13" i="2"/>
  <c r="BB13" i="2"/>
  <c r="BB49" i="2" s="1"/>
  <c r="BC13" i="2"/>
  <c r="BC49" i="2" s="1"/>
  <c r="BG50" i="2" s="1"/>
  <c r="BD13" i="2"/>
  <c r="CW38" i="2"/>
  <c r="CX38" i="2"/>
  <c r="CY38" i="2"/>
  <c r="CZ38" i="2"/>
  <c r="DA38" i="2"/>
  <c r="DB38" i="2"/>
  <c r="DC38" i="2"/>
  <c r="DD38" i="2"/>
  <c r="CU40" i="2"/>
  <c r="CU41" i="2" s="1"/>
  <c r="CV40" i="2"/>
  <c r="CV38" i="2" s="1"/>
  <c r="DC46" i="2"/>
  <c r="CW46" i="2"/>
  <c r="CX46" i="2"/>
  <c r="CY46" i="2"/>
  <c r="CZ46" i="2"/>
  <c r="DA46" i="2"/>
  <c r="DB46" i="2"/>
  <c r="DD46" i="2"/>
  <c r="CU48" i="2"/>
  <c r="CV48" i="2"/>
  <c r="DD55" i="2"/>
  <c r="AQ56" i="2"/>
  <c r="AR56" i="2"/>
  <c r="AS56" i="2"/>
  <c r="AT56" i="2"/>
  <c r="AU56" i="2"/>
  <c r="AV56" i="2"/>
  <c r="AW56" i="2"/>
  <c r="AX56" i="2"/>
  <c r="AY56" i="2"/>
  <c r="AZ56" i="2"/>
  <c r="BA56" i="2"/>
  <c r="BB56" i="2"/>
  <c r="BC56" i="2"/>
  <c r="BD56" i="2"/>
  <c r="CV56" i="2"/>
  <c r="CW56" i="2"/>
  <c r="CX56" i="2"/>
  <c r="DB64" i="2"/>
  <c r="AU64" i="2"/>
  <c r="AU125" i="2" s="1"/>
  <c r="AV64" i="2"/>
  <c r="AW64" i="2"/>
  <c r="AX64" i="2"/>
  <c r="AY64" i="2"/>
  <c r="AZ64" i="2"/>
  <c r="AZ125" i="2" s="1"/>
  <c r="BA64" i="2"/>
  <c r="BA125" i="2" s="1"/>
  <c r="BB64" i="2"/>
  <c r="BB125" i="2" s="1"/>
  <c r="BC64" i="2"/>
  <c r="BD64" i="2"/>
  <c r="CU64" i="2"/>
  <c r="CV64" i="2"/>
  <c r="DA64" i="2"/>
  <c r="DD64" i="2"/>
  <c r="AQ72" i="2"/>
  <c r="AR72" i="2"/>
  <c r="AS72" i="2"/>
  <c r="AT72" i="2"/>
  <c r="AU72" i="2"/>
  <c r="AV72" i="2"/>
  <c r="AW72" i="2"/>
  <c r="AX72" i="2"/>
  <c r="AY72" i="2"/>
  <c r="AZ72" i="2"/>
  <c r="BA72" i="2"/>
  <c r="BB72" i="2"/>
  <c r="BC72" i="2"/>
  <c r="BD72" i="2"/>
  <c r="CU72" i="2"/>
  <c r="CV72" i="2"/>
  <c r="CW72" i="2"/>
  <c r="CX72" i="2"/>
  <c r="CU75" i="2"/>
  <c r="CU76" i="2" s="1"/>
  <c r="CV75" i="2"/>
  <c r="CW75" i="2"/>
  <c r="CX75" i="2"/>
  <c r="CY75" i="2"/>
  <c r="CZ75" i="2"/>
  <c r="CZ77" i="2" s="1"/>
  <c r="DA75" i="2"/>
  <c r="DB75" i="2"/>
  <c r="DB77" i="2" s="1"/>
  <c r="DC75" i="2"/>
  <c r="DD75" i="2"/>
  <c r="DE75" i="2"/>
  <c r="AQ77" i="2"/>
  <c r="AR77" i="2"/>
  <c r="AS77" i="2"/>
  <c r="AT77" i="2"/>
  <c r="CU80" i="2"/>
  <c r="CV80" i="2"/>
  <c r="CY80" i="2"/>
  <c r="CY81" i="2" s="1"/>
  <c r="CZ80" i="2"/>
  <c r="DA80" i="2"/>
  <c r="DB80" i="2"/>
  <c r="DD80" i="2"/>
  <c r="DE80" i="2"/>
  <c r="AQ81" i="2"/>
  <c r="AR81" i="2"/>
  <c r="AS81" i="2"/>
  <c r="AT81" i="2"/>
  <c r="CX81" i="2"/>
  <c r="AQ84" i="2"/>
  <c r="AR84" i="2"/>
  <c r="AR64" i="2" s="1"/>
  <c r="AS84" i="2"/>
  <c r="AS64" i="2" s="1"/>
  <c r="AT84" i="2"/>
  <c r="DF84" i="2"/>
  <c r="DG84" i="2"/>
  <c r="DA89" i="2"/>
  <c r="DB89" i="2"/>
  <c r="DB90" i="2" s="1"/>
  <c r="DC89" i="2"/>
  <c r="DD89" i="2"/>
  <c r="DE89" i="2"/>
  <c r="DF89" i="2"/>
  <c r="DG89" i="2"/>
  <c r="CU93" i="2"/>
  <c r="CV93" i="2"/>
  <c r="CW93" i="2"/>
  <c r="CX93" i="2"/>
  <c r="CY93" i="2"/>
  <c r="CZ93" i="2"/>
  <c r="CZ94" i="2" s="1"/>
  <c r="DA93" i="2"/>
  <c r="DA94" i="2" s="1"/>
  <c r="DB93" i="2"/>
  <c r="DD93" i="2"/>
  <c r="DE93" i="2"/>
  <c r="DF93" i="2"/>
  <c r="DG93" i="2"/>
  <c r="DG72" i="2" s="1"/>
  <c r="AQ94" i="2"/>
  <c r="AR94" i="2"/>
  <c r="AS94" i="2"/>
  <c r="AT94" i="2"/>
  <c r="AU94" i="2"/>
  <c r="AV94" i="2"/>
  <c r="AW94" i="2"/>
  <c r="AX94" i="2"/>
  <c r="AY94" i="2"/>
  <c r="AZ94" i="2"/>
  <c r="BA94" i="2"/>
  <c r="BB94" i="2"/>
  <c r="BC94" i="2"/>
  <c r="BD94" i="2"/>
  <c r="AU99" i="2"/>
  <c r="AV99" i="2"/>
  <c r="AW99" i="2"/>
  <c r="AX99" i="2"/>
  <c r="AY99" i="2"/>
  <c r="AY101" i="2" s="1"/>
  <c r="AZ99" i="2"/>
  <c r="BA99" i="2"/>
  <c r="BB99" i="2"/>
  <c r="BC99" i="2"/>
  <c r="BD99" i="2"/>
  <c r="CU99" i="2"/>
  <c r="CV99" i="2"/>
  <c r="CW99" i="2"/>
  <c r="CX99" i="2"/>
  <c r="CZ99" i="2"/>
  <c r="DB99" i="2"/>
  <c r="AY104" i="2"/>
  <c r="BC104" i="2"/>
  <c r="AQ105" i="2"/>
  <c r="AR105" i="2"/>
  <c r="AS105" i="2"/>
  <c r="AT105" i="2"/>
  <c r="AU105" i="2"/>
  <c r="AV105" i="2"/>
  <c r="AW105" i="2"/>
  <c r="AX105" i="2"/>
  <c r="AY105" i="2"/>
  <c r="AZ105" i="2"/>
  <c r="BA105" i="2"/>
  <c r="BB105" i="2"/>
  <c r="BC105" i="2"/>
  <c r="BD105" i="2"/>
  <c r="CU106" i="2"/>
  <c r="CV106" i="2"/>
  <c r="CW106" i="2"/>
  <c r="CX106" i="2"/>
  <c r="CX107" i="2" s="1"/>
  <c r="CZ106" i="2"/>
  <c r="DA106" i="2"/>
  <c r="DB106" i="2"/>
  <c r="DC106" i="2"/>
  <c r="DD106" i="2"/>
  <c r="AQ107" i="2"/>
  <c r="AR107" i="2"/>
  <c r="AS107" i="2"/>
  <c r="AT107" i="2"/>
  <c r="CU110" i="2"/>
  <c r="CV110" i="2"/>
  <c r="CW110" i="2"/>
  <c r="CX110" i="2"/>
  <c r="CY110" i="2"/>
  <c r="CZ110" i="2"/>
  <c r="DA110" i="2"/>
  <c r="DB110" i="2"/>
  <c r="DC110" i="2"/>
  <c r="DD110" i="2"/>
  <c r="AQ114" i="2"/>
  <c r="AR114" i="2"/>
  <c r="AR217" i="2" s="1"/>
  <c r="AS114" i="2"/>
  <c r="AT114" i="2"/>
  <c r="AT217" i="2" s="1"/>
  <c r="DF114" i="2"/>
  <c r="DG114" i="2"/>
  <c r="DG217" i="2" s="1"/>
  <c r="DA117" i="2"/>
  <c r="DB117" i="2"/>
  <c r="DB118" i="2" s="1"/>
  <c r="DC117" i="2"/>
  <c r="DD117" i="2"/>
  <c r="DE117" i="2"/>
  <c r="DF117" i="2"/>
  <c r="DG117" i="2"/>
  <c r="CU121" i="2"/>
  <c r="CV121" i="2"/>
  <c r="CW121" i="2"/>
  <c r="CX121" i="2"/>
  <c r="CY121" i="2"/>
  <c r="CZ121" i="2"/>
  <c r="DA121" i="2"/>
  <c r="DB121" i="2"/>
  <c r="DD121" i="2"/>
  <c r="DE121" i="2"/>
  <c r="DF121" i="2"/>
  <c r="DG121" i="2"/>
  <c r="AQ122" i="2"/>
  <c r="AR122" i="2"/>
  <c r="AS122" i="2"/>
  <c r="AT122" i="2"/>
  <c r="AU122" i="2"/>
  <c r="AV122" i="2"/>
  <c r="AW122" i="2"/>
  <c r="AX122" i="2"/>
  <c r="AY122" i="2"/>
  <c r="AZ122" i="2"/>
  <c r="BA122" i="2"/>
  <c r="BB122" i="2"/>
  <c r="BC122" i="2"/>
  <c r="BD122" i="2"/>
  <c r="CU124" i="2"/>
  <c r="CV124" i="2"/>
  <c r="CW124" i="2"/>
  <c r="CW125" i="2" s="1"/>
  <c r="CX124" i="2"/>
  <c r="CY124" i="2"/>
  <c r="CY126" i="2" s="1"/>
  <c r="CZ124" i="2"/>
  <c r="CZ126" i="2" s="1"/>
  <c r="DA124" i="2"/>
  <c r="DB124" i="2"/>
  <c r="DC124" i="2"/>
  <c r="DD124" i="2"/>
  <c r="DE124" i="2"/>
  <c r="DF124" i="2"/>
  <c r="DG124" i="2"/>
  <c r="AQ126" i="2"/>
  <c r="AR126" i="2"/>
  <c r="AS126" i="2"/>
  <c r="AT126" i="2"/>
  <c r="AU126" i="2"/>
  <c r="AV126" i="2"/>
  <c r="AW126" i="2"/>
  <c r="AX126" i="2"/>
  <c r="AY126" i="2"/>
  <c r="AZ126" i="2"/>
  <c r="BA126" i="2"/>
  <c r="BB126" i="2"/>
  <c r="BC126" i="2"/>
  <c r="BD126" i="2"/>
  <c r="AQ127" i="2"/>
  <c r="AR127" i="2"/>
  <c r="AS127" i="2"/>
  <c r="AT127" i="2"/>
  <c r="AU127" i="2"/>
  <c r="AV127" i="2"/>
  <c r="AW127" i="2"/>
  <c r="AX127" i="2"/>
  <c r="AY127" i="2"/>
  <c r="AZ127" i="2"/>
  <c r="BA127" i="2"/>
  <c r="BB127" i="2"/>
  <c r="BC127" i="2"/>
  <c r="BD127" i="2"/>
  <c r="CU130" i="2"/>
  <c r="CU133" i="2" s="1"/>
  <c r="CV130" i="2"/>
  <c r="CV133" i="2" s="1"/>
  <c r="CW130" i="2"/>
  <c r="CW131" i="2" s="1"/>
  <c r="CX130" i="2"/>
  <c r="CX132" i="2" s="1"/>
  <c r="CZ130" i="2"/>
  <c r="CZ133" i="2" s="1"/>
  <c r="DD130" i="2"/>
  <c r="DD131" i="2" s="1"/>
  <c r="CU136" i="2"/>
  <c r="CV136" i="2"/>
  <c r="CW136" i="2"/>
  <c r="CX136" i="2"/>
  <c r="CY139" i="2"/>
  <c r="CY140" i="2" s="1"/>
  <c r="CZ139" i="2"/>
  <c r="DA139" i="2"/>
  <c r="DB139" i="2"/>
  <c r="DD139" i="2"/>
  <c r="AQ140" i="2"/>
  <c r="AQ139" i="2" s="1"/>
  <c r="AR140" i="2"/>
  <c r="AR139" i="2" s="1"/>
  <c r="AS140" i="2"/>
  <c r="AS139" i="2" s="1"/>
  <c r="AT140" i="2"/>
  <c r="AT139" i="2" s="1"/>
  <c r="DE139" i="2" s="1"/>
  <c r="AU140" i="2"/>
  <c r="AV140" i="2"/>
  <c r="AW140" i="2"/>
  <c r="AX140" i="2"/>
  <c r="AY140" i="2"/>
  <c r="AZ140" i="2"/>
  <c r="BA140" i="2"/>
  <c r="BB140" i="2"/>
  <c r="BC140" i="2"/>
  <c r="BD140" i="2"/>
  <c r="BE140" i="2"/>
  <c r="BF140" i="2"/>
  <c r="DD142" i="2"/>
  <c r="AQ142" i="2"/>
  <c r="AR142" i="2"/>
  <c r="AS142" i="2"/>
  <c r="AT142" i="2"/>
  <c r="DE142" i="2" s="1"/>
  <c r="CY142" i="2"/>
  <c r="CZ142" i="2"/>
  <c r="DA142" i="2"/>
  <c r="DB142" i="2"/>
  <c r="AU163" i="2"/>
  <c r="AV163" i="2"/>
  <c r="AW163" i="2"/>
  <c r="AX163" i="2"/>
  <c r="AX164" i="2" s="1"/>
  <c r="AY163" i="2"/>
  <c r="AY164" i="2" s="1"/>
  <c r="BB163" i="2"/>
  <c r="BC163" i="2"/>
  <c r="BD163" i="2"/>
  <c r="CY160" i="2"/>
  <c r="AQ160" i="2"/>
  <c r="AR160" i="2"/>
  <c r="AS160" i="2"/>
  <c r="AT201" i="2" s="1"/>
  <c r="AT160" i="2"/>
  <c r="AU160" i="2"/>
  <c r="AV160" i="2"/>
  <c r="AW198" i="2" s="1"/>
  <c r="AW160" i="2"/>
  <c r="AX160" i="2"/>
  <c r="AY204" i="2" s="1"/>
  <c r="AY160" i="2"/>
  <c r="AZ204" i="2" s="1"/>
  <c r="AZ160" i="2"/>
  <c r="BA160" i="2"/>
  <c r="BB198" i="2" s="1"/>
  <c r="BB160" i="2"/>
  <c r="BC160" i="2"/>
  <c r="BD160" i="2"/>
  <c r="BE198" i="2" s="1"/>
  <c r="DA160" i="2"/>
  <c r="DB160" i="2"/>
  <c r="DC160" i="2"/>
  <c r="DD160" i="2"/>
  <c r="CW172" i="2"/>
  <c r="CX172" i="2"/>
  <c r="CX173" i="2" s="1"/>
  <c r="CY172" i="2"/>
  <c r="CZ172" i="2"/>
  <c r="DA172" i="2"/>
  <c r="DB172" i="2"/>
  <c r="DC172" i="2"/>
  <c r="DD172" i="2"/>
  <c r="DE172" i="2"/>
  <c r="DF172" i="2"/>
  <c r="DG172" i="2"/>
  <c r="CY174" i="2"/>
  <c r="DA174" i="2"/>
  <c r="DB174" i="2"/>
  <c r="DC174" i="2"/>
  <c r="AQ174" i="2"/>
  <c r="AR174" i="2"/>
  <c r="AS174" i="2"/>
  <c r="AT174" i="2"/>
  <c r="AU174" i="2"/>
  <c r="AV174" i="2"/>
  <c r="AW174" i="2"/>
  <c r="AX174" i="2"/>
  <c r="AY174" i="2"/>
  <c r="AZ174" i="2"/>
  <c r="BA174" i="2"/>
  <c r="BB174" i="2"/>
  <c r="BC174" i="2"/>
  <c r="BD174" i="2"/>
  <c r="BE174" i="2"/>
  <c r="CX174" i="2"/>
  <c r="CZ174" i="2"/>
  <c r="DD174" i="2"/>
  <c r="CW176" i="2"/>
  <c r="CX176" i="2"/>
  <c r="CY176" i="2"/>
  <c r="CZ176" i="2"/>
  <c r="DA176" i="2"/>
  <c r="DB176" i="2"/>
  <c r="DB177" i="2" s="1"/>
  <c r="DC176" i="2"/>
  <c r="DD176" i="2"/>
  <c r="DE176" i="2"/>
  <c r="DF176" i="2"/>
  <c r="DG176" i="2"/>
  <c r="CW175" i="2"/>
  <c r="CX175" i="2"/>
  <c r="DA175" i="2"/>
  <c r="AQ178" i="2"/>
  <c r="AQ175" i="2" s="1"/>
  <c r="AR178" i="2"/>
  <c r="AR175" i="2" s="1"/>
  <c r="AS178" i="2"/>
  <c r="AS175" i="2" s="1"/>
  <c r="AT178" i="2"/>
  <c r="AT175" i="2" s="1"/>
  <c r="AU178" i="2"/>
  <c r="AU175" i="2" s="1"/>
  <c r="AV178" i="2"/>
  <c r="AV175" i="2" s="1"/>
  <c r="AW178" i="2"/>
  <c r="AW175" i="2" s="1"/>
  <c r="AX178" i="2"/>
  <c r="AX175" i="2"/>
  <c r="AY178" i="2"/>
  <c r="AY175" i="2" s="1"/>
  <c r="AZ178" i="2"/>
  <c r="AZ175" i="2" s="1"/>
  <c r="BA178" i="2"/>
  <c r="BA175" i="2" s="1"/>
  <c r="BB178" i="2"/>
  <c r="BB175" i="2" s="1"/>
  <c r="BC178" i="2"/>
  <c r="BC175" i="2" s="1"/>
  <c r="BD178" i="2"/>
  <c r="BD175" i="2" s="1"/>
  <c r="BE178" i="2"/>
  <c r="CX178" i="2"/>
  <c r="DA178" i="2"/>
  <c r="CX179" i="2"/>
  <c r="CZ179" i="2"/>
  <c r="DB179" i="2"/>
  <c r="DD179" i="2"/>
  <c r="CW180" i="2"/>
  <c r="CX180" i="2"/>
  <c r="CY180" i="2"/>
  <c r="CZ180" i="2"/>
  <c r="DA180" i="2"/>
  <c r="DB180" i="2"/>
  <c r="DC180" i="2"/>
  <c r="DD180" i="2"/>
  <c r="DE180" i="2"/>
  <c r="DF180" i="2"/>
  <c r="DG180" i="2"/>
  <c r="CW182" i="2"/>
  <c r="CY179" i="2"/>
  <c r="DA179" i="2"/>
  <c r="DC179" i="2"/>
  <c r="AQ182" i="2"/>
  <c r="AQ179" i="2" s="1"/>
  <c r="AR182" i="2"/>
  <c r="AR179" i="2" s="1"/>
  <c r="AS182" i="2"/>
  <c r="AS179" i="2" s="1"/>
  <c r="AT182" i="2"/>
  <c r="AT179" i="2" s="1"/>
  <c r="AU182" i="2"/>
  <c r="AU179" i="2" s="1"/>
  <c r="AV182" i="2"/>
  <c r="AV179" i="2" s="1"/>
  <c r="AW182" i="2"/>
  <c r="AW179" i="2" s="1"/>
  <c r="AX182" i="2"/>
  <c r="AX179" i="2" s="1"/>
  <c r="AY182" i="2"/>
  <c r="AY179" i="2" s="1"/>
  <c r="AZ182" i="2"/>
  <c r="AZ179" i="2" s="1"/>
  <c r="BA182" i="2"/>
  <c r="BA179" i="2" s="1"/>
  <c r="BB182" i="2"/>
  <c r="BB179" i="2" s="1"/>
  <c r="BC182" i="2"/>
  <c r="BC179" i="2" s="1"/>
  <c r="BD182" i="2"/>
  <c r="BD179" i="2" s="1"/>
  <c r="BE182" i="2"/>
  <c r="CX182" i="2"/>
  <c r="CY182" i="2"/>
  <c r="CZ182" i="2"/>
  <c r="DA182" i="2"/>
  <c r="DB182" i="2"/>
  <c r="DC182" i="2"/>
  <c r="DD182" i="2"/>
  <c r="CW183" i="2"/>
  <c r="CY183" i="2"/>
  <c r="DA183" i="2"/>
  <c r="DC183" i="2"/>
  <c r="CW184" i="2"/>
  <c r="CX184" i="2"/>
  <c r="CY184" i="2"/>
  <c r="CZ184" i="2"/>
  <c r="DA184" i="2"/>
  <c r="DB184" i="2"/>
  <c r="DC184" i="2"/>
  <c r="DD184" i="2"/>
  <c r="DE184" i="2"/>
  <c r="DF184" i="2"/>
  <c r="DG184" i="2"/>
  <c r="CX183" i="2"/>
  <c r="CZ183" i="2"/>
  <c r="DA186" i="2"/>
  <c r="DB183" i="2"/>
  <c r="DD183" i="2"/>
  <c r="AQ186" i="2"/>
  <c r="AQ183" i="2" s="1"/>
  <c r="AR186" i="2"/>
  <c r="AR183" i="2" s="1"/>
  <c r="AS186" i="2"/>
  <c r="AS183" i="2" s="1"/>
  <c r="AT186" i="2"/>
  <c r="AT183" i="2" s="1"/>
  <c r="AU186" i="2"/>
  <c r="AU183" i="2" s="1"/>
  <c r="AV186" i="2"/>
  <c r="AV183" i="2" s="1"/>
  <c r="AW186" i="2"/>
  <c r="AW183" i="2" s="1"/>
  <c r="AX186" i="2"/>
  <c r="AX183" i="2" s="1"/>
  <c r="AY186" i="2"/>
  <c r="AY183" i="2" s="1"/>
  <c r="AZ186" i="2"/>
  <c r="AZ183" i="2" s="1"/>
  <c r="BA186" i="2"/>
  <c r="BA183" i="2" s="1"/>
  <c r="BB186" i="2"/>
  <c r="BB183" i="2" s="1"/>
  <c r="BC186" i="2"/>
  <c r="BC183" i="2" s="1"/>
  <c r="BD186" i="2"/>
  <c r="BD183" i="2" s="1"/>
  <c r="BE186" i="2"/>
  <c r="CW186" i="2"/>
  <c r="CX186" i="2"/>
  <c r="CY186" i="2"/>
  <c r="CZ186" i="2"/>
  <c r="DB186" i="2"/>
  <c r="DC186" i="2"/>
  <c r="DD186" i="2"/>
  <c r="DA187" i="2"/>
  <c r="CW187" i="2"/>
  <c r="CX187" i="2"/>
  <c r="CY187" i="2"/>
  <c r="DB187" i="2"/>
  <c r="DC187" i="2"/>
  <c r="CW188" i="2"/>
  <c r="CX188" i="2"/>
  <c r="CY188" i="2"/>
  <c r="CZ188" i="2"/>
  <c r="DA188" i="2"/>
  <c r="DB188" i="2"/>
  <c r="DC188" i="2"/>
  <c r="DC189" i="2" s="1"/>
  <c r="DD188" i="2"/>
  <c r="DE188" i="2"/>
  <c r="DF188" i="2"/>
  <c r="DG188" i="2"/>
  <c r="CZ187" i="2"/>
  <c r="AQ190" i="2"/>
  <c r="AQ187" i="2" s="1"/>
  <c r="AR190" i="2"/>
  <c r="AR187" i="2" s="1"/>
  <c r="AS190" i="2"/>
  <c r="AS187" i="2" s="1"/>
  <c r="AT190" i="2"/>
  <c r="AT187" i="2" s="1"/>
  <c r="AU190" i="2"/>
  <c r="AU187" i="2" s="1"/>
  <c r="AV190" i="2"/>
  <c r="AV187" i="2" s="1"/>
  <c r="AW190" i="2"/>
  <c r="AX190" i="2"/>
  <c r="AX187" i="2" s="1"/>
  <c r="AY190" i="2"/>
  <c r="AY187" i="2" s="1"/>
  <c r="AZ190" i="2"/>
  <c r="AZ187" i="2" s="1"/>
  <c r="BA190" i="2"/>
  <c r="BA187" i="2" s="1"/>
  <c r="BB190" i="2"/>
  <c r="BB187" i="2" s="1"/>
  <c r="BC190" i="2"/>
  <c r="BC187" i="2" s="1"/>
  <c r="BD190" i="2"/>
  <c r="BD187" i="2" s="1"/>
  <c r="BE190" i="2"/>
  <c r="BE187" i="2" s="1"/>
  <c r="CW190" i="2"/>
  <c r="CX190" i="2"/>
  <c r="CY190" i="2"/>
  <c r="DA190" i="2"/>
  <c r="DB190" i="2"/>
  <c r="DC190" i="2"/>
  <c r="CW191" i="2"/>
  <c r="CX191" i="2"/>
  <c r="CY191" i="2"/>
  <c r="CZ191" i="2"/>
  <c r="CZ192" i="2" s="1"/>
  <c r="DA191" i="2"/>
  <c r="DB191" i="2"/>
  <c r="DC191" i="2"/>
  <c r="DD191" i="2"/>
  <c r="DE191" i="2"/>
  <c r="DF191" i="2"/>
  <c r="DG191" i="2"/>
  <c r="CW193" i="2"/>
  <c r="CX193" i="2"/>
  <c r="CY193" i="2"/>
  <c r="CZ193" i="2"/>
  <c r="DA193" i="2"/>
  <c r="DB193" i="2"/>
  <c r="DC193" i="2"/>
  <c r="DD193" i="2"/>
  <c r="DE193" i="2"/>
  <c r="DF193" i="2"/>
  <c r="DG193" i="2"/>
  <c r="CW196" i="2"/>
  <c r="CX196" i="2"/>
  <c r="CY196" i="2"/>
  <c r="CY198" i="2" s="1"/>
  <c r="CZ196" i="2"/>
  <c r="DA196" i="2"/>
  <c r="DB196" i="2"/>
  <c r="DC196" i="2"/>
  <c r="DD196" i="2"/>
  <c r="DD163" i="2" s="1"/>
  <c r="DE196" i="2"/>
  <c r="DF196" i="2"/>
  <c r="DG196" i="2"/>
  <c r="AQ198" i="2"/>
  <c r="DD199" i="2"/>
  <c r="AQ201" i="2"/>
  <c r="AZ163" i="2"/>
  <c r="CW199" i="2"/>
  <c r="CX199" i="2"/>
  <c r="CY199" i="2"/>
  <c r="CY201" i="2" s="1"/>
  <c r="CZ199" i="2"/>
  <c r="DA199" i="2"/>
  <c r="DF199" i="2"/>
  <c r="DG199" i="2"/>
  <c r="DG163" i="2" s="1"/>
  <c r="CW229" i="2"/>
  <c r="DC142" i="2"/>
  <c r="DC143" i="2" s="1"/>
  <c r="AU229" i="2"/>
  <c r="AV229" i="2"/>
  <c r="AW229" i="2"/>
  <c r="AX229" i="2"/>
  <c r="AY229" i="2"/>
  <c r="AY231" i="2" s="1"/>
  <c r="AZ229" i="2"/>
  <c r="AZ142" i="2" s="1"/>
  <c r="BA229" i="2"/>
  <c r="BB229" i="2"/>
  <c r="BC229" i="2"/>
  <c r="BC142" i="2" s="1"/>
  <c r="BD229" i="2"/>
  <c r="CZ229" i="2"/>
  <c r="DC229" i="2"/>
  <c r="DD229" i="2"/>
  <c r="CU231" i="2"/>
  <c r="CV231" i="2"/>
  <c r="CW233" i="2"/>
  <c r="CX233" i="2"/>
  <c r="CY233" i="2"/>
  <c r="CZ233" i="2"/>
  <c r="DA233" i="2"/>
  <c r="DB233" i="2"/>
  <c r="DC233" i="2"/>
  <c r="DC234" i="2" s="1"/>
  <c r="DD233" i="2"/>
  <c r="DE233" i="2"/>
  <c r="DF233" i="2"/>
  <c r="DG233" i="2"/>
  <c r="AQ234" i="2"/>
  <c r="AR234" i="2"/>
  <c r="AS234" i="2"/>
  <c r="AT234" i="2"/>
  <c r="AU234" i="2"/>
  <c r="AV234" i="2"/>
  <c r="AW234" i="2"/>
  <c r="AX234" i="2"/>
  <c r="AY234" i="2"/>
  <c r="AZ234" i="2"/>
  <c r="BA234" i="2"/>
  <c r="BB234" i="2"/>
  <c r="BC234" i="2"/>
  <c r="BD234" i="2"/>
  <c r="AQ235" i="2"/>
  <c r="AR235" i="2"/>
  <c r="AS235" i="2"/>
  <c r="AT235" i="2"/>
  <c r="AU235" i="2"/>
  <c r="AV235" i="2"/>
  <c r="AW235" i="2"/>
  <c r="AX235" i="2"/>
  <c r="AY235" i="2"/>
  <c r="AZ235" i="2"/>
  <c r="BA235" i="2"/>
  <c r="BB235" i="2"/>
  <c r="BC235" i="2"/>
  <c r="BD235" i="2"/>
  <c r="BE235" i="2"/>
  <c r="AQ237" i="2"/>
  <c r="AR237" i="2"/>
  <c r="AS237" i="2"/>
  <c r="AT237" i="2"/>
  <c r="AU237" i="2"/>
  <c r="AV237" i="2"/>
  <c r="AW237" i="2"/>
  <c r="AX237" i="2"/>
  <c r="DF244" i="2"/>
  <c r="DG244" i="2"/>
  <c r="DF245" i="2"/>
  <c r="DG245" i="2"/>
  <c r="AQ240" i="2"/>
  <c r="AQ241" i="2" s="1"/>
  <c r="AR240" i="2"/>
  <c r="AS240" i="2"/>
  <c r="AS241" i="2" s="1"/>
  <c r="AT240" i="2"/>
  <c r="DE240" i="2" s="1"/>
  <c r="DE90" i="2" s="1"/>
  <c r="AU240" i="2"/>
  <c r="AU241" i="2" s="1"/>
  <c r="AV240" i="2"/>
  <c r="AW240" i="2"/>
  <c r="AX240" i="2"/>
  <c r="AY240" i="2"/>
  <c r="AZ252" i="2" s="1"/>
  <c r="AZ240" i="2"/>
  <c r="BA246" i="2" s="1"/>
  <c r="BA240" i="2"/>
  <c r="BB240" i="2"/>
  <c r="DG240" i="2" s="1"/>
  <c r="BC240" i="2"/>
  <c r="BD252" i="2" s="1"/>
  <c r="BD240" i="2"/>
  <c r="AZ210" i="2"/>
  <c r="BD210" i="2"/>
  <c r="BD211" i="2" s="1"/>
  <c r="CX212" i="2"/>
  <c r="CZ212" i="2"/>
  <c r="DB212" i="2"/>
  <c r="AR104" i="2"/>
  <c r="AZ212" i="2"/>
  <c r="BD212" i="2"/>
  <c r="DA212" i="2"/>
  <c r="DD212" i="2"/>
  <c r="CX213" i="2"/>
  <c r="CY209" i="2"/>
  <c r="CY213" i="2"/>
  <c r="CZ209" i="2" s="1"/>
  <c r="DB213" i="2"/>
  <c r="DC209" i="2" s="1"/>
  <c r="AZ264" i="2"/>
  <c r="AZ265" i="2" s="1"/>
  <c r="BD264" i="2"/>
  <c r="BE264" i="2" s="1"/>
  <c r="BE265" i="2" s="1"/>
  <c r="AY265" i="2"/>
  <c r="BC265" i="2"/>
  <c r="AZ266" i="2"/>
  <c r="AZ279" i="2"/>
  <c r="BD266" i="2"/>
  <c r="BD279" i="2" s="1"/>
  <c r="AY267" i="2"/>
  <c r="AY260" i="2" s="1"/>
  <c r="AY237" i="2" s="1"/>
  <c r="AY270" i="2"/>
  <c r="BC270" i="2"/>
  <c r="CV281" i="2"/>
  <c r="CU281" i="2"/>
  <c r="AQ284" i="2"/>
  <c r="AQ285" i="2" s="1"/>
  <c r="AR284" i="2"/>
  <c r="AS284" i="2"/>
  <c r="AS285" i="2" s="1"/>
  <c r="AU284" i="2"/>
  <c r="AV284" i="2"/>
  <c r="AV285" i="2" s="1"/>
  <c r="AW284" i="2"/>
  <c r="AW285" i="2" s="1"/>
  <c r="AY284" i="2"/>
  <c r="AY285" i="2" s="1"/>
  <c r="AZ284" i="2"/>
  <c r="AZ285" i="2" s="1"/>
  <c r="BA284" i="2"/>
  <c r="BC284" i="2"/>
  <c r="BD284" i="2"/>
  <c r="CU284" i="2"/>
  <c r="CV284" i="2"/>
  <c r="CX284" i="2"/>
  <c r="CY284" i="2"/>
  <c r="CZ284" i="2"/>
  <c r="DA284" i="2"/>
  <c r="DC284" i="2"/>
  <c r="AQ286" i="2"/>
  <c r="AR286" i="2"/>
  <c r="AS286" i="2"/>
  <c r="AT286" i="2"/>
  <c r="AU286" i="2"/>
  <c r="AV286" i="2"/>
  <c r="AX286" i="2"/>
  <c r="AY286" i="2"/>
  <c r="AZ286" i="2"/>
  <c r="BA286" i="2"/>
  <c r="BB286" i="2"/>
  <c r="BC286" i="2"/>
  <c r="BD286" i="2"/>
  <c r="CY286" i="2"/>
  <c r="CZ286" i="2"/>
  <c r="DA286" i="2"/>
  <c r="CX281" i="2"/>
  <c r="CY297" i="2"/>
  <c r="CZ297" i="2"/>
  <c r="AG20" i="5"/>
  <c r="CU297" i="2"/>
  <c r="CV297" i="2"/>
  <c r="CX297" i="2"/>
  <c r="X20" i="5"/>
  <c r="AQ299" i="2"/>
  <c r="AQ297" i="2" s="1"/>
  <c r="AR299" i="2"/>
  <c r="AR291" i="5" s="1"/>
  <c r="AS299" i="2"/>
  <c r="AS291" i="5" s="1"/>
  <c r="AU299" i="2"/>
  <c r="AU297" i="2"/>
  <c r="AV299" i="2"/>
  <c r="AW299" i="2"/>
  <c r="AY299" i="2"/>
  <c r="AY297" i="2" s="1"/>
  <c r="AZ299" i="2"/>
  <c r="AZ303" i="2" s="1"/>
  <c r="BA299" i="2"/>
  <c r="BA291" i="5" s="1"/>
  <c r="BC299" i="2"/>
  <c r="CX299" i="2"/>
  <c r="CY299" i="2"/>
  <c r="DA299" i="2"/>
  <c r="DC299" i="2"/>
  <c r="CU306" i="2"/>
  <c r="CV306" i="2"/>
  <c r="CX306" i="2"/>
  <c r="CY306" i="2"/>
  <c r="CZ306" i="2"/>
  <c r="DA306" i="2"/>
  <c r="DA312" i="2"/>
  <c r="AD20" i="5"/>
  <c r="CX312" i="2"/>
  <c r="CY314" i="2"/>
  <c r="CZ314" i="2"/>
  <c r="DA314" i="2"/>
  <c r="AN20" i="5"/>
  <c r="AP20" i="5" s="1"/>
  <c r="AQ314" i="2"/>
  <c r="AR314" i="2"/>
  <c r="AS314" i="2"/>
  <c r="AU314" i="2"/>
  <c r="AV314" i="2"/>
  <c r="AW314" i="2"/>
  <c r="AX314" i="2" s="1"/>
  <c r="AY314" i="2"/>
  <c r="AZ314" i="2"/>
  <c r="BA314" i="2"/>
  <c r="BC314" i="2"/>
  <c r="BD314" i="2"/>
  <c r="CU314" i="2"/>
  <c r="CV314" i="2"/>
  <c r="CX314" i="2"/>
  <c r="DC314" i="2"/>
  <c r="CU316" i="2"/>
  <c r="CV316" i="2"/>
  <c r="CX316" i="2"/>
  <c r="CY316" i="2"/>
  <c r="CZ316" i="2"/>
  <c r="DA316" i="2"/>
  <c r="DC316" i="2"/>
  <c r="DD316" i="2"/>
  <c r="DE316" i="2"/>
  <c r="DF316" i="2"/>
  <c r="AQ319" i="2"/>
  <c r="AR319" i="2"/>
  <c r="AS319" i="2"/>
  <c r="AT319" i="2"/>
  <c r="AU319" i="2" s="1"/>
  <c r="AU318" i="2" s="1"/>
  <c r="AU312" i="2" s="1"/>
  <c r="DD321" i="2"/>
  <c r="AQ321" i="2"/>
  <c r="AR321" i="2"/>
  <c r="AS321" i="2"/>
  <c r="AU321" i="2"/>
  <c r="AV321" i="2"/>
  <c r="AW321" i="2"/>
  <c r="AY321" i="2"/>
  <c r="AZ321" i="2"/>
  <c r="AZ312" i="2" s="1"/>
  <c r="BA321" i="2"/>
  <c r="BC321" i="2"/>
  <c r="BD321" i="2"/>
  <c r="CY321" i="2"/>
  <c r="CZ321" i="2"/>
  <c r="DA321" i="2"/>
  <c r="DB321" i="2"/>
  <c r="AQ2" i="1"/>
  <c r="AQ2" i="2" s="1"/>
  <c r="AS2" i="1"/>
  <c r="AS2" i="2" s="1"/>
  <c r="AT2" i="1"/>
  <c r="AT2" i="2" s="1"/>
  <c r="AU2" i="1"/>
  <c r="AU2" i="2" s="1"/>
  <c r="AV2" i="1"/>
  <c r="AV2" i="2" s="1"/>
  <c r="AW2" i="1"/>
  <c r="AW2" i="2" s="1"/>
  <c r="AX2" i="1"/>
  <c r="AX2" i="2" s="1"/>
  <c r="AY2" i="1"/>
  <c r="AY2" i="2" s="1"/>
  <c r="BA2" i="1"/>
  <c r="BA2" i="2" s="1"/>
  <c r="BB2" i="1"/>
  <c r="BB2" i="2" s="1"/>
  <c r="BG2" i="1"/>
  <c r="BG2" i="2" s="1"/>
  <c r="CU2" i="2"/>
  <c r="CV2" i="2"/>
  <c r="CW2" i="2"/>
  <c r="CX2" i="2"/>
  <c r="CY2" i="2"/>
  <c r="CZ2" i="2"/>
  <c r="DA2" i="2"/>
  <c r="DB2" i="2"/>
  <c r="DC2" i="2"/>
  <c r="DD2" i="2"/>
  <c r="DI2" i="1"/>
  <c r="DH2" i="2" s="1"/>
  <c r="DJ2" i="1"/>
  <c r="DI2" i="2" s="1"/>
  <c r="DK2" i="1"/>
  <c r="DJ2" i="2" s="1"/>
  <c r="DL2" i="1"/>
  <c r="DK2" i="2" s="1"/>
  <c r="DM2" i="1"/>
  <c r="DL2" i="2" s="1"/>
  <c r="CU4" i="2"/>
  <c r="CW4" i="2"/>
  <c r="CZ4" i="2"/>
  <c r="AQ26" i="1"/>
  <c r="AR26" i="1"/>
  <c r="AS26" i="1"/>
  <c r="AT26" i="1"/>
  <c r="AT121" i="1" s="1"/>
  <c r="AU26" i="1"/>
  <c r="AV26" i="1"/>
  <c r="AW26" i="1"/>
  <c r="AX26" i="1"/>
  <c r="AY26" i="1"/>
  <c r="AZ26" i="1"/>
  <c r="BA26" i="1"/>
  <c r="BE27" i="1" s="1"/>
  <c r="BB26" i="1"/>
  <c r="BB109" i="1" s="1"/>
  <c r="BC26" i="1"/>
  <c r="BD26" i="1"/>
  <c r="BD74" i="1" s="1"/>
  <c r="DF30" i="1"/>
  <c r="DG30" i="1"/>
  <c r="DG350" i="1" s="1"/>
  <c r="DH30" i="1"/>
  <c r="AQ32" i="1"/>
  <c r="AR32" i="1"/>
  <c r="AS32" i="1"/>
  <c r="AT32" i="1"/>
  <c r="AU32" i="1"/>
  <c r="AV32" i="1"/>
  <c r="AW32" i="1"/>
  <c r="AX32" i="1"/>
  <c r="AY32" i="1"/>
  <c r="AZ32" i="1"/>
  <c r="BA32" i="1"/>
  <c r="BB32" i="1"/>
  <c r="BC32" i="1"/>
  <c r="BD32" i="1"/>
  <c r="DF34" i="1"/>
  <c r="DG34" i="1"/>
  <c r="DH34" i="1"/>
  <c r="AQ36" i="1"/>
  <c r="AR36" i="1"/>
  <c r="AS36" i="1"/>
  <c r="AT36" i="1"/>
  <c r="AU36" i="1"/>
  <c r="AV36" i="1"/>
  <c r="AW36" i="1"/>
  <c r="AX36" i="1"/>
  <c r="AY36" i="1"/>
  <c r="AZ36" i="1"/>
  <c r="BA36" i="1"/>
  <c r="BB36" i="1"/>
  <c r="BC36" i="1"/>
  <c r="BD36" i="1"/>
  <c r="AQ38" i="1"/>
  <c r="AR38" i="1"/>
  <c r="AS38" i="1"/>
  <c r="AT38" i="1"/>
  <c r="AT7" i="5" s="1"/>
  <c r="AU38" i="1"/>
  <c r="AV38" i="1"/>
  <c r="AW38" i="1"/>
  <c r="AX38" i="1"/>
  <c r="AX7" i="5" s="1"/>
  <c r="AY38" i="1"/>
  <c r="AZ38" i="1"/>
  <c r="AZ7" i="5" s="1"/>
  <c r="BA38" i="1"/>
  <c r="BB38" i="1"/>
  <c r="BC38" i="1"/>
  <c r="BD38" i="1"/>
  <c r="BD7" i="5" s="1"/>
  <c r="DF41" i="1"/>
  <c r="DF43" i="1" s="1"/>
  <c r="DG41" i="1"/>
  <c r="DH41" i="1"/>
  <c r="AQ42" i="1"/>
  <c r="AR42" i="1"/>
  <c r="AS42" i="1"/>
  <c r="AT42" i="1"/>
  <c r="AU42" i="1"/>
  <c r="AV42" i="1"/>
  <c r="AW42" i="1"/>
  <c r="AX42" i="1"/>
  <c r="AY42" i="1"/>
  <c r="AZ42" i="1"/>
  <c r="BA42" i="1"/>
  <c r="BB42" i="1"/>
  <c r="BC42" i="1"/>
  <c r="BD42" i="1"/>
  <c r="AQ43" i="1"/>
  <c r="AR43" i="1"/>
  <c r="AS43" i="1"/>
  <c r="AT43" i="1"/>
  <c r="AU43" i="1"/>
  <c r="AV43" i="1"/>
  <c r="AW43" i="1"/>
  <c r="AX43" i="1"/>
  <c r="AY43" i="1"/>
  <c r="AZ43" i="1"/>
  <c r="BA43" i="1"/>
  <c r="BB43" i="1"/>
  <c r="BC43" i="1"/>
  <c r="BD43" i="1"/>
  <c r="DF44" i="1"/>
  <c r="DG44" i="1"/>
  <c r="DH44" i="1"/>
  <c r="AQ45" i="1"/>
  <c r="AR45" i="1"/>
  <c r="AS45" i="1"/>
  <c r="AT45" i="1"/>
  <c r="AU45" i="1"/>
  <c r="AV45" i="1"/>
  <c r="AW45" i="1"/>
  <c r="AX45" i="1"/>
  <c r="AY45" i="1"/>
  <c r="AZ45" i="1"/>
  <c r="BA45" i="1"/>
  <c r="BB45" i="1"/>
  <c r="BC45" i="1"/>
  <c r="BD45" i="1"/>
  <c r="AQ46" i="1"/>
  <c r="AR46" i="1"/>
  <c r="AS46" i="1"/>
  <c r="AT46" i="1"/>
  <c r="AU46" i="1"/>
  <c r="AV46" i="1"/>
  <c r="AW46" i="1"/>
  <c r="AX46" i="1"/>
  <c r="AY46" i="1"/>
  <c r="AZ46" i="1"/>
  <c r="BA46" i="1"/>
  <c r="BB46" i="1"/>
  <c r="BC46" i="1"/>
  <c r="BD46" i="1"/>
  <c r="AQ53" i="1"/>
  <c r="AQ54" i="1" s="1"/>
  <c r="AQ55" i="1" s="1"/>
  <c r="AR53" i="1"/>
  <c r="AR54" i="1" s="1"/>
  <c r="AR55" i="1" s="1"/>
  <c r="AS53" i="1"/>
  <c r="AT53" i="1"/>
  <c r="AT54" i="1" s="1"/>
  <c r="AT55" i="1" s="1"/>
  <c r="AU53" i="1"/>
  <c r="AU54" i="1" s="1"/>
  <c r="AV53" i="1"/>
  <c r="AW53" i="1"/>
  <c r="AW54" i="1" s="1"/>
  <c r="AX53" i="1"/>
  <c r="AY53" i="1"/>
  <c r="AZ53" i="1"/>
  <c r="AZ54" i="1" s="1"/>
  <c r="BA53" i="1"/>
  <c r="BA54" i="1" s="1"/>
  <c r="BB53" i="1"/>
  <c r="BB54" i="1" s="1"/>
  <c r="BF55" i="1" s="1"/>
  <c r="BC53" i="1"/>
  <c r="BD53" i="1"/>
  <c r="DF73" i="1"/>
  <c r="DF76" i="1" s="1"/>
  <c r="DG73" i="1"/>
  <c r="DH73" i="1"/>
  <c r="AQ75" i="1"/>
  <c r="AR75" i="1"/>
  <c r="AS75" i="1"/>
  <c r="AT75" i="1"/>
  <c r="AU75" i="1"/>
  <c r="AV75" i="1"/>
  <c r="AW75" i="1"/>
  <c r="AX75" i="1"/>
  <c r="AY75" i="1"/>
  <c r="AZ75" i="1"/>
  <c r="BA75" i="1"/>
  <c r="BB75" i="1"/>
  <c r="BC75" i="1"/>
  <c r="BD75" i="1"/>
  <c r="AQ76" i="1"/>
  <c r="AR76" i="1"/>
  <c r="AS76" i="1"/>
  <c r="AT76" i="1"/>
  <c r="AT78" i="1" s="1"/>
  <c r="AU76" i="1"/>
  <c r="AV76" i="1"/>
  <c r="AW76" i="1"/>
  <c r="AX76" i="1"/>
  <c r="AY76" i="1"/>
  <c r="AZ76" i="1"/>
  <c r="BA76" i="1"/>
  <c r="BB76" i="1"/>
  <c r="BB78" i="1" s="1"/>
  <c r="BC76" i="1"/>
  <c r="BD76" i="1"/>
  <c r="AQ77" i="1"/>
  <c r="AR77" i="1"/>
  <c r="AS77" i="1"/>
  <c r="AT77" i="1"/>
  <c r="AU77" i="1"/>
  <c r="AV77" i="1"/>
  <c r="AW77" i="1"/>
  <c r="AX77" i="1"/>
  <c r="AY77" i="1"/>
  <c r="AZ77" i="1"/>
  <c r="BA77" i="1"/>
  <c r="BB77" i="1"/>
  <c r="BC77" i="1"/>
  <c r="BD77" i="1"/>
  <c r="DF82" i="1"/>
  <c r="DF85" i="1" s="1"/>
  <c r="DG82" i="1"/>
  <c r="DH82" i="1"/>
  <c r="AQ84" i="1"/>
  <c r="AR84" i="1"/>
  <c r="AS84" i="1"/>
  <c r="AT84" i="1"/>
  <c r="AU84" i="1"/>
  <c r="AV84" i="1"/>
  <c r="AW84" i="1"/>
  <c r="AX84" i="1"/>
  <c r="AY84" i="1"/>
  <c r="AZ84" i="1"/>
  <c r="BA84" i="1"/>
  <c r="BB84" i="1"/>
  <c r="BC84" i="1"/>
  <c r="BD84" i="1"/>
  <c r="AQ85" i="1"/>
  <c r="AR85" i="1"/>
  <c r="AS85" i="1"/>
  <c r="AU85" i="1"/>
  <c r="AU87" i="1" s="1"/>
  <c r="AV85" i="1"/>
  <c r="AW85" i="1"/>
  <c r="AX85" i="1"/>
  <c r="AY85" i="1"/>
  <c r="AZ85" i="1"/>
  <c r="BA85" i="1"/>
  <c r="BA87" i="1" s="1"/>
  <c r="BB85" i="1"/>
  <c r="BC85" i="1"/>
  <c r="BD85" i="1"/>
  <c r="AR86" i="1"/>
  <c r="AS86" i="1"/>
  <c r="AT86" i="1"/>
  <c r="AU86" i="1"/>
  <c r="AV86" i="1"/>
  <c r="AW86" i="1"/>
  <c r="AX86" i="1"/>
  <c r="AY86" i="1"/>
  <c r="AZ86" i="1"/>
  <c r="BA86" i="1"/>
  <c r="BB86" i="1"/>
  <c r="BC86" i="1"/>
  <c r="BD86" i="1"/>
  <c r="AT89" i="1"/>
  <c r="AX91" i="1" s="1"/>
  <c r="DG89" i="1"/>
  <c r="AQ91" i="1"/>
  <c r="AR91" i="1"/>
  <c r="AS91" i="1"/>
  <c r="AU91" i="1"/>
  <c r="AV91" i="1"/>
  <c r="AW91" i="1"/>
  <c r="AY91" i="1"/>
  <c r="AZ91" i="1"/>
  <c r="BA91" i="1"/>
  <c r="BB91" i="1"/>
  <c r="BC91" i="1"/>
  <c r="AQ92" i="1"/>
  <c r="AR92" i="1"/>
  <c r="AS92" i="1"/>
  <c r="AV92" i="1"/>
  <c r="AW92" i="1"/>
  <c r="AX92" i="1"/>
  <c r="AY92" i="1"/>
  <c r="AZ92" i="1"/>
  <c r="BA92" i="1"/>
  <c r="BB92" i="1"/>
  <c r="BC92" i="1"/>
  <c r="AT117" i="1"/>
  <c r="AT155" i="1" s="1"/>
  <c r="DG117" i="1"/>
  <c r="DH117" i="1"/>
  <c r="DF94" i="1"/>
  <c r="DE14" i="5"/>
  <c r="DG94" i="1"/>
  <c r="DH94" i="1"/>
  <c r="DG14" i="5" s="1"/>
  <c r="DF99" i="1"/>
  <c r="DG99" i="1"/>
  <c r="DH99" i="1"/>
  <c r="AT102" i="1"/>
  <c r="AT103" i="1"/>
  <c r="DG102" i="1"/>
  <c r="DH102" i="1"/>
  <c r="DF105" i="1"/>
  <c r="DG105" i="1"/>
  <c r="DH105" i="1"/>
  <c r="DG108" i="1"/>
  <c r="DH108" i="1"/>
  <c r="DG111" i="1"/>
  <c r="DH111" i="1"/>
  <c r="AU132" i="1"/>
  <c r="BA132" i="1"/>
  <c r="BB132" i="1"/>
  <c r="AQ262" i="1"/>
  <c r="AQ263" i="1" s="1"/>
  <c r="AR262" i="1"/>
  <c r="AS262" i="1"/>
  <c r="AT262" i="1"/>
  <c r="AU262" i="1"/>
  <c r="AV262" i="1"/>
  <c r="AV357" i="1" s="1"/>
  <c r="AW262" i="1"/>
  <c r="AW265" i="1" s="1"/>
  <c r="AX262" i="1"/>
  <c r="AY262" i="1"/>
  <c r="AZ262" i="1"/>
  <c r="BA262" i="1"/>
  <c r="BB262" i="1"/>
  <c r="BC262" i="1"/>
  <c r="BC357" i="1" s="1"/>
  <c r="BD262" i="1"/>
  <c r="DF223" i="1"/>
  <c r="DF224" i="1" s="1"/>
  <c r="DF229" i="1" s="1"/>
  <c r="DG223" i="1"/>
  <c r="DH223" i="1"/>
  <c r="AQ224" i="1"/>
  <c r="AQ233" i="1" s="1"/>
  <c r="AR224" i="1"/>
  <c r="AS224" i="1"/>
  <c r="AT224" i="1"/>
  <c r="AT321" i="1" s="1"/>
  <c r="AU224" i="1"/>
  <c r="AV224" i="1"/>
  <c r="AW224" i="1"/>
  <c r="AX224" i="1"/>
  <c r="AY224" i="1"/>
  <c r="AY307" i="1" s="1"/>
  <c r="AZ224" i="1"/>
  <c r="BA224" i="1"/>
  <c r="BB224" i="1"/>
  <c r="BB321" i="1" s="1"/>
  <c r="DH321" i="1" s="1"/>
  <c r="BC224" i="1"/>
  <c r="BC307" i="1" s="1"/>
  <c r="BD224" i="1"/>
  <c r="DF225" i="1"/>
  <c r="DG225" i="1"/>
  <c r="DH225" i="1"/>
  <c r="DH226" i="1" s="1"/>
  <c r="DF235" i="1"/>
  <c r="DF236" i="1" s="1"/>
  <c r="DG235" i="1"/>
  <c r="DH235" i="1"/>
  <c r="AQ236" i="1"/>
  <c r="AR236" i="1"/>
  <c r="AS236" i="1"/>
  <c r="AT236" i="1"/>
  <c r="AU236" i="1"/>
  <c r="AV236" i="1"/>
  <c r="AW236" i="1"/>
  <c r="AX236" i="1"/>
  <c r="AY236" i="1"/>
  <c r="AZ236" i="1"/>
  <c r="BA236" i="1"/>
  <c r="BB236" i="1"/>
  <c r="BC236" i="1"/>
  <c r="BD236" i="1"/>
  <c r="DF237" i="1"/>
  <c r="DF238" i="1" s="1"/>
  <c r="DG237" i="1"/>
  <c r="DH237" i="1"/>
  <c r="DG239" i="1"/>
  <c r="DF245" i="1"/>
  <c r="DG245" i="1"/>
  <c r="DH245" i="1"/>
  <c r="AQ246" i="1"/>
  <c r="AR246" i="1"/>
  <c r="DF246" i="1" s="1"/>
  <c r="AS246" i="1"/>
  <c r="AT246" i="1"/>
  <c r="AU246" i="1"/>
  <c r="AV246" i="1"/>
  <c r="AW246" i="1"/>
  <c r="AX246" i="1"/>
  <c r="AY246" i="1"/>
  <c r="AZ246" i="1"/>
  <c r="BA246" i="1"/>
  <c r="BB246" i="1"/>
  <c r="BC246" i="1"/>
  <c r="BD246" i="1"/>
  <c r="DF247" i="1"/>
  <c r="DG247" i="1"/>
  <c r="DH247" i="1"/>
  <c r="AQ268" i="1"/>
  <c r="AU270" i="1" s="1"/>
  <c r="AR268" i="1"/>
  <c r="AR380" i="1" s="1"/>
  <c r="AS268" i="1"/>
  <c r="AT268" i="1"/>
  <c r="AU268" i="1"/>
  <c r="AV268" i="1"/>
  <c r="AW268" i="1"/>
  <c r="AX268" i="1"/>
  <c r="AY268" i="1"/>
  <c r="AZ271" i="1" s="1"/>
  <c r="AZ369" i="1" s="1"/>
  <c r="AZ402" i="1" s="1"/>
  <c r="AZ268" i="1"/>
  <c r="BA268" i="1"/>
  <c r="BE270" i="1" s="1"/>
  <c r="BB268" i="1"/>
  <c r="BC268" i="1"/>
  <c r="BD268" i="1"/>
  <c r="AQ277" i="1"/>
  <c r="AR277" i="1"/>
  <c r="AS277" i="1"/>
  <c r="AT277" i="1"/>
  <c r="AT259" i="1" s="1"/>
  <c r="AU277" i="1"/>
  <c r="AV277" i="1"/>
  <c r="AW277" i="1"/>
  <c r="AX277" i="1"/>
  <c r="AY277" i="1"/>
  <c r="AZ277" i="1"/>
  <c r="BA277" i="1"/>
  <c r="BA259" i="1" s="1"/>
  <c r="BB277" i="1"/>
  <c r="BC277" i="1"/>
  <c r="BD277" i="1"/>
  <c r="AQ312" i="1"/>
  <c r="AR312" i="1"/>
  <c r="AT310" i="1"/>
  <c r="AS312" i="1"/>
  <c r="AW313" i="1" s="1"/>
  <c r="BA314" i="1" s="1"/>
  <c r="BE315" i="1" s="1"/>
  <c r="AR323" i="1"/>
  <c r="AV324" i="1" s="1"/>
  <c r="AZ325" i="1" s="1"/>
  <c r="BD326" i="1" s="1"/>
  <c r="AQ323" i="1"/>
  <c r="AU324" i="1" s="1"/>
  <c r="AY325" i="1" s="1"/>
  <c r="AS323" i="1"/>
  <c r="AW324" i="1" s="1"/>
  <c r="AS325" i="1"/>
  <c r="AW326" i="1" s="1"/>
  <c r="AR324" i="1"/>
  <c r="AV325" i="1"/>
  <c r="AZ326" i="1" s="1"/>
  <c r="AS324" i="1"/>
  <c r="AW325" i="1" s="1"/>
  <c r="BA326" i="1" s="1"/>
  <c r="AQ350" i="1"/>
  <c r="AQ351" i="1" s="1"/>
  <c r="AR350" i="1"/>
  <c r="AR351" i="1" s="1"/>
  <c r="AS350" i="1"/>
  <c r="AS351" i="1" s="1"/>
  <c r="AT350" i="1"/>
  <c r="AT351" i="1" s="1"/>
  <c r="AU350" i="1"/>
  <c r="AV350" i="1"/>
  <c r="AW350" i="1"/>
  <c r="AX350" i="1"/>
  <c r="AY350" i="1"/>
  <c r="AY351" i="1" s="1"/>
  <c r="AZ350" i="1"/>
  <c r="BA350" i="1"/>
  <c r="BB350" i="1"/>
  <c r="BC350" i="1"/>
  <c r="BD350" i="1"/>
  <c r="AQ354" i="1"/>
  <c r="AQ301" i="1" s="1"/>
  <c r="AS354" i="1"/>
  <c r="AT354" i="1"/>
  <c r="AU354" i="1"/>
  <c r="AV354" i="1"/>
  <c r="AW354" i="1"/>
  <c r="AX354" i="1"/>
  <c r="AY354" i="1"/>
  <c r="BA354" i="1"/>
  <c r="BB354" i="1"/>
  <c r="DI354" i="1"/>
  <c r="DJ354" i="1"/>
  <c r="DM354" i="1"/>
  <c r="DF368" i="1"/>
  <c r="DG368" i="1"/>
  <c r="DH368" i="1"/>
  <c r="AQ372" i="1"/>
  <c r="AR372" i="1"/>
  <c r="AS372" i="1"/>
  <c r="AT372" i="1"/>
  <c r="AU372" i="1"/>
  <c r="AV372" i="1"/>
  <c r="AW372" i="1"/>
  <c r="AX372" i="1"/>
  <c r="AY372" i="1"/>
  <c r="AZ372" i="1"/>
  <c r="BA372" i="1"/>
  <c r="BB372" i="1"/>
  <c r="BC372" i="1"/>
  <c r="AQ373" i="1"/>
  <c r="AR373" i="1"/>
  <c r="AS373" i="1"/>
  <c r="AT373" i="1"/>
  <c r="AU373" i="1"/>
  <c r="AV373" i="1"/>
  <c r="AW373" i="1"/>
  <c r="AX373" i="1"/>
  <c r="AY373" i="1"/>
  <c r="AZ373" i="1"/>
  <c r="BA373" i="1"/>
  <c r="BB373" i="1"/>
  <c r="BC373" i="1"/>
  <c r="BD378" i="1"/>
  <c r="BJ175" i="5"/>
  <c r="DF383" i="1"/>
  <c r="DG383" i="1"/>
  <c r="DH383" i="1"/>
  <c r="DI383" i="1"/>
  <c r="AQ384" i="1"/>
  <c r="AR384" i="1"/>
  <c r="AS384" i="1"/>
  <c r="AT384" i="1"/>
  <c r="AU384" i="1"/>
  <c r="AV384" i="1"/>
  <c r="AW384" i="1"/>
  <c r="AX384" i="1"/>
  <c r="AY384" i="1"/>
  <c r="AZ384" i="1"/>
  <c r="BA384" i="1"/>
  <c r="BB384" i="1"/>
  <c r="BC384" i="1"/>
  <c r="BD384" i="1"/>
  <c r="DG386" i="1"/>
  <c r="AQ388" i="1"/>
  <c r="AR388" i="1"/>
  <c r="AS388" i="1"/>
  <c r="AT388" i="1"/>
  <c r="AQ389" i="1"/>
  <c r="AR389" i="1"/>
  <c r="AS389" i="1"/>
  <c r="AT389" i="1"/>
  <c r="DI394" i="1"/>
  <c r="DF394" i="1"/>
  <c r="DG394" i="1"/>
  <c r="DH394" i="1"/>
  <c r="DJ394" i="1"/>
  <c r="AQ397" i="1"/>
  <c r="AR397" i="1"/>
  <c r="AS397" i="1"/>
  <c r="AT397" i="1"/>
  <c r="AU397" i="1"/>
  <c r="AV397" i="1"/>
  <c r="AW397" i="1"/>
  <c r="AX397" i="1"/>
  <c r="AY397" i="1"/>
  <c r="AZ397" i="1"/>
  <c r="BA397" i="1"/>
  <c r="BB397" i="1"/>
  <c r="BC397" i="1"/>
  <c r="BD397" i="1"/>
  <c r="BE397" i="1"/>
  <c r="BF397" i="1"/>
  <c r="AQ398" i="1"/>
  <c r="AR398" i="1"/>
  <c r="AS398" i="1"/>
  <c r="AT398" i="1"/>
  <c r="AU398" i="1"/>
  <c r="AV398" i="1"/>
  <c r="AW398" i="1"/>
  <c r="AX398" i="1"/>
  <c r="AY398" i="1"/>
  <c r="AZ398" i="1"/>
  <c r="BA398" i="1"/>
  <c r="BB398" i="1"/>
  <c r="BC398" i="1"/>
  <c r="BD398" i="1"/>
  <c r="BE398" i="1"/>
  <c r="BF398" i="1"/>
  <c r="DI400" i="1"/>
  <c r="DJ405" i="1" s="1"/>
  <c r="DJ400" i="1"/>
  <c r="C3" i="5"/>
  <c r="D3" i="5"/>
  <c r="E3" i="5"/>
  <c r="F3" i="5"/>
  <c r="G3" i="5"/>
  <c r="H3" i="5"/>
  <c r="H6" i="5" s="1"/>
  <c r="H246" i="5" s="1"/>
  <c r="I3" i="5"/>
  <c r="J3" i="5"/>
  <c r="K3" i="5"/>
  <c r="L3" i="5"/>
  <c r="M3" i="5"/>
  <c r="N3" i="5"/>
  <c r="O3" i="5"/>
  <c r="Q3" i="5"/>
  <c r="Q6" i="5" s="1"/>
  <c r="R3" i="5"/>
  <c r="S3" i="5"/>
  <c r="U3" i="5"/>
  <c r="V3" i="5"/>
  <c r="W3" i="5"/>
  <c r="X3" i="5"/>
  <c r="Y3" i="5"/>
  <c r="Z3" i="5"/>
  <c r="AA3" i="5"/>
  <c r="AC3" i="5"/>
  <c r="C4" i="5"/>
  <c r="D4" i="5"/>
  <c r="E4" i="5"/>
  <c r="E6" i="5" s="1"/>
  <c r="F4" i="5"/>
  <c r="G4" i="5"/>
  <c r="J4" i="5"/>
  <c r="J6" i="5" s="1"/>
  <c r="L4" i="5"/>
  <c r="L6" i="5" s="1"/>
  <c r="O4" i="5"/>
  <c r="P4" i="5"/>
  <c r="Q4" i="5"/>
  <c r="R4" i="5"/>
  <c r="S4" i="5"/>
  <c r="T4" i="5"/>
  <c r="U4" i="5"/>
  <c r="V4" i="5"/>
  <c r="V6" i="5" s="1"/>
  <c r="W4" i="5"/>
  <c r="X4" i="5"/>
  <c r="Y4" i="5"/>
  <c r="Z4" i="5"/>
  <c r="AA4" i="5"/>
  <c r="BC6" i="5"/>
  <c r="BD238" i="5" s="1"/>
  <c r="C7" i="5"/>
  <c r="C158" i="5"/>
  <c r="D7" i="5"/>
  <c r="E7" i="5"/>
  <c r="F7" i="5"/>
  <c r="G7" i="5"/>
  <c r="H7" i="5"/>
  <c r="I7" i="5"/>
  <c r="J7" i="5"/>
  <c r="K7" i="5"/>
  <c r="L239" i="5" s="1"/>
  <c r="L7" i="5"/>
  <c r="M7" i="5"/>
  <c r="N7" i="5"/>
  <c r="O7" i="5"/>
  <c r="P7" i="5"/>
  <c r="Q7" i="5"/>
  <c r="R7" i="5"/>
  <c r="S7" i="5"/>
  <c r="T239" i="5" s="1"/>
  <c r="T7" i="5"/>
  <c r="U7" i="5"/>
  <c r="V7" i="5"/>
  <c r="V239" i="5" s="1"/>
  <c r="W7" i="5"/>
  <c r="W239" i="5" s="1"/>
  <c r="X7" i="5"/>
  <c r="Y7" i="5"/>
  <c r="Z7" i="5"/>
  <c r="AA7" i="5"/>
  <c r="DA7" i="5" s="1"/>
  <c r="AB7" i="5"/>
  <c r="AC7" i="5"/>
  <c r="AD7" i="5"/>
  <c r="AE7" i="5"/>
  <c r="AF7" i="5"/>
  <c r="AG7" i="5"/>
  <c r="AH7" i="5"/>
  <c r="AI7" i="5"/>
  <c r="DC7" i="5" s="1"/>
  <c r="H11" i="3" s="1"/>
  <c r="AJ7" i="5"/>
  <c r="AK7" i="5"/>
  <c r="AL7" i="5"/>
  <c r="AM7" i="5"/>
  <c r="AN7" i="5"/>
  <c r="AO7" i="5"/>
  <c r="AP7" i="5"/>
  <c r="C11" i="5"/>
  <c r="D11" i="5"/>
  <c r="E11" i="5"/>
  <c r="F11" i="5"/>
  <c r="G11" i="5"/>
  <c r="H11" i="5"/>
  <c r="I11" i="5"/>
  <c r="J11" i="5"/>
  <c r="K11" i="5"/>
  <c r="L11" i="5"/>
  <c r="M11" i="5"/>
  <c r="N11" i="5"/>
  <c r="O11" i="5"/>
  <c r="P11" i="5"/>
  <c r="Q11" i="5"/>
  <c r="R11" i="5"/>
  <c r="S11" i="5"/>
  <c r="T11" i="5"/>
  <c r="U11" i="5"/>
  <c r="V11" i="5"/>
  <c r="W11" i="5"/>
  <c r="X11" i="5"/>
  <c r="Y11" i="5"/>
  <c r="Z11" i="5"/>
  <c r="AA11" i="5"/>
  <c r="DA11" i="5" s="1"/>
  <c r="AB11" i="5"/>
  <c r="AC11" i="5"/>
  <c r="AD11" i="5"/>
  <c r="AE11" i="5"/>
  <c r="AF11" i="5"/>
  <c r="AG11" i="5"/>
  <c r="AH11" i="5"/>
  <c r="AI11" i="5"/>
  <c r="AJ11" i="5"/>
  <c r="AK11" i="5"/>
  <c r="AL11" i="5"/>
  <c r="AM11" i="5"/>
  <c r="AN11" i="5"/>
  <c r="AO11" i="5"/>
  <c r="AP11" i="5"/>
  <c r="AQ11" i="5"/>
  <c r="AR11" i="5"/>
  <c r="AS11" i="5"/>
  <c r="AT11" i="5"/>
  <c r="AU11" i="5"/>
  <c r="AV11" i="5"/>
  <c r="AW11" i="5"/>
  <c r="AX11" i="5"/>
  <c r="AY11" i="5"/>
  <c r="AZ11" i="5"/>
  <c r="BA11" i="5"/>
  <c r="BB11" i="5"/>
  <c r="BC11" i="5"/>
  <c r="BD11" i="5"/>
  <c r="D12" i="5"/>
  <c r="E12" i="5"/>
  <c r="F12" i="5"/>
  <c r="G12" i="5"/>
  <c r="H12" i="5"/>
  <c r="I12" i="5"/>
  <c r="J12" i="5"/>
  <c r="K12" i="5"/>
  <c r="L12" i="5"/>
  <c r="M12" i="5"/>
  <c r="N12" i="5"/>
  <c r="O12" i="5"/>
  <c r="P12" i="5"/>
  <c r="Q12" i="5"/>
  <c r="R12" i="5"/>
  <c r="S12" i="5"/>
  <c r="T12" i="5"/>
  <c r="U12" i="5"/>
  <c r="V12" i="5"/>
  <c r="W12" i="5"/>
  <c r="X12" i="5"/>
  <c r="Y12" i="5"/>
  <c r="Z12" i="5"/>
  <c r="AA12" i="5"/>
  <c r="AB12" i="5"/>
  <c r="AC12" i="5"/>
  <c r="AD12" i="5"/>
  <c r="AE12" i="5"/>
  <c r="AF12" i="5"/>
  <c r="AG12" i="5"/>
  <c r="AH12" i="5"/>
  <c r="AI12" i="5"/>
  <c r="AJ12" i="5"/>
  <c r="AK12" i="5"/>
  <c r="AL12" i="5"/>
  <c r="AM12" i="5"/>
  <c r="AN12" i="5"/>
  <c r="AO12" i="5"/>
  <c r="AP12" i="5"/>
  <c r="AQ12" i="5"/>
  <c r="AR12" i="5"/>
  <c r="AS12" i="5"/>
  <c r="AT12" i="5"/>
  <c r="AU12" i="5"/>
  <c r="AV12" i="5"/>
  <c r="AW12" i="5"/>
  <c r="AX12" i="5"/>
  <c r="AY12" i="5"/>
  <c r="AZ12" i="5"/>
  <c r="BA12" i="5"/>
  <c r="BB12" i="5"/>
  <c r="BC12" i="5"/>
  <c r="BD12" i="5"/>
  <c r="D13" i="5"/>
  <c r="E13" i="5"/>
  <c r="F13" i="5"/>
  <c r="G13" i="5"/>
  <c r="H13" i="5"/>
  <c r="I13" i="5"/>
  <c r="J13" i="5"/>
  <c r="K13" i="5"/>
  <c r="L13" i="5"/>
  <c r="M13" i="5"/>
  <c r="N13" i="5"/>
  <c r="O13" i="5"/>
  <c r="P13" i="5"/>
  <c r="P247" i="5" s="1"/>
  <c r="Q13" i="5"/>
  <c r="R13" i="5"/>
  <c r="S13" i="5"/>
  <c r="T13" i="5"/>
  <c r="U13" i="5"/>
  <c r="V13" i="5"/>
  <c r="W13" i="5"/>
  <c r="X13" i="5"/>
  <c r="Y13" i="5"/>
  <c r="Z13" i="5"/>
  <c r="AA13" i="5"/>
  <c r="AB13" i="5"/>
  <c r="AC13" i="5"/>
  <c r="AD13" i="5"/>
  <c r="AE13" i="5"/>
  <c r="AF13" i="5"/>
  <c r="AG13" i="5"/>
  <c r="AH13" i="5"/>
  <c r="AI13" i="5"/>
  <c r="AJ13" i="5"/>
  <c r="AK13" i="5"/>
  <c r="AL13" i="5"/>
  <c r="AM13" i="5"/>
  <c r="AN13" i="5"/>
  <c r="AO13" i="5"/>
  <c r="AP13" i="5"/>
  <c r="AQ13" i="5"/>
  <c r="AR13" i="5"/>
  <c r="AS13" i="5"/>
  <c r="AU13" i="5"/>
  <c r="AV13" i="5"/>
  <c r="AW13" i="5"/>
  <c r="AX13" i="5"/>
  <c r="AY13" i="5"/>
  <c r="AZ13" i="5"/>
  <c r="BA13" i="5"/>
  <c r="BB13" i="5"/>
  <c r="BC13" i="5"/>
  <c r="BD13" i="5"/>
  <c r="C15" i="5"/>
  <c r="D15" i="5"/>
  <c r="D248" i="5" s="1"/>
  <c r="E15" i="5"/>
  <c r="F15" i="5"/>
  <c r="G15" i="5"/>
  <c r="H15" i="5"/>
  <c r="I15" i="5"/>
  <c r="J15" i="5"/>
  <c r="K15" i="5"/>
  <c r="L15" i="5"/>
  <c r="M15" i="5"/>
  <c r="N15" i="5"/>
  <c r="O15" i="5"/>
  <c r="P15" i="5"/>
  <c r="Q15" i="5"/>
  <c r="R15" i="5"/>
  <c r="S15" i="5"/>
  <c r="T15" i="5"/>
  <c r="U15" i="5"/>
  <c r="V15" i="5"/>
  <c r="W15" i="5"/>
  <c r="X15" i="5"/>
  <c r="Y15" i="5"/>
  <c r="Z15" i="5"/>
  <c r="AA15" i="5"/>
  <c r="AB15" i="5"/>
  <c r="AD15" i="5"/>
  <c r="AE15" i="5"/>
  <c r="AF15" i="5"/>
  <c r="AM15" i="5"/>
  <c r="C18" i="5"/>
  <c r="C60" i="5" s="1"/>
  <c r="G18" i="5"/>
  <c r="G60" i="5" s="1"/>
  <c r="AK18" i="5"/>
  <c r="AK60" i="5" s="1"/>
  <c r="AL18" i="5"/>
  <c r="AL60" i="5" s="1"/>
  <c r="AM18" i="5"/>
  <c r="AM60" i="5" s="1"/>
  <c r="AO18" i="5"/>
  <c r="AO60" i="5" s="1"/>
  <c r="AQ18" i="5"/>
  <c r="AQ60" i="5"/>
  <c r="AR18" i="5"/>
  <c r="AR60" i="5" s="1"/>
  <c r="AS18" i="5"/>
  <c r="AS60" i="5" s="1"/>
  <c r="AT18" i="5"/>
  <c r="AU18" i="5"/>
  <c r="AV18" i="5"/>
  <c r="AW18" i="5"/>
  <c r="AY18" i="5"/>
  <c r="AY60" i="5" s="1"/>
  <c r="AZ18" i="5"/>
  <c r="AZ60" i="5" s="1"/>
  <c r="BA18" i="5"/>
  <c r="BA60" i="5" s="1"/>
  <c r="BC18" i="5"/>
  <c r="BC60" i="5" s="1"/>
  <c r="C19" i="5"/>
  <c r="C274" i="5" s="1"/>
  <c r="D19" i="5"/>
  <c r="D274" i="5" s="1"/>
  <c r="E19" i="5"/>
  <c r="F19" i="5"/>
  <c r="F274" i="5" s="1"/>
  <c r="G19" i="5"/>
  <c r="H19" i="5"/>
  <c r="H274" i="5" s="1"/>
  <c r="I19" i="5"/>
  <c r="I274" i="5" s="1"/>
  <c r="J19" i="5"/>
  <c r="J274" i="5" s="1"/>
  <c r="K19" i="5"/>
  <c r="K274" i="5" s="1"/>
  <c r="L19" i="5"/>
  <c r="L274" i="5" s="1"/>
  <c r="M19" i="5"/>
  <c r="M274" i="5" s="1"/>
  <c r="N19" i="5"/>
  <c r="N274" i="5" s="1"/>
  <c r="O19" i="5"/>
  <c r="P19" i="5"/>
  <c r="P274" i="5" s="1"/>
  <c r="Q19" i="5"/>
  <c r="Q274" i="5" s="1"/>
  <c r="R19" i="5"/>
  <c r="S19" i="5"/>
  <c r="T19" i="5"/>
  <c r="U19" i="5"/>
  <c r="V19" i="5"/>
  <c r="W19" i="5"/>
  <c r="W274" i="5" s="1"/>
  <c r="X19" i="5"/>
  <c r="X274" i="5" s="1"/>
  <c r="Y19" i="5"/>
  <c r="Y274" i="5" s="1"/>
  <c r="Z19" i="5"/>
  <c r="AA19" i="5"/>
  <c r="AA274" i="5" s="1"/>
  <c r="AB19" i="5"/>
  <c r="AC19" i="5"/>
  <c r="AD19" i="5"/>
  <c r="AE19" i="5"/>
  <c r="AE274" i="5"/>
  <c r="AF19" i="5"/>
  <c r="AF274" i="5" s="1"/>
  <c r="AG19" i="5"/>
  <c r="AG274" i="5" s="1"/>
  <c r="AI19" i="5"/>
  <c r="AN19" i="5"/>
  <c r="AN274" i="5" s="1"/>
  <c r="AX19" i="5"/>
  <c r="BB19" i="5"/>
  <c r="BB274" i="5" s="1"/>
  <c r="DE19" i="5"/>
  <c r="C20" i="5"/>
  <c r="D20" i="5"/>
  <c r="E20" i="5"/>
  <c r="F20" i="5"/>
  <c r="G20" i="5"/>
  <c r="H20" i="5"/>
  <c r="I20" i="5"/>
  <c r="J20" i="5"/>
  <c r="K20" i="5"/>
  <c r="K260" i="5" s="1"/>
  <c r="L20" i="5"/>
  <c r="M20" i="5"/>
  <c r="N20" i="5"/>
  <c r="P20" i="5"/>
  <c r="Q20" i="5"/>
  <c r="R20" i="5"/>
  <c r="S20" i="5"/>
  <c r="T20" i="5"/>
  <c r="U20" i="5"/>
  <c r="U18" i="5" s="1"/>
  <c r="U60" i="5" s="1"/>
  <c r="Z20" i="5"/>
  <c r="AA20" i="5"/>
  <c r="AB20" i="5"/>
  <c r="AC20" i="5"/>
  <c r="AJ20" i="5"/>
  <c r="AJ18" i="5" s="1"/>
  <c r="AJ60" i="5" s="1"/>
  <c r="AX20" i="5"/>
  <c r="DF20" i="5" s="1"/>
  <c r="BB20" i="5"/>
  <c r="DG20" i="5" s="1"/>
  <c r="DE20" i="5"/>
  <c r="CX31" i="5"/>
  <c r="CY31" i="5"/>
  <c r="CZ31" i="5"/>
  <c r="DA31" i="5"/>
  <c r="DB31" i="5"/>
  <c r="DC31" i="5"/>
  <c r="DD31" i="5"/>
  <c r="DE31" i="5"/>
  <c r="DE59" i="5" s="1"/>
  <c r="DF31" i="5"/>
  <c r="DF59" i="5" s="1"/>
  <c r="DG31" i="5"/>
  <c r="DG59" i="5" s="1"/>
  <c r="DH31" i="5"/>
  <c r="DH59" i="5" s="1"/>
  <c r="Z23" i="5"/>
  <c r="Z203" i="5" s="1"/>
  <c r="DF23" i="5"/>
  <c r="K20" i="3" s="1"/>
  <c r="DG23" i="5"/>
  <c r="L20" i="3" s="1"/>
  <c r="CX23" i="5"/>
  <c r="C20" i="3" s="1"/>
  <c r="CY23" i="5"/>
  <c r="D20" i="3" s="1"/>
  <c r="DA23" i="5"/>
  <c r="F20" i="3" s="1"/>
  <c r="DB23" i="5"/>
  <c r="G20" i="3" s="1"/>
  <c r="DC23" i="5"/>
  <c r="H20" i="3" s="1"/>
  <c r="DD23" i="5"/>
  <c r="I20" i="3" s="1"/>
  <c r="DE23" i="5"/>
  <c r="J20" i="3" s="1"/>
  <c r="CY32" i="5"/>
  <c r="CY207" i="5" s="1"/>
  <c r="CX32" i="5"/>
  <c r="CX207" i="5"/>
  <c r="CZ32" i="5"/>
  <c r="CZ207" i="5" s="1"/>
  <c r="DA32" i="5"/>
  <c r="DA207" i="5" s="1"/>
  <c r="DB32" i="5"/>
  <c r="DB207" i="5" s="1"/>
  <c r="DC32" i="5"/>
  <c r="DC207" i="5" s="1"/>
  <c r="DD32" i="5"/>
  <c r="DD207" i="5" s="1"/>
  <c r="CX33" i="5"/>
  <c r="CZ33" i="5"/>
  <c r="DA33" i="5"/>
  <c r="DB33" i="5"/>
  <c r="DC33" i="5"/>
  <c r="DD33" i="5"/>
  <c r="CX47" i="5"/>
  <c r="CY47" i="5"/>
  <c r="CZ47" i="5"/>
  <c r="DA47" i="5"/>
  <c r="DB47" i="5"/>
  <c r="DB74" i="5" s="1"/>
  <c r="DC47" i="5"/>
  <c r="DD47" i="5"/>
  <c r="DF74" i="5"/>
  <c r="CX55" i="5"/>
  <c r="CY55" i="5"/>
  <c r="CZ55" i="5"/>
  <c r="DA55" i="5"/>
  <c r="DB55" i="5"/>
  <c r="DC55" i="5"/>
  <c r="DD55" i="5"/>
  <c r="CX66" i="5"/>
  <c r="CY66" i="5"/>
  <c r="CZ66" i="5"/>
  <c r="DA66" i="5"/>
  <c r="DB66" i="5"/>
  <c r="DB82" i="5" s="1"/>
  <c r="DC66" i="5"/>
  <c r="DD66" i="5"/>
  <c r="DF82" i="5"/>
  <c r="DG82" i="5"/>
  <c r="DH82" i="5"/>
  <c r="AI83" i="5"/>
  <c r="AQ83" i="5"/>
  <c r="AU83" i="5"/>
  <c r="BB83" i="5"/>
  <c r="C74" i="5"/>
  <c r="D74" i="5"/>
  <c r="E74" i="5"/>
  <c r="F74" i="5"/>
  <c r="G74" i="5"/>
  <c r="H74" i="5"/>
  <c r="I74" i="5"/>
  <c r="J74" i="5"/>
  <c r="K74" i="5"/>
  <c r="L74" i="5"/>
  <c r="M74" i="5"/>
  <c r="N74" i="5"/>
  <c r="O74" i="5"/>
  <c r="P74" i="5"/>
  <c r="Q74" i="5"/>
  <c r="R74" i="5"/>
  <c r="S74" i="5"/>
  <c r="T74" i="5"/>
  <c r="U74" i="5"/>
  <c r="V74" i="5"/>
  <c r="W74" i="5"/>
  <c r="X74" i="5"/>
  <c r="Y74" i="5"/>
  <c r="Z74" i="5"/>
  <c r="AA74" i="5"/>
  <c r="DA74" i="5" s="1"/>
  <c r="AB74" i="5"/>
  <c r="AC74" i="5"/>
  <c r="AD74" i="5"/>
  <c r="AE74" i="5"/>
  <c r="AF74" i="5"/>
  <c r="AG74" i="5"/>
  <c r="AH74" i="5"/>
  <c r="AI74" i="5"/>
  <c r="AJ74" i="5"/>
  <c r="AK74" i="5"/>
  <c r="AL74" i="5"/>
  <c r="AM74" i="5"/>
  <c r="AN74" i="5"/>
  <c r="AO74" i="5"/>
  <c r="AP74" i="5"/>
  <c r="AQ74" i="5"/>
  <c r="AR74" i="5"/>
  <c r="AS74" i="5"/>
  <c r="AT74" i="5"/>
  <c r="AU74" i="5"/>
  <c r="AV74" i="5"/>
  <c r="AW74" i="5"/>
  <c r="AX74" i="5"/>
  <c r="AY74" i="5"/>
  <c r="AZ74" i="5"/>
  <c r="BA74" i="5"/>
  <c r="BB74" i="5"/>
  <c r="BC74" i="5"/>
  <c r="BD74" i="5"/>
  <c r="BE74" i="5"/>
  <c r="BF74" i="5"/>
  <c r="BG74" i="5"/>
  <c r="BH74" i="5"/>
  <c r="BI74" i="5"/>
  <c r="BJ74" i="5"/>
  <c r="C82" i="5"/>
  <c r="D82" i="5"/>
  <c r="E82" i="5"/>
  <c r="F82" i="5"/>
  <c r="G82" i="5"/>
  <c r="H82" i="5"/>
  <c r="I82" i="5"/>
  <c r="J82" i="5"/>
  <c r="K82" i="5"/>
  <c r="L82" i="5"/>
  <c r="M82" i="5"/>
  <c r="N82" i="5"/>
  <c r="O82" i="5"/>
  <c r="P82" i="5"/>
  <c r="Q82" i="5"/>
  <c r="R82" i="5"/>
  <c r="S82" i="5"/>
  <c r="T82" i="5"/>
  <c r="U82" i="5"/>
  <c r="V82" i="5"/>
  <c r="W82" i="5"/>
  <c r="X82" i="5"/>
  <c r="Y82" i="5"/>
  <c r="Z82" i="5"/>
  <c r="AA82" i="5"/>
  <c r="AB82" i="5"/>
  <c r="AC82" i="5"/>
  <c r="AD82" i="5"/>
  <c r="AE82" i="5"/>
  <c r="AF82" i="5"/>
  <c r="AG82" i="5"/>
  <c r="AH82" i="5"/>
  <c r="AI82" i="5"/>
  <c r="AJ82" i="5"/>
  <c r="AK82" i="5"/>
  <c r="AL82" i="5"/>
  <c r="AM82" i="5"/>
  <c r="AN82" i="5"/>
  <c r="AO82" i="5"/>
  <c r="AP82" i="5"/>
  <c r="AQ82" i="5"/>
  <c r="AR82" i="5"/>
  <c r="AS82" i="5"/>
  <c r="AT82" i="5"/>
  <c r="AU82" i="5"/>
  <c r="AV82" i="5"/>
  <c r="AW82" i="5"/>
  <c r="AX82" i="5"/>
  <c r="AY82" i="5"/>
  <c r="AZ82" i="5"/>
  <c r="BA82" i="5"/>
  <c r="BB82" i="5"/>
  <c r="BC82" i="5"/>
  <c r="BD82" i="5"/>
  <c r="BE82" i="5"/>
  <c r="BF82" i="5"/>
  <c r="BG82" i="5"/>
  <c r="BH82" i="5"/>
  <c r="BI82" i="5"/>
  <c r="BJ82" i="5"/>
  <c r="DI82" i="5"/>
  <c r="DJ82" i="5"/>
  <c r="DK82" i="5"/>
  <c r="DL82" i="5"/>
  <c r="C89" i="5"/>
  <c r="AU89" i="5"/>
  <c r="AV89" i="5"/>
  <c r="AW89" i="5"/>
  <c r="AX89" i="5"/>
  <c r="DF89" i="5" s="1"/>
  <c r="AY89" i="5"/>
  <c r="AZ89" i="5"/>
  <c r="BA89" i="5"/>
  <c r="BB89" i="5"/>
  <c r="DG89" i="5" s="1"/>
  <c r="BC89" i="5"/>
  <c r="BD89" i="5"/>
  <c r="D90" i="5"/>
  <c r="E90" i="5"/>
  <c r="E279" i="5" s="1"/>
  <c r="E280" i="5" s="1"/>
  <c r="F90" i="5"/>
  <c r="G90" i="5"/>
  <c r="G140" i="5" s="1"/>
  <c r="H90" i="5"/>
  <c r="I90" i="5"/>
  <c r="I279" i="5" s="1"/>
  <c r="I280" i="5" s="1"/>
  <c r="J90" i="5"/>
  <c r="K90" i="5"/>
  <c r="K140" i="5" s="1"/>
  <c r="L90" i="5"/>
  <c r="M90" i="5"/>
  <c r="M279" i="5" s="1"/>
  <c r="M280" i="5" s="1"/>
  <c r="N90" i="5"/>
  <c r="O90" i="5"/>
  <c r="O279" i="5" s="1"/>
  <c r="O280" i="5" s="1"/>
  <c r="P90" i="5"/>
  <c r="Q90" i="5"/>
  <c r="Q69" i="5" s="1"/>
  <c r="R90" i="5"/>
  <c r="S90" i="5"/>
  <c r="T277" i="5" s="1"/>
  <c r="T90" i="5"/>
  <c r="U277" i="5" s="1"/>
  <c r="U90" i="5"/>
  <c r="U279" i="5" s="1"/>
  <c r="U280" i="5" s="1"/>
  <c r="CY90" i="5"/>
  <c r="CZ90" i="5"/>
  <c r="CZ279" i="5" s="1"/>
  <c r="CZ280" i="5" s="1"/>
  <c r="DA90" i="5"/>
  <c r="DA140" i="5" s="1"/>
  <c r="DB90" i="5"/>
  <c r="DB279" i="5" s="1"/>
  <c r="DB280" i="5" s="1"/>
  <c r="DC90" i="5"/>
  <c r="DD277" i="5" s="1"/>
  <c r="DD90" i="5"/>
  <c r="DE277" i="5" s="1"/>
  <c r="DE90" i="5"/>
  <c r="DE140" i="5" s="1"/>
  <c r="DF90" i="5"/>
  <c r="DG90" i="5"/>
  <c r="DG140" i="5" s="1"/>
  <c r="CX92" i="5"/>
  <c r="CY92" i="5"/>
  <c r="CZ92" i="5"/>
  <c r="DA92" i="5"/>
  <c r="DB92" i="5"/>
  <c r="DC92" i="5"/>
  <c r="DD92" i="5"/>
  <c r="DE92" i="5"/>
  <c r="DF92" i="5"/>
  <c r="DG92" i="5"/>
  <c r="CX93" i="5"/>
  <c r="CX158" i="5" s="1"/>
  <c r="CY93" i="5"/>
  <c r="CZ93" i="5"/>
  <c r="CZ158" i="5" s="1"/>
  <c r="DA93" i="5"/>
  <c r="DB93" i="5"/>
  <c r="DB158" i="5" s="1"/>
  <c r="DC93" i="5"/>
  <c r="DD93" i="5"/>
  <c r="DD158" i="5" s="1"/>
  <c r="DE93" i="5"/>
  <c r="DF93" i="5"/>
  <c r="DG93" i="5"/>
  <c r="L94" i="5"/>
  <c r="L133" i="5" s="1"/>
  <c r="M94" i="5"/>
  <c r="N94" i="5"/>
  <c r="O94" i="5"/>
  <c r="P94" i="5"/>
  <c r="P133" i="5" s="1"/>
  <c r="Q94" i="5"/>
  <c r="R94" i="5"/>
  <c r="S94" i="5"/>
  <c r="T94" i="5"/>
  <c r="U94" i="5"/>
  <c r="U133" i="5" s="1"/>
  <c r="V94" i="5"/>
  <c r="CY94" i="5" s="1"/>
  <c r="W94" i="5"/>
  <c r="W133" i="5"/>
  <c r="X94" i="5"/>
  <c r="Y94" i="5"/>
  <c r="Y133" i="5" s="1"/>
  <c r="Z94" i="5"/>
  <c r="CZ94" i="5" s="1"/>
  <c r="AA94" i="5"/>
  <c r="AA89" i="5" s="1"/>
  <c r="AB94" i="5"/>
  <c r="AB89" i="5" s="1"/>
  <c r="AC94" i="5"/>
  <c r="AC133" i="5" s="1"/>
  <c r="AD94" i="5"/>
  <c r="AE94" i="5"/>
  <c r="AE89" i="5" s="1"/>
  <c r="AF94" i="5"/>
  <c r="AF89" i="5" s="1"/>
  <c r="AG94" i="5"/>
  <c r="AG89" i="5" s="1"/>
  <c r="AH94" i="5"/>
  <c r="AH89" i="5" s="1"/>
  <c r="DB89" i="5" s="1"/>
  <c r="AI94" i="5"/>
  <c r="AJ94" i="5"/>
  <c r="AK94" i="5"/>
  <c r="AK89" i="5" s="1"/>
  <c r="AL94" i="5"/>
  <c r="DC94" i="5" s="1"/>
  <c r="AM94" i="5"/>
  <c r="AM133" i="5" s="1"/>
  <c r="AN94" i="5"/>
  <c r="AO94" i="5"/>
  <c r="AP94" i="5"/>
  <c r="AQ94" i="5"/>
  <c r="AR94" i="5"/>
  <c r="AR133" i="5" s="1"/>
  <c r="AS94" i="5"/>
  <c r="AS89" i="5" s="1"/>
  <c r="AT94" i="5"/>
  <c r="DF94" i="5"/>
  <c r="DG94" i="5"/>
  <c r="D95" i="5"/>
  <c r="D89" i="5" s="1"/>
  <c r="E95" i="5"/>
  <c r="E150" i="5" s="1"/>
  <c r="F95" i="5"/>
  <c r="G95" i="5"/>
  <c r="G150" i="5" s="1"/>
  <c r="H95" i="5"/>
  <c r="I95" i="5"/>
  <c r="I150" i="5" s="1"/>
  <c r="J95" i="5"/>
  <c r="J150" i="5" s="1"/>
  <c r="J58" i="5" s="1"/>
  <c r="J80" i="5" s="1"/>
  <c r="K95" i="5"/>
  <c r="L95" i="5"/>
  <c r="M95" i="5"/>
  <c r="N95" i="5"/>
  <c r="O95" i="5"/>
  <c r="P95" i="5"/>
  <c r="Q95" i="5"/>
  <c r="R95" i="5"/>
  <c r="S95" i="5"/>
  <c r="T95" i="5"/>
  <c r="U95" i="5"/>
  <c r="V95" i="5"/>
  <c r="W95" i="5"/>
  <c r="W89" i="5" s="1"/>
  <c r="X95" i="5"/>
  <c r="Y95" i="5"/>
  <c r="Z95" i="5"/>
  <c r="DA95" i="5"/>
  <c r="DB95" i="5"/>
  <c r="DC95" i="5"/>
  <c r="DD95" i="5"/>
  <c r="DE95" i="5"/>
  <c r="DF95" i="5"/>
  <c r="DG95" i="5"/>
  <c r="C96" i="5"/>
  <c r="AH96" i="5"/>
  <c r="AI96" i="5"/>
  <c r="AJ96" i="5"/>
  <c r="AK96" i="5"/>
  <c r="AL96" i="5"/>
  <c r="DC96" i="5" s="1"/>
  <c r="AM96" i="5"/>
  <c r="AN96" i="5"/>
  <c r="AO96" i="5"/>
  <c r="AP96" i="5"/>
  <c r="DD96" i="5" s="1"/>
  <c r="AQ96" i="5"/>
  <c r="AR96" i="5"/>
  <c r="AS96" i="5"/>
  <c r="AT96" i="5"/>
  <c r="DE96" i="5" s="1"/>
  <c r="AU96" i="5"/>
  <c r="AV96" i="5"/>
  <c r="AW96" i="5"/>
  <c r="AX96" i="5"/>
  <c r="AY96" i="5"/>
  <c r="AZ96" i="5"/>
  <c r="AZ107" i="5" s="1"/>
  <c r="BA96" i="5"/>
  <c r="BA107" i="5" s="1"/>
  <c r="BB96" i="5"/>
  <c r="DG96" i="5" s="1"/>
  <c r="BC96" i="5"/>
  <c r="BD96" i="5"/>
  <c r="D97" i="5"/>
  <c r="D96" i="5" s="1"/>
  <c r="E97" i="5"/>
  <c r="F97" i="5"/>
  <c r="F288" i="5" s="1"/>
  <c r="G97" i="5"/>
  <c r="H97" i="5"/>
  <c r="I287" i="5" s="1"/>
  <c r="I97" i="5"/>
  <c r="J287" i="5" s="1"/>
  <c r="J97" i="5"/>
  <c r="K97" i="5"/>
  <c r="K141" i="5" s="1"/>
  <c r="L97" i="5"/>
  <c r="M97" i="5"/>
  <c r="M288" i="5" s="1"/>
  <c r="N97" i="5"/>
  <c r="N96" i="5" s="1"/>
  <c r="O97" i="5"/>
  <c r="O288" i="5" s="1"/>
  <c r="P97" i="5"/>
  <c r="Q97" i="5"/>
  <c r="R97" i="5"/>
  <c r="S287" i="5" s="1"/>
  <c r="S97" i="5"/>
  <c r="S96" i="5" s="1"/>
  <c r="T97" i="5"/>
  <c r="U67" i="5" s="1"/>
  <c r="U83" i="5" s="1"/>
  <c r="U97" i="5"/>
  <c r="V97" i="5"/>
  <c r="V67" i="5" s="1"/>
  <c r="V83" i="5" s="1"/>
  <c r="W97" i="5"/>
  <c r="X97" i="5"/>
  <c r="Y97" i="5"/>
  <c r="Z287" i="5" s="1"/>
  <c r="Z97" i="5"/>
  <c r="Z288" i="5" s="1"/>
  <c r="AA97" i="5"/>
  <c r="AB97" i="5"/>
  <c r="AC67" i="5" s="1"/>
  <c r="AC83" i="5" s="1"/>
  <c r="AC97" i="5"/>
  <c r="AD97" i="5"/>
  <c r="DA97" i="5" s="1"/>
  <c r="AE97" i="5"/>
  <c r="AF97" i="5"/>
  <c r="AG97" i="5"/>
  <c r="DB97" i="5"/>
  <c r="DC287" i="5" s="1"/>
  <c r="DC97" i="5"/>
  <c r="DD97" i="5"/>
  <c r="DE97" i="5"/>
  <c r="DE141" i="5" s="1"/>
  <c r="DF97" i="5"/>
  <c r="DF141" i="5" s="1"/>
  <c r="DG97" i="5"/>
  <c r="CX99" i="5"/>
  <c r="CY99" i="5"/>
  <c r="CZ99" i="5"/>
  <c r="DA99" i="5"/>
  <c r="DB99" i="5"/>
  <c r="DC99" i="5"/>
  <c r="DD99" i="5"/>
  <c r="DE99" i="5"/>
  <c r="DF99" i="5"/>
  <c r="DG99" i="5"/>
  <c r="CX100" i="5"/>
  <c r="CY100" i="5"/>
  <c r="CZ100" i="5"/>
  <c r="DA100" i="5"/>
  <c r="DB100" i="5"/>
  <c r="DC100" i="5"/>
  <c r="DD100" i="5"/>
  <c r="DE100" i="5"/>
  <c r="DF100" i="5"/>
  <c r="DG100" i="5"/>
  <c r="AC101" i="5"/>
  <c r="AC96" i="5" s="1"/>
  <c r="CX101" i="5"/>
  <c r="CY101" i="5"/>
  <c r="CZ101" i="5"/>
  <c r="DA101" i="5"/>
  <c r="DB101" i="5"/>
  <c r="DC101" i="5"/>
  <c r="DD101" i="5"/>
  <c r="DE101" i="5"/>
  <c r="DF101" i="5"/>
  <c r="DG101" i="5"/>
  <c r="CX104" i="5"/>
  <c r="CX102" i="5" s="1"/>
  <c r="CY104" i="5"/>
  <c r="CZ104" i="5"/>
  <c r="DA104" i="5"/>
  <c r="DB104" i="5"/>
  <c r="DC104" i="5"/>
  <c r="DD104" i="5"/>
  <c r="DE104" i="5"/>
  <c r="DF133" i="1" s="1"/>
  <c r="DF104" i="5"/>
  <c r="DG104" i="5"/>
  <c r="DH133" i="1" s="1"/>
  <c r="AP105" i="5"/>
  <c r="DD105" i="5" s="1"/>
  <c r="CX105" i="5"/>
  <c r="CY105" i="5"/>
  <c r="CZ105" i="5"/>
  <c r="DA105" i="5"/>
  <c r="DB105" i="5"/>
  <c r="DC105" i="5"/>
  <c r="DE105" i="5"/>
  <c r="DE149" i="5" s="1"/>
  <c r="DF105" i="5"/>
  <c r="DG105" i="5"/>
  <c r="DH105" i="5"/>
  <c r="DH149" i="5"/>
  <c r="CX106" i="5"/>
  <c r="CY106" i="5"/>
  <c r="CZ106" i="5"/>
  <c r="DA106" i="5"/>
  <c r="DA102" i="5" s="1"/>
  <c r="DB106" i="5"/>
  <c r="DC106" i="5"/>
  <c r="DD106" i="5"/>
  <c r="DE106" i="5"/>
  <c r="DF106" i="5"/>
  <c r="DG106" i="5"/>
  <c r="C108" i="5"/>
  <c r="AU108" i="5"/>
  <c r="AV108" i="5"/>
  <c r="AW108" i="5"/>
  <c r="AX108" i="5"/>
  <c r="DF108" i="5" s="1"/>
  <c r="AY108" i="5"/>
  <c r="AZ108" i="5"/>
  <c r="BA108" i="5"/>
  <c r="BB108" i="5"/>
  <c r="DG108" i="5" s="1"/>
  <c r="BC108" i="5"/>
  <c r="BD108" i="5"/>
  <c r="CX109" i="5"/>
  <c r="CX159" i="5" s="1"/>
  <c r="CY109" i="5"/>
  <c r="CY159" i="5" s="1"/>
  <c r="CZ109" i="5"/>
  <c r="CZ159" i="5" s="1"/>
  <c r="DA109" i="5"/>
  <c r="DA159" i="5" s="1"/>
  <c r="DB109" i="5"/>
  <c r="DB159" i="5" s="1"/>
  <c r="DC109" i="5"/>
  <c r="DC159" i="5" s="1"/>
  <c r="DD109" i="5"/>
  <c r="DD159" i="5" s="1"/>
  <c r="DE109" i="5"/>
  <c r="DF109" i="5"/>
  <c r="DG109" i="5"/>
  <c r="R111" i="5"/>
  <c r="V111" i="5"/>
  <c r="V298" i="5" s="1"/>
  <c r="W111" i="5"/>
  <c r="W298" i="5" s="1"/>
  <c r="X111" i="5"/>
  <c r="Y111" i="5"/>
  <c r="Z111" i="5"/>
  <c r="Z142" i="5" s="1"/>
  <c r="AA111" i="5"/>
  <c r="AB111" i="5"/>
  <c r="AC111" i="5"/>
  <c r="AD111" i="5"/>
  <c r="DA111" i="5" s="1"/>
  <c r="AE111" i="5"/>
  <c r="AE64" i="5" s="1"/>
  <c r="AF111" i="5"/>
  <c r="AG111" i="5"/>
  <c r="AG298" i="5" s="1"/>
  <c r="AG314" i="5" s="1"/>
  <c r="AH111" i="5"/>
  <c r="DB111" i="5" s="1"/>
  <c r="AI111" i="5"/>
  <c r="AJ111" i="5"/>
  <c r="AK111" i="5"/>
  <c r="AL111" i="5"/>
  <c r="AL298" i="5" s="1"/>
  <c r="AM111" i="5"/>
  <c r="AN111" i="5"/>
  <c r="AO111" i="5"/>
  <c r="AP111" i="5"/>
  <c r="AP298" i="5" s="1"/>
  <c r="AQ111" i="5"/>
  <c r="AR111" i="5"/>
  <c r="AS111" i="5"/>
  <c r="AT111" i="5"/>
  <c r="AT298" i="5" s="1"/>
  <c r="CX112" i="5"/>
  <c r="CX149" i="5" s="1"/>
  <c r="CY112" i="5"/>
  <c r="CZ112" i="5"/>
  <c r="DA112" i="5"/>
  <c r="DA149" i="5" s="1"/>
  <c r="DB112" i="5"/>
  <c r="DC112" i="5"/>
  <c r="DD112" i="5"/>
  <c r="L114" i="5"/>
  <c r="CX114" i="5"/>
  <c r="CY114" i="5"/>
  <c r="CZ114" i="5"/>
  <c r="DA114" i="5"/>
  <c r="DB114" i="5"/>
  <c r="DC114" i="5"/>
  <c r="DD114" i="5"/>
  <c r="DE114" i="5"/>
  <c r="DF114" i="5"/>
  <c r="DG114" i="5"/>
  <c r="L115" i="5"/>
  <c r="M115" i="5"/>
  <c r="N115" i="5"/>
  <c r="O115" i="5"/>
  <c r="P115" i="5"/>
  <c r="Q115" i="5"/>
  <c r="R115" i="5"/>
  <c r="S115" i="5"/>
  <c r="T115" i="5"/>
  <c r="U115" i="5"/>
  <c r="V115" i="5"/>
  <c r="CY115" i="5" s="1"/>
  <c r="W115" i="5"/>
  <c r="X115" i="5"/>
  <c r="Y115" i="5"/>
  <c r="Z115" i="5"/>
  <c r="CZ115" i="5" s="1"/>
  <c r="AA115" i="5"/>
  <c r="AB115" i="5"/>
  <c r="AC115" i="5"/>
  <c r="AD115" i="5"/>
  <c r="DA115" i="5" s="1"/>
  <c r="AE115" i="5"/>
  <c r="AF115" i="5"/>
  <c r="AG115" i="5"/>
  <c r="AH115" i="5"/>
  <c r="DC115" i="5"/>
  <c r="DD115" i="5"/>
  <c r="DE115" i="5"/>
  <c r="DF115" i="5"/>
  <c r="DG115" i="5"/>
  <c r="AB116" i="5"/>
  <c r="CX116" i="5"/>
  <c r="CX147" i="5" s="1"/>
  <c r="CY116" i="5"/>
  <c r="CY147" i="5" s="1"/>
  <c r="CZ116" i="5"/>
  <c r="CZ147" i="5" s="1"/>
  <c r="DA116" i="5"/>
  <c r="DA147" i="5" s="1"/>
  <c r="DB116" i="5"/>
  <c r="DB147" i="5" s="1"/>
  <c r="DC116" i="5"/>
  <c r="DC147" i="5" s="1"/>
  <c r="DD116" i="5"/>
  <c r="DD147" i="5" s="1"/>
  <c r="DE116" i="5"/>
  <c r="DE147" i="5" s="1"/>
  <c r="DF116" i="5"/>
  <c r="DF147" i="5" s="1"/>
  <c r="DG116" i="5"/>
  <c r="DG147" i="5" s="1"/>
  <c r="DH116" i="5"/>
  <c r="DH147" i="5"/>
  <c r="D117" i="5"/>
  <c r="E117" i="5"/>
  <c r="F117" i="5"/>
  <c r="F134" i="5" s="1"/>
  <c r="G117" i="5"/>
  <c r="H117" i="5"/>
  <c r="I117" i="5"/>
  <c r="I108" i="5" s="1"/>
  <c r="J117" i="5"/>
  <c r="K117" i="5"/>
  <c r="K134" i="5" s="1"/>
  <c r="K132" i="5" s="1"/>
  <c r="L117" i="5"/>
  <c r="M117" i="5"/>
  <c r="N117" i="5"/>
  <c r="O117" i="5"/>
  <c r="P117" i="5"/>
  <c r="Q117" i="5"/>
  <c r="R117" i="5"/>
  <c r="CX117" i="5"/>
  <c r="S117" i="5"/>
  <c r="T117" i="5"/>
  <c r="U117" i="5"/>
  <c r="V117" i="5"/>
  <c r="W117" i="5"/>
  <c r="W134" i="5" s="1"/>
  <c r="X117" i="5"/>
  <c r="Y117" i="5"/>
  <c r="Z117" i="5"/>
  <c r="AA117" i="5"/>
  <c r="AB117" i="5"/>
  <c r="AC117" i="5"/>
  <c r="AD117" i="5"/>
  <c r="AE117" i="5"/>
  <c r="AE134" i="5" s="1"/>
  <c r="AF117" i="5"/>
  <c r="AF134" i="5" s="1"/>
  <c r="AG117" i="5"/>
  <c r="AH117" i="5"/>
  <c r="DB117" i="5" s="1"/>
  <c r="AI117" i="5"/>
  <c r="AI134" i="5" s="1"/>
  <c r="AJ117" i="5"/>
  <c r="AJ134" i="5" s="1"/>
  <c r="AK117" i="5"/>
  <c r="AL117" i="5"/>
  <c r="AL108" i="5" s="1"/>
  <c r="DC108" i="5" s="1"/>
  <c r="AM117" i="5"/>
  <c r="AM134" i="5" s="1"/>
  <c r="AN117" i="5"/>
  <c r="AN134" i="5" s="1"/>
  <c r="AO117" i="5"/>
  <c r="AO134" i="5" s="1"/>
  <c r="AP117" i="5"/>
  <c r="AP134" i="5" s="1"/>
  <c r="AQ117" i="5"/>
  <c r="AQ134" i="5" s="1"/>
  <c r="AR117" i="5"/>
  <c r="AR134" i="5" s="1"/>
  <c r="AS117" i="5"/>
  <c r="AS108" i="5" s="1"/>
  <c r="AS134" i="5"/>
  <c r="AT117" i="5"/>
  <c r="AT134" i="5" s="1"/>
  <c r="DF117" i="5"/>
  <c r="DG117" i="5"/>
  <c r="AP118" i="5"/>
  <c r="DD118" i="5" s="1"/>
  <c r="CX118" i="5"/>
  <c r="CY118" i="5"/>
  <c r="CZ118" i="5"/>
  <c r="DA118" i="5"/>
  <c r="DB118" i="5"/>
  <c r="DC118" i="5"/>
  <c r="C119" i="5"/>
  <c r="D119" i="5"/>
  <c r="E119" i="5"/>
  <c r="F119" i="5"/>
  <c r="G119" i="5"/>
  <c r="I119" i="5"/>
  <c r="J119" i="5"/>
  <c r="K119" i="5"/>
  <c r="AU119" i="5"/>
  <c r="AV119" i="5"/>
  <c r="AW119" i="5"/>
  <c r="AX119" i="5"/>
  <c r="DF119" i="5" s="1"/>
  <c r="BA119" i="5"/>
  <c r="BB119" i="5"/>
  <c r="DG119" i="5" s="1"/>
  <c r="BC119" i="5"/>
  <c r="BD119" i="5"/>
  <c r="AD120" i="5"/>
  <c r="AD65" i="5" s="1"/>
  <c r="AE120" i="5"/>
  <c r="AE299" i="5" s="1"/>
  <c r="AF120" i="5"/>
  <c r="AF299" i="5" s="1"/>
  <c r="AG120" i="5"/>
  <c r="AH120" i="5"/>
  <c r="DB120" i="5" s="1"/>
  <c r="DB299" i="5" s="1"/>
  <c r="AI120" i="5"/>
  <c r="AI299" i="5" s="1"/>
  <c r="AJ120" i="5"/>
  <c r="AK120" i="5"/>
  <c r="AK299" i="5" s="1"/>
  <c r="AL120" i="5"/>
  <c r="AL299" i="5" s="1"/>
  <c r="AM120" i="5"/>
  <c r="AM65" i="5" s="1"/>
  <c r="AN120" i="5"/>
  <c r="AO120" i="5"/>
  <c r="AO299" i="5" s="1"/>
  <c r="AP120" i="5"/>
  <c r="DD120" i="5" s="1"/>
  <c r="AQ120" i="5"/>
  <c r="AR120" i="5"/>
  <c r="AR299" i="5" s="1"/>
  <c r="AS120" i="5"/>
  <c r="AT120" i="5"/>
  <c r="AT299" i="5" s="1"/>
  <c r="CX120" i="5"/>
  <c r="CX299" i="5" s="1"/>
  <c r="CX321" i="5" s="1"/>
  <c r="CY120" i="5"/>
  <c r="CY299" i="5" s="1"/>
  <c r="CZ120" i="5"/>
  <c r="CZ299" i="5" s="1"/>
  <c r="DF120" i="5"/>
  <c r="DF299" i="5" s="1"/>
  <c r="DG120" i="5"/>
  <c r="AS122" i="5"/>
  <c r="CX123" i="5"/>
  <c r="CY123" i="5"/>
  <c r="CZ123" i="5"/>
  <c r="DA123" i="5"/>
  <c r="DB123" i="5"/>
  <c r="DC123" i="5"/>
  <c r="DD123" i="5"/>
  <c r="DE123" i="5"/>
  <c r="DF123" i="5"/>
  <c r="DG123" i="5"/>
  <c r="AP124" i="5"/>
  <c r="AR124" i="5"/>
  <c r="H125" i="5"/>
  <c r="L125" i="5"/>
  <c r="L119" i="5" s="1"/>
  <c r="M125" i="5"/>
  <c r="N125" i="5"/>
  <c r="N119" i="5" s="1"/>
  <c r="O125" i="5"/>
  <c r="O119" i="5" s="1"/>
  <c r="P125" i="5"/>
  <c r="Q125" i="5"/>
  <c r="Q119" i="5" s="1"/>
  <c r="R125" i="5"/>
  <c r="R119" i="5" s="1"/>
  <c r="CX119" i="5" s="1"/>
  <c r="S125" i="5"/>
  <c r="S119" i="5" s="1"/>
  <c r="T125" i="5"/>
  <c r="T119" i="5" s="1"/>
  <c r="U125" i="5"/>
  <c r="U119" i="5" s="1"/>
  <c r="V125" i="5"/>
  <c r="V119" i="5" s="1"/>
  <c r="CY119" i="5" s="1"/>
  <c r="W125" i="5"/>
  <c r="X125" i="5"/>
  <c r="X119" i="5" s="1"/>
  <c r="Y125" i="5"/>
  <c r="Y119" i="5" s="1"/>
  <c r="Z125" i="5"/>
  <c r="AA125" i="5"/>
  <c r="AB125" i="5"/>
  <c r="AC125" i="5"/>
  <c r="AD125" i="5"/>
  <c r="DA125" i="5" s="1"/>
  <c r="AE125" i="5"/>
  <c r="AE150" i="5" s="1"/>
  <c r="AF125" i="5"/>
  <c r="AF150" i="5" s="1"/>
  <c r="AG125" i="5"/>
  <c r="AG150" i="5" s="1"/>
  <c r="AH125" i="5"/>
  <c r="DB125" i="5" s="1"/>
  <c r="AI125" i="5"/>
  <c r="AJ125" i="5"/>
  <c r="AJ150" i="5" s="1"/>
  <c r="AK125" i="5"/>
  <c r="AL125" i="5"/>
  <c r="AM125" i="5"/>
  <c r="AN125" i="5"/>
  <c r="AN150" i="5" s="1"/>
  <c r="AO125" i="5"/>
  <c r="AO150" i="5" s="1"/>
  <c r="AP125" i="5"/>
  <c r="AQ125" i="5"/>
  <c r="AQ150" i="5" s="1"/>
  <c r="AR125" i="5"/>
  <c r="AR150" i="5" s="1"/>
  <c r="AS125" i="5"/>
  <c r="AS150" i="5" s="1"/>
  <c r="AS58" i="5" s="1"/>
  <c r="AS80" i="5" s="1"/>
  <c r="AT125" i="5"/>
  <c r="AY125" i="5"/>
  <c r="AY150" i="5" s="1"/>
  <c r="AZ125" i="5"/>
  <c r="DF125" i="5"/>
  <c r="DG125" i="5"/>
  <c r="CX126" i="5"/>
  <c r="CY126" i="5"/>
  <c r="CZ126" i="5"/>
  <c r="DA126" i="5"/>
  <c r="DA144" i="5" s="1"/>
  <c r="DB126" i="5"/>
  <c r="DB144" i="5" s="1"/>
  <c r="DC126" i="5"/>
  <c r="DD126" i="5"/>
  <c r="DD144" i="5" s="1"/>
  <c r="DE126" i="5"/>
  <c r="DE144" i="5" s="1"/>
  <c r="DF126" i="5"/>
  <c r="DF144" i="5" s="1"/>
  <c r="DG126" i="5"/>
  <c r="DG144" i="5" s="1"/>
  <c r="AF127" i="5"/>
  <c r="AF145" i="5" s="1"/>
  <c r="AM127" i="5"/>
  <c r="AM145" i="5" s="1"/>
  <c r="AO127" i="5"/>
  <c r="AP127" i="5" s="1"/>
  <c r="DD127" i="5" s="1"/>
  <c r="DD145" i="5" s="1"/>
  <c r="AU127" i="5"/>
  <c r="CX127" i="5"/>
  <c r="CX145" i="5" s="1"/>
  <c r="CY127" i="5"/>
  <c r="CY145" i="5" s="1"/>
  <c r="CZ127" i="5"/>
  <c r="CZ145" i="5" s="1"/>
  <c r="DA127" i="5"/>
  <c r="DA145" i="5" s="1"/>
  <c r="DB127" i="5"/>
  <c r="DB145" i="5" s="1"/>
  <c r="DC127" i="5"/>
  <c r="DC145" i="5" s="1"/>
  <c r="DE127" i="5"/>
  <c r="DE145" i="5" s="1"/>
  <c r="C133" i="5"/>
  <c r="D133" i="5"/>
  <c r="E133" i="5"/>
  <c r="F133" i="5"/>
  <c r="G133" i="5"/>
  <c r="H133" i="5"/>
  <c r="I133" i="5"/>
  <c r="J133" i="5"/>
  <c r="K133" i="5"/>
  <c r="C135" i="5"/>
  <c r="D135" i="5"/>
  <c r="E135" i="5"/>
  <c r="F135" i="5"/>
  <c r="G135" i="5"/>
  <c r="H135" i="5"/>
  <c r="I135" i="5"/>
  <c r="J135" i="5"/>
  <c r="K135" i="5"/>
  <c r="L135" i="5"/>
  <c r="M135" i="5"/>
  <c r="N135" i="5"/>
  <c r="O135" i="5"/>
  <c r="P135" i="5"/>
  <c r="Q135" i="5"/>
  <c r="R135" i="5"/>
  <c r="S135" i="5"/>
  <c r="T135" i="5"/>
  <c r="U135" i="5"/>
  <c r="V135" i="5"/>
  <c r="W135" i="5"/>
  <c r="X135" i="5"/>
  <c r="Y135" i="5"/>
  <c r="Z135" i="5"/>
  <c r="AA135" i="5"/>
  <c r="AB135" i="5"/>
  <c r="AC135" i="5"/>
  <c r="AD135" i="5"/>
  <c r="AE135" i="5"/>
  <c r="AF135" i="5"/>
  <c r="AG135" i="5"/>
  <c r="AH135" i="5"/>
  <c r="AI135" i="5"/>
  <c r="AJ135" i="5"/>
  <c r="AK135" i="5"/>
  <c r="AL135" i="5"/>
  <c r="AM135" i="5"/>
  <c r="AN135" i="5"/>
  <c r="AO135" i="5"/>
  <c r="AP135" i="5"/>
  <c r="AQ135" i="5"/>
  <c r="AR135" i="5"/>
  <c r="AS135" i="5"/>
  <c r="AT135" i="5"/>
  <c r="C140" i="5"/>
  <c r="V140" i="5"/>
  <c r="W140" i="5"/>
  <c r="X140" i="5"/>
  <c r="Y140" i="5"/>
  <c r="Z140" i="5"/>
  <c r="AA140" i="5"/>
  <c r="AB140" i="5"/>
  <c r="AC140" i="5"/>
  <c r="AD140" i="5"/>
  <c r="AE140" i="5"/>
  <c r="AF140" i="5"/>
  <c r="AG140" i="5"/>
  <c r="AH140" i="5"/>
  <c r="AI140" i="5"/>
  <c r="AJ140" i="5"/>
  <c r="AK140" i="5"/>
  <c r="AL140" i="5"/>
  <c r="AM140" i="5"/>
  <c r="AN140" i="5"/>
  <c r="AO140" i="5"/>
  <c r="AP140" i="5"/>
  <c r="AQ140" i="5"/>
  <c r="AR140" i="5"/>
  <c r="AS140" i="5"/>
  <c r="AT140" i="5"/>
  <c r="C141" i="5"/>
  <c r="AH141" i="5"/>
  <c r="AI141" i="5"/>
  <c r="AJ141" i="5"/>
  <c r="AK141" i="5"/>
  <c r="AL141" i="5"/>
  <c r="AM141" i="5"/>
  <c r="AN141" i="5"/>
  <c r="AO141" i="5"/>
  <c r="AP141" i="5"/>
  <c r="AQ141" i="5"/>
  <c r="AR141" i="5"/>
  <c r="AS141" i="5"/>
  <c r="AT141" i="5"/>
  <c r="C144" i="5"/>
  <c r="D144" i="5"/>
  <c r="E144" i="5"/>
  <c r="F144" i="5"/>
  <c r="G144" i="5"/>
  <c r="H144" i="5"/>
  <c r="I144" i="5"/>
  <c r="J144" i="5"/>
  <c r="K144" i="5"/>
  <c r="L144" i="5"/>
  <c r="M144" i="5"/>
  <c r="N144" i="5"/>
  <c r="O144" i="5"/>
  <c r="P144" i="5"/>
  <c r="Q144" i="5"/>
  <c r="R144" i="5"/>
  <c r="S144" i="5"/>
  <c r="T144" i="5"/>
  <c r="U144" i="5"/>
  <c r="V144" i="5"/>
  <c r="W144" i="5"/>
  <c r="X144" i="5"/>
  <c r="Y144" i="5"/>
  <c r="Z144" i="5"/>
  <c r="AA144" i="5"/>
  <c r="AB144" i="5"/>
  <c r="AC144" i="5"/>
  <c r="AD144" i="5"/>
  <c r="AE144" i="5"/>
  <c r="AF144" i="5"/>
  <c r="AG144" i="5"/>
  <c r="AH144" i="5"/>
  <c r="AI144" i="5"/>
  <c r="AJ144" i="5"/>
  <c r="AK144" i="5"/>
  <c r="AL144" i="5"/>
  <c r="AM144" i="5"/>
  <c r="AN144" i="5"/>
  <c r="AO144" i="5"/>
  <c r="AP144" i="5"/>
  <c r="AQ144" i="5"/>
  <c r="AR144" i="5"/>
  <c r="AS144" i="5"/>
  <c r="AT144" i="5"/>
  <c r="C145" i="5"/>
  <c r="D145" i="5"/>
  <c r="E145" i="5"/>
  <c r="F145" i="5"/>
  <c r="G145" i="5"/>
  <c r="H145" i="5"/>
  <c r="I145" i="5"/>
  <c r="J145" i="5"/>
  <c r="K145" i="5"/>
  <c r="L145" i="5"/>
  <c r="M145" i="5"/>
  <c r="N145" i="5"/>
  <c r="O145" i="5"/>
  <c r="P145" i="5"/>
  <c r="Q145" i="5"/>
  <c r="R145" i="5"/>
  <c r="S145" i="5"/>
  <c r="T145" i="5"/>
  <c r="U145" i="5"/>
  <c r="V145" i="5"/>
  <c r="W145" i="5"/>
  <c r="X145" i="5"/>
  <c r="Y145" i="5"/>
  <c r="Z145" i="5"/>
  <c r="AA145" i="5"/>
  <c r="AB145" i="5"/>
  <c r="AC145" i="5"/>
  <c r="AD145" i="5"/>
  <c r="AE145" i="5"/>
  <c r="AG145" i="5"/>
  <c r="AH145" i="5"/>
  <c r="AI145" i="5"/>
  <c r="AJ145" i="5"/>
  <c r="AK145" i="5"/>
  <c r="AL145" i="5"/>
  <c r="AN145" i="5"/>
  <c r="AQ145" i="5"/>
  <c r="AR145" i="5"/>
  <c r="AS145" i="5"/>
  <c r="AT145" i="5"/>
  <c r="C146" i="5"/>
  <c r="C52" i="5" s="1"/>
  <c r="C73" i="5" s="1"/>
  <c r="D146" i="5"/>
  <c r="E146" i="5"/>
  <c r="F146" i="5"/>
  <c r="G146" i="5"/>
  <c r="H146" i="5"/>
  <c r="I146" i="5"/>
  <c r="J146" i="5"/>
  <c r="K146" i="5"/>
  <c r="L146" i="5"/>
  <c r="M146" i="5"/>
  <c r="N146" i="5"/>
  <c r="O146" i="5"/>
  <c r="P146" i="5"/>
  <c r="P52" i="5" s="1"/>
  <c r="P73" i="5" s="1"/>
  <c r="Q146" i="5"/>
  <c r="R146" i="5"/>
  <c r="S146" i="5"/>
  <c r="T146" i="5"/>
  <c r="U146" i="5"/>
  <c r="V146" i="5"/>
  <c r="W146" i="5"/>
  <c r="X146" i="5"/>
  <c r="X52" i="5" s="1"/>
  <c r="X73" i="5" s="1"/>
  <c r="Y146" i="5"/>
  <c r="Z146" i="5"/>
  <c r="AA146" i="5"/>
  <c r="AB146" i="5"/>
  <c r="AC146" i="5"/>
  <c r="AD146" i="5"/>
  <c r="AE146" i="5"/>
  <c r="AF146" i="5"/>
  <c r="AF52" i="5" s="1"/>
  <c r="AG146" i="5"/>
  <c r="AH52" i="5" s="1"/>
  <c r="AH73" i="5" s="1"/>
  <c r="AH146" i="5"/>
  <c r="AI146" i="5"/>
  <c r="AJ146" i="5"/>
  <c r="AK146" i="5"/>
  <c r="AL146" i="5"/>
  <c r="AM146" i="5"/>
  <c r="AN146" i="5"/>
  <c r="AN52" i="5" s="1"/>
  <c r="AN73" i="5" s="1"/>
  <c r="AO146" i="5"/>
  <c r="AP146" i="5"/>
  <c r="AQ146" i="5"/>
  <c r="AR146" i="5"/>
  <c r="AS146" i="5"/>
  <c r="AT146" i="5"/>
  <c r="C147" i="5"/>
  <c r="D147" i="5"/>
  <c r="E147" i="5"/>
  <c r="F147" i="5"/>
  <c r="G147" i="5"/>
  <c r="H147" i="5"/>
  <c r="I147" i="5"/>
  <c r="J147" i="5"/>
  <c r="K147" i="5"/>
  <c r="L147" i="5"/>
  <c r="M147" i="5"/>
  <c r="N147" i="5"/>
  <c r="O147" i="5"/>
  <c r="P147" i="5"/>
  <c r="Q147" i="5"/>
  <c r="R147" i="5"/>
  <c r="S147" i="5"/>
  <c r="T147" i="5"/>
  <c r="U147" i="5"/>
  <c r="V147" i="5"/>
  <c r="W147" i="5"/>
  <c r="X147" i="5"/>
  <c r="Y147" i="5"/>
  <c r="Z147" i="5"/>
  <c r="AA147" i="5"/>
  <c r="AC147" i="5"/>
  <c r="AD147" i="5"/>
  <c r="AE147" i="5"/>
  <c r="AF147" i="5"/>
  <c r="AG147" i="5"/>
  <c r="AH147" i="5"/>
  <c r="AI147" i="5"/>
  <c r="AJ147" i="5"/>
  <c r="AK147" i="5"/>
  <c r="AL147" i="5"/>
  <c r="AM147" i="5"/>
  <c r="AN147" i="5"/>
  <c r="AO147" i="5"/>
  <c r="AP147" i="5"/>
  <c r="AQ147" i="5"/>
  <c r="AR147" i="5"/>
  <c r="AS147" i="5"/>
  <c r="AT147" i="5"/>
  <c r="C150" i="5"/>
  <c r="C58" i="5" s="1"/>
  <c r="C80" i="5" s="1"/>
  <c r="C174" i="5"/>
  <c r="D174" i="5"/>
  <c r="E174" i="5"/>
  <c r="F174" i="5"/>
  <c r="G174" i="5"/>
  <c r="H174" i="5"/>
  <c r="I174" i="5"/>
  <c r="J174" i="5"/>
  <c r="K174" i="5"/>
  <c r="L174" i="5"/>
  <c r="M174" i="5"/>
  <c r="N174" i="5"/>
  <c r="O174" i="5"/>
  <c r="CX174" i="5" s="1"/>
  <c r="P174" i="5"/>
  <c r="Q174" i="5"/>
  <c r="R174" i="5"/>
  <c r="S174" i="5"/>
  <c r="T174" i="5"/>
  <c r="U174" i="5"/>
  <c r="V174" i="5"/>
  <c r="W174" i="5"/>
  <c r="W173" i="5" s="1"/>
  <c r="W54" i="5" s="1"/>
  <c r="X174" i="5"/>
  <c r="Y174" i="5"/>
  <c r="Z174" i="5"/>
  <c r="AA174" i="5"/>
  <c r="AB174" i="5"/>
  <c r="AC174" i="5"/>
  <c r="AD174" i="5"/>
  <c r="AE174" i="5"/>
  <c r="DB174" i="5" s="1"/>
  <c r="AF174" i="5"/>
  <c r="AG174" i="5"/>
  <c r="AH174" i="5"/>
  <c r="AI174" i="5"/>
  <c r="AJ174" i="5"/>
  <c r="AK174" i="5"/>
  <c r="AL174" i="5"/>
  <c r="AM174" i="5"/>
  <c r="AN174" i="5"/>
  <c r="AO174" i="5"/>
  <c r="AP174" i="5"/>
  <c r="AQ174" i="5"/>
  <c r="AR174" i="5"/>
  <c r="AS174" i="5"/>
  <c r="AT174" i="5"/>
  <c r="AU174" i="5"/>
  <c r="AV174" i="5"/>
  <c r="AW174" i="5"/>
  <c r="AX174" i="5"/>
  <c r="AY174" i="5"/>
  <c r="AZ174" i="5"/>
  <c r="BA174" i="5"/>
  <c r="BB174" i="5"/>
  <c r="BC174" i="5"/>
  <c r="BD174" i="5"/>
  <c r="C175" i="5"/>
  <c r="D175" i="5"/>
  <c r="E175" i="5"/>
  <c r="F175" i="5"/>
  <c r="H175" i="5"/>
  <c r="I175" i="5"/>
  <c r="J175" i="5"/>
  <c r="K175" i="5"/>
  <c r="L175" i="5"/>
  <c r="M175" i="5"/>
  <c r="N175" i="5"/>
  <c r="O175" i="5"/>
  <c r="P175" i="5"/>
  <c r="Q175" i="5"/>
  <c r="R175" i="5"/>
  <c r="S175" i="5"/>
  <c r="T175" i="5"/>
  <c r="U175" i="5"/>
  <c r="V175" i="5"/>
  <c r="W175" i="5"/>
  <c r="X175" i="5"/>
  <c r="Y175" i="5"/>
  <c r="Z175" i="5"/>
  <c r="Z173" i="5" s="1"/>
  <c r="Z172" i="5" s="1"/>
  <c r="AA175" i="5"/>
  <c r="AB175" i="5"/>
  <c r="AC175" i="5"/>
  <c r="AD175" i="5"/>
  <c r="AE175" i="5"/>
  <c r="AF175" i="5"/>
  <c r="AG175" i="5"/>
  <c r="AH175" i="5"/>
  <c r="AI175" i="5"/>
  <c r="AJ175" i="5"/>
  <c r="AL175" i="5"/>
  <c r="AN175" i="5"/>
  <c r="AO175" i="5"/>
  <c r="AP175" i="5"/>
  <c r="BC175" i="5"/>
  <c r="BD175" i="5"/>
  <c r="BE175" i="5"/>
  <c r="BF175" i="5"/>
  <c r="BG175" i="5"/>
  <c r="BH175" i="5"/>
  <c r="BI175" i="5"/>
  <c r="AU183" i="5"/>
  <c r="AV183" i="5" s="1"/>
  <c r="AW183" i="5" s="1"/>
  <c r="AX183" i="5" s="1"/>
  <c r="AY183" i="5" s="1"/>
  <c r="AZ183" i="5" s="1"/>
  <c r="BA183" i="5" s="1"/>
  <c r="BB183" i="5" s="1"/>
  <c r="BC183" i="5" s="1"/>
  <c r="BD183" i="5" s="1"/>
  <c r="BE183" i="5" s="1"/>
  <c r="BF183" i="5" s="1"/>
  <c r="BG183" i="5" s="1"/>
  <c r="BH183" i="5" s="1"/>
  <c r="BI183" i="5" s="1"/>
  <c r="BJ183" i="5" s="1"/>
  <c r="BK183" i="5" s="1"/>
  <c r="BL183" i="5" s="1"/>
  <c r="BM183" i="5" s="1"/>
  <c r="BN183" i="5" s="1"/>
  <c r="BO183" i="5" s="1"/>
  <c r="BP183" i="5" s="1"/>
  <c r="BQ183" i="5" s="1"/>
  <c r="BR183" i="5" s="1"/>
  <c r="BS183" i="5" s="1"/>
  <c r="BT183" i="5" s="1"/>
  <c r="BU183" i="5" s="1"/>
  <c r="BV183" i="5" s="1"/>
  <c r="BW183" i="5" s="1"/>
  <c r="BX183" i="5" s="1"/>
  <c r="BY183" i="5" s="1"/>
  <c r="BZ183" i="5" s="1"/>
  <c r="CA183" i="5" s="1"/>
  <c r="CB183" i="5" s="1"/>
  <c r="CC183" i="5" s="1"/>
  <c r="CD183" i="5" s="1"/>
  <c r="CE183" i="5" s="1"/>
  <c r="CF183" i="5" s="1"/>
  <c r="CG183" i="5" s="1"/>
  <c r="CH183" i="5" s="1"/>
  <c r="CI183" i="5" s="1"/>
  <c r="CJ183" i="5" s="1"/>
  <c r="CK183" i="5" s="1"/>
  <c r="CL183" i="5" s="1"/>
  <c r="J185" i="5"/>
  <c r="M185" i="5"/>
  <c r="N185" i="5"/>
  <c r="N201" i="5" s="1"/>
  <c r="BE197" i="5"/>
  <c r="BE63" i="5" s="1"/>
  <c r="BE81" i="5" s="1"/>
  <c r="CX185" i="5"/>
  <c r="CY185" i="5"/>
  <c r="CZ185" i="5"/>
  <c r="DA185" i="5"/>
  <c r="DB185" i="5"/>
  <c r="DC185" i="5"/>
  <c r="DD185" i="5"/>
  <c r="DD188" i="5" s="1"/>
  <c r="DE185" i="5"/>
  <c r="DE201" i="5" s="1"/>
  <c r="DF185" i="5"/>
  <c r="DG185" i="5"/>
  <c r="D188" i="5"/>
  <c r="E188" i="5"/>
  <c r="F188" i="5"/>
  <c r="G188" i="5"/>
  <c r="H188" i="5"/>
  <c r="I188" i="5"/>
  <c r="K188" i="5"/>
  <c r="L188" i="5"/>
  <c r="O188" i="5"/>
  <c r="P188" i="5"/>
  <c r="Q188" i="5"/>
  <c r="R188" i="5"/>
  <c r="S188" i="5"/>
  <c r="T188" i="5"/>
  <c r="U188" i="5"/>
  <c r="V188" i="5"/>
  <c r="W188" i="5"/>
  <c r="X188" i="5"/>
  <c r="Y188" i="5"/>
  <c r="Z188" i="5"/>
  <c r="AA188" i="5"/>
  <c r="AB188" i="5"/>
  <c r="AC188" i="5"/>
  <c r="AD188" i="5"/>
  <c r="AE188" i="5"/>
  <c r="AF188" i="5"/>
  <c r="AG188" i="5"/>
  <c r="AH188" i="5"/>
  <c r="AI188" i="5"/>
  <c r="AJ188" i="5"/>
  <c r="AK188" i="5"/>
  <c r="AL188" i="5"/>
  <c r="AM188" i="5"/>
  <c r="AN188" i="5"/>
  <c r="AO188" i="5"/>
  <c r="AP188" i="5"/>
  <c r="AQ188" i="5"/>
  <c r="AR188" i="5"/>
  <c r="AS188" i="5"/>
  <c r="AT188" i="5"/>
  <c r="AU188" i="5"/>
  <c r="AV188" i="5"/>
  <c r="AW188" i="5"/>
  <c r="AX188" i="5"/>
  <c r="AY188" i="5"/>
  <c r="AZ188" i="5"/>
  <c r="BA188" i="5"/>
  <c r="BB188" i="5"/>
  <c r="BC188" i="5"/>
  <c r="BD188" i="5"/>
  <c r="J193" i="5"/>
  <c r="J197" i="5" s="1"/>
  <c r="J63" i="5" s="1"/>
  <c r="J81" i="5" s="1"/>
  <c r="M193" i="5"/>
  <c r="M197" i="5" s="1"/>
  <c r="M63" i="5" s="1"/>
  <c r="M81" i="5" s="1"/>
  <c r="N193" i="5"/>
  <c r="R193" i="5"/>
  <c r="R197" i="5" s="1"/>
  <c r="R63" i="5" s="1"/>
  <c r="R81" i="5" s="1"/>
  <c r="T193" i="5"/>
  <c r="T197" i="5" s="1"/>
  <c r="U193" i="5"/>
  <c r="U197" i="5" s="1"/>
  <c r="U63" i="5" s="1"/>
  <c r="U81" i="5" s="1"/>
  <c r="C197" i="5"/>
  <c r="C63" i="5" s="1"/>
  <c r="C81" i="5" s="1"/>
  <c r="D197" i="5"/>
  <c r="D63" i="5" s="1"/>
  <c r="D81" i="5" s="1"/>
  <c r="E197" i="5"/>
  <c r="E63" i="5" s="1"/>
  <c r="E81" i="5" s="1"/>
  <c r="F197" i="5"/>
  <c r="F63" i="5" s="1"/>
  <c r="F81" i="5" s="1"/>
  <c r="G197" i="5"/>
  <c r="G63" i="5" s="1"/>
  <c r="G81" i="5" s="1"/>
  <c r="H197" i="5"/>
  <c r="H63" i="5" s="1"/>
  <c r="H81" i="5" s="1"/>
  <c r="I197" i="5"/>
  <c r="I63" i="5" s="1"/>
  <c r="I81" i="5" s="1"/>
  <c r="K197" i="5"/>
  <c r="K63" i="5" s="1"/>
  <c r="K81" i="5" s="1"/>
  <c r="L197" i="5"/>
  <c r="L63" i="5" s="1"/>
  <c r="L81" i="5" s="1"/>
  <c r="O197" i="5"/>
  <c r="O63" i="5" s="1"/>
  <c r="O81" i="5" s="1"/>
  <c r="P197" i="5"/>
  <c r="P63" i="5" s="1"/>
  <c r="P81" i="5" s="1"/>
  <c r="Q197" i="5"/>
  <c r="Q63" i="5" s="1"/>
  <c r="Q81" i="5" s="1"/>
  <c r="S197" i="5"/>
  <c r="S63" i="5" s="1"/>
  <c r="S81" i="5" s="1"/>
  <c r="V197" i="5"/>
  <c r="V63" i="5" s="1"/>
  <c r="V81" i="5" s="1"/>
  <c r="W197" i="5"/>
  <c r="W63" i="5" s="1"/>
  <c r="X197" i="5"/>
  <c r="X63" i="5" s="1"/>
  <c r="X81" i="5" s="1"/>
  <c r="Y197" i="5"/>
  <c r="Y63" i="5" s="1"/>
  <c r="Y81" i="5" s="1"/>
  <c r="Z197" i="5"/>
  <c r="Z63" i="5" s="1"/>
  <c r="Z81" i="5" s="1"/>
  <c r="AA197" i="5"/>
  <c r="AA63" i="5" s="1"/>
  <c r="AA81" i="5" s="1"/>
  <c r="AB197" i="5"/>
  <c r="AC197" i="5"/>
  <c r="AC63" i="5" s="1"/>
  <c r="AC81" i="5" s="1"/>
  <c r="AD197" i="5"/>
  <c r="AD63" i="5" s="1"/>
  <c r="AD81" i="5" s="1"/>
  <c r="AE197" i="5"/>
  <c r="AE63" i="5" s="1"/>
  <c r="AE81" i="5" s="1"/>
  <c r="AF197" i="5"/>
  <c r="AF63" i="5" s="1"/>
  <c r="AF81" i="5" s="1"/>
  <c r="AG197" i="5"/>
  <c r="AG63" i="5" s="1"/>
  <c r="AG81" i="5" s="1"/>
  <c r="AH197" i="5"/>
  <c r="AI197" i="5"/>
  <c r="AI63" i="5"/>
  <c r="AI81" i="5" s="1"/>
  <c r="AJ197" i="5"/>
  <c r="AK197" i="5"/>
  <c r="AK63" i="5" s="1"/>
  <c r="AL197" i="5"/>
  <c r="AL63" i="5" s="1"/>
  <c r="AL81" i="5" s="1"/>
  <c r="AM197" i="5"/>
  <c r="AM63" i="5" s="1"/>
  <c r="AN197" i="5"/>
  <c r="AN63" i="5" s="1"/>
  <c r="AN81" i="5" s="1"/>
  <c r="AO197" i="5"/>
  <c r="AO63" i="5" s="1"/>
  <c r="AO81" i="5" s="1"/>
  <c r="AP197" i="5"/>
  <c r="AQ197" i="5"/>
  <c r="AQ63" i="5" s="1"/>
  <c r="AQ81" i="5" s="1"/>
  <c r="AR197" i="5"/>
  <c r="AR63" i="5" s="1"/>
  <c r="AR81" i="5" s="1"/>
  <c r="AS197" i="5"/>
  <c r="AS63" i="5" s="1"/>
  <c r="AS81" i="5" s="1"/>
  <c r="AT197" i="5"/>
  <c r="AU197" i="5"/>
  <c r="AV197" i="5"/>
  <c r="AV63" i="5" s="1"/>
  <c r="AV81" i="5" s="1"/>
  <c r="AW197" i="5"/>
  <c r="AW63" i="5" s="1"/>
  <c r="AW81" i="5" s="1"/>
  <c r="AX197" i="5"/>
  <c r="AX63" i="5" s="1"/>
  <c r="AX81" i="5" s="1"/>
  <c r="AY197" i="5"/>
  <c r="AZ197" i="5"/>
  <c r="AZ63" i="5" s="1"/>
  <c r="AZ81" i="5" s="1"/>
  <c r="BA197" i="5"/>
  <c r="BA63" i="5" s="1"/>
  <c r="BA81" i="5" s="1"/>
  <c r="BB197" i="5"/>
  <c r="BB63" i="5" s="1"/>
  <c r="BC197" i="5"/>
  <c r="BC63" i="5" s="1"/>
  <c r="BC81" i="5" s="1"/>
  <c r="BD197" i="5"/>
  <c r="C201" i="5"/>
  <c r="D201" i="5"/>
  <c r="E201" i="5"/>
  <c r="F201" i="5"/>
  <c r="G201" i="5"/>
  <c r="H201" i="5"/>
  <c r="I201" i="5"/>
  <c r="K201" i="5"/>
  <c r="L201" i="5"/>
  <c r="O201" i="5"/>
  <c r="P201" i="5"/>
  <c r="Q201" i="5"/>
  <c r="R201" i="5"/>
  <c r="S201" i="5"/>
  <c r="T201" i="5"/>
  <c r="U201" i="5"/>
  <c r="CY201" i="5" s="1"/>
  <c r="V201" i="5"/>
  <c r="W201" i="5"/>
  <c r="X201" i="5"/>
  <c r="Y201" i="5"/>
  <c r="Z201" i="5"/>
  <c r="AA201" i="5"/>
  <c r="AB201" i="5"/>
  <c r="AC201" i="5"/>
  <c r="AD201" i="5"/>
  <c r="AE201" i="5"/>
  <c r="AF201" i="5"/>
  <c r="AG201" i="5"/>
  <c r="AH201" i="5"/>
  <c r="AI201" i="5"/>
  <c r="AJ201" i="5"/>
  <c r="AK201" i="5"/>
  <c r="AL201" i="5"/>
  <c r="AM201" i="5"/>
  <c r="AN201" i="5"/>
  <c r="AO201" i="5"/>
  <c r="AP201" i="5"/>
  <c r="AQ201" i="5"/>
  <c r="AR201" i="5"/>
  <c r="AS201" i="5"/>
  <c r="AT201" i="5"/>
  <c r="AU201" i="5"/>
  <c r="AV201" i="5"/>
  <c r="AW201" i="5"/>
  <c r="AX201" i="5"/>
  <c r="AY201" i="5"/>
  <c r="AZ201" i="5"/>
  <c r="BA201" i="5"/>
  <c r="BB201" i="5"/>
  <c r="BC201" i="5"/>
  <c r="BD201" i="5"/>
  <c r="BE201" i="5"/>
  <c r="C203" i="5"/>
  <c r="D203" i="5"/>
  <c r="E203" i="5"/>
  <c r="F203" i="5"/>
  <c r="G203" i="5"/>
  <c r="H203" i="5"/>
  <c r="I203" i="5"/>
  <c r="J203" i="5"/>
  <c r="K203" i="5"/>
  <c r="L203" i="5"/>
  <c r="M203" i="5"/>
  <c r="N203" i="5"/>
  <c r="O203" i="5"/>
  <c r="P203" i="5"/>
  <c r="Q203" i="5"/>
  <c r="R203" i="5"/>
  <c r="S203" i="5"/>
  <c r="T203" i="5"/>
  <c r="U203" i="5"/>
  <c r="V203" i="5"/>
  <c r="W203" i="5"/>
  <c r="X203" i="5"/>
  <c r="Y203" i="5"/>
  <c r="AA203" i="5"/>
  <c r="AB203" i="5"/>
  <c r="AC203" i="5"/>
  <c r="AD203" i="5"/>
  <c r="AE203" i="5"/>
  <c r="AF203" i="5"/>
  <c r="AG203" i="5"/>
  <c r="AH203" i="5"/>
  <c r="AI203" i="5"/>
  <c r="AJ203" i="5"/>
  <c r="AK203" i="5"/>
  <c r="AL203" i="5"/>
  <c r="AM203" i="5"/>
  <c r="AN203" i="5"/>
  <c r="AO203" i="5"/>
  <c r="AP203" i="5"/>
  <c r="AQ203" i="5"/>
  <c r="AR203" i="5"/>
  <c r="AS203" i="5"/>
  <c r="AT203" i="5"/>
  <c r="AU203" i="5"/>
  <c r="AV203" i="5"/>
  <c r="AW203" i="5"/>
  <c r="AY203" i="5"/>
  <c r="D229" i="5"/>
  <c r="E229" i="5"/>
  <c r="F229" i="5"/>
  <c r="G229" i="5"/>
  <c r="H229" i="5"/>
  <c r="I229" i="5"/>
  <c r="J229" i="5"/>
  <c r="K229" i="5"/>
  <c r="L229" i="5"/>
  <c r="M229" i="5"/>
  <c r="N229" i="5"/>
  <c r="O229" i="5"/>
  <c r="P229" i="5"/>
  <c r="Q229" i="5"/>
  <c r="R229" i="5"/>
  <c r="S229" i="5"/>
  <c r="T229" i="5"/>
  <c r="U229" i="5"/>
  <c r="V229" i="5"/>
  <c r="W229" i="5"/>
  <c r="X229" i="5"/>
  <c r="Y229" i="5"/>
  <c r="Z229" i="5"/>
  <c r="AA229" i="5"/>
  <c r="AB229" i="5"/>
  <c r="AC229" i="5"/>
  <c r="AD229" i="5"/>
  <c r="AE229" i="5"/>
  <c r="AF229" i="5"/>
  <c r="AG229" i="5"/>
  <c r="AH229" i="5"/>
  <c r="AI229" i="5"/>
  <c r="AJ229" i="5"/>
  <c r="AK229" i="5"/>
  <c r="AL229" i="5"/>
  <c r="AM229" i="5"/>
  <c r="AN229" i="5"/>
  <c r="AO229" i="5"/>
  <c r="AP229" i="5"/>
  <c r="AQ229" i="5"/>
  <c r="AR229" i="5"/>
  <c r="AS229" i="5"/>
  <c r="AT229" i="5"/>
  <c r="AU229" i="5"/>
  <c r="AV229" i="5"/>
  <c r="AW229" i="5"/>
  <c r="AX229" i="5"/>
  <c r="AY229" i="5"/>
  <c r="AZ229" i="5"/>
  <c r="BA229" i="5"/>
  <c r="BB229" i="5"/>
  <c r="BC229" i="5"/>
  <c r="BD229" i="5"/>
  <c r="BE229" i="5"/>
  <c r="BF229" i="5"/>
  <c r="C269" i="5"/>
  <c r="AJ274" i="5"/>
  <c r="AK274" i="5"/>
  <c r="AL274" i="5"/>
  <c r="AM274" i="5"/>
  <c r="AO274" i="5"/>
  <c r="AQ274" i="5"/>
  <c r="AR274" i="5"/>
  <c r="AS274" i="5"/>
  <c r="AT274" i="5"/>
  <c r="AU274" i="5"/>
  <c r="AV274" i="5"/>
  <c r="AW274" i="5"/>
  <c r="AY274" i="5"/>
  <c r="AZ274" i="5"/>
  <c r="BA274" i="5"/>
  <c r="BC274" i="5"/>
  <c r="D277" i="5"/>
  <c r="W277" i="5"/>
  <c r="X277" i="5"/>
  <c r="Y277" i="5"/>
  <c r="Z277" i="5"/>
  <c r="AA277" i="5"/>
  <c r="AB277" i="5"/>
  <c r="AC277" i="5"/>
  <c r="AD277" i="5"/>
  <c r="AE277" i="5"/>
  <c r="AF277" i="5"/>
  <c r="AG277" i="5"/>
  <c r="AH277" i="5"/>
  <c r="AI277" i="5"/>
  <c r="AI269" i="5" s="1"/>
  <c r="AJ277" i="5"/>
  <c r="AK277" i="5"/>
  <c r="AL277" i="5"/>
  <c r="AM277" i="5"/>
  <c r="AN277" i="5"/>
  <c r="AO277" i="5"/>
  <c r="AP277" i="5"/>
  <c r="AQ277" i="5"/>
  <c r="AR277" i="5"/>
  <c r="AR269" i="5" s="1"/>
  <c r="AS277" i="5"/>
  <c r="AT277" i="5"/>
  <c r="AU277" i="5"/>
  <c r="AV277" i="5"/>
  <c r="AW277" i="5"/>
  <c r="AX277" i="5"/>
  <c r="AY277" i="5"/>
  <c r="AZ277" i="5"/>
  <c r="BA277" i="5"/>
  <c r="BB277" i="5"/>
  <c r="BC277" i="5"/>
  <c r="BD277" i="5"/>
  <c r="BE277" i="5"/>
  <c r="CX277" i="5"/>
  <c r="C279" i="5"/>
  <c r="C280" i="5" s="1"/>
  <c r="V279" i="5"/>
  <c r="V280" i="5" s="1"/>
  <c r="W279" i="5"/>
  <c r="W280" i="5" s="1"/>
  <c r="X279" i="5"/>
  <c r="X280" i="5" s="1"/>
  <c r="Y279" i="5"/>
  <c r="Y280" i="5" s="1"/>
  <c r="Z279" i="5"/>
  <c r="AA279" i="5"/>
  <c r="AA280" i="5" s="1"/>
  <c r="AB279" i="5"/>
  <c r="AC279" i="5"/>
  <c r="AD279" i="5"/>
  <c r="AD280" i="5" s="1"/>
  <c r="AE279" i="5"/>
  <c r="AE280" i="5" s="1"/>
  <c r="AF279" i="5"/>
  <c r="AF280" i="5" s="1"/>
  <c r="AG279" i="5"/>
  <c r="AH279" i="5"/>
  <c r="AH280" i="5" s="1"/>
  <c r="AI279" i="5"/>
  <c r="AJ279" i="5"/>
  <c r="AK279" i="5"/>
  <c r="AL279" i="5"/>
  <c r="AL280" i="5" s="1"/>
  <c r="AM279" i="5"/>
  <c r="AM270" i="5" s="1"/>
  <c r="AM280" i="5"/>
  <c r="AN279" i="5"/>
  <c r="AN280" i="5" s="1"/>
  <c r="AO279" i="5"/>
  <c r="AO270" i="5" s="1"/>
  <c r="AP279" i="5"/>
  <c r="AP280" i="5" s="1"/>
  <c r="AQ279" i="5"/>
  <c r="AQ280" i="5" s="1"/>
  <c r="AR279" i="5"/>
  <c r="AS279" i="5"/>
  <c r="AT279" i="5"/>
  <c r="AT280" i="5" s="1"/>
  <c r="AU279" i="5"/>
  <c r="AU280" i="5" s="1"/>
  <c r="AV279" i="5"/>
  <c r="AV280" i="5" s="1"/>
  <c r="AW279" i="5"/>
  <c r="AX279" i="5"/>
  <c r="AY279" i="5"/>
  <c r="AY280" i="5" s="1"/>
  <c r="AZ279" i="5"/>
  <c r="AZ280" i="5"/>
  <c r="BA279" i="5"/>
  <c r="BB279" i="5"/>
  <c r="BB280" i="5" s="1"/>
  <c r="BC279" i="5"/>
  <c r="BD279" i="5"/>
  <c r="V283" i="5"/>
  <c r="CX283" i="5"/>
  <c r="C284" i="5"/>
  <c r="C282" i="5" s="1"/>
  <c r="C285" i="5" s="1"/>
  <c r="C271" i="5" s="1"/>
  <c r="D284" i="5"/>
  <c r="D282" i="5" s="1"/>
  <c r="E284" i="5"/>
  <c r="E282" i="5" s="1"/>
  <c r="F284" i="5"/>
  <c r="F282" i="5" s="1"/>
  <c r="G284" i="5"/>
  <c r="G282" i="5" s="1"/>
  <c r="H284" i="5"/>
  <c r="H282" i="5" s="1"/>
  <c r="I284" i="5"/>
  <c r="I282" i="5" s="1"/>
  <c r="J284" i="5"/>
  <c r="J282" i="5" s="1"/>
  <c r="K284" i="5"/>
  <c r="K282" i="5" s="1"/>
  <c r="L284" i="5"/>
  <c r="L282" i="5" s="1"/>
  <c r="M284" i="5"/>
  <c r="M282" i="5" s="1"/>
  <c r="N284" i="5"/>
  <c r="N282" i="5" s="1"/>
  <c r="O284" i="5"/>
  <c r="O282" i="5" s="1"/>
  <c r="P284" i="5"/>
  <c r="P282" i="5" s="1"/>
  <c r="Q284" i="5"/>
  <c r="Q282" i="5" s="1"/>
  <c r="R284" i="5"/>
  <c r="R282" i="5" s="1"/>
  <c r="S284" i="5"/>
  <c r="S282" i="5" s="1"/>
  <c r="T284" i="5"/>
  <c r="T282" i="5" s="1"/>
  <c r="U284" i="5"/>
  <c r="U282" i="5" s="1"/>
  <c r="V284" i="5"/>
  <c r="W284" i="5"/>
  <c r="X284" i="5"/>
  <c r="Y284" i="5"/>
  <c r="Z284" i="5"/>
  <c r="AA284" i="5"/>
  <c r="AB284" i="5"/>
  <c r="AC284" i="5"/>
  <c r="AD284" i="5"/>
  <c r="AE284" i="5"/>
  <c r="AF284" i="5"/>
  <c r="AG284" i="5"/>
  <c r="AH284" i="5"/>
  <c r="AI284" i="5"/>
  <c r="AJ284" i="5"/>
  <c r="AK284" i="5"/>
  <c r="AL284" i="5"/>
  <c r="AM284" i="5"/>
  <c r="AN284" i="5"/>
  <c r="AO284" i="5"/>
  <c r="AP284" i="5"/>
  <c r="AQ284" i="5"/>
  <c r="AR284" i="5"/>
  <c r="AS284" i="5"/>
  <c r="AT284" i="5"/>
  <c r="AU284" i="5"/>
  <c r="AV284" i="5"/>
  <c r="AW284" i="5"/>
  <c r="AX284" i="5"/>
  <c r="AY284" i="5"/>
  <c r="AZ284" i="5"/>
  <c r="BA284" i="5"/>
  <c r="BB284" i="5"/>
  <c r="BC284" i="5"/>
  <c r="BD284" i="5"/>
  <c r="D287" i="5"/>
  <c r="AI287" i="5"/>
  <c r="AJ287" i="5"/>
  <c r="AK287" i="5"/>
  <c r="AK269" i="5" s="1"/>
  <c r="AL287" i="5"/>
  <c r="AM287" i="5"/>
  <c r="AN287" i="5"/>
  <c r="AN269" i="5" s="1"/>
  <c r="AO287" i="5"/>
  <c r="AP287" i="5"/>
  <c r="AQ287" i="5"/>
  <c r="AR287" i="5"/>
  <c r="AS287" i="5"/>
  <c r="AS269" i="5" s="1"/>
  <c r="AT287" i="5"/>
  <c r="AU287" i="5"/>
  <c r="AV287" i="5"/>
  <c r="AW287" i="5"/>
  <c r="AX287" i="5"/>
  <c r="AY287" i="5"/>
  <c r="AZ287" i="5"/>
  <c r="BA287" i="5"/>
  <c r="BA269" i="5" s="1"/>
  <c r="BB287" i="5"/>
  <c r="BC287" i="5"/>
  <c r="BD287" i="5"/>
  <c r="BD269" i="5" s="1"/>
  <c r="BE287" i="5"/>
  <c r="CX287" i="5"/>
  <c r="I291" i="5"/>
  <c r="J291" i="5"/>
  <c r="K291" i="5"/>
  <c r="L291" i="5"/>
  <c r="M291" i="5"/>
  <c r="N291" i="5"/>
  <c r="O291" i="5"/>
  <c r="P291" i="5"/>
  <c r="Q291" i="5"/>
  <c r="R291" i="5"/>
  <c r="S291" i="5"/>
  <c r="T291" i="5"/>
  <c r="U291" i="5"/>
  <c r="V291" i="5"/>
  <c r="W291" i="5"/>
  <c r="X291" i="5"/>
  <c r="Y291" i="5"/>
  <c r="Z291" i="5"/>
  <c r="AA291" i="5"/>
  <c r="AB291" i="5"/>
  <c r="AC291" i="5"/>
  <c r="AD291" i="5"/>
  <c r="AE291" i="5"/>
  <c r="AF291" i="5"/>
  <c r="AG291" i="5"/>
  <c r="AI291" i="5"/>
  <c r="AJ291" i="5"/>
  <c r="AK291" i="5"/>
  <c r="AL291" i="5"/>
  <c r="AM291" i="5"/>
  <c r="AN291" i="5"/>
  <c r="AO291" i="5"/>
  <c r="AP291" i="5"/>
  <c r="C295" i="5"/>
  <c r="C298" i="5"/>
  <c r="C307" i="5" s="1"/>
  <c r="C314" i="5" s="1"/>
  <c r="D298" i="5"/>
  <c r="E298" i="5"/>
  <c r="E307" i="5" s="1"/>
  <c r="E308" i="5" s="1"/>
  <c r="F298" i="5"/>
  <c r="F307" i="5" s="1"/>
  <c r="G298" i="5"/>
  <c r="G307" i="5" s="1"/>
  <c r="H298" i="5"/>
  <c r="I298" i="5"/>
  <c r="I307" i="5" s="1"/>
  <c r="J298" i="5"/>
  <c r="J307" i="5"/>
  <c r="K298" i="5"/>
  <c r="K307" i="5" s="1"/>
  <c r="L298" i="5"/>
  <c r="L307" i="5" s="1"/>
  <c r="L308" i="5" s="1"/>
  <c r="M298" i="5"/>
  <c r="N298" i="5"/>
  <c r="O298" i="5"/>
  <c r="P298" i="5"/>
  <c r="P307" i="5" s="1"/>
  <c r="P314" i="5" s="1"/>
  <c r="Q298" i="5"/>
  <c r="S298" i="5"/>
  <c r="T298" i="5"/>
  <c r="U298" i="5"/>
  <c r="U307" i="5" s="1"/>
  <c r="C299" i="5"/>
  <c r="D299" i="5"/>
  <c r="E299" i="5"/>
  <c r="E322" i="5" s="1"/>
  <c r="F299" i="5"/>
  <c r="G299" i="5"/>
  <c r="H299" i="5"/>
  <c r="I299" i="5"/>
  <c r="I300" i="5" s="1"/>
  <c r="J299" i="5"/>
  <c r="K299" i="5"/>
  <c r="L299" i="5"/>
  <c r="M299" i="5"/>
  <c r="N299" i="5"/>
  <c r="N300" i="5" s="1"/>
  <c r="O299" i="5"/>
  <c r="P299" i="5"/>
  <c r="Q299" i="5"/>
  <c r="R299" i="5"/>
  <c r="S299" i="5"/>
  <c r="T299" i="5"/>
  <c r="U299" i="5"/>
  <c r="U322" i="5" s="1"/>
  <c r="CX322" i="5" s="1"/>
  <c r="CX328" i="5" s="1"/>
  <c r="V299" i="5"/>
  <c r="V322" i="5" s="1"/>
  <c r="W299" i="5"/>
  <c r="X299" i="5"/>
  <c r="Y299" i="5"/>
  <c r="Z299" i="5"/>
  <c r="AA299" i="5"/>
  <c r="AB299" i="5"/>
  <c r="AC299" i="5"/>
  <c r="DD307" i="5"/>
  <c r="V310" i="5"/>
  <c r="CY310" i="5" s="1"/>
  <c r="CX310" i="5"/>
  <c r="C311" i="5"/>
  <c r="C309" i="5" s="1"/>
  <c r="D311" i="5"/>
  <c r="E311" i="5"/>
  <c r="E309" i="5" s="1"/>
  <c r="F311" i="5"/>
  <c r="F331" i="5" s="1"/>
  <c r="G311" i="5"/>
  <c r="G309" i="5" s="1"/>
  <c r="H311" i="5"/>
  <c r="H309" i="5" s="1"/>
  <c r="I311" i="5"/>
  <c r="I331" i="5" s="1"/>
  <c r="J311" i="5"/>
  <c r="J331" i="5" s="1"/>
  <c r="J329" i="5" s="1"/>
  <c r="K311" i="5"/>
  <c r="K331" i="5" s="1"/>
  <c r="L311" i="5"/>
  <c r="L309" i="5" s="1"/>
  <c r="M311" i="5"/>
  <c r="M309" i="5" s="1"/>
  <c r="N311" i="5"/>
  <c r="N331" i="5" s="1"/>
  <c r="O311" i="5"/>
  <c r="O309" i="5" s="1"/>
  <c r="P311" i="5"/>
  <c r="Q311" i="5"/>
  <c r="Q309" i="5" s="1"/>
  <c r="R311" i="5"/>
  <c r="R309" i="5" s="1"/>
  <c r="S311" i="5"/>
  <c r="S331" i="5" s="1"/>
  <c r="T311" i="5"/>
  <c r="T331" i="5" s="1"/>
  <c r="U311" i="5"/>
  <c r="V311" i="5"/>
  <c r="W311" i="5"/>
  <c r="W331" i="5" s="1"/>
  <c r="X311" i="5"/>
  <c r="X323" i="5" s="1"/>
  <c r="Y311" i="5"/>
  <c r="Y331" i="5" s="1"/>
  <c r="Z311" i="5"/>
  <c r="Z331" i="5" s="1"/>
  <c r="AA311" i="5"/>
  <c r="AA331" i="5" s="1"/>
  <c r="AB311" i="5"/>
  <c r="AB331" i="5" s="1"/>
  <c r="AC311" i="5"/>
  <c r="AD311" i="5"/>
  <c r="AD331" i="5" s="1"/>
  <c r="AE311" i="5"/>
  <c r="AF311" i="5"/>
  <c r="AF331" i="5" s="1"/>
  <c r="AG311" i="5"/>
  <c r="AH311" i="5"/>
  <c r="AI311" i="5"/>
  <c r="AJ311" i="5"/>
  <c r="AL311" i="5"/>
  <c r="AL313" i="5" s="1"/>
  <c r="DD311" i="5"/>
  <c r="DD313" i="5" s="1"/>
  <c r="AM313" i="5"/>
  <c r="AN313" i="5"/>
  <c r="AO313" i="5"/>
  <c r="AP313" i="5"/>
  <c r="AQ313" i="5"/>
  <c r="AR313" i="5"/>
  <c r="AS313" i="5"/>
  <c r="AH315" i="5"/>
  <c r="AI315" i="5" s="1"/>
  <c r="C316" i="5"/>
  <c r="D316" i="5"/>
  <c r="E316" i="5"/>
  <c r="F316" i="5"/>
  <c r="G316" i="5"/>
  <c r="H316" i="5"/>
  <c r="I316" i="5"/>
  <c r="J316" i="5"/>
  <c r="K316" i="5"/>
  <c r="L316" i="5"/>
  <c r="M316" i="5"/>
  <c r="N316" i="5"/>
  <c r="O316" i="5"/>
  <c r="P316" i="5"/>
  <c r="Q316" i="5"/>
  <c r="R316" i="5"/>
  <c r="S316" i="5"/>
  <c r="T316" i="5"/>
  <c r="U316" i="5"/>
  <c r="V317" i="5"/>
  <c r="V318" i="5"/>
  <c r="W318" i="5" s="1"/>
  <c r="X318" i="5" s="1"/>
  <c r="C321" i="5"/>
  <c r="D321" i="5"/>
  <c r="E321" i="5"/>
  <c r="F321" i="5"/>
  <c r="G321" i="5"/>
  <c r="H321" i="5"/>
  <c r="H322" i="5" s="1"/>
  <c r="I322" i="5" s="1"/>
  <c r="J322" i="5" s="1"/>
  <c r="K322" i="5" s="1"/>
  <c r="L322" i="5" s="1"/>
  <c r="M322" i="5" s="1"/>
  <c r="N322" i="5" s="1"/>
  <c r="O322" i="5" s="1"/>
  <c r="P322" i="5" s="1"/>
  <c r="Q322" i="5" s="1"/>
  <c r="R322" i="5" s="1"/>
  <c r="S322" i="5" s="1"/>
  <c r="I321" i="5"/>
  <c r="J321" i="5"/>
  <c r="J324" i="5" s="1"/>
  <c r="K321" i="5"/>
  <c r="L321" i="5"/>
  <c r="M321" i="5"/>
  <c r="N321" i="5"/>
  <c r="O321" i="5"/>
  <c r="P321" i="5"/>
  <c r="Q324" i="5" s="1"/>
  <c r="Q321" i="5"/>
  <c r="R321" i="5"/>
  <c r="S324" i="5" s="1"/>
  <c r="CY324" i="5" s="1"/>
  <c r="S321" i="5"/>
  <c r="T321" i="5"/>
  <c r="U321" i="5"/>
  <c r="W321" i="5"/>
  <c r="X321" i="5"/>
  <c r="Y321" i="5"/>
  <c r="Z321" i="5"/>
  <c r="AA321" i="5"/>
  <c r="AA324" i="5" s="1"/>
  <c r="DA324" i="5" s="1"/>
  <c r="AB321" i="5"/>
  <c r="AC321" i="5"/>
  <c r="AD321" i="5"/>
  <c r="AE321" i="5"/>
  <c r="AF324" i="5" s="1"/>
  <c r="AF321" i="5"/>
  <c r="AG321" i="5"/>
  <c r="AH321" i="5"/>
  <c r="AI321" i="5"/>
  <c r="AJ321" i="5"/>
  <c r="AK324" i="5" s="1"/>
  <c r="AR321" i="5"/>
  <c r="AS321" i="5"/>
  <c r="AT321" i="5"/>
  <c r="AU321" i="5"/>
  <c r="AV321" i="5"/>
  <c r="AW321" i="5"/>
  <c r="CY321" i="5"/>
  <c r="DC321" i="5"/>
  <c r="DD321" i="5"/>
  <c r="DF321" i="5"/>
  <c r="DG321" i="5"/>
  <c r="C323" i="5"/>
  <c r="D323" i="5"/>
  <c r="E323" i="5"/>
  <c r="F323" i="5"/>
  <c r="G323" i="5"/>
  <c r="H323" i="5"/>
  <c r="I323" i="5"/>
  <c r="J323" i="5"/>
  <c r="K323" i="5"/>
  <c r="L323" i="5"/>
  <c r="M323" i="5"/>
  <c r="N323" i="5"/>
  <c r="O323" i="5"/>
  <c r="P323" i="5"/>
  <c r="Q323" i="5"/>
  <c r="R323" i="5"/>
  <c r="S323" i="5"/>
  <c r="T323" i="5"/>
  <c r="U323" i="5"/>
  <c r="Y323" i="5"/>
  <c r="Z323" i="5"/>
  <c r="AA323" i="5"/>
  <c r="AB323" i="5"/>
  <c r="AC323" i="5"/>
  <c r="AD323" i="5"/>
  <c r="AE323" i="5"/>
  <c r="AF323" i="5"/>
  <c r="AG323" i="5"/>
  <c r="AH323" i="5"/>
  <c r="AI323" i="5"/>
  <c r="AJ323" i="5"/>
  <c r="AJ325" i="5" s="1"/>
  <c r="AK323" i="5"/>
  <c r="AK325" i="5" s="1"/>
  <c r="AL323" i="5"/>
  <c r="AL325" i="5" s="1"/>
  <c r="AM323" i="5"/>
  <c r="AM325" i="5" s="1"/>
  <c r="AN323" i="5"/>
  <c r="AN325" i="5" s="1"/>
  <c r="AO323" i="5"/>
  <c r="AO325" i="5" s="1"/>
  <c r="AP323" i="5"/>
  <c r="AP325" i="5" s="1"/>
  <c r="AQ323" i="5"/>
  <c r="AQ325" i="5" s="1"/>
  <c r="AS323" i="5" s="1"/>
  <c r="AS325" i="5" s="1"/>
  <c r="C327" i="5"/>
  <c r="D327" i="5"/>
  <c r="E327" i="5"/>
  <c r="E328" i="5" s="1"/>
  <c r="F327" i="5"/>
  <c r="G327" i="5"/>
  <c r="H327" i="5"/>
  <c r="I327" i="5"/>
  <c r="J327" i="5"/>
  <c r="K327" i="5"/>
  <c r="L327" i="5"/>
  <c r="M327" i="5"/>
  <c r="N327" i="5"/>
  <c r="O327" i="5"/>
  <c r="P327" i="5"/>
  <c r="Q327" i="5"/>
  <c r="R327" i="5"/>
  <c r="CX327" i="5" s="1"/>
  <c r="S327" i="5"/>
  <c r="T327" i="5"/>
  <c r="U327" i="5"/>
  <c r="V327" i="5"/>
  <c r="W327" i="5"/>
  <c r="X327" i="5"/>
  <c r="Y327" i="5"/>
  <c r="Z327" i="5"/>
  <c r="AA327" i="5"/>
  <c r="AB327" i="5"/>
  <c r="AS327" i="5"/>
  <c r="DD327" i="5"/>
  <c r="C330" i="5"/>
  <c r="D330" i="5"/>
  <c r="E330" i="5"/>
  <c r="F330" i="5"/>
  <c r="G330" i="5"/>
  <c r="H330" i="5"/>
  <c r="I330" i="5"/>
  <c r="J330" i="5"/>
  <c r="K330" i="5"/>
  <c r="L330" i="5"/>
  <c r="M330" i="5"/>
  <c r="N330" i="5"/>
  <c r="O330" i="5"/>
  <c r="P330" i="5"/>
  <c r="Q330" i="5"/>
  <c r="R330" i="5"/>
  <c r="S330" i="5"/>
  <c r="T330" i="5"/>
  <c r="U330" i="5"/>
  <c r="AG331" i="5"/>
  <c r="AH331" i="5"/>
  <c r="AI331" i="5"/>
  <c r="AJ331" i="5"/>
  <c r="AK331" i="5"/>
  <c r="AK311" i="5" s="1"/>
  <c r="AK313" i="5" s="1"/>
  <c r="AL331" i="5"/>
  <c r="AL333" i="5" s="1"/>
  <c r="DD331" i="5"/>
  <c r="AM333" i="5"/>
  <c r="AN333" i="5"/>
  <c r="AO333" i="5"/>
  <c r="AP333" i="5"/>
  <c r="AQ333" i="5"/>
  <c r="AR333" i="5"/>
  <c r="AS333" i="5"/>
  <c r="DB335" i="5"/>
  <c r="DC335" i="5"/>
  <c r="AD338" i="5"/>
  <c r="DA338" i="5" s="1"/>
  <c r="AE338" i="5"/>
  <c r="AF338" i="5"/>
  <c r="AG338" i="5"/>
  <c r="AH338" i="5"/>
  <c r="AI338" i="5"/>
  <c r="AJ338" i="5"/>
  <c r="AK338" i="5"/>
  <c r="AL338" i="5"/>
  <c r="AM338" i="5"/>
  <c r="AN338" i="5"/>
  <c r="AO338" i="5"/>
  <c r="AP338" i="5"/>
  <c r="AQ338" i="5"/>
  <c r="AR338" i="5"/>
  <c r="AS338" i="5"/>
  <c r="CX338" i="5"/>
  <c r="CY338" i="5"/>
  <c r="CZ338" i="5"/>
  <c r="AD339" i="5"/>
  <c r="AE339" i="5"/>
  <c r="AF339" i="5"/>
  <c r="AG339" i="5"/>
  <c r="AH339" i="5"/>
  <c r="AI339" i="5"/>
  <c r="AJ339" i="5"/>
  <c r="AK339" i="5"/>
  <c r="AL339" i="5"/>
  <c r="AM339" i="5"/>
  <c r="AN339" i="5"/>
  <c r="AO339" i="5"/>
  <c r="AP339" i="5"/>
  <c r="AQ339" i="5"/>
  <c r="AR339" i="5"/>
  <c r="CX339" i="5"/>
  <c r="CY339" i="5"/>
  <c r="CZ339" i="5"/>
  <c r="DA339" i="5"/>
  <c r="C14" i="4"/>
  <c r="D3" i="3"/>
  <c r="F6" i="3"/>
  <c r="G6" i="3"/>
  <c r="G7" i="3" s="1"/>
  <c r="H6" i="3"/>
  <c r="I6" i="3"/>
  <c r="C8" i="3"/>
  <c r="D8" i="3"/>
  <c r="D9" i="3" s="1"/>
  <c r="E8" i="3"/>
  <c r="E9" i="3" s="1"/>
  <c r="C10" i="3"/>
  <c r="C34" i="3"/>
  <c r="C59" i="3"/>
  <c r="AG299" i="5"/>
  <c r="AM299" i="5"/>
  <c r="AR161" i="2"/>
  <c r="AC288" i="5"/>
  <c r="V69" i="5"/>
  <c r="BB81" i="5"/>
  <c r="AW187" i="2"/>
  <c r="AW297" i="2"/>
  <c r="AS104" i="2"/>
  <c r="M140" i="5"/>
  <c r="E140" i="5"/>
  <c r="Z141" i="5"/>
  <c r="DC111" i="5"/>
  <c r="DC298" i="5" s="1"/>
  <c r="V287" i="5"/>
  <c r="N287" i="5"/>
  <c r="DE237" i="2"/>
  <c r="AT238" i="2"/>
  <c r="AQ307" i="1"/>
  <c r="AQ306" i="1" s="1"/>
  <c r="AV121" i="1"/>
  <c r="AT115" i="1"/>
  <c r="DA279" i="5"/>
  <c r="DA280" i="5" s="1"/>
  <c r="F279" i="5"/>
  <c r="F280" i="5" s="1"/>
  <c r="AX203" i="5"/>
  <c r="D30" i="6"/>
  <c r="AT311" i="5"/>
  <c r="AW130" i="2"/>
  <c r="AW291" i="5"/>
  <c r="DF212" i="2"/>
  <c r="AQ104" i="2"/>
  <c r="DE212" i="2"/>
  <c r="DE279" i="5"/>
  <c r="DE280" i="5"/>
  <c r="DF89" i="1"/>
  <c r="DF91" i="1" s="1"/>
  <c r="AY378" i="1"/>
  <c r="AY363" i="1" s="1"/>
  <c r="BC403" i="1"/>
  <c r="AQ378" i="1"/>
  <c r="AQ363" i="1"/>
  <c r="AQ404" i="1"/>
  <c r="AR403" i="1"/>
  <c r="AZ378" i="1"/>
  <c r="BD403" i="1"/>
  <c r="AZ404" i="1"/>
  <c r="BB378" i="1"/>
  <c r="AT175" i="5"/>
  <c r="AT404" i="1"/>
  <c r="AT401" i="1"/>
  <c r="BE403" i="1"/>
  <c r="BA404" i="1"/>
  <c r="AS404" i="1"/>
  <c r="AS403" i="1"/>
  <c r="AY175" i="5"/>
  <c r="AZ175" i="5"/>
  <c r="AU92" i="1"/>
  <c r="Q277" i="5"/>
  <c r="AH150" i="5"/>
  <c r="BD265" i="2"/>
  <c r="AW104" i="2"/>
  <c r="AT104" i="2"/>
  <c r="AU104" i="2"/>
  <c r="AX104" i="2"/>
  <c r="AT198" i="2"/>
  <c r="AX198" i="2"/>
  <c r="BA260" i="5"/>
  <c r="AZ260" i="5"/>
  <c r="AV112" i="1"/>
  <c r="AU395" i="1"/>
  <c r="AU112" i="1"/>
  <c r="AB133" i="5"/>
  <c r="E3" i="3"/>
  <c r="F3" i="3" s="1"/>
  <c r="D34" i="3"/>
  <c r="D59" i="3" s="1"/>
  <c r="DH74" i="5"/>
  <c r="DG74" i="5"/>
  <c r="AE133" i="5"/>
  <c r="AA141" i="5"/>
  <c r="AB287" i="5"/>
  <c r="AR378" i="1"/>
  <c r="AR363" i="1" s="1"/>
  <c r="AR175" i="5"/>
  <c r="AR405" i="1"/>
  <c r="Z96" i="5"/>
  <c r="CZ96" i="5" s="1"/>
  <c r="AA287" i="5"/>
  <c r="AA269" i="5" s="1"/>
  <c r="DF277" i="5"/>
  <c r="CZ140" i="2"/>
  <c r="AQ175" i="5"/>
  <c r="U141" i="5"/>
  <c r="AD287" i="5"/>
  <c r="M96" i="5"/>
  <c r="M141" i="5"/>
  <c r="H119" i="5"/>
  <c r="F108" i="5"/>
  <c r="F128" i="5" s="1"/>
  <c r="AL133" i="5"/>
  <c r="V133" i="5"/>
  <c r="N140" i="5"/>
  <c r="AT378" i="1"/>
  <c r="AT363" i="1" s="1"/>
  <c r="AT396" i="1" s="1"/>
  <c r="BE210" i="2"/>
  <c r="BH201" i="5"/>
  <c r="DI74" i="5"/>
  <c r="AQ321" i="1"/>
  <c r="AQ322" i="1" s="1"/>
  <c r="CZ125" i="5"/>
  <c r="AK133" i="5"/>
  <c r="AD299" i="5"/>
  <c r="AS133" i="5"/>
  <c r="BL201" i="5"/>
  <c r="BL197" i="5"/>
  <c r="BL63" i="5" s="1"/>
  <c r="BL81" i="5" s="1"/>
  <c r="DA120" i="5"/>
  <c r="DA299" i="5" s="1"/>
  <c r="AG96" i="5"/>
  <c r="AC298" i="5"/>
  <c r="BK201" i="5"/>
  <c r="BK197" i="5"/>
  <c r="BK63" i="5" s="1"/>
  <c r="BK81" i="5" s="1"/>
  <c r="AC89" i="5"/>
  <c r="BH197" i="5"/>
  <c r="BH63" i="5" s="1"/>
  <c r="BH81" i="5" s="1"/>
  <c r="AS246" i="2"/>
  <c r="AY198" i="2"/>
  <c r="AL89" i="5"/>
  <c r="DC89" i="5" s="1"/>
  <c r="D6" i="5"/>
  <c r="D247" i="5" s="1"/>
  <c r="BA85" i="5"/>
  <c r="AT89" i="5"/>
  <c r="DE89" i="5" s="1"/>
  <c r="DI105" i="5"/>
  <c r="BD54" i="1"/>
  <c r="BD55" i="1" s="1"/>
  <c r="BF314" i="2"/>
  <c r="AZ246" i="2"/>
  <c r="AR246" i="2"/>
  <c r="DF117" i="1"/>
  <c r="DF155" i="1" s="1"/>
  <c r="C159" i="5"/>
  <c r="BM175" i="5"/>
  <c r="DJ383" i="1"/>
  <c r="E274" i="5"/>
  <c r="DC148" i="2"/>
  <c r="DA153" i="2"/>
  <c r="CY55" i="2"/>
  <c r="CY56" i="2" s="1"/>
  <c r="CW40" i="2"/>
  <c r="DC55" i="2"/>
  <c r="DA55" i="2"/>
  <c r="CW10" i="2"/>
  <c r="DA151" i="2"/>
  <c r="DC152" i="2"/>
  <c r="DC147" i="2"/>
  <c r="CU10" i="2"/>
  <c r="DA152" i="2"/>
  <c r="CY148" i="2"/>
  <c r="DC153" i="2"/>
  <c r="DC48" i="2"/>
  <c r="DA150" i="2"/>
  <c r="DC146" i="2"/>
  <c r="CV4" i="2"/>
  <c r="N158" i="5"/>
  <c r="V159" i="5"/>
  <c r="BD2" i="1"/>
  <c r="BD2" i="2" s="1"/>
  <c r="DF2" i="1"/>
  <c r="DE2" i="2" s="1"/>
  <c r="BC2" i="1"/>
  <c r="BC2" i="2" s="1"/>
  <c r="DG2" i="1"/>
  <c r="DF2" i="2" s="1"/>
  <c r="DH354" i="1"/>
  <c r="DG354" i="1"/>
  <c r="DG301" i="1" s="1"/>
  <c r="AZ354" i="1"/>
  <c r="AR354" i="1"/>
  <c r="DD314" i="2"/>
  <c r="AI20" i="5"/>
  <c r="DC312" i="2"/>
  <c r="DC297" i="2"/>
  <c r="DC321" i="2"/>
  <c r="Y20" i="5"/>
  <c r="V20" i="5"/>
  <c r="DB299" i="2"/>
  <c r="CZ281" i="2"/>
  <c r="CX209" i="2"/>
  <c r="DD213" i="2"/>
  <c r="DD297" i="2"/>
  <c r="CY281" i="2"/>
  <c r="AV104" i="2"/>
  <c r="AE20" i="5"/>
  <c r="O20" i="5"/>
  <c r="CZ299" i="2"/>
  <c r="CZ234" i="2"/>
  <c r="DD201" i="2"/>
  <c r="CZ312" i="2"/>
  <c r="DB297" i="2"/>
  <c r="DA281" i="2"/>
  <c r="DA297" i="2"/>
  <c r="DB284" i="2"/>
  <c r="CZ213" i="2"/>
  <c r="DA209" i="2" s="1"/>
  <c r="AQ209" i="2"/>
  <c r="AQ213" i="2" s="1"/>
  <c r="AY246" i="2"/>
  <c r="DD312" i="2"/>
  <c r="CY210" i="2"/>
  <c r="AH291" i="5"/>
  <c r="DD299" i="2"/>
  <c r="DC212" i="2"/>
  <c r="CY212" i="2"/>
  <c r="DH245" i="2"/>
  <c r="CX198" i="2"/>
  <c r="DB229" i="2"/>
  <c r="BA163" i="2"/>
  <c r="CZ190" i="2"/>
  <c r="DC178" i="2"/>
  <c r="DC175" i="2"/>
  <c r="CY178" i="2"/>
  <c r="CY175" i="2"/>
  <c r="AQ163" i="2"/>
  <c r="DA234" i="2"/>
  <c r="DA229" i="2"/>
  <c r="DA230" i="2" s="1"/>
  <c r="AT76" i="2"/>
  <c r="AT163" i="2"/>
  <c r="DE199" i="2"/>
  <c r="CY229" i="2"/>
  <c r="AS76" i="2"/>
  <c r="AS163" i="2"/>
  <c r="CW178" i="2"/>
  <c r="CX229" i="2"/>
  <c r="DD175" i="2"/>
  <c r="DD178" i="2"/>
  <c r="DB175" i="2"/>
  <c r="DB178" i="2"/>
  <c r="CZ175" i="2"/>
  <c r="CZ178" i="2"/>
  <c r="DC199" i="2"/>
  <c r="AQ76" i="2"/>
  <c r="CW174" i="2"/>
  <c r="DB199" i="2"/>
  <c r="DB163" i="2" s="1"/>
  <c r="CY163" i="2"/>
  <c r="DD190" i="2"/>
  <c r="DD187" i="2"/>
  <c r="DC151" i="2"/>
  <c r="CW179" i="2"/>
  <c r="AW164" i="2"/>
  <c r="AR76" i="2"/>
  <c r="AR163" i="2"/>
  <c r="CY147" i="2"/>
  <c r="CZ160" i="2"/>
  <c r="DC139" i="2"/>
  <c r="DC140" i="2" s="1"/>
  <c r="DC93" i="2"/>
  <c r="DG126" i="2"/>
  <c r="DB130" i="2"/>
  <c r="DA130" i="2"/>
  <c r="DA131" i="2" s="1"/>
  <c r="DD99" i="2"/>
  <c r="DF72" i="2"/>
  <c r="CY106" i="2"/>
  <c r="CY107" i="2" s="1"/>
  <c r="BA66" i="2"/>
  <c r="BB66" i="2"/>
  <c r="CW64" i="2"/>
  <c r="DC121" i="2"/>
  <c r="DC99" i="2"/>
  <c r="DC100" i="2" s="1"/>
  <c r="CY99" i="2"/>
  <c r="CZ72" i="2"/>
  <c r="CY72" i="2"/>
  <c r="DA99" i="2"/>
  <c r="CZ64" i="2"/>
  <c r="CX10" i="2"/>
  <c r="CV10" i="2"/>
  <c r="DB48" i="2"/>
  <c r="DB55" i="2"/>
  <c r="CZ55" i="2"/>
  <c r="CX64" i="2"/>
  <c r="AT49" i="2"/>
  <c r="CU9" i="2"/>
  <c r="DC80" i="2"/>
  <c r="DH6" i="2"/>
  <c r="DC40" i="2"/>
  <c r="DA40" i="2"/>
  <c r="CU46" i="2"/>
  <c r="D158" i="5"/>
  <c r="E158" i="5"/>
  <c r="D159" i="5"/>
  <c r="AM175" i="5"/>
  <c r="F158" i="5"/>
  <c r="AD159" i="5"/>
  <c r="AD158" i="5"/>
  <c r="BA175" i="5"/>
  <c r="AS378" i="1"/>
  <c r="AS405" i="1"/>
  <c r="AS175" i="5"/>
  <c r="AK175" i="5"/>
  <c r="F159" i="5"/>
  <c r="AE159" i="5"/>
  <c r="G158" i="5"/>
  <c r="G175" i="5"/>
  <c r="E159" i="5"/>
  <c r="AQ405" i="1"/>
  <c r="AT325" i="1"/>
  <c r="AT324" i="1"/>
  <c r="DI247" i="1"/>
  <c r="DI248" i="1" s="1"/>
  <c r="DI245" i="1"/>
  <c r="DI225" i="1"/>
  <c r="BF262" i="1"/>
  <c r="DI223" i="1"/>
  <c r="DI224" i="1" s="1"/>
  <c r="BE262" i="1"/>
  <c r="BE357" i="1" s="1"/>
  <c r="AU28" i="1"/>
  <c r="AU35" i="1"/>
  <c r="AU74" i="1"/>
  <c r="AU90" i="1"/>
  <c r="AU118" i="1"/>
  <c r="AU103" i="1"/>
  <c r="AU109" i="1"/>
  <c r="AU106" i="1"/>
  <c r="BC54" i="1"/>
  <c r="DF108" i="1"/>
  <c r="AT85" i="1"/>
  <c r="AT87" i="1" s="1"/>
  <c r="AQ86" i="1"/>
  <c r="BD39" i="1"/>
  <c r="DF32" i="1"/>
  <c r="CY4" i="2"/>
  <c r="CX4" i="2"/>
  <c r="CX11" i="2" s="1"/>
  <c r="AT31" i="1"/>
  <c r="AT49" i="1"/>
  <c r="AT50" i="1" s="1"/>
  <c r="AT51" i="1" s="1"/>
  <c r="AX280" i="5"/>
  <c r="BG201" i="5"/>
  <c r="BG197" i="5"/>
  <c r="BG63" i="5" s="1"/>
  <c r="BG81" i="5" s="1"/>
  <c r="DH185" i="5"/>
  <c r="BE188" i="5"/>
  <c r="BF201" i="5"/>
  <c r="BF197" i="5"/>
  <c r="BF63" i="5" s="1"/>
  <c r="BF81" i="5" s="1"/>
  <c r="K85" i="5"/>
  <c r="DH106" i="5"/>
  <c r="DH100" i="5"/>
  <c r="CZ111" i="5"/>
  <c r="CZ298" i="5" s="1"/>
  <c r="CZ300" i="5" s="1"/>
  <c r="CX97" i="5"/>
  <c r="DH99" i="5"/>
  <c r="U96" i="5"/>
  <c r="E96" i="5"/>
  <c r="AA96" i="5"/>
  <c r="BF264" i="2"/>
  <c r="E34" i="3"/>
  <c r="E59" i="3" s="1"/>
  <c r="BF210" i="2"/>
  <c r="BF211" i="2" s="1"/>
  <c r="DJ185" i="5"/>
  <c r="DJ197" i="5" s="1"/>
  <c r="V324" i="5"/>
  <c r="N159" i="5"/>
  <c r="DJ74" i="5"/>
  <c r="P158" i="5"/>
  <c r="DI106" i="5"/>
  <c r="DI99" i="5"/>
  <c r="BN201" i="5"/>
  <c r="BN197" i="5"/>
  <c r="BN63" i="5" s="1"/>
  <c r="BN81" i="5" s="1"/>
  <c r="DI185" i="5"/>
  <c r="DI201" i="5" s="1"/>
  <c r="BK175" i="5"/>
  <c r="BL175" i="5"/>
  <c r="BN175" i="5"/>
  <c r="CW9" i="2"/>
  <c r="DA148" i="2"/>
  <c r="CY40" i="2"/>
  <c r="CY41" i="2" s="1"/>
  <c r="CY153" i="2"/>
  <c r="CY152" i="2"/>
  <c r="CW48" i="2"/>
  <c r="CY48" i="2"/>
  <c r="CY47" i="2" s="1"/>
  <c r="AN159" i="5"/>
  <c r="DA48" i="2"/>
  <c r="CZ40" i="2"/>
  <c r="CZ48" i="2"/>
  <c r="Y159" i="5"/>
  <c r="CY10" i="2"/>
  <c r="W159" i="5"/>
  <c r="DA10" i="2"/>
  <c r="X158" i="5"/>
  <c r="V158" i="5"/>
  <c r="X159" i="5"/>
  <c r="W158" i="5"/>
  <c r="I159" i="5"/>
  <c r="AM158" i="5"/>
  <c r="AN158" i="5"/>
  <c r="AM159" i="5"/>
  <c r="AO158" i="5"/>
  <c r="H158" i="5"/>
  <c r="DD148" i="2"/>
  <c r="DA213" i="2"/>
  <c r="DB209" i="2" s="1"/>
  <c r="DC213" i="2"/>
  <c r="DD209" i="2" s="1"/>
  <c r="DD48" i="2"/>
  <c r="CZ152" i="2"/>
  <c r="CZ153" i="2"/>
  <c r="DH121" i="2"/>
  <c r="DH233" i="2"/>
  <c r="BF235" i="2"/>
  <c r="CZ210" i="2"/>
  <c r="CV9" i="2"/>
  <c r="DB314" i="2"/>
  <c r="DD40" i="2"/>
  <c r="DD152" i="2"/>
  <c r="DD153" i="2"/>
  <c r="CX9" i="2"/>
  <c r="DC81" i="2"/>
  <c r="CZ148" i="2"/>
  <c r="DD101" i="2"/>
  <c r="CY231" i="2"/>
  <c r="CZ230" i="2"/>
  <c r="AH19" i="5"/>
  <c r="AH274" i="5" s="1"/>
  <c r="DB40" i="2"/>
  <c r="DB152" i="2"/>
  <c r="DB153" i="2"/>
  <c r="DC150" i="2"/>
  <c r="DD281" i="2"/>
  <c r="CY64" i="2"/>
  <c r="CX210" i="2"/>
  <c r="CX125" i="2"/>
  <c r="DC64" i="2"/>
  <c r="DD284" i="2"/>
  <c r="W20" i="5"/>
  <c r="CX40" i="2"/>
  <c r="DC181" i="2"/>
  <c r="DC177" i="2"/>
  <c r="CX48" i="2"/>
  <c r="DB148" i="2"/>
  <c r="DC10" i="2"/>
  <c r="DC281" i="2"/>
  <c r="CY312" i="2"/>
  <c r="Q159" i="5"/>
  <c r="O158" i="5"/>
  <c r="I4" i="5"/>
  <c r="AO15" i="5"/>
  <c r="T3" i="5"/>
  <c r="AT323" i="1"/>
  <c r="O159" i="5"/>
  <c r="N4" i="5"/>
  <c r="K4" i="5"/>
  <c r="DF111" i="1"/>
  <c r="DI235" i="1"/>
  <c r="AR309" i="1"/>
  <c r="AV310" i="1" s="1"/>
  <c r="AZ311" i="1" s="1"/>
  <c r="AE158" i="5"/>
  <c r="G159" i="5"/>
  <c r="P159" i="5"/>
  <c r="P3" i="5"/>
  <c r="P6" i="5" s="1"/>
  <c r="AG15" i="5"/>
  <c r="C6" i="3"/>
  <c r="AI15" i="5"/>
  <c r="AH15" i="5"/>
  <c r="AK15" i="5"/>
  <c r="AQ324" i="1"/>
  <c r="AO159" i="5"/>
  <c r="Y158" i="5"/>
  <c r="Q158" i="5"/>
  <c r="I14" i="3"/>
  <c r="AC15" i="5"/>
  <c r="AS309" i="1"/>
  <c r="AW310" i="1" s="1"/>
  <c r="BA311" i="1" s="1"/>
  <c r="BE312" i="1" s="1"/>
  <c r="E6" i="3"/>
  <c r="F7" i="3" s="1"/>
  <c r="H4" i="5"/>
  <c r="M4" i="5"/>
  <c r="C12" i="5"/>
  <c r="AT309" i="1"/>
  <c r="AQ309" i="1"/>
  <c r="I158" i="5"/>
  <c r="H159" i="5"/>
  <c r="AK159" i="5"/>
  <c r="AK158" i="5"/>
  <c r="AJ159" i="5"/>
  <c r="AJ158" i="5"/>
  <c r="AA158" i="5"/>
  <c r="AC159" i="5"/>
  <c r="AC158" i="5"/>
  <c r="AB159" i="5"/>
  <c r="Z158" i="5"/>
  <c r="AB158" i="5"/>
  <c r="Z159" i="5"/>
  <c r="AA159" i="5"/>
  <c r="AT158" i="5"/>
  <c r="AT159" i="5"/>
  <c r="AG158" i="5"/>
  <c r="AI158" i="5"/>
  <c r="AG159" i="5"/>
  <c r="AF159" i="5"/>
  <c r="AH159" i="5"/>
  <c r="AF158" i="5"/>
  <c r="AI159" i="5"/>
  <c r="AH158" i="5"/>
  <c r="K158" i="5"/>
  <c r="M159" i="5"/>
  <c r="M158" i="5"/>
  <c r="J159" i="5"/>
  <c r="K159" i="5"/>
  <c r="L159" i="5"/>
  <c r="J158" i="5"/>
  <c r="L158" i="5"/>
  <c r="AQ158" i="5"/>
  <c r="AS159" i="5"/>
  <c r="AS158" i="5"/>
  <c r="AP159" i="5"/>
  <c r="AP158" i="5"/>
  <c r="AQ159" i="5"/>
  <c r="AR158" i="5"/>
  <c r="AR159" i="5"/>
  <c r="BI197" i="5"/>
  <c r="BI63" i="5" s="1"/>
  <c r="BI81" i="5" s="1"/>
  <c r="BI201" i="5"/>
  <c r="BJ197" i="5"/>
  <c r="BJ63" i="5" s="1"/>
  <c r="BJ81" i="5" s="1"/>
  <c r="BJ201" i="5"/>
  <c r="AL158" i="5"/>
  <c r="AL159" i="5"/>
  <c r="S158" i="5"/>
  <c r="U159" i="5"/>
  <c r="U158" i="5"/>
  <c r="S159" i="5"/>
  <c r="T159" i="5"/>
  <c r="R158" i="5"/>
  <c r="T158" i="5"/>
  <c r="R159" i="5"/>
  <c r="DA158" i="5"/>
  <c r="BG229" i="5"/>
  <c r="DH210" i="2"/>
  <c r="BR197" i="5"/>
  <c r="BR63" i="5" s="1"/>
  <c r="BR81" i="5" s="1"/>
  <c r="BR201" i="5"/>
  <c r="DK185" i="5"/>
  <c r="DK201" i="5" s="1"/>
  <c r="DJ99" i="5"/>
  <c r="DJ106" i="5"/>
  <c r="DK74" i="5"/>
  <c r="CZ111" i="2"/>
  <c r="BM201" i="5"/>
  <c r="BM197" i="5"/>
  <c r="BM63" i="5" s="1"/>
  <c r="BM81" i="5" s="1"/>
  <c r="CY151" i="2"/>
  <c r="CY150" i="2"/>
  <c r="DA147" i="2"/>
  <c r="DD10" i="2"/>
  <c r="DC9" i="2"/>
  <c r="CY146" i="2"/>
  <c r="CZ10" i="2"/>
  <c r="BF313" i="5"/>
  <c r="BG313" i="5" s="1"/>
  <c r="AH20" i="5"/>
  <c r="BE163" i="2"/>
  <c r="DH240" i="2"/>
  <c r="DD147" i="2"/>
  <c r="DB312" i="2"/>
  <c r="AF20" i="5"/>
  <c r="DC130" i="2"/>
  <c r="DB151" i="2"/>
  <c r="CY9" i="2"/>
  <c r="DD210" i="2"/>
  <c r="DB210" i="2"/>
  <c r="CX181" i="2"/>
  <c r="CY130" i="2"/>
  <c r="DC210" i="2"/>
  <c r="DB10" i="2"/>
  <c r="AQ197" i="2"/>
  <c r="AQ200" i="2"/>
  <c r="CZ151" i="2"/>
  <c r="DC156" i="2"/>
  <c r="DC157" i="2" s="1"/>
  <c r="DA210" i="2"/>
  <c r="CZ147" i="2"/>
  <c r="DB147" i="2"/>
  <c r="DD151" i="2"/>
  <c r="AS310" i="1"/>
  <c r="AW311" i="1" s="1"/>
  <c r="AQ310" i="1"/>
  <c r="AU311" i="1" s="1"/>
  <c r="AY312" i="1" s="1"/>
  <c r="BC313" i="1" s="1"/>
  <c r="BG314" i="1" s="1"/>
  <c r="AC4" i="5"/>
  <c r="CV41" i="2"/>
  <c r="AB3" i="5"/>
  <c r="D6" i="3"/>
  <c r="AP15" i="5"/>
  <c r="AR310" i="1"/>
  <c r="F14" i="3"/>
  <c r="H14" i="3"/>
  <c r="C14" i="3"/>
  <c r="AN15" i="5"/>
  <c r="DJ223" i="1"/>
  <c r="BH262" i="1"/>
  <c r="BG262" i="1"/>
  <c r="BG263" i="1" s="1"/>
  <c r="AJ15" i="5"/>
  <c r="G14" i="3"/>
  <c r="DI237" i="1"/>
  <c r="AL15" i="5"/>
  <c r="BH229" i="5"/>
  <c r="DC158" i="5"/>
  <c r="DK99" i="5"/>
  <c r="DK106" i="5"/>
  <c r="DL106" i="5"/>
  <c r="DL74" i="5"/>
  <c r="DJ105" i="5"/>
  <c r="DK137" i="1" s="1"/>
  <c r="DF127" i="5"/>
  <c r="DF145" i="5" s="1"/>
  <c r="DI6" i="2"/>
  <c r="DI7" i="2" s="1"/>
  <c r="DA9" i="2"/>
  <c r="DA146" i="2"/>
  <c r="DD9" i="2"/>
  <c r="DB9" i="2"/>
  <c r="CZ9" i="2"/>
  <c r="DB281" i="2"/>
  <c r="CZ150" i="2"/>
  <c r="BI312" i="2"/>
  <c r="DD146" i="2"/>
  <c r="CZ146" i="2"/>
  <c r="DH244" i="2"/>
  <c r="DB150" i="2"/>
  <c r="DD150" i="2"/>
  <c r="DB146" i="2"/>
  <c r="CY131" i="2"/>
  <c r="AB4" i="5"/>
  <c r="BI262" i="1"/>
  <c r="BI264" i="1" s="1"/>
  <c r="BH268" i="1"/>
  <c r="BG380" i="1"/>
  <c r="AR311" i="1"/>
  <c r="AV312" i="1" s="1"/>
  <c r="E14" i="3"/>
  <c r="DI100" i="5"/>
  <c r="BI229" i="5"/>
  <c r="BJ229" i="5"/>
  <c r="CY156" i="2"/>
  <c r="DA156" i="2"/>
  <c r="CZ156" i="2"/>
  <c r="DD156" i="2"/>
  <c r="DB156" i="2"/>
  <c r="AQ311" i="1"/>
  <c r="AQ313" i="1"/>
  <c r="AU314" i="1" s="1"/>
  <c r="AS315" i="1"/>
  <c r="AS311" i="1"/>
  <c r="AW312" i="1" s="1"/>
  <c r="BI268" i="1"/>
  <c r="AT311" i="1"/>
  <c r="AS313" i="1"/>
  <c r="AW314" i="1" s="1"/>
  <c r="BA315" i="1" s="1"/>
  <c r="D14" i="3"/>
  <c r="AQ314" i="1"/>
  <c r="AU315" i="1" s="1"/>
  <c r="DJ225" i="1"/>
  <c r="DJ245" i="1"/>
  <c r="DJ247" i="1"/>
  <c r="DK223" i="1"/>
  <c r="BK229" i="5"/>
  <c r="BK312" i="2"/>
  <c r="BE72" i="2"/>
  <c r="BE94" i="2"/>
  <c r="DI121" i="2"/>
  <c r="DI233" i="2"/>
  <c r="G8" i="3"/>
  <c r="AT313" i="1"/>
  <c r="DF313" i="1" s="1"/>
  <c r="C51" i="3"/>
  <c r="DJ235" i="1"/>
  <c r="BJ262" i="1"/>
  <c r="AR313" i="1"/>
  <c r="AV314" i="1" s="1"/>
  <c r="AZ315" i="1" s="1"/>
  <c r="CY133" i="2"/>
  <c r="F8" i="3"/>
  <c r="DA4" i="2"/>
  <c r="BE174" i="5"/>
  <c r="AT312" i="1"/>
  <c r="AX313" i="1" s="1"/>
  <c r="J10" i="9"/>
  <c r="K10" i="9" s="1"/>
  <c r="L10" i="9" s="1"/>
  <c r="M10" i="9" s="1"/>
  <c r="DL99" i="5"/>
  <c r="BL229" i="5"/>
  <c r="BL262" i="1"/>
  <c r="DH117" i="2"/>
  <c r="AS314" i="1"/>
  <c r="AW315" i="1" s="1"/>
  <c r="AT314" i="1"/>
  <c r="BF174" i="5"/>
  <c r="AR314" i="1"/>
  <c r="AV315" i="1" s="1"/>
  <c r="D51" i="3"/>
  <c r="AE3" i="5"/>
  <c r="AD3" i="5"/>
  <c r="DI368" i="1"/>
  <c r="DJ237" i="1"/>
  <c r="DJ238" i="1" s="1"/>
  <c r="J13" i="9"/>
  <c r="K13" i="9" s="1"/>
  <c r="DJ6" i="2"/>
  <c r="DG127" i="5"/>
  <c r="DG145" i="5" s="1"/>
  <c r="BL311" i="5"/>
  <c r="BM229" i="5"/>
  <c r="DK247" i="1"/>
  <c r="DK245" i="1"/>
  <c r="BN262" i="1"/>
  <c r="BM262" i="1"/>
  <c r="BF64" i="2"/>
  <c r="AD4" i="5"/>
  <c r="AQ315" i="1"/>
  <c r="AF3" i="5"/>
  <c r="AE4" i="5"/>
  <c r="AT315" i="1"/>
  <c r="DF315" i="1" s="1"/>
  <c r="AR315" i="1"/>
  <c r="BG174" i="5"/>
  <c r="J11" i="9"/>
  <c r="K11" i="9"/>
  <c r="L11" i="9"/>
  <c r="M11" i="9"/>
  <c r="H24" i="9"/>
  <c r="DK235" i="1"/>
  <c r="DK236" i="1" s="1"/>
  <c r="BO229" i="5"/>
  <c r="BN229" i="5"/>
  <c r="DJ100" i="5"/>
  <c r="BL331" i="5"/>
  <c r="BM311" i="5"/>
  <c r="BM312" i="2"/>
  <c r="DJ321" i="2"/>
  <c r="BF94" i="2"/>
  <c r="BF72" i="2"/>
  <c r="DH93" i="2"/>
  <c r="DH89" i="2"/>
  <c r="D10" i="3"/>
  <c r="AQ326" i="1"/>
  <c r="C19" i="3"/>
  <c r="D19" i="3"/>
  <c r="BH174" i="5"/>
  <c r="BG379" i="1"/>
  <c r="E51" i="3"/>
  <c r="AG3" i="5"/>
  <c r="AF4" i="5"/>
  <c r="CY33" i="5"/>
  <c r="DB4" i="2"/>
  <c r="AR326" i="1"/>
  <c r="DL223" i="1"/>
  <c r="BM20" i="5"/>
  <c r="DJ121" i="2"/>
  <c r="BO262" i="1"/>
  <c r="BP229" i="5"/>
  <c r="BH396" i="1"/>
  <c r="BM331" i="5"/>
  <c r="DJ233" i="2"/>
  <c r="BN311" i="5"/>
  <c r="AH3" i="5"/>
  <c r="H8" i="3"/>
  <c r="H9" i="3" s="1"/>
  <c r="AG4" i="5"/>
  <c r="AG6" i="5" s="1"/>
  <c r="AQ325" i="1"/>
  <c r="AU326" i="1" s="1"/>
  <c r="AR325" i="1"/>
  <c r="AV326" i="1" s="1"/>
  <c r="BI174" i="5"/>
  <c r="N34" i="3"/>
  <c r="N59" i="3"/>
  <c r="DL247" i="1"/>
  <c r="DL245" i="1"/>
  <c r="BP262" i="1"/>
  <c r="BQ229" i="5"/>
  <c r="BN331" i="5"/>
  <c r="BF127" i="5"/>
  <c r="I8" i="3"/>
  <c r="BJ174" i="5"/>
  <c r="DJ368" i="1"/>
  <c r="E19" i="3"/>
  <c r="AS326" i="1"/>
  <c r="AT326" i="1"/>
  <c r="DF326" i="1" s="1"/>
  <c r="AI3" i="5"/>
  <c r="F10" i="3"/>
  <c r="AJ3" i="5"/>
  <c r="AH4" i="5"/>
  <c r="BP312" i="2"/>
  <c r="DK6" i="2"/>
  <c r="BR229" i="5"/>
  <c r="DK100" i="5"/>
  <c r="BH127" i="5"/>
  <c r="BK174" i="5"/>
  <c r="BL174" i="5"/>
  <c r="AK3" i="5"/>
  <c r="AI4" i="5"/>
  <c r="AJ4" i="5"/>
  <c r="E10" i="3"/>
  <c r="DM223" i="1"/>
  <c r="BT312" i="2"/>
  <c r="BR312" i="2"/>
  <c r="DL235" i="1"/>
  <c r="BQ312" i="2"/>
  <c r="DK321" i="2"/>
  <c r="DL262" i="1"/>
  <c r="BL373" i="1"/>
  <c r="BL372" i="1"/>
  <c r="BM174" i="5"/>
  <c r="DC4" i="2"/>
  <c r="DC11" i="2"/>
  <c r="AL3" i="5"/>
  <c r="F51" i="3"/>
  <c r="AK4" i="5"/>
  <c r="BU312" i="2"/>
  <c r="BS312" i="2"/>
  <c r="DM247" i="1"/>
  <c r="DM245" i="1"/>
  <c r="DL100" i="5"/>
  <c r="DK233" i="2"/>
  <c r="BL379" i="1"/>
  <c r="BM373" i="1"/>
  <c r="BM372" i="1"/>
  <c r="BN174" i="5"/>
  <c r="F19" i="3"/>
  <c r="AN3" i="5"/>
  <c r="AL4" i="5"/>
  <c r="AM3" i="5"/>
  <c r="BZ226" i="1"/>
  <c r="DK368" i="1"/>
  <c r="DB316" i="2"/>
  <c r="AM4" i="5"/>
  <c r="AO3" i="5"/>
  <c r="AN4" i="5"/>
  <c r="G10" i="3"/>
  <c r="DC41" i="2"/>
  <c r="DN223" i="1"/>
  <c r="BR308" i="2"/>
  <c r="DI127" i="5"/>
  <c r="DI145" i="5" s="1"/>
  <c r="DD4" i="2"/>
  <c r="G51" i="3"/>
  <c r="AO4" i="5"/>
  <c r="AP3" i="5"/>
  <c r="AL324" i="5"/>
  <c r="CB226" i="1"/>
  <c r="CA226" i="1"/>
  <c r="DN245" i="1"/>
  <c r="DN247" i="1"/>
  <c r="BW262" i="1"/>
  <c r="DM235" i="1"/>
  <c r="AP4" i="5"/>
  <c r="AM324" i="5"/>
  <c r="DD324" i="5" s="1"/>
  <c r="CC226" i="1"/>
  <c r="DM262" i="1"/>
  <c r="DL233" i="2"/>
  <c r="G19" i="3"/>
  <c r="BC21" i="1"/>
  <c r="BD21" i="1"/>
  <c r="AN324" i="5"/>
  <c r="DL313" i="5"/>
  <c r="H10" i="3"/>
  <c r="AO324" i="5"/>
  <c r="CE226" i="1"/>
  <c r="DO223" i="1"/>
  <c r="CD226" i="1"/>
  <c r="DL333" i="5"/>
  <c r="DM313" i="5"/>
  <c r="DN235" i="1"/>
  <c r="DN236" i="1" s="1"/>
  <c r="DN262" i="1"/>
  <c r="DJ127" i="5"/>
  <c r="DJ145" i="5" s="1"/>
  <c r="AP324" i="5"/>
  <c r="DN313" i="5"/>
  <c r="DM333" i="5"/>
  <c r="DO245" i="1"/>
  <c r="BQ127" i="5"/>
  <c r="BR127" i="5" s="1"/>
  <c r="BS127" i="5" s="1"/>
  <c r="H51" i="3"/>
  <c r="AQ324" i="5"/>
  <c r="DE324" i="5" s="1"/>
  <c r="DN333" i="5"/>
  <c r="AR324" i="5"/>
  <c r="CI226" i="1"/>
  <c r="DO235" i="1"/>
  <c r="DP223" i="1"/>
  <c r="CD262" i="1"/>
  <c r="CD265" i="1" s="1"/>
  <c r="BC4" i="2"/>
  <c r="BC40" i="2" s="1"/>
  <c r="H19" i="3"/>
  <c r="I10" i="3"/>
  <c r="BD4" i="2"/>
  <c r="BD48" i="2" s="1"/>
  <c r="BD3" i="1"/>
  <c r="BC18" i="1"/>
  <c r="BD18" i="1"/>
  <c r="CL223" i="1"/>
  <c r="I51" i="3"/>
  <c r="DP235" i="1"/>
  <c r="CL235" i="1"/>
  <c r="CM235" i="1" s="1"/>
  <c r="I19" i="3"/>
  <c r="DF288" i="5"/>
  <c r="DG287" i="5" s="1"/>
  <c r="K10" i="3"/>
  <c r="BE350" i="1"/>
  <c r="BE32" i="1"/>
  <c r="BE384" i="1"/>
  <c r="BE18" i="1"/>
  <c r="BE53" i="1"/>
  <c r="BE54" i="1" s="1"/>
  <c r="BE12" i="5"/>
  <c r="BE75" i="1"/>
  <c r="BE11" i="5"/>
  <c r="BE179" i="2"/>
  <c r="BE175" i="2"/>
  <c r="BG32" i="1"/>
  <c r="BG384" i="1"/>
  <c r="BF287" i="5"/>
  <c r="BG78" i="1"/>
  <c r="BF178" i="2"/>
  <c r="BF174" i="2"/>
  <c r="BE183" i="2"/>
  <c r="BE160" i="2"/>
  <c r="BF201" i="2" s="1"/>
  <c r="BF182" i="2"/>
  <c r="BG43" i="1"/>
  <c r="BF32" i="1"/>
  <c r="BF384" i="1"/>
  <c r="BF350" i="1"/>
  <c r="DI30" i="1"/>
  <c r="DI75" i="1" s="1"/>
  <c r="DM288" i="5"/>
  <c r="DM270" i="5" s="1"/>
  <c r="BF186" i="2"/>
  <c r="BF190" i="2"/>
  <c r="BE229" i="2"/>
  <c r="BE142" i="2" s="1"/>
  <c r="BF18" i="1"/>
  <c r="DI41" i="1"/>
  <c r="DI7" i="1"/>
  <c r="DH4" i="2" s="1"/>
  <c r="BF53" i="1"/>
  <c r="BF54" i="1" s="1"/>
  <c r="DH199" i="2"/>
  <c r="BF12" i="5"/>
  <c r="DI82" i="1"/>
  <c r="BF11" i="5"/>
  <c r="DI73" i="1"/>
  <c r="BJ384" i="1"/>
  <c r="DH196" i="2"/>
  <c r="DH124" i="2"/>
  <c r="DH97" i="5"/>
  <c r="DH141" i="5" s="1"/>
  <c r="BG287" i="5"/>
  <c r="BG142" i="2"/>
  <c r="DH160" i="2"/>
  <c r="BG83" i="5"/>
  <c r="BH287" i="5"/>
  <c r="DH84" i="2"/>
  <c r="BG164" i="2"/>
  <c r="BG166" i="2"/>
  <c r="BU270" i="5"/>
  <c r="BI287" i="5"/>
  <c r="DH114" i="2"/>
  <c r="DH217" i="2" s="1"/>
  <c r="BH163" i="2"/>
  <c r="BH164" i="2" s="1"/>
  <c r="BJ287" i="5"/>
  <c r="BJ83" i="5"/>
  <c r="BL287" i="5"/>
  <c r="BM287" i="5"/>
  <c r="BN287" i="5"/>
  <c r="BO83" i="5"/>
  <c r="BO287" i="5"/>
  <c r="DJ83" i="5"/>
  <c r="BP83" i="5"/>
  <c r="DI99" i="1"/>
  <c r="BE13" i="5"/>
  <c r="BF13" i="5"/>
  <c r="BG365" i="1"/>
  <c r="DH104" i="5"/>
  <c r="DJ130" i="1"/>
  <c r="DJ89" i="1" s="1"/>
  <c r="DI104" i="5"/>
  <c r="DJ133" i="1" s="1"/>
  <c r="BK91" i="1"/>
  <c r="BK92" i="1"/>
  <c r="DI94" i="1"/>
  <c r="DH14" i="5" s="1"/>
  <c r="BE21" i="1"/>
  <c r="BE36" i="1"/>
  <c r="DI34" i="1"/>
  <c r="BE28" i="1"/>
  <c r="BE395" i="1"/>
  <c r="BE31" i="1"/>
  <c r="BE74" i="1"/>
  <c r="BF36" i="1"/>
  <c r="BF21" i="1"/>
  <c r="DI11" i="1"/>
  <c r="BE12" i="1"/>
  <c r="BE8" i="1" s="1"/>
  <c r="DI117" i="1"/>
  <c r="DI111" i="1"/>
  <c r="DI108" i="1"/>
  <c r="DI44" i="1"/>
  <c r="BE3" i="5"/>
  <c r="BF5" i="1"/>
  <c r="BF12" i="1"/>
  <c r="BF8" i="1" s="1"/>
  <c r="DI102" i="1"/>
  <c r="BF3" i="5"/>
  <c r="BF7" i="5"/>
  <c r="DH123" i="5"/>
  <c r="DH93" i="5"/>
  <c r="DH109" i="5"/>
  <c r="DH115" i="5"/>
  <c r="DH94" i="5"/>
  <c r="DH117" i="5"/>
  <c r="DH125" i="5"/>
  <c r="DH101" i="5"/>
  <c r="DH92" i="5"/>
  <c r="DH321" i="5"/>
  <c r="DH114" i="5"/>
  <c r="DH108" i="5"/>
  <c r="DH95" i="5"/>
  <c r="DH96" i="5"/>
  <c r="DH120" i="5"/>
  <c r="BF188" i="5"/>
  <c r="BE279" i="5"/>
  <c r="BF277" i="5"/>
  <c r="DH23" i="5"/>
  <c r="M20" i="3" s="1"/>
  <c r="DH126" i="5"/>
  <c r="DH144" i="5" s="1"/>
  <c r="BG188" i="5"/>
  <c r="DH90" i="5"/>
  <c r="BG277" i="5"/>
  <c r="BF279" i="5"/>
  <c r="DH89" i="5"/>
  <c r="BE64" i="2"/>
  <c r="BH72" i="2"/>
  <c r="BH64" i="2"/>
  <c r="DJ93" i="2"/>
  <c r="BM72" i="2"/>
  <c r="DJ72" i="2"/>
  <c r="BM94" i="2"/>
  <c r="BI72" i="2"/>
  <c r="BI64" i="2"/>
  <c r="BG94" i="2"/>
  <c r="BG72" i="2"/>
  <c r="BG64" i="2"/>
  <c r="BG125" i="2" s="1"/>
  <c r="BG21" i="1"/>
  <c r="DI93" i="2"/>
  <c r="BG36" i="1"/>
  <c r="BG26" i="1"/>
  <c r="BG46" i="1"/>
  <c r="BG3" i="1"/>
  <c r="BP323" i="5"/>
  <c r="BP324" i="5" s="1"/>
  <c r="DL94" i="2"/>
  <c r="BQ323" i="5"/>
  <c r="BQ324" i="5" s="1"/>
  <c r="BR325" i="5"/>
  <c r="BS325" i="5" s="1"/>
  <c r="BH188" i="5"/>
  <c r="BH277" i="5"/>
  <c r="BG279" i="5"/>
  <c r="BH19" i="5"/>
  <c r="BI32" i="1"/>
  <c r="BH32" i="1"/>
  <c r="BH87" i="1" s="1"/>
  <c r="DJ30" i="1"/>
  <c r="DI245" i="2"/>
  <c r="DJ41" i="1"/>
  <c r="DJ43" i="1" s="1"/>
  <c r="DJ7" i="1"/>
  <c r="DI4" i="2"/>
  <c r="DI180" i="2"/>
  <c r="DI191" i="2"/>
  <c r="BH142" i="2"/>
  <c r="DJ82" i="1"/>
  <c r="DI12" i="5" s="1"/>
  <c r="DJ73" i="1"/>
  <c r="DI184" i="2"/>
  <c r="DI193" i="2"/>
  <c r="DI188" i="2"/>
  <c r="DI244" i="2"/>
  <c r="BI142" i="2"/>
  <c r="DI117" i="2"/>
  <c r="DI176" i="2"/>
  <c r="DI172" i="2"/>
  <c r="DI89" i="2"/>
  <c r="DI124" i="2"/>
  <c r="DJ99" i="1"/>
  <c r="DI142" i="2"/>
  <c r="DI143" i="2" s="1"/>
  <c r="BK142" i="2"/>
  <c r="BL142" i="2"/>
  <c r="BH36" i="1"/>
  <c r="BM142" i="2"/>
  <c r="BM139" i="2"/>
  <c r="BH31" i="1"/>
  <c r="BI36" i="1"/>
  <c r="BH85" i="5"/>
  <c r="BI188" i="5"/>
  <c r="BH279" i="5"/>
  <c r="BI277" i="5"/>
  <c r="BI19" i="5"/>
  <c r="BJ188" i="5"/>
  <c r="BI279" i="5"/>
  <c r="BJ277" i="5"/>
  <c r="BJ269" i="5" s="1"/>
  <c r="DI196" i="2"/>
  <c r="DI199" i="2"/>
  <c r="DI160" i="2"/>
  <c r="DI84" i="2"/>
  <c r="BK209" i="2"/>
  <c r="BK213" i="2" s="1"/>
  <c r="DJ34" i="1"/>
  <c r="N8" i="3" s="1"/>
  <c r="BJ3" i="1"/>
  <c r="BJ4" i="1" s="1"/>
  <c r="DJ44" i="1"/>
  <c r="DJ11" i="1"/>
  <c r="DJ117" i="1"/>
  <c r="DJ155" i="1" s="1"/>
  <c r="DJ111" i="1"/>
  <c r="DJ108" i="1"/>
  <c r="DJ102" i="1"/>
  <c r="DI93" i="5"/>
  <c r="DI123" i="5"/>
  <c r="DI114" i="5"/>
  <c r="DI117" i="5"/>
  <c r="DI94" i="5"/>
  <c r="DI95" i="5"/>
  <c r="DI115" i="5"/>
  <c r="DI109" i="5"/>
  <c r="DI125" i="5"/>
  <c r="DI101" i="5"/>
  <c r="DI92" i="5"/>
  <c r="DI120" i="5"/>
  <c r="DI299" i="5" s="1"/>
  <c r="DI114" i="2"/>
  <c r="DJ94" i="1"/>
  <c r="DI14" i="5" s="1"/>
  <c r="DI23" i="5"/>
  <c r="N20" i="3" s="1"/>
  <c r="DI126" i="5"/>
  <c r="DI144" i="5"/>
  <c r="BK188" i="5"/>
  <c r="BJ89" i="5"/>
  <c r="BJ279" i="5"/>
  <c r="BK277" i="5"/>
  <c r="DI90" i="5"/>
  <c r="DI279" i="5" s="1"/>
  <c r="DI280" i="5" s="1"/>
  <c r="BL384" i="1"/>
  <c r="BL350" i="1"/>
  <c r="BL32" i="1"/>
  <c r="BL4" i="2"/>
  <c r="BL40" i="2" s="1"/>
  <c r="BL163" i="2"/>
  <c r="BL166" i="2" s="1"/>
  <c r="BM203" i="2" s="1"/>
  <c r="BK104" i="2"/>
  <c r="BK3" i="1"/>
  <c r="BO4" i="1" s="1"/>
  <c r="BK90" i="1"/>
  <c r="BL36" i="1"/>
  <c r="BL35" i="1"/>
  <c r="BL3" i="1"/>
  <c r="BL3" i="5" s="1"/>
  <c r="BL188" i="5"/>
  <c r="BK89" i="5"/>
  <c r="BL277" i="5"/>
  <c r="BK279" i="5"/>
  <c r="DJ104" i="5"/>
  <c r="DK133" i="1" s="1"/>
  <c r="BO92" i="1"/>
  <c r="BO91" i="1"/>
  <c r="BL380" i="1"/>
  <c r="DK237" i="1"/>
  <c r="BM384" i="1"/>
  <c r="BM350" i="1"/>
  <c r="BM32" i="1"/>
  <c r="BM87" i="1" s="1"/>
  <c r="DL237" i="1"/>
  <c r="BM18" i="1"/>
  <c r="BM43" i="1"/>
  <c r="BM53" i="1"/>
  <c r="BM54" i="1" s="1"/>
  <c r="BM4" i="2"/>
  <c r="BQ384" i="1"/>
  <c r="BQ350" i="1"/>
  <c r="BQ32" i="1"/>
  <c r="BN13" i="2"/>
  <c r="BN41" i="2" s="1"/>
  <c r="DJ245" i="2"/>
  <c r="DK174" i="5"/>
  <c r="DK30" i="1"/>
  <c r="DK350" i="1" s="1"/>
  <c r="BN32" i="1"/>
  <c r="BN350" i="1"/>
  <c r="BN351" i="1" s="1"/>
  <c r="DK41" i="1"/>
  <c r="BN53" i="1"/>
  <c r="BN18" i="1"/>
  <c r="BN4" i="2"/>
  <c r="BN48" i="2" s="1"/>
  <c r="DK7" i="1"/>
  <c r="DM237" i="1"/>
  <c r="DK73" i="1"/>
  <c r="DJ11" i="5" s="1"/>
  <c r="DK82" i="1"/>
  <c r="DJ172" i="2"/>
  <c r="DJ176" i="2"/>
  <c r="DJ188" i="2"/>
  <c r="DJ184" i="2"/>
  <c r="DJ180" i="2"/>
  <c r="DJ191" i="2"/>
  <c r="BM26" i="1"/>
  <c r="BM115" i="1" s="1"/>
  <c r="DJ244" i="2"/>
  <c r="DJ260" i="2"/>
  <c r="BQ9" i="1"/>
  <c r="DJ193" i="2"/>
  <c r="BN237" i="2"/>
  <c r="DJ237" i="2" s="1"/>
  <c r="BM36" i="1"/>
  <c r="BM3" i="1"/>
  <c r="DJ117" i="2"/>
  <c r="BN126" i="2"/>
  <c r="BN127" i="2"/>
  <c r="DJ124" i="2"/>
  <c r="BN139" i="2"/>
  <c r="DJ139" i="2" s="1"/>
  <c r="DJ140" i="2" s="1"/>
  <c r="BN142" i="2"/>
  <c r="DJ142" i="2" s="1"/>
  <c r="DJ143" i="2" s="1"/>
  <c r="DJ196" i="2"/>
  <c r="DJ199" i="2"/>
  <c r="DJ207" i="2" s="1"/>
  <c r="BM21" i="1"/>
  <c r="DK99" i="1"/>
  <c r="DK100" i="1" s="1"/>
  <c r="DN237" i="1"/>
  <c r="DJ89" i="2"/>
  <c r="BN64" i="2"/>
  <c r="DJ160" i="2"/>
  <c r="DJ84" i="2"/>
  <c r="DJ114" i="2"/>
  <c r="DJ217" i="2" s="1"/>
  <c r="BN36" i="1"/>
  <c r="DK34" i="1"/>
  <c r="BN26" i="1"/>
  <c r="DO237" i="1"/>
  <c r="DK108" i="1"/>
  <c r="DK111" i="1"/>
  <c r="DK117" i="1"/>
  <c r="DK155" i="1" s="1"/>
  <c r="DK153" i="1" s="1"/>
  <c r="DK44" i="1"/>
  <c r="BN21" i="1"/>
  <c r="BN23" i="1" s="1"/>
  <c r="BN3" i="1"/>
  <c r="DK11" i="1"/>
  <c r="DL13" i="1" s="1"/>
  <c r="DK94" i="1"/>
  <c r="DJ14" i="5" s="1"/>
  <c r="DP237" i="1"/>
  <c r="BN206" i="1"/>
  <c r="BN208" i="1" s="1"/>
  <c r="BN207" i="1"/>
  <c r="DJ93" i="5"/>
  <c r="DJ123" i="5"/>
  <c r="DJ115" i="5"/>
  <c r="DJ117" i="5"/>
  <c r="DJ94" i="5"/>
  <c r="DJ114" i="5"/>
  <c r="DJ109" i="5"/>
  <c r="CE384" i="1"/>
  <c r="CE13" i="2"/>
  <c r="CE32" i="1"/>
  <c r="CE87" i="1" s="1"/>
  <c r="CE84" i="1"/>
  <c r="CE75" i="1"/>
  <c r="DJ92" i="5"/>
  <c r="DJ133" i="5" s="1"/>
  <c r="DJ125" i="5"/>
  <c r="DJ95" i="5"/>
  <c r="DJ321" i="5"/>
  <c r="BN96" i="5"/>
  <c r="DJ101" i="5"/>
  <c r="CE42" i="1"/>
  <c r="CE43" i="1"/>
  <c r="CE4" i="2"/>
  <c r="CE40" i="2" s="1"/>
  <c r="CE9" i="1"/>
  <c r="DJ120" i="5"/>
  <c r="BM188" i="5"/>
  <c r="BN188" i="5"/>
  <c r="DJ299" i="2"/>
  <c r="BM277" i="5"/>
  <c r="BM269" i="5" s="1"/>
  <c r="BM279" i="5"/>
  <c r="BL89" i="5"/>
  <c r="BL279" i="5"/>
  <c r="BN277" i="5"/>
  <c r="BM89" i="5"/>
  <c r="DJ23" i="5"/>
  <c r="O20" i="3" s="1"/>
  <c r="BO188" i="5"/>
  <c r="DJ126" i="5"/>
  <c r="DJ144" i="5" s="1"/>
  <c r="BL108" i="5"/>
  <c r="BM108" i="5"/>
  <c r="DJ90" i="5"/>
  <c r="BN279" i="5"/>
  <c r="BO277" i="5"/>
  <c r="BN89" i="5"/>
  <c r="BN298" i="5"/>
  <c r="DJ284" i="2"/>
  <c r="DJ19" i="5" s="1"/>
  <c r="O18" i="3"/>
  <c r="N103" i="3" s="1"/>
  <c r="DK225" i="1"/>
  <c r="BO350" i="1"/>
  <c r="BO32" i="1"/>
  <c r="DK105" i="5"/>
  <c r="DL137" i="1" s="1"/>
  <c r="BO43" i="1"/>
  <c r="BO53" i="1"/>
  <c r="BO54" i="1"/>
  <c r="BS55" i="1" s="1"/>
  <c r="DK122" i="5"/>
  <c r="DK308" i="2" s="1"/>
  <c r="DK307" i="2"/>
  <c r="DK44" i="5" s="1"/>
  <c r="BP384" i="1"/>
  <c r="BP32" i="1"/>
  <c r="BP350" i="1"/>
  <c r="BS308" i="2"/>
  <c r="BP43" i="1"/>
  <c r="BQ13" i="2"/>
  <c r="BQ4" i="2"/>
  <c r="BP84" i="1"/>
  <c r="BO126" i="2"/>
  <c r="BO127" i="2"/>
  <c r="BP75" i="1"/>
  <c r="DL105" i="5"/>
  <c r="BP127" i="2"/>
  <c r="BP126" i="2"/>
  <c r="BQ127" i="2"/>
  <c r="BQ126" i="2"/>
  <c r="DK240" i="2"/>
  <c r="DK184" i="2"/>
  <c r="DK191" i="2"/>
  <c r="DK188" i="2"/>
  <c r="DK180" i="2"/>
  <c r="DK172" i="2"/>
  <c r="DK176" i="2"/>
  <c r="DK193" i="2"/>
  <c r="BO85" i="2"/>
  <c r="BO36" i="1"/>
  <c r="BO46" i="1"/>
  <c r="BO38" i="1"/>
  <c r="BO90" i="1"/>
  <c r="BO31" i="1"/>
  <c r="BO35" i="1"/>
  <c r="BO299" i="5"/>
  <c r="BO300" i="5" s="1"/>
  <c r="BP188" i="5"/>
  <c r="BO132" i="1"/>
  <c r="BO41" i="5" s="1"/>
  <c r="BO279" i="5"/>
  <c r="BP277" i="5"/>
  <c r="BP92" i="1"/>
  <c r="BP91" i="1"/>
  <c r="BQ92" i="1"/>
  <c r="BQ91" i="1"/>
  <c r="BR92" i="1"/>
  <c r="BR91" i="1"/>
  <c r="DL89" i="1"/>
  <c r="DK104" i="5"/>
  <c r="BS92" i="1"/>
  <c r="BS91" i="1"/>
  <c r="BO201" i="2"/>
  <c r="BO163" i="2"/>
  <c r="BO104" i="2"/>
  <c r="BP36" i="1"/>
  <c r="BP26" i="1"/>
  <c r="BP46" i="1"/>
  <c r="BP206" i="1"/>
  <c r="BP96" i="5"/>
  <c r="BQ188" i="5"/>
  <c r="BP201" i="2"/>
  <c r="BP163" i="2"/>
  <c r="BP166" i="2" s="1"/>
  <c r="BQ203" i="2" s="1"/>
  <c r="BQ64" i="2"/>
  <c r="BQ85" i="2"/>
  <c r="BQ36" i="1"/>
  <c r="BQ26" i="1"/>
  <c r="BQ31" i="1" s="1"/>
  <c r="BQ13" i="1"/>
  <c r="BQ46" i="1"/>
  <c r="BQ3" i="1"/>
  <c r="BQ15" i="1"/>
  <c r="BQ4" i="5" s="1"/>
  <c r="BQ96" i="5"/>
  <c r="BR299" i="5"/>
  <c r="DK321" i="5"/>
  <c r="DK120" i="5"/>
  <c r="DL120" i="5"/>
  <c r="BP104" i="2"/>
  <c r="BQ15" i="5"/>
  <c r="BP89" i="5"/>
  <c r="BP279" i="5"/>
  <c r="BQ277" i="5"/>
  <c r="BQ269" i="5" s="1"/>
  <c r="BP108" i="5"/>
  <c r="BR298" i="5"/>
  <c r="BQ297" i="2"/>
  <c r="BR291" i="5"/>
  <c r="BR297" i="2"/>
  <c r="DK299" i="2"/>
  <c r="BS297" i="2"/>
  <c r="BO97" i="1"/>
  <c r="AR15" i="5"/>
  <c r="BM15" i="5"/>
  <c r="BK15" i="5"/>
  <c r="BN15" i="5"/>
  <c r="BJ15" i="5"/>
  <c r="AV15" i="5"/>
  <c r="BB15" i="5"/>
  <c r="BB97" i="1"/>
  <c r="BH97" i="1"/>
  <c r="AU15" i="5"/>
  <c r="BA15" i="5"/>
  <c r="AY15" i="5"/>
  <c r="AU97" i="1"/>
  <c r="BH15" i="5"/>
  <c r="BG15" i="5"/>
  <c r="BF15" i="5"/>
  <c r="AQ15" i="5"/>
  <c r="AR67" i="1"/>
  <c r="AU65" i="1"/>
  <c r="BG66" i="1"/>
  <c r="BK65" i="1"/>
  <c r="BK67" i="1"/>
  <c r="BN66" i="1"/>
  <c r="BQ67" i="1"/>
  <c r="BK206" i="1"/>
  <c r="BK207" i="1"/>
  <c r="BL206" i="1"/>
  <c r="BL208" i="1" s="1"/>
  <c r="BL207" i="1"/>
  <c r="BP207" i="1"/>
  <c r="BM206" i="1"/>
  <c r="BM207" i="1"/>
  <c r="BO206" i="1"/>
  <c r="BO207" i="1"/>
  <c r="J19" i="3"/>
  <c r="L19" i="3"/>
  <c r="M19" i="3"/>
  <c r="K19" i="3"/>
  <c r="BQ42" i="1"/>
  <c r="BQ43" i="1"/>
  <c r="BQ38" i="1"/>
  <c r="BQ7" i="5" s="1"/>
  <c r="BQ39" i="1"/>
  <c r="BQ206" i="1"/>
  <c r="BQ207" i="1"/>
  <c r="BQ108" i="5"/>
  <c r="BR188" i="5"/>
  <c r="BQ279" i="5"/>
  <c r="BQ89" i="5"/>
  <c r="BV19" i="5"/>
  <c r="BT19" i="5"/>
  <c r="DL284" i="2"/>
  <c r="DL225" i="1"/>
  <c r="BS380" i="1"/>
  <c r="DM225" i="1"/>
  <c r="BW270" i="1"/>
  <c r="BW269" i="1"/>
  <c r="BS32" i="1"/>
  <c r="BS78" i="1" s="1"/>
  <c r="BS13" i="2"/>
  <c r="BS384" i="1"/>
  <c r="DL7" i="1"/>
  <c r="BR9" i="1"/>
  <c r="DN225" i="1"/>
  <c r="BS9" i="1"/>
  <c r="BS4" i="2"/>
  <c r="DL73" i="1"/>
  <c r="DK11" i="5" s="1"/>
  <c r="DL82" i="1"/>
  <c r="DL41" i="1"/>
  <c r="DL43" i="1" s="1"/>
  <c r="BR43" i="1"/>
  <c r="BT32" i="1"/>
  <c r="BS372" i="1"/>
  <c r="BS371" i="1"/>
  <c r="BS373" i="1"/>
  <c r="BT384" i="1"/>
  <c r="BT4" i="2"/>
  <c r="BT40" i="2" s="1"/>
  <c r="BT9" i="1"/>
  <c r="BS43" i="1"/>
  <c r="BS42" i="1"/>
  <c r="BW350" i="1"/>
  <c r="BU9" i="1"/>
  <c r="BT11" i="5"/>
  <c r="BT12" i="5"/>
  <c r="BU384" i="1"/>
  <c r="BU32" i="1"/>
  <c r="BU87" i="1" s="1"/>
  <c r="BT42" i="1"/>
  <c r="BS379" i="1"/>
  <c r="DO225" i="1"/>
  <c r="BW10" i="1"/>
  <c r="BW32" i="1"/>
  <c r="BW33" i="1"/>
  <c r="BW13" i="2"/>
  <c r="BW61" i="2" s="1"/>
  <c r="BU4" i="2"/>
  <c r="BU40" i="2" s="1"/>
  <c r="BX11" i="5"/>
  <c r="BT43" i="1"/>
  <c r="BX12" i="5"/>
  <c r="BW9" i="1"/>
  <c r="BT126" i="2"/>
  <c r="BU77" i="1"/>
  <c r="BU75" i="1"/>
  <c r="BU43" i="1"/>
  <c r="BU42" i="1"/>
  <c r="BS126" i="2"/>
  <c r="CF86" i="1"/>
  <c r="CF12" i="5"/>
  <c r="BW4" i="2"/>
  <c r="BT127" i="2"/>
  <c r="CC72" i="1"/>
  <c r="BY11" i="5"/>
  <c r="CB12" i="5"/>
  <c r="CB11" i="5"/>
  <c r="BW42" i="1"/>
  <c r="BW43" i="1"/>
  <c r="CF11" i="5"/>
  <c r="CF72" i="1"/>
  <c r="BX33" i="1"/>
  <c r="CC11" i="5"/>
  <c r="BX350" i="1"/>
  <c r="BX10" i="1"/>
  <c r="BX32" i="1"/>
  <c r="BX78" i="1"/>
  <c r="BX384" i="1"/>
  <c r="CA33" i="1"/>
  <c r="BY4" i="2"/>
  <c r="BY32" i="1"/>
  <c r="BY350" i="1"/>
  <c r="BY33" i="1"/>
  <c r="BX4" i="2"/>
  <c r="BX49" i="2"/>
  <c r="CA75" i="1"/>
  <c r="CA350" i="1"/>
  <c r="CA32" i="1"/>
  <c r="CA384" i="1"/>
  <c r="CA84" i="1"/>
  <c r="BX9" i="1"/>
  <c r="BY10" i="1"/>
  <c r="CA4" i="2"/>
  <c r="BT13" i="5"/>
  <c r="CA9" i="1"/>
  <c r="BY42" i="1"/>
  <c r="BY43" i="1"/>
  <c r="BX42" i="1"/>
  <c r="BX43" i="1"/>
  <c r="BT91" i="1"/>
  <c r="BT92" i="1"/>
  <c r="BQ201" i="2"/>
  <c r="BX127" i="2"/>
  <c r="CB32" i="1"/>
  <c r="CB78" i="1" s="1"/>
  <c r="CB384" i="1"/>
  <c r="CA42" i="1"/>
  <c r="CA43" i="1"/>
  <c r="BR198" i="2"/>
  <c r="BX126" i="2"/>
  <c r="CA126" i="2"/>
  <c r="CB9" i="1"/>
  <c r="CB4" i="2"/>
  <c r="DK196" i="2"/>
  <c r="CC384" i="1"/>
  <c r="CC4" i="2"/>
  <c r="CC32" i="1"/>
  <c r="CC87" i="1" s="1"/>
  <c r="CC43" i="1"/>
  <c r="CB43" i="1"/>
  <c r="CB42" i="1"/>
  <c r="CC42" i="1"/>
  <c r="CB126" i="2"/>
  <c r="CB127" i="2"/>
  <c r="DK115" i="5"/>
  <c r="DL115" i="5"/>
  <c r="BO265" i="2"/>
  <c r="DK245" i="2"/>
  <c r="DK244" i="2"/>
  <c r="DK117" i="2"/>
  <c r="DK89" i="2"/>
  <c r="DL34" i="1"/>
  <c r="BR46" i="1"/>
  <c r="DL44" i="1"/>
  <c r="BR38" i="1"/>
  <c r="BR13" i="1"/>
  <c r="DL11" i="1"/>
  <c r="DK114" i="5"/>
  <c r="DK94" i="5"/>
  <c r="DK117" i="5"/>
  <c r="DK93" i="5"/>
  <c r="DK109" i="5"/>
  <c r="BR108" i="5"/>
  <c r="DK125" i="5"/>
  <c r="DK92" i="5"/>
  <c r="DK95" i="5"/>
  <c r="DK101" i="5"/>
  <c r="BR96" i="5"/>
  <c r="BR350" i="1"/>
  <c r="BR384" i="1"/>
  <c r="BR84" i="1"/>
  <c r="BR42" i="1"/>
  <c r="BR75" i="1"/>
  <c r="DL30" i="1"/>
  <c r="BR26" i="1"/>
  <c r="BR65" i="1" s="1"/>
  <c r="DL111" i="1"/>
  <c r="DL108" i="1"/>
  <c r="DK28" i="5" s="1"/>
  <c r="DL117" i="1"/>
  <c r="DL155" i="1" s="1"/>
  <c r="BV384" i="1"/>
  <c r="BV350" i="1"/>
  <c r="BV32" i="1"/>
  <c r="BV78" i="1" s="1"/>
  <c r="DM30" i="1"/>
  <c r="BV10" i="1"/>
  <c r="BV33" i="1"/>
  <c r="DM7" i="1"/>
  <c r="BR127" i="2"/>
  <c r="DL99" i="1"/>
  <c r="BR126" i="2"/>
  <c r="BS127" i="2"/>
  <c r="DK124" i="2"/>
  <c r="BV11" i="5"/>
  <c r="BV4" i="2"/>
  <c r="BV40" i="2" s="1"/>
  <c r="BV9" i="1"/>
  <c r="DM73" i="1"/>
  <c r="DL11" i="5" s="1"/>
  <c r="BV42" i="1"/>
  <c r="DM41" i="1"/>
  <c r="BV43" i="1"/>
  <c r="DN73" i="1"/>
  <c r="CA77" i="1"/>
  <c r="DK199" i="2"/>
  <c r="DK207" i="2"/>
  <c r="BR201" i="2"/>
  <c r="CE77" i="1"/>
  <c r="CD72" i="1"/>
  <c r="BZ10" i="1"/>
  <c r="DN190" i="1"/>
  <c r="BZ33" i="1"/>
  <c r="DM99" i="1"/>
  <c r="CD11" i="5"/>
  <c r="DO73" i="1"/>
  <c r="DN30" i="1"/>
  <c r="DN29" i="1" s="1"/>
  <c r="BZ350" i="1"/>
  <c r="BZ32" i="1"/>
  <c r="BZ384" i="1"/>
  <c r="BV126" i="2"/>
  <c r="BR85" i="2"/>
  <c r="BR105" i="2"/>
  <c r="DK114" i="2"/>
  <c r="DK217" i="2" s="1"/>
  <c r="BR99" i="2"/>
  <c r="DP73" i="1"/>
  <c r="BZ4" i="2"/>
  <c r="DN7" i="1"/>
  <c r="DM4" i="2" s="1"/>
  <c r="BZ9" i="1"/>
  <c r="DN41" i="1"/>
  <c r="DK160" i="2"/>
  <c r="BS104" i="2"/>
  <c r="BS201" i="2"/>
  <c r="BZ43" i="1"/>
  <c r="BZ42" i="1"/>
  <c r="BS105" i="2"/>
  <c r="BS115" i="2"/>
  <c r="BS99" i="2"/>
  <c r="DL94" i="1"/>
  <c r="DK14" i="5" s="1"/>
  <c r="DK84" i="2"/>
  <c r="CA127" i="2"/>
  <c r="BR15" i="5"/>
  <c r="BZ126" i="2"/>
  <c r="BR67" i="1"/>
  <c r="BR66" i="1"/>
  <c r="BT105" i="2"/>
  <c r="BS64" i="2"/>
  <c r="BT161" i="2"/>
  <c r="BT85" i="2"/>
  <c r="BR206" i="1"/>
  <c r="BR208" i="1" s="1"/>
  <c r="BR207" i="1"/>
  <c r="BS36" i="1"/>
  <c r="BS26" i="1"/>
  <c r="BS13" i="1"/>
  <c r="BS3" i="1"/>
  <c r="BS3" i="5" s="1"/>
  <c r="BS46" i="1"/>
  <c r="BS38" i="1"/>
  <c r="BS7" i="5" s="1"/>
  <c r="BS206" i="1"/>
  <c r="BS207" i="1"/>
  <c r="DK23" i="5"/>
  <c r="P20" i="3" s="1"/>
  <c r="DK126" i="5"/>
  <c r="BR89" i="5"/>
  <c r="DK90" i="5"/>
  <c r="DK140" i="5" s="1"/>
  <c r="BR279" i="5"/>
  <c r="BR280" i="5" s="1"/>
  <c r="DM6" i="2"/>
  <c r="DL6" i="2"/>
  <c r="BT64" i="2"/>
  <c r="BT99" i="2"/>
  <c r="BT36" i="1"/>
  <c r="BT26" i="1"/>
  <c r="BT13" i="1"/>
  <c r="BT3" i="1"/>
  <c r="BT12" i="1" s="1"/>
  <c r="BT8" i="1" s="1"/>
  <c r="BT46" i="1"/>
  <c r="BT7" i="5"/>
  <c r="BT96" i="5"/>
  <c r="BT206" i="1"/>
  <c r="BT207" i="1"/>
  <c r="BU84" i="1"/>
  <c r="BU86" i="1"/>
  <c r="BY12" i="5"/>
  <c r="CK12" i="5"/>
  <c r="CG12" i="5"/>
  <c r="CC12" i="5"/>
  <c r="BV12" i="5"/>
  <c r="DM82" i="1"/>
  <c r="CD81" i="1"/>
  <c r="CD80" i="1" s="1"/>
  <c r="DN82" i="1"/>
  <c r="DN85" i="1" s="1"/>
  <c r="CA86" i="1"/>
  <c r="CE86" i="1"/>
  <c r="CD12" i="5"/>
  <c r="DO82" i="1"/>
  <c r="DN12" i="5" s="1"/>
  <c r="DP82" i="1"/>
  <c r="DP84" i="1" s="1"/>
  <c r="BV372" i="1"/>
  <c r="BT372" i="1"/>
  <c r="BT373" i="1"/>
  <c r="BU373" i="1"/>
  <c r="BU372" i="1"/>
  <c r="BV373" i="1"/>
  <c r="BV363" i="1"/>
  <c r="BV365" i="1" s="1"/>
  <c r="BV174" i="5"/>
  <c r="BV173" i="5" s="1"/>
  <c r="BV54" i="5" s="1"/>
  <c r="BV77" i="5" s="1"/>
  <c r="BW174" i="5"/>
  <c r="BX372" i="1"/>
  <c r="BX174" i="5"/>
  <c r="BX373" i="1"/>
  <c r="BY373" i="1"/>
  <c r="BY174" i="5"/>
  <c r="BY372" i="1"/>
  <c r="BZ372" i="1"/>
  <c r="BZ369" i="1"/>
  <c r="BZ174" i="5"/>
  <c r="BZ373" i="1"/>
  <c r="DL299" i="2"/>
  <c r="BV291" i="5"/>
  <c r="BT89" i="5"/>
  <c r="BT270" i="5"/>
  <c r="BT140" i="1"/>
  <c r="BU92" i="1"/>
  <c r="BU91" i="1"/>
  <c r="BT108" i="5"/>
  <c r="BT297" i="2"/>
  <c r="BT20" i="5" s="1"/>
  <c r="BU297" i="2"/>
  <c r="BU188" i="5"/>
  <c r="BT201" i="2"/>
  <c r="BT166" i="2"/>
  <c r="BU203" i="2" s="1"/>
  <c r="BT164" i="2"/>
  <c r="BU164" i="2"/>
  <c r="DL196" i="2"/>
  <c r="BU201" i="2"/>
  <c r="BU161" i="2"/>
  <c r="BV105" i="2"/>
  <c r="DL114" i="2"/>
  <c r="BV161" i="2"/>
  <c r="DL160" i="2"/>
  <c r="DL84" i="2"/>
  <c r="BT240" i="2"/>
  <c r="BT246" i="2"/>
  <c r="DL248" i="2"/>
  <c r="DL240" i="2"/>
  <c r="DM252" i="2" s="1"/>
  <c r="DL251" i="2"/>
  <c r="DL244" i="2"/>
  <c r="BV99" i="2"/>
  <c r="DL117" i="2"/>
  <c r="DM94" i="1"/>
  <c r="DL14" i="5" s="1"/>
  <c r="BU36" i="1"/>
  <c r="BU26" i="1"/>
  <c r="BU118" i="1" s="1"/>
  <c r="BV64" i="2"/>
  <c r="BW66" i="2" s="1"/>
  <c r="DL89" i="2"/>
  <c r="BU13" i="1"/>
  <c r="BU3" i="1"/>
  <c r="BU3" i="5" s="1"/>
  <c r="BU12" i="1"/>
  <c r="BU8" i="1" s="1"/>
  <c r="BU46" i="1"/>
  <c r="DO240" i="2"/>
  <c r="BV36" i="1"/>
  <c r="BV26" i="1"/>
  <c r="DM34" i="1"/>
  <c r="Q8" i="3" s="1"/>
  <c r="BV3" i="1"/>
  <c r="BV46" i="1"/>
  <c r="BV38" i="1"/>
  <c r="DM44" i="1"/>
  <c r="DM111" i="1"/>
  <c r="DM108" i="1"/>
  <c r="DL28" i="5" s="1"/>
  <c r="BV13" i="1"/>
  <c r="DM11" i="1"/>
  <c r="DM3" i="1" s="1"/>
  <c r="DM117" i="1"/>
  <c r="DM155" i="1" s="1"/>
  <c r="BU96" i="5"/>
  <c r="BV15" i="5"/>
  <c r="DL117" i="5"/>
  <c r="DL92" i="5"/>
  <c r="DL94" i="5"/>
  <c r="DL101" i="5"/>
  <c r="DL114" i="5"/>
  <c r="DL95" i="5"/>
  <c r="DL125" i="5"/>
  <c r="BV206" i="1"/>
  <c r="BV207" i="1"/>
  <c r="BU206" i="1"/>
  <c r="BU207" i="1"/>
  <c r="BV96" i="5"/>
  <c r="DL96" i="5" s="1"/>
  <c r="DL93" i="5"/>
  <c r="DL109" i="5"/>
  <c r="DL124" i="2"/>
  <c r="BV127" i="2"/>
  <c r="BU126" i="2"/>
  <c r="BU127" i="2"/>
  <c r="CC126" i="2"/>
  <c r="CC127" i="2"/>
  <c r="BZ127" i="2"/>
  <c r="DM124" i="2"/>
  <c r="DN99" i="1"/>
  <c r="BU308" i="2"/>
  <c r="DM89" i="1"/>
  <c r="BV92" i="1"/>
  <c r="BV91" i="1"/>
  <c r="BV13" i="5"/>
  <c r="DL104" i="5"/>
  <c r="DL122" i="5"/>
  <c r="BW13" i="5"/>
  <c r="BW91" i="1"/>
  <c r="BW92" i="1"/>
  <c r="DL307" i="2"/>
  <c r="DL44" i="5" s="1"/>
  <c r="BV297" i="2"/>
  <c r="DL18" i="5"/>
  <c r="DL60" i="5" s="1"/>
  <c r="DL23" i="5"/>
  <c r="Q20" i="3" s="1"/>
  <c r="BU89" i="5"/>
  <c r="BU108" i="5"/>
  <c r="DL126" i="5"/>
  <c r="DL144" i="5" s="1"/>
  <c r="BW104" i="2"/>
  <c r="G7" i="10"/>
  <c r="DO247" i="1"/>
  <c r="DP368" i="1"/>
  <c r="CE372" i="1"/>
  <c r="CE174" i="5"/>
  <c r="CE373" i="1"/>
  <c r="CF174" i="5"/>
  <c r="CG372" i="1"/>
  <c r="CG373" i="1"/>
  <c r="CG174" i="5"/>
  <c r="CA373" i="1"/>
  <c r="CA372" i="1"/>
  <c r="CA174" i="5"/>
  <c r="CB373" i="1"/>
  <c r="CB372" i="1"/>
  <c r="CD373" i="1"/>
  <c r="CD372" i="1"/>
  <c r="CD174" i="5"/>
  <c r="CC372" i="1"/>
  <c r="CC373" i="1"/>
  <c r="CC174" i="5"/>
  <c r="CD32" i="1"/>
  <c r="CD78" i="1" s="1"/>
  <c r="DO30" i="1"/>
  <c r="CD13" i="2"/>
  <c r="CD384" i="1"/>
  <c r="CD350" i="1"/>
  <c r="CD351" i="1" s="1"/>
  <c r="CD75" i="1"/>
  <c r="CD84" i="1"/>
  <c r="DO190" i="1"/>
  <c r="CD4" i="2"/>
  <c r="DO7" i="1"/>
  <c r="CD9" i="1"/>
  <c r="CD43" i="1"/>
  <c r="DO41" i="1"/>
  <c r="CD42" i="1"/>
  <c r="BV89" i="5"/>
  <c r="DL90" i="5"/>
  <c r="BV108" i="5"/>
  <c r="DL108" i="5" s="1"/>
  <c r="BW303" i="2"/>
  <c r="DM64" i="5"/>
  <c r="BV200" i="2"/>
  <c r="BV201" i="2"/>
  <c r="DL199" i="2"/>
  <c r="DL207" i="2" s="1"/>
  <c r="BV164" i="2"/>
  <c r="BW164" i="2"/>
  <c r="BV166" i="2"/>
  <c r="DL166" i="2" s="1"/>
  <c r="BW201" i="2"/>
  <c r="BX105" i="2"/>
  <c r="BX115" i="2"/>
  <c r="BW105" i="2"/>
  <c r="BY201" i="2"/>
  <c r="BW85" i="2"/>
  <c r="DM199" i="2"/>
  <c r="BX161" i="2"/>
  <c r="BY85" i="2"/>
  <c r="BW161" i="2"/>
  <c r="BX201" i="2"/>
  <c r="BY161" i="2"/>
  <c r="BZ201" i="2"/>
  <c r="BZ164" i="2"/>
  <c r="BZ166" i="2"/>
  <c r="BZ161" i="2"/>
  <c r="BZ85" i="2"/>
  <c r="BZ29" i="2"/>
  <c r="BZ33" i="2" s="1"/>
  <c r="BZ35" i="2" s="1"/>
  <c r="DM84" i="2"/>
  <c r="DM160" i="2"/>
  <c r="DM161" i="2" s="1"/>
  <c r="DL245" i="2"/>
  <c r="BW246" i="2"/>
  <c r="BW36" i="1"/>
  <c r="BW26" i="1"/>
  <c r="BW121" i="1" s="1"/>
  <c r="BW15" i="1"/>
  <c r="BW13" i="1"/>
  <c r="BW3" i="1"/>
  <c r="BW3" i="5" s="1"/>
  <c r="BW46" i="1"/>
  <c r="BW378" i="1"/>
  <c r="BW380" i="1" s="1"/>
  <c r="BW175" i="5"/>
  <c r="BW206" i="1"/>
  <c r="BW207" i="1"/>
  <c r="BW96" i="5"/>
  <c r="BX64" i="2"/>
  <c r="BX36" i="1"/>
  <c r="BX26" i="1"/>
  <c r="BX401" i="1" s="1"/>
  <c r="BX38" i="1"/>
  <c r="BX7" i="5" s="1"/>
  <c r="BX13" i="1"/>
  <c r="BX3" i="1"/>
  <c r="BX175" i="5"/>
  <c r="BX378" i="1"/>
  <c r="BX96" i="5"/>
  <c r="BW89" i="5"/>
  <c r="BX188" i="1"/>
  <c r="BX13" i="5"/>
  <c r="BX91" i="1"/>
  <c r="BX92" i="1"/>
  <c r="BW108" i="5"/>
  <c r="BW297" i="2"/>
  <c r="AB78" i="6"/>
  <c r="BE80" i="6"/>
  <c r="BE81" i="6"/>
  <c r="BE83" i="6"/>
  <c r="BE84" i="6"/>
  <c r="AB99" i="6"/>
  <c r="AB108" i="6" s="1"/>
  <c r="AB90" i="6" s="1"/>
  <c r="AB103" i="6"/>
  <c r="BE103" i="6" s="1"/>
  <c r="BE85" i="6"/>
  <c r="BE82" i="6"/>
  <c r="AB101" i="6"/>
  <c r="AB110" i="6" s="1"/>
  <c r="AB102" i="6"/>
  <c r="BE102" i="6" s="1"/>
  <c r="AB98" i="6"/>
  <c r="AB107" i="6" s="1"/>
  <c r="AB89" i="6" s="1"/>
  <c r="AB100" i="6"/>
  <c r="BE79" i="6"/>
  <c r="AB97" i="6"/>
  <c r="BE97" i="6" s="1"/>
  <c r="AE99" i="6"/>
  <c r="AE100" i="6"/>
  <c r="AD103" i="6"/>
  <c r="AC78" i="6"/>
  <c r="AE102" i="6"/>
  <c r="AD102" i="6"/>
  <c r="AD99" i="6"/>
  <c r="AC103" i="6"/>
  <c r="AC102" i="6"/>
  <c r="AE98" i="6"/>
  <c r="AE103" i="6"/>
  <c r="AE97" i="6"/>
  <c r="AE78" i="6"/>
  <c r="AD98" i="6"/>
  <c r="AD100" i="6"/>
  <c r="AC98" i="6"/>
  <c r="AC100" i="6"/>
  <c r="AE101" i="6"/>
  <c r="AC97" i="6"/>
  <c r="AD101" i="6"/>
  <c r="AC99" i="6"/>
  <c r="AC108" i="6" s="1"/>
  <c r="AC90" i="6" s="1"/>
  <c r="AC101" i="6"/>
  <c r="AD97" i="6"/>
  <c r="AD78" i="6"/>
  <c r="BF80" i="6"/>
  <c r="AF98" i="6"/>
  <c r="BF85" i="6"/>
  <c r="BF84" i="6"/>
  <c r="AG103" i="6"/>
  <c r="AH103" i="6" s="1"/>
  <c r="BF83" i="6"/>
  <c r="BF82" i="6"/>
  <c r="BF81" i="6"/>
  <c r="AF103" i="6"/>
  <c r="AF102" i="6"/>
  <c r="BF102" i="6" s="1"/>
  <c r="AF100" i="6"/>
  <c r="AG102" i="6"/>
  <c r="AH102" i="6" s="1"/>
  <c r="AG101" i="6"/>
  <c r="AH101" i="6" s="1"/>
  <c r="AG100" i="6"/>
  <c r="AF101" i="6"/>
  <c r="BF101" i="6" s="1"/>
  <c r="AF99" i="6"/>
  <c r="AG78" i="6"/>
  <c r="AG98" i="6"/>
  <c r="AH98" i="6" s="1"/>
  <c r="AG99" i="6"/>
  <c r="AJ98" i="6"/>
  <c r="BG98" i="6" s="1"/>
  <c r="AH78" i="6"/>
  <c r="BG85" i="6"/>
  <c r="BY85" i="5"/>
  <c r="DM120" i="5"/>
  <c r="DM299" i="5" s="1"/>
  <c r="BH85" i="6"/>
  <c r="BH109" i="6"/>
  <c r="BH108" i="6"/>
  <c r="AQ211" i="2"/>
  <c r="DF210" i="2"/>
  <c r="DE210" i="2"/>
  <c r="AS211" i="2"/>
  <c r="AX211" i="2"/>
  <c r="AW211" i="2"/>
  <c r="AT211" i="2"/>
  <c r="AV211" i="2"/>
  <c r="AU211" i="2"/>
  <c r="AR211" i="2"/>
  <c r="DG241" i="1"/>
  <c r="DG251" i="1"/>
  <c r="BX250" i="2"/>
  <c r="BX253" i="2"/>
  <c r="BX240" i="2"/>
  <c r="BX246" i="2"/>
  <c r="BY64" i="2"/>
  <c r="DO89" i="2"/>
  <c r="BY26" i="1"/>
  <c r="BY401" i="1" s="1"/>
  <c r="BY36" i="1"/>
  <c r="CT89" i="2"/>
  <c r="BY3" i="1"/>
  <c r="BY13" i="1"/>
  <c r="BY46" i="1"/>
  <c r="BY38" i="1"/>
  <c r="BY175" i="5"/>
  <c r="BY397" i="1"/>
  <c r="BY363" i="1"/>
  <c r="BY371" i="1" s="1"/>
  <c r="BY398" i="1"/>
  <c r="BY155" i="1"/>
  <c r="BY404" i="1"/>
  <c r="BY403" i="1"/>
  <c r="BY157" i="1"/>
  <c r="BY380" i="1"/>
  <c r="BY379" i="1"/>
  <c r="BY96" i="5"/>
  <c r="BX270" i="2"/>
  <c r="BX99" i="2"/>
  <c r="BX14" i="5"/>
  <c r="BZ105" i="2"/>
  <c r="DM114" i="2"/>
  <c r="DM217" i="2"/>
  <c r="BY14" i="5"/>
  <c r="BX96" i="1"/>
  <c r="BX207" i="1"/>
  <c r="BX206" i="1"/>
  <c r="BY277" i="5"/>
  <c r="BX89" i="5"/>
  <c r="BY188" i="1"/>
  <c r="BY13" i="5"/>
  <c r="BY92" i="1"/>
  <c r="BY91" i="1"/>
  <c r="BY207" i="1"/>
  <c r="BY206" i="1"/>
  <c r="BX108" i="5"/>
  <c r="BX119" i="5"/>
  <c r="BX297" i="2"/>
  <c r="BZ277" i="5"/>
  <c r="BY279" i="5"/>
  <c r="BY89" i="5"/>
  <c r="BY108" i="5"/>
  <c r="BY119" i="5"/>
  <c r="BY297" i="2"/>
  <c r="DN136" i="1"/>
  <c r="DM42" i="5" s="1"/>
  <c r="BZ91" i="1"/>
  <c r="BZ92" i="1"/>
  <c r="DN89" i="1"/>
  <c r="DN130" i="1"/>
  <c r="BZ188" i="1"/>
  <c r="DN189" i="1"/>
  <c r="BY253" i="2"/>
  <c r="DM251" i="2"/>
  <c r="DM258" i="2" s="1"/>
  <c r="DN89" i="2"/>
  <c r="DM245" i="2"/>
  <c r="BZ246" i="2"/>
  <c r="DM89" i="2"/>
  <c r="DM244" i="2"/>
  <c r="CA253" i="2"/>
  <c r="DN34" i="1"/>
  <c r="BZ26" i="1"/>
  <c r="BZ36" i="1"/>
  <c r="DN21" i="1"/>
  <c r="DN111" i="1"/>
  <c r="DN108" i="1"/>
  <c r="DM28" i="5" s="1"/>
  <c r="DN44" i="1"/>
  <c r="BZ46" i="1"/>
  <c r="BZ38" i="1"/>
  <c r="DN11" i="1"/>
  <c r="DN13" i="1" s="1"/>
  <c r="BZ13" i="1"/>
  <c r="DN394" i="1"/>
  <c r="BZ397" i="1"/>
  <c r="BZ398" i="1"/>
  <c r="BZ155" i="1"/>
  <c r="DN117" i="1"/>
  <c r="BZ12" i="1"/>
  <c r="BZ8" i="1" s="1"/>
  <c r="BZ157" i="1"/>
  <c r="DN114" i="1"/>
  <c r="DN157" i="1" s="1"/>
  <c r="DM93" i="5"/>
  <c r="CB253" i="2"/>
  <c r="CB246" i="2"/>
  <c r="DM114" i="5"/>
  <c r="DM117" i="5"/>
  <c r="DM94" i="5"/>
  <c r="DM109" i="5"/>
  <c r="DM123" i="5"/>
  <c r="DM95" i="5"/>
  <c r="BZ96" i="5"/>
  <c r="DM101" i="5"/>
  <c r="DM92" i="5"/>
  <c r="DM125" i="5"/>
  <c r="CC253" i="2"/>
  <c r="CC252" i="2"/>
  <c r="DM104" i="5"/>
  <c r="CC246" i="2"/>
  <c r="CC250" i="2"/>
  <c r="DN251" i="2"/>
  <c r="CD253" i="2"/>
  <c r="DN117" i="2"/>
  <c r="DN245" i="2"/>
  <c r="DN244" i="2"/>
  <c r="BY96" i="1"/>
  <c r="BY156" i="1"/>
  <c r="BY203" i="5"/>
  <c r="AI78" i="6"/>
  <c r="BG83" i="6"/>
  <c r="BG84" i="6"/>
  <c r="BH84" i="6"/>
  <c r="AI101" i="6"/>
  <c r="AJ101" i="6" s="1"/>
  <c r="AK101" i="6" s="1"/>
  <c r="AI102" i="6"/>
  <c r="AJ102" i="6" s="1"/>
  <c r="BG102" i="6" s="1"/>
  <c r="BZ96" i="1"/>
  <c r="DN120" i="1"/>
  <c r="DN156" i="1" s="1"/>
  <c r="BZ156" i="1"/>
  <c r="DN94" i="1"/>
  <c r="DM14" i="5" s="1"/>
  <c r="BZ206" i="1"/>
  <c r="BZ207" i="1"/>
  <c r="DM117" i="2"/>
  <c r="DM99" i="2" s="1"/>
  <c r="CA99" i="2"/>
  <c r="CA101" i="2" s="1"/>
  <c r="CA105" i="2"/>
  <c r="CA14" i="5"/>
  <c r="BZ297" i="2"/>
  <c r="DM307" i="2"/>
  <c r="DM44" i="5" s="1"/>
  <c r="DM18" i="5"/>
  <c r="DM23" i="5"/>
  <c r="R20" i="3" s="1"/>
  <c r="DM126" i="5"/>
  <c r="BZ89" i="5"/>
  <c r="DM90" i="5"/>
  <c r="BZ279" i="5"/>
  <c r="CA188" i="1"/>
  <c r="DM105" i="5"/>
  <c r="BZ140" i="1"/>
  <c r="CA91" i="1"/>
  <c r="CA92" i="1"/>
  <c r="CA13" i="5"/>
  <c r="BZ108" i="5"/>
  <c r="DM108" i="5" s="1"/>
  <c r="BZ308" i="2"/>
  <c r="BZ119" i="5"/>
  <c r="DM119" i="5" s="1"/>
  <c r="DM122" i="5"/>
  <c r="DN146" i="1" s="1"/>
  <c r="CL166" i="2"/>
  <c r="DO166" i="2"/>
  <c r="CA161" i="2"/>
  <c r="CA64" i="2"/>
  <c r="CA125" i="2" s="1"/>
  <c r="CA36" i="1"/>
  <c r="CA26" i="1"/>
  <c r="CA35" i="1" s="1"/>
  <c r="CA38" i="1"/>
  <c r="CA46" i="1"/>
  <c r="CA13" i="1"/>
  <c r="CA3" i="1"/>
  <c r="CA5" i="1" s="1"/>
  <c r="CA403" i="1"/>
  <c r="CA398" i="1"/>
  <c r="CA397" i="1"/>
  <c r="CA175" i="5"/>
  <c r="CA363" i="1"/>
  <c r="CA364" i="1" s="1"/>
  <c r="CA96" i="5"/>
  <c r="U37" i="12"/>
  <c r="CA96" i="1"/>
  <c r="CA64" i="1" s="1"/>
  <c r="CA206" i="1"/>
  <c r="CA207" i="1"/>
  <c r="CA132" i="1"/>
  <c r="CA89" i="5"/>
  <c r="CA140" i="1"/>
  <c r="CB188" i="1"/>
  <c r="CB13" i="5"/>
  <c r="CB91" i="1"/>
  <c r="CB92" i="1"/>
  <c r="CA108" i="5"/>
  <c r="CA119" i="5"/>
  <c r="CA297" i="2"/>
  <c r="CA281" i="2" s="1"/>
  <c r="CA282" i="2" s="1"/>
  <c r="CA201" i="2"/>
  <c r="CA164" i="2"/>
  <c r="CB164" i="2"/>
  <c r="CA166" i="2"/>
  <c r="CB201" i="2"/>
  <c r="CC99" i="2"/>
  <c r="CA104" i="2"/>
  <c r="CB99" i="2"/>
  <c r="CB105" i="2"/>
  <c r="CE104" i="2"/>
  <c r="DN114" i="2"/>
  <c r="DN217" i="2" s="1"/>
  <c r="CC105" i="2"/>
  <c r="CC14" i="5"/>
  <c r="CD99" i="2"/>
  <c r="CD105" i="2"/>
  <c r="DN199" i="2"/>
  <c r="CB14" i="5"/>
  <c r="CD14" i="5"/>
  <c r="CE26" i="2"/>
  <c r="CE105" i="2"/>
  <c r="DO94" i="1"/>
  <c r="DN14" i="5" s="1"/>
  <c r="CE99" i="2"/>
  <c r="CE14" i="5"/>
  <c r="CB36" i="1"/>
  <c r="CB26" i="1"/>
  <c r="CB357" i="1" s="1"/>
  <c r="CB3" i="1"/>
  <c r="CB3" i="5" s="1"/>
  <c r="CB13" i="1"/>
  <c r="CB46" i="1"/>
  <c r="CB38" i="1"/>
  <c r="CB7" i="5" s="1"/>
  <c r="CB217" i="5" s="1"/>
  <c r="CB157" i="1"/>
  <c r="CB398" i="1"/>
  <c r="CB397" i="1"/>
  <c r="CB363" i="1"/>
  <c r="CB364" i="1" s="1"/>
  <c r="CB155" i="1"/>
  <c r="CB153" i="1" s="1"/>
  <c r="CB96" i="1"/>
  <c r="CB404" i="1"/>
  <c r="CB403" i="1"/>
  <c r="CB156" i="1"/>
  <c r="CB96" i="5"/>
  <c r="CB206" i="1"/>
  <c r="CB207" i="1"/>
  <c r="CB132" i="1"/>
  <c r="CB138" i="1"/>
  <c r="CB89" i="5"/>
  <c r="CC277" i="5"/>
  <c r="CB140" i="1"/>
  <c r="CC138" i="1"/>
  <c r="CC132" i="1"/>
  <c r="CC134" i="1" s="1"/>
  <c r="CC188" i="1"/>
  <c r="CC92" i="1"/>
  <c r="CC91" i="1"/>
  <c r="CC13" i="5"/>
  <c r="CB108" i="5"/>
  <c r="CB119" i="5"/>
  <c r="CB297" i="2"/>
  <c r="CC201" i="2"/>
  <c r="CB161" i="2"/>
  <c r="CB166" i="2"/>
  <c r="CB115" i="2" s="1"/>
  <c r="CB85" i="2"/>
  <c r="CE161" i="2"/>
  <c r="CE29" i="2"/>
  <c r="CC198" i="2"/>
  <c r="CF201" i="2"/>
  <c r="CD201" i="2"/>
  <c r="CC161" i="2"/>
  <c r="CF105" i="2"/>
  <c r="CF161" i="2"/>
  <c r="CC36" i="1"/>
  <c r="CC26" i="1"/>
  <c r="CC49" i="1" s="1"/>
  <c r="CC50" i="1" s="1"/>
  <c r="CF36" i="1"/>
  <c r="CC46" i="1"/>
  <c r="CC38" i="1"/>
  <c r="CC13" i="1"/>
  <c r="CC3" i="1"/>
  <c r="CC4" i="1" s="1"/>
  <c r="CF13" i="1"/>
  <c r="CC403" i="1"/>
  <c r="CC404" i="1"/>
  <c r="CC398" i="1"/>
  <c r="CC397" i="1"/>
  <c r="CC378" i="1"/>
  <c r="CC363" i="1" s="1"/>
  <c r="CC175" i="5"/>
  <c r="CF46" i="1"/>
  <c r="CC15" i="1"/>
  <c r="CC16" i="1" s="1"/>
  <c r="CC157" i="1"/>
  <c r="CC155" i="1"/>
  <c r="CC96" i="5"/>
  <c r="BH83" i="6"/>
  <c r="DN299" i="2"/>
  <c r="CC156" i="1"/>
  <c r="CC96" i="1"/>
  <c r="CC207" i="1"/>
  <c r="CC206" i="1"/>
  <c r="CC279" i="5"/>
  <c r="CC89" i="5"/>
  <c r="CD277" i="5"/>
  <c r="DO136" i="1"/>
  <c r="DN42" i="5" s="1"/>
  <c r="DO130" i="1"/>
  <c r="CD188" i="1"/>
  <c r="DO189" i="1"/>
  <c r="CD91" i="1"/>
  <c r="CD92" i="1"/>
  <c r="CD13" i="5"/>
  <c r="DO89" i="1"/>
  <c r="CC108" i="5"/>
  <c r="CC119" i="5"/>
  <c r="CC297" i="2"/>
  <c r="DN120" i="5"/>
  <c r="DN299" i="5" s="1"/>
  <c r="CE299" i="5"/>
  <c r="DO120" i="5"/>
  <c r="CD198" i="2"/>
  <c r="DN196" i="2"/>
  <c r="CE201" i="2"/>
  <c r="CD161" i="2"/>
  <c r="DN160" i="2"/>
  <c r="CG201" i="2"/>
  <c r="CG200" i="2"/>
  <c r="CE64" i="2"/>
  <c r="CE125" i="2" s="1"/>
  <c r="DN84" i="2"/>
  <c r="CD64" i="2"/>
  <c r="DO199" i="2"/>
  <c r="DO207" i="2" s="1"/>
  <c r="CE36" i="1"/>
  <c r="CH115" i="2"/>
  <c r="CH105" i="2"/>
  <c r="CG161" i="2"/>
  <c r="CH200" i="2"/>
  <c r="CH201" i="2"/>
  <c r="CT199" i="2"/>
  <c r="CT163" i="2"/>
  <c r="CE26" i="1"/>
  <c r="CE401" i="1" s="1"/>
  <c r="CG64" i="2"/>
  <c r="CG125" i="2" s="1"/>
  <c r="CD26" i="1"/>
  <c r="CD109" i="1" s="1"/>
  <c r="CD36" i="1"/>
  <c r="DO34" i="1"/>
  <c r="CE38" i="1"/>
  <c r="CE46" i="1"/>
  <c r="CI198" i="2"/>
  <c r="CI105" i="2"/>
  <c r="CE3" i="1"/>
  <c r="CE13" i="1"/>
  <c r="CE397" i="1"/>
  <c r="DO160" i="2"/>
  <c r="CG36" i="1"/>
  <c r="CH161" i="2"/>
  <c r="CD3" i="1"/>
  <c r="CH4" i="1" s="1"/>
  <c r="DO11" i="1"/>
  <c r="CD13" i="1"/>
  <c r="DO111" i="1"/>
  <c r="DO108" i="1"/>
  <c r="DN28" i="5" s="1"/>
  <c r="CD38" i="1"/>
  <c r="CD7" i="5" s="1"/>
  <c r="DO44" i="1"/>
  <c r="CT160" i="2"/>
  <c r="CI161" i="2"/>
  <c r="CT84" i="2"/>
  <c r="CE398" i="1"/>
  <c r="DO84" i="2"/>
  <c r="CG13" i="1"/>
  <c r="DO120" i="1"/>
  <c r="DO156" i="1" s="1"/>
  <c r="CD403" i="1"/>
  <c r="DO400" i="1"/>
  <c r="CD404" i="1"/>
  <c r="DO114" i="1"/>
  <c r="DO117" i="1"/>
  <c r="CD175" i="5"/>
  <c r="CD398" i="1"/>
  <c r="DO394" i="1"/>
  <c r="CD378" i="1"/>
  <c r="CD363" i="1" s="1"/>
  <c r="CD379" i="1" s="1"/>
  <c r="CD397" i="1"/>
  <c r="CG46" i="1"/>
  <c r="CL160" i="5"/>
  <c r="CE403" i="1"/>
  <c r="CE175" i="5"/>
  <c r="CE378" i="1"/>
  <c r="CE363" i="1" s="1"/>
  <c r="CE380" i="1"/>
  <c r="CE404" i="1"/>
  <c r="CH65" i="2"/>
  <c r="DP34" i="1"/>
  <c r="T8" i="3" s="1"/>
  <c r="DN93" i="5"/>
  <c r="DO155" i="1"/>
  <c r="CI100" i="1"/>
  <c r="CI36" i="1"/>
  <c r="DN109" i="5"/>
  <c r="DP44" i="1"/>
  <c r="DN123" i="5"/>
  <c r="DP11" i="1"/>
  <c r="DN94" i="5"/>
  <c r="DN117" i="5"/>
  <c r="DN114" i="5"/>
  <c r="CI13" i="1"/>
  <c r="CE133" i="5"/>
  <c r="CE134" i="5"/>
  <c r="DN125" i="5"/>
  <c r="DP21" i="1"/>
  <c r="DN95" i="5"/>
  <c r="DN101" i="5"/>
  <c r="CD96" i="5"/>
  <c r="DN96" i="5" s="1"/>
  <c r="DN92" i="5"/>
  <c r="CE96" i="5"/>
  <c r="CE41" i="5"/>
  <c r="DN104" i="5"/>
  <c r="CE135" i="5"/>
  <c r="CE100" i="1"/>
  <c r="CE96" i="1"/>
  <c r="CK127" i="2"/>
  <c r="CG100" i="1"/>
  <c r="CF100" i="1"/>
  <c r="CE127" i="2"/>
  <c r="DN124" i="2"/>
  <c r="CL124" i="2"/>
  <c r="CI127" i="2"/>
  <c r="DO124" i="2"/>
  <c r="CH127" i="2"/>
  <c r="CD96" i="1"/>
  <c r="CD15" i="5" s="1"/>
  <c r="DO99" i="1"/>
  <c r="DP99" i="1"/>
  <c r="DN18" i="5"/>
  <c r="DN23" i="5"/>
  <c r="S20" i="3" s="1"/>
  <c r="DN126" i="5"/>
  <c r="DN144" i="5" s="1"/>
  <c r="CD279" i="5"/>
  <c r="CE277" i="5"/>
  <c r="CD89" i="5"/>
  <c r="DN90" i="5"/>
  <c r="DN105" i="5"/>
  <c r="DO137" i="1" s="1"/>
  <c r="CE42" i="5"/>
  <c r="CE92" i="1"/>
  <c r="CE91" i="1"/>
  <c r="CE13" i="5"/>
  <c r="CE188" i="1"/>
  <c r="CD108" i="5"/>
  <c r="DN108" i="5" s="1"/>
  <c r="DN122" i="5"/>
  <c r="CD119" i="5"/>
  <c r="DN119" i="5" s="1"/>
  <c r="CE298" i="5"/>
  <c r="CG303" i="2"/>
  <c r="CE108" i="5"/>
  <c r="CE119" i="5"/>
  <c r="CF42" i="5"/>
  <c r="CF91" i="1"/>
  <c r="CF92" i="1"/>
  <c r="CF13" i="5"/>
  <c r="CE44" i="5"/>
  <c r="CE297" i="2"/>
  <c r="CE281" i="2" s="1"/>
  <c r="CE282" i="2" s="1"/>
  <c r="CF277" i="5"/>
  <c r="CE69" i="5"/>
  <c r="CE279" i="5"/>
  <c r="CE89" i="5"/>
  <c r="CE207" i="1"/>
  <c r="CE206" i="1"/>
  <c r="CE248" i="1"/>
  <c r="CL248" i="1"/>
  <c r="CE246" i="1"/>
  <c r="DP245" i="1"/>
  <c r="DP262" i="1"/>
  <c r="DP247" i="1"/>
  <c r="DP248" i="1" s="1"/>
  <c r="DO105" i="5"/>
  <c r="CF32" i="1"/>
  <c r="CF13" i="2"/>
  <c r="CF16" i="2" s="1"/>
  <c r="CF26" i="1"/>
  <c r="CF384" i="1"/>
  <c r="CF188" i="1"/>
  <c r="CG384" i="1"/>
  <c r="CG32" i="1"/>
  <c r="CG78" i="1" s="1"/>
  <c r="CG350" i="1"/>
  <c r="CG351" i="1" s="1"/>
  <c r="CG26" i="1"/>
  <c r="CG74" i="1" s="1"/>
  <c r="CF43" i="1"/>
  <c r="CF42" i="1"/>
  <c r="CF38" i="1"/>
  <c r="CF4" i="2"/>
  <c r="CF9" i="1"/>
  <c r="CF3" i="1"/>
  <c r="CF12" i="1" s="1"/>
  <c r="CF8" i="1" s="1"/>
  <c r="CI350" i="1"/>
  <c r="CI384" i="1"/>
  <c r="CI32" i="1"/>
  <c r="CI26" i="1"/>
  <c r="CI112" i="1" s="1"/>
  <c r="CI84" i="1"/>
  <c r="CF404" i="1"/>
  <c r="CF403" i="1"/>
  <c r="CG43" i="1"/>
  <c r="CG42" i="1"/>
  <c r="CG38" i="1"/>
  <c r="CF96" i="1"/>
  <c r="CF397" i="1"/>
  <c r="CF398" i="1"/>
  <c r="CF175" i="5"/>
  <c r="CG4" i="2"/>
  <c r="CG48" i="2" s="1"/>
  <c r="CG9" i="1"/>
  <c r="CG3" i="1"/>
  <c r="CH5" i="1" s="1"/>
  <c r="CI76" i="1"/>
  <c r="CI11" i="5"/>
  <c r="CI72" i="1"/>
  <c r="CI77" i="1"/>
  <c r="CI38" i="1"/>
  <c r="CI7" i="5" s="1"/>
  <c r="CI13" i="2"/>
  <c r="CI36" i="2" s="1"/>
  <c r="CJ231" i="1"/>
  <c r="CI4" i="2"/>
  <c r="CI40" i="2" s="1"/>
  <c r="CI43" i="1"/>
  <c r="CI42" i="1"/>
  <c r="CI9" i="1"/>
  <c r="CI3" i="1"/>
  <c r="CI165" i="1"/>
  <c r="CG175" i="5"/>
  <c r="CG398" i="1"/>
  <c r="CG397" i="1"/>
  <c r="CG378" i="1"/>
  <c r="CH13" i="2"/>
  <c r="CH61" i="2" s="1"/>
  <c r="DP30" i="1"/>
  <c r="CG96" i="1"/>
  <c r="CG403" i="1"/>
  <c r="CG404" i="1"/>
  <c r="CJ256" i="1"/>
  <c r="CJ4" i="2"/>
  <c r="CJ48" i="2" s="1"/>
  <c r="CJ32" i="1"/>
  <c r="CJ87" i="1" s="1"/>
  <c r="CI75" i="1"/>
  <c r="CJ84" i="1"/>
  <c r="CJ384" i="1"/>
  <c r="CI175" i="5"/>
  <c r="CI96" i="1"/>
  <c r="CI15" i="5" s="1"/>
  <c r="CI397" i="1"/>
  <c r="DP41" i="1"/>
  <c r="CH4" i="2"/>
  <c r="DP7" i="1"/>
  <c r="CI398" i="1"/>
  <c r="DP108" i="1"/>
  <c r="DO28" i="5" s="1"/>
  <c r="DP190" i="1"/>
  <c r="DP188" i="1" s="1"/>
  <c r="CJ9" i="1"/>
  <c r="CI380" i="1"/>
  <c r="CI403" i="1"/>
  <c r="CI404" i="1"/>
  <c r="DP111" i="1"/>
  <c r="DP165" i="1"/>
  <c r="DP117" i="1"/>
  <c r="DP120" i="1"/>
  <c r="DP156" i="1" s="1"/>
  <c r="DP400" i="1"/>
  <c r="DP394" i="1"/>
  <c r="CF96" i="5"/>
  <c r="DP114" i="1"/>
  <c r="CT3" i="5"/>
  <c r="CT6" i="5"/>
  <c r="DO123" i="5"/>
  <c r="CG96" i="5"/>
  <c r="DO93" i="5"/>
  <c r="CJ42" i="1"/>
  <c r="CJ43" i="1"/>
  <c r="CI379" i="1"/>
  <c r="CI396" i="1"/>
  <c r="CI371" i="1"/>
  <c r="CG41" i="5"/>
  <c r="CG168" i="5" s="1"/>
  <c r="DO117" i="5"/>
  <c r="DO94" i="5"/>
  <c r="DO114" i="5"/>
  <c r="DO109" i="5"/>
  <c r="DO216" i="5"/>
  <c r="T28" i="3" s="1"/>
  <c r="CI96" i="5"/>
  <c r="DO125" i="5"/>
  <c r="DO92" i="5"/>
  <c r="DO101" i="5"/>
  <c r="DO95" i="5"/>
  <c r="CE253" i="2"/>
  <c r="CF99" i="2"/>
  <c r="CF250" i="2"/>
  <c r="CF253" i="2"/>
  <c r="CF14" i="5"/>
  <c r="CF29" i="2"/>
  <c r="CG253" i="2"/>
  <c r="CG29" i="2"/>
  <c r="DO251" i="2"/>
  <c r="DO245" i="2"/>
  <c r="CH99" i="2"/>
  <c r="DO117" i="2"/>
  <c r="CF206" i="1"/>
  <c r="CF208" i="1" s="1"/>
  <c r="CF207" i="1"/>
  <c r="CH253" i="2"/>
  <c r="CI26" i="2"/>
  <c r="DO244" i="2"/>
  <c r="CH29" i="2"/>
  <c r="CJ34" i="2" s="1"/>
  <c r="CI253" i="2"/>
  <c r="CI29" i="2"/>
  <c r="CI14" i="5"/>
  <c r="CJ256" i="2"/>
  <c r="CJ253" i="2"/>
  <c r="CF60" i="5"/>
  <c r="CF279" i="5"/>
  <c r="CF89" i="5"/>
  <c r="CF69" i="5"/>
  <c r="CF102" i="5"/>
  <c r="CG42" i="5"/>
  <c r="CG188" i="1"/>
  <c r="CG92" i="1"/>
  <c r="CG91" i="1"/>
  <c r="CG13" i="5"/>
  <c r="CF108" i="5"/>
  <c r="CF119" i="5"/>
  <c r="CF44" i="5"/>
  <c r="CG115" i="2"/>
  <c r="CG99" i="2"/>
  <c r="DO114" i="2"/>
  <c r="DO217" i="2" s="1"/>
  <c r="CG105" i="2"/>
  <c r="CG14" i="5"/>
  <c r="DP94" i="1"/>
  <c r="CG207" i="1"/>
  <c r="CG206" i="1"/>
  <c r="CG60" i="5"/>
  <c r="CG69" i="5"/>
  <c r="CG89" i="5"/>
  <c r="CG102" i="5"/>
  <c r="DP136" i="1"/>
  <c r="CI188" i="1"/>
  <c r="CI42" i="5"/>
  <c r="DP189" i="1"/>
  <c r="CJ188" i="1"/>
  <c r="DP89" i="1"/>
  <c r="CG108" i="5"/>
  <c r="CG119" i="5"/>
  <c r="CG44" i="5"/>
  <c r="CG20" i="5"/>
  <c r="CG260" i="5" s="1"/>
  <c r="DO122" i="5"/>
  <c r="DP146" i="1"/>
  <c r="DR122" i="5" s="1"/>
  <c r="CI108" i="5"/>
  <c r="CI119" i="5"/>
  <c r="CI44" i="5"/>
  <c r="CI297" i="2"/>
  <c r="CI281" i="2" s="1"/>
  <c r="CI282" i="2" s="1"/>
  <c r="DO18" i="5"/>
  <c r="CI60" i="5"/>
  <c r="DO23" i="5"/>
  <c r="T20" i="3" s="1"/>
  <c r="DO126" i="5"/>
  <c r="DO144" i="5" s="1"/>
  <c r="DP294" i="2"/>
  <c r="DO104" i="5"/>
  <c r="DO90" i="5"/>
  <c r="DO279" i="5" s="1"/>
  <c r="DO280" i="5" s="1"/>
  <c r="CI91" i="1"/>
  <c r="CI13" i="5"/>
  <c r="CI64" i="1"/>
  <c r="CJ66" i="1" s="1"/>
  <c r="CI92" i="1"/>
  <c r="CI70" i="1"/>
  <c r="CI206" i="1"/>
  <c r="CI207" i="1"/>
  <c r="CH2" i="2"/>
  <c r="CI365" i="1"/>
  <c r="CI132" i="1"/>
  <c r="CI102" i="5"/>
  <c r="CJ277" i="5"/>
  <c r="CI69" i="5"/>
  <c r="CI89" i="5"/>
  <c r="CJ92" i="1"/>
  <c r="CJ91" i="1"/>
  <c r="CJ13" i="5"/>
  <c r="CJ26" i="2"/>
  <c r="CJ105" i="2"/>
  <c r="CJ115" i="2"/>
  <c r="CJ204" i="2"/>
  <c r="CJ201" i="2"/>
  <c r="CJ164" i="2"/>
  <c r="CJ14" i="5"/>
  <c r="CJ161" i="2"/>
  <c r="CJ29" i="2"/>
  <c r="CJ36" i="1"/>
  <c r="CJ100" i="1"/>
  <c r="CJ26" i="1"/>
  <c r="CJ13" i="1"/>
  <c r="CJ3" i="1"/>
  <c r="CJ46" i="1"/>
  <c r="CJ38" i="1"/>
  <c r="CJ165" i="1"/>
  <c r="CJ397" i="1"/>
  <c r="CJ398" i="1"/>
  <c r="CJ175" i="5"/>
  <c r="CJ404" i="1"/>
  <c r="CJ403" i="1"/>
  <c r="CJ76" i="1"/>
  <c r="CJ75" i="1"/>
  <c r="CJ77" i="1"/>
  <c r="CJ72" i="1"/>
  <c r="CJ11" i="5"/>
  <c r="CJ96" i="1"/>
  <c r="CJ64" i="1" s="1"/>
  <c r="CJ15" i="5"/>
  <c r="CJ206" i="1"/>
  <c r="CJ207" i="1"/>
  <c r="N12" i="4"/>
  <c r="Q12" i="4"/>
  <c r="CJ19" i="5"/>
  <c r="CL82" i="1"/>
  <c r="CL225" i="1"/>
  <c r="CM225" i="1" s="1"/>
  <c r="CJ226" i="1"/>
  <c r="CJ233" i="1"/>
  <c r="CJ253" i="1"/>
  <c r="CJ243" i="1"/>
  <c r="CJ297" i="2"/>
  <c r="CJ281" i="2"/>
  <c r="CJ20" i="5"/>
  <c r="K10" i="10"/>
  <c r="G4" i="10"/>
  <c r="K8" i="10"/>
  <c r="H8" i="10"/>
  <c r="H10" i="10"/>
  <c r="H9" i="10"/>
  <c r="J15" i="10"/>
  <c r="G15" i="10" s="1"/>
  <c r="K15" i="10"/>
  <c r="H15" i="10"/>
  <c r="CL100" i="5"/>
  <c r="BX58" i="5"/>
  <c r="BX80" i="5" s="1"/>
  <c r="BN52" i="5"/>
  <c r="BN73" i="5" s="1"/>
  <c r="CF303" i="2"/>
  <c r="DD125" i="5"/>
  <c r="DL133" i="1"/>
  <c r="DI133" i="1"/>
  <c r="AB147" i="5"/>
  <c r="AS298" i="5"/>
  <c r="DA321" i="5"/>
  <c r="BI85" i="5"/>
  <c r="BF280" i="5"/>
  <c r="AP102" i="5"/>
  <c r="H277" i="5"/>
  <c r="G279" i="5"/>
  <c r="G280" i="5" s="1"/>
  <c r="G69" i="5"/>
  <c r="Z227" i="5"/>
  <c r="CZ23" i="5"/>
  <c r="E20" i="3" s="1"/>
  <c r="U274" i="5"/>
  <c r="D322" i="5"/>
  <c r="W287" i="5"/>
  <c r="V288" i="5"/>
  <c r="J288" i="5"/>
  <c r="J96" i="5"/>
  <c r="D69" i="5"/>
  <c r="D140" i="5"/>
  <c r="E277" i="5"/>
  <c r="E69" i="5"/>
  <c r="CY117" i="5"/>
  <c r="J108" i="5"/>
  <c r="J134" i="5"/>
  <c r="P69" i="5"/>
  <c r="O69" i="5"/>
  <c r="O140" i="5"/>
  <c r="CX125" i="5"/>
  <c r="O274" i="5"/>
  <c r="CL287" i="5"/>
  <c r="CK270" i="5"/>
  <c r="AD96" i="5"/>
  <c r="DA96" i="5" s="1"/>
  <c r="AE287" i="5"/>
  <c r="AE269" i="5" s="1"/>
  <c r="CC234" i="5"/>
  <c r="CC232" i="5" s="1"/>
  <c r="J309" i="5"/>
  <c r="DH127" i="5"/>
  <c r="DH145" i="5" s="1"/>
  <c r="DI277" i="5"/>
  <c r="D279" i="5"/>
  <c r="D280" i="5" s="1"/>
  <c r="P85" i="5"/>
  <c r="T140" i="5"/>
  <c r="T279" i="5"/>
  <c r="H69" i="5"/>
  <c r="H89" i="5"/>
  <c r="V274" i="5"/>
  <c r="DK67" i="5"/>
  <c r="DK83" i="5" s="1"/>
  <c r="AZ139" i="5"/>
  <c r="S64" i="5"/>
  <c r="R64" i="5"/>
  <c r="DM59" i="5"/>
  <c r="BM303" i="2"/>
  <c r="AF58" i="5"/>
  <c r="AF80" i="5" s="1"/>
  <c r="AD64" i="5"/>
  <c r="E288" i="5"/>
  <c r="N69" i="5"/>
  <c r="N24" i="3"/>
  <c r="CH217" i="5"/>
  <c r="CZ135" i="5"/>
  <c r="P141" i="5"/>
  <c r="U134" i="5"/>
  <c r="U132" i="5" s="1"/>
  <c r="G277" i="5"/>
  <c r="AO51" i="5"/>
  <c r="AO75" i="5" s="1"/>
  <c r="AO168" i="5"/>
  <c r="BP300" i="5"/>
  <c r="BP322" i="5" s="1"/>
  <c r="AV259" i="5"/>
  <c r="DA146" i="5"/>
  <c r="K309" i="5"/>
  <c r="AY269" i="5"/>
  <c r="BE300" i="5"/>
  <c r="AC134" i="5"/>
  <c r="CE85" i="5"/>
  <c r="BO303" i="2"/>
  <c r="BN132" i="5"/>
  <c r="CI303" i="2"/>
  <c r="CF85" i="5"/>
  <c r="DM298" i="5"/>
  <c r="DL298" i="5"/>
  <c r="CD300" i="5"/>
  <c r="BO139" i="5"/>
  <c r="BO263" i="5" s="1"/>
  <c r="BX303" i="2"/>
  <c r="BX305" i="2" s="1"/>
  <c r="BY132" i="5"/>
  <c r="CG52" i="5"/>
  <c r="CG73" i="5" s="1"/>
  <c r="BJ12" i="6"/>
  <c r="BK12" i="6" s="1"/>
  <c r="BL12" i="6" s="1"/>
  <c r="BM12" i="6" s="1"/>
  <c r="BN12" i="6" s="1"/>
  <c r="BO12" i="6" s="1"/>
  <c r="CD307" i="5"/>
  <c r="DL145" i="1"/>
  <c r="BG280" i="5"/>
  <c r="DH140" i="5"/>
  <c r="DI69" i="5"/>
  <c r="DK64" i="5"/>
  <c r="DH279" i="5"/>
  <c r="DH280" i="5" s="1"/>
  <c r="AT324" i="5"/>
  <c r="AS324" i="5"/>
  <c r="CZ321" i="5"/>
  <c r="M324" i="5"/>
  <c r="BD63" i="5"/>
  <c r="BD81" i="5" s="1"/>
  <c r="DG299" i="5"/>
  <c r="DH277" i="5"/>
  <c r="DG279" i="5"/>
  <c r="DG280" i="5" s="1"/>
  <c r="DG69" i="5"/>
  <c r="D134" i="5"/>
  <c r="D108" i="5"/>
  <c r="M133" i="5"/>
  <c r="DI197" i="5"/>
  <c r="AC300" i="5"/>
  <c r="AC322" i="5"/>
  <c r="U324" i="5"/>
  <c r="AJ315" i="5"/>
  <c r="N307" i="5"/>
  <c r="N308" i="5" s="1"/>
  <c r="BR223" i="5"/>
  <c r="DK223" i="5" s="1"/>
  <c r="DC133" i="5"/>
  <c r="R96" i="5"/>
  <c r="R288" i="5"/>
  <c r="AL64" i="5"/>
  <c r="AC141" i="5"/>
  <c r="Q288" i="5"/>
  <c r="F287" i="5"/>
  <c r="E141" i="5"/>
  <c r="G108" i="5"/>
  <c r="G128" i="5" s="1"/>
  <c r="G134" i="5"/>
  <c r="DA277" i="5"/>
  <c r="CZ140" i="5"/>
  <c r="K279" i="5"/>
  <c r="K280" i="5" s="1"/>
  <c r="DD333" i="5"/>
  <c r="M69" i="5"/>
  <c r="L140" i="5"/>
  <c r="M277" i="5"/>
  <c r="CX82" i="5"/>
  <c r="H300" i="5"/>
  <c r="H307" i="5"/>
  <c r="H314" i="5" s="1"/>
  <c r="K287" i="5"/>
  <c r="J141" i="5"/>
  <c r="AD133" i="5"/>
  <c r="DA94" i="5"/>
  <c r="AD89" i="5"/>
  <c r="DB277" i="5"/>
  <c r="Z119" i="5"/>
  <c r="U288" i="5"/>
  <c r="BS234" i="5"/>
  <c r="BS232" i="5" s="1"/>
  <c r="AD108" i="5"/>
  <c r="AD298" i="5"/>
  <c r="CJ2" i="5"/>
  <c r="Z298" i="5"/>
  <c r="CY140" i="5"/>
  <c r="BP234" i="5"/>
  <c r="BP232" i="5" s="1"/>
  <c r="DK145" i="1"/>
  <c r="BX300" i="5"/>
  <c r="DN307" i="5"/>
  <c r="G168" i="5"/>
  <c r="BV223" i="5"/>
  <c r="DL223" i="5" s="1"/>
  <c r="T67" i="5"/>
  <c r="CH132" i="5"/>
  <c r="BT138" i="1"/>
  <c r="DL59" i="5"/>
  <c r="S24" i="3"/>
  <c r="DN59" i="5"/>
  <c r="CL103" i="5"/>
  <c r="CL91" i="5"/>
  <c r="AV54" i="1"/>
  <c r="AV55" i="1" s="1"/>
  <c r="BA103" i="1"/>
  <c r="BA97" i="1"/>
  <c r="BA35" i="1"/>
  <c r="BF363" i="1"/>
  <c r="BF371" i="1" s="1"/>
  <c r="BF380" i="1"/>
  <c r="BE87" i="1"/>
  <c r="DI262" i="1"/>
  <c r="BF357" i="1"/>
  <c r="AC239" i="5"/>
  <c r="AR271" i="1"/>
  <c r="AR369" i="1" s="1"/>
  <c r="AR402" i="1" s="1"/>
  <c r="AR269" i="1"/>
  <c r="CJ138" i="1"/>
  <c r="CI140" i="1"/>
  <c r="BP3" i="5"/>
  <c r="BP5" i="1"/>
  <c r="BP12" i="1"/>
  <c r="BP8" i="1" s="1"/>
  <c r="BX58" i="1"/>
  <c r="BT29" i="1"/>
  <c r="BU20" i="1"/>
  <c r="DM18" i="1"/>
  <c r="BW7" i="5"/>
  <c r="DH157" i="1"/>
  <c r="BU64" i="1"/>
  <c r="BU69" i="1" s="1"/>
  <c r="BU15" i="5"/>
  <c r="AQ41" i="5"/>
  <c r="BL138" i="1"/>
  <c r="AU405" i="1"/>
  <c r="AU175" i="5"/>
  <c r="AU378" i="1"/>
  <c r="AU380" i="1" s="1"/>
  <c r="AV404" i="1"/>
  <c r="AU404" i="1"/>
  <c r="AU403" i="1"/>
  <c r="CG269" i="1"/>
  <c r="CH54" i="1"/>
  <c r="CH257" i="1"/>
  <c r="CJ259" i="1"/>
  <c r="CI109" i="1"/>
  <c r="BW363" i="1"/>
  <c r="BW379" i="1" s="1"/>
  <c r="BK264" i="1"/>
  <c r="AR264" i="1"/>
  <c r="AR263" i="1"/>
  <c r="AQ11" i="1"/>
  <c r="AQ13" i="1" s="1"/>
  <c r="CB264" i="1"/>
  <c r="BX264" i="1"/>
  <c r="CB270" i="1"/>
  <c r="CB272" i="1"/>
  <c r="BX286" i="1"/>
  <c r="BX288" i="1" s="1"/>
  <c r="BY269" i="1"/>
  <c r="BX270" i="1"/>
  <c r="BY271" i="1"/>
  <c r="BY369" i="1" s="1"/>
  <c r="BY402" i="1" s="1"/>
  <c r="BY208" i="1"/>
  <c r="BJ15" i="1"/>
  <c r="BJ22" i="1" s="1"/>
  <c r="DN263" i="1"/>
  <c r="AU401" i="1"/>
  <c r="DI388" i="1"/>
  <c r="DI378" i="1"/>
  <c r="AW286" i="1"/>
  <c r="AW288" i="1" s="1"/>
  <c r="BH3" i="5"/>
  <c r="BH12" i="1"/>
  <c r="BH8" i="1" s="1"/>
  <c r="BL4" i="1"/>
  <c r="DH391" i="1"/>
  <c r="AU351" i="1"/>
  <c r="AV271" i="1"/>
  <c r="DH155" i="1"/>
  <c r="BC39" i="1"/>
  <c r="BD202" i="1"/>
  <c r="BD49" i="1"/>
  <c r="BD112" i="1"/>
  <c r="BD121" i="1"/>
  <c r="BD83" i="1"/>
  <c r="BD115" i="1"/>
  <c r="BD31" i="1"/>
  <c r="BD90" i="1"/>
  <c r="BD109" i="1"/>
  <c r="AR109" i="1"/>
  <c r="AR97" i="1"/>
  <c r="BH20" i="1"/>
  <c r="BH15" i="1"/>
  <c r="BH4" i="5" s="1"/>
  <c r="CG321" i="1"/>
  <c r="CG307" i="1"/>
  <c r="CG233" i="1"/>
  <c r="BF210" i="1"/>
  <c r="BF211" i="1"/>
  <c r="BF202" i="1"/>
  <c r="DM372" i="1"/>
  <c r="BO7" i="5"/>
  <c r="BD35" i="1"/>
  <c r="BJ380" i="1"/>
  <c r="DL388" i="1"/>
  <c r="BU208" i="1"/>
  <c r="CJ379" i="1"/>
  <c r="BR118" i="1"/>
  <c r="BA109" i="1"/>
  <c r="AY403" i="1"/>
  <c r="BC90" i="1"/>
  <c r="BC115" i="1"/>
  <c r="BC121" i="1"/>
  <c r="AY16" i="2"/>
  <c r="AY17" i="2" s="1"/>
  <c r="DI157" i="1"/>
  <c r="BB363" i="1"/>
  <c r="BB371" i="1" s="1"/>
  <c r="BB380" i="1"/>
  <c r="AZ363" i="1"/>
  <c r="AZ380" i="1"/>
  <c r="BD321" i="1"/>
  <c r="BD233" i="1"/>
  <c r="AZ264" i="1"/>
  <c r="AZ263" i="1"/>
  <c r="AT13" i="5"/>
  <c r="AT91" i="1"/>
  <c r="BB395" i="1"/>
  <c r="BB90" i="1"/>
  <c r="BB83" i="1"/>
  <c r="BB121" i="1"/>
  <c r="BB401" i="1"/>
  <c r="BB106" i="1"/>
  <c r="BB65" i="1"/>
  <c r="AG51" i="5"/>
  <c r="AG75" i="5" s="1"/>
  <c r="BM78" i="1"/>
  <c r="DK262" i="1"/>
  <c r="DL264" i="1" s="1"/>
  <c r="CW153" i="1"/>
  <c r="AQ320" i="1"/>
  <c r="BH379" i="1"/>
  <c r="AT371" i="1"/>
  <c r="BD307" i="1"/>
  <c r="BB74" i="1"/>
  <c r="BE286" i="1"/>
  <c r="BE288" i="1" s="1"/>
  <c r="BF269" i="1"/>
  <c r="BE380" i="1"/>
  <c r="BG307" i="1"/>
  <c r="BG321" i="1"/>
  <c r="AS64" i="1"/>
  <c r="AS15" i="5"/>
  <c r="DI155" i="1"/>
  <c r="DI153" i="1" s="1"/>
  <c r="CK86" i="1"/>
  <c r="BR351" i="1"/>
  <c r="BN265" i="1"/>
  <c r="BC83" i="1"/>
  <c r="AW259" i="1"/>
  <c r="DG236" i="1"/>
  <c r="BF74" i="1"/>
  <c r="BF39" i="1"/>
  <c r="BF27" i="1"/>
  <c r="BF65" i="1"/>
  <c r="BM132" i="1"/>
  <c r="CC270" i="1"/>
  <c r="BW87" i="1"/>
  <c r="O6" i="3"/>
  <c r="N86" i="3" s="1"/>
  <c r="BI396" i="1"/>
  <c r="BR264" i="1"/>
  <c r="BB31" i="1"/>
  <c r="BC74" i="1"/>
  <c r="BB28" i="1"/>
  <c r="DF102" i="1"/>
  <c r="DF397" i="1"/>
  <c r="DG397" i="1"/>
  <c r="AX286" i="1"/>
  <c r="AX288" i="1" s="1"/>
  <c r="AX290" i="1" s="1"/>
  <c r="BL20" i="1"/>
  <c r="BP40" i="2"/>
  <c r="BP48" i="2"/>
  <c r="CI257" i="1"/>
  <c r="BB153" i="1"/>
  <c r="BB154" i="1" s="1"/>
  <c r="BY281" i="1"/>
  <c r="BY259" i="1"/>
  <c r="BY321" i="1"/>
  <c r="BY233" i="1"/>
  <c r="AP177" i="1"/>
  <c r="AP178" i="1" s="1"/>
  <c r="CH87" i="1"/>
  <c r="CH208" i="1"/>
  <c r="CH321" i="1"/>
  <c r="CH307" i="1"/>
  <c r="CH233" i="1"/>
  <c r="BP4" i="1"/>
  <c r="DJ13" i="1"/>
  <c r="DH400" i="1"/>
  <c r="BG396" i="1"/>
  <c r="BG371" i="1"/>
  <c r="BB175" i="5"/>
  <c r="BF403" i="1"/>
  <c r="BB404" i="1"/>
  <c r="BY23" i="1"/>
  <c r="BA378" i="1"/>
  <c r="Z168" i="5"/>
  <c r="AY233" i="1"/>
  <c r="AY321" i="1"/>
  <c r="AW78" i="1"/>
  <c r="AW7" i="5"/>
  <c r="BF49" i="1"/>
  <c r="BF50" i="1" s="1"/>
  <c r="BF271" i="1"/>
  <c r="BF369" i="1" s="1"/>
  <c r="BF402" i="1" s="1"/>
  <c r="BJ270" i="1"/>
  <c r="AQ403" i="1"/>
  <c r="AR404" i="1"/>
  <c r="BP404" i="1"/>
  <c r="BP403" i="1"/>
  <c r="DL400" i="1"/>
  <c r="BP175" i="5"/>
  <c r="BP173" i="5" s="1"/>
  <c r="BP54" i="5" s="1"/>
  <c r="CB307" i="1"/>
  <c r="CB321" i="1"/>
  <c r="CB322" i="1" s="1"/>
  <c r="CB233" i="1"/>
  <c r="CD259" i="1"/>
  <c r="DG240" i="1"/>
  <c r="BL269" i="1"/>
  <c r="AV59" i="1"/>
  <c r="BW55" i="1"/>
  <c r="BX269" i="1"/>
  <c r="DJ228" i="1"/>
  <c r="CD271" i="1"/>
  <c r="CD369" i="1" s="1"/>
  <c r="CD402" i="1" s="1"/>
  <c r="CE233" i="1"/>
  <c r="CJ269" i="1"/>
  <c r="BU259" i="1"/>
  <c r="BH59" i="1"/>
  <c r="BE121" i="1"/>
  <c r="BP36" i="2"/>
  <c r="BT16" i="2"/>
  <c r="BT17" i="2" s="1"/>
  <c r="CB263" i="1"/>
  <c r="AA177" i="1"/>
  <c r="AA178" i="1" s="1"/>
  <c r="AO40" i="5"/>
  <c r="CE307" i="1"/>
  <c r="CH308" i="1" s="1"/>
  <c r="CH168" i="5"/>
  <c r="CH10" i="5"/>
  <c r="DH248" i="1"/>
  <c r="DL397" i="1"/>
  <c r="BS263" i="1"/>
  <c r="AY59" i="1"/>
  <c r="CA153" i="1"/>
  <c r="DH397" i="1"/>
  <c r="DG385" i="1"/>
  <c r="BP269" i="1"/>
  <c r="BZ321" i="1"/>
  <c r="BJ153" i="1"/>
  <c r="DH250" i="1"/>
  <c r="BX153" i="1"/>
  <c r="AO177" i="1"/>
  <c r="AO178" i="1" s="1"/>
  <c r="CD233" i="1"/>
  <c r="CI264" i="1"/>
  <c r="AZ87" i="1"/>
  <c r="BI365" i="1"/>
  <c r="BA59" i="1"/>
  <c r="CY153" i="1"/>
  <c r="CF351" i="1"/>
  <c r="CE15" i="5"/>
  <c r="CC115" i="1"/>
  <c r="CC27" i="1"/>
  <c r="BW41" i="5"/>
  <c r="BW168" i="5" s="1"/>
  <c r="CE115" i="1"/>
  <c r="CE109" i="1"/>
  <c r="CE395" i="1"/>
  <c r="BY27" i="1"/>
  <c r="BY31" i="1"/>
  <c r="BY109" i="1"/>
  <c r="BY35" i="1"/>
  <c r="BY90" i="1"/>
  <c r="BY395" i="1"/>
  <c r="BY74" i="1"/>
  <c r="BY115" i="1"/>
  <c r="DO384" i="1"/>
  <c r="DO277" i="1"/>
  <c r="DO350" i="1"/>
  <c r="CA41" i="5"/>
  <c r="CI48" i="2"/>
  <c r="CF7" i="5"/>
  <c r="CF217" i="5" s="1"/>
  <c r="CL245" i="1"/>
  <c r="DL13" i="5"/>
  <c r="BV208" i="1"/>
  <c r="DP3" i="1"/>
  <c r="DO4" i="2"/>
  <c r="CI35" i="1"/>
  <c r="CI28" i="1"/>
  <c r="CI83" i="1"/>
  <c r="CI395" i="1"/>
  <c r="CE83" i="1"/>
  <c r="BY5" i="1"/>
  <c r="CG12" i="1"/>
  <c r="CG8" i="1" s="1"/>
  <c r="BZ118" i="1"/>
  <c r="BZ4" i="1"/>
  <c r="BV3" i="5"/>
  <c r="BU39" i="1"/>
  <c r="BU83" i="1"/>
  <c r="BS12" i="1"/>
  <c r="BS8" i="1" s="1"/>
  <c r="BM112" i="1"/>
  <c r="BM395" i="1"/>
  <c r="BM28" i="1"/>
  <c r="BM401" i="1"/>
  <c r="CJ115" i="1"/>
  <c r="CE7" i="5"/>
  <c r="CB154" i="1"/>
  <c r="BW401" i="1"/>
  <c r="BW97" i="1"/>
  <c r="BV5" i="1"/>
  <c r="DM226" i="1"/>
  <c r="BP118" i="1"/>
  <c r="BM351" i="1"/>
  <c r="DO174" i="5"/>
  <c r="BS87" i="1"/>
  <c r="M6" i="3"/>
  <c r="DI350" i="1"/>
  <c r="CD64" i="1"/>
  <c r="CD69" i="1" s="1"/>
  <c r="CD70" i="1" s="1"/>
  <c r="BZ97" i="1"/>
  <c r="BY365" i="1"/>
  <c r="CD395" i="1"/>
  <c r="BZ109" i="1"/>
  <c r="BU112" i="1"/>
  <c r="BU35" i="1"/>
  <c r="DM85" i="1"/>
  <c r="DL12" i="5"/>
  <c r="BZ112" i="1"/>
  <c r="BX12" i="1"/>
  <c r="BX8" i="1" s="1"/>
  <c r="DL268" i="1"/>
  <c r="DK57" i="1"/>
  <c r="O8" i="3"/>
  <c r="N87" i="3" s="1"/>
  <c r="DK277" i="1"/>
  <c r="BV23" i="1"/>
  <c r="BV15" i="1"/>
  <c r="BV16" i="1" s="1"/>
  <c r="BG23" i="1"/>
  <c r="BI263" i="1"/>
  <c r="BD265" i="1"/>
  <c r="BD264" i="1"/>
  <c r="BD357" i="1"/>
  <c r="BD359" i="1" s="1"/>
  <c r="BH264" i="1"/>
  <c r="AU41" i="5"/>
  <c r="AU134" i="1"/>
  <c r="AW321" i="1"/>
  <c r="BQ401" i="1"/>
  <c r="CE78" i="1"/>
  <c r="DK45" i="1"/>
  <c r="BQ35" i="1"/>
  <c r="AY371" i="1"/>
  <c r="BQ65" i="1"/>
  <c r="BQ121" i="1"/>
  <c r="BG15" i="1"/>
  <c r="DJ372" i="1"/>
  <c r="AU325" i="1"/>
  <c r="DN43" i="1"/>
  <c r="BQ115" i="1"/>
  <c r="BL12" i="1"/>
  <c r="BL8" i="1" s="1"/>
  <c r="BE263" i="1"/>
  <c r="DJ3" i="1"/>
  <c r="DJ12" i="1" s="1"/>
  <c r="DJ8" i="1" s="1"/>
  <c r="BL265" i="1"/>
  <c r="BL357" i="1"/>
  <c r="AV311" i="1"/>
  <c r="AZ312" i="1" s="1"/>
  <c r="DI226" i="1"/>
  <c r="DI229" i="1"/>
  <c r="DK384" i="1"/>
  <c r="BH4" i="1"/>
  <c r="BD5" i="1"/>
  <c r="BM263" i="1"/>
  <c r="BA325" i="1"/>
  <c r="D245" i="5"/>
  <c r="BC351" i="1"/>
  <c r="AS264" i="1"/>
  <c r="AW264" i="1"/>
  <c r="AS263" i="1"/>
  <c r="AU271" i="1"/>
  <c r="AU369" i="1" s="1"/>
  <c r="AU402" i="1" s="1"/>
  <c r="AU269" i="1"/>
  <c r="AU286" i="1"/>
  <c r="AU288" i="1" s="1"/>
  <c r="DF268" i="1"/>
  <c r="AX272" i="1"/>
  <c r="AV233" i="1"/>
  <c r="AV321" i="1"/>
  <c r="BJ41" i="5"/>
  <c r="BJ168" i="5" s="1"/>
  <c r="BE265" i="1"/>
  <c r="BE266" i="1" s="1"/>
  <c r="BF263" i="1"/>
  <c r="AV307" i="1"/>
  <c r="AT270" i="1"/>
  <c r="BA264" i="1"/>
  <c r="BA263" i="1"/>
  <c r="BB41" i="5"/>
  <c r="AT379" i="1"/>
  <c r="AQ43" i="2"/>
  <c r="AQ151" i="2"/>
  <c r="BE264" i="1"/>
  <c r="AR387" i="1"/>
  <c r="AR365" i="1"/>
  <c r="DG277" i="1"/>
  <c r="K6" i="3"/>
  <c r="DG384" i="1"/>
  <c r="DG84" i="1"/>
  <c r="AS121" i="1"/>
  <c r="AS118" i="1"/>
  <c r="AS109" i="1"/>
  <c r="AS357" i="1"/>
  <c r="AS83" i="1"/>
  <c r="AS395" i="1"/>
  <c r="AS202" i="1"/>
  <c r="AS203" i="1" s="1"/>
  <c r="AS112" i="1"/>
  <c r="AS74" i="1"/>
  <c r="AS31" i="1"/>
  <c r="AS106" i="1"/>
  <c r="AT28" i="1"/>
  <c r="AS27" i="1"/>
  <c r="DJ248" i="1"/>
  <c r="AT380" i="1"/>
  <c r="AX325" i="1"/>
  <c r="DG325" i="1" s="1"/>
  <c r="DF324" i="1"/>
  <c r="U239" i="5"/>
  <c r="DH224" i="1"/>
  <c r="DH229" i="1" s="1"/>
  <c r="DG226" i="1"/>
  <c r="BF265" i="1"/>
  <c r="DG391" i="1"/>
  <c r="DK403" i="1"/>
  <c r="AW115" i="1"/>
  <c r="DF310" i="1"/>
  <c r="AX311" i="1"/>
  <c r="AZ55" i="1"/>
  <c r="AU83" i="1"/>
  <c r="BM61" i="2"/>
  <c r="BM16" i="2"/>
  <c r="BM17" i="2" s="1"/>
  <c r="BH7" i="5"/>
  <c r="BH49" i="1"/>
  <c r="BH124" i="1" s="1"/>
  <c r="BU233" i="1"/>
  <c r="BU307" i="1"/>
  <c r="BU321" i="1"/>
  <c r="BE59" i="1"/>
  <c r="BI59" i="1"/>
  <c r="BC118" i="1"/>
  <c r="BC401" i="1"/>
  <c r="BC395" i="1"/>
  <c r="BC202" i="1"/>
  <c r="BI5" i="1"/>
  <c r="BI3" i="5"/>
  <c r="DM307" i="1"/>
  <c r="DM308" i="1" s="1"/>
  <c r="BG70" i="1"/>
  <c r="AW27" i="1"/>
  <c r="BC35" i="1"/>
  <c r="AW118" i="1"/>
  <c r="AW112" i="1"/>
  <c r="AW202" i="1"/>
  <c r="BE271" i="1"/>
  <c r="BE369" i="1" s="1"/>
  <c r="BE402" i="1" s="1"/>
  <c r="BD269" i="1"/>
  <c r="BD286" i="1"/>
  <c r="BD288" i="1" s="1"/>
  <c r="BD270" i="1"/>
  <c r="BD272" i="1"/>
  <c r="AV272" i="1"/>
  <c r="AR270" i="1"/>
  <c r="AR265" i="1"/>
  <c r="AR272" i="1"/>
  <c r="DG268" i="1"/>
  <c r="DG281" i="1" s="1"/>
  <c r="DM388" i="1"/>
  <c r="BL233" i="1"/>
  <c r="BL321" i="1"/>
  <c r="BL307" i="1"/>
  <c r="BU363" i="1"/>
  <c r="DM378" i="1"/>
  <c r="BR269" i="1"/>
  <c r="BC28" i="1"/>
  <c r="AW31" i="1"/>
  <c r="DI397" i="1"/>
  <c r="BC380" i="1"/>
  <c r="BJ272" i="1"/>
  <c r="BI401" i="1"/>
  <c r="BH365" i="1"/>
  <c r="BH371" i="1"/>
  <c r="BN270" i="1"/>
  <c r="BK269" i="1"/>
  <c r="AW35" i="1"/>
  <c r="DG26" i="1"/>
  <c r="BC112" i="1"/>
  <c r="AU61" i="2"/>
  <c r="BQ153" i="1"/>
  <c r="BQ154" i="1" s="1"/>
  <c r="BC109" i="1"/>
  <c r="AV264" i="1"/>
  <c r="BA270" i="1"/>
  <c r="BA265" i="1"/>
  <c r="BA338" i="1" s="1"/>
  <c r="BB286" i="1"/>
  <c r="BB288" i="1" s="1"/>
  <c r="BB271" i="1"/>
  <c r="BB369" i="1" s="1"/>
  <c r="BB402" i="1" s="1"/>
  <c r="BA286" i="1"/>
  <c r="BA288" i="1" s="1"/>
  <c r="BE272" i="1"/>
  <c r="AW121" i="1"/>
  <c r="AW106" i="1"/>
  <c r="BQ271" i="1"/>
  <c r="BQ369" i="1" s="1"/>
  <c r="BQ402" i="1" s="1"/>
  <c r="BQ286" i="1"/>
  <c r="BQ288" i="1" s="1"/>
  <c r="BQ269" i="1"/>
  <c r="BR286" i="1"/>
  <c r="BR288" i="1"/>
  <c r="BR271" i="1"/>
  <c r="BR369" i="1" s="1"/>
  <c r="BR402" i="1" s="1"/>
  <c r="AW49" i="1"/>
  <c r="BD28" i="1"/>
  <c r="AW83" i="1"/>
  <c r="BA269" i="1"/>
  <c r="BA272" i="1"/>
  <c r="DE11" i="5"/>
  <c r="AX41" i="5"/>
  <c r="AX51" i="5" s="1"/>
  <c r="AX75" i="5" s="1"/>
  <c r="AV118" i="1"/>
  <c r="AV395" i="1"/>
  <c r="AV106" i="1"/>
  <c r="AV27" i="1"/>
  <c r="AV202" i="1"/>
  <c r="AV35" i="1"/>
  <c r="AV115" i="1"/>
  <c r="AV74" i="1"/>
  <c r="AV103" i="1"/>
  <c r="CA286" i="1"/>
  <c r="CA288" i="1" s="1"/>
  <c r="CA272" i="1"/>
  <c r="CA270" i="1"/>
  <c r="BF272" i="1"/>
  <c r="BC233" i="1"/>
  <c r="AU233" i="1"/>
  <c r="BE109" i="1"/>
  <c r="BF115" i="1"/>
  <c r="BF103" i="1"/>
  <c r="BF121" i="1"/>
  <c r="BF83" i="1"/>
  <c r="BF112" i="1"/>
  <c r="BF90" i="1"/>
  <c r="BK271" i="1"/>
  <c r="BQ321" i="1"/>
  <c r="BQ307" i="1"/>
  <c r="BU270" i="1"/>
  <c r="AR153" i="1"/>
  <c r="BX271" i="1"/>
  <c r="BX369" i="1" s="1"/>
  <c r="BX402" i="1" s="1"/>
  <c r="BX281" i="1"/>
  <c r="CB283" i="1" s="1"/>
  <c r="CA55" i="1"/>
  <c r="BE202" i="1"/>
  <c r="BE118" i="1"/>
  <c r="BE112" i="1"/>
  <c r="BE401" i="1"/>
  <c r="BF281" i="1"/>
  <c r="BK118" i="1"/>
  <c r="BX233" i="1"/>
  <c r="BX307" i="1"/>
  <c r="BZ20" i="1"/>
  <c r="BZ15" i="1"/>
  <c r="BZ19" i="1" s="1"/>
  <c r="CJ49" i="2"/>
  <c r="CJ61" i="2"/>
  <c r="AT130" i="1"/>
  <c r="BD25" i="1"/>
  <c r="DH388" i="1"/>
  <c r="AZ265" i="1"/>
  <c r="AV87" i="1"/>
  <c r="BK35" i="1"/>
  <c r="BT379" i="1"/>
  <c r="CA15" i="1"/>
  <c r="CA16" i="1" s="1"/>
  <c r="CA20" i="1"/>
  <c r="BE103" i="1"/>
  <c r="CD307" i="1"/>
  <c r="DO307" i="1" s="1"/>
  <c r="DO308" i="1" s="1"/>
  <c r="DP309" i="1" s="1"/>
  <c r="AZ153" i="1"/>
  <c r="BW233" i="1"/>
  <c r="BW321" i="1"/>
  <c r="BW307" i="1"/>
  <c r="DN307" i="1" s="1"/>
  <c r="CB20" i="1"/>
  <c r="CB15" i="1"/>
  <c r="CB19" i="1" s="1"/>
  <c r="BC321" i="1"/>
  <c r="BK109" i="1"/>
  <c r="BK31" i="1"/>
  <c r="BT233" i="1"/>
  <c r="BT307" i="1"/>
  <c r="CI23" i="1"/>
  <c r="CI15" i="1"/>
  <c r="CI19" i="1" s="1"/>
  <c r="BD118" i="1"/>
  <c r="BD395" i="1"/>
  <c r="BD103" i="1"/>
  <c r="AT92" i="1"/>
  <c r="BF109" i="1"/>
  <c r="BK286" i="1"/>
  <c r="BK288" i="1" s="1"/>
  <c r="BO269" i="1"/>
  <c r="BO272" i="1"/>
  <c r="BU136" i="1"/>
  <c r="BU138" i="1" s="1"/>
  <c r="CH78" i="1"/>
  <c r="AT395" i="1"/>
  <c r="AT90" i="1"/>
  <c r="BB112" i="1"/>
  <c r="BD6" i="5"/>
  <c r="BD401" i="1"/>
  <c r="BC259" i="1"/>
  <c r="BE90" i="1"/>
  <c r="BI153" i="1"/>
  <c r="BI154" i="1" s="1"/>
  <c r="CH35" i="1"/>
  <c r="CH112" i="1"/>
  <c r="DF388" i="1"/>
  <c r="BB35" i="1"/>
  <c r="BB103" i="1"/>
  <c r="BB281" i="1"/>
  <c r="BF283" i="1" s="1"/>
  <c r="BE83" i="1"/>
  <c r="BF401" i="1"/>
  <c r="BK401" i="1"/>
  <c r="BL74" i="1"/>
  <c r="BL118" i="1"/>
  <c r="BQ270" i="1"/>
  <c r="BV59" i="1"/>
  <c r="BI212" i="1"/>
  <c r="CE257" i="1"/>
  <c r="CE54" i="1"/>
  <c r="CE55" i="1" s="1"/>
  <c r="BH212" i="1"/>
  <c r="Z177" i="1"/>
  <c r="Z178" i="1" s="1"/>
  <c r="CC281" i="1"/>
  <c r="AI177" i="1"/>
  <c r="AI178" i="1" s="1"/>
  <c r="BI4" i="1"/>
  <c r="BV321" i="1"/>
  <c r="BT263" i="1"/>
  <c r="BK59" i="1"/>
  <c r="AQ153" i="1"/>
  <c r="DK188" i="1"/>
  <c r="DI250" i="1"/>
  <c r="BL59" i="1"/>
  <c r="BY265" i="1"/>
  <c r="CH357" i="1"/>
  <c r="BY55" i="1"/>
  <c r="CD55" i="1"/>
  <c r="CE264" i="1"/>
  <c r="BW259" i="1"/>
  <c r="BT286" i="1"/>
  <c r="BT288" i="1" s="1"/>
  <c r="BZ138" i="1"/>
  <c r="CG272" i="1"/>
  <c r="CB259" i="1"/>
  <c r="BX15" i="1"/>
  <c r="BX22" i="1" s="1"/>
  <c r="CE286" i="1"/>
  <c r="CE288" i="1" s="1"/>
  <c r="CI290" i="1" s="1"/>
  <c r="CH15" i="1"/>
  <c r="CH55" i="1"/>
  <c r="CI265" i="1"/>
  <c r="CI381" i="1" s="1"/>
  <c r="CJ286" i="1"/>
  <c r="CJ288" i="1" s="1"/>
  <c r="BQ379" i="1"/>
  <c r="BT269" i="1"/>
  <c r="BA153" i="1"/>
  <c r="BZ132" i="1"/>
  <c r="BZ41" i="5" s="1"/>
  <c r="BZ168" i="5" s="1"/>
  <c r="CF153" i="1"/>
  <c r="CF154" i="1"/>
  <c r="CF380" i="1"/>
  <c r="CG286" i="1"/>
  <c r="CG288" i="1"/>
  <c r="CI281" i="1"/>
  <c r="BQ371" i="1"/>
  <c r="BT272" i="1"/>
  <c r="AU59" i="1"/>
  <c r="BD59" i="1"/>
  <c r="CV153" i="1"/>
  <c r="BY263" i="1"/>
  <c r="CG281" i="1"/>
  <c r="CK283" i="1" s="1"/>
  <c r="CH173" i="5"/>
  <c r="CH171" i="5" s="1"/>
  <c r="CI144" i="1"/>
  <c r="CI143" i="1" s="1"/>
  <c r="CB379" i="1"/>
  <c r="CB365" i="1"/>
  <c r="CJ168" i="5"/>
  <c r="CG109" i="1"/>
  <c r="CG83" i="1"/>
  <c r="CI65" i="1"/>
  <c r="CJ69" i="1"/>
  <c r="CK226" i="1"/>
  <c r="CA74" i="1"/>
  <c r="CA118" i="1"/>
  <c r="CE27" i="1"/>
  <c r="CJ12" i="1"/>
  <c r="CJ8" i="1" s="1"/>
  <c r="CJ5" i="1"/>
  <c r="CI115" i="1"/>
  <c r="CB83" i="1"/>
  <c r="CB121" i="1"/>
  <c r="CB112" i="1"/>
  <c r="DN13" i="5"/>
  <c r="CA3" i="5"/>
  <c r="CB12" i="1"/>
  <c r="CB8" i="1" s="1"/>
  <c r="CI90" i="1"/>
  <c r="CC3" i="5"/>
  <c r="CG39" i="1"/>
  <c r="DO91" i="1"/>
  <c r="DP191" i="1"/>
  <c r="CI31" i="1"/>
  <c r="DO46" i="1"/>
  <c r="CD74" i="1"/>
  <c r="CD115" i="1"/>
  <c r="CD83" i="1"/>
  <c r="CC19" i="1"/>
  <c r="CC4" i="5"/>
  <c r="CC22" i="1"/>
  <c r="BZ35" i="1"/>
  <c r="BW22" i="1"/>
  <c r="BW4" i="5"/>
  <c r="BW19" i="1"/>
  <c r="CF5" i="1"/>
  <c r="DO397" i="1"/>
  <c r="CD28" i="1"/>
  <c r="CA7" i="5"/>
  <c r="CA39" i="1"/>
  <c r="CI74" i="1"/>
  <c r="CI121" i="1"/>
  <c r="DO378" i="1"/>
  <c r="CG3" i="5"/>
  <c r="CI357" i="1"/>
  <c r="CI401" i="1"/>
  <c r="CA15" i="5"/>
  <c r="BZ395" i="1"/>
  <c r="BZ401" i="1"/>
  <c r="BZ74" i="1"/>
  <c r="BZ121" i="1"/>
  <c r="BZ83" i="1"/>
  <c r="BZ115" i="1"/>
  <c r="BZ31" i="1"/>
  <c r="BX15" i="5"/>
  <c r="BX64" i="1"/>
  <c r="CF4" i="1"/>
  <c r="CI118" i="1"/>
  <c r="CF115" i="1"/>
  <c r="CF83" i="1"/>
  <c r="CA12" i="1"/>
  <c r="CA8" i="1" s="1"/>
  <c r="BU48" i="2"/>
  <c r="BS208" i="1"/>
  <c r="DJ12" i="5"/>
  <c r="BX112" i="1"/>
  <c r="BX31" i="1"/>
  <c r="BX74" i="1"/>
  <c r="BX28" i="1"/>
  <c r="BX83" i="1"/>
  <c r="BS39" i="1"/>
  <c r="BZ78" i="1"/>
  <c r="BZ87" i="1"/>
  <c r="CE351" i="1"/>
  <c r="BY28" i="1"/>
  <c r="BS109" i="1"/>
  <c r="BS29" i="1"/>
  <c r="BS31" i="1"/>
  <c r="BS49" i="1"/>
  <c r="BS118" i="1"/>
  <c r="BS395" i="1"/>
  <c r="BS97" i="1"/>
  <c r="BS74" i="1"/>
  <c r="BS83" i="1"/>
  <c r="BT78" i="1"/>
  <c r="BT87" i="1"/>
  <c r="BX3" i="5"/>
  <c r="BX4" i="1"/>
  <c r="DN350" i="1"/>
  <c r="DN33" i="1"/>
  <c r="R6" i="3"/>
  <c r="DN384" i="1"/>
  <c r="DL350" i="1"/>
  <c r="DL351" i="1" s="1"/>
  <c r="P6" i="3"/>
  <c r="DL32" i="1"/>
  <c r="DL42" i="1"/>
  <c r="DM42" i="1" s="1"/>
  <c r="DN42" i="1" s="1"/>
  <c r="DO42" i="1" s="1"/>
  <c r="DP42" i="1" s="1"/>
  <c r="DQ42" i="1" s="1"/>
  <c r="DL84" i="1"/>
  <c r="DL384" i="1"/>
  <c r="DL277" i="1"/>
  <c r="DL191" i="1"/>
  <c r="DL38" i="1"/>
  <c r="DK7" i="5" s="1"/>
  <c r="BR7" i="5"/>
  <c r="BR49" i="1"/>
  <c r="BR50" i="1" s="1"/>
  <c r="DL75" i="1"/>
  <c r="DL76" i="1"/>
  <c r="CE121" i="1"/>
  <c r="DN4" i="2"/>
  <c r="DO76" i="1"/>
  <c r="DN11" i="5"/>
  <c r="DO75" i="1"/>
  <c r="CC78" i="1"/>
  <c r="CE90" i="1"/>
  <c r="DN397" i="1"/>
  <c r="CE31" i="1"/>
  <c r="CE112" i="1"/>
  <c r="BW90" i="1"/>
  <c r="BW395" i="1"/>
  <c r="BW74" i="1"/>
  <c r="BW118" i="1"/>
  <c r="BW35" i="1"/>
  <c r="BW109" i="1"/>
  <c r="BW27" i="1"/>
  <c r="BW29" i="1"/>
  <c r="CE35" i="1"/>
  <c r="BP78" i="1"/>
  <c r="DK4" i="2"/>
  <c r="DL9" i="1"/>
  <c r="DL3" i="1"/>
  <c r="BG202" i="1"/>
  <c r="BH28" i="1"/>
  <c r="BG35" i="1"/>
  <c r="BG27" i="1"/>
  <c r="BG39" i="1"/>
  <c r="BG121" i="1"/>
  <c r="BG83" i="1"/>
  <c r="BG90" i="1"/>
  <c r="BG103" i="1"/>
  <c r="BK27" i="1"/>
  <c r="BG118" i="1"/>
  <c r="BG395" i="1"/>
  <c r="BG109" i="1"/>
  <c r="BG401" i="1"/>
  <c r="BG112" i="1"/>
  <c r="BG74" i="1"/>
  <c r="BG115" i="1"/>
  <c r="BG49" i="1"/>
  <c r="BG31" i="1"/>
  <c r="BG97" i="1"/>
  <c r="BH25" i="1"/>
  <c r="BG28" i="1"/>
  <c r="BG65" i="1"/>
  <c r="DM11" i="5"/>
  <c r="DN76" i="1"/>
  <c r="DN75" i="1"/>
  <c r="BT4" i="1"/>
  <c r="BT5" i="1"/>
  <c r="BT3" i="5"/>
  <c r="DM32" i="1"/>
  <c r="DM191" i="1"/>
  <c r="DM350" i="1"/>
  <c r="DM384" i="1"/>
  <c r="DM53" i="1"/>
  <c r="DM54" i="1" s="1"/>
  <c r="DO32" i="1"/>
  <c r="BS4" i="1"/>
  <c r="DO29" i="1"/>
  <c r="BR31" i="1"/>
  <c r="BR112" i="1"/>
  <c r="BR109" i="1"/>
  <c r="BR395" i="1"/>
  <c r="BR83" i="1"/>
  <c r="BR28" i="1"/>
  <c r="DL26" i="1"/>
  <c r="BU109" i="1"/>
  <c r="BU395" i="1"/>
  <c r="BU357" i="1"/>
  <c r="BU401" i="1"/>
  <c r="BU115" i="1"/>
  <c r="DM12" i="5"/>
  <c r="DN84" i="1"/>
  <c r="BQ16" i="1"/>
  <c r="BQ5" i="1"/>
  <c r="BQ3" i="5"/>
  <c r="BT115" i="1"/>
  <c r="BT35" i="1"/>
  <c r="BU90" i="1"/>
  <c r="BO351" i="1"/>
  <c r="BS351" i="1"/>
  <c r="DK12" i="5"/>
  <c r="BN49" i="1"/>
  <c r="BN124" i="1" s="1"/>
  <c r="BN35" i="1"/>
  <c r="BN357" i="1"/>
  <c r="BN90" i="1"/>
  <c r="BN112" i="1"/>
  <c r="BN395" i="1"/>
  <c r="BN65" i="1"/>
  <c r="BN39" i="1"/>
  <c r="DK53" i="1"/>
  <c r="DK54" i="1" s="1"/>
  <c r="BN54" i="1"/>
  <c r="BL78" i="1"/>
  <c r="BL87" i="1"/>
  <c r="BN12" i="1"/>
  <c r="BN8" i="1" s="1"/>
  <c r="BN3" i="5"/>
  <c r="BO5" i="1"/>
  <c r="BN5" i="1"/>
  <c r="BM4" i="1"/>
  <c r="DJ42" i="1"/>
  <c r="DI13" i="5"/>
  <c r="BD15" i="1"/>
  <c r="BD16" i="1" s="1"/>
  <c r="BM20" i="1"/>
  <c r="BF351" i="1"/>
  <c r="BJ351" i="1"/>
  <c r="BC15" i="1"/>
  <c r="BC22" i="1" s="1"/>
  <c r="DK43" i="1"/>
  <c r="DK42" i="1"/>
  <c r="DJ84" i="1"/>
  <c r="DO262" i="1"/>
  <c r="CH264" i="1"/>
  <c r="CD263" i="1"/>
  <c r="CD264" i="1"/>
  <c r="CE263" i="1"/>
  <c r="BQ87" i="1"/>
  <c r="BQ78" i="1"/>
  <c r="BE359" i="1"/>
  <c r="BH19" i="1"/>
  <c r="BI87" i="1"/>
  <c r="BO87" i="1"/>
  <c r="BO78" i="1"/>
  <c r="BJ12" i="1"/>
  <c r="BJ8" i="1" s="1"/>
  <c r="BJ3" i="5"/>
  <c r="BQ83" i="1"/>
  <c r="BQ118" i="1"/>
  <c r="BQ97" i="1"/>
  <c r="BP115" i="1"/>
  <c r="BJ5" i="1"/>
  <c r="BI55" i="1"/>
  <c r="BO55" i="1"/>
  <c r="BP31" i="1"/>
  <c r="BK12" i="1"/>
  <c r="BK8" i="1" s="1"/>
  <c r="BK4" i="1"/>
  <c r="BK3" i="5"/>
  <c r="BL5" i="1"/>
  <c r="DI53" i="1"/>
  <c r="DI54" i="1" s="1"/>
  <c r="BJ55" i="1"/>
  <c r="BF359" i="1"/>
  <c r="DJ9" i="1"/>
  <c r="DI57" i="1"/>
  <c r="BK315" i="1"/>
  <c r="DI45" i="1"/>
  <c r="DN246" i="1"/>
  <c r="DN248" i="1"/>
  <c r="BW263" i="1"/>
  <c r="DI384" i="1"/>
  <c r="DI277" i="1"/>
  <c r="DL248" i="1"/>
  <c r="BL264" i="1"/>
  <c r="BL263" i="1"/>
  <c r="BF78" i="1"/>
  <c r="BI265" i="1"/>
  <c r="BI269" i="1"/>
  <c r="BM270" i="1"/>
  <c r="BI270" i="1"/>
  <c r="BJ269" i="1"/>
  <c r="BJ286" i="1"/>
  <c r="BJ288" i="1" s="1"/>
  <c r="BI272" i="1"/>
  <c r="BI271" i="1"/>
  <c r="BI380" i="1"/>
  <c r="BJ271" i="1"/>
  <c r="DJ268" i="1"/>
  <c r="DJ281" i="1" s="1"/>
  <c r="DI268" i="1"/>
  <c r="DI286" i="1" s="1"/>
  <c r="DI288" i="1" s="1"/>
  <c r="DL263" i="1"/>
  <c r="DL375" i="1" s="1"/>
  <c r="AQ21" i="1"/>
  <c r="BO264" i="1"/>
  <c r="BO265" i="1"/>
  <c r="BO266" i="1" s="1"/>
  <c r="BM265" i="1"/>
  <c r="AU312" i="1"/>
  <c r="DI174" i="5"/>
  <c r="DF312" i="1"/>
  <c r="BH270" i="1"/>
  <c r="BP264" i="1"/>
  <c r="BH263" i="1"/>
  <c r="AZ313" i="1"/>
  <c r="AZ336" i="1" s="1"/>
  <c r="BA313" i="1"/>
  <c r="AU55" i="1"/>
  <c r="AU323" i="1"/>
  <c r="AY324" i="1" s="1"/>
  <c r="BC325" i="1" s="1"/>
  <c r="AY379" i="1"/>
  <c r="AY396" i="1"/>
  <c r="AU313" i="1"/>
  <c r="AY314" i="1" s="1"/>
  <c r="BC315" i="1" s="1"/>
  <c r="BC338" i="1" s="1"/>
  <c r="AU281" i="1"/>
  <c r="AU259" i="1"/>
  <c r="AY265" i="1"/>
  <c r="AY335" i="1" s="1"/>
  <c r="AY272" i="1"/>
  <c r="AY271" i="1"/>
  <c r="AY369" i="1" s="1"/>
  <c r="AY402" i="1" s="1"/>
  <c r="AZ286" i="1"/>
  <c r="AZ288" i="1" s="1"/>
  <c r="AZ269" i="1"/>
  <c r="AY286" i="1"/>
  <c r="AY288" i="1" s="1"/>
  <c r="AY380" i="1"/>
  <c r="AY381" i="1" s="1"/>
  <c r="AY269" i="1"/>
  <c r="DG238" i="1"/>
  <c r="DH236" i="1"/>
  <c r="BC264" i="1"/>
  <c r="E247" i="5"/>
  <c r="AQ308" i="1"/>
  <c r="AU309" i="1" s="1"/>
  <c r="AY310" i="1" s="1"/>
  <c r="AY333" i="1" s="1"/>
  <c r="AQ379" i="1"/>
  <c r="BC272" i="1"/>
  <c r="BC365" i="1"/>
  <c r="BC371" i="1"/>
  <c r="BC379" i="1"/>
  <c r="BC396" i="1"/>
  <c r="DM403" i="1"/>
  <c r="AQ396" i="1"/>
  <c r="BA281" i="1"/>
  <c r="AX264" i="1"/>
  <c r="DF14" i="5"/>
  <c r="AS270" i="1"/>
  <c r="AT269" i="1"/>
  <c r="AT286" i="1"/>
  <c r="AT288" i="1" s="1"/>
  <c r="AU289" i="1" s="1"/>
  <c r="AS272" i="1"/>
  <c r="AW272" i="1"/>
  <c r="AS265" i="1"/>
  <c r="AS335" i="1" s="1"/>
  <c r="AS269" i="1"/>
  <c r="AW270" i="1"/>
  <c r="AS286" i="1"/>
  <c r="AS288" i="1" s="1"/>
  <c r="DH238" i="1"/>
  <c r="DH268" i="1"/>
  <c r="DH271" i="1" s="1"/>
  <c r="DH369" i="1" s="1"/>
  <c r="DH402" i="1" s="1"/>
  <c r="DG224" i="1"/>
  <c r="DG229" i="1" s="1"/>
  <c r="DF226" i="1"/>
  <c r="DF372" i="1"/>
  <c r="DG372" i="1"/>
  <c r="BG270" i="1"/>
  <c r="BD271" i="1"/>
  <c r="BE375" i="1" s="1"/>
  <c r="BC265" i="1"/>
  <c r="BC347" i="1" s="1"/>
  <c r="BG272" i="1"/>
  <c r="BC286" i="1"/>
  <c r="BC288" i="1" s="1"/>
  <c r="BC269" i="1"/>
  <c r="AS271" i="1"/>
  <c r="BB39" i="1"/>
  <c r="BB49" i="1"/>
  <c r="BB50" i="1" s="1"/>
  <c r="BF51" i="1" s="1"/>
  <c r="BB7" i="5"/>
  <c r="DF384" i="1"/>
  <c r="J6" i="3"/>
  <c r="DF277" i="1"/>
  <c r="DF75" i="1"/>
  <c r="DF350" i="1"/>
  <c r="DG351" i="1" s="1"/>
  <c r="DF42" i="1"/>
  <c r="DH378" i="1"/>
  <c r="DH380" i="1" s="1"/>
  <c r="BC271" i="1"/>
  <c r="BG16" i="2"/>
  <c r="BG17" i="2" s="1"/>
  <c r="BG61" i="2"/>
  <c r="AR281" i="1"/>
  <c r="AR259" i="1"/>
  <c r="DG85" i="1"/>
  <c r="DF84" i="1"/>
  <c r="AX115" i="1"/>
  <c r="AX74" i="1"/>
  <c r="AX112" i="1"/>
  <c r="AX83" i="1"/>
  <c r="AX31" i="1"/>
  <c r="AX401" i="1"/>
  <c r="AX106" i="1"/>
  <c r="AX118" i="1"/>
  <c r="AX202" i="1"/>
  <c r="AX395" i="1"/>
  <c r="AX27" i="1"/>
  <c r="AX103" i="1"/>
  <c r="AR20" i="1"/>
  <c r="AS7" i="5"/>
  <c r="AV41" i="2"/>
  <c r="BL365" i="1"/>
  <c r="BE281" i="1"/>
  <c r="BI283" i="1" s="1"/>
  <c r="BE259" i="1"/>
  <c r="BK233" i="1"/>
  <c r="BK321" i="1"/>
  <c r="BK307" i="1"/>
  <c r="AX281" i="1"/>
  <c r="BB283" i="1" s="1"/>
  <c r="AX259" i="1"/>
  <c r="AV41" i="5"/>
  <c r="AV40" i="5" s="1"/>
  <c r="AV134" i="1"/>
  <c r="DG132" i="1"/>
  <c r="DF41" i="5" s="1"/>
  <c r="DG388" i="1"/>
  <c r="BA70" i="1"/>
  <c r="AX35" i="1"/>
  <c r="AY41" i="2"/>
  <c r="BA31" i="1"/>
  <c r="BA395" i="1"/>
  <c r="BA357" i="1"/>
  <c r="BE358" i="1" s="1"/>
  <c r="BA115" i="1"/>
  <c r="BA121" i="1"/>
  <c r="BA401" i="1"/>
  <c r="BA83" i="1"/>
  <c r="BA154" i="1"/>
  <c r="BA118" i="1"/>
  <c r="BA106" i="1"/>
  <c r="BA112" i="1"/>
  <c r="BA90" i="1"/>
  <c r="BC326" i="1"/>
  <c r="BD281" i="1"/>
  <c r="BD259" i="1"/>
  <c r="BJ36" i="2"/>
  <c r="AS23" i="1"/>
  <c r="BM271" i="1"/>
  <c r="BM369" i="1" s="1"/>
  <c r="BM402" i="1" s="1"/>
  <c r="BP270" i="1"/>
  <c r="BM269" i="1"/>
  <c r="BL271" i="1"/>
  <c r="BL369" i="1" s="1"/>
  <c r="BL402" i="1" s="1"/>
  <c r="BP272" i="1"/>
  <c r="AS39" i="1"/>
  <c r="BB259" i="1"/>
  <c r="AV259" i="1"/>
  <c r="BF259" i="1"/>
  <c r="BH321" i="1"/>
  <c r="BH395" i="1"/>
  <c r="BH90" i="1"/>
  <c r="BH112" i="1"/>
  <c r="BH202" i="1"/>
  <c r="BH203" i="1" s="1"/>
  <c r="BN281" i="1"/>
  <c r="BR283" i="1" s="1"/>
  <c r="BN259" i="1"/>
  <c r="CZ153" i="1"/>
  <c r="BP153" i="1"/>
  <c r="BP154" i="1" s="1"/>
  <c r="BD153" i="1"/>
  <c r="BD154" i="1" s="1"/>
  <c r="AV313" i="1"/>
  <c r="AZ314" i="1" s="1"/>
  <c r="AS41" i="5"/>
  <c r="BF233" i="1"/>
  <c r="BG233" i="1"/>
  <c r="BH233" i="1"/>
  <c r="BK363" i="1"/>
  <c r="BR136" i="1"/>
  <c r="DL136" i="1" s="1"/>
  <c r="DK42" i="5" s="1"/>
  <c r="BT59" i="1"/>
  <c r="BN70" i="1"/>
  <c r="AW212" i="1"/>
  <c r="BH281" i="1"/>
  <c r="BT20" i="1"/>
  <c r="BT15" i="1"/>
  <c r="BU58" i="1"/>
  <c r="BY59" i="1" s="1"/>
  <c r="BX55" i="1"/>
  <c r="BX56" i="1"/>
  <c r="BU264" i="1"/>
  <c r="BU263" i="1"/>
  <c r="BV263" i="1"/>
  <c r="BH39" i="1"/>
  <c r="BH74" i="1"/>
  <c r="BK20" i="1"/>
  <c r="BP55" i="1"/>
  <c r="BU15" i="1"/>
  <c r="BY272" i="1"/>
  <c r="BY270" i="1"/>
  <c r="BU271" i="1"/>
  <c r="BU369" i="1" s="1"/>
  <c r="BU402" i="1" s="1"/>
  <c r="BU265" i="1"/>
  <c r="BU272" i="1"/>
  <c r="BV265" i="1"/>
  <c r="BV266" i="1" s="1"/>
  <c r="BV269" i="1"/>
  <c r="BV270" i="1"/>
  <c r="BV271" i="1"/>
  <c r="BZ272" i="1"/>
  <c r="BW286" i="1"/>
  <c r="BW288" i="1" s="1"/>
  <c r="BW271" i="1"/>
  <c r="AT271" i="1"/>
  <c r="AT369" i="1" s="1"/>
  <c r="AT402" i="1" s="1"/>
  <c r="BF321" i="1"/>
  <c r="AZ281" i="1"/>
  <c r="BD283" i="1" s="1"/>
  <c r="AT281" i="1"/>
  <c r="BK272" i="1"/>
  <c r="BK270" i="1"/>
  <c r="BH83" i="1"/>
  <c r="BK39" i="1"/>
  <c r="BK7" i="5"/>
  <c r="BK49" i="1"/>
  <c r="DL321" i="1"/>
  <c r="DL322" i="1" s="1"/>
  <c r="DM323" i="1" s="1"/>
  <c r="DN324" i="1" s="1"/>
  <c r="BO15" i="1"/>
  <c r="BO19" i="1" s="1"/>
  <c r="BO20" i="1"/>
  <c r="BR21" i="1"/>
  <c r="BR23" i="1" s="1"/>
  <c r="BR61" i="2"/>
  <c r="BY264" i="1"/>
  <c r="BZ270" i="1"/>
  <c r="BN58" i="1"/>
  <c r="BN59" i="1" s="1"/>
  <c r="CD59" i="1"/>
  <c r="BZ59" i="1"/>
  <c r="AT265" i="1"/>
  <c r="AT333" i="1" s="1"/>
  <c r="AT272" i="1"/>
  <c r="DH240" i="1"/>
  <c r="BH118" i="1"/>
  <c r="BH401" i="1"/>
  <c r="BQ259" i="1"/>
  <c r="BV153" i="1"/>
  <c r="BV154" i="1" s="1"/>
  <c r="AT96" i="1"/>
  <c r="AY281" i="1"/>
  <c r="AS281" i="1"/>
  <c r="AS282" i="1" s="1"/>
  <c r="DL403" i="1"/>
  <c r="BG269" i="1"/>
  <c r="BH103" i="1"/>
  <c r="BJ118" i="1"/>
  <c r="BO307" i="1"/>
  <c r="BO321" i="1"/>
  <c r="BO233" i="1"/>
  <c r="BR265" i="1"/>
  <c r="BS266" i="1" s="1"/>
  <c r="BR263" i="1"/>
  <c r="BT19" i="1"/>
  <c r="BU269" i="1"/>
  <c r="BQ70" i="1"/>
  <c r="BQ71" i="1"/>
  <c r="BL112" i="1"/>
  <c r="BL115" i="1"/>
  <c r="BL121" i="1"/>
  <c r="BL90" i="1"/>
  <c r="BO401" i="1"/>
  <c r="BO83" i="1"/>
  <c r="BO112" i="1"/>
  <c r="BO74" i="1"/>
  <c r="BO118" i="1"/>
  <c r="BO109" i="1"/>
  <c r="BO121" i="1"/>
  <c r="BV264" i="1"/>
  <c r="BU286" i="1"/>
  <c r="BU288" i="1" s="1"/>
  <c r="BU290" i="1" s="1"/>
  <c r="BP59" i="1"/>
  <c r="DL240" i="1"/>
  <c r="BK41" i="5"/>
  <c r="BK51" i="5" s="1"/>
  <c r="BK75" i="5" s="1"/>
  <c r="DP388" i="1"/>
  <c r="DO388" i="1"/>
  <c r="BZ55" i="1"/>
  <c r="BV55" i="1"/>
  <c r="BJ59" i="1"/>
  <c r="BF59" i="1"/>
  <c r="BS153" i="1"/>
  <c r="BS154" i="1" s="1"/>
  <c r="BG153" i="1"/>
  <c r="BG154" i="1" s="1"/>
  <c r="AU153" i="1"/>
  <c r="BK70" i="1"/>
  <c r="BK71" i="1"/>
  <c r="BR70" i="1"/>
  <c r="BR71" i="1"/>
  <c r="BH115" i="1"/>
  <c r="BL55" i="1"/>
  <c r="CB56" i="1"/>
  <c r="BP281" i="1"/>
  <c r="CA322" i="1"/>
  <c r="CE323" i="1" s="1"/>
  <c r="BC281" i="1"/>
  <c r="AW281" i="1"/>
  <c r="AW282" i="1" s="1"/>
  <c r="AQ281" i="1"/>
  <c r="AU283" i="1" s="1"/>
  <c r="BF49" i="2"/>
  <c r="BI83" i="1"/>
  <c r="BI259" i="1"/>
  <c r="BO271" i="1"/>
  <c r="BO369" i="1" s="1"/>
  <c r="BO402" i="1" s="1"/>
  <c r="BN271" i="1"/>
  <c r="BN369" i="1" s="1"/>
  <c r="BN402" i="1" s="1"/>
  <c r="BN272" i="1"/>
  <c r="BR270" i="1"/>
  <c r="BN269" i="1"/>
  <c r="BO42" i="5"/>
  <c r="BM70" i="1"/>
  <c r="BM59" i="1"/>
  <c r="DB153" i="1"/>
  <c r="BF153" i="1"/>
  <c r="BF154" i="1" s="1"/>
  <c r="DK250" i="1"/>
  <c r="DL250" i="1"/>
  <c r="BU281" i="1"/>
  <c r="BV61" i="2"/>
  <c r="BO59" i="1"/>
  <c r="AZ212" i="1"/>
  <c r="BS271" i="1"/>
  <c r="BS269" i="1"/>
  <c r="BS270" i="1"/>
  <c r="BS286" i="1"/>
  <c r="BS288" i="1" s="1"/>
  <c r="BT292" i="1" s="1"/>
  <c r="BW272" i="1"/>
  <c r="BT265" i="1"/>
  <c r="BT266" i="1" s="1"/>
  <c r="BT271" i="1"/>
  <c r="BX272" i="1"/>
  <c r="BQ59" i="1"/>
  <c r="BK281" i="1"/>
  <c r="BO283" i="1" s="1"/>
  <c r="BL7" i="5"/>
  <c r="BS281" i="1"/>
  <c r="BW283" i="1" s="1"/>
  <c r="CC257" i="1"/>
  <c r="CC54" i="1"/>
  <c r="BG281" i="1"/>
  <c r="BK283" i="1"/>
  <c r="BQ272" i="1"/>
  <c r="BM281" i="1"/>
  <c r="BS272" i="1"/>
  <c r="BK153" i="1"/>
  <c r="BK154" i="1" s="1"/>
  <c r="AY153" i="1"/>
  <c r="AY70" i="1"/>
  <c r="BW281" i="1"/>
  <c r="BC212" i="1"/>
  <c r="DL188" i="1"/>
  <c r="BK49" i="2"/>
  <c r="BL281" i="1"/>
  <c r="BP282" i="1" s="1"/>
  <c r="AZ59" i="1"/>
  <c r="BU153" i="1"/>
  <c r="BU154" i="1" s="1"/>
  <c r="DM188" i="1"/>
  <c r="BD212" i="1"/>
  <c r="CF257" i="1"/>
  <c r="CF54" i="1"/>
  <c r="CF55" i="1" s="1"/>
  <c r="CG15" i="1"/>
  <c r="CG4" i="5" s="1"/>
  <c r="BZ263" i="1"/>
  <c r="CA271" i="1"/>
  <c r="CB286" i="1"/>
  <c r="CB288" i="1" s="1"/>
  <c r="CB290" i="1" s="1"/>
  <c r="CA265" i="1"/>
  <c r="CA269" i="1"/>
  <c r="CD272" i="1"/>
  <c r="BZ269" i="1"/>
  <c r="CD270" i="1"/>
  <c r="BZ265" i="1"/>
  <c r="BZ286" i="1"/>
  <c r="BZ288" i="1" s="1"/>
  <c r="CC321" i="1"/>
  <c r="CC307" i="1"/>
  <c r="CH16" i="1"/>
  <c r="CH140" i="1"/>
  <c r="CI138" i="1"/>
  <c r="BX20" i="1"/>
  <c r="CI271" i="1"/>
  <c r="CH380" i="1"/>
  <c r="CH271" i="1"/>
  <c r="CH369" i="1" s="1"/>
  <c r="CH402" i="1" s="1"/>
  <c r="CH286" i="1"/>
  <c r="CH288" i="1" s="1"/>
  <c r="CH270" i="1"/>
  <c r="CH272" i="1"/>
  <c r="CI269" i="1"/>
  <c r="CH269" i="1"/>
  <c r="BT281" i="1"/>
  <c r="BT282" i="1" s="1"/>
  <c r="BV281" i="1"/>
  <c r="CB55" i="1"/>
  <c r="DQ307" i="1"/>
  <c r="CH96" i="1"/>
  <c r="CH97" i="1" s="1"/>
  <c r="CH118" i="1"/>
  <c r="CL118" i="1" s="1"/>
  <c r="CH155" i="1"/>
  <c r="CH153" i="1" s="1"/>
  <c r="CH154" i="1" s="1"/>
  <c r="CH281" i="1"/>
  <c r="CL283" i="1" s="1"/>
  <c r="BZ16" i="1"/>
  <c r="BZ3" i="5"/>
  <c r="CK174" i="5"/>
  <c r="CK373" i="1"/>
  <c r="CK372" i="1"/>
  <c r="CB269" i="1"/>
  <c r="CF307" i="1"/>
  <c r="CF321" i="1"/>
  <c r="CF233" i="1"/>
  <c r="BR281" i="1"/>
  <c r="CB271" i="1"/>
  <c r="CC264" i="1"/>
  <c r="CF265" i="1"/>
  <c r="CF381" i="1" s="1"/>
  <c r="CH265" i="1"/>
  <c r="BO281" i="1"/>
  <c r="BS283" i="1" s="1"/>
  <c r="CA380" i="1"/>
  <c r="CC265" i="1"/>
  <c r="CD269" i="1"/>
  <c r="CC286" i="1"/>
  <c r="CC288" i="1" s="1"/>
  <c r="CD286" i="1"/>
  <c r="CD288" i="1" s="1"/>
  <c r="CE295" i="1"/>
  <c r="CC269" i="1"/>
  <c r="CG270" i="1"/>
  <c r="AK177" i="1"/>
  <c r="AK178" i="1" s="1"/>
  <c r="CB23" i="1"/>
  <c r="CD281" i="1"/>
  <c r="CE15" i="1"/>
  <c r="CE23" i="1"/>
  <c r="CH395" i="1"/>
  <c r="CH74" i="1"/>
  <c r="CH49" i="1"/>
  <c r="CH39" i="1"/>
  <c r="CH83" i="1"/>
  <c r="CH109" i="1"/>
  <c r="CH31" i="1"/>
  <c r="CH115" i="1"/>
  <c r="CH90" i="1"/>
  <c r="CH401" i="1"/>
  <c r="CH396" i="1"/>
  <c r="CH371" i="1"/>
  <c r="CH379" i="1"/>
  <c r="CI263" i="1"/>
  <c r="W51" i="5"/>
  <c r="W75" i="5" s="1"/>
  <c r="BZ281" i="1"/>
  <c r="CI58" i="1"/>
  <c r="CI59" i="1" s="1"/>
  <c r="CB281" i="1"/>
  <c r="CF283" i="1" s="1"/>
  <c r="CE265" i="1"/>
  <c r="CF269" i="1"/>
  <c r="CG271" i="1"/>
  <c r="CG257" i="1"/>
  <c r="CG259" i="1"/>
  <c r="CH259" i="1"/>
  <c r="CH260" i="1" s="1"/>
  <c r="CE259" i="1"/>
  <c r="CF281" i="1"/>
  <c r="CE269" i="1"/>
  <c r="CI20" i="1"/>
  <c r="CE270" i="1"/>
  <c r="CE272" i="1"/>
  <c r="N24" i="4"/>
  <c r="CL86" i="1"/>
  <c r="CK105" i="2"/>
  <c r="CL221" i="2"/>
  <c r="CK115" i="2"/>
  <c r="CK99" i="2"/>
  <c r="BV321" i="5"/>
  <c r="BW321" i="5" s="1"/>
  <c r="DP91" i="5"/>
  <c r="DP141" i="5" s="1"/>
  <c r="CL67" i="5"/>
  <c r="CL83" i="5" s="1"/>
  <c r="BU65" i="1"/>
  <c r="BV66" i="1"/>
  <c r="BA363" i="1"/>
  <c r="BA396" i="1" s="1"/>
  <c r="BD22" i="1"/>
  <c r="BJ4" i="5"/>
  <c r="DG118" i="1"/>
  <c r="BJ19" i="1"/>
  <c r="BD50" i="1"/>
  <c r="BF365" i="1"/>
  <c r="BZ322" i="1"/>
  <c r="CD323" i="1" s="1"/>
  <c r="CH324" i="1" s="1"/>
  <c r="AR334" i="1"/>
  <c r="BD347" i="1"/>
  <c r="AZ371" i="1"/>
  <c r="AZ365" i="1"/>
  <c r="AR13" i="1"/>
  <c r="AR21" i="1"/>
  <c r="DG31" i="1"/>
  <c r="BH16" i="1"/>
  <c r="AU363" i="1"/>
  <c r="AU371" i="1" s="1"/>
  <c r="CE282" i="1"/>
  <c r="AS69" i="1"/>
  <c r="AS70" i="1" s="1"/>
  <c r="AS67" i="1"/>
  <c r="BB379" i="1"/>
  <c r="BF124" i="1"/>
  <c r="CA282" i="1"/>
  <c r="DL378" i="1"/>
  <c r="DK175" i="5"/>
  <c r="AR333" i="1"/>
  <c r="BV22" i="1"/>
  <c r="BV19" i="1"/>
  <c r="BV4" i="5"/>
  <c r="AW50" i="1"/>
  <c r="BU365" i="1"/>
  <c r="BU396" i="1"/>
  <c r="BU379" i="1"/>
  <c r="AY315" i="1"/>
  <c r="AY338" i="1" s="1"/>
  <c r="BX4" i="5"/>
  <c r="AY326" i="1"/>
  <c r="AY347" i="1" s="1"/>
  <c r="DK58" i="1"/>
  <c r="BZ4" i="5"/>
  <c r="BZ22" i="1"/>
  <c r="BJ283" i="1"/>
  <c r="AR337" i="1"/>
  <c r="AZ347" i="1"/>
  <c r="AZ346" i="1"/>
  <c r="BE338" i="1"/>
  <c r="AQ282" i="1"/>
  <c r="DN308" i="1"/>
  <c r="DO309" i="1" s="1"/>
  <c r="DP310" i="1" s="1"/>
  <c r="BH50" i="1"/>
  <c r="BH51" i="1" s="1"/>
  <c r="P248" i="5"/>
  <c r="DM12" i="1"/>
  <c r="DM8" i="1" s="1"/>
  <c r="DL3" i="5"/>
  <c r="BL381" i="1"/>
  <c r="CI22" i="1"/>
  <c r="CI4" i="5"/>
  <c r="BW322" i="1"/>
  <c r="CA323" i="1" s="1"/>
  <c r="BV136" i="1"/>
  <c r="AT132" i="1"/>
  <c r="AZ338" i="1"/>
  <c r="CG283" i="1"/>
  <c r="BF266" i="1"/>
  <c r="BX16" i="1"/>
  <c r="CI16" i="1"/>
  <c r="DQ310" i="1"/>
  <c r="DS312" i="1" s="1"/>
  <c r="DT313" i="1" s="1"/>
  <c r="DU314" i="1" s="1"/>
  <c r="DV315" i="1" s="1"/>
  <c r="AS358" i="1"/>
  <c r="DF286" i="1"/>
  <c r="DF288" i="1"/>
  <c r="DF289" i="1" s="1"/>
  <c r="DF271" i="1"/>
  <c r="DF369" i="1" s="1"/>
  <c r="CB16" i="1"/>
  <c r="BY381" i="1"/>
  <c r="DG121" i="1"/>
  <c r="DG112" i="1"/>
  <c r="DG395" i="1"/>
  <c r="DG106" i="1"/>
  <c r="DG83" i="1"/>
  <c r="DG74" i="1"/>
  <c r="AR345" i="1"/>
  <c r="AR344" i="1"/>
  <c r="AR338" i="1"/>
  <c r="BE326" i="1"/>
  <c r="BE347" i="1" s="1"/>
  <c r="CE266" i="1"/>
  <c r="BC336" i="1"/>
  <c r="AZ335" i="1"/>
  <c r="BD313" i="1"/>
  <c r="BD336" i="1" s="1"/>
  <c r="CE381" i="1"/>
  <c r="CC280" i="1"/>
  <c r="CB282" i="1"/>
  <c r="CD282" i="1"/>
  <c r="CD280" i="1"/>
  <c r="CH283" i="1"/>
  <c r="CB369" i="1"/>
  <c r="CB402" i="1" s="1"/>
  <c r="BN50" i="1"/>
  <c r="DK3" i="5"/>
  <c r="CB289" i="1"/>
  <c r="BR132" i="1"/>
  <c r="BR42" i="5"/>
  <c r="AS51" i="5"/>
  <c r="AS75" i="5" s="1"/>
  <c r="AS168" i="5"/>
  <c r="BC369" i="1"/>
  <c r="BC402" i="1" s="1"/>
  <c r="CA369" i="1"/>
  <c r="CA402" i="1" s="1"/>
  <c r="BB124" i="1"/>
  <c r="AY313" i="1"/>
  <c r="AY336" i="1" s="1"/>
  <c r="DI58" i="1"/>
  <c r="BS50" i="1"/>
  <c r="CI359" i="1"/>
  <c r="CE16" i="1"/>
  <c r="CH280" i="1"/>
  <c r="BS369" i="1"/>
  <c r="BS402" i="1" s="1"/>
  <c r="BT283" i="1"/>
  <c r="AW283" i="1"/>
  <c r="BW369" i="1"/>
  <c r="BW402" i="1" s="1"/>
  <c r="BE314" i="1"/>
  <c r="BI315" i="1" s="1"/>
  <c r="BI338" i="1" s="1"/>
  <c r="BI381" i="1"/>
  <c r="CB280" i="1"/>
  <c r="BZ282" i="1"/>
  <c r="BZ280" i="1"/>
  <c r="BK282" i="1"/>
  <c r="BA283" i="1"/>
  <c r="BU16" i="1"/>
  <c r="BT4" i="5"/>
  <c r="BI369" i="1"/>
  <c r="BI402" i="1" s="1"/>
  <c r="CH50" i="1"/>
  <c r="CF266" i="1"/>
  <c r="BX283" i="1"/>
  <c r="BX282" i="1"/>
  <c r="BQ375" i="1"/>
  <c r="AU154" i="1"/>
  <c r="M14" i="3"/>
  <c r="AT338" i="1"/>
  <c r="DL39" i="1"/>
  <c r="BR375" i="1"/>
  <c r="BO4" i="5"/>
  <c r="BO16" i="1"/>
  <c r="BO22" i="1"/>
  <c r="AU375" i="1"/>
  <c r="AS369" i="1"/>
  <c r="AS402" i="1" s="1"/>
  <c r="DI265" i="1"/>
  <c r="DI269" i="1"/>
  <c r="DI386" i="1" s="1"/>
  <c r="DI391" i="1" s="1"/>
  <c r="DI271" i="1"/>
  <c r="DI369" i="1" s="1"/>
  <c r="DI402" i="1" s="1"/>
  <c r="CJ70" i="1"/>
  <c r="BU266" i="1"/>
  <c r="DQ308" i="1"/>
  <c r="DS310" i="1" s="1"/>
  <c r="DT311" i="1" s="1"/>
  <c r="DU312" i="1" s="1"/>
  <c r="DV313" i="1" s="1"/>
  <c r="CG280" i="1"/>
  <c r="CA283" i="1"/>
  <c r="BW282" i="1"/>
  <c r="CG55" i="1"/>
  <c r="BV132" i="1"/>
  <c r="BP375" i="1"/>
  <c r="AZ266" i="1"/>
  <c r="BM266" i="1"/>
  <c r="BN266" i="1"/>
  <c r="DL12" i="1"/>
  <c r="DL8" i="1"/>
  <c r="CJ96" i="5"/>
  <c r="BY282" i="1"/>
  <c r="BY283" i="1"/>
  <c r="AT346" i="1"/>
  <c r="BC289" i="1"/>
  <c r="BD314" i="1"/>
  <c r="DJ269" i="1"/>
  <c r="DJ286" i="1"/>
  <c r="DJ288" i="1" s="1"/>
  <c r="Q14" i="3"/>
  <c r="DO78" i="1"/>
  <c r="DI321" i="1"/>
  <c r="CJ133" i="1"/>
  <c r="CG369" i="1"/>
  <c r="CG402" i="1" s="1"/>
  <c r="AX283" i="1"/>
  <c r="AT282" i="1"/>
  <c r="AT290" i="1"/>
  <c r="BE283" i="1"/>
  <c r="AT332" i="1"/>
  <c r="N16" i="4"/>
  <c r="Q24" i="4"/>
  <c r="Q16" i="4"/>
  <c r="CK14" i="5"/>
  <c r="BA365" i="1"/>
  <c r="BE337" i="1"/>
  <c r="CI324" i="1"/>
  <c r="CI345" i="1" s="1"/>
  <c r="BH315" i="1"/>
  <c r="BD337" i="1"/>
  <c r="BO146" i="5"/>
  <c r="BO119" i="5"/>
  <c r="BO128" i="5" s="1"/>
  <c r="BH314" i="1"/>
  <c r="BL315" i="1" s="1"/>
  <c r="BL338" i="1" s="1"/>
  <c r="BP119" i="5"/>
  <c r="BP146" i="5"/>
  <c r="BQ146" i="5"/>
  <c r="BR52" i="5" s="1"/>
  <c r="BQ119" i="5"/>
  <c r="CH191" i="5"/>
  <c r="BR146" i="5"/>
  <c r="DK123" i="5"/>
  <c r="BR119" i="5"/>
  <c r="BS146" i="5"/>
  <c r="BS52" i="5" s="1"/>
  <c r="BS73" i="5" s="1"/>
  <c r="BS119" i="5"/>
  <c r="BT146" i="5"/>
  <c r="BT119" i="5"/>
  <c r="BU146" i="5"/>
  <c r="BU119" i="5"/>
  <c r="BV146" i="5"/>
  <c r="DL123" i="5"/>
  <c r="BV119" i="5"/>
  <c r="DL119" i="5" s="1"/>
  <c r="BW146" i="5"/>
  <c r="BW119" i="5"/>
  <c r="CK84" i="1"/>
  <c r="CK384" i="1"/>
  <c r="CK350" i="1"/>
  <c r="CK351" i="1" s="1"/>
  <c r="CK32" i="1"/>
  <c r="CK87" i="1" s="1"/>
  <c r="CK13" i="2"/>
  <c r="CK9" i="1"/>
  <c r="CK4" i="2"/>
  <c r="CK42" i="1"/>
  <c r="CK201" i="2"/>
  <c r="CK200" i="2"/>
  <c r="CK196" i="2"/>
  <c r="CK198" i="2" s="1"/>
  <c r="CK203" i="2"/>
  <c r="CK161" i="2"/>
  <c r="CK64" i="2"/>
  <c r="CK36" i="1"/>
  <c r="CK100" i="1"/>
  <c r="CK26" i="1"/>
  <c r="CK46" i="1"/>
  <c r="CK165" i="1"/>
  <c r="CK13" i="1"/>
  <c r="CK3" i="1"/>
  <c r="CU3" i="1" s="1"/>
  <c r="CJ102" i="5"/>
  <c r="CJ137" i="1"/>
  <c r="CK138" i="1" s="1"/>
  <c r="CL138" i="1" s="1"/>
  <c r="CK91" i="1"/>
  <c r="CK13" i="5"/>
  <c r="CK92" i="1"/>
  <c r="CJ89" i="5"/>
  <c r="CJ279" i="5"/>
  <c r="CJ280" i="5" s="1"/>
  <c r="CK277" i="5"/>
  <c r="CJ108" i="5"/>
  <c r="CJ145" i="1"/>
  <c r="CJ119" i="5"/>
  <c r="CJ308" i="2"/>
  <c r="CJ146" i="1"/>
  <c r="CK246" i="2"/>
  <c r="CK253" i="2"/>
  <c r="CK29" i="2"/>
  <c r="J10" i="10" l="1"/>
  <c r="G10" i="10" s="1"/>
  <c r="CL354" i="1"/>
  <c r="CL2" i="1"/>
  <c r="CL2" i="2" s="1"/>
  <c r="CK354" i="1"/>
  <c r="CK2" i="1"/>
  <c r="CK2" i="2" s="1"/>
  <c r="AV117" i="6"/>
  <c r="AV160" i="6"/>
  <c r="K12" i="9"/>
  <c r="K9" i="9" s="1"/>
  <c r="DT2" i="1"/>
  <c r="DS2" i="2" s="1"/>
  <c r="DT354" i="1"/>
  <c r="I14" i="4"/>
  <c r="DS354" i="1"/>
  <c r="CI2" i="1"/>
  <c r="CI2" i="2" s="1"/>
  <c r="CI354" i="1"/>
  <c r="CP354" i="1"/>
  <c r="CP2" i="1"/>
  <c r="CP2" i="2" s="1"/>
  <c r="CO354" i="1"/>
  <c r="CO2" i="1"/>
  <c r="CO2" i="2" s="1"/>
  <c r="CN2" i="1"/>
  <c r="CN2" i="2" s="1"/>
  <c r="CN354" i="1"/>
  <c r="CM2" i="1"/>
  <c r="CM2" i="2" s="1"/>
  <c r="CM354" i="1"/>
  <c r="CP304" i="2"/>
  <c r="CP303" i="2" s="1"/>
  <c r="AZ68" i="6"/>
  <c r="AZ51" i="6" s="1"/>
  <c r="CP331" i="5"/>
  <c r="CP329" i="5" s="1"/>
  <c r="CP332" i="5" s="1"/>
  <c r="AZ73" i="6"/>
  <c r="AZ56" i="6" s="1"/>
  <c r="AZ71" i="6"/>
  <c r="AZ54" i="6" s="1"/>
  <c r="AZ160" i="6"/>
  <c r="AZ117" i="6"/>
  <c r="AZ67" i="6"/>
  <c r="AZ50" i="6" s="1"/>
  <c r="AZ69" i="6"/>
  <c r="AZ52" i="6" s="1"/>
  <c r="AZ150" i="6"/>
  <c r="CP96" i="2"/>
  <c r="AZ70" i="6"/>
  <c r="AZ53" i="6" s="1"/>
  <c r="CP323" i="5"/>
  <c r="CP324" i="5" s="1"/>
  <c r="CP311" i="5"/>
  <c r="CP309" i="5" s="1"/>
  <c r="CP312" i="5" s="1"/>
  <c r="CP291" i="2"/>
  <c r="AZ152" i="6"/>
  <c r="AZ147" i="6"/>
  <c r="AZ146" i="6"/>
  <c r="AZ148" i="6"/>
  <c r="AZ153" i="6"/>
  <c r="AZ151" i="6"/>
  <c r="CP286" i="2"/>
  <c r="AZ72" i="6"/>
  <c r="AZ55" i="6" s="1"/>
  <c r="AZ149" i="6"/>
  <c r="CO304" i="2"/>
  <c r="CO303" i="2" s="1"/>
  <c r="CO96" i="2"/>
  <c r="AY117" i="6"/>
  <c r="AY147" i="6"/>
  <c r="AY68" i="6"/>
  <c r="AY51" i="6" s="1"/>
  <c r="AY70" i="6"/>
  <c r="AY53" i="6" s="1"/>
  <c r="CO291" i="2"/>
  <c r="CO311" i="5"/>
  <c r="CO309" i="5" s="1"/>
  <c r="CO312" i="5" s="1"/>
  <c r="CO286" i="2"/>
  <c r="CO331" i="5"/>
  <c r="CO329" i="5" s="1"/>
  <c r="CO332" i="5" s="1"/>
  <c r="AY149" i="6"/>
  <c r="AY160" i="6"/>
  <c r="AY153" i="6"/>
  <c r="AY151" i="6"/>
  <c r="AY72" i="6"/>
  <c r="AY55" i="6" s="1"/>
  <c r="AY146" i="6"/>
  <c r="AY73" i="6"/>
  <c r="AY56" i="6" s="1"/>
  <c r="AY152" i="6"/>
  <c r="AY150" i="6"/>
  <c r="AY71" i="6"/>
  <c r="AY54" i="6" s="1"/>
  <c r="AY69" i="6"/>
  <c r="AY52" i="6" s="1"/>
  <c r="AY148" i="6"/>
  <c r="AY67" i="6"/>
  <c r="AY50" i="6" s="1"/>
  <c r="CO323" i="5"/>
  <c r="CO324" i="5" s="1"/>
  <c r="AX153" i="6"/>
  <c r="AX72" i="6"/>
  <c r="AX55" i="6" s="1"/>
  <c r="AX150" i="6"/>
  <c r="CN304" i="2"/>
  <c r="CN303" i="2" s="1"/>
  <c r="CN96" i="2"/>
  <c r="AX67" i="6"/>
  <c r="AX50" i="6" s="1"/>
  <c r="AX73" i="6"/>
  <c r="AX56" i="6" s="1"/>
  <c r="AX148" i="6"/>
  <c r="CN286" i="2"/>
  <c r="CN291" i="2"/>
  <c r="CN323" i="5"/>
  <c r="CN324" i="5" s="1"/>
  <c r="CN311" i="5"/>
  <c r="CN309" i="5" s="1"/>
  <c r="CN312" i="5" s="1"/>
  <c r="AX147" i="6"/>
  <c r="AX68" i="6"/>
  <c r="AX51" i="6" s="1"/>
  <c r="AX117" i="6"/>
  <c r="AX149" i="6"/>
  <c r="AX160" i="6"/>
  <c r="AX151" i="6"/>
  <c r="AX152" i="6"/>
  <c r="AX70" i="6"/>
  <c r="AX53" i="6" s="1"/>
  <c r="CN331" i="5"/>
  <c r="CN329" i="5" s="1"/>
  <c r="CN332" i="5" s="1"/>
  <c r="AX71" i="6"/>
  <c r="AX54" i="6" s="1"/>
  <c r="AX146" i="6"/>
  <c r="AX69" i="6"/>
  <c r="AX52" i="6" s="1"/>
  <c r="AW151" i="6"/>
  <c r="CM311" i="5"/>
  <c r="CM309" i="5" s="1"/>
  <c r="CM312" i="5" s="1"/>
  <c r="AW149" i="6"/>
  <c r="AW72" i="6"/>
  <c r="AW55" i="6" s="1"/>
  <c r="AW69" i="6"/>
  <c r="AW52" i="6" s="1"/>
  <c r="CM286" i="2"/>
  <c r="AW148" i="6"/>
  <c r="CM96" i="2"/>
  <c r="AW150" i="6"/>
  <c r="CM291" i="2"/>
  <c r="CM331" i="5"/>
  <c r="CM329" i="5" s="1"/>
  <c r="CM332" i="5" s="1"/>
  <c r="AW153" i="6"/>
  <c r="AW70" i="6"/>
  <c r="AW53" i="6" s="1"/>
  <c r="AW117" i="6"/>
  <c r="AW68" i="6"/>
  <c r="AW51" i="6" s="1"/>
  <c r="AW73" i="6"/>
  <c r="AW56" i="6" s="1"/>
  <c r="AW71" i="6"/>
  <c r="AW54" i="6" s="1"/>
  <c r="AW147" i="6"/>
  <c r="CM323" i="5"/>
  <c r="CM324" i="5" s="1"/>
  <c r="AW152" i="6"/>
  <c r="AW146" i="6"/>
  <c r="AW67" i="6"/>
  <c r="AW50" i="6" s="1"/>
  <c r="CM304" i="2"/>
  <c r="CM303" i="2" s="1"/>
  <c r="AW160" i="6"/>
  <c r="DR354" i="1"/>
  <c r="DR2" i="1"/>
  <c r="DQ2" i="2" s="1"/>
  <c r="DQ291" i="2"/>
  <c r="DQ286" i="2"/>
  <c r="DQ304" i="2"/>
  <c r="DQ96" i="2"/>
  <c r="DQ331" i="5"/>
  <c r="DQ329" i="5" s="1"/>
  <c r="G54" i="3"/>
  <c r="H56" i="3"/>
  <c r="AD15" i="3"/>
  <c r="AC15" i="3"/>
  <c r="AC13" i="3"/>
  <c r="AD7" i="3"/>
  <c r="AD18" i="3"/>
  <c r="C54" i="3"/>
  <c r="E56" i="3"/>
  <c r="AC18" i="3"/>
  <c r="D56" i="3"/>
  <c r="AD20" i="3"/>
  <c r="AD21" i="3" s="1"/>
  <c r="P7" i="3"/>
  <c r="O34" i="3"/>
  <c r="O59" i="3" s="1"/>
  <c r="P3" i="3"/>
  <c r="S40" i="5"/>
  <c r="AJ40" i="5"/>
  <c r="BR173" i="5"/>
  <c r="BT48" i="2"/>
  <c r="AA239" i="5"/>
  <c r="BG168" i="5"/>
  <c r="I6" i="5"/>
  <c r="I238" i="5" s="1"/>
  <c r="D10" i="5"/>
  <c r="F6" i="5"/>
  <c r="AI40" i="5"/>
  <c r="K239" i="5"/>
  <c r="T40" i="5"/>
  <c r="D51" i="5"/>
  <c r="D75" i="5" s="1"/>
  <c r="BG41" i="2"/>
  <c r="BG9" i="2" s="1"/>
  <c r="BG100" i="2" s="1"/>
  <c r="BW41" i="2"/>
  <c r="BW42" i="2" s="1"/>
  <c r="BL173" i="5"/>
  <c r="BL172" i="5" s="1"/>
  <c r="BQ173" i="5"/>
  <c r="BQ172" i="5" s="1"/>
  <c r="BS217" i="5"/>
  <c r="BY51" i="5"/>
  <c r="BY75" i="5" s="1"/>
  <c r="BP41" i="2"/>
  <c r="BN40" i="2"/>
  <c r="BW49" i="2"/>
  <c r="BX148" i="2" s="1"/>
  <c r="CY7" i="5"/>
  <c r="D11" i="3" s="1"/>
  <c r="BJ40" i="2"/>
  <c r="BJ10" i="2" s="1"/>
  <c r="BJ47" i="2" s="1"/>
  <c r="BP61" i="2"/>
  <c r="BJ61" i="2"/>
  <c r="AX41" i="2"/>
  <c r="G9" i="10"/>
  <c r="DD174" i="5"/>
  <c r="AI239" i="5"/>
  <c r="F247" i="5"/>
  <c r="BC51" i="2"/>
  <c r="AY49" i="2"/>
  <c r="BJ41" i="2"/>
  <c r="BD40" i="2"/>
  <c r="BD10" i="2" s="1"/>
  <c r="CC49" i="2"/>
  <c r="BE173" i="5"/>
  <c r="BE54" i="5" s="1"/>
  <c r="BE77" i="5" s="1"/>
  <c r="BD173" i="5"/>
  <c r="BD172" i="5" s="1"/>
  <c r="DF174" i="5"/>
  <c r="BT173" i="5"/>
  <c r="J40" i="5"/>
  <c r="R40" i="5"/>
  <c r="Z40" i="5"/>
  <c r="AP40" i="5"/>
  <c r="DP166" i="2"/>
  <c r="CP166" i="2"/>
  <c r="CM221" i="2"/>
  <c r="DQ221" i="2" s="1"/>
  <c r="DQ222" i="2" s="1"/>
  <c r="CM196" i="2"/>
  <c r="CL99" i="1"/>
  <c r="DQ99" i="1" s="1"/>
  <c r="CM127" i="2"/>
  <c r="CP124" i="2"/>
  <c r="DQ245" i="1"/>
  <c r="CM245" i="1"/>
  <c r="CM237" i="1"/>
  <c r="CN235" i="1"/>
  <c r="CO322" i="1"/>
  <c r="CN322" i="1"/>
  <c r="CM322" i="1"/>
  <c r="DQ223" i="1"/>
  <c r="CM223" i="1"/>
  <c r="CM226" i="1" s="1"/>
  <c r="CN308" i="1"/>
  <c r="CM308" i="1"/>
  <c r="CO308" i="1"/>
  <c r="CN225" i="1"/>
  <c r="DQ82" i="1"/>
  <c r="CP82" i="1"/>
  <c r="CM86" i="1"/>
  <c r="BE45" i="6"/>
  <c r="Z54" i="6"/>
  <c r="BF44" i="6"/>
  <c r="AJ153" i="6"/>
  <c r="I37" i="6"/>
  <c r="AY331" i="5" s="1"/>
  <c r="AY333" i="5" s="1"/>
  <c r="I19" i="6"/>
  <c r="AY327" i="5" s="1"/>
  <c r="BF147" i="6"/>
  <c r="AE107" i="6"/>
  <c r="AE89" i="6" s="1"/>
  <c r="J30" i="6"/>
  <c r="AZ311" i="5" s="1"/>
  <c r="N37" i="6"/>
  <c r="BD331" i="5" s="1"/>
  <c r="AK47" i="6"/>
  <c r="AL47" i="6" s="1"/>
  <c r="AM47" i="6" s="1"/>
  <c r="AN47" i="6" s="1"/>
  <c r="BG47" i="6"/>
  <c r="AD109" i="6"/>
  <c r="BG41" i="6"/>
  <c r="AF78" i="6"/>
  <c r="AF156" i="6" s="1"/>
  <c r="AB109" i="6"/>
  <c r="AB91" i="6" s="1"/>
  <c r="M30" i="6"/>
  <c r="BC311" i="5" s="1"/>
  <c r="BC313" i="5" s="1"/>
  <c r="AJ150" i="6"/>
  <c r="BG150" i="6" s="1"/>
  <c r="BG140" i="6"/>
  <c r="AC56" i="6"/>
  <c r="AG116" i="6"/>
  <c r="AH116" i="6" s="1"/>
  <c r="BF150" i="6"/>
  <c r="AD110" i="6"/>
  <c r="AD92" i="6" s="1"/>
  <c r="BF79" i="6"/>
  <c r="BF78" i="6" s="1"/>
  <c r="BF156" i="6" s="1"/>
  <c r="AB54" i="6"/>
  <c r="AJ152" i="6"/>
  <c r="BG152" i="6" s="1"/>
  <c r="AC109" i="6"/>
  <c r="AC91" i="6" s="1"/>
  <c r="AK126" i="6"/>
  <c r="AK125" i="6" s="1"/>
  <c r="J19" i="6"/>
  <c r="AZ327" i="5" s="1"/>
  <c r="AC110" i="6"/>
  <c r="AC92" i="6" s="1"/>
  <c r="AD107" i="6"/>
  <c r="AD89" i="6" s="1"/>
  <c r="BE78" i="6"/>
  <c r="J12" i="6"/>
  <c r="AZ307" i="5" s="1"/>
  <c r="D37" i="6"/>
  <c r="AT331" i="5" s="1"/>
  <c r="DE331" i="5" s="1"/>
  <c r="BE121" i="6"/>
  <c r="AA145" i="6"/>
  <c r="AC71" i="6"/>
  <c r="AC54" i="6" s="1"/>
  <c r="AF148" i="6"/>
  <c r="AF145" i="6" s="1"/>
  <c r="AG56" i="6"/>
  <c r="AO132" i="6"/>
  <c r="AP132" i="6" s="1"/>
  <c r="AQ132" i="6" s="1"/>
  <c r="AR132" i="6" s="1"/>
  <c r="AS132" i="6" s="1"/>
  <c r="AT132" i="6" s="1"/>
  <c r="AU132" i="6" s="1"/>
  <c r="AV132" i="6" s="1"/>
  <c r="BH132" i="6"/>
  <c r="BI132" i="6" s="1"/>
  <c r="BJ132" i="6" s="1"/>
  <c r="BK132" i="6" s="1"/>
  <c r="BL132" i="6" s="1"/>
  <c r="BM132" i="6" s="1"/>
  <c r="BN132" i="6" s="1"/>
  <c r="BO132" i="6" s="1"/>
  <c r="BH131" i="6"/>
  <c r="BI131" i="6" s="1"/>
  <c r="BJ131" i="6" s="1"/>
  <c r="BK131" i="6" s="1"/>
  <c r="BL131" i="6" s="1"/>
  <c r="BM131" i="6" s="1"/>
  <c r="BN131" i="6" s="1"/>
  <c r="BO131" i="6" s="1"/>
  <c r="AO131" i="6"/>
  <c r="AP131" i="6" s="1"/>
  <c r="AQ131" i="6" s="1"/>
  <c r="AR131" i="6" s="1"/>
  <c r="AS131" i="6" s="1"/>
  <c r="AT131" i="6" s="1"/>
  <c r="AU131" i="6" s="1"/>
  <c r="AV131" i="6" s="1"/>
  <c r="AG117" i="6"/>
  <c r="AH117" i="6" s="1"/>
  <c r="BF117" i="6"/>
  <c r="BG117" i="6" s="1"/>
  <c r="BH117" i="6" s="1"/>
  <c r="BI117" i="6" s="1"/>
  <c r="BJ117" i="6" s="1"/>
  <c r="BK117" i="6" s="1"/>
  <c r="BL117" i="6" s="1"/>
  <c r="BM117" i="6" s="1"/>
  <c r="BN117" i="6" s="1"/>
  <c r="BO117" i="6" s="1"/>
  <c r="BH47" i="6"/>
  <c r="BI47" i="6" s="1"/>
  <c r="BJ47" i="6" s="1"/>
  <c r="BK47" i="6" s="1"/>
  <c r="BL47" i="6" s="1"/>
  <c r="BM47" i="6" s="1"/>
  <c r="BN47" i="6" s="1"/>
  <c r="BO47" i="6" s="1"/>
  <c r="AO47" i="6"/>
  <c r="AP47" i="6" s="1"/>
  <c r="AQ47" i="6" s="1"/>
  <c r="AR47" i="6" s="1"/>
  <c r="AS47" i="6" s="1"/>
  <c r="AT47" i="6" s="1"/>
  <c r="AU47" i="6" s="1"/>
  <c r="AV47" i="6" s="1"/>
  <c r="AC52" i="6"/>
  <c r="BF52" i="6" s="1"/>
  <c r="AD111" i="6"/>
  <c r="AD93" i="6" s="1"/>
  <c r="AD54" i="6"/>
  <c r="BH65" i="6"/>
  <c r="BI65" i="6" s="1"/>
  <c r="BJ65" i="6" s="1"/>
  <c r="BK65" i="6" s="1"/>
  <c r="BL65" i="6" s="1"/>
  <c r="BM65" i="6" s="1"/>
  <c r="BN65" i="6" s="1"/>
  <c r="BO65" i="6" s="1"/>
  <c r="AE111" i="6"/>
  <c r="AE93" i="6" s="1"/>
  <c r="D19" i="6"/>
  <c r="AT327" i="5" s="1"/>
  <c r="DE327" i="5" s="1"/>
  <c r="G19" i="6"/>
  <c r="AW327" i="5" s="1"/>
  <c r="L19" i="6"/>
  <c r="BB327" i="5" s="1"/>
  <c r="DG327" i="5" s="1"/>
  <c r="AI56" i="6"/>
  <c r="AE40" i="6"/>
  <c r="AE156" i="6" s="1"/>
  <c r="AF40" i="6"/>
  <c r="AD60" i="6"/>
  <c r="AD68" i="6" s="1"/>
  <c r="AD51" i="6" s="1"/>
  <c r="AA156" i="6"/>
  <c r="AD40" i="6"/>
  <c r="AD156" i="6" s="1"/>
  <c r="AE54" i="6"/>
  <c r="BG42" i="6"/>
  <c r="AC40" i="6"/>
  <c r="AC156" i="6" s="1"/>
  <c r="AF107" i="6"/>
  <c r="AF89" i="6" s="1"/>
  <c r="K19" i="6"/>
  <c r="BA327" i="5" s="1"/>
  <c r="AF63" i="6"/>
  <c r="AH52" i="6"/>
  <c r="BG52" i="6" s="1"/>
  <c r="BG139" i="6"/>
  <c r="Z78" i="6"/>
  <c r="AE70" i="6"/>
  <c r="AE53" i="6" s="1"/>
  <c r="AF52" i="6"/>
  <c r="AJ51" i="6"/>
  <c r="AJ73" i="6"/>
  <c r="AJ56" i="6" s="1"/>
  <c r="AC112" i="6"/>
  <c r="AC94" i="6" s="1"/>
  <c r="AF108" i="6"/>
  <c r="AF90" i="6" s="1"/>
  <c r="AD112" i="6"/>
  <c r="AD94" i="6" s="1"/>
  <c r="L37" i="6"/>
  <c r="BB331" i="5" s="1"/>
  <c r="BB333" i="5" s="1"/>
  <c r="F12" i="6"/>
  <c r="AV307" i="5" s="1"/>
  <c r="I30" i="6"/>
  <c r="AY311" i="5" s="1"/>
  <c r="AY313" i="5" s="1"/>
  <c r="M37" i="6"/>
  <c r="BC331" i="5" s="1"/>
  <c r="BC333" i="5" s="1"/>
  <c r="K37" i="6"/>
  <c r="BA331" i="5" s="1"/>
  <c r="L30" i="6"/>
  <c r="BB311" i="5" s="1"/>
  <c r="BB313" i="5" s="1"/>
  <c r="F19" i="6"/>
  <c r="AV327" i="5" s="1"/>
  <c r="E12" i="6"/>
  <c r="AU307" i="5" s="1"/>
  <c r="AU308" i="5" s="1"/>
  <c r="BE59" i="6"/>
  <c r="BE67" i="6" s="1"/>
  <c r="AD59" i="6"/>
  <c r="AE59" i="6" s="1"/>
  <c r="BE60" i="6"/>
  <c r="BE68" i="6" s="1"/>
  <c r="AB68" i="6"/>
  <c r="AB51" i="6" s="1"/>
  <c r="AF56" i="6"/>
  <c r="AG51" i="6"/>
  <c r="AC111" i="6"/>
  <c r="AE108" i="6"/>
  <c r="AE90" i="6" s="1"/>
  <c r="K30" i="6"/>
  <c r="BA311" i="5" s="1"/>
  <c r="BA313" i="5" s="1"/>
  <c r="Z40" i="6"/>
  <c r="Z125" i="6"/>
  <c r="BE19" i="6"/>
  <c r="AL129" i="6"/>
  <c r="AM129" i="6" s="1"/>
  <c r="AN129" i="6" s="1"/>
  <c r="AO129" i="6" s="1"/>
  <c r="AP129" i="6" s="1"/>
  <c r="AQ129" i="6" s="1"/>
  <c r="AR129" i="6" s="1"/>
  <c r="AS129" i="6" s="1"/>
  <c r="AT129" i="6" s="1"/>
  <c r="AU129" i="6" s="1"/>
  <c r="AV129" i="6" s="1"/>
  <c r="AJ44" i="6"/>
  <c r="AK138" i="6"/>
  <c r="AK148" i="6" s="1"/>
  <c r="AJ148" i="6"/>
  <c r="BG148" i="6" s="1"/>
  <c r="AG118" i="6"/>
  <c r="AH118" i="6" s="1"/>
  <c r="BF118" i="6"/>
  <c r="BG118" i="6" s="1"/>
  <c r="BH118" i="6" s="1"/>
  <c r="BI118" i="6" s="1"/>
  <c r="BJ118" i="6" s="1"/>
  <c r="BK118" i="6" s="1"/>
  <c r="BL118" i="6" s="1"/>
  <c r="BM118" i="6" s="1"/>
  <c r="BN118" i="6" s="1"/>
  <c r="BO118" i="6" s="1"/>
  <c r="AJ146" i="6"/>
  <c r="AK136" i="6"/>
  <c r="AQ140" i="6"/>
  <c r="AR140" i="6" s="1"/>
  <c r="AS140" i="6" s="1"/>
  <c r="AT140" i="6" s="1"/>
  <c r="AU140" i="6" s="1"/>
  <c r="AV140" i="6" s="1"/>
  <c r="BF62" i="6"/>
  <c r="BF70" i="6" s="1"/>
  <c r="AG62" i="6"/>
  <c r="AO130" i="6"/>
  <c r="AP130" i="6" s="1"/>
  <c r="AQ130" i="6" s="1"/>
  <c r="AR130" i="6" s="1"/>
  <c r="AS130" i="6" s="1"/>
  <c r="AT130" i="6" s="1"/>
  <c r="AU130" i="6" s="1"/>
  <c r="AV130" i="6" s="1"/>
  <c r="BH130" i="6"/>
  <c r="BI130" i="6" s="1"/>
  <c r="BJ130" i="6" s="1"/>
  <c r="BK130" i="6" s="1"/>
  <c r="BL130" i="6" s="1"/>
  <c r="BM130" i="6" s="1"/>
  <c r="BN130" i="6" s="1"/>
  <c r="BO130" i="6" s="1"/>
  <c r="AH110" i="6"/>
  <c r="AH92" i="6" s="1"/>
  <c r="AL141" i="6"/>
  <c r="AM141" i="6" s="1"/>
  <c r="AN141" i="6" s="1"/>
  <c r="BH141" i="6"/>
  <c r="BI141" i="6" s="1"/>
  <c r="BJ141" i="6" s="1"/>
  <c r="BK141" i="6" s="1"/>
  <c r="BL141" i="6" s="1"/>
  <c r="BM141" i="6" s="1"/>
  <c r="BN141" i="6" s="1"/>
  <c r="BO141" i="6" s="1"/>
  <c r="AD106" i="6"/>
  <c r="H12" i="6"/>
  <c r="AX307" i="5" s="1"/>
  <c r="DF307" i="5" s="1"/>
  <c r="AQ65" i="6"/>
  <c r="AH56" i="6"/>
  <c r="AL143" i="6"/>
  <c r="BH42" i="6"/>
  <c r="BI42" i="6" s="1"/>
  <c r="BJ42" i="6" s="1"/>
  <c r="BK42" i="6" s="1"/>
  <c r="BL42" i="6" s="1"/>
  <c r="BM42" i="6" s="1"/>
  <c r="BN42" i="6" s="1"/>
  <c r="BO42" i="6" s="1"/>
  <c r="AJ151" i="6"/>
  <c r="AF112" i="6"/>
  <c r="AF94" i="6" s="1"/>
  <c r="AG45" i="6"/>
  <c r="AG120" i="6"/>
  <c r="AH120" i="6" s="1"/>
  <c r="AI120" i="6" s="1"/>
  <c r="AJ120" i="6" s="1"/>
  <c r="AK120" i="6" s="1"/>
  <c r="AL120" i="6" s="1"/>
  <c r="AM120" i="6" s="1"/>
  <c r="AN120" i="6" s="1"/>
  <c r="AO120" i="6" s="1"/>
  <c r="AP120" i="6" s="1"/>
  <c r="AQ120" i="6" s="1"/>
  <c r="AR120" i="6" s="1"/>
  <c r="AS120" i="6" s="1"/>
  <c r="AT120" i="6" s="1"/>
  <c r="AU120" i="6" s="1"/>
  <c r="AV120" i="6" s="1"/>
  <c r="BF63" i="6"/>
  <c r="BF71" i="6" s="1"/>
  <c r="AB40" i="6"/>
  <c r="AB156" i="6" s="1"/>
  <c r="AF70" i="6"/>
  <c r="AF53" i="6" s="1"/>
  <c r="Z152" i="6"/>
  <c r="BE152" i="6" s="1"/>
  <c r="BE12" i="6"/>
  <c r="BG138" i="6"/>
  <c r="AI147" i="6"/>
  <c r="AJ137" i="6"/>
  <c r="G30" i="6"/>
  <c r="AW311" i="5" s="1"/>
  <c r="AW313" i="5" s="1"/>
  <c r="G12" i="6"/>
  <c r="AW307" i="5" s="1"/>
  <c r="BF119" i="6"/>
  <c r="BG119" i="6" s="1"/>
  <c r="BH119" i="6" s="1"/>
  <c r="BI119" i="6" s="1"/>
  <c r="BJ119" i="6" s="1"/>
  <c r="BK119" i="6" s="1"/>
  <c r="BL119" i="6" s="1"/>
  <c r="BM119" i="6" s="1"/>
  <c r="BN119" i="6" s="1"/>
  <c r="BO119" i="6" s="1"/>
  <c r="AM41" i="6"/>
  <c r="AO128" i="6"/>
  <c r="AP128" i="6" s="1"/>
  <c r="AQ128" i="6" s="1"/>
  <c r="AR128" i="6" s="1"/>
  <c r="AS128" i="6" s="1"/>
  <c r="AT128" i="6" s="1"/>
  <c r="AU128" i="6" s="1"/>
  <c r="AV128" i="6" s="1"/>
  <c r="BH128" i="6"/>
  <c r="BI128" i="6" s="1"/>
  <c r="BJ128" i="6" s="1"/>
  <c r="BK128" i="6" s="1"/>
  <c r="BL128" i="6" s="1"/>
  <c r="BM128" i="6" s="1"/>
  <c r="BN128" i="6" s="1"/>
  <c r="BO128" i="6" s="1"/>
  <c r="F30" i="6"/>
  <c r="AV311" i="5" s="1"/>
  <c r="AV313" i="5" s="1"/>
  <c r="AI125" i="6"/>
  <c r="AF51" i="6"/>
  <c r="AC106" i="6"/>
  <c r="AC88" i="6" s="1"/>
  <c r="AE106" i="6"/>
  <c r="AE88" i="6" s="1"/>
  <c r="I12" i="6"/>
  <c r="AY307" i="5" s="1"/>
  <c r="F37" i="6"/>
  <c r="AV331" i="5" s="1"/>
  <c r="AV333" i="5" s="1"/>
  <c r="E37" i="6"/>
  <c r="AU331" i="5" s="1"/>
  <c r="AU333" i="5" s="1"/>
  <c r="E19" i="6"/>
  <c r="AU327" i="5" s="1"/>
  <c r="AU328" i="5" s="1"/>
  <c r="E30" i="6"/>
  <c r="AU311" i="5" s="1"/>
  <c r="AU313" i="5" s="1"/>
  <c r="BE40" i="6"/>
  <c r="BF42" i="6"/>
  <c r="BF40" i="6" s="1"/>
  <c r="BH60" i="6"/>
  <c r="BI60" i="6" s="1"/>
  <c r="BJ60" i="6" s="1"/>
  <c r="BK60" i="6" s="1"/>
  <c r="BL60" i="6" s="1"/>
  <c r="BM60" i="6" s="1"/>
  <c r="BN60" i="6" s="1"/>
  <c r="BO60" i="6" s="1"/>
  <c r="BO68" i="6" s="1"/>
  <c r="BO51" i="6" s="1"/>
  <c r="AO60" i="6"/>
  <c r="AP60" i="6" s="1"/>
  <c r="BG61" i="6"/>
  <c r="BG69" i="6" s="1"/>
  <c r="AK61" i="6"/>
  <c r="AL61" i="6" s="1"/>
  <c r="AM61" i="6" s="1"/>
  <c r="AN61" i="6" s="1"/>
  <c r="AK43" i="6"/>
  <c r="AL43" i="6" s="1"/>
  <c r="AM43" i="6" s="1"/>
  <c r="AN43" i="6" s="1"/>
  <c r="AG125" i="6"/>
  <c r="AE109" i="6"/>
  <c r="AE91" i="6" s="1"/>
  <c r="BE64" i="6"/>
  <c r="BE72" i="6" s="1"/>
  <c r="AC64" i="6"/>
  <c r="AB72" i="6"/>
  <c r="AB55" i="6" s="1"/>
  <c r="BF121" i="6"/>
  <c r="BG121" i="6" s="1"/>
  <c r="BH121" i="6" s="1"/>
  <c r="BI121" i="6" s="1"/>
  <c r="BJ121" i="6" s="1"/>
  <c r="BK121" i="6" s="1"/>
  <c r="BL121" i="6" s="1"/>
  <c r="BM121" i="6" s="1"/>
  <c r="BN121" i="6" s="1"/>
  <c r="BO121" i="6" s="1"/>
  <c r="BF46" i="6"/>
  <c r="AG46" i="6"/>
  <c r="AH46" i="6" s="1"/>
  <c r="AI46" i="6" s="1"/>
  <c r="AJ46" i="6" s="1"/>
  <c r="AE110" i="6"/>
  <c r="AE92" i="6" s="1"/>
  <c r="AE112" i="6"/>
  <c r="AE94" i="6" s="1"/>
  <c r="AE51" i="6"/>
  <c r="BH127" i="6"/>
  <c r="BI127" i="6" s="1"/>
  <c r="BJ127" i="6" s="1"/>
  <c r="BK127" i="6" s="1"/>
  <c r="BL127" i="6" s="1"/>
  <c r="BM127" i="6" s="1"/>
  <c r="BN127" i="6" s="1"/>
  <c r="BO127" i="6" s="1"/>
  <c r="AO127" i="6"/>
  <c r="BG136" i="6"/>
  <c r="AI146" i="6"/>
  <c r="AA51" i="6"/>
  <c r="AC51" i="6"/>
  <c r="AO133" i="6"/>
  <c r="AP133" i="6" s="1"/>
  <c r="AQ133" i="6" s="1"/>
  <c r="AR133" i="6" s="1"/>
  <c r="AS133" i="6" s="1"/>
  <c r="AT133" i="6" s="1"/>
  <c r="AU133" i="6" s="1"/>
  <c r="AV133" i="6" s="1"/>
  <c r="BH133" i="6"/>
  <c r="BI133" i="6" s="1"/>
  <c r="BJ133" i="6" s="1"/>
  <c r="BK133" i="6" s="1"/>
  <c r="BL133" i="6" s="1"/>
  <c r="BM133" i="6" s="1"/>
  <c r="BN133" i="6" s="1"/>
  <c r="BO133" i="6" s="1"/>
  <c r="AK139" i="6"/>
  <c r="AK149" i="6" s="1"/>
  <c r="AL142" i="6"/>
  <c r="AE56" i="6"/>
  <c r="AD53" i="6"/>
  <c r="BH140" i="6"/>
  <c r="BI140" i="6" s="1"/>
  <c r="BJ140" i="6" s="1"/>
  <c r="BK140" i="6" s="1"/>
  <c r="BL140" i="6" s="1"/>
  <c r="BM140" i="6" s="1"/>
  <c r="BN140" i="6" s="1"/>
  <c r="BO140" i="6" s="1"/>
  <c r="AA55" i="6"/>
  <c r="Z51" i="6"/>
  <c r="Z55" i="6"/>
  <c r="AD56" i="6"/>
  <c r="AC53" i="6"/>
  <c r="AS66" i="2"/>
  <c r="AS65" i="2"/>
  <c r="AR125" i="2"/>
  <c r="AR65" i="2"/>
  <c r="AR130" i="2"/>
  <c r="AR132" i="2" s="1"/>
  <c r="BL197" i="2"/>
  <c r="BK115" i="2"/>
  <c r="BL200" i="2"/>
  <c r="BF51" i="2"/>
  <c r="AT41" i="2"/>
  <c r="AT42" i="2" s="1"/>
  <c r="CH252" i="2"/>
  <c r="CY132" i="2"/>
  <c r="DP168" i="2"/>
  <c r="BH41" i="2"/>
  <c r="CF281" i="2"/>
  <c r="CF282" i="2" s="1"/>
  <c r="DN307" i="2"/>
  <c r="DN44" i="5" s="1"/>
  <c r="CH21" i="2"/>
  <c r="DH126" i="2"/>
  <c r="DA111" i="2"/>
  <c r="DB65" i="2"/>
  <c r="DO198" i="2"/>
  <c r="BH48" i="2"/>
  <c r="BH10" i="2" s="1"/>
  <c r="BH11" i="2" s="1"/>
  <c r="BY49" i="2"/>
  <c r="DM126" i="2"/>
  <c r="BH242" i="2"/>
  <c r="CY194" i="2"/>
  <c r="BI40" i="2"/>
  <c r="BI10" i="2" s="1"/>
  <c r="BI11" i="2" s="1"/>
  <c r="CX131" i="2"/>
  <c r="CI90" i="2"/>
  <c r="BE41" i="2"/>
  <c r="CA130" i="2"/>
  <c r="CA181" i="1" s="1"/>
  <c r="CA182" i="1" s="1"/>
  <c r="CZ65" i="2"/>
  <c r="AT99" i="2"/>
  <c r="CY94" i="2"/>
  <c r="BW167" i="2"/>
  <c r="BH61" i="2"/>
  <c r="CD297" i="2"/>
  <c r="CD20" i="5" s="1"/>
  <c r="CA66" i="2"/>
  <c r="BO20" i="5"/>
  <c r="BO260" i="5" s="1"/>
  <c r="BB41" i="2"/>
  <c r="BB9" i="2" s="1"/>
  <c r="BB100" i="2" s="1"/>
  <c r="AU41" i="2"/>
  <c r="AV43" i="2" s="1"/>
  <c r="BC61" i="2"/>
  <c r="BG62" i="2" s="1"/>
  <c r="CJ41" i="2"/>
  <c r="CJ9" i="2" s="1"/>
  <c r="CJ100" i="2" s="1"/>
  <c r="CJ36" i="2"/>
  <c r="CG21" i="2"/>
  <c r="CG61" i="1" s="1"/>
  <c r="CG62" i="1" s="1"/>
  <c r="CF104" i="2"/>
  <c r="BF166" i="2"/>
  <c r="CX133" i="2"/>
  <c r="CY125" i="2"/>
  <c r="DC230" i="2"/>
  <c r="DA56" i="2"/>
  <c r="AY201" i="2"/>
  <c r="AY249" i="2"/>
  <c r="AW161" i="2"/>
  <c r="AY139" i="2"/>
  <c r="DF99" i="2"/>
  <c r="DD107" i="2"/>
  <c r="CD309" i="2"/>
  <c r="AJ177" i="1"/>
  <c r="AJ178" i="1" s="1"/>
  <c r="CL240" i="2"/>
  <c r="CZ181" i="2"/>
  <c r="DM249" i="2"/>
  <c r="BE16" i="2"/>
  <c r="BE17" i="2" s="1"/>
  <c r="BT200" i="2"/>
  <c r="DH122" i="2"/>
  <c r="AR297" i="2"/>
  <c r="BN86" i="2"/>
  <c r="BT197" i="2"/>
  <c r="BY61" i="2"/>
  <c r="BC41" i="2"/>
  <c r="CC20" i="5"/>
  <c r="BC16" i="2"/>
  <c r="BC17" i="2" s="1"/>
  <c r="DL118" i="2"/>
  <c r="BM281" i="2"/>
  <c r="BM282" i="2" s="1"/>
  <c r="DA42" i="2"/>
  <c r="DA177" i="2"/>
  <c r="DB173" i="2"/>
  <c r="BE61" i="2"/>
  <c r="AU16" i="2"/>
  <c r="AU17" i="2" s="1"/>
  <c r="CB130" i="2"/>
  <c r="CA20" i="5"/>
  <c r="CB66" i="2"/>
  <c r="CH90" i="2"/>
  <c r="BG104" i="2"/>
  <c r="CZ39" i="2"/>
  <c r="DD81" i="2"/>
  <c r="CV125" i="2"/>
  <c r="AX166" i="2"/>
  <c r="AR252" i="2"/>
  <c r="AR99" i="2"/>
  <c r="AX249" i="2"/>
  <c r="AT118" i="2"/>
  <c r="CZ173" i="2"/>
  <c r="DC107" i="2"/>
  <c r="BA101" i="2"/>
  <c r="DD94" i="2"/>
  <c r="CW7" i="2"/>
  <c r="BJ130" i="2"/>
  <c r="BJ131" i="2" s="1"/>
  <c r="BM241" i="2"/>
  <c r="DC238" i="2"/>
  <c r="CG66" i="2"/>
  <c r="CC16" i="2"/>
  <c r="CC17" i="2" s="1"/>
  <c r="DL241" i="2"/>
  <c r="DM246" i="2"/>
  <c r="DL249" i="2"/>
  <c r="DA77" i="2"/>
  <c r="DJ16" i="2"/>
  <c r="DL7" i="2"/>
  <c r="DI64" i="2"/>
  <c r="BH130" i="2"/>
  <c r="BH181" i="1" s="1"/>
  <c r="BH182" i="1" s="1"/>
  <c r="BY30" i="2"/>
  <c r="BZ130" i="2"/>
  <c r="AT61" i="2"/>
  <c r="AX62" i="2" s="1"/>
  <c r="DE211" i="2"/>
  <c r="CW133" i="2"/>
  <c r="BV48" i="2"/>
  <c r="AQ153" i="2"/>
  <c r="AQ150" i="2" s="1"/>
  <c r="CC41" i="2"/>
  <c r="CC42" i="2" s="1"/>
  <c r="BJ16" i="2"/>
  <c r="BJ17" i="2" s="1"/>
  <c r="AQ42" i="2"/>
  <c r="CC61" i="2"/>
  <c r="CG62" i="2" s="1"/>
  <c r="BX104" i="2"/>
  <c r="BV281" i="2"/>
  <c r="BV282" i="2" s="1"/>
  <c r="DL90" i="2"/>
  <c r="DL91" i="2" s="1"/>
  <c r="DJ238" i="2"/>
  <c r="BG66" i="2"/>
  <c r="DM234" i="2"/>
  <c r="AF18" i="5"/>
  <c r="AF60" i="5" s="1"/>
  <c r="DC101" i="2"/>
  <c r="AR164" i="2"/>
  <c r="CY230" i="2"/>
  <c r="DF160" i="2"/>
  <c r="DG198" i="2" s="1"/>
  <c r="AY303" i="2"/>
  <c r="AY305" i="2" s="1"/>
  <c r="AR312" i="2"/>
  <c r="CZ194" i="2"/>
  <c r="CX177" i="2"/>
  <c r="BC85" i="2"/>
  <c r="BC86" i="2" s="1"/>
  <c r="DA107" i="2"/>
  <c r="DC94" i="2"/>
  <c r="DC7" i="2"/>
  <c r="BH49" i="2"/>
  <c r="BH148" i="2" s="1"/>
  <c r="BI101" i="2"/>
  <c r="CA65" i="2"/>
  <c r="AW49" i="2"/>
  <c r="AW147" i="2" s="1"/>
  <c r="AW41" i="2"/>
  <c r="AX43" i="2" s="1"/>
  <c r="CF252" i="2"/>
  <c r="CF246" i="2"/>
  <c r="CX201" i="2"/>
  <c r="CX163" i="2"/>
  <c r="CY164" i="2" s="1"/>
  <c r="AV49" i="2"/>
  <c r="AV16" i="2"/>
  <c r="AV17" i="2" s="1"/>
  <c r="AV61" i="2"/>
  <c r="CC266" i="2"/>
  <c r="CG252" i="2"/>
  <c r="CG90" i="2"/>
  <c r="CG246" i="2"/>
  <c r="CG242" i="2"/>
  <c r="DF13" i="2"/>
  <c r="CU39" i="2"/>
  <c r="AU231" i="2"/>
  <c r="AU142" i="2"/>
  <c r="AU139" i="2"/>
  <c r="AV204" i="2"/>
  <c r="AV198" i="2"/>
  <c r="DB126" i="2"/>
  <c r="DA126" i="2"/>
  <c r="BD41" i="2"/>
  <c r="DH13" i="2"/>
  <c r="BZ309" i="2"/>
  <c r="BZ198" i="2"/>
  <c r="BZ197" i="2"/>
  <c r="AW16" i="2"/>
  <c r="AW17" i="2" s="1"/>
  <c r="CD252" i="2"/>
  <c r="BO164" i="2"/>
  <c r="BP164" i="2"/>
  <c r="DJ85" i="2"/>
  <c r="DJ163" i="2"/>
  <c r="BA231" i="2"/>
  <c r="BA142" i="2"/>
  <c r="BI291" i="5"/>
  <c r="BI303" i="2"/>
  <c r="CD203" i="2"/>
  <c r="CC115" i="2"/>
  <c r="CD197" i="2"/>
  <c r="DO56" i="2"/>
  <c r="DD7" i="2"/>
  <c r="BJ242" i="2"/>
  <c r="BK249" i="2"/>
  <c r="DI240" i="2"/>
  <c r="DJ252" i="2" s="1"/>
  <c r="BJ90" i="2"/>
  <c r="DO299" i="2"/>
  <c r="CH297" i="2"/>
  <c r="DO297" i="2" s="1"/>
  <c r="BI281" i="2"/>
  <c r="BI20" i="5"/>
  <c r="BI260" i="5" s="1"/>
  <c r="CZ56" i="2"/>
  <c r="BC198" i="2"/>
  <c r="BC201" i="2"/>
  <c r="CH125" i="2"/>
  <c r="CH66" i="2"/>
  <c r="BT250" i="2"/>
  <c r="BT276" i="2"/>
  <c r="BO130" i="2"/>
  <c r="BO181" i="1" s="1"/>
  <c r="BO182" i="1" s="1"/>
  <c r="DD133" i="2"/>
  <c r="CU38" i="2"/>
  <c r="AY312" i="2"/>
  <c r="AY281" i="2" s="1"/>
  <c r="AY282" i="2" s="1"/>
  <c r="BA90" i="2"/>
  <c r="BA91" i="2" s="1"/>
  <c r="BB246" i="2"/>
  <c r="BJ249" i="2"/>
  <c r="BN242" i="2"/>
  <c r="BX197" i="2"/>
  <c r="BY203" i="2"/>
  <c r="BY200" i="2"/>
  <c r="BX211" i="2"/>
  <c r="CB270" i="2"/>
  <c r="BX66" i="2"/>
  <c r="BX125" i="2"/>
  <c r="AV125" i="2"/>
  <c r="AV65" i="2"/>
  <c r="AV130" i="2"/>
  <c r="AV131" i="2" s="1"/>
  <c r="AV66" i="2"/>
  <c r="BQ266" i="2"/>
  <c r="BQ270" i="2" s="1"/>
  <c r="BP270" i="2"/>
  <c r="BY242" i="2"/>
  <c r="CB241" i="2"/>
  <c r="BY246" i="2"/>
  <c r="BX90" i="2"/>
  <c r="BX91" i="2" s="1"/>
  <c r="BX252" i="2"/>
  <c r="CV7" i="2"/>
  <c r="BO48" i="2"/>
  <c r="BO40" i="2"/>
  <c r="AW61" i="2"/>
  <c r="CW163" i="2"/>
  <c r="CW166" i="2" s="1"/>
  <c r="DF16" i="2"/>
  <c r="DF49" i="2"/>
  <c r="DF46" i="2" s="1"/>
  <c r="CA203" i="2"/>
  <c r="BZ115" i="2"/>
  <c r="DM166" i="2"/>
  <c r="DN115" i="2" s="1"/>
  <c r="CA200" i="2"/>
  <c r="BZ40" i="2"/>
  <c r="BZ48" i="2"/>
  <c r="BZ10" i="2" s="1"/>
  <c r="BZ47" i="2" s="1"/>
  <c r="DK90" i="2"/>
  <c r="DK241" i="2"/>
  <c r="BG48" i="2"/>
  <c r="BG10" i="2" s="1"/>
  <c r="AS164" i="2"/>
  <c r="AU230" i="2"/>
  <c r="BE201" i="2"/>
  <c r="DG160" i="2"/>
  <c r="AV201" i="2"/>
  <c r="BF48" i="2"/>
  <c r="BF40" i="2"/>
  <c r="BF10" i="2" s="1"/>
  <c r="BF47" i="2" s="1"/>
  <c r="BM252" i="2"/>
  <c r="BM246" i="2"/>
  <c r="DN72" i="2"/>
  <c r="DN94" i="2"/>
  <c r="BY210" i="2"/>
  <c r="BZ210" i="2" s="1"/>
  <c r="BZ211" i="2" s="1"/>
  <c r="CC30" i="2"/>
  <c r="CA34" i="2"/>
  <c r="BZ21" i="2"/>
  <c r="BZ61" i="1" s="1"/>
  <c r="BZ62" i="1" s="1"/>
  <c r="DM240" i="2"/>
  <c r="BZ241" i="2"/>
  <c r="CB279" i="2"/>
  <c r="CJ252" i="2"/>
  <c r="BY16" i="2"/>
  <c r="BY17" i="2" s="1"/>
  <c r="BY19" i="2" s="1"/>
  <c r="CF90" i="2"/>
  <c r="CF91" i="2" s="1"/>
  <c r="DM196" i="2"/>
  <c r="DM197" i="2" s="1"/>
  <c r="BS61" i="2"/>
  <c r="BW62" i="2" s="1"/>
  <c r="BS36" i="2"/>
  <c r="BS41" i="2"/>
  <c r="BT43" i="2" s="1"/>
  <c r="BS16" i="2"/>
  <c r="BS17" i="2" s="1"/>
  <c r="BS49" i="2"/>
  <c r="AQ166" i="2"/>
  <c r="AR200" i="2" s="1"/>
  <c r="AQ164" i="2"/>
  <c r="AZ26" i="2"/>
  <c r="BL16" i="2"/>
  <c r="BL17" i="2" s="1"/>
  <c r="BL49" i="2"/>
  <c r="BL9" i="2" s="1"/>
  <c r="BL100" i="2" s="1"/>
  <c r="BL36" i="2"/>
  <c r="BL61" i="2"/>
  <c r="BL211" i="2"/>
  <c r="BM210" i="2"/>
  <c r="BM221" i="2" s="1"/>
  <c r="BM222" i="2" s="1"/>
  <c r="BV252" i="2"/>
  <c r="BV246" i="2"/>
  <c r="BY241" i="2"/>
  <c r="BW115" i="2"/>
  <c r="BX200" i="2"/>
  <c r="BX218" i="2"/>
  <c r="BS34" i="2"/>
  <c r="BQ33" i="2"/>
  <c r="BQ35" i="2" s="1"/>
  <c r="CH212" i="2"/>
  <c r="CH218" i="2" s="1"/>
  <c r="CG104" i="2"/>
  <c r="CG218" i="2"/>
  <c r="BY36" i="2"/>
  <c r="CB65" i="2"/>
  <c r="AS297" i="2"/>
  <c r="BE164" i="2"/>
  <c r="BD164" i="2"/>
  <c r="DC126" i="2"/>
  <c r="AQ99" i="2"/>
  <c r="AQ101" i="2" s="1"/>
  <c r="AQ217" i="2"/>
  <c r="AX61" i="2"/>
  <c r="AX49" i="2"/>
  <c r="BP279" i="2"/>
  <c r="BT49" i="2"/>
  <c r="BX50" i="2" s="1"/>
  <c r="BT36" i="2"/>
  <c r="BT61" i="2"/>
  <c r="BX62" i="2" s="1"/>
  <c r="BZ61" i="2"/>
  <c r="BZ62" i="2" s="1"/>
  <c r="BZ41" i="2"/>
  <c r="BZ49" i="2"/>
  <c r="BZ36" i="2"/>
  <c r="BZ291" i="5"/>
  <c r="DM299" i="2"/>
  <c r="CF249" i="2"/>
  <c r="DM85" i="2"/>
  <c r="DL252" i="2"/>
  <c r="DK64" i="2"/>
  <c r="DK125" i="2" s="1"/>
  <c r="DK246" i="2"/>
  <c r="DD140" i="2"/>
  <c r="DG99" i="2"/>
  <c r="DG101" i="2" s="1"/>
  <c r="DG16" i="2"/>
  <c r="DO16" i="2"/>
  <c r="BU309" i="2"/>
  <c r="AY9" i="2"/>
  <c r="AY100" i="2" s="1"/>
  <c r="CB20" i="5"/>
  <c r="DM255" i="2"/>
  <c r="BS65" i="2"/>
  <c r="DK94" i="2"/>
  <c r="DD11" i="2"/>
  <c r="DE163" i="2"/>
  <c r="DA198" i="2"/>
  <c r="BL279" i="2"/>
  <c r="BK287" i="2"/>
  <c r="CC167" i="2"/>
  <c r="AT221" i="2"/>
  <c r="AT224" i="2" s="1"/>
  <c r="BC273" i="2"/>
  <c r="BC274" i="2" s="1"/>
  <c r="BS273" i="2"/>
  <c r="BS274" i="2" s="1"/>
  <c r="CG130" i="2"/>
  <c r="CE20" i="5"/>
  <c r="CD101" i="2"/>
  <c r="DM90" i="2"/>
  <c r="BX130" i="2"/>
  <c r="BE231" i="2"/>
  <c r="BU20" i="5"/>
  <c r="BU260" i="5" s="1"/>
  <c r="DB100" i="2"/>
  <c r="DC125" i="2"/>
  <c r="DG94" i="2"/>
  <c r="DC108" i="2"/>
  <c r="DC194" i="2"/>
  <c r="CX192" i="2"/>
  <c r="DC185" i="2"/>
  <c r="DC173" i="2"/>
  <c r="BP66" i="2"/>
  <c r="BH35" i="2"/>
  <c r="DH16" i="2"/>
  <c r="CF218" i="2"/>
  <c r="CH242" i="2"/>
  <c r="BR20" i="5"/>
  <c r="BR260" i="5" s="1"/>
  <c r="DH161" i="2"/>
  <c r="DH198" i="2"/>
  <c r="CX231" i="2"/>
  <c r="BP101" i="2"/>
  <c r="DK249" i="2"/>
  <c r="CH130" i="2"/>
  <c r="CC130" i="2"/>
  <c r="CC181" i="1" s="1"/>
  <c r="CC182" i="1" s="1"/>
  <c r="CB101" i="2"/>
  <c r="DL246" i="2"/>
  <c r="BT101" i="2"/>
  <c r="BR86" i="2"/>
  <c r="BT309" i="2"/>
  <c r="BG65" i="2"/>
  <c r="BE130" i="2"/>
  <c r="BE181" i="1" s="1"/>
  <c r="BF130" i="2"/>
  <c r="BF131" i="2" s="1"/>
  <c r="DJ7" i="2"/>
  <c r="DH211" i="2"/>
  <c r="DD177" i="2"/>
  <c r="DF234" i="2"/>
  <c r="CY166" i="2"/>
  <c r="AZ139" i="2"/>
  <c r="DD126" i="2"/>
  <c r="DG122" i="2"/>
  <c r="CX94" i="2"/>
  <c r="DA72" i="2"/>
  <c r="CX7" i="2"/>
  <c r="BP26" i="2"/>
  <c r="BW242" i="2"/>
  <c r="CG309" i="2"/>
  <c r="BY276" i="2"/>
  <c r="CH276" i="2"/>
  <c r="AX221" i="2"/>
  <c r="AX224" i="2" s="1"/>
  <c r="AQ215" i="2"/>
  <c r="AR209" i="2"/>
  <c r="AR213" i="2" s="1"/>
  <c r="AR215" i="2" s="1"/>
  <c r="CL34" i="2"/>
  <c r="CJ33" i="2"/>
  <c r="CC203" i="2"/>
  <c r="CC197" i="2"/>
  <c r="BV130" i="2"/>
  <c r="BV181" i="1" s="1"/>
  <c r="BV182" i="1" s="1"/>
  <c r="BA249" i="2"/>
  <c r="AS255" i="2"/>
  <c r="AR241" i="2"/>
  <c r="AS252" i="2"/>
  <c r="CH30" i="2"/>
  <c r="DE201" i="2"/>
  <c r="DB20" i="5"/>
  <c r="BA252" i="2"/>
  <c r="AZ270" i="2"/>
  <c r="BA266" i="2"/>
  <c r="BH312" i="2"/>
  <c r="BZ321" i="2"/>
  <c r="BZ312" i="2" s="1"/>
  <c r="BZ281" i="2" s="1"/>
  <c r="BZ282" i="2" s="1"/>
  <c r="CA252" i="2"/>
  <c r="CB252" i="2"/>
  <c r="CA242" i="2"/>
  <c r="DK58" i="2"/>
  <c r="BF204" i="2"/>
  <c r="BE161" i="2"/>
  <c r="BF198" i="2"/>
  <c r="CG33" i="2"/>
  <c r="AS125" i="2"/>
  <c r="AW65" i="2"/>
  <c r="BF61" i="2"/>
  <c r="BF16" i="2"/>
  <c r="BF17" i="2" s="1"/>
  <c r="BI16" i="2"/>
  <c r="BI17" i="2" s="1"/>
  <c r="BI41" i="2"/>
  <c r="CC35" i="2"/>
  <c r="CJ203" i="2"/>
  <c r="CJ200" i="2"/>
  <c r="CI115" i="2"/>
  <c r="DN248" i="2"/>
  <c r="DN249" i="2" s="1"/>
  <c r="CD250" i="2"/>
  <c r="BK261" i="2"/>
  <c r="BK273" i="2"/>
  <c r="BI65" i="2"/>
  <c r="BI66" i="2"/>
  <c r="BI69" i="2"/>
  <c r="BI125" i="2"/>
  <c r="BD204" i="2"/>
  <c r="BD198" i="2"/>
  <c r="BG161" i="2"/>
  <c r="BC166" i="2"/>
  <c r="BC21" i="2" s="1"/>
  <c r="BC61" i="1" s="1"/>
  <c r="BC62" i="1" s="1"/>
  <c r="BD201" i="2"/>
  <c r="CG16" i="2"/>
  <c r="AU43" i="2"/>
  <c r="AV147" i="2"/>
  <c r="BR41" i="2"/>
  <c r="CA49" i="2"/>
  <c r="BS66" i="2"/>
  <c r="DC85" i="2"/>
  <c r="DB125" i="2"/>
  <c r="DA231" i="2"/>
  <c r="BF265" i="2"/>
  <c r="BF26" i="2"/>
  <c r="AZ249" i="2"/>
  <c r="AQ64" i="2"/>
  <c r="AQ69" i="2" s="1"/>
  <c r="DE84" i="2"/>
  <c r="DE64" i="2" s="1"/>
  <c r="DE65" i="2" s="1"/>
  <c r="CY76" i="2"/>
  <c r="CV47" i="2"/>
  <c r="CV46" i="2"/>
  <c r="AZ41" i="2"/>
  <c r="AZ152" i="2" s="1"/>
  <c r="AZ61" i="2"/>
  <c r="AZ62" i="2" s="1"/>
  <c r="AZ49" i="2"/>
  <c r="AZ51" i="2" s="1"/>
  <c r="DL72" i="2"/>
  <c r="DL64" i="2"/>
  <c r="BP252" i="2"/>
  <c r="BO241" i="2"/>
  <c r="BV86" i="2"/>
  <c r="AU221" i="2"/>
  <c r="AU224" i="2" s="1"/>
  <c r="BC221" i="2"/>
  <c r="BC224" i="2" s="1"/>
  <c r="BZ181" i="1"/>
  <c r="CA129" i="2"/>
  <c r="BZ131" i="2"/>
  <c r="BA241" i="2"/>
  <c r="BB252" i="2"/>
  <c r="BE241" i="2"/>
  <c r="CG49" i="2"/>
  <c r="CG50" i="2" s="1"/>
  <c r="CG36" i="2"/>
  <c r="BR36" i="2"/>
  <c r="BL48" i="2"/>
  <c r="BL10" i="2" s="1"/>
  <c r="BL39" i="2" s="1"/>
  <c r="BL209" i="2"/>
  <c r="BL213" i="2" s="1"/>
  <c r="BK214" i="2"/>
  <c r="BF181" i="1"/>
  <c r="BF182" i="1" s="1"/>
  <c r="AY197" i="2"/>
  <c r="AY203" i="2"/>
  <c r="DD234" i="2"/>
  <c r="AR90" i="2"/>
  <c r="AR91" i="2" s="1"/>
  <c r="CX76" i="2"/>
  <c r="BY101" i="2"/>
  <c r="BU130" i="2"/>
  <c r="BU132" i="2" s="1"/>
  <c r="BU101" i="2"/>
  <c r="BB142" i="2"/>
  <c r="DG142" i="2" s="1"/>
  <c r="BB230" i="2"/>
  <c r="BS125" i="2"/>
  <c r="BS130" i="2"/>
  <c r="BS181" i="1" s="1"/>
  <c r="BS182" i="1" s="1"/>
  <c r="BW65" i="2"/>
  <c r="DI215" i="2"/>
  <c r="DI201" i="2"/>
  <c r="CK30" i="2"/>
  <c r="BR49" i="2"/>
  <c r="BR148" i="2" s="1"/>
  <c r="DN148" i="2" s="1"/>
  <c r="BC48" i="2"/>
  <c r="BC10" i="2" s="1"/>
  <c r="BC47" i="2" s="1"/>
  <c r="BK48" i="2"/>
  <c r="BK10" i="2" s="1"/>
  <c r="DN161" i="2"/>
  <c r="BW20" i="5"/>
  <c r="BW260" i="5" s="1"/>
  <c r="BW281" i="2"/>
  <c r="BW282" i="2" s="1"/>
  <c r="BX167" i="2"/>
  <c r="DK126" i="2"/>
  <c r="DA47" i="2"/>
  <c r="BB139" i="2"/>
  <c r="DG139" i="2" s="1"/>
  <c r="BB231" i="2"/>
  <c r="BE204" i="2"/>
  <c r="BH161" i="2"/>
  <c r="BD85" i="2"/>
  <c r="BD86" i="2" s="1"/>
  <c r="BD166" i="2"/>
  <c r="BD21" i="2" s="1"/>
  <c r="AW166" i="2"/>
  <c r="AW21" i="2" s="1"/>
  <c r="AW85" i="2"/>
  <c r="AW86" i="2" s="1"/>
  <c r="DD143" i="2"/>
  <c r="CA197" i="2"/>
  <c r="DM201" i="2"/>
  <c r="DK7" i="2"/>
  <c r="DA157" i="2"/>
  <c r="DD100" i="2"/>
  <c r="AZ263" i="2"/>
  <c r="AZ267" i="2" s="1"/>
  <c r="AZ260" i="2" s="1"/>
  <c r="AZ261" i="2" s="1"/>
  <c r="AS161" i="2"/>
  <c r="CZ19" i="5"/>
  <c r="CZ274" i="5" s="1"/>
  <c r="BB321" i="2"/>
  <c r="DG321" i="2" s="1"/>
  <c r="BJ241" i="2"/>
  <c r="BS90" i="2"/>
  <c r="AL177" i="1"/>
  <c r="AL178" i="1" s="1"/>
  <c r="DL16" i="2"/>
  <c r="CK167" i="2"/>
  <c r="CJ27" i="2"/>
  <c r="CJ31" i="2" s="1"/>
  <c r="DM163" i="2"/>
  <c r="DK163" i="2"/>
  <c r="DB189" i="2"/>
  <c r="DA125" i="2"/>
  <c r="CZ185" i="2"/>
  <c r="DA65" i="2"/>
  <c r="DC122" i="2"/>
  <c r="DC72" i="2"/>
  <c r="BA264" i="2"/>
  <c r="AY268" i="2"/>
  <c r="AQ291" i="5"/>
  <c r="BD26" i="2"/>
  <c r="BB299" i="2"/>
  <c r="DG299" i="2" s="1"/>
  <c r="DF163" i="2"/>
  <c r="DG164" i="2" s="1"/>
  <c r="CW194" i="2"/>
  <c r="CZ143" i="2"/>
  <c r="BE139" i="2"/>
  <c r="AW139" i="2"/>
  <c r="DD111" i="2"/>
  <c r="CZ101" i="2"/>
  <c r="DG64" i="2"/>
  <c r="DG125" i="2" s="1"/>
  <c r="BD66" i="2"/>
  <c r="BH101" i="2"/>
  <c r="BK21" i="2"/>
  <c r="BK27" i="2" s="1"/>
  <c r="BK31" i="2" s="1"/>
  <c r="BS197" i="2"/>
  <c r="CD34" i="2"/>
  <c r="CZ49" i="5"/>
  <c r="CG281" i="2"/>
  <c r="CG282" i="2" s="1"/>
  <c r="AV221" i="2"/>
  <c r="AV224" i="2" s="1"/>
  <c r="BD221" i="2"/>
  <c r="CY122" i="2"/>
  <c r="AT204" i="2"/>
  <c r="DF64" i="2"/>
  <c r="DF125" i="2" s="1"/>
  <c r="CA90" i="2"/>
  <c r="DJ58" i="2"/>
  <c r="CI221" i="2"/>
  <c r="CI224" i="2" s="1"/>
  <c r="BF273" i="2"/>
  <c r="BD224" i="2"/>
  <c r="CZ201" i="2"/>
  <c r="DB122" i="2"/>
  <c r="BM167" i="2"/>
  <c r="DK312" i="2"/>
  <c r="DI255" i="2"/>
  <c r="CI249" i="2"/>
  <c r="AW303" i="2"/>
  <c r="CE101" i="2"/>
  <c r="BU281" i="2"/>
  <c r="BU282" i="2" s="1"/>
  <c r="BJ197" i="2"/>
  <c r="DJ241" i="2"/>
  <c r="BE65" i="2"/>
  <c r="BR281" i="2"/>
  <c r="CX111" i="2"/>
  <c r="CY100" i="2"/>
  <c r="DB56" i="2"/>
  <c r="AZ164" i="2"/>
  <c r="CZ231" i="2"/>
  <c r="BB65" i="2"/>
  <c r="AY291" i="5"/>
  <c r="AV139" i="2"/>
  <c r="BC148" i="2"/>
  <c r="BL26" i="2"/>
  <c r="BO287" i="2"/>
  <c r="BQ101" i="2"/>
  <c r="BW249" i="2"/>
  <c r="BW21" i="2"/>
  <c r="DJ258" i="2"/>
  <c r="CF221" i="2"/>
  <c r="CF222" i="2" s="1"/>
  <c r="DO85" i="2"/>
  <c r="DF211" i="2"/>
  <c r="BS20" i="5"/>
  <c r="BS260" i="5" s="1"/>
  <c r="DD125" i="2"/>
  <c r="DH7" i="2"/>
  <c r="DB50" i="2"/>
  <c r="DC50" i="2"/>
  <c r="CW100" i="2"/>
  <c r="AV164" i="2"/>
  <c r="BA139" i="2"/>
  <c r="BE312" i="2"/>
  <c r="BE20" i="5" s="1"/>
  <c r="BE260" i="5" s="1"/>
  <c r="BG312" i="2"/>
  <c r="BP309" i="2"/>
  <c r="DN234" i="2"/>
  <c r="DO234" i="2"/>
  <c r="DL56" i="2"/>
  <c r="DK255" i="2"/>
  <c r="AS221" i="2"/>
  <c r="DO167" i="2"/>
  <c r="DN167" i="2"/>
  <c r="DO168" i="2"/>
  <c r="BU90" i="2"/>
  <c r="BU91" i="2" s="1"/>
  <c r="BT242" i="2"/>
  <c r="BU242" i="2"/>
  <c r="BU249" i="2"/>
  <c r="BU246" i="2"/>
  <c r="CW108" i="2"/>
  <c r="CW47" i="2"/>
  <c r="DH255" i="2"/>
  <c r="DH249" i="2"/>
  <c r="BC164" i="2"/>
  <c r="BB166" i="2"/>
  <c r="BB21" i="2" s="1"/>
  <c r="DD85" i="2"/>
  <c r="DD77" i="2"/>
  <c r="BL125" i="2"/>
  <c r="BL66" i="2"/>
  <c r="BP65" i="2"/>
  <c r="BL65" i="2"/>
  <c r="DR166" i="2"/>
  <c r="DS166" i="2" s="1"/>
  <c r="BX67" i="2"/>
  <c r="DD189" i="2"/>
  <c r="DD192" i="2"/>
  <c r="DD39" i="2"/>
  <c r="DD47" i="2" s="1"/>
  <c r="DD42" i="2"/>
  <c r="DH252" i="2"/>
  <c r="CC125" i="2"/>
  <c r="CG65" i="2"/>
  <c r="DN201" i="2"/>
  <c r="DL126" i="2"/>
  <c r="BU252" i="2"/>
  <c r="BQ164" i="2"/>
  <c r="DB41" i="2"/>
  <c r="BD246" i="2"/>
  <c r="BC241" i="2"/>
  <c r="CW234" i="2"/>
  <c r="CW122" i="2"/>
  <c r="CI130" i="2"/>
  <c r="CT64" i="2"/>
  <c r="CE66" i="2"/>
  <c r="CD130" i="2"/>
  <c r="CD132" i="2" s="1"/>
  <c r="CC66" i="2"/>
  <c r="CA131" i="2"/>
  <c r="DL163" i="2"/>
  <c r="CC48" i="2"/>
  <c r="CC40" i="2"/>
  <c r="CC10" i="2" s="1"/>
  <c r="CC11" i="2" s="1"/>
  <c r="DJ99" i="2"/>
  <c r="DD41" i="2"/>
  <c r="DD181" i="2"/>
  <c r="CZ81" i="2"/>
  <c r="AV297" i="2"/>
  <c r="AV291" i="5"/>
  <c r="BD270" i="2"/>
  <c r="BE266" i="2"/>
  <c r="BC252" i="2"/>
  <c r="BB90" i="2"/>
  <c r="BC249" i="2"/>
  <c r="BC246" i="2"/>
  <c r="BF241" i="2"/>
  <c r="BB249" i="2"/>
  <c r="BC90" i="2"/>
  <c r="BC91" i="2" s="1"/>
  <c r="AU249" i="2"/>
  <c r="AU90" i="2"/>
  <c r="AU91" i="2" s="1"/>
  <c r="AU252" i="2"/>
  <c r="AT90" i="2"/>
  <c r="DF237" i="2"/>
  <c r="DF238" i="2" s="1"/>
  <c r="AX238" i="2"/>
  <c r="BK125" i="2"/>
  <c r="BK130" i="2"/>
  <c r="BK69" i="2"/>
  <c r="BO65" i="2"/>
  <c r="BL270" i="2"/>
  <c r="BW67" i="2"/>
  <c r="BW125" i="2"/>
  <c r="BO224" i="2"/>
  <c r="CF197" i="2"/>
  <c r="CF198" i="2"/>
  <c r="BZ249" i="2"/>
  <c r="BZ276" i="2"/>
  <c r="BZ250" i="2"/>
  <c r="CH249" i="2"/>
  <c r="CH250" i="2"/>
  <c r="AQ222" i="2"/>
  <c r="AY273" i="2"/>
  <c r="BG273" i="2"/>
  <c r="BG274" i="2" s="1"/>
  <c r="BO273" i="2"/>
  <c r="BW273" i="2"/>
  <c r="CE273" i="2"/>
  <c r="CE278" i="2" s="1"/>
  <c r="BN36" i="2"/>
  <c r="CE200" i="2"/>
  <c r="BZ65" i="2"/>
  <c r="BV125" i="2"/>
  <c r="BV65" i="2"/>
  <c r="BR200" i="2"/>
  <c r="CY111" i="2"/>
  <c r="CY185" i="2"/>
  <c r="CY173" i="2"/>
  <c r="CY39" i="2"/>
  <c r="CY189" i="2"/>
  <c r="CY181" i="2"/>
  <c r="CY177" i="2"/>
  <c r="CZ42" i="2"/>
  <c r="AQ118" i="2"/>
  <c r="BZ200" i="2"/>
  <c r="BY115" i="2"/>
  <c r="DO115" i="2"/>
  <c r="DO99" i="2"/>
  <c r="CI30" i="2"/>
  <c r="CK34" i="2"/>
  <c r="CI125" i="2"/>
  <c r="BT90" i="2"/>
  <c r="BT91" i="2" s="1"/>
  <c r="DK198" i="2"/>
  <c r="BQ115" i="2"/>
  <c r="BO166" i="2"/>
  <c r="BO167" i="2" s="1"/>
  <c r="BQ61" i="2"/>
  <c r="BQ62" i="2" s="1"/>
  <c r="BQ36" i="2"/>
  <c r="BQ49" i="2"/>
  <c r="BQ16" i="2"/>
  <c r="BQ17" i="2" s="1"/>
  <c r="BQ18" i="2" s="1"/>
  <c r="DJ285" i="2"/>
  <c r="DJ287" i="2" s="1"/>
  <c r="BM40" i="2"/>
  <c r="DR40" i="2" s="1"/>
  <c r="BM48" i="2"/>
  <c r="BL164" i="2"/>
  <c r="BI164" i="2"/>
  <c r="BH166" i="2"/>
  <c r="BL167" i="2" s="1"/>
  <c r="BI161" i="2"/>
  <c r="BE85" i="2"/>
  <c r="BE86" i="2" s="1"/>
  <c r="BF85" i="2"/>
  <c r="BF86" i="2" s="1"/>
  <c r="BE166" i="2"/>
  <c r="BI167" i="2" s="1"/>
  <c r="DB108" i="2"/>
  <c r="BD312" i="2"/>
  <c r="BF321" i="2"/>
  <c r="DH321" i="2" s="1"/>
  <c r="BB314" i="2"/>
  <c r="BA312" i="2"/>
  <c r="AQ312" i="2"/>
  <c r="AT314" i="2"/>
  <c r="DE314" i="2" s="1"/>
  <c r="AY65" i="2"/>
  <c r="AY130" i="2"/>
  <c r="AY66" i="2"/>
  <c r="AY125" i="2"/>
  <c r="BG270" i="2"/>
  <c r="BH266" i="2"/>
  <c r="BI266" i="2" s="1"/>
  <c r="BG279" i="2"/>
  <c r="BG281" i="2"/>
  <c r="DO94" i="2"/>
  <c r="BW130" i="2"/>
  <c r="CA132" i="2" s="1"/>
  <c r="BX41" i="2"/>
  <c r="BX36" i="2"/>
  <c r="BX16" i="2"/>
  <c r="BX17" i="2" s="1"/>
  <c r="BX61" i="2"/>
  <c r="CB62" i="2" s="1"/>
  <c r="CF265" i="2"/>
  <c r="CG264" i="2"/>
  <c r="CG273" i="2" s="1"/>
  <c r="CG274" i="2" s="1"/>
  <c r="CE221" i="2"/>
  <c r="BY197" i="2"/>
  <c r="BY198" i="2"/>
  <c r="CG197" i="2"/>
  <c r="CA276" i="2"/>
  <c r="CA249" i="2"/>
  <c r="CI21" i="2"/>
  <c r="CI61" i="1" s="1"/>
  <c r="CI62" i="1" s="1"/>
  <c r="CI242" i="2"/>
  <c r="CI252" i="2"/>
  <c r="CI255" i="2"/>
  <c r="CI241" i="2"/>
  <c r="CJ246" i="2"/>
  <c r="CJ255" i="2"/>
  <c r="AZ221" i="2"/>
  <c r="AZ224" i="2" s="1"/>
  <c r="AY221" i="2"/>
  <c r="AY224" i="2" s="1"/>
  <c r="BH221" i="2"/>
  <c r="BW221" i="2"/>
  <c r="BW222" i="2" s="1"/>
  <c r="BX221" i="2"/>
  <c r="BP273" i="2"/>
  <c r="BX273" i="2"/>
  <c r="CF273" i="2"/>
  <c r="CF274" i="2" s="1"/>
  <c r="AU201" i="2"/>
  <c r="AX161" i="2"/>
  <c r="AT166" i="2"/>
  <c r="AU203" i="2" s="1"/>
  <c r="DE160" i="2"/>
  <c r="DE166" i="2" s="1"/>
  <c r="DE94" i="2"/>
  <c r="DD72" i="2"/>
  <c r="CV77" i="2"/>
  <c r="CV76" i="2"/>
  <c r="BK281" i="2"/>
  <c r="BK282" i="2" s="1"/>
  <c r="DJ297" i="2"/>
  <c r="CH241" i="2"/>
  <c r="CD241" i="2"/>
  <c r="CD21" i="2"/>
  <c r="CE242" i="2"/>
  <c r="CE252" i="2"/>
  <c r="DN240" i="2"/>
  <c r="DO249" i="2" s="1"/>
  <c r="DH90" i="2"/>
  <c r="DH91" i="2" s="1"/>
  <c r="BL69" i="2"/>
  <c r="CD33" i="2"/>
  <c r="CD30" i="2"/>
  <c r="BN61" i="2"/>
  <c r="BN62" i="2" s="1"/>
  <c r="BN238" i="2"/>
  <c r="BN118" i="2"/>
  <c r="DJ249" i="2"/>
  <c r="DD185" i="2"/>
  <c r="AQ167" i="2"/>
  <c r="CZ108" i="2"/>
  <c r="CZ50" i="2"/>
  <c r="DA50" i="2"/>
  <c r="BD104" i="2"/>
  <c r="BE212" i="2"/>
  <c r="AZ241" i="2"/>
  <c r="AW252" i="2"/>
  <c r="AW246" i="2"/>
  <c r="AV241" i="2"/>
  <c r="AS118" i="2"/>
  <c r="AR238" i="2"/>
  <c r="AW230" i="2"/>
  <c r="AW142" i="2"/>
  <c r="BA230" i="2"/>
  <c r="AW231" i="2"/>
  <c r="BK61" i="2"/>
  <c r="BK62" i="2" s="1"/>
  <c r="BK36" i="2"/>
  <c r="BK16" i="2"/>
  <c r="BK17" i="2" s="1"/>
  <c r="BU197" i="2"/>
  <c r="BU200" i="2"/>
  <c r="BT167" i="2"/>
  <c r="AV249" i="2"/>
  <c r="AV252" i="2"/>
  <c r="AV90" i="2"/>
  <c r="AV91" i="2" s="1"/>
  <c r="AY241" i="2"/>
  <c r="AV246" i="2"/>
  <c r="DE234" i="2"/>
  <c r="DE122" i="2"/>
  <c r="BE299" i="2"/>
  <c r="BM33" i="2"/>
  <c r="BO34" i="2"/>
  <c r="CE197" i="2"/>
  <c r="CE198" i="2"/>
  <c r="BN42" i="2"/>
  <c r="BJ42" i="2"/>
  <c r="CG250" i="2"/>
  <c r="CI66" i="2"/>
  <c r="CF167" i="2"/>
  <c r="CB21" i="2"/>
  <c r="CB23" i="2" s="1"/>
  <c r="CC200" i="2"/>
  <c r="CB167" i="2"/>
  <c r="BT21" i="2"/>
  <c r="BT61" i="1" s="1"/>
  <c r="BT62" i="1" s="1"/>
  <c r="BT115" i="2"/>
  <c r="BP265" i="2"/>
  <c r="AS166" i="2"/>
  <c r="AX125" i="2"/>
  <c r="AX66" i="2"/>
  <c r="AX130" i="2"/>
  <c r="BP211" i="2"/>
  <c r="BQ210" i="2"/>
  <c r="BQ90" i="2"/>
  <c r="BP241" i="2"/>
  <c r="BQ246" i="2"/>
  <c r="BB91" i="2"/>
  <c r="BU41" i="2"/>
  <c r="BY42" i="2" s="1"/>
  <c r="BU49" i="2"/>
  <c r="BU50" i="2" s="1"/>
  <c r="DL13" i="2"/>
  <c r="BV16" i="2"/>
  <c r="BV17" i="2" s="1"/>
  <c r="BV18" i="2" s="1"/>
  <c r="BV49" i="2"/>
  <c r="BV41" i="2"/>
  <c r="CF125" i="2"/>
  <c r="CF65" i="2"/>
  <c r="CF270" i="2"/>
  <c r="CG266" i="2"/>
  <c r="DP234" i="2"/>
  <c r="AU164" i="2"/>
  <c r="AT164" i="2"/>
  <c r="CE203" i="2"/>
  <c r="CD115" i="2"/>
  <c r="BM115" i="2"/>
  <c r="BG21" i="2"/>
  <c r="BH197" i="2"/>
  <c r="BH203" i="2"/>
  <c r="BK167" i="2"/>
  <c r="BH200" i="2"/>
  <c r="BG115" i="2"/>
  <c r="BA201" i="2"/>
  <c r="BA204" i="2"/>
  <c r="BA198" i="2"/>
  <c r="BA85" i="2"/>
  <c r="BA86" i="2" s="1"/>
  <c r="BD161" i="2"/>
  <c r="AZ166" i="2"/>
  <c r="CX100" i="2"/>
  <c r="CY101" i="2"/>
  <c r="DB72" i="2"/>
  <c r="DB94" i="2"/>
  <c r="DC77" i="2"/>
  <c r="DC76" i="2"/>
  <c r="BC125" i="2"/>
  <c r="BC66" i="2"/>
  <c r="BC65" i="2"/>
  <c r="BS33" i="2"/>
  <c r="BS35" i="2" s="1"/>
  <c r="BU34" i="2"/>
  <c r="BW30" i="2"/>
  <c r="CE90" i="2"/>
  <c r="BN16" i="2"/>
  <c r="BN17" i="2" s="1"/>
  <c r="BT241" i="2"/>
  <c r="DC42" i="2"/>
  <c r="DB192" i="2"/>
  <c r="DB42" i="2"/>
  <c r="DB181" i="2"/>
  <c r="DB111" i="2"/>
  <c r="DB194" i="2"/>
  <c r="BD249" i="2"/>
  <c r="BE90" i="2"/>
  <c r="BE91" i="2" s="1"/>
  <c r="CX234" i="2"/>
  <c r="CX122" i="2"/>
  <c r="CY234" i="2"/>
  <c r="DA76" i="2"/>
  <c r="CZ76" i="2"/>
  <c r="BI210" i="2"/>
  <c r="BJ210" i="2" s="1"/>
  <c r="BH211" i="2"/>
  <c r="BV34" i="2"/>
  <c r="BU33" i="2"/>
  <c r="BT33" i="2"/>
  <c r="CB221" i="2"/>
  <c r="CB224" i="2" s="1"/>
  <c r="CB211" i="2"/>
  <c r="CC210" i="2"/>
  <c r="CE249" i="2"/>
  <c r="CK21" i="2"/>
  <c r="CK22" i="2" s="1"/>
  <c r="CK252" i="2"/>
  <c r="CK255" i="2"/>
  <c r="AX42" i="2"/>
  <c r="CH34" i="2"/>
  <c r="CF33" i="2"/>
  <c r="CF35" i="2" s="1"/>
  <c r="CF30" i="2"/>
  <c r="CC131" i="2"/>
  <c r="BE66" i="2"/>
  <c r="DD173" i="2"/>
  <c r="DB201" i="2"/>
  <c r="AZ218" i="2"/>
  <c r="BA212" i="2"/>
  <c r="AZ104" i="2"/>
  <c r="BC231" i="2"/>
  <c r="BC139" i="2"/>
  <c r="CI20" i="5"/>
  <c r="DN126" i="2"/>
  <c r="DO197" i="2"/>
  <c r="DO163" i="2"/>
  <c r="CE33" i="2"/>
  <c r="CE35" i="2" s="1"/>
  <c r="CG34" i="2"/>
  <c r="CG35" i="2" s="1"/>
  <c r="CE30" i="2"/>
  <c r="CA33" i="2"/>
  <c r="CA35" i="2" s="1"/>
  <c r="CB34" i="2"/>
  <c r="BQ264" i="2"/>
  <c r="BQ130" i="2"/>
  <c r="BQ131" i="2" s="1"/>
  <c r="BR66" i="2"/>
  <c r="BQ65" i="2"/>
  <c r="BU65" i="2"/>
  <c r="DJ246" i="2"/>
  <c r="BH65" i="2"/>
  <c r="DB185" i="2"/>
  <c r="BC230" i="2"/>
  <c r="BB130" i="2"/>
  <c r="BB101" i="2"/>
  <c r="DE72" i="2"/>
  <c r="DF94" i="2"/>
  <c r="DE77" i="2"/>
  <c r="CW77" i="2"/>
  <c r="BQ212" i="2"/>
  <c r="BQ218" i="2" s="1"/>
  <c r="BP218" i="2"/>
  <c r="BQ21" i="2"/>
  <c r="BQ61" i="1" s="1"/>
  <c r="BQ62" i="1" s="1"/>
  <c r="BR249" i="2"/>
  <c r="BR252" i="2"/>
  <c r="BR90" i="2"/>
  <c r="BR91" i="2" s="1"/>
  <c r="BR246" i="2"/>
  <c r="BS203" i="2"/>
  <c r="DK166" i="2"/>
  <c r="DL197" i="2" s="1"/>
  <c r="BS200" i="2"/>
  <c r="BR164" i="2"/>
  <c r="BS164" i="2"/>
  <c r="BU210" i="2"/>
  <c r="BT211" i="2"/>
  <c r="CE21" i="2"/>
  <c r="CE27" i="2" s="1"/>
  <c r="CE31" i="2" s="1"/>
  <c r="CE115" i="2"/>
  <c r="CG203" i="2"/>
  <c r="CJ167" i="2"/>
  <c r="CF21" i="2"/>
  <c r="CF61" i="1" s="1"/>
  <c r="CF62" i="1" s="1"/>
  <c r="CF115" i="2"/>
  <c r="CH197" i="2"/>
  <c r="CH198" i="2"/>
  <c r="BP221" i="2"/>
  <c r="BP224" i="2" s="1"/>
  <c r="AY43" i="2"/>
  <c r="CJ35" i="2"/>
  <c r="DN168" i="2"/>
  <c r="DM297" i="2"/>
  <c r="DO64" i="2"/>
  <c r="BT249" i="2"/>
  <c r="CZ47" i="2"/>
  <c r="DA189" i="2"/>
  <c r="DA181" i="2"/>
  <c r="DA39" i="2"/>
  <c r="CZ131" i="2"/>
  <c r="CZ132" i="2"/>
  <c r="BK164" i="2"/>
  <c r="BJ166" i="2"/>
  <c r="BJ167" i="2" s="1"/>
  <c r="BM264" i="2"/>
  <c r="BT218" i="2"/>
  <c r="BU212" i="2"/>
  <c r="CE167" i="2"/>
  <c r="DM207" i="2"/>
  <c r="DK201" i="2"/>
  <c r="DJ126" i="2"/>
  <c r="BJ66" i="2"/>
  <c r="BH125" i="2"/>
  <c r="BG203" i="2"/>
  <c r="BF21" i="2"/>
  <c r="CZ41" i="2"/>
  <c r="DA173" i="2"/>
  <c r="DA108" i="2"/>
  <c r="DA133" i="2"/>
  <c r="DA132" i="2"/>
  <c r="CZ177" i="2"/>
  <c r="DB198" i="2"/>
  <c r="DK258" i="2"/>
  <c r="CE130" i="2"/>
  <c r="CE181" i="1" s="1"/>
  <c r="CE214" i="1" s="1"/>
  <c r="CE215" i="1" s="1"/>
  <c r="CB281" i="2"/>
  <c r="CB282" i="2" s="1"/>
  <c r="DP167" i="2"/>
  <c r="BY281" i="2"/>
  <c r="BY282" i="2" s="1"/>
  <c r="BI21" i="2"/>
  <c r="BI61" i="1" s="1"/>
  <c r="BI62" i="1" s="1"/>
  <c r="BH66" i="2"/>
  <c r="BH69" i="2"/>
  <c r="BE125" i="2"/>
  <c r="BG200" i="2"/>
  <c r="DA41" i="2"/>
  <c r="BK20" i="5"/>
  <c r="BK260" i="5" s="1"/>
  <c r="CX47" i="2"/>
  <c r="CY50" i="2"/>
  <c r="DA192" i="2"/>
  <c r="BF221" i="2"/>
  <c r="BI252" i="2"/>
  <c r="BI246" i="2"/>
  <c r="BL241" i="2"/>
  <c r="BI90" i="2"/>
  <c r="BI91" i="2" s="1"/>
  <c r="BJ314" i="2"/>
  <c r="CB276" i="2"/>
  <c r="CK101" i="2"/>
  <c r="DO161" i="2"/>
  <c r="DN198" i="2"/>
  <c r="DK297" i="2"/>
  <c r="DK20" i="5" s="1"/>
  <c r="DJ261" i="2"/>
  <c r="DA194" i="2"/>
  <c r="DB143" i="2"/>
  <c r="DB140" i="2"/>
  <c r="BE221" i="2"/>
  <c r="BE26" i="2"/>
  <c r="BE211" i="2"/>
  <c r="DF246" i="2"/>
  <c r="AS238" i="2"/>
  <c r="AS69" i="2"/>
  <c r="DG234" i="2"/>
  <c r="DH234" i="2"/>
  <c r="BD142" i="2"/>
  <c r="BD231" i="2"/>
  <c r="BD139" i="2"/>
  <c r="AX142" i="2"/>
  <c r="DF142" i="2" s="1"/>
  <c r="AX230" i="2"/>
  <c r="AX231" i="2"/>
  <c r="AX139" i="2"/>
  <c r="DF139" i="2" s="1"/>
  <c r="DA201" i="2"/>
  <c r="DA163" i="2"/>
  <c r="DA166" i="2" s="1"/>
  <c r="DD194" i="2"/>
  <c r="CY192" i="2"/>
  <c r="DD118" i="2"/>
  <c r="BF246" i="2"/>
  <c r="BF239" i="2"/>
  <c r="BF249" i="2"/>
  <c r="BF252" i="2"/>
  <c r="BL20" i="5"/>
  <c r="BL281" i="2"/>
  <c r="BL282" i="2" s="1"/>
  <c r="DJ59" i="2"/>
  <c r="DJ56" i="2"/>
  <c r="BC297" i="2"/>
  <c r="BF297" i="2" s="1"/>
  <c r="BF299" i="2" s="1"/>
  <c r="BF291" i="5" s="1"/>
  <c r="BC291" i="5"/>
  <c r="DA185" i="2"/>
  <c r="AX204" i="2"/>
  <c r="AX201" i="2"/>
  <c r="AX85" i="2"/>
  <c r="AX86" i="2" s="1"/>
  <c r="BP125" i="2"/>
  <c r="BP130" i="2"/>
  <c r="DK130" i="2" s="1"/>
  <c r="BI287" i="2"/>
  <c r="BY86" i="2"/>
  <c r="BD218" i="2"/>
  <c r="DM56" i="2"/>
  <c r="CI203" i="2"/>
  <c r="CI200" i="2"/>
  <c r="CH167" i="2"/>
  <c r="CC276" i="2"/>
  <c r="DA11" i="2"/>
  <c r="CY11" i="2"/>
  <c r="DC111" i="2"/>
  <c r="BC204" i="2"/>
  <c r="BB85" i="2"/>
  <c r="BB86" i="2" s="1"/>
  <c r="BF161" i="2"/>
  <c r="BB161" i="2"/>
  <c r="AV85" i="2"/>
  <c r="AV86" i="2" s="1"/>
  <c r="AV69" i="2"/>
  <c r="CZ122" i="2"/>
  <c r="BG86" i="2"/>
  <c r="BS91" i="2"/>
  <c r="BR242" i="2"/>
  <c r="BT252" i="2"/>
  <c r="BW241" i="2"/>
  <c r="BJ35" i="2"/>
  <c r="CE241" i="2"/>
  <c r="CA241" i="2"/>
  <c r="CB218" i="2"/>
  <c r="CG210" i="2"/>
  <c r="CG221" i="2" s="1"/>
  <c r="CF211" i="2"/>
  <c r="CF242" i="2"/>
  <c r="BE230" i="2"/>
  <c r="DD157" i="2"/>
  <c r="BB164" i="2"/>
  <c r="DH246" i="2"/>
  <c r="DE238" i="2"/>
  <c r="AU281" i="2"/>
  <c r="AU282" i="2" s="1"/>
  <c r="CZ189" i="2"/>
  <c r="DD161" i="2"/>
  <c r="DE126" i="2"/>
  <c r="DD90" i="2"/>
  <c r="BO281" i="2"/>
  <c r="BO282" i="2" s="1"/>
  <c r="BH86" i="2"/>
  <c r="BT26" i="2"/>
  <c r="BV309" i="2"/>
  <c r="BY34" i="2"/>
  <c r="BT34" i="2"/>
  <c r="BR33" i="2"/>
  <c r="CC212" i="2"/>
  <c r="CC218" i="2" s="1"/>
  <c r="DN16" i="2"/>
  <c r="DM16" i="2"/>
  <c r="CH203" i="2"/>
  <c r="CG167" i="2"/>
  <c r="CH309" i="2"/>
  <c r="BK274" i="2"/>
  <c r="BK278" i="2"/>
  <c r="CJ218" i="2"/>
  <c r="DC47" i="2"/>
  <c r="DJ312" i="2"/>
  <c r="CZ157" i="2"/>
  <c r="CV100" i="2"/>
  <c r="CV11" i="2"/>
  <c r="DC198" i="2"/>
  <c r="AU161" i="2"/>
  <c r="AU166" i="2"/>
  <c r="AU167" i="2" s="1"/>
  <c r="DC90" i="2"/>
  <c r="DA7" i="2"/>
  <c r="BL249" i="2"/>
  <c r="BL90" i="2"/>
  <c r="BL91" i="2" s="1"/>
  <c r="BL242" i="2"/>
  <c r="BQ91" i="2"/>
  <c r="BK33" i="2"/>
  <c r="BK35" i="2" s="1"/>
  <c r="BM34" i="2"/>
  <c r="CH321" i="2"/>
  <c r="DO321" i="2" s="1"/>
  <c r="DO312" i="2" s="1"/>
  <c r="BL221" i="2"/>
  <c r="BL222" i="2" s="1"/>
  <c r="BT221" i="2"/>
  <c r="BT222" i="2" s="1"/>
  <c r="CI197" i="2"/>
  <c r="BU276" i="2"/>
  <c r="CJ221" i="2"/>
  <c r="CJ222" i="2" s="1"/>
  <c r="CY143" i="2"/>
  <c r="DC118" i="2"/>
  <c r="BF101" i="2"/>
  <c r="BN281" i="2"/>
  <c r="BN282" i="2" s="1"/>
  <c r="BJ86" i="2"/>
  <c r="BT86" i="2"/>
  <c r="BY167" i="2"/>
  <c r="BV249" i="2"/>
  <c r="BX26" i="2"/>
  <c r="BV276" i="2"/>
  <c r="CD249" i="2"/>
  <c r="AT299" i="2"/>
  <c r="AZ90" i="2"/>
  <c r="DE81" i="2"/>
  <c r="BJ164" i="2"/>
  <c r="BK90" i="2"/>
  <c r="BK91" i="2" s="1"/>
  <c r="BM101" i="2"/>
  <c r="DM94" i="2"/>
  <c r="BK86" i="2"/>
  <c r="DJ309" i="2"/>
  <c r="AZ91" i="2"/>
  <c r="BS21" i="2"/>
  <c r="BS23" i="2" s="1"/>
  <c r="BX86" i="2"/>
  <c r="BW287" i="2"/>
  <c r="BV242" i="2"/>
  <c r="BX309" i="2"/>
  <c r="CG241" i="2"/>
  <c r="X177" i="1"/>
  <c r="X178" i="1" s="1"/>
  <c r="CA273" i="2"/>
  <c r="CA274" i="2" s="1"/>
  <c r="CK90" i="2"/>
  <c r="BC312" i="2"/>
  <c r="AY261" i="2"/>
  <c r="DE198" i="2"/>
  <c r="DC192" i="2"/>
  <c r="DD122" i="2"/>
  <c r="BF242" i="2"/>
  <c r="BI249" i="2"/>
  <c r="BJ321" i="2"/>
  <c r="DI321" i="2" s="1"/>
  <c r="BM309" i="2"/>
  <c r="BM86" i="2"/>
  <c r="BG287" i="2"/>
  <c r="BI35" i="2"/>
  <c r="CB33" i="2"/>
  <c r="BD273" i="2"/>
  <c r="BD274" i="2" s="1"/>
  <c r="CB273" i="2"/>
  <c r="CB278" i="2" s="1"/>
  <c r="J51" i="5"/>
  <c r="J75" i="5" s="1"/>
  <c r="AP145" i="5"/>
  <c r="AE119" i="5"/>
  <c r="CA300" i="5"/>
  <c r="T168" i="5"/>
  <c r="T69" i="5"/>
  <c r="S140" i="5"/>
  <c r="S139" i="5" s="1"/>
  <c r="S263" i="5" s="1"/>
  <c r="AP150" i="5"/>
  <c r="BN300" i="5"/>
  <c r="G89" i="5"/>
  <c r="F277" i="5"/>
  <c r="AH298" i="5"/>
  <c r="V134" i="5"/>
  <c r="I173" i="5"/>
  <c r="I172" i="5" s="1"/>
  <c r="AM52" i="5"/>
  <c r="AM73" i="5" s="1"/>
  <c r="AS119" i="5"/>
  <c r="AS128" i="5" s="1"/>
  <c r="AG134" i="5"/>
  <c r="Y134" i="5"/>
  <c r="AL300" i="5"/>
  <c r="V300" i="5"/>
  <c r="BX259" i="5"/>
  <c r="CE259" i="5"/>
  <c r="CX48" i="5"/>
  <c r="CY59" i="5"/>
  <c r="AT107" i="5"/>
  <c r="DE107" i="5" s="1"/>
  <c r="BA259" i="5"/>
  <c r="BG143" i="5"/>
  <c r="BW58" i="5"/>
  <c r="BW80" i="5" s="1"/>
  <c r="BV132" i="5"/>
  <c r="DK173" i="5"/>
  <c r="DK54" i="5" s="1"/>
  <c r="DK77" i="5" s="1"/>
  <c r="AJ51" i="5"/>
  <c r="AJ75" i="5" s="1"/>
  <c r="L69" i="5"/>
  <c r="D128" i="5"/>
  <c r="AF65" i="5"/>
  <c r="BY300" i="5"/>
  <c r="DB94" i="5"/>
  <c r="DB133" i="5" s="1"/>
  <c r="DE69" i="5"/>
  <c r="S279" i="5"/>
  <c r="S280" i="5" s="1"/>
  <c r="AE324" i="5"/>
  <c r="DB324" i="5" s="1"/>
  <c r="BW107" i="5"/>
  <c r="AV319" i="2"/>
  <c r="AV318" i="2" s="1"/>
  <c r="AV60" i="5" s="1"/>
  <c r="AR89" i="5"/>
  <c r="CZ97" i="5"/>
  <c r="AI337" i="5"/>
  <c r="AI340" i="5" s="1"/>
  <c r="T322" i="5"/>
  <c r="K300" i="5"/>
  <c r="DA188" i="5"/>
  <c r="AF173" i="5"/>
  <c r="AF54" i="5" s="1"/>
  <c r="P173" i="5"/>
  <c r="P54" i="5" s="1"/>
  <c r="H173" i="5"/>
  <c r="H171" i="5" s="1"/>
  <c r="BA173" i="5"/>
  <c r="AC173" i="5"/>
  <c r="AC54" i="5" s="1"/>
  <c r="U173" i="5"/>
  <c r="U171" i="5" s="1"/>
  <c r="M173" i="5"/>
  <c r="M172" i="5" s="1"/>
  <c r="I143" i="5"/>
  <c r="E143" i="5"/>
  <c r="AK119" i="5"/>
  <c r="AW107" i="5"/>
  <c r="BT269" i="5"/>
  <c r="CB269" i="5"/>
  <c r="AY139" i="5"/>
  <c r="BC259" i="5"/>
  <c r="BS259" i="5"/>
  <c r="AY259" i="5"/>
  <c r="CE139" i="5"/>
  <c r="BD52" i="5"/>
  <c r="BD73" i="5" s="1"/>
  <c r="BG58" i="5"/>
  <c r="BG80" i="5" s="1"/>
  <c r="BP58" i="5"/>
  <c r="BP80" i="5" s="1"/>
  <c r="CH269" i="5"/>
  <c r="N314" i="5"/>
  <c r="AP51" i="5"/>
  <c r="AP75" i="5" s="1"/>
  <c r="AE65" i="5"/>
  <c r="BC235" i="5"/>
  <c r="DD279" i="5"/>
  <c r="DD280" i="5" s="1"/>
  <c r="BG311" i="5"/>
  <c r="BP107" i="5"/>
  <c r="U89" i="5"/>
  <c r="DC120" i="5"/>
  <c r="AB324" i="5"/>
  <c r="Z322" i="5"/>
  <c r="Z328" i="5" s="1"/>
  <c r="AM269" i="5"/>
  <c r="O108" i="5"/>
  <c r="BL300" i="5"/>
  <c r="BD300" i="5"/>
  <c r="BG300" i="5"/>
  <c r="BG322" i="5" s="1"/>
  <c r="BS300" i="5"/>
  <c r="M260" i="5"/>
  <c r="BR139" i="5"/>
  <c r="AF67" i="5"/>
  <c r="AF83" i="5" s="1"/>
  <c r="S69" i="5"/>
  <c r="K69" i="5"/>
  <c r="CH107" i="5"/>
  <c r="CH300" i="5"/>
  <c r="CI309" i="2"/>
  <c r="E139" i="5"/>
  <c r="E263" i="5" s="1"/>
  <c r="M139" i="5"/>
  <c r="M263" i="5" s="1"/>
  <c r="AU139" i="5"/>
  <c r="DF134" i="5"/>
  <c r="DD74" i="5"/>
  <c r="BS173" i="5"/>
  <c r="BU173" i="5"/>
  <c r="BU172" i="5" s="1"/>
  <c r="CA308" i="5"/>
  <c r="CG131" i="5"/>
  <c r="CG264" i="5" s="1"/>
  <c r="L277" i="5"/>
  <c r="L285" i="5" s="1"/>
  <c r="L271" i="5" s="1"/>
  <c r="AU49" i="5"/>
  <c r="DD140" i="5"/>
  <c r="DE120" i="5"/>
  <c r="DE299" i="5" s="1"/>
  <c r="DD117" i="5"/>
  <c r="AH58" i="5"/>
  <c r="AH80" i="5" s="1"/>
  <c r="BB269" i="5"/>
  <c r="AL269" i="5"/>
  <c r="AN173" i="5"/>
  <c r="AN172" i="5" s="1"/>
  <c r="AY173" i="5"/>
  <c r="AI173" i="5"/>
  <c r="AI54" i="5" s="1"/>
  <c r="S173" i="5"/>
  <c r="S171" i="5" s="1"/>
  <c r="K173" i="5"/>
  <c r="K171" i="5" s="1"/>
  <c r="C173" i="5"/>
  <c r="C172" i="5" s="1"/>
  <c r="AA52" i="5"/>
  <c r="AA73" i="5" s="1"/>
  <c r="AO259" i="5"/>
  <c r="DB146" i="5"/>
  <c r="DB143" i="5" s="1"/>
  <c r="AG119" i="5"/>
  <c r="AA64" i="5"/>
  <c r="AX270" i="5"/>
  <c r="CA270" i="5"/>
  <c r="DA135" i="5"/>
  <c r="AA133" i="5"/>
  <c r="U270" i="5"/>
  <c r="U275" i="5" s="1"/>
  <c r="DI63" i="5"/>
  <c r="DI81" i="5" s="1"/>
  <c r="AM12" i="6"/>
  <c r="CC307" i="5" s="1"/>
  <c r="CC308" i="5" s="1"/>
  <c r="BL259" i="5"/>
  <c r="CG270" i="5"/>
  <c r="P308" i="5"/>
  <c r="AE141" i="5"/>
  <c r="AO145" i="5"/>
  <c r="CJ259" i="5"/>
  <c r="CE132" i="5"/>
  <c r="CF53" i="5" s="1"/>
  <c r="CF78" i="5" s="1"/>
  <c r="K108" i="5"/>
  <c r="K128" i="5" s="1"/>
  <c r="Z52" i="5"/>
  <c r="Z73" i="5" s="1"/>
  <c r="BH40" i="5"/>
  <c r="BF132" i="5"/>
  <c r="AY270" i="5"/>
  <c r="AY275" i="5" s="1"/>
  <c r="AZ52" i="5"/>
  <c r="AZ73" i="5" s="1"/>
  <c r="CF139" i="5"/>
  <c r="BY307" i="5"/>
  <c r="DO307" i="5" s="1"/>
  <c r="AL52" i="5"/>
  <c r="AL73" i="5" s="1"/>
  <c r="BJ128" i="5"/>
  <c r="N40" i="5"/>
  <c r="AL40" i="5"/>
  <c r="DC40" i="5" s="1"/>
  <c r="BY40" i="5"/>
  <c r="BS107" i="5"/>
  <c r="BK259" i="5"/>
  <c r="AZ168" i="5"/>
  <c r="BV216" i="5"/>
  <c r="BV234" i="5" s="1"/>
  <c r="BV232" i="5" s="1"/>
  <c r="AD141" i="5"/>
  <c r="AH18" i="5"/>
  <c r="AH60" i="5" s="1"/>
  <c r="AT64" i="5"/>
  <c r="BR300" i="5"/>
  <c r="BR328" i="5" s="1"/>
  <c r="BF270" i="5"/>
  <c r="DE117" i="5"/>
  <c r="DE134" i="5" s="1"/>
  <c r="N150" i="5"/>
  <c r="N143" i="5" s="1"/>
  <c r="AR52" i="5"/>
  <c r="AR73" i="5" s="1"/>
  <c r="AB52" i="5"/>
  <c r="AB73" i="5" s="1"/>
  <c r="T52" i="5"/>
  <c r="T73" i="5" s="1"/>
  <c r="L52" i="5"/>
  <c r="L73" i="5" s="1"/>
  <c r="D52" i="5"/>
  <c r="D73" i="5" s="1"/>
  <c r="BA128" i="5"/>
  <c r="BA129" i="5" s="1"/>
  <c r="S150" i="5"/>
  <c r="BM300" i="5"/>
  <c r="BM322" i="5" s="1"/>
  <c r="BV287" i="2"/>
  <c r="BK52" i="5"/>
  <c r="BK73" i="5" s="1"/>
  <c r="AZ270" i="5"/>
  <c r="BM52" i="5"/>
  <c r="BM73" i="5" s="1"/>
  <c r="AY58" i="5"/>
  <c r="AY80" i="5" s="1"/>
  <c r="BH58" i="5"/>
  <c r="BH80" i="5" s="1"/>
  <c r="BQ58" i="5"/>
  <c r="BQ80" i="5" s="1"/>
  <c r="BY58" i="5"/>
  <c r="BY80" i="5" s="1"/>
  <c r="DA65" i="5"/>
  <c r="CH52" i="5"/>
  <c r="CH73" i="5" s="1"/>
  <c r="AU52" i="5"/>
  <c r="AU73" i="5" s="1"/>
  <c r="J128" i="5"/>
  <c r="CC269" i="5"/>
  <c r="BT217" i="5"/>
  <c r="BO269" i="5"/>
  <c r="AV270" i="5"/>
  <c r="AN270" i="5"/>
  <c r="AG300" i="5"/>
  <c r="Y322" i="5"/>
  <c r="Y328" i="5" s="1"/>
  <c r="DD201" i="5"/>
  <c r="CX201" i="5"/>
  <c r="V173" i="5"/>
  <c r="V171" i="5" s="1"/>
  <c r="AQ143" i="5"/>
  <c r="S143" i="5"/>
  <c r="G143" i="5"/>
  <c r="AJ108" i="5"/>
  <c r="DE102" i="5"/>
  <c r="CZ102" i="5"/>
  <c r="C107" i="5"/>
  <c r="BJ132" i="5"/>
  <c r="BJ131" i="5" s="1"/>
  <c r="BR132" i="5"/>
  <c r="CB308" i="5"/>
  <c r="DJ119" i="5"/>
  <c r="BW309" i="2"/>
  <c r="Z133" i="5"/>
  <c r="AD288" i="5"/>
  <c r="DA288" i="5" s="1"/>
  <c r="DA270" i="5" s="1"/>
  <c r="DO232" i="5"/>
  <c r="DO234" i="5" s="1"/>
  <c r="U131" i="5"/>
  <c r="Z18" i="5"/>
  <c r="Z60" i="5" s="1"/>
  <c r="V96" i="5"/>
  <c r="CY96" i="5" s="1"/>
  <c r="DD150" i="5"/>
  <c r="BV270" i="5"/>
  <c r="DK133" i="5"/>
  <c r="DK132" i="5" s="1"/>
  <c r="DK131" i="5" s="1"/>
  <c r="AU270" i="5"/>
  <c r="AH133" i="5"/>
  <c r="P277" i="5"/>
  <c r="P285" i="5" s="1"/>
  <c r="P271" i="5" s="1"/>
  <c r="CZ229" i="5"/>
  <c r="V108" i="5"/>
  <c r="CY108" i="5" s="1"/>
  <c r="DB149" i="5"/>
  <c r="DD135" i="5"/>
  <c r="DB19" i="5"/>
  <c r="BH300" i="5"/>
  <c r="BH301" i="5" s="1"/>
  <c r="AZ300" i="5"/>
  <c r="CU139" i="5"/>
  <c r="CW143" i="5"/>
  <c r="BX132" i="5"/>
  <c r="BX131" i="5" s="1"/>
  <c r="BX264" i="5" s="1"/>
  <c r="BX269" i="5"/>
  <c r="DO197" i="5"/>
  <c r="DO63" i="5" s="1"/>
  <c r="DO81" i="5" s="1"/>
  <c r="CD223" i="5"/>
  <c r="DN223" i="5" s="1"/>
  <c r="CD301" i="5"/>
  <c r="CD292" i="5" s="1"/>
  <c r="DA48" i="5"/>
  <c r="DC48" i="5"/>
  <c r="BF107" i="5"/>
  <c r="DH107" i="5" s="1"/>
  <c r="BG85" i="5"/>
  <c r="O24" i="3"/>
  <c r="Z300" i="5"/>
  <c r="F96" i="5"/>
  <c r="AK150" i="5"/>
  <c r="E300" i="5"/>
  <c r="DH270" i="5"/>
  <c r="BN53" i="5"/>
  <c r="BN78" i="5" s="1"/>
  <c r="E270" i="5"/>
  <c r="Z274" i="5"/>
  <c r="DD20" i="5"/>
  <c r="V141" i="5"/>
  <c r="DL277" i="5"/>
  <c r="BB270" i="5"/>
  <c r="DN65" i="5"/>
  <c r="DL69" i="5"/>
  <c r="BL269" i="5"/>
  <c r="DI146" i="5"/>
  <c r="DH146" i="5"/>
  <c r="DI52" i="5" s="1"/>
  <c r="DI73" i="5" s="1"/>
  <c r="DE111" i="5"/>
  <c r="DE298" i="5" s="1"/>
  <c r="DE300" i="5" s="1"/>
  <c r="DE308" i="5" s="1"/>
  <c r="AT108" i="5"/>
  <c r="DE108" i="5" s="1"/>
  <c r="N141" i="5"/>
  <c r="F67" i="5"/>
  <c r="F83" i="5" s="1"/>
  <c r="CX269" i="5"/>
  <c r="AX269" i="5"/>
  <c r="AO52" i="5"/>
  <c r="AO73" i="5" s="1"/>
  <c r="Z67" i="5"/>
  <c r="Z83" i="5" s="1"/>
  <c r="V18" i="5"/>
  <c r="V60" i="5" s="1"/>
  <c r="M239" i="5"/>
  <c r="AQ287" i="2"/>
  <c r="AZ85" i="5"/>
  <c r="U40" i="5"/>
  <c r="Q18" i="3"/>
  <c r="CY125" i="5"/>
  <c r="AE108" i="5"/>
  <c r="AE128" i="5" s="1"/>
  <c r="W269" i="5"/>
  <c r="AT52" i="5"/>
  <c r="AT73" i="5" s="1"/>
  <c r="BQ300" i="5"/>
  <c r="BG328" i="5"/>
  <c r="AD67" i="5"/>
  <c r="AD83" i="5" s="1"/>
  <c r="BG40" i="5"/>
  <c r="BO158" i="5"/>
  <c r="AY51" i="5"/>
  <c r="AY75" i="5" s="1"/>
  <c r="AR40" i="5"/>
  <c r="I301" i="5"/>
  <c r="I292" i="5" s="1"/>
  <c r="G287" i="5"/>
  <c r="G269" i="5" s="1"/>
  <c r="L300" i="5"/>
  <c r="BB259" i="5"/>
  <c r="CY97" i="5"/>
  <c r="AP270" i="5"/>
  <c r="CE269" i="5"/>
  <c r="BG270" i="5"/>
  <c r="BB128" i="5"/>
  <c r="DG128" i="5" s="1"/>
  <c r="AE6" i="5"/>
  <c r="AE247" i="5" s="1"/>
  <c r="O287" i="5"/>
  <c r="N67" i="5"/>
  <c r="N83" i="5" s="1"/>
  <c r="BG128" i="5"/>
  <c r="BG129" i="5" s="1"/>
  <c r="P24" i="3"/>
  <c r="BT300" i="5"/>
  <c r="BT322" i="5" s="1"/>
  <c r="E40" i="5"/>
  <c r="AC40" i="5"/>
  <c r="CI259" i="5"/>
  <c r="BP128" i="5"/>
  <c r="BP129" i="5" s="1"/>
  <c r="P235" i="5"/>
  <c r="AR51" i="5"/>
  <c r="AR75" i="5" s="1"/>
  <c r="DO67" i="5"/>
  <c r="DO83" i="5" s="1"/>
  <c r="AD150" i="5"/>
  <c r="AE58" i="5" s="1"/>
  <c r="AE80" i="5" s="1"/>
  <c r="F141" i="5"/>
  <c r="DI269" i="5"/>
  <c r="BL128" i="5"/>
  <c r="E89" i="5"/>
  <c r="AO119" i="5"/>
  <c r="DH135" i="5"/>
  <c r="E314" i="5"/>
  <c r="E315" i="5" s="1"/>
  <c r="AU64" i="5"/>
  <c r="N288" i="5"/>
  <c r="E324" i="5"/>
  <c r="DE229" i="5"/>
  <c r="DA229" i="5"/>
  <c r="BD128" i="5"/>
  <c r="S239" i="5"/>
  <c r="DO229" i="5"/>
  <c r="CB52" i="5"/>
  <c r="CB73" i="5" s="1"/>
  <c r="CZ63" i="5"/>
  <c r="W81" i="5"/>
  <c r="CZ81" i="5" s="1"/>
  <c r="AH119" i="5"/>
  <c r="DB119" i="5" s="1"/>
  <c r="AK280" i="5"/>
  <c r="AK270" i="5"/>
  <c r="AK275" i="5" s="1"/>
  <c r="AC280" i="5"/>
  <c r="AC270" i="5"/>
  <c r="BZ185" i="5"/>
  <c r="BZ197" i="5" s="1"/>
  <c r="DM213" i="5"/>
  <c r="DT287" i="5"/>
  <c r="DS270" i="5"/>
  <c r="DU287" i="5"/>
  <c r="DT270" i="5"/>
  <c r="DK134" i="5"/>
  <c r="F85" i="5"/>
  <c r="BT239" i="5"/>
  <c r="V168" i="5"/>
  <c r="AL322" i="5"/>
  <c r="CZ197" i="5"/>
  <c r="CD269" i="5"/>
  <c r="AG12" i="6"/>
  <c r="BW300" i="5"/>
  <c r="BZ300" i="5"/>
  <c r="BZ301" i="5" s="1"/>
  <c r="BZ292" i="5" s="1"/>
  <c r="CB309" i="2"/>
  <c r="CC309" i="2"/>
  <c r="BR58" i="5"/>
  <c r="BR80" i="5" s="1"/>
  <c r="CG58" i="5"/>
  <c r="CG80" i="5" s="1"/>
  <c r="DJ64" i="5"/>
  <c r="DI64" i="5"/>
  <c r="DO308" i="2"/>
  <c r="BM139" i="5"/>
  <c r="BM263" i="5" s="1"/>
  <c r="AD270" i="5"/>
  <c r="BP140" i="1"/>
  <c r="BT141" i="1" s="1"/>
  <c r="CC292" i="5"/>
  <c r="CZ149" i="5"/>
  <c r="AJ298" i="5"/>
  <c r="CX197" i="5"/>
  <c r="AG133" i="5"/>
  <c r="AG132" i="5" s="1"/>
  <c r="AG131" i="5" s="1"/>
  <c r="BA139" i="5"/>
  <c r="BA263" i="5" s="1"/>
  <c r="BN139" i="5"/>
  <c r="DL146" i="5"/>
  <c r="BQ52" i="5"/>
  <c r="BQ73" i="5" s="1"/>
  <c r="DD270" i="5"/>
  <c r="F51" i="5"/>
  <c r="F75" i="5" s="1"/>
  <c r="AJ64" i="5"/>
  <c r="M168" i="5"/>
  <c r="V309" i="5"/>
  <c r="AE298" i="5"/>
  <c r="BT307" i="5"/>
  <c r="CF52" i="5"/>
  <c r="CF73" i="5" s="1"/>
  <c r="CE52" i="5"/>
  <c r="CE73" i="5" s="1"/>
  <c r="U168" i="5"/>
  <c r="AA18" i="5"/>
  <c r="AA60" i="5" s="1"/>
  <c r="BY280" i="5"/>
  <c r="BY270" i="5"/>
  <c r="DR287" i="5"/>
  <c r="BJ143" i="5"/>
  <c r="CG143" i="5"/>
  <c r="CL141" i="5"/>
  <c r="CL288" i="5"/>
  <c r="CL270" i="5" s="1"/>
  <c r="CK290" i="2" s="1"/>
  <c r="Q235" i="5"/>
  <c r="T150" i="5"/>
  <c r="CD139" i="5"/>
  <c r="DS287" i="5"/>
  <c r="BH173" i="5"/>
  <c r="BH172" i="5" s="1"/>
  <c r="P245" i="5"/>
  <c r="P246" i="5"/>
  <c r="N168" i="5"/>
  <c r="AH299" i="5"/>
  <c r="AH300" i="5" s="1"/>
  <c r="AM108" i="5"/>
  <c r="AM298" i="5"/>
  <c r="AM300" i="5" s="1"/>
  <c r="AM301" i="5" s="1"/>
  <c r="AM292" i="5" s="1"/>
  <c r="AM64" i="5"/>
  <c r="W142" i="5"/>
  <c r="W108" i="5"/>
  <c r="DG133" i="1"/>
  <c r="DF135" i="5"/>
  <c r="DG67" i="5"/>
  <c r="DG83" i="5" s="1"/>
  <c r="DG141" i="5"/>
  <c r="AE96" i="5"/>
  <c r="AE288" i="5"/>
  <c r="AE270" i="5" s="1"/>
  <c r="AF287" i="5"/>
  <c r="AF269" i="5" s="1"/>
  <c r="AE67" i="5"/>
  <c r="AE83" i="5" s="1"/>
  <c r="O96" i="5"/>
  <c r="O141" i="5"/>
  <c r="P287" i="5"/>
  <c r="O67" i="5"/>
  <c r="O83" i="5" s="1"/>
  <c r="G96" i="5"/>
  <c r="G107" i="5" s="1"/>
  <c r="H287" i="5"/>
  <c r="H269" i="5" s="1"/>
  <c r="G288" i="5"/>
  <c r="G141" i="5"/>
  <c r="G139" i="5" s="1"/>
  <c r="G138" i="5" s="1"/>
  <c r="G67" i="5"/>
  <c r="G83" i="5" s="1"/>
  <c r="CZ203" i="5"/>
  <c r="BQ19" i="5"/>
  <c r="BQ259" i="5" s="1"/>
  <c r="DK284" i="2"/>
  <c r="DK285" i="2" s="1"/>
  <c r="DK287" i="2" s="1"/>
  <c r="BV172" i="5"/>
  <c r="AP65" i="5"/>
  <c r="AP299" i="5"/>
  <c r="AP300" i="5" s="1"/>
  <c r="AP308" i="5" s="1"/>
  <c r="AP119" i="5"/>
  <c r="DD119" i="5" s="1"/>
  <c r="DB96" i="5"/>
  <c r="AH107" i="5"/>
  <c r="K89" i="5"/>
  <c r="K150" i="5"/>
  <c r="L58" i="5" s="1"/>
  <c r="L80" i="5" s="1"/>
  <c r="AO133" i="5"/>
  <c r="AO132" i="5" s="1"/>
  <c r="AO89" i="5"/>
  <c r="AO107" i="5" s="1"/>
  <c r="CX94" i="5"/>
  <c r="CX133" i="5" s="1"/>
  <c r="R133" i="5"/>
  <c r="DB140" i="5"/>
  <c r="DC277" i="5"/>
  <c r="AK40" i="5"/>
  <c r="AN6" i="5"/>
  <c r="AN246" i="5" s="1"/>
  <c r="G308" i="5"/>
  <c r="G314" i="5"/>
  <c r="G315" i="5" s="1"/>
  <c r="S300" i="5"/>
  <c r="S307" i="5"/>
  <c r="J314" i="5"/>
  <c r="J315" i="5" s="1"/>
  <c r="J308" i="5"/>
  <c r="AY63" i="5"/>
  <c r="AY81" i="5" s="1"/>
  <c r="DG197" i="5"/>
  <c r="DG63" i="5" s="1"/>
  <c r="DG81" i="5" s="1"/>
  <c r="AJ63" i="5"/>
  <c r="AJ81" i="5" s="1"/>
  <c r="DC197" i="5"/>
  <c r="DG201" i="5"/>
  <c r="DG188" i="5"/>
  <c r="AR298" i="5"/>
  <c r="AR300" i="5" s="1"/>
  <c r="AR108" i="5"/>
  <c r="AS64" i="5"/>
  <c r="AB142" i="5"/>
  <c r="AB108" i="5"/>
  <c r="AB298" i="5"/>
  <c r="AB300" i="5" s="1"/>
  <c r="AC64" i="5"/>
  <c r="DC102" i="5"/>
  <c r="DC135" i="5"/>
  <c r="DD141" i="5"/>
  <c r="DE287" i="5"/>
  <c r="DE67" i="5"/>
  <c r="AB96" i="5"/>
  <c r="AB107" i="5" s="1"/>
  <c r="AB141" i="5"/>
  <c r="AB259" i="5" s="1"/>
  <c r="AB67" i="5"/>
  <c r="AB288" i="5"/>
  <c r="AB270" i="5" s="1"/>
  <c r="AC287" i="5"/>
  <c r="AC269" i="5" s="1"/>
  <c r="M67" i="5"/>
  <c r="M83" i="5" s="1"/>
  <c r="L141" i="5"/>
  <c r="L259" i="5" s="1"/>
  <c r="L288" i="5"/>
  <c r="M287" i="5"/>
  <c r="M269" i="5" s="1"/>
  <c r="L96" i="5"/>
  <c r="D141" i="5"/>
  <c r="D139" i="5" s="1"/>
  <c r="E287" i="5"/>
  <c r="E269" i="5" s="1"/>
  <c r="E67" i="5"/>
  <c r="E83" i="5" s="1"/>
  <c r="D288" i="5"/>
  <c r="D270" i="5" s="1"/>
  <c r="D67" i="5"/>
  <c r="D83" i="5" s="1"/>
  <c r="I232" i="5"/>
  <c r="AD168" i="5"/>
  <c r="AD51" i="5"/>
  <c r="AD75" i="5" s="1"/>
  <c r="AL51" i="5"/>
  <c r="AL75" i="5" s="1"/>
  <c r="AL168" i="5"/>
  <c r="F40" i="5"/>
  <c r="V40" i="5"/>
  <c r="AD40" i="5"/>
  <c r="U24" i="3"/>
  <c r="CX65" i="5"/>
  <c r="CY175" i="5"/>
  <c r="CH53" i="5"/>
  <c r="CH78" i="5" s="1"/>
  <c r="CH131" i="5"/>
  <c r="I324" i="5"/>
  <c r="DE135" i="5"/>
  <c r="BV10" i="5"/>
  <c r="BO322" i="5"/>
  <c r="BO308" i="5"/>
  <c r="BA328" i="5"/>
  <c r="AB269" i="5"/>
  <c r="U287" i="5"/>
  <c r="U269" i="5" s="1"/>
  <c r="AK173" i="5"/>
  <c r="AK171" i="5" s="1"/>
  <c r="E173" i="5"/>
  <c r="AC52" i="5"/>
  <c r="AC73" i="5" s="1"/>
  <c r="E52" i="5"/>
  <c r="E73" i="5" s="1"/>
  <c r="M119" i="5"/>
  <c r="M150" i="5"/>
  <c r="M143" i="5" s="1"/>
  <c r="M138" i="5" s="1"/>
  <c r="DG65" i="5"/>
  <c r="AQ299" i="5"/>
  <c r="AQ65" i="5"/>
  <c r="AQ119" i="5"/>
  <c r="AI65" i="5"/>
  <c r="AJ65" i="5"/>
  <c r="P108" i="5"/>
  <c r="P134" i="5"/>
  <c r="P132" i="5" s="1"/>
  <c r="P131" i="5" s="1"/>
  <c r="L150" i="5"/>
  <c r="D150" i="5"/>
  <c r="D143" i="5" s="1"/>
  <c r="AP89" i="5"/>
  <c r="AP133" i="5"/>
  <c r="AP132" i="5" s="1"/>
  <c r="AP131" i="5" s="1"/>
  <c r="DD94" i="5"/>
  <c r="DD133" i="5" s="1"/>
  <c r="CZ133" i="5"/>
  <c r="S89" i="5"/>
  <c r="S107" i="5" s="1"/>
  <c r="S133" i="5"/>
  <c r="DC140" i="5"/>
  <c r="DC279" i="5"/>
  <c r="R69" i="5"/>
  <c r="CX69" i="5" s="1"/>
  <c r="CX90" i="5"/>
  <c r="J279" i="5"/>
  <c r="DE82" i="5"/>
  <c r="CZ74" i="5"/>
  <c r="CX74" i="5"/>
  <c r="AT134" i="1"/>
  <c r="AS40" i="5"/>
  <c r="BT158" i="5"/>
  <c r="BX10" i="5"/>
  <c r="CA10" i="5"/>
  <c r="CB239" i="5"/>
  <c r="DL140" i="5"/>
  <c r="BH280" i="5"/>
  <c r="BH270" i="5"/>
  <c r="AM6" i="5"/>
  <c r="AM248" i="5" s="1"/>
  <c r="AJ6" i="5"/>
  <c r="AJ336" i="5" s="1"/>
  <c r="AG107" i="5"/>
  <c r="AL337" i="5"/>
  <c r="AL340" i="5" s="1"/>
  <c r="AD324" i="5"/>
  <c r="AD322" i="5"/>
  <c r="V331" i="5"/>
  <c r="V329" i="5" s="1"/>
  <c r="V332" i="5" s="1"/>
  <c r="V323" i="5"/>
  <c r="CY323" i="5" s="1"/>
  <c r="CY283" i="5"/>
  <c r="W283" i="5"/>
  <c r="AW269" i="5"/>
  <c r="AO269" i="5"/>
  <c r="DH229" i="5"/>
  <c r="DF229" i="5"/>
  <c r="CX229" i="5"/>
  <c r="BU259" i="5"/>
  <c r="AV132" i="5"/>
  <c r="AV131" i="5" s="1"/>
  <c r="BL132" i="5"/>
  <c r="BL131" i="5" s="1"/>
  <c r="BT132" i="5"/>
  <c r="BT131" i="5" s="1"/>
  <c r="BF131" i="5"/>
  <c r="CB132" i="5"/>
  <c r="CB131" i="5" s="1"/>
  <c r="CF280" i="5"/>
  <c r="CF270" i="5"/>
  <c r="CF290" i="2" s="1"/>
  <c r="CF292" i="2" s="1"/>
  <c r="AJ270" i="5"/>
  <c r="DF201" i="5"/>
  <c r="DF188" i="5"/>
  <c r="AQ108" i="5"/>
  <c r="AI298" i="5"/>
  <c r="AI314" i="5" s="1"/>
  <c r="AI64" i="5"/>
  <c r="AA142" i="5"/>
  <c r="AA298" i="5"/>
  <c r="AA300" i="5" s="1"/>
  <c r="DD287" i="5"/>
  <c r="DD269" i="5" s="1"/>
  <c r="DC141" i="5"/>
  <c r="AA288" i="5"/>
  <c r="AA270" i="5" s="1"/>
  <c r="AA275" i="5" s="1"/>
  <c r="AA67" i="5"/>
  <c r="AA83" i="5" s="1"/>
  <c r="S141" i="5"/>
  <c r="T287" i="5"/>
  <c r="BS132" i="5"/>
  <c r="AW131" i="5"/>
  <c r="CW138" i="5"/>
  <c r="CW137" i="5" s="1"/>
  <c r="CE309" i="2"/>
  <c r="BY139" i="5"/>
  <c r="BY261" i="5" s="1"/>
  <c r="BL143" i="5"/>
  <c r="BB58" i="5"/>
  <c r="BB80" i="5" s="1"/>
  <c r="BS58" i="5"/>
  <c r="BS80" i="5" s="1"/>
  <c r="BN260" i="5"/>
  <c r="BT52" i="5"/>
  <c r="BT73" i="5" s="1"/>
  <c r="S67" i="5"/>
  <c r="S83" i="5" s="1"/>
  <c r="BR216" i="5"/>
  <c r="AD107" i="5"/>
  <c r="DA107" i="5" s="1"/>
  <c r="CD308" i="5"/>
  <c r="S288" i="5"/>
  <c r="BQ107" i="5"/>
  <c r="DI140" i="5"/>
  <c r="DJ277" i="5"/>
  <c r="DE270" i="5"/>
  <c r="BD280" i="5"/>
  <c r="BD270" i="5"/>
  <c r="AW280" i="5"/>
  <c r="AW270" i="5"/>
  <c r="AW275" i="5" s="1"/>
  <c r="CY146" i="5"/>
  <c r="T134" i="5"/>
  <c r="T132" i="5" s="1"/>
  <c r="AK107" i="5"/>
  <c r="DF279" i="5"/>
  <c r="DF280" i="5" s="1"/>
  <c r="DF69" i="5"/>
  <c r="DG277" i="5"/>
  <c r="DG269" i="5" s="1"/>
  <c r="U140" i="5"/>
  <c r="U69" i="5"/>
  <c r="CY69" i="5" s="1"/>
  <c r="V277" i="5"/>
  <c r="V269" i="5" s="1"/>
  <c r="N277" i="5"/>
  <c r="N269" i="5" s="1"/>
  <c r="M89" i="5"/>
  <c r="M107" i="5" s="1"/>
  <c r="F140" i="5"/>
  <c r="F139" i="5" s="1"/>
  <c r="F69" i="5"/>
  <c r="DK197" i="5"/>
  <c r="DK63" i="5" s="1"/>
  <c r="DK81" i="5" s="1"/>
  <c r="BR308" i="5"/>
  <c r="AW132" i="5"/>
  <c r="BE132" i="5"/>
  <c r="BE131" i="5" s="1"/>
  <c r="BU132" i="5"/>
  <c r="BU131" i="5" s="1"/>
  <c r="CD270" i="5"/>
  <c r="BK132" i="5"/>
  <c r="BK217" i="5"/>
  <c r="DA133" i="5"/>
  <c r="D132" i="5"/>
  <c r="BQ270" i="5"/>
  <c r="DL102" i="5"/>
  <c r="DH12" i="5"/>
  <c r="AD6" i="5"/>
  <c r="AD246" i="5" s="1"/>
  <c r="AX128" i="5"/>
  <c r="DF128" i="5" s="1"/>
  <c r="AO337" i="5"/>
  <c r="AO340" i="5" s="1"/>
  <c r="DD339" i="5"/>
  <c r="AG337" i="5"/>
  <c r="AG340" i="5" s="1"/>
  <c r="DC338" i="5"/>
  <c r="T324" i="5"/>
  <c r="D324" i="5"/>
  <c r="M307" i="5"/>
  <c r="M308" i="5" s="1"/>
  <c r="AY131" i="5"/>
  <c r="AY264" i="5" s="1"/>
  <c r="DG146" i="5"/>
  <c r="AU65" i="5"/>
  <c r="AT119" i="5"/>
  <c r="DE119" i="5" s="1"/>
  <c r="C128" i="5"/>
  <c r="AB134" i="5"/>
  <c r="AB132" i="5" s="1"/>
  <c r="AB131" i="5" s="1"/>
  <c r="P279" i="5"/>
  <c r="P270" i="5" s="1"/>
  <c r="P140" i="5"/>
  <c r="BL309" i="2"/>
  <c r="CA259" i="5"/>
  <c r="BS138" i="1"/>
  <c r="BR140" i="1"/>
  <c r="BO85" i="5"/>
  <c r="Z64" i="5"/>
  <c r="AH64" i="5"/>
  <c r="DN146" i="5"/>
  <c r="BV107" i="5"/>
  <c r="DL107" i="5" s="1"/>
  <c r="AD119" i="5"/>
  <c r="DA119" i="5" s="1"/>
  <c r="CY20" i="5"/>
  <c r="AP108" i="5"/>
  <c r="DD108" i="5" s="1"/>
  <c r="AJ324" i="5"/>
  <c r="BC269" i="5"/>
  <c r="M201" i="5"/>
  <c r="M188" i="5"/>
  <c r="CX146" i="5"/>
  <c r="CY149" i="5"/>
  <c r="AG108" i="5"/>
  <c r="AG128" i="5" s="1"/>
  <c r="AG129" i="5" s="1"/>
  <c r="DB102" i="5"/>
  <c r="DB150" i="5"/>
  <c r="Z269" i="5"/>
  <c r="R67" i="5"/>
  <c r="R83" i="5" s="1"/>
  <c r="AU107" i="5"/>
  <c r="DG150" i="5"/>
  <c r="BA308" i="5"/>
  <c r="BN287" i="2"/>
  <c r="DR284" i="5" s="1"/>
  <c r="BR309" i="2"/>
  <c r="AZ308" i="5"/>
  <c r="BC300" i="5"/>
  <c r="BD301" i="5" s="1"/>
  <c r="BD292" i="5" s="1"/>
  <c r="BO328" i="5"/>
  <c r="BA52" i="5"/>
  <c r="BA73" i="5" s="1"/>
  <c r="BN143" i="5"/>
  <c r="DK158" i="5"/>
  <c r="Z108" i="5"/>
  <c r="CZ108" i="5" s="1"/>
  <c r="R141" i="5"/>
  <c r="Y52" i="5"/>
  <c r="Y73" i="5" s="1"/>
  <c r="CX64" i="5"/>
  <c r="V270" i="5"/>
  <c r="DN60" i="5"/>
  <c r="S18" i="3"/>
  <c r="BX107" i="5"/>
  <c r="O128" i="5"/>
  <c r="I96" i="5"/>
  <c r="DD111" i="5"/>
  <c r="AT65" i="5"/>
  <c r="J188" i="5"/>
  <c r="J201" i="5"/>
  <c r="O52" i="5"/>
  <c r="O73" i="5" s="1"/>
  <c r="AU259" i="5"/>
  <c r="AM259" i="5"/>
  <c r="AR259" i="5"/>
  <c r="G132" i="5"/>
  <c r="G131" i="5" s="1"/>
  <c r="DE125" i="5"/>
  <c r="DE150" i="5" s="1"/>
  <c r="DE58" i="5" s="1"/>
  <c r="AT150" i="5"/>
  <c r="DE146" i="5"/>
  <c r="AH134" i="5"/>
  <c r="AH132" i="5" s="1"/>
  <c r="AH131" i="5" s="1"/>
  <c r="BC128" i="5"/>
  <c r="CY102" i="5"/>
  <c r="DA150" i="5"/>
  <c r="DA143" i="5" s="1"/>
  <c r="DE94" i="5"/>
  <c r="DE133" i="5" s="1"/>
  <c r="AT133" i="5"/>
  <c r="AT132" i="5" s="1"/>
  <c r="AT131" i="5" s="1"/>
  <c r="CZ277" i="5"/>
  <c r="CY279" i="5"/>
  <c r="CY280" i="5" s="1"/>
  <c r="O277" i="5"/>
  <c r="O269" i="5" s="1"/>
  <c r="N279" i="5"/>
  <c r="N280" i="5" s="1"/>
  <c r="DC11" i="5"/>
  <c r="D8" i="5"/>
  <c r="D243" i="5" s="1"/>
  <c r="BE107" i="5"/>
  <c r="BW132" i="5"/>
  <c r="AQ270" i="5"/>
  <c r="BZ294" i="2"/>
  <c r="DM294" i="2" s="1"/>
  <c r="BZ285" i="2"/>
  <c r="BZ287" i="2" s="1"/>
  <c r="DP270" i="5"/>
  <c r="DA69" i="5"/>
  <c r="BY259" i="5"/>
  <c r="CF269" i="5"/>
  <c r="CB134" i="1"/>
  <c r="CA107" i="5"/>
  <c r="BZ270" i="5"/>
  <c r="BZ290" i="2" s="1"/>
  <c r="BZ292" i="2" s="1"/>
  <c r="BY269" i="5"/>
  <c r="DK150" i="5"/>
  <c r="BP269" i="5"/>
  <c r="BN269" i="5"/>
  <c r="BI259" i="5"/>
  <c r="DK127" i="5"/>
  <c r="DK145" i="5" s="1"/>
  <c r="DC20" i="5"/>
  <c r="CX337" i="5"/>
  <c r="CX330" i="5"/>
  <c r="H324" i="5"/>
  <c r="F328" i="5"/>
  <c r="J300" i="5"/>
  <c r="K301" i="5" s="1"/>
  <c r="K292" i="5" s="1"/>
  <c r="K52" i="5"/>
  <c r="K73" i="5" s="1"/>
  <c r="C132" i="5"/>
  <c r="H150" i="5"/>
  <c r="I58" i="5" s="1"/>
  <c r="I80" i="5" s="1"/>
  <c r="AG65" i="5"/>
  <c r="AS107" i="5"/>
  <c r="AG18" i="5"/>
  <c r="BE128" i="5"/>
  <c r="BF300" i="5"/>
  <c r="BF301" i="5" s="1"/>
  <c r="BW259" i="5"/>
  <c r="BW269" i="5"/>
  <c r="DE269" i="5"/>
  <c r="CE260" i="5"/>
  <c r="E31" i="9"/>
  <c r="E37" i="9" s="1"/>
  <c r="DM134" i="5"/>
  <c r="BR107" i="5"/>
  <c r="BK270" i="5"/>
  <c r="DJ188" i="5"/>
  <c r="AE18" i="5"/>
  <c r="AE60" i="5" s="1"/>
  <c r="DI149" i="5"/>
  <c r="D328" i="5"/>
  <c r="N324" i="5"/>
  <c r="Q52" i="5"/>
  <c r="Q73" i="5" s="1"/>
  <c r="AN119" i="5"/>
  <c r="U108" i="5"/>
  <c r="DC149" i="5"/>
  <c r="CX135" i="5"/>
  <c r="BL287" i="2"/>
  <c r="BZ132" i="5"/>
  <c r="BN223" i="5"/>
  <c r="DJ223" i="5" s="1"/>
  <c r="N116" i="3" s="1"/>
  <c r="CD40" i="5"/>
  <c r="CD132" i="5"/>
  <c r="CZ69" i="5"/>
  <c r="DB69" i="5"/>
  <c r="AW52" i="5"/>
  <c r="AW73" i="5" s="1"/>
  <c r="DG300" i="5"/>
  <c r="AM308" i="5"/>
  <c r="AL308" i="5" s="1"/>
  <c r="AK308" i="5" s="1"/>
  <c r="AJ308" i="5" s="1"/>
  <c r="AM322" i="5"/>
  <c r="AM328" i="5"/>
  <c r="BS145" i="5"/>
  <c r="BS143" i="5" s="1"/>
  <c r="BT127" i="5"/>
  <c r="CC140" i="1"/>
  <c r="CD138" i="1"/>
  <c r="DN298" i="5"/>
  <c r="DN300" i="5" s="1"/>
  <c r="DN308" i="5" s="1"/>
  <c r="DN64" i="5"/>
  <c r="U85" i="5"/>
  <c r="BY141" i="1"/>
  <c r="CE131" i="5"/>
  <c r="CE264" i="5" s="1"/>
  <c r="AB6" i="5"/>
  <c r="AB245" i="5" s="1"/>
  <c r="BN140" i="1"/>
  <c r="BO138" i="1"/>
  <c r="BW138" i="1"/>
  <c r="BV140" i="1"/>
  <c r="BC303" i="2"/>
  <c r="BC305" i="2" s="1"/>
  <c r="BC260" i="5"/>
  <c r="BO143" i="5"/>
  <c r="BO138" i="5" s="1"/>
  <c r="BO52" i="5"/>
  <c r="BO73" i="5" s="1"/>
  <c r="DP67" i="5"/>
  <c r="DP83" i="5" s="1"/>
  <c r="CU138" i="5"/>
  <c r="CU137" i="5" s="1"/>
  <c r="CH259" i="5"/>
  <c r="CG139" i="5"/>
  <c r="CG263" i="5" s="1"/>
  <c r="CG300" i="5"/>
  <c r="CH301" i="5" s="1"/>
  <c r="CH292" i="5" s="1"/>
  <c r="CH245" i="5"/>
  <c r="CH233" i="5"/>
  <c r="CH8" i="5"/>
  <c r="CH215" i="5"/>
  <c r="CH247" i="5"/>
  <c r="CH246" i="5"/>
  <c r="CH128" i="5"/>
  <c r="DO128" i="5" s="1"/>
  <c r="DO119" i="5"/>
  <c r="CI52" i="5"/>
  <c r="CI73" i="5" s="1"/>
  <c r="DH298" i="5"/>
  <c r="DH64" i="5"/>
  <c r="N85" i="5"/>
  <c r="BL139" i="5"/>
  <c r="BL85" i="5"/>
  <c r="BL260" i="5"/>
  <c r="K131" i="5"/>
  <c r="BQ322" i="5"/>
  <c r="BR301" i="5"/>
  <c r="BR292" i="5" s="1"/>
  <c r="BQ328" i="5"/>
  <c r="BQ308" i="5"/>
  <c r="BT58" i="5"/>
  <c r="BT80" i="5" s="1"/>
  <c r="BV143" i="1"/>
  <c r="BY131" i="5"/>
  <c r="DM277" i="5"/>
  <c r="DL279" i="5"/>
  <c r="DL280" i="5" s="1"/>
  <c r="BR128" i="5"/>
  <c r="BK168" i="5"/>
  <c r="CH235" i="5"/>
  <c r="CL235" i="5" s="1"/>
  <c r="J8" i="5"/>
  <c r="J243" i="5" s="1"/>
  <c r="J246" i="5"/>
  <c r="AU322" i="5"/>
  <c r="DA89" i="5"/>
  <c r="E138" i="5"/>
  <c r="CJ85" i="5"/>
  <c r="L143" i="5"/>
  <c r="T280" i="5"/>
  <c r="BT260" i="5"/>
  <c r="J89" i="5"/>
  <c r="J107" i="5" s="1"/>
  <c r="J129" i="5" s="1"/>
  <c r="BE301" i="5"/>
  <c r="BD322" i="5"/>
  <c r="BD328" i="5"/>
  <c r="BS328" i="5"/>
  <c r="BS308" i="5"/>
  <c r="DR91" i="5"/>
  <c r="DR67" i="5" s="1"/>
  <c r="DR83" i="5" s="1"/>
  <c r="BL328" i="5"/>
  <c r="BL308" i="5"/>
  <c r="DG64" i="5"/>
  <c r="BK303" i="2"/>
  <c r="BK305" i="2" s="1"/>
  <c r="BK139" i="5"/>
  <c r="CA139" i="5"/>
  <c r="CA303" i="2"/>
  <c r="CE307" i="5"/>
  <c r="CJ325" i="2"/>
  <c r="DO64" i="5"/>
  <c r="T329" i="5"/>
  <c r="T332" i="5" s="1"/>
  <c r="V52" i="5"/>
  <c r="V73" i="5" s="1"/>
  <c r="W52" i="5"/>
  <c r="AH143" i="5"/>
  <c r="AJ259" i="5"/>
  <c r="AK259" i="5"/>
  <c r="C129" i="5"/>
  <c r="CZ95" i="5"/>
  <c r="CZ150" i="5" s="1"/>
  <c r="Z150" i="5"/>
  <c r="Z143" i="5" s="1"/>
  <c r="Z89" i="5"/>
  <c r="CX95" i="5"/>
  <c r="CX150" i="5" s="1"/>
  <c r="R150" i="5"/>
  <c r="R89" i="5"/>
  <c r="AN89" i="5"/>
  <c r="AN107" i="5" s="1"/>
  <c r="AN133" i="5"/>
  <c r="AN132" i="5" s="1"/>
  <c r="AN131" i="5" s="1"/>
  <c r="BK58" i="5"/>
  <c r="BK80" i="5" s="1"/>
  <c r="BK143" i="5"/>
  <c r="CB58" i="5"/>
  <c r="CB80" i="5" s="1"/>
  <c r="CA58" i="5"/>
  <c r="CA80" i="5" s="1"/>
  <c r="BO140" i="1"/>
  <c r="BP138" i="1"/>
  <c r="AV303" i="2"/>
  <c r="AV305" i="2" s="1"/>
  <c r="AV85" i="5"/>
  <c r="AV139" i="5"/>
  <c r="BI308" i="5"/>
  <c r="BI322" i="5"/>
  <c r="BL58" i="5"/>
  <c r="BL80" i="5" s="1"/>
  <c r="CJ309" i="2"/>
  <c r="H319" i="5"/>
  <c r="AD52" i="5"/>
  <c r="BL322" i="5"/>
  <c r="H308" i="5"/>
  <c r="BR145" i="5"/>
  <c r="BR143" i="5" s="1"/>
  <c r="DN287" i="5"/>
  <c r="AO108" i="5"/>
  <c r="AO128" i="5" s="1"/>
  <c r="AV260" i="5"/>
  <c r="DM69" i="5"/>
  <c r="DM279" i="5"/>
  <c r="DM280" i="5" s="1"/>
  <c r="DM140" i="5"/>
  <c r="DN277" i="5"/>
  <c r="DN270" i="5"/>
  <c r="DO287" i="5"/>
  <c r="DJ108" i="5"/>
  <c r="DJ128" i="5" s="1"/>
  <c r="BS85" i="5"/>
  <c r="Z139" i="5"/>
  <c r="AA259" i="5"/>
  <c r="Q133" i="5"/>
  <c r="Q89" i="5"/>
  <c r="CH285" i="2"/>
  <c r="CH287" i="2" s="1"/>
  <c r="DO284" i="2"/>
  <c r="CH294" i="2"/>
  <c r="DO294" i="2" s="1"/>
  <c r="CF138" i="1"/>
  <c r="CE140" i="1"/>
  <c r="CE141" i="1" s="1"/>
  <c r="BT139" i="5"/>
  <c r="BT264" i="5" s="1"/>
  <c r="BT303" i="2"/>
  <c r="BT305" i="2" s="1"/>
  <c r="BS239" i="5"/>
  <c r="CH248" i="5"/>
  <c r="CH211" i="5"/>
  <c r="BQ145" i="5"/>
  <c r="BQ143" i="5" s="1"/>
  <c r="H315" i="5"/>
  <c r="BI328" i="5"/>
  <c r="BR234" i="5"/>
  <c r="BR232" i="5" s="1"/>
  <c r="DK216" i="5"/>
  <c r="DA108" i="5"/>
  <c r="CB301" i="5"/>
  <c r="CB292" i="5" s="1"/>
  <c r="BE322" i="5"/>
  <c r="BE328" i="5"/>
  <c r="BE308" i="5"/>
  <c r="AE259" i="5"/>
  <c r="CE138" i="1"/>
  <c r="DM89" i="5"/>
  <c r="CH145" i="5"/>
  <c r="CH143" i="5" s="1"/>
  <c r="CI127" i="5"/>
  <c r="CI128" i="5" s="1"/>
  <c r="AW85" i="5"/>
  <c r="AW260" i="5"/>
  <c r="BU85" i="5"/>
  <c r="BR134" i="1"/>
  <c r="DJ146" i="5"/>
  <c r="DJ52" i="5" s="1"/>
  <c r="DJ73" i="5" s="1"/>
  <c r="DF269" i="5"/>
  <c r="D307" i="5"/>
  <c r="E312" i="5" s="1"/>
  <c r="D300" i="5"/>
  <c r="E301" i="5" s="1"/>
  <c r="AG280" i="5"/>
  <c r="DM229" i="5"/>
  <c r="AK239" i="5"/>
  <c r="AL239" i="5"/>
  <c r="E51" i="5"/>
  <c r="E75" i="5" s="1"/>
  <c r="E168" i="5"/>
  <c r="BB143" i="5"/>
  <c r="BM58" i="5"/>
  <c r="BM80" i="5" s="1"/>
  <c r="BN58" i="5"/>
  <c r="BN80" i="5" s="1"/>
  <c r="CC58" i="5"/>
  <c r="CC80" i="5" s="1"/>
  <c r="DR193" i="5"/>
  <c r="AW139" i="5"/>
  <c r="DP145" i="1"/>
  <c r="CJ269" i="5"/>
  <c r="DK149" i="5"/>
  <c r="DL146" i="1"/>
  <c r="DI133" i="5"/>
  <c r="DI102" i="5"/>
  <c r="AR119" i="5"/>
  <c r="AR128" i="5" s="1"/>
  <c r="N239" i="5"/>
  <c r="W310" i="5"/>
  <c r="W309" i="5" s="1"/>
  <c r="V330" i="5"/>
  <c r="CY330" i="5" s="1"/>
  <c r="CY144" i="5"/>
  <c r="CY188" i="5"/>
  <c r="DC117" i="5"/>
  <c r="DC134" i="5" s="1"/>
  <c r="DC132" i="5" s="1"/>
  <c r="AL134" i="5"/>
  <c r="AL132" i="5" s="1"/>
  <c r="AL131" i="5" s="1"/>
  <c r="H134" i="5"/>
  <c r="H132" i="5" s="1"/>
  <c r="H108" i="5"/>
  <c r="H128" i="5" s="1"/>
  <c r="N260" i="5"/>
  <c r="AI274" i="5"/>
  <c r="AI259" i="5"/>
  <c r="CY19" i="5"/>
  <c r="CY274" i="5" s="1"/>
  <c r="DG102" i="5"/>
  <c r="AO12" i="6"/>
  <c r="CE300" i="5"/>
  <c r="CE301" i="5" s="1"/>
  <c r="CG259" i="5"/>
  <c r="BT325" i="5"/>
  <c r="BS323" i="5"/>
  <c r="BS324" i="5" s="1"/>
  <c r="DJ287" i="5"/>
  <c r="DI270" i="5"/>
  <c r="BQ128" i="5"/>
  <c r="BQ309" i="2"/>
  <c r="BK309" i="2"/>
  <c r="BA143" i="5"/>
  <c r="BA138" i="5" s="1"/>
  <c r="BU139" i="5"/>
  <c r="BU107" i="5"/>
  <c r="BT107" i="5"/>
  <c r="DM137" i="1"/>
  <c r="AI18" i="5"/>
  <c r="DB135" i="5"/>
  <c r="AG324" i="5"/>
  <c r="AF322" i="5"/>
  <c r="P324" i="5"/>
  <c r="O324" i="5"/>
  <c r="CX324" i="5" s="1"/>
  <c r="Q307" i="5"/>
  <c r="Q308" i="5" s="1"/>
  <c r="R52" i="5"/>
  <c r="S52" i="5"/>
  <c r="S73" i="5" s="1"/>
  <c r="CX144" i="5"/>
  <c r="CX188" i="5"/>
  <c r="AK134" i="5"/>
  <c r="AK132" i="5" s="1"/>
  <c r="AK131" i="5" s="1"/>
  <c r="AK108" i="5"/>
  <c r="DG11" i="5"/>
  <c r="AJ239" i="5"/>
  <c r="BA285" i="2"/>
  <c r="BA287" i="2" s="1"/>
  <c r="BB284" i="2"/>
  <c r="DG284" i="2" s="1"/>
  <c r="DG285" i="2" s="1"/>
  <c r="DG287" i="2" s="1"/>
  <c r="BJ285" i="2"/>
  <c r="BJ287" i="2" s="1"/>
  <c r="BJ19" i="5"/>
  <c r="DI284" i="2"/>
  <c r="DI19" i="5" s="1"/>
  <c r="BN274" i="5"/>
  <c r="BN259" i="5"/>
  <c r="BO107" i="5"/>
  <c r="BO129" i="5" s="1"/>
  <c r="BP328" i="5"/>
  <c r="DM96" i="5"/>
  <c r="BZ107" i="5"/>
  <c r="DM107" i="5" s="1"/>
  <c r="DB298" i="5"/>
  <c r="DB300" i="5" s="1"/>
  <c r="DB142" i="5"/>
  <c r="AJ119" i="5"/>
  <c r="AJ299" i="5"/>
  <c r="AJ300" i="5" s="1"/>
  <c r="AO298" i="5"/>
  <c r="AO300" i="5" s="1"/>
  <c r="AP64" i="5"/>
  <c r="AO64" i="5"/>
  <c r="Y298" i="5"/>
  <c r="Y300" i="5" s="1"/>
  <c r="Y108" i="5"/>
  <c r="Y128" i="5" s="1"/>
  <c r="AG288" i="5"/>
  <c r="AG270" i="5" s="1"/>
  <c r="AG141" i="5"/>
  <c r="AH67" i="5"/>
  <c r="AH83" i="5" s="1"/>
  <c r="AG67" i="5"/>
  <c r="AH287" i="5"/>
  <c r="AH269" i="5" s="1"/>
  <c r="Y96" i="5"/>
  <c r="Y288" i="5"/>
  <c r="Y270" i="5" s="1"/>
  <c r="Y141" i="5"/>
  <c r="Z259" i="5" s="1"/>
  <c r="Q141" i="5"/>
  <c r="Q67" i="5"/>
  <c r="Q83" i="5" s="1"/>
  <c r="Q96" i="5"/>
  <c r="R287" i="5"/>
  <c r="I141" i="5"/>
  <c r="I288" i="5"/>
  <c r="I270" i="5" s="1"/>
  <c r="J67" i="5"/>
  <c r="J83" i="5" s="1"/>
  <c r="I67" i="5"/>
  <c r="I83" i="5" s="1"/>
  <c r="BM274" i="5"/>
  <c r="BM259" i="5"/>
  <c r="BR259" i="5"/>
  <c r="BC58" i="5"/>
  <c r="BC80" i="5" s="1"/>
  <c r="O85" i="5"/>
  <c r="BN85" i="5"/>
  <c r="BM85" i="5"/>
  <c r="BS128" i="5"/>
  <c r="BS129" i="5" s="1"/>
  <c r="BU239" i="5"/>
  <c r="AC132" i="5"/>
  <c r="BF269" i="5"/>
  <c r="Z270" i="5"/>
  <c r="Z280" i="5"/>
  <c r="DA203" i="5"/>
  <c r="DA201" i="5"/>
  <c r="AK128" i="5"/>
  <c r="AK129" i="5" s="1"/>
  <c r="AC119" i="5"/>
  <c r="AC150" i="5"/>
  <c r="DB115" i="5"/>
  <c r="DB134" i="5" s="1"/>
  <c r="DB132" i="5" s="1"/>
  <c r="AH108" i="5"/>
  <c r="DB108" i="5" s="1"/>
  <c r="CX115" i="5"/>
  <c r="CX134" i="5" s="1"/>
  <c r="CX132" i="5" s="1"/>
  <c r="R134" i="5"/>
  <c r="R132" i="5" s="1"/>
  <c r="AN64" i="5"/>
  <c r="AN108" i="5"/>
  <c r="AF141" i="5"/>
  <c r="AF259" i="5" s="1"/>
  <c r="AF288" i="5"/>
  <c r="AF270" i="5" s="1"/>
  <c r="AG287" i="5"/>
  <c r="AG269" i="5" s="1"/>
  <c r="P288" i="5"/>
  <c r="P96" i="5"/>
  <c r="Q287" i="5"/>
  <c r="Q269" i="5" s="1"/>
  <c r="P67" i="5"/>
  <c r="H288" i="5"/>
  <c r="H96" i="5"/>
  <c r="H107" i="5" s="1"/>
  <c r="H141" i="5"/>
  <c r="H67" i="5"/>
  <c r="H83" i="5" s="1"/>
  <c r="P260" i="5"/>
  <c r="AN259" i="5"/>
  <c r="AP19" i="5"/>
  <c r="DD19" i="5" s="1"/>
  <c r="T274" i="5"/>
  <c r="T18" i="5"/>
  <c r="AC51" i="5"/>
  <c r="AC75" i="5" s="1"/>
  <c r="AC168" i="5"/>
  <c r="AO83" i="5"/>
  <c r="DD83" i="5" s="1"/>
  <c r="DD67" i="5"/>
  <c r="BM143" i="5"/>
  <c r="BD143" i="5"/>
  <c r="BI52" i="5"/>
  <c r="BI73" i="5" s="1"/>
  <c r="DP229" i="5"/>
  <c r="AK51" i="5"/>
  <c r="AK75" i="5" s="1"/>
  <c r="BC143" i="5"/>
  <c r="BX52" i="5"/>
  <c r="BX73" i="5" s="1"/>
  <c r="BP143" i="5"/>
  <c r="CG6" i="5"/>
  <c r="DN141" i="5"/>
  <c r="F269" i="5"/>
  <c r="AB274" i="5"/>
  <c r="DH197" i="5"/>
  <c r="DH63" i="5" s="1"/>
  <c r="DH81" i="5" s="1"/>
  <c r="AR65" i="5"/>
  <c r="DF270" i="5"/>
  <c r="DI298" i="5"/>
  <c r="DI300" i="5" s="1"/>
  <c r="DI308" i="5" s="1"/>
  <c r="DN197" i="5"/>
  <c r="DN63" i="5" s="1"/>
  <c r="DN81" i="5" s="1"/>
  <c r="BK280" i="5"/>
  <c r="BU303" i="2"/>
  <c r="BU305" i="2" s="1"/>
  <c r="CJ260" i="5"/>
  <c r="BX140" i="1"/>
  <c r="DL150" i="5"/>
  <c r="DJ65" i="5"/>
  <c r="DJ299" i="5"/>
  <c r="DJ300" i="5" s="1"/>
  <c r="BH145" i="5"/>
  <c r="BH143" i="5" s="1"/>
  <c r="BH138" i="5" s="1"/>
  <c r="BI127" i="5"/>
  <c r="BI145" i="5" s="1"/>
  <c r="BI263" i="5" s="1"/>
  <c r="U107" i="5"/>
  <c r="AT284" i="2"/>
  <c r="AT285" i="2" s="1"/>
  <c r="AT287" i="2" s="1"/>
  <c r="CY134" i="5"/>
  <c r="DP277" i="5"/>
  <c r="DO140" i="5"/>
  <c r="BV259" i="5"/>
  <c r="BK269" i="5"/>
  <c r="BK275" i="5" s="1"/>
  <c r="AQ281" i="2"/>
  <c r="AQ282" i="2" s="1"/>
  <c r="N139" i="5"/>
  <c r="N263" i="5" s="1"/>
  <c r="W300" i="5"/>
  <c r="DD338" i="5"/>
  <c r="W322" i="5"/>
  <c r="W328" i="5" s="1"/>
  <c r="DC229" i="5"/>
  <c r="T133" i="5"/>
  <c r="T89" i="5"/>
  <c r="D260" i="5"/>
  <c r="BX134" i="1"/>
  <c r="BJ52" i="5"/>
  <c r="BJ73" i="5" s="1"/>
  <c r="BE58" i="5"/>
  <c r="BE80" i="5" s="1"/>
  <c r="AC301" i="5"/>
  <c r="AC292" i="5" s="1"/>
  <c r="AO143" i="5"/>
  <c r="DL134" i="5"/>
  <c r="DK89" i="5"/>
  <c r="DI108" i="5"/>
  <c r="BM260" i="5"/>
  <c r="DJ229" i="5"/>
  <c r="CY3" i="5"/>
  <c r="N134" i="5"/>
  <c r="N108" i="5"/>
  <c r="N128" i="5" s="1"/>
  <c r="T288" i="5"/>
  <c r="CY288" i="5" s="1"/>
  <c r="CY270" i="5" s="1"/>
  <c r="T96" i="5"/>
  <c r="T141" i="5"/>
  <c r="R140" i="5"/>
  <c r="R279" i="5"/>
  <c r="R280" i="5" s="1"/>
  <c r="S277" i="5"/>
  <c r="S269" i="5" s="1"/>
  <c r="BC52" i="5"/>
  <c r="BC73" i="5" s="1"/>
  <c r="CE10" i="5"/>
  <c r="AD259" i="5"/>
  <c r="BN131" i="5"/>
  <c r="AZ261" i="5"/>
  <c r="DO146" i="5"/>
  <c r="BK173" i="5"/>
  <c r="AF119" i="5"/>
  <c r="DH188" i="5"/>
  <c r="DH201" i="5"/>
  <c r="D235" i="5"/>
  <c r="C300" i="5"/>
  <c r="AA108" i="5"/>
  <c r="Q279" i="5"/>
  <c r="Q280" i="5" s="1"/>
  <c r="R277" i="5"/>
  <c r="R285" i="5" s="1"/>
  <c r="R271" i="5" s="1"/>
  <c r="Q140" i="5"/>
  <c r="J140" i="5"/>
  <c r="K277" i="5"/>
  <c r="DF133" i="5"/>
  <c r="DF132" i="5" s="1"/>
  <c r="W132" i="5"/>
  <c r="W131" i="5" s="1"/>
  <c r="DB13" i="5"/>
  <c r="AB10" i="5"/>
  <c r="D246" i="5"/>
  <c r="AO10" i="5"/>
  <c r="CZ7" i="5"/>
  <c r="DA239" i="5" s="1"/>
  <c r="CX3" i="5"/>
  <c r="BC248" i="5"/>
  <c r="AT270" i="5"/>
  <c r="CD58" i="5"/>
  <c r="CD80" i="5" s="1"/>
  <c r="BE269" i="5"/>
  <c r="AO173" i="5"/>
  <c r="L173" i="5"/>
  <c r="L54" i="5" s="1"/>
  <c r="D173" i="5"/>
  <c r="D54" i="5" s="1"/>
  <c r="D177" i="5" s="1"/>
  <c r="AY119" i="5"/>
  <c r="AY128" i="5" s="1"/>
  <c r="CZ146" i="5"/>
  <c r="X150" i="5"/>
  <c r="X143" i="5" s="1"/>
  <c r="DC82" i="5"/>
  <c r="DA82" i="5"/>
  <c r="BW134" i="1"/>
  <c r="AY263" i="5"/>
  <c r="BF58" i="5"/>
  <c r="BF80" i="5" s="1"/>
  <c r="BO58" i="5"/>
  <c r="BO80" i="5" s="1"/>
  <c r="J132" i="5"/>
  <c r="J131" i="5" s="1"/>
  <c r="CG128" i="5"/>
  <c r="DM146" i="5"/>
  <c r="BZ269" i="5"/>
  <c r="BA10" i="5"/>
  <c r="BM128" i="5"/>
  <c r="BJ107" i="5"/>
  <c r="BJ129" i="5" s="1"/>
  <c r="DH134" i="5"/>
  <c r="AL270" i="5"/>
  <c r="AL275" i="5" s="1"/>
  <c r="N259" i="5"/>
  <c r="CZ337" i="5"/>
  <c r="Z324" i="5"/>
  <c r="AI52" i="5"/>
  <c r="AI73" i="5" s="1"/>
  <c r="AQ259" i="5"/>
  <c r="V64" i="5"/>
  <c r="CY64" i="5" s="1"/>
  <c r="CY111" i="5"/>
  <c r="O150" i="5"/>
  <c r="DF140" i="5"/>
  <c r="DD82" i="5"/>
  <c r="BK300" i="5"/>
  <c r="AZ132" i="5"/>
  <c r="BH132" i="5"/>
  <c r="BH131" i="5" s="1"/>
  <c r="BH264" i="5" s="1"/>
  <c r="BP132" i="5"/>
  <c r="BQ53" i="5" s="1"/>
  <c r="BQ78" i="5" s="1"/>
  <c r="DD69" i="5"/>
  <c r="CC52" i="5"/>
  <c r="CC73" i="5" s="1"/>
  <c r="CE270" i="5"/>
  <c r="BM10" i="5"/>
  <c r="AI6" i="5"/>
  <c r="AI246" i="5" s="1"/>
  <c r="AA107" i="5"/>
  <c r="P89" i="5"/>
  <c r="DC175" i="5"/>
  <c r="CY337" i="5"/>
  <c r="AD337" i="5"/>
  <c r="AD340" i="5" s="1"/>
  <c r="AI270" i="5"/>
  <c r="AP269" i="5"/>
  <c r="AS299" i="5"/>
  <c r="AK64" i="5"/>
  <c r="DC64" i="5" s="1"/>
  <c r="AC142" i="5"/>
  <c r="AC108" i="5"/>
  <c r="Q18" i="5"/>
  <c r="Q60" i="5" s="1"/>
  <c r="BD308" i="5"/>
  <c r="BA132" i="5"/>
  <c r="BI132" i="5"/>
  <c r="BQ132" i="5"/>
  <c r="BQ131" i="5" s="1"/>
  <c r="DC69" i="5"/>
  <c r="BO259" i="5"/>
  <c r="DB201" i="5"/>
  <c r="DB188" i="5"/>
  <c r="CZ174" i="5"/>
  <c r="AJ143" i="5"/>
  <c r="DE188" i="5"/>
  <c r="DD146" i="5"/>
  <c r="DE52" i="5" s="1"/>
  <c r="DG142" i="5"/>
  <c r="BC247" i="5"/>
  <c r="AD10" i="5"/>
  <c r="AA10" i="5"/>
  <c r="K10" i="5"/>
  <c r="H245" i="5"/>
  <c r="S6" i="5"/>
  <c r="S248" i="5" s="1"/>
  <c r="AX132" i="5"/>
  <c r="AX53" i="5" s="1"/>
  <c r="AX78" i="5" s="1"/>
  <c r="CD52" i="5"/>
  <c r="CD73" i="5" s="1"/>
  <c r="CZ48" i="5"/>
  <c r="AX58" i="5"/>
  <c r="AX80" i="5" s="1"/>
  <c r="CI58" i="5"/>
  <c r="CI80" i="5" s="1"/>
  <c r="CH270" i="5"/>
  <c r="CH290" i="2" s="1"/>
  <c r="Y18" i="5"/>
  <c r="Y60" i="5" s="1"/>
  <c r="AP337" i="5"/>
  <c r="AH337" i="5"/>
  <c r="AH340" i="5" s="1"/>
  <c r="AQ269" i="5"/>
  <c r="DC203" i="5"/>
  <c r="DH175" i="5"/>
  <c r="AG173" i="5"/>
  <c r="AG172" i="5" s="1"/>
  <c r="Y173" i="5"/>
  <c r="Y171" i="5" s="1"/>
  <c r="Q173" i="5"/>
  <c r="Q172" i="5" s="1"/>
  <c r="AT259" i="5"/>
  <c r="DF150" i="5"/>
  <c r="AV107" i="5"/>
  <c r="CZ82" i="5"/>
  <c r="H248" i="5"/>
  <c r="AK10" i="5"/>
  <c r="E10" i="5"/>
  <c r="E240" i="5" s="1"/>
  <c r="DF12" i="5"/>
  <c r="DD12" i="5"/>
  <c r="DB12" i="5"/>
  <c r="CX12" i="5"/>
  <c r="BC245" i="5"/>
  <c r="O239" i="5"/>
  <c r="G239" i="5"/>
  <c r="Z6" i="5"/>
  <c r="Z8" i="5" s="1"/>
  <c r="CX4" i="5"/>
  <c r="AV300" i="5"/>
  <c r="BO173" i="5"/>
  <c r="BO171" i="5" s="1"/>
  <c r="BR269" i="5"/>
  <c r="BI131" i="5"/>
  <c r="BI264" i="5" s="1"/>
  <c r="CU143" i="5"/>
  <c r="G40" i="5"/>
  <c r="CI139" i="5"/>
  <c r="CG85" i="5"/>
  <c r="BE41" i="5"/>
  <c r="BE134" i="1"/>
  <c r="BE335" i="1"/>
  <c r="BI313" i="1"/>
  <c r="BD312" i="1"/>
  <c r="AZ334" i="1"/>
  <c r="CH331" i="1"/>
  <c r="CL309" i="1"/>
  <c r="CE379" i="1"/>
  <c r="CE365" i="1"/>
  <c r="CE396" i="1"/>
  <c r="CZ239" i="5"/>
  <c r="BS59" i="1"/>
  <c r="BW59" i="1"/>
  <c r="BE292" i="1"/>
  <c r="BF289" i="1"/>
  <c r="BK295" i="1"/>
  <c r="BY322" i="1"/>
  <c r="BY343" i="1" s="1"/>
  <c r="AW10" i="5"/>
  <c r="CJ364" i="1"/>
  <c r="CJ371" i="1"/>
  <c r="CJ396" i="1"/>
  <c r="DI380" i="1"/>
  <c r="CG5" i="1"/>
  <c r="CX15" i="5"/>
  <c r="DF13" i="5"/>
  <c r="DG12" i="5"/>
  <c r="Y239" i="5"/>
  <c r="CZ3" i="5"/>
  <c r="BD363" i="1"/>
  <c r="BD380" i="1"/>
  <c r="BD381" i="1" s="1"/>
  <c r="AX64" i="1"/>
  <c r="AX97" i="1"/>
  <c r="AX15" i="5"/>
  <c r="AV378" i="1"/>
  <c r="AV403" i="1"/>
  <c r="AV405" i="1"/>
  <c r="DG400" i="1"/>
  <c r="DH405" i="1" s="1"/>
  <c r="AZ403" i="1"/>
  <c r="BR378" i="1"/>
  <c r="BR404" i="1"/>
  <c r="BZ378" i="1"/>
  <c r="DN400" i="1"/>
  <c r="CA404" i="1"/>
  <c r="CC271" i="1"/>
  <c r="CC272" i="1"/>
  <c r="CD154" i="1"/>
  <c r="CD87" i="1"/>
  <c r="AV148" i="2"/>
  <c r="CD121" i="1"/>
  <c r="CC31" i="1"/>
  <c r="CB35" i="1"/>
  <c r="J10" i="5"/>
  <c r="W10" i="5"/>
  <c r="G10" i="5"/>
  <c r="BF69" i="1"/>
  <c r="BF67" i="1"/>
  <c r="CA4" i="5"/>
  <c r="CA6" i="5" s="1"/>
  <c r="CF323" i="1"/>
  <c r="BQ370" i="1"/>
  <c r="BE370" i="1"/>
  <c r="BU59" i="1"/>
  <c r="BF375" i="1"/>
  <c r="AT370" i="1"/>
  <c r="CA22" i="1"/>
  <c r="BA266" i="1"/>
  <c r="BZ6" i="5"/>
  <c r="BF396" i="1"/>
  <c r="CF282" i="1"/>
  <c r="CD289" i="1"/>
  <c r="BD282" i="1"/>
  <c r="DN277" i="1"/>
  <c r="BX67" i="1"/>
  <c r="CD380" i="1"/>
  <c r="CD381" i="1" s="1"/>
  <c r="CD118" i="1"/>
  <c r="CB90" i="1"/>
  <c r="CG401" i="1"/>
  <c r="CB396" i="1"/>
  <c r="BT270" i="1"/>
  <c r="BQ281" i="1"/>
  <c r="CG282" i="1"/>
  <c r="AT307" i="1"/>
  <c r="CD27" i="1"/>
  <c r="CD4" i="1"/>
  <c r="DO132" i="1"/>
  <c r="DN41" i="5" s="1"/>
  <c r="CC35" i="1"/>
  <c r="CI308" i="1"/>
  <c r="F173" i="5"/>
  <c r="F172" i="5" s="1"/>
  <c r="Q168" i="5"/>
  <c r="BK87" i="1"/>
  <c r="BT64" i="1"/>
  <c r="BT69" i="1" s="1"/>
  <c r="BT70" i="1" s="1"/>
  <c r="DJ250" i="1"/>
  <c r="DJ271" i="1"/>
  <c r="DJ369" i="1" s="1"/>
  <c r="DJ402" i="1" s="1"/>
  <c r="BP370" i="1"/>
  <c r="BV282" i="1"/>
  <c r="AV51" i="2"/>
  <c r="AY345" i="1"/>
  <c r="DI281" i="1"/>
  <c r="BT6" i="5"/>
  <c r="BT233" i="5" s="1"/>
  <c r="BD369" i="1"/>
  <c r="BD402" i="1" s="1"/>
  <c r="BO159" i="5"/>
  <c r="DL21" i="1"/>
  <c r="DL23" i="1" s="1"/>
  <c r="BU42" i="5"/>
  <c r="BA337" i="1"/>
  <c r="BE381" i="1"/>
  <c r="BX19" i="1"/>
  <c r="BS375" i="1"/>
  <c r="BA336" i="1"/>
  <c r="BT10" i="2"/>
  <c r="BT47" i="2" s="1"/>
  <c r="CD31" i="1"/>
  <c r="CH27" i="1"/>
  <c r="CB109" i="1"/>
  <c r="CG118" i="1"/>
  <c r="CB371" i="1"/>
  <c r="AT233" i="1"/>
  <c r="CA371" i="1"/>
  <c r="CC401" i="1"/>
  <c r="DK130" i="1"/>
  <c r="DK89" i="1" s="1"/>
  <c r="DK91" i="1" s="1"/>
  <c r="BH308" i="1"/>
  <c r="BL309" i="1" s="1"/>
  <c r="AZ381" i="1"/>
  <c r="CJ90" i="1"/>
  <c r="CJ27" i="1"/>
  <c r="DO13" i="5"/>
  <c r="O100" i="3" s="1"/>
  <c r="DP91" i="1"/>
  <c r="DN18" i="1"/>
  <c r="DN20" i="1" s="1"/>
  <c r="BO66" i="1"/>
  <c r="BO67" i="1"/>
  <c r="BA282" i="1"/>
  <c r="BY370" i="1"/>
  <c r="CH282" i="1"/>
  <c r="BP283" i="1"/>
  <c r="BU132" i="1"/>
  <c r="BG148" i="2"/>
  <c r="CD35" i="1"/>
  <c r="CD49" i="1"/>
  <c r="CC5" i="1"/>
  <c r="CB118" i="1"/>
  <c r="CB401" i="1"/>
  <c r="CG112" i="1"/>
  <c r="BR322" i="1"/>
  <c r="BR289" i="1"/>
  <c r="BB289" i="1"/>
  <c r="DG103" i="1"/>
  <c r="DM380" i="1"/>
  <c r="DM87" i="1"/>
  <c r="CC41" i="5"/>
  <c r="CA396" i="1"/>
  <c r="CC395" i="1"/>
  <c r="O6" i="5"/>
  <c r="O247" i="5" s="1"/>
  <c r="AV351" i="1"/>
  <c r="BV87" i="1"/>
  <c r="CC7" i="5"/>
  <c r="CF158" i="5" s="1"/>
  <c r="CC39" i="1"/>
  <c r="AL6" i="5"/>
  <c r="AL235" i="5" s="1"/>
  <c r="DH130" i="1"/>
  <c r="AS401" i="1"/>
  <c r="AS97" i="1"/>
  <c r="BV403" i="1"/>
  <c r="BI78" i="1"/>
  <c r="AS259" i="1"/>
  <c r="AY270" i="1"/>
  <c r="BG264" i="1"/>
  <c r="DM351" i="1"/>
  <c r="CD90" i="1"/>
  <c r="CD97" i="1"/>
  <c r="CF3" i="5"/>
  <c r="CD112" i="1"/>
  <c r="CC28" i="1"/>
  <c r="CB115" i="1"/>
  <c r="BX308" i="1"/>
  <c r="CB309" i="1" s="1"/>
  <c r="DN9" i="1"/>
  <c r="CA365" i="1"/>
  <c r="CC83" i="1"/>
  <c r="DP43" i="1"/>
  <c r="CF27" i="1"/>
  <c r="CF112" i="1"/>
  <c r="BW208" i="1"/>
  <c r="BO39" i="1"/>
  <c r="BO49" i="1"/>
  <c r="CE48" i="2"/>
  <c r="CE10" i="2" s="1"/>
  <c r="DK96" i="1"/>
  <c r="DJ15" i="5" s="1"/>
  <c r="DN268" i="1"/>
  <c r="DN238" i="1"/>
  <c r="DK3" i="1"/>
  <c r="DG130" i="1"/>
  <c r="DG134" i="1" s="1"/>
  <c r="BB307" i="1"/>
  <c r="DH307" i="1" s="1"/>
  <c r="DH36" i="1"/>
  <c r="AY87" i="1"/>
  <c r="BD132" i="1"/>
  <c r="BH358" i="1"/>
  <c r="BS41" i="5"/>
  <c r="BS134" i="1"/>
  <c r="BT396" i="1"/>
  <c r="BT371" i="1"/>
  <c r="BC64" i="1"/>
  <c r="BK66" i="1"/>
  <c r="BJ67" i="1"/>
  <c r="BZ375" i="1"/>
  <c r="CD370" i="1"/>
  <c r="BC290" i="1"/>
  <c r="CB31" i="1"/>
  <c r="AR332" i="1"/>
  <c r="CC118" i="1"/>
  <c r="CJ365" i="1"/>
  <c r="DO188" i="1"/>
  <c r="CC380" i="1"/>
  <c r="CC381" i="1" s="1"/>
  <c r="CB41" i="5"/>
  <c r="CB40" i="5" s="1"/>
  <c r="CB97" i="1"/>
  <c r="DN191" i="1"/>
  <c r="AV175" i="5"/>
  <c r="BB233" i="1"/>
  <c r="BD263" i="1"/>
  <c r="DH281" i="1"/>
  <c r="BF118" i="1"/>
  <c r="DI26" i="1"/>
  <c r="BF35" i="1"/>
  <c r="AW64" i="1"/>
  <c r="AW124" i="1" s="1"/>
  <c r="CG153" i="1"/>
  <c r="CG265" i="1"/>
  <c r="CH266" i="1" s="1"/>
  <c r="CZ42" i="5"/>
  <c r="DB42" i="5"/>
  <c r="CA40" i="5"/>
  <c r="CE153" i="1"/>
  <c r="CE154" i="1" s="1"/>
  <c r="BZ402" i="1"/>
  <c r="DM9" i="1"/>
  <c r="DL46" i="1"/>
  <c r="DM268" i="1"/>
  <c r="O168" i="5"/>
  <c r="BA347" i="1"/>
  <c r="AS212" i="1"/>
  <c r="AX134" i="1"/>
  <c r="CD134" i="1"/>
  <c r="DM13" i="1"/>
  <c r="CG138" i="1"/>
  <c r="DP397" i="1"/>
  <c r="CC141" i="1"/>
  <c r="BU78" i="1"/>
  <c r="BE35" i="1"/>
  <c r="BE15" i="1"/>
  <c r="DP224" i="1"/>
  <c r="DP321" i="1" s="1"/>
  <c r="DP322" i="1" s="1"/>
  <c r="DQ323" i="1" s="1"/>
  <c r="DS325" i="1" s="1"/>
  <c r="DT326" i="1" s="1"/>
  <c r="BP265" i="1"/>
  <c r="DJ246" i="1"/>
  <c r="DG32" i="1"/>
  <c r="DG87" i="1" s="1"/>
  <c r="AS380" i="1"/>
  <c r="BB115" i="1"/>
  <c r="BA78" i="1"/>
  <c r="AS78" i="1"/>
  <c r="BR272" i="1"/>
  <c r="BN153" i="1"/>
  <c r="BN154" i="1" s="1"/>
  <c r="AX153" i="1"/>
  <c r="AX154" i="1" s="1"/>
  <c r="BH153" i="1"/>
  <c r="BH154" i="1" s="1"/>
  <c r="CX153" i="1"/>
  <c r="AS153" i="1"/>
  <c r="AS154" i="1" s="1"/>
  <c r="AR66" i="1"/>
  <c r="BZ264" i="1"/>
  <c r="CB265" i="1"/>
  <c r="CB343" i="1" s="1"/>
  <c r="DP18" i="1"/>
  <c r="DP20" i="1" s="1"/>
  <c r="AG177" i="1"/>
  <c r="AG178" i="1" s="1"/>
  <c r="BZ143" i="1"/>
  <c r="DL96" i="1"/>
  <c r="DK15" i="5" s="1"/>
  <c r="DM13" i="2"/>
  <c r="DJ100" i="1"/>
  <c r="AQ16" i="2"/>
  <c r="AQ17" i="2" s="1"/>
  <c r="BD351" i="1"/>
  <c r="AZ351" i="1"/>
  <c r="BI15" i="1"/>
  <c r="BK15" i="1"/>
  <c r="BT403" i="1"/>
  <c r="DA153" i="1"/>
  <c r="BM153" i="1"/>
  <c r="BM154" i="1" s="1"/>
  <c r="BE153" i="1"/>
  <c r="BE154" i="1" s="1"/>
  <c r="AW153" i="1"/>
  <c r="AW154" i="1" s="1"/>
  <c r="DC153" i="1"/>
  <c r="BW153" i="1"/>
  <c r="BW154" i="1" s="1"/>
  <c r="BO153" i="1"/>
  <c r="BO154" i="1" s="1"/>
  <c r="CG41" i="2"/>
  <c r="BY173" i="5"/>
  <c r="BY171" i="5" s="1"/>
  <c r="BP97" i="1"/>
  <c r="DI96" i="1"/>
  <c r="DI64" i="1" s="1"/>
  <c r="DO140" i="1"/>
  <c r="DD4" i="5"/>
  <c r="AH6" i="5"/>
  <c r="AH8" i="5" s="1"/>
  <c r="AQ49" i="2"/>
  <c r="AQ9" i="2" s="1"/>
  <c r="DJ403" i="1"/>
  <c r="BE307" i="1"/>
  <c r="DF248" i="1"/>
  <c r="BK259" i="1"/>
  <c r="DJ153" i="1"/>
  <c r="BS64" i="1"/>
  <c r="BT66" i="1" s="1"/>
  <c r="BG259" i="1"/>
  <c r="DN32" i="1"/>
  <c r="DN78" i="1" s="1"/>
  <c r="BW78" i="1"/>
  <c r="BC173" i="5"/>
  <c r="BS365" i="1"/>
  <c r="DI240" i="1"/>
  <c r="BK134" i="1"/>
  <c r="CC59" i="1"/>
  <c r="BZ16" i="2"/>
  <c r="BZ17" i="2" s="1"/>
  <c r="CF259" i="1"/>
  <c r="CJ260" i="1" s="1"/>
  <c r="DF132" i="1"/>
  <c r="DE41" i="5" s="1"/>
  <c r="AZ337" i="1"/>
  <c r="BD315" i="1"/>
  <c r="BD338" i="1" s="1"/>
  <c r="DP264" i="1"/>
  <c r="DO264" i="1"/>
  <c r="BG124" i="1"/>
  <c r="V54" i="5"/>
  <c r="W170" i="5" s="1"/>
  <c r="DI236" i="1"/>
  <c r="DJ236" i="1"/>
  <c r="X173" i="5"/>
  <c r="X172" i="5" s="1"/>
  <c r="CZ11" i="5"/>
  <c r="X10" i="5"/>
  <c r="CX11" i="5"/>
  <c r="P10" i="5"/>
  <c r="AF239" i="5"/>
  <c r="AG239" i="5"/>
  <c r="P239" i="5"/>
  <c r="Q239" i="5"/>
  <c r="H239" i="5"/>
  <c r="I239" i="5"/>
  <c r="F235" i="5"/>
  <c r="F246" i="5"/>
  <c r="DJ397" i="1"/>
  <c r="DJ378" i="1"/>
  <c r="DJ380" i="1" s="1"/>
  <c r="DI175" i="5"/>
  <c r="DI173" i="5" s="1"/>
  <c r="DI54" i="5" s="1"/>
  <c r="AY7" i="5"/>
  <c r="AY239" i="5" s="1"/>
  <c r="DH38" i="1"/>
  <c r="AR39" i="1"/>
  <c r="AR7" i="5"/>
  <c r="AS239" i="5" s="1"/>
  <c r="AQ87" i="1"/>
  <c r="AQ78" i="1"/>
  <c r="AZ106" i="1"/>
  <c r="AZ357" i="1"/>
  <c r="AZ202" i="1"/>
  <c r="AR202" i="1"/>
  <c r="AR106" i="1"/>
  <c r="AR395" i="1"/>
  <c r="AR90" i="1"/>
  <c r="AS28" i="1"/>
  <c r="AR83" i="1"/>
  <c r="AR49" i="1"/>
  <c r="AR121" i="1"/>
  <c r="AR74" i="1"/>
  <c r="AR118" i="1"/>
  <c r="AR115" i="1"/>
  <c r="AR31" i="1"/>
  <c r="AR401" i="1"/>
  <c r="AR27" i="1"/>
  <c r="AR357" i="1"/>
  <c r="AV358" i="1" s="1"/>
  <c r="BA61" i="2"/>
  <c r="DG13" i="2"/>
  <c r="AS49" i="2"/>
  <c r="AU147" i="2" s="1"/>
  <c r="AS16" i="2"/>
  <c r="AS17" i="2" s="1"/>
  <c r="AS61" i="2"/>
  <c r="DE13" i="2"/>
  <c r="BI118" i="1"/>
  <c r="BI357" i="1"/>
  <c r="BI121" i="1"/>
  <c r="BI39" i="1"/>
  <c r="BI109" i="1"/>
  <c r="BI49" i="1"/>
  <c r="BI27" i="1"/>
  <c r="BQ29" i="1"/>
  <c r="BI103" i="1"/>
  <c r="DJ26" i="1"/>
  <c r="BI90" i="1"/>
  <c r="BI115" i="1"/>
  <c r="BI35" i="1"/>
  <c r="BI395" i="1"/>
  <c r="BI112" i="1"/>
  <c r="BI202" i="1"/>
  <c r="BI203" i="1" s="1"/>
  <c r="BI31" i="1"/>
  <c r="AT212" i="1"/>
  <c r="AX212" i="1"/>
  <c r="BA210" i="1"/>
  <c r="BA211" i="1" s="1"/>
  <c r="BE212" i="1" s="1"/>
  <c r="BA202" i="1"/>
  <c r="BA203" i="1" s="1"/>
  <c r="DM174" i="5"/>
  <c r="DN372" i="1"/>
  <c r="P168" i="5"/>
  <c r="CX41" i="5"/>
  <c r="CX168" i="5" s="1"/>
  <c r="P51" i="5"/>
  <c r="P75" i="5" s="1"/>
  <c r="X51" i="5"/>
  <c r="X75" i="5" s="1"/>
  <c r="CZ41" i="5"/>
  <c r="CZ168" i="5" s="1"/>
  <c r="AE168" i="5"/>
  <c r="AE51" i="5"/>
  <c r="AE75" i="5" s="1"/>
  <c r="CE22" i="1"/>
  <c r="CE19" i="1"/>
  <c r="CE4" i="5"/>
  <c r="CE290" i="1"/>
  <c r="CA289" i="1"/>
  <c r="AR103" i="1"/>
  <c r="AU310" i="1"/>
  <c r="AY311" i="1" s="1"/>
  <c r="BC312" i="1" s="1"/>
  <c r="AQ316" i="1"/>
  <c r="AT50" i="2"/>
  <c r="CZ175" i="5"/>
  <c r="AZ173" i="5"/>
  <c r="AZ172" i="5" s="1"/>
  <c r="DE174" i="5"/>
  <c r="DC174" i="5"/>
  <c r="DA174" i="5"/>
  <c r="CY174" i="5"/>
  <c r="T173" i="5"/>
  <c r="CZ15" i="5"/>
  <c r="BB10" i="5"/>
  <c r="DG13" i="5"/>
  <c r="CY13" i="5"/>
  <c r="Z10" i="5"/>
  <c r="CZ12" i="5"/>
  <c r="DF11" i="5"/>
  <c r="DD11" i="5"/>
  <c r="DB11" i="5"/>
  <c r="AE239" i="5"/>
  <c r="DB7" i="5"/>
  <c r="G11" i="3" s="1"/>
  <c r="E8" i="5"/>
  <c r="E248" i="5"/>
  <c r="E235" i="5"/>
  <c r="E238" i="5"/>
  <c r="DH43" i="1"/>
  <c r="DG42" i="1"/>
  <c r="DG43" i="1"/>
  <c r="AQ7" i="5"/>
  <c r="AQ239" i="5" s="1"/>
  <c r="DF38" i="1"/>
  <c r="AQ39" i="1"/>
  <c r="DG57" i="1"/>
  <c r="DG58" i="1" s="1"/>
  <c r="DG35" i="1"/>
  <c r="DH282" i="1"/>
  <c r="AY28" i="1"/>
  <c r="AY31" i="1"/>
  <c r="AY49" i="1"/>
  <c r="AY124" i="1" s="1"/>
  <c r="AQ109" i="1"/>
  <c r="AQ112" i="1"/>
  <c r="AU210" i="1"/>
  <c r="AU211" i="1" s="1"/>
  <c r="AY212" i="1" s="1"/>
  <c r="AU202" i="1"/>
  <c r="BB210" i="1"/>
  <c r="BB211" i="1" s="1"/>
  <c r="BB202" i="1"/>
  <c r="CD20" i="1"/>
  <c r="DO18" i="1"/>
  <c r="DO20" i="1" s="1"/>
  <c r="CD15" i="1"/>
  <c r="CL368" i="1"/>
  <c r="DO372" i="1"/>
  <c r="DN174" i="5"/>
  <c r="I51" i="5"/>
  <c r="I75" i="5" s="1"/>
  <c r="I168" i="5"/>
  <c r="I40" i="5"/>
  <c r="Y51" i="5"/>
  <c r="Y75" i="5" s="1"/>
  <c r="Y40" i="5"/>
  <c r="Y168" i="5"/>
  <c r="AN51" i="5"/>
  <c r="AN168" i="5"/>
  <c r="H40" i="5"/>
  <c r="P40" i="5"/>
  <c r="AF40" i="5"/>
  <c r="AN40" i="5"/>
  <c r="CJ264" i="1"/>
  <c r="DJ386" i="1"/>
  <c r="BJ49" i="1"/>
  <c r="BB42" i="2"/>
  <c r="AZ154" i="1"/>
  <c r="BA380" i="1"/>
  <c r="BA379" i="1"/>
  <c r="AN10" i="5"/>
  <c r="AR35" i="1"/>
  <c r="AM168" i="5"/>
  <c r="CG380" i="1"/>
  <c r="CG381" i="1" s="1"/>
  <c r="DP378" i="1"/>
  <c r="CF61" i="2"/>
  <c r="CF62" i="2" s="1"/>
  <c r="CF36" i="2"/>
  <c r="CF41" i="2"/>
  <c r="CF49" i="2"/>
  <c r="DP46" i="1"/>
  <c r="DP57" i="1"/>
  <c r="DP58" i="1" s="1"/>
  <c r="DI13" i="2"/>
  <c r="DI61" i="2" s="1"/>
  <c r="BG5" i="1"/>
  <c r="BG3" i="5"/>
  <c r="BG12" i="1"/>
  <c r="BG8" i="1" s="1"/>
  <c r="BH5" i="1"/>
  <c r="BM264" i="1"/>
  <c r="BQ264" i="1"/>
  <c r="BN263" i="1"/>
  <c r="BJ357" i="1"/>
  <c r="BJ265" i="1"/>
  <c r="BK263" i="1"/>
  <c r="BJ264" i="1"/>
  <c r="BN264" i="1"/>
  <c r="DJ262" i="1"/>
  <c r="BJ263" i="1"/>
  <c r="AW335" i="1"/>
  <c r="BA307" i="1"/>
  <c r="BD308" i="1" s="1"/>
  <c r="BH309" i="1" s="1"/>
  <c r="BL310" i="1" s="1"/>
  <c r="BA233" i="1"/>
  <c r="BA321" i="1"/>
  <c r="DF262" i="1"/>
  <c r="AT264" i="1"/>
  <c r="AT357" i="1"/>
  <c r="AU263" i="1"/>
  <c r="AT263" i="1"/>
  <c r="AU396" i="1"/>
  <c r="DP263" i="1"/>
  <c r="DP375" i="1" s="1"/>
  <c r="AT335" i="1"/>
  <c r="CH64" i="1"/>
  <c r="CD344" i="1"/>
  <c r="AU365" i="1"/>
  <c r="AY153" i="2"/>
  <c r="AT334" i="1"/>
  <c r="BX69" i="1"/>
  <c r="BX71" i="1" s="1"/>
  <c r="BB282" i="1"/>
  <c r="CC289" i="1"/>
  <c r="BJ290" i="1"/>
  <c r="BR124" i="1"/>
  <c r="BR282" i="1"/>
  <c r="BA334" i="1"/>
  <c r="W40" i="5"/>
  <c r="CG19" i="1"/>
  <c r="CG16" i="1"/>
  <c r="CG22" i="1"/>
  <c r="BV62" i="2"/>
  <c r="F238" i="5"/>
  <c r="DI238" i="1"/>
  <c r="BU295" i="1"/>
  <c r="BU289" i="1"/>
  <c r="H51" i="5"/>
  <c r="H75" i="5" s="1"/>
  <c r="DG311" i="1"/>
  <c r="BB312" i="1"/>
  <c r="DH57" i="1"/>
  <c r="CH263" i="1"/>
  <c r="CZ4" i="5"/>
  <c r="BQ263" i="1"/>
  <c r="CJ121" i="1"/>
  <c r="CJ10" i="5"/>
  <c r="CI10" i="5"/>
  <c r="CI240" i="5" s="1"/>
  <c r="CG363" i="1"/>
  <c r="CG364" i="1" s="1"/>
  <c r="CE3" i="5"/>
  <c r="CE4" i="1"/>
  <c r="CE12" i="1"/>
  <c r="CE8" i="1" s="1"/>
  <c r="CI4" i="1"/>
  <c r="BC16" i="1"/>
  <c r="BM239" i="5"/>
  <c r="BW40" i="5"/>
  <c r="AY337" i="1"/>
  <c r="DO263" i="1"/>
  <c r="DO375" i="1" s="1"/>
  <c r="CG266" i="1"/>
  <c r="W172" i="5"/>
  <c r="AT336" i="1"/>
  <c r="CI331" i="1"/>
  <c r="BX65" i="1"/>
  <c r="BG51" i="2"/>
  <c r="AX282" i="1"/>
  <c r="CJ283" i="1"/>
  <c r="BK289" i="1"/>
  <c r="BG147" i="2"/>
  <c r="BE282" i="1"/>
  <c r="CC370" i="1"/>
  <c r="BW51" i="5"/>
  <c r="BW75" i="5" s="1"/>
  <c r="BR295" i="1"/>
  <c r="AU51" i="2"/>
  <c r="BX290" i="1"/>
  <c r="AX50" i="2"/>
  <c r="BL54" i="5"/>
  <c r="BS280" i="1"/>
  <c r="BV283" i="1"/>
  <c r="BR280" i="1"/>
  <c r="Q40" i="5"/>
  <c r="CC55" i="1"/>
  <c r="CC56" i="1"/>
  <c r="BG282" i="1"/>
  <c r="BG283" i="1"/>
  <c r="AV375" i="1"/>
  <c r="DG174" i="5"/>
  <c r="F248" i="5"/>
  <c r="AJ173" i="5"/>
  <c r="CX7" i="5"/>
  <c r="DG378" i="1"/>
  <c r="DG380" i="1" s="1"/>
  <c r="DG401" i="1"/>
  <c r="BV280" i="1"/>
  <c r="BZ283" i="1"/>
  <c r="BN55" i="1"/>
  <c r="BR55" i="1"/>
  <c r="DG271" i="1"/>
  <c r="DG369" i="1" s="1"/>
  <c r="DG402" i="1" s="1"/>
  <c r="DH286" i="1"/>
  <c r="DH288" i="1" s="1"/>
  <c r="DI289" i="1" s="1"/>
  <c r="Y172" i="5"/>
  <c r="AV369" i="1"/>
  <c r="AV402" i="1" s="1"/>
  <c r="AU370" i="1"/>
  <c r="BJ35" i="1"/>
  <c r="BJ90" i="1"/>
  <c r="BJ31" i="1"/>
  <c r="BJ395" i="1"/>
  <c r="BJ115" i="1"/>
  <c r="BJ97" i="1"/>
  <c r="BJ121" i="1"/>
  <c r="BJ28" i="1"/>
  <c r="BJ83" i="1"/>
  <c r="BJ74" i="1"/>
  <c r="BK28" i="1"/>
  <c r="BZ363" i="1"/>
  <c r="BZ380" i="1"/>
  <c r="CJ59" i="1"/>
  <c r="CF59" i="1"/>
  <c r="CH132" i="1"/>
  <c r="CH134" i="1" s="1"/>
  <c r="DP130" i="1"/>
  <c r="CH365" i="1"/>
  <c r="BR138" i="1"/>
  <c r="BB326" i="1"/>
  <c r="DH326" i="1" s="1"/>
  <c r="H8" i="5"/>
  <c r="H243" i="5" s="1"/>
  <c r="CB54" i="5"/>
  <c r="CB77" i="5" s="1"/>
  <c r="BC19" i="1"/>
  <c r="BZ343" i="1"/>
  <c r="BF180" i="2"/>
  <c r="BF184" i="2"/>
  <c r="BF183" i="2" s="1"/>
  <c r="AT41" i="5"/>
  <c r="AT168" i="5" s="1"/>
  <c r="CE280" i="1"/>
  <c r="BH283" i="1"/>
  <c r="BO370" i="1"/>
  <c r="CD292" i="1"/>
  <c r="BV56" i="1"/>
  <c r="AU148" i="2"/>
  <c r="BC295" i="1"/>
  <c r="S245" i="5"/>
  <c r="CF280" i="1"/>
  <c r="CE344" i="1"/>
  <c r="BJ112" i="1"/>
  <c r="F245" i="5"/>
  <c r="BJ369" i="1"/>
  <c r="BJ402" i="1" s="1"/>
  <c r="BM375" i="1"/>
  <c r="CH19" i="1"/>
  <c r="CH22" i="1"/>
  <c r="R10" i="5"/>
  <c r="H247" i="5"/>
  <c r="H235" i="5"/>
  <c r="CJ401" i="1"/>
  <c r="CJ35" i="1"/>
  <c r="CJ74" i="1"/>
  <c r="CJ112" i="1"/>
  <c r="CJ109" i="1"/>
  <c r="CJ31" i="1"/>
  <c r="CJ395" i="1"/>
  <c r="CJ28" i="1"/>
  <c r="CJ83" i="1"/>
  <c r="CJ118" i="1"/>
  <c r="CJ357" i="1"/>
  <c r="CJ359" i="1" s="1"/>
  <c r="BU41" i="5"/>
  <c r="BU134" i="1"/>
  <c r="BJ50" i="2"/>
  <c r="BF148" i="2"/>
  <c r="DH148" i="2" s="1"/>
  <c r="AT337" i="1"/>
  <c r="AT345" i="1"/>
  <c r="AT347" i="1"/>
  <c r="AY42" i="2"/>
  <c r="X239" i="5"/>
  <c r="CJ144" i="1"/>
  <c r="CJ143" i="1" s="1"/>
  <c r="DL138" i="1"/>
  <c r="BQ54" i="5"/>
  <c r="CH124" i="1"/>
  <c r="BR41" i="5"/>
  <c r="BR40" i="5" s="1"/>
  <c r="AT344" i="1"/>
  <c r="W171" i="5"/>
  <c r="BL370" i="1"/>
  <c r="BW280" i="1"/>
  <c r="BN370" i="1"/>
  <c r="BG50" i="1"/>
  <c r="BF50" i="2"/>
  <c r="DH269" i="1"/>
  <c r="BZ56" i="1"/>
  <c r="BF282" i="1"/>
  <c r="BY308" i="1"/>
  <c r="BY331" i="1" s="1"/>
  <c r="BA364" i="1"/>
  <c r="BA371" i="1"/>
  <c r="BI74" i="1"/>
  <c r="BJ202" i="1"/>
  <c r="BJ203" i="1" s="1"/>
  <c r="BO375" i="1"/>
  <c r="AV51" i="5"/>
  <c r="AV75" i="5" s="1"/>
  <c r="AV168" i="5"/>
  <c r="E245" i="5"/>
  <c r="DH13" i="5"/>
  <c r="DL78" i="1"/>
  <c r="CG290" i="1"/>
  <c r="CG264" i="1"/>
  <c r="CF264" i="1"/>
  <c r="BI28" i="1"/>
  <c r="AE40" i="5"/>
  <c r="CB308" i="1"/>
  <c r="AX87" i="1"/>
  <c r="BA55" i="1"/>
  <c r="BE55" i="1"/>
  <c r="DG45" i="1"/>
  <c r="AT381" i="1"/>
  <c r="BD266" i="1"/>
  <c r="CI10" i="2"/>
  <c r="CI11" i="2" s="1"/>
  <c r="DP307" i="1"/>
  <c r="DP308" i="1" s="1"/>
  <c r="CG308" i="1"/>
  <c r="CC283" i="1"/>
  <c r="CC282" i="1"/>
  <c r="CF74" i="1"/>
  <c r="AI171" i="5"/>
  <c r="BU351" i="1"/>
  <c r="BQ351" i="1"/>
  <c r="DI21" i="1"/>
  <c r="BF15" i="1"/>
  <c r="AQ40" i="5"/>
  <c r="DD41" i="5"/>
  <c r="DD168" i="5" s="1"/>
  <c r="CF121" i="1"/>
  <c r="BW173" i="5"/>
  <c r="DJ36" i="1"/>
  <c r="DJ45" i="1"/>
  <c r="DK36" i="1"/>
  <c r="DJ57" i="1"/>
  <c r="DJ58" i="1" s="1"/>
  <c r="CA280" i="1"/>
  <c r="CD283" i="1"/>
  <c r="AR282" i="1"/>
  <c r="AV283" i="1"/>
  <c r="AZ295" i="1"/>
  <c r="DI90" i="1"/>
  <c r="CC6" i="5"/>
  <c r="CC246" i="5" s="1"/>
  <c r="DP384" i="1"/>
  <c r="DP277" i="1"/>
  <c r="DP350" i="1"/>
  <c r="T6" i="3"/>
  <c r="DP53" i="1"/>
  <c r="DP54" i="1" s="1"/>
  <c r="DP26" i="1"/>
  <c r="DP395" i="1" s="1"/>
  <c r="DP29" i="1"/>
  <c r="DP31" i="1"/>
  <c r="DN96" i="1"/>
  <c r="BY4" i="1"/>
  <c r="BY12" i="1"/>
  <c r="BY8" i="1" s="1"/>
  <c r="BY3" i="5"/>
  <c r="BZ5" i="1"/>
  <c r="DN378" i="1"/>
  <c r="DN380" i="1" s="1"/>
  <c r="AR154" i="1"/>
  <c r="DF269" i="1"/>
  <c r="DF281" i="1"/>
  <c r="DI115" i="1"/>
  <c r="DI35" i="1"/>
  <c r="DI97" i="1"/>
  <c r="AZ364" i="1"/>
  <c r="AZ379" i="1"/>
  <c r="AZ396" i="1"/>
  <c r="DH363" i="1"/>
  <c r="DO42" i="5"/>
  <c r="DP138" i="1"/>
  <c r="CF395" i="1"/>
  <c r="CF401" i="1"/>
  <c r="CF109" i="1"/>
  <c r="CF90" i="1"/>
  <c r="CF357" i="1"/>
  <c r="CF118" i="1"/>
  <c r="CF35" i="1"/>
  <c r="CF49" i="1"/>
  <c r="CF50" i="1" s="1"/>
  <c r="BZ15" i="5"/>
  <c r="BZ10" i="5" s="1"/>
  <c r="BZ64" i="1"/>
  <c r="BZ69" i="1" s="1"/>
  <c r="CD71" i="1" s="1"/>
  <c r="DN271" i="1"/>
  <c r="DN369" i="1" s="1"/>
  <c r="DN402" i="1" s="1"/>
  <c r="CI266" i="1"/>
  <c r="BJ152" i="2"/>
  <c r="DI152" i="2" s="1"/>
  <c r="DJ4" i="2"/>
  <c r="BR90" i="1"/>
  <c r="BR39" i="1"/>
  <c r="BA381" i="1"/>
  <c r="BJ154" i="1"/>
  <c r="AS10" i="5"/>
  <c r="DN375" i="1"/>
  <c r="CJ78" i="1"/>
  <c r="CG87" i="1"/>
  <c r="BY40" i="2"/>
  <c r="BY48" i="2"/>
  <c r="DI43" i="1"/>
  <c r="DI42" i="1"/>
  <c r="BX263" i="1"/>
  <c r="BW357" i="1"/>
  <c r="BJ173" i="5"/>
  <c r="AF6" i="5"/>
  <c r="AF336" i="5" s="1"/>
  <c r="DK248" i="1"/>
  <c r="DK246" i="1"/>
  <c r="DL246" i="1"/>
  <c r="BR29" i="1"/>
  <c r="BR121" i="1"/>
  <c r="BR401" i="1"/>
  <c r="BR357" i="1"/>
  <c r="BR358" i="1" s="1"/>
  <c r="BR97" i="1"/>
  <c r="DL91" i="1"/>
  <c r="DK13" i="5"/>
  <c r="DM91" i="1"/>
  <c r="BM12" i="1"/>
  <c r="BM8" i="1" s="1"/>
  <c r="BM5" i="1"/>
  <c r="BM90" i="1"/>
  <c r="BM97" i="1"/>
  <c r="BM121" i="1"/>
  <c r="BM357" i="1"/>
  <c r="BM65" i="1"/>
  <c r="BM109" i="1"/>
  <c r="BM118" i="1"/>
  <c r="DN286" i="1"/>
  <c r="DN288" i="1" s="1"/>
  <c r="DJ282" i="1"/>
  <c r="BA346" i="1"/>
  <c r="BM3" i="5"/>
  <c r="BR35" i="1"/>
  <c r="BR115" i="1"/>
  <c r="P8" i="5"/>
  <c r="P243" i="5" s="1"/>
  <c r="BR74" i="1"/>
  <c r="CJ3" i="5"/>
  <c r="CJ4" i="1"/>
  <c r="CE118" i="1"/>
  <c r="DE13" i="5"/>
  <c r="CJ65" i="1"/>
  <c r="CG7" i="5"/>
  <c r="CH158" i="5" s="1"/>
  <c r="CL158" i="5" s="1"/>
  <c r="CP158" i="5" s="1"/>
  <c r="DP38" i="1"/>
  <c r="CD401" i="1"/>
  <c r="CD357" i="1"/>
  <c r="CH358" i="1" s="1"/>
  <c r="CC153" i="1"/>
  <c r="CC154" i="1" s="1"/>
  <c r="CC109" i="1"/>
  <c r="CC90" i="1"/>
  <c r="CC208" i="1"/>
  <c r="DN87" i="1"/>
  <c r="DJ32" i="1"/>
  <c r="DI112" i="1"/>
  <c r="BG203" i="1"/>
  <c r="CE357" i="1"/>
  <c r="CG40" i="2"/>
  <c r="CC12" i="1"/>
  <c r="CC8" i="1" s="1"/>
  <c r="CG4" i="1"/>
  <c r="CJ97" i="1"/>
  <c r="CE49" i="1"/>
  <c r="BN49" i="2"/>
  <c r="DJ49" i="2" s="1"/>
  <c r="CB395" i="1"/>
  <c r="CB74" i="1"/>
  <c r="DM13" i="5"/>
  <c r="DN91" i="1"/>
  <c r="BQ109" i="1"/>
  <c r="BQ112" i="1"/>
  <c r="BQ49" i="1"/>
  <c r="BQ74" i="1"/>
  <c r="BQ395" i="1"/>
  <c r="BQ90" i="1"/>
  <c r="BN20" i="1"/>
  <c r="BN15" i="1"/>
  <c r="DH11" i="5"/>
  <c r="BQ54" i="1"/>
  <c r="DL53" i="1"/>
  <c r="BR10" i="5"/>
  <c r="AZ64" i="1"/>
  <c r="AZ15" i="5"/>
  <c r="AZ10" i="5" s="1"/>
  <c r="BE64" i="1"/>
  <c r="BE97" i="1"/>
  <c r="BE15" i="5"/>
  <c r="BW64" i="1"/>
  <c r="BX66" i="1" s="1"/>
  <c r="BW15" i="5"/>
  <c r="BW10" i="5" s="1"/>
  <c r="BY286" i="1"/>
  <c r="BY288" i="1" s="1"/>
  <c r="BY290" i="1" s="1"/>
  <c r="BX265" i="1"/>
  <c r="BD370" i="1"/>
  <c r="BZ370" i="1"/>
  <c r="BU5" i="1"/>
  <c r="CG208" i="1"/>
  <c r="CI351" i="1"/>
  <c r="CB208" i="1"/>
  <c r="BY357" i="1"/>
  <c r="BY83" i="1"/>
  <c r="BY121" i="1"/>
  <c r="BY112" i="1"/>
  <c r="BY118" i="1"/>
  <c r="BE39" i="1"/>
  <c r="BE7" i="5"/>
  <c r="CI39" i="1"/>
  <c r="CI49" i="1"/>
  <c r="CE64" i="1"/>
  <c r="CE97" i="1"/>
  <c r="BZ153" i="1"/>
  <c r="BZ154" i="1" s="1"/>
  <c r="BE78" i="1"/>
  <c r="BM41" i="2"/>
  <c r="BN43" i="2" s="1"/>
  <c r="BM36" i="2"/>
  <c r="AU69" i="1"/>
  <c r="AY67" i="1"/>
  <c r="BQ22" i="1"/>
  <c r="BQ19" i="1"/>
  <c r="DI36" i="1"/>
  <c r="DI100" i="1"/>
  <c r="BD12" i="1"/>
  <c r="BD8" i="1" s="1"/>
  <c r="BE5" i="1"/>
  <c r="BL364" i="1"/>
  <c r="BL371" i="1"/>
  <c r="BL396" i="1"/>
  <c r="AV69" i="1"/>
  <c r="AV70" i="1" s="1"/>
  <c r="AV66" i="1"/>
  <c r="CB36" i="2"/>
  <c r="CB41" i="2"/>
  <c r="CB49" i="2"/>
  <c r="CB51" i="2" s="1"/>
  <c r="CB16" i="2"/>
  <c r="CB17" i="2" s="1"/>
  <c r="BH121" i="1"/>
  <c r="BH109" i="1"/>
  <c r="BH35" i="1"/>
  <c r="BH78" i="1"/>
  <c r="AW69" i="1"/>
  <c r="AW66" i="1"/>
  <c r="BO69" i="1"/>
  <c r="BO65" i="1"/>
  <c r="BR144" i="1"/>
  <c r="BR143" i="1" s="1"/>
  <c r="CJ153" i="1"/>
  <c r="CJ154" i="1" s="1"/>
  <c r="BI64" i="1"/>
  <c r="BI15" i="5"/>
  <c r="BI10" i="5" s="1"/>
  <c r="BI97" i="1"/>
  <c r="AW175" i="5"/>
  <c r="AW173" i="5" s="1"/>
  <c r="AW172" i="5" s="1"/>
  <c r="AW403" i="1"/>
  <c r="AW401" i="1"/>
  <c r="BF295" i="1"/>
  <c r="BZ403" i="1"/>
  <c r="BZ175" i="5"/>
  <c r="BZ173" i="5" s="1"/>
  <c r="DL153" i="1"/>
  <c r="DL154" i="1" s="1"/>
  <c r="BO15" i="5"/>
  <c r="BO10" i="5" s="1"/>
  <c r="DK13" i="1"/>
  <c r="DK268" i="1"/>
  <c r="AQ365" i="1"/>
  <c r="AQ387" i="1"/>
  <c r="BK395" i="1"/>
  <c r="BK97" i="1"/>
  <c r="BK121" i="1"/>
  <c r="BK83" i="1"/>
  <c r="BK115" i="1"/>
  <c r="BO115" i="1"/>
  <c r="BO27" i="1"/>
  <c r="BO395" i="1"/>
  <c r="AY66" i="1"/>
  <c r="AX69" i="1"/>
  <c r="BB67" i="1"/>
  <c r="BJ69" i="1"/>
  <c r="BJ65" i="1"/>
  <c r="BN67" i="1"/>
  <c r="AX175" i="5"/>
  <c r="AX173" i="5" s="1"/>
  <c r="AX54" i="5" s="1"/>
  <c r="AX77" i="5" s="1"/>
  <c r="AX405" i="1"/>
  <c r="AX403" i="1"/>
  <c r="AX378" i="1"/>
  <c r="AX404" i="1"/>
  <c r="AY404" i="1"/>
  <c r="BH6" i="5"/>
  <c r="BH246" i="5" s="1"/>
  <c r="CE40" i="5"/>
  <c r="CA208" i="1"/>
  <c r="BZ404" i="1"/>
  <c r="DP372" i="1"/>
  <c r="DM43" i="1"/>
  <c r="BA67" i="1"/>
  <c r="BP208" i="1"/>
  <c r="DA3" i="5"/>
  <c r="BO3" i="5"/>
  <c r="BO6" i="5" s="1"/>
  <c r="BO12" i="1"/>
  <c r="BO8" i="1" s="1"/>
  <c r="BG134" i="1"/>
  <c r="BD97" i="1"/>
  <c r="BD15" i="5"/>
  <c r="BD248" i="5" s="1"/>
  <c r="AG10" i="5"/>
  <c r="K6" i="5"/>
  <c r="AQ264" i="1"/>
  <c r="BB118" i="1"/>
  <c r="AA173" i="5"/>
  <c r="AA171" i="5" s="1"/>
  <c r="AM239" i="5"/>
  <c r="AD239" i="5"/>
  <c r="AX270" i="1"/>
  <c r="AW87" i="1"/>
  <c r="AQ61" i="2"/>
  <c r="AU62" i="2" s="1"/>
  <c r="BG4" i="1"/>
  <c r="BK380" i="1"/>
  <c r="DM397" i="1"/>
  <c r="BR78" i="1"/>
  <c r="DV307" i="1"/>
  <c r="DV308" i="1" s="1"/>
  <c r="CC263" i="1"/>
  <c r="CF271" i="1"/>
  <c r="BH259" i="1"/>
  <c r="BP259" i="1"/>
  <c r="BX259" i="1"/>
  <c r="AP173" i="5"/>
  <c r="DH96" i="1"/>
  <c r="AY78" i="1"/>
  <c r="DK388" i="1"/>
  <c r="Y177" i="1"/>
  <c r="Y178" i="1" s="1"/>
  <c r="BA212" i="1"/>
  <c r="BY15" i="1"/>
  <c r="AS134" i="1"/>
  <c r="CG134" i="1"/>
  <c r="DN53" i="1"/>
  <c r="DN54" i="1" s="1"/>
  <c r="BX87" i="1"/>
  <c r="DM76" i="1"/>
  <c r="DM78" i="1" s="1"/>
  <c r="DK9" i="1"/>
  <c r="DI74" i="1"/>
  <c r="DI18" i="1"/>
  <c r="DL236" i="1"/>
  <c r="I9" i="3"/>
  <c r="I56" i="3" s="1"/>
  <c r="BG173" i="5"/>
  <c r="M6" i="5"/>
  <c r="DF78" i="1"/>
  <c r="H7" i="3"/>
  <c r="AB173" i="5"/>
  <c r="AX351" i="1"/>
  <c r="BE321" i="1"/>
  <c r="BH322" i="1" s="1"/>
  <c r="BL323" i="1" s="1"/>
  <c r="AS87" i="1"/>
  <c r="AU78" i="1"/>
  <c r="BE49" i="1"/>
  <c r="DK38" i="1"/>
  <c r="DJ7" i="5" s="1"/>
  <c r="DK239" i="5" s="1"/>
  <c r="BM286" i="1"/>
  <c r="BM288" i="1" s="1"/>
  <c r="BQ290" i="1" s="1"/>
  <c r="AX59" i="1"/>
  <c r="DG250" i="1"/>
  <c r="BZ307" i="1"/>
  <c r="BZ308" i="1" s="1"/>
  <c r="CD309" i="1" s="1"/>
  <c r="CD257" i="1"/>
  <c r="DC42" i="5"/>
  <c r="CI153" i="1"/>
  <c r="CI154" i="1" s="1"/>
  <c r="AC177" i="1"/>
  <c r="AC178" i="1" s="1"/>
  <c r="CI233" i="1"/>
  <c r="CJ307" i="1"/>
  <c r="CJ308" i="1" s="1"/>
  <c r="R6" i="5"/>
  <c r="R157" i="5" s="1"/>
  <c r="R154" i="5" s="1"/>
  <c r="BC270" i="1"/>
  <c r="BO259" i="1"/>
  <c r="BT380" i="1"/>
  <c r="BT381" i="1" s="1"/>
  <c r="DI228" i="1"/>
  <c r="DB175" i="5"/>
  <c r="CX175" i="5"/>
  <c r="AM173" i="5"/>
  <c r="BU380" i="1"/>
  <c r="BU381" i="1" s="1"/>
  <c r="BJ212" i="1"/>
  <c r="BI173" i="5"/>
  <c r="AS173" i="5"/>
  <c r="AR173" i="5"/>
  <c r="AR172" i="5" s="1"/>
  <c r="T10" i="5"/>
  <c r="L10" i="5"/>
  <c r="AH239" i="5"/>
  <c r="Z239" i="5"/>
  <c r="R239" i="5"/>
  <c r="J239" i="5"/>
  <c r="Y6" i="5"/>
  <c r="BG351" i="1"/>
  <c r="AY259" i="1"/>
  <c r="AQ259" i="1"/>
  <c r="DG248" i="1"/>
  <c r="BJ87" i="1"/>
  <c r="BP16" i="2"/>
  <c r="BP17" i="2" s="1"/>
  <c r="BT351" i="1"/>
  <c r="BC153" i="1"/>
  <c r="BC154" i="1" s="1"/>
  <c r="DK191" i="1"/>
  <c r="J8" i="10"/>
  <c r="G8" i="10" s="1"/>
  <c r="CJ263" i="1"/>
  <c r="BD335" i="1"/>
  <c r="BH313" i="1"/>
  <c r="DJ391" i="1"/>
  <c r="BF193" i="2"/>
  <c r="DH193" i="2" s="1"/>
  <c r="DH191" i="2"/>
  <c r="BR51" i="1"/>
  <c r="CJ289" i="1"/>
  <c r="CJ295" i="1"/>
  <c r="BW370" i="1"/>
  <c r="BV369" i="1"/>
  <c r="BV402" i="1" s="1"/>
  <c r="BX375" i="1"/>
  <c r="BV370" i="1"/>
  <c r="BY375" i="1"/>
  <c r="BX70" i="1"/>
  <c r="BW375" i="1"/>
  <c r="CJ292" i="1"/>
  <c r="BF148" i="1"/>
  <c r="BF133" i="2" s="1"/>
  <c r="BK124" i="1"/>
  <c r="BK50" i="1"/>
  <c r="BW290" i="1"/>
  <c r="BX289" i="1"/>
  <c r="BX295" i="1"/>
  <c r="BZ292" i="1"/>
  <c r="CD293" i="1" s="1"/>
  <c r="BZ70" i="1"/>
  <c r="BL282" i="1"/>
  <c r="BH282" i="1"/>
  <c r="BL283" i="1"/>
  <c r="DH371" i="1"/>
  <c r="BD331" i="1"/>
  <c r="BC346" i="1"/>
  <c r="BG326" i="1"/>
  <c r="BR59" i="1"/>
  <c r="BX370" i="1"/>
  <c r="CA295" i="1"/>
  <c r="CC292" i="1"/>
  <c r="CD290" i="1"/>
  <c r="CC375" i="1"/>
  <c r="CA375" i="1"/>
  <c r="CA370" i="1"/>
  <c r="BC314" i="1"/>
  <c r="DI381" i="1"/>
  <c r="CG322" i="1"/>
  <c r="CH322" i="1"/>
  <c r="BZ266" i="1"/>
  <c r="BZ331" i="1"/>
  <c r="BZ381" i="1"/>
  <c r="AW290" i="1"/>
  <c r="AS290" i="1"/>
  <c r="AT289" i="1"/>
  <c r="CA290" i="1"/>
  <c r="DQ311" i="1"/>
  <c r="DS313" i="1" s="1"/>
  <c r="DT314" i="1" s="1"/>
  <c r="DU315" i="1" s="1"/>
  <c r="DJ289" i="1"/>
  <c r="BT289" i="1"/>
  <c r="DF351" i="1"/>
  <c r="BM148" i="2"/>
  <c r="DP35" i="1"/>
  <c r="DP118" i="1"/>
  <c r="BW364" i="1"/>
  <c r="BW371" i="1"/>
  <c r="BW396" i="1"/>
  <c r="BW365" i="1"/>
  <c r="BD19" i="1"/>
  <c r="CE296" i="1"/>
  <c r="BB51" i="5"/>
  <c r="BB75" i="5" s="1"/>
  <c r="BB168" i="5"/>
  <c r="CJ322" i="1"/>
  <c r="CI322" i="1"/>
  <c r="CI343" i="1" s="1"/>
  <c r="AW345" i="1"/>
  <c r="AW346" i="1"/>
  <c r="CI87" i="1"/>
  <c r="CI78" i="1"/>
  <c r="DO157" i="1"/>
  <c r="DO153" i="1" s="1"/>
  <c r="DO96" i="1"/>
  <c r="DO36" i="1"/>
  <c r="DO100" i="1"/>
  <c r="CC364" i="1"/>
  <c r="CC379" i="1"/>
  <c r="CC371" i="1"/>
  <c r="DO363" i="1"/>
  <c r="CC396" i="1"/>
  <c r="BZ7" i="5"/>
  <c r="CA239" i="5" s="1"/>
  <c r="BZ49" i="1"/>
  <c r="DN26" i="1"/>
  <c r="DN395" i="1" s="1"/>
  <c r="R8" i="3"/>
  <c r="R9" i="3" s="1"/>
  <c r="DN57" i="1"/>
  <c r="DN38" i="1"/>
  <c r="DJ75" i="1"/>
  <c r="DI11" i="5"/>
  <c r="DJ76" i="1"/>
  <c r="DK76" i="1"/>
  <c r="DN224" i="1"/>
  <c r="DN226" i="1"/>
  <c r="DK372" i="1"/>
  <c r="DL372" i="1"/>
  <c r="DJ174" i="5"/>
  <c r="DM248" i="1"/>
  <c r="DM246" i="1"/>
  <c r="AX315" i="1"/>
  <c r="DF314" i="1"/>
  <c r="F9" i="3"/>
  <c r="F56" i="3" s="1"/>
  <c r="G9" i="3"/>
  <c r="G56" i="3" s="1"/>
  <c r="DK226" i="1"/>
  <c r="DK224" i="1"/>
  <c r="DK229" i="1" s="1"/>
  <c r="DF311" i="1"/>
  <c r="AX312" i="1"/>
  <c r="BH380" i="1"/>
  <c r="BH271" i="1"/>
  <c r="BH265" i="1"/>
  <c r="BI281" i="1"/>
  <c r="BL272" i="1"/>
  <c r="DK140" i="1"/>
  <c r="DJ224" i="1"/>
  <c r="DJ229" i="1" s="1"/>
  <c r="DJ226" i="1"/>
  <c r="DF325" i="1"/>
  <c r="AX326" i="1"/>
  <c r="DG326" i="1" s="1"/>
  <c r="DH350" i="1"/>
  <c r="DI351" i="1" s="1"/>
  <c r="DI32" i="1"/>
  <c r="DH277" i="1"/>
  <c r="L6" i="3"/>
  <c r="M7" i="3" s="1"/>
  <c r="DH42" i="1"/>
  <c r="AY401" i="1"/>
  <c r="AY35" i="1"/>
  <c r="AY90" i="1"/>
  <c r="AY115" i="1"/>
  <c r="AY103" i="1"/>
  <c r="AY395" i="1"/>
  <c r="AY121" i="1"/>
  <c r="AY74" i="1"/>
  <c r="AY27" i="1"/>
  <c r="AY118" i="1"/>
  <c r="AY112" i="1"/>
  <c r="DH26" i="1"/>
  <c r="AY357" i="1"/>
  <c r="AQ31" i="1"/>
  <c r="AQ106" i="1"/>
  <c r="AQ83" i="1"/>
  <c r="AQ90" i="1"/>
  <c r="AR28" i="1"/>
  <c r="AQ118" i="1"/>
  <c r="AQ49" i="1"/>
  <c r="AQ121" i="1"/>
  <c r="AQ103" i="1"/>
  <c r="AQ28" i="1"/>
  <c r="AQ401" i="1"/>
  <c r="AQ395" i="1"/>
  <c r="AR61" i="2"/>
  <c r="AV62" i="2" s="1"/>
  <c r="AR49" i="2"/>
  <c r="AV50" i="2" s="1"/>
  <c r="AR41" i="2"/>
  <c r="AR16" i="2"/>
  <c r="AR17" i="2" s="1"/>
  <c r="BE40" i="2"/>
  <c r="BE48" i="2"/>
  <c r="DN405" i="1"/>
  <c r="DL175" i="5"/>
  <c r="DL173" i="5" s="1"/>
  <c r="DL54" i="5" s="1"/>
  <c r="DL77" i="5" s="1"/>
  <c r="DN403" i="1"/>
  <c r="DM405" i="1"/>
  <c r="CJ271" i="1"/>
  <c r="CJ369" i="1" s="1"/>
  <c r="CJ402" i="1" s="1"/>
  <c r="CJ270" i="1"/>
  <c r="CJ265" i="1"/>
  <c r="CJ380" i="1"/>
  <c r="CJ272" i="1"/>
  <c r="CJ23" i="1"/>
  <c r="CL23" i="1" s="1"/>
  <c r="CJ15" i="1"/>
  <c r="BH286" i="1"/>
  <c r="BH288" i="1" s="1"/>
  <c r="DL4" i="2"/>
  <c r="DP351" i="1"/>
  <c r="DO351" i="1"/>
  <c r="BX39" i="1"/>
  <c r="CY40" i="5"/>
  <c r="AW338" i="1"/>
  <c r="CC369" i="1"/>
  <c r="CC402" i="1" s="1"/>
  <c r="AQ27" i="1"/>
  <c r="AQ357" i="1"/>
  <c r="DP15" i="1"/>
  <c r="DP23" i="1"/>
  <c r="CD3" i="5"/>
  <c r="CD12" i="1"/>
  <c r="CD8" i="1" s="1"/>
  <c r="CD5" i="1"/>
  <c r="CE5" i="1"/>
  <c r="CD16" i="1"/>
  <c r="BY7" i="5"/>
  <c r="BY39" i="1"/>
  <c r="BY49" i="1"/>
  <c r="BY50" i="1" s="1"/>
  <c r="CC51" i="1" s="1"/>
  <c r="BX115" i="1"/>
  <c r="CB27" i="1"/>
  <c r="BX35" i="1"/>
  <c r="BX118" i="1"/>
  <c r="BX121" i="1"/>
  <c r="BX25" i="1"/>
  <c r="BX357" i="1"/>
  <c r="BX49" i="1"/>
  <c r="BX29" i="1"/>
  <c r="BX27" i="1"/>
  <c r="BX395" i="1"/>
  <c r="BX97" i="1"/>
  <c r="BX154" i="1"/>
  <c r="BX90" i="1"/>
  <c r="BX109" i="1"/>
  <c r="DM38" i="1"/>
  <c r="DL7" i="5" s="1"/>
  <c r="DL158" i="5" s="1"/>
  <c r="BV7" i="5"/>
  <c r="BV217" i="5" s="1"/>
  <c r="BW351" i="1"/>
  <c r="CA351" i="1"/>
  <c r="BP41" i="5"/>
  <c r="BP171" i="5" s="1"/>
  <c r="BP134" i="1"/>
  <c r="BG47" i="2"/>
  <c r="BE351" i="1"/>
  <c r="BI351" i="1"/>
  <c r="DO238" i="1"/>
  <c r="DP236" i="1"/>
  <c r="DO236" i="1"/>
  <c r="DM236" i="1"/>
  <c r="DM238" i="1"/>
  <c r="DD3" i="5"/>
  <c r="AP6" i="5"/>
  <c r="AP248" i="5" s="1"/>
  <c r="BP263" i="1"/>
  <c r="BO357" i="1"/>
  <c r="BO359" i="1" s="1"/>
  <c r="BS264" i="1"/>
  <c r="DI372" i="1"/>
  <c r="BG59" i="1"/>
  <c r="BC59" i="1"/>
  <c r="DF157" i="1"/>
  <c r="DF153" i="1" s="1"/>
  <c r="DF96" i="1"/>
  <c r="DF64" i="1" s="1"/>
  <c r="CJ281" i="1"/>
  <c r="CJ282" i="1" s="1"/>
  <c r="CK271" i="1"/>
  <c r="CK369" i="1" s="1"/>
  <c r="DJ83" i="1"/>
  <c r="DJ109" i="1"/>
  <c r="DJ395" i="1"/>
  <c r="DJ90" i="1"/>
  <c r="DG286" i="1"/>
  <c r="DG288" i="1" s="1"/>
  <c r="DK4" i="1"/>
  <c r="DI3" i="5"/>
  <c r="AQ115" i="1"/>
  <c r="DH384" i="1"/>
  <c r="CJ39" i="1"/>
  <c r="CJ7" i="5"/>
  <c r="CI41" i="5"/>
  <c r="CI40" i="5" s="1"/>
  <c r="CI134" i="1"/>
  <c r="CI217" i="5"/>
  <c r="CI239" i="5"/>
  <c r="CE168" i="5"/>
  <c r="CE51" i="5"/>
  <c r="CE75" i="5" s="1"/>
  <c r="DO403" i="1"/>
  <c r="DN175" i="5"/>
  <c r="DP403" i="1"/>
  <c r="CB15" i="5"/>
  <c r="CB10" i="5" s="1"/>
  <c r="CB64" i="1"/>
  <c r="CA65" i="1"/>
  <c r="CA66" i="1"/>
  <c r="CA357" i="1"/>
  <c r="CA358" i="1" s="1"/>
  <c r="CA109" i="1"/>
  <c r="CB28" i="1"/>
  <c r="CA28" i="1"/>
  <c r="CA90" i="1"/>
  <c r="CA154" i="1"/>
  <c r="CA395" i="1"/>
  <c r="CA83" i="1"/>
  <c r="CA115" i="1"/>
  <c r="CA121" i="1"/>
  <c r="CA97" i="1"/>
  <c r="CA112" i="1"/>
  <c r="CA31" i="1"/>
  <c r="CA49" i="1"/>
  <c r="CA27" i="1"/>
  <c r="BZ67" i="1"/>
  <c r="DL45" i="1"/>
  <c r="DM45" i="1" s="1"/>
  <c r="DN45" i="1" s="1"/>
  <c r="DO45" i="1" s="1"/>
  <c r="DP45" i="1" s="1"/>
  <c r="DQ45" i="1" s="1"/>
  <c r="DS45" i="1" s="1"/>
  <c r="DT45" i="1" s="1"/>
  <c r="DU45" i="1" s="1"/>
  <c r="DV45" i="1" s="1"/>
  <c r="DM36" i="1"/>
  <c r="DL36" i="1"/>
  <c r="DL57" i="1"/>
  <c r="DL58" i="1" s="1"/>
  <c r="DL59" i="1" s="1"/>
  <c r="P8" i="3"/>
  <c r="P9" i="3" s="1"/>
  <c r="CA87" i="1"/>
  <c r="CA78" i="1"/>
  <c r="BY87" i="1"/>
  <c r="BY78" i="1"/>
  <c r="AY97" i="1"/>
  <c r="N101" i="3"/>
  <c r="BN401" i="1"/>
  <c r="BN118" i="1"/>
  <c r="BN28" i="1"/>
  <c r="DK26" i="1"/>
  <c r="DK154" i="1" s="1"/>
  <c r="BO28" i="1"/>
  <c r="BN31" i="1"/>
  <c r="BN27" i="1"/>
  <c r="BN97" i="1"/>
  <c r="BN109" i="1"/>
  <c r="BN121" i="1"/>
  <c r="BN83" i="1"/>
  <c r="BR27" i="1"/>
  <c r="BN74" i="1"/>
  <c r="BN115" i="1"/>
  <c r="BM23" i="1"/>
  <c r="DK21" i="1"/>
  <c r="DK23" i="1" s="1"/>
  <c r="BM15" i="1"/>
  <c r="DK85" i="1"/>
  <c r="DL85" i="1"/>
  <c r="DL87" i="1" s="1"/>
  <c r="DK84" i="1"/>
  <c r="DJ91" i="1"/>
  <c r="DO248" i="1"/>
  <c r="DO246" i="1"/>
  <c r="DN264" i="1"/>
  <c r="DM263" i="1"/>
  <c r="DM375" i="1" s="1"/>
  <c r="DM264" i="1"/>
  <c r="CA264" i="1"/>
  <c r="BW265" i="1"/>
  <c r="BW381" i="1" s="1"/>
  <c r="BW264" i="1"/>
  <c r="AX324" i="1"/>
  <c r="DF323" i="1"/>
  <c r="AT173" i="5"/>
  <c r="DE175" i="5"/>
  <c r="DG155" i="1"/>
  <c r="DG153" i="1" s="1"/>
  <c r="DG154" i="1" s="1"/>
  <c r="DG96" i="1"/>
  <c r="DG90" i="1"/>
  <c r="AQ210" i="1"/>
  <c r="AQ211" i="1" s="1"/>
  <c r="AQ212" i="1" s="1"/>
  <c r="AQ202" i="1"/>
  <c r="K168" i="5"/>
  <c r="K40" i="5"/>
  <c r="K51" i="5"/>
  <c r="K75" i="5" s="1"/>
  <c r="S51" i="5"/>
  <c r="CY41" i="5"/>
  <c r="CY168" i="5" s="1"/>
  <c r="S168" i="5"/>
  <c r="AA51" i="5"/>
  <c r="AA75" i="5" s="1"/>
  <c r="DA41" i="5"/>
  <c r="DA168" i="5" s="1"/>
  <c r="AA168" i="5"/>
  <c r="AH40" i="5"/>
  <c r="AH168" i="5"/>
  <c r="AS381" i="1"/>
  <c r="CA217" i="5"/>
  <c r="DJ401" i="1"/>
  <c r="CC309" i="1"/>
  <c r="DN36" i="1"/>
  <c r="BZ39" i="1"/>
  <c r="CC365" i="1"/>
  <c r="CE364" i="1"/>
  <c r="CE371" i="1"/>
  <c r="DG109" i="1"/>
  <c r="DG115" i="1"/>
  <c r="BU364" i="1"/>
  <c r="BU371" i="1"/>
  <c r="BC27" i="1"/>
  <c r="V248" i="5"/>
  <c r="V245" i="5"/>
  <c r="V8" i="5"/>
  <c r="V243" i="5" s="1"/>
  <c r="DP85" i="1"/>
  <c r="DO12" i="5"/>
  <c r="DO11" i="5"/>
  <c r="DP74" i="1"/>
  <c r="DP75" i="1"/>
  <c r="DP76" i="1"/>
  <c r="DM100" i="1"/>
  <c r="DM96" i="1"/>
  <c r="BZ351" i="1"/>
  <c r="BV351" i="1"/>
  <c r="AS338" i="1"/>
  <c r="DJ115" i="1"/>
  <c r="DJ112" i="1"/>
  <c r="BS282" i="1"/>
  <c r="DM376" i="1"/>
  <c r="CB39" i="1"/>
  <c r="BT121" i="1"/>
  <c r="BT109" i="1"/>
  <c r="BT118" i="1"/>
  <c r="BT112" i="1"/>
  <c r="BT97" i="1"/>
  <c r="BT401" i="1"/>
  <c r="BT74" i="1"/>
  <c r="BT49" i="1"/>
  <c r="BT395" i="1"/>
  <c r="BT31" i="1"/>
  <c r="BU28" i="1"/>
  <c r="BT65" i="1"/>
  <c r="BT90" i="1"/>
  <c r="BT28" i="1"/>
  <c r="BT27" i="1"/>
  <c r="BT357" i="1"/>
  <c r="BT83" i="1"/>
  <c r="AY65" i="1"/>
  <c r="BU4" i="1"/>
  <c r="BQ4" i="1"/>
  <c r="BQ12" i="1"/>
  <c r="BQ8" i="1" s="1"/>
  <c r="BP35" i="1"/>
  <c r="BP357" i="1"/>
  <c r="BP74" i="1"/>
  <c r="BP65" i="1"/>
  <c r="BP121" i="1"/>
  <c r="BP28" i="1"/>
  <c r="BP83" i="1"/>
  <c r="BP25" i="1"/>
  <c r="BP49" i="1"/>
  <c r="BP27" i="1"/>
  <c r="DJ118" i="1"/>
  <c r="CB25" i="1"/>
  <c r="BW16" i="1"/>
  <c r="CB49" i="1"/>
  <c r="CA401" i="1"/>
  <c r="CA69" i="1"/>
  <c r="DL281" i="1"/>
  <c r="DL265" i="1"/>
  <c r="DL343" i="1" s="1"/>
  <c r="AY106" i="1"/>
  <c r="BD203" i="1"/>
  <c r="AZ203" i="1"/>
  <c r="BG11" i="2"/>
  <c r="BG39" i="2"/>
  <c r="BU66" i="1"/>
  <c r="BU67" i="1"/>
  <c r="BD54" i="5"/>
  <c r="BD77" i="5" s="1"/>
  <c r="AY83" i="1"/>
  <c r="AY109" i="1"/>
  <c r="DG269" i="1"/>
  <c r="BB40" i="5"/>
  <c r="BK172" i="5"/>
  <c r="BL217" i="5"/>
  <c r="BL239" i="5"/>
  <c r="BI286" i="1"/>
  <c r="BI288" i="1" s="1"/>
  <c r="BT39" i="1"/>
  <c r="CH295" i="1"/>
  <c r="CH289" i="1"/>
  <c r="DF26" i="1"/>
  <c r="DF154" i="1" s="1"/>
  <c r="BT54" i="5"/>
  <c r="BT172" i="5"/>
  <c r="DL224" i="1"/>
  <c r="DL229" i="1" s="1"/>
  <c r="DM224" i="1"/>
  <c r="BI359" i="1"/>
  <c r="BL358" i="1"/>
  <c r="AP10" i="5"/>
  <c r="DD15" i="5"/>
  <c r="CJ257" i="1"/>
  <c r="CJ54" i="1"/>
  <c r="CJ55" i="1" s="1"/>
  <c r="CK307" i="1"/>
  <c r="CK321" i="1"/>
  <c r="CK322" i="1" s="1"/>
  <c r="AT365" i="1"/>
  <c r="DF130" i="1"/>
  <c r="DF134" i="1" s="1"/>
  <c r="DO53" i="1"/>
  <c r="DO54" i="1" s="1"/>
  <c r="DO56" i="1" s="1"/>
  <c r="DO26" i="1"/>
  <c r="DO401" i="1" s="1"/>
  <c r="S6" i="3"/>
  <c r="S7" i="3" s="1"/>
  <c r="DO191" i="1"/>
  <c r="DP32" i="1"/>
  <c r="DO84" i="1"/>
  <c r="AW233" i="1"/>
  <c r="AW307" i="1"/>
  <c r="DG262" i="1"/>
  <c r="AX263" i="1"/>
  <c r="AY263" i="1"/>
  <c r="AX265" i="1"/>
  <c r="AX357" i="1"/>
  <c r="AR212" i="1"/>
  <c r="AV212" i="1"/>
  <c r="BP15" i="1"/>
  <c r="BP22" i="1" s="1"/>
  <c r="BP20" i="1"/>
  <c r="BC41" i="5"/>
  <c r="BC134" i="1"/>
  <c r="DL380" i="1"/>
  <c r="BR54" i="5"/>
  <c r="BR172" i="5"/>
  <c r="CA168" i="5"/>
  <c r="CA51" i="5"/>
  <c r="CA75" i="5" s="1"/>
  <c r="DH153" i="1"/>
  <c r="CH40" i="2"/>
  <c r="CH48" i="2"/>
  <c r="CG64" i="1"/>
  <c r="CG97" i="1"/>
  <c r="CG15" i="5"/>
  <c r="CG10" i="5" s="1"/>
  <c r="CI5" i="1"/>
  <c r="CI12" i="1"/>
  <c r="CI8" i="1" s="1"/>
  <c r="E4" i="10"/>
  <c r="J5" i="10" s="1"/>
  <c r="CH28" i="1"/>
  <c r="CG395" i="1"/>
  <c r="CG115" i="1"/>
  <c r="CG35" i="1"/>
  <c r="CG357" i="1"/>
  <c r="CG49" i="1"/>
  <c r="CG31" i="1"/>
  <c r="CG121" i="1"/>
  <c r="CG28" i="1"/>
  <c r="CG90" i="1"/>
  <c r="CG27" i="1"/>
  <c r="E5" i="10" s="1"/>
  <c r="DP246" i="1"/>
  <c r="BY351" i="1"/>
  <c r="CC351" i="1"/>
  <c r="BX351" i="1"/>
  <c r="CB351" i="1"/>
  <c r="DP233" i="1"/>
  <c r="DO268" i="1"/>
  <c r="DO265" i="1" s="1"/>
  <c r="BM208" i="1"/>
  <c r="BQ208" i="1"/>
  <c r="AQ4" i="2"/>
  <c r="AQ18" i="1"/>
  <c r="AQ3" i="1"/>
  <c r="DF309" i="1"/>
  <c r="AX310" i="1"/>
  <c r="BO282" i="1"/>
  <c r="DN351" i="1"/>
  <c r="DL49" i="1"/>
  <c r="DL50" i="1" s="1"/>
  <c r="AR371" i="1"/>
  <c r="AR379" i="1"/>
  <c r="BC364" i="1"/>
  <c r="DI363" i="1"/>
  <c r="DI371" i="1" s="1"/>
  <c r="BH22" i="1"/>
  <c r="AW41" i="5"/>
  <c r="AW134" i="1"/>
  <c r="DJ78" i="1"/>
  <c r="BV364" i="1"/>
  <c r="BV371" i="1"/>
  <c r="BV396" i="1"/>
  <c r="BV379" i="1"/>
  <c r="DL226" i="1"/>
  <c r="DJ277" i="1"/>
  <c r="DJ350" i="1"/>
  <c r="DJ351" i="1" s="1"/>
  <c r="DJ384" i="1"/>
  <c r="N6" i="3"/>
  <c r="DK32" i="1"/>
  <c r="BG265" i="1"/>
  <c r="BG357" i="1"/>
  <c r="AC10" i="5"/>
  <c r="DA15" i="5"/>
  <c r="AQ173" i="5"/>
  <c r="DG36" i="1"/>
  <c r="DF36" i="1"/>
  <c r="DF45" i="1"/>
  <c r="AZ28" i="1"/>
  <c r="AZ31" i="1"/>
  <c r="AZ121" i="1"/>
  <c r="AZ118" i="1"/>
  <c r="AZ74" i="1"/>
  <c r="AZ39" i="1"/>
  <c r="AZ109" i="1"/>
  <c r="AZ90" i="1"/>
  <c r="AZ83" i="1"/>
  <c r="AZ112" i="1"/>
  <c r="BD27" i="1"/>
  <c r="AZ103" i="1"/>
  <c r="AZ97" i="1"/>
  <c r="BA28" i="1"/>
  <c r="AZ49" i="1"/>
  <c r="AZ124" i="1" s="1"/>
  <c r="AZ401" i="1"/>
  <c r="AZ395" i="1"/>
  <c r="AZ35" i="1"/>
  <c r="AZ115" i="1"/>
  <c r="AZ27" i="1"/>
  <c r="BG54" i="1"/>
  <c r="BG55" i="1" s="1"/>
  <c r="DJ53" i="1"/>
  <c r="DJ54" i="1" s="1"/>
  <c r="BQ132" i="1"/>
  <c r="BQ134" i="1" s="1"/>
  <c r="DL130" i="1"/>
  <c r="BQ365" i="1"/>
  <c r="BS233" i="1"/>
  <c r="BS321" i="1"/>
  <c r="BT132" i="1"/>
  <c r="DM130" i="1"/>
  <c r="BN233" i="1"/>
  <c r="BN321" i="1"/>
  <c r="BQ322" i="1" s="1"/>
  <c r="BU323" i="1" s="1"/>
  <c r="BI134" i="1"/>
  <c r="BI41" i="5"/>
  <c r="BI168" i="5" s="1"/>
  <c r="DJ132" i="1"/>
  <c r="DL64" i="1"/>
  <c r="BX322" i="1"/>
  <c r="Z171" i="5"/>
  <c r="Z54" i="5"/>
  <c r="DP268" i="1"/>
  <c r="AQ265" i="1"/>
  <c r="AU272" i="1"/>
  <c r="AQ286" i="1"/>
  <c r="AQ288" i="1" s="1"/>
  <c r="AQ290" i="1" s="1"/>
  <c r="AW263" i="1"/>
  <c r="AW357" i="1"/>
  <c r="AX54" i="1"/>
  <c r="AX55" i="1" s="1"/>
  <c r="DG53" i="1"/>
  <c r="DG54" i="1" s="1"/>
  <c r="K14" i="3" s="1"/>
  <c r="BC7" i="5"/>
  <c r="BC239" i="5" s="1"/>
  <c r="DI38" i="1"/>
  <c r="DI39" i="1" s="1"/>
  <c r="BD301" i="1"/>
  <c r="DL405" i="1"/>
  <c r="DJ175" i="5"/>
  <c r="DK405" i="1"/>
  <c r="BN78" i="1"/>
  <c r="AQ67" i="1"/>
  <c r="AQ69" i="1"/>
  <c r="AU67" i="1"/>
  <c r="AQ65" i="1"/>
  <c r="BV69" i="1"/>
  <c r="BV67" i="1"/>
  <c r="AY154" i="1"/>
  <c r="BO280" i="1"/>
  <c r="AQ154" i="1"/>
  <c r="AW336" i="1"/>
  <c r="BM27" i="1"/>
  <c r="BM35" i="1"/>
  <c r="BX380" i="1"/>
  <c r="BX363" i="1"/>
  <c r="BX379" i="1"/>
  <c r="AU321" i="1"/>
  <c r="AW322" i="1" s="1"/>
  <c r="AU307" i="1"/>
  <c r="DH84" i="1"/>
  <c r="DH85" i="1"/>
  <c r="BB59" i="1"/>
  <c r="BP363" i="1"/>
  <c r="BP380" i="1"/>
  <c r="BP381" i="1" s="1"/>
  <c r="AR69" i="1"/>
  <c r="AV67" i="1"/>
  <c r="BS69" i="1"/>
  <c r="BS66" i="1"/>
  <c r="BW66" i="1"/>
  <c r="BR363" i="1"/>
  <c r="BR379" i="1" s="1"/>
  <c r="BR380" i="1"/>
  <c r="BR381" i="1" s="1"/>
  <c r="DO38" i="1"/>
  <c r="BY364" i="1"/>
  <c r="BY396" i="1"/>
  <c r="CD16" i="2"/>
  <c r="DN13" i="2"/>
  <c r="CD41" i="2"/>
  <c r="DM153" i="1"/>
  <c r="BU29" i="1"/>
  <c r="BM49" i="1"/>
  <c r="BM39" i="1"/>
  <c r="BQ27" i="1"/>
  <c r="BM31" i="1"/>
  <c r="BM83" i="1"/>
  <c r="BM74" i="1"/>
  <c r="DM21" i="1"/>
  <c r="BU23" i="1"/>
  <c r="BB66" i="1"/>
  <c r="BA66" i="1"/>
  <c r="BA65" i="1"/>
  <c r="BP69" i="1"/>
  <c r="BP66" i="1"/>
  <c r="BQ66" i="1"/>
  <c r="AR10" i="5"/>
  <c r="DA12" i="5"/>
  <c r="Q10" i="5"/>
  <c r="BA7" i="5"/>
  <c r="BA39" i="1"/>
  <c r="BA49" i="1"/>
  <c r="BL23" i="1"/>
  <c r="BL15" i="1"/>
  <c r="BN363" i="1"/>
  <c r="BN379" i="1" s="1"/>
  <c r="DN40" i="5"/>
  <c r="CG154" i="1"/>
  <c r="DP13" i="1"/>
  <c r="CC357" i="1"/>
  <c r="CC112" i="1"/>
  <c r="CC74" i="1"/>
  <c r="CB4" i="1"/>
  <c r="CB5" i="1"/>
  <c r="BU97" i="1"/>
  <c r="BU74" i="1"/>
  <c r="BU27" i="1"/>
  <c r="BU49" i="1"/>
  <c r="BU31" i="1"/>
  <c r="BU121" i="1"/>
  <c r="DM265" i="1"/>
  <c r="BQ41" i="2"/>
  <c r="BQ153" i="2" s="1"/>
  <c r="DM153" i="2" s="1"/>
  <c r="DK13" i="2"/>
  <c r="DK61" i="2" s="1"/>
  <c r="DP238" i="1"/>
  <c r="AO6" i="5"/>
  <c r="AO235" i="5" s="1"/>
  <c r="AU10" i="5"/>
  <c r="AI10" i="5"/>
  <c r="AN239" i="5"/>
  <c r="DD7" i="5"/>
  <c r="I11" i="3" s="1"/>
  <c r="DF391" i="1"/>
  <c r="DF385" i="1"/>
  <c r="AV28" i="1"/>
  <c r="AW28" i="1"/>
  <c r="AV25" i="1"/>
  <c r="AV31" i="1"/>
  <c r="AV90" i="1"/>
  <c r="AV97" i="1"/>
  <c r="AV65" i="1"/>
  <c r="AV401" i="1"/>
  <c r="AV83" i="1"/>
  <c r="AV109" i="1"/>
  <c r="BO286" i="1"/>
  <c r="BO288" i="1" s="1"/>
  <c r="BS290" i="1" s="1"/>
  <c r="BP286" i="1"/>
  <c r="BP288" i="1" s="1"/>
  <c r="BS292" i="1" s="1"/>
  <c r="BO380" i="1"/>
  <c r="BR3" i="1"/>
  <c r="BR4" i="2"/>
  <c r="BR18" i="1"/>
  <c r="DL18" i="1" s="1"/>
  <c r="CA23" i="1"/>
  <c r="DO21" i="1"/>
  <c r="DP157" i="1"/>
  <c r="DP115" i="1"/>
  <c r="CF31" i="1"/>
  <c r="CF28" i="1"/>
  <c r="CF39" i="1"/>
  <c r="CI27" i="1"/>
  <c r="CE74" i="1"/>
  <c r="DO64" i="1"/>
  <c r="CC121" i="1"/>
  <c r="BW112" i="1"/>
  <c r="BW49" i="1"/>
  <c r="BW31" i="1"/>
  <c r="DO43" i="1"/>
  <c r="DL100" i="1"/>
  <c r="AZ321" i="1"/>
  <c r="AZ233" i="1"/>
  <c r="AZ307" i="1"/>
  <c r="AR233" i="1"/>
  <c r="AR321" i="1"/>
  <c r="AR307" i="1"/>
  <c r="DH46" i="1"/>
  <c r="DH45" i="1"/>
  <c r="BL15" i="5"/>
  <c r="BL10" i="5" s="1"/>
  <c r="BL64" i="1"/>
  <c r="BP67" i="1" s="1"/>
  <c r="CA59" i="1"/>
  <c r="CE59" i="1"/>
  <c r="CH351" i="1"/>
  <c r="AH173" i="5"/>
  <c r="AH172" i="5" s="1"/>
  <c r="J173" i="5"/>
  <c r="J172" i="5" s="1"/>
  <c r="BV380" i="1"/>
  <c r="BV381" i="1" s="1"/>
  <c r="BV286" i="1"/>
  <c r="BV288" i="1" s="1"/>
  <c r="BV295" i="1" s="1"/>
  <c r="BV296" i="1" s="1"/>
  <c r="BV272" i="1"/>
  <c r="DN132" i="1"/>
  <c r="DM41" i="5" s="1"/>
  <c r="DM168" i="5" s="1"/>
  <c r="CE20" i="1"/>
  <c r="CF272" i="1"/>
  <c r="AQ327" i="1"/>
  <c r="AQ348" i="1" s="1"/>
  <c r="CD173" i="5"/>
  <c r="DN188" i="1"/>
  <c r="BV4" i="1"/>
  <c r="BV12" i="1"/>
  <c r="BV8" i="1" s="1"/>
  <c r="DK238" i="1"/>
  <c r="DI3" i="1"/>
  <c r="DH3" i="5" s="1"/>
  <c r="BB270" i="1"/>
  <c r="BB269" i="1"/>
  <c r="BB272" i="1"/>
  <c r="BF270" i="1"/>
  <c r="BH351" i="1"/>
  <c r="BJ78" i="1"/>
  <c r="BJ10" i="5"/>
  <c r="BM321" i="1"/>
  <c r="BM307" i="1"/>
  <c r="BO308" i="1" s="1"/>
  <c r="BL270" i="1"/>
  <c r="BL286" i="1"/>
  <c r="BL288" i="1" s="1"/>
  <c r="BS20" i="1"/>
  <c r="BS15" i="1"/>
  <c r="BP10" i="5"/>
  <c r="BP240" i="5" s="1"/>
  <c r="CI97" i="1"/>
  <c r="AY171" i="5"/>
  <c r="DK75" i="1"/>
  <c r="BT264" i="1"/>
  <c r="BF364" i="1"/>
  <c r="BF379" i="1"/>
  <c r="BY153" i="1"/>
  <c r="BY154" i="1" s="1"/>
  <c r="DJ96" i="1"/>
  <c r="BF87" i="1"/>
  <c r="BO263" i="1"/>
  <c r="BA74" i="1"/>
  <c r="BA27" i="1"/>
  <c r="AS103" i="1"/>
  <c r="AS49" i="1"/>
  <c r="AS90" i="1"/>
  <c r="AS35" i="1"/>
  <c r="AS115" i="1"/>
  <c r="BH51" i="5"/>
  <c r="BH75" i="5" s="1"/>
  <c r="BH168" i="5"/>
  <c r="BT67" i="1"/>
  <c r="CK281" i="1"/>
  <c r="CK282" i="1" s="1"/>
  <c r="DO175" i="5"/>
  <c r="DO173" i="5" s="1"/>
  <c r="DO54" i="5" s="1"/>
  <c r="CF173" i="5"/>
  <c r="CF54" i="5" s="1"/>
  <c r="CD143" i="1"/>
  <c r="CE39" i="1"/>
  <c r="BX173" i="5"/>
  <c r="DO85" i="1"/>
  <c r="DO87" i="1" s="1"/>
  <c r="BF10" i="5"/>
  <c r="BQ10" i="5"/>
  <c r="DK12" i="1"/>
  <c r="DK8" i="1" s="1"/>
  <c r="BL16" i="1"/>
  <c r="DK46" i="1"/>
  <c r="DJ388" i="1"/>
  <c r="BI61" i="2"/>
  <c r="BI49" i="2"/>
  <c r="BM50" i="2" s="1"/>
  <c r="BK78" i="1"/>
  <c r="BK351" i="1"/>
  <c r="BR307" i="1"/>
  <c r="DL307" i="1" s="1"/>
  <c r="BD64" i="1"/>
  <c r="BH67" i="1" s="1"/>
  <c r="AT405" i="1"/>
  <c r="DF400" i="1"/>
  <c r="AT403" i="1"/>
  <c r="BC404" i="1"/>
  <c r="BB403" i="1"/>
  <c r="DU307" i="1"/>
  <c r="DU308" i="1" s="1"/>
  <c r="DV309" i="1" s="1"/>
  <c r="BP402" i="1"/>
  <c r="BQ404" i="1"/>
  <c r="CA379" i="1"/>
  <c r="DM175" i="5"/>
  <c r="BS381" i="1"/>
  <c r="DL140" i="1"/>
  <c r="DL238" i="1"/>
  <c r="BK5" i="1"/>
  <c r="DO226" i="1"/>
  <c r="DC4" i="5"/>
  <c r="BF173" i="5"/>
  <c r="BF54" i="5" s="1"/>
  <c r="CY11" i="5"/>
  <c r="AA6" i="5"/>
  <c r="AA235" i="5" s="1"/>
  <c r="AU121" i="1"/>
  <c r="AU115" i="1"/>
  <c r="AU31" i="1"/>
  <c r="BD61" i="2"/>
  <c r="BD49" i="2"/>
  <c r="BD50" i="2" s="1"/>
  <c r="BK265" i="1"/>
  <c r="BK338" i="1" s="1"/>
  <c r="DS309" i="1"/>
  <c r="DT310" i="1" s="1"/>
  <c r="DU311" i="1" s="1"/>
  <c r="DV312" i="1" s="1"/>
  <c r="BV259" i="1"/>
  <c r="CJ208" i="1"/>
  <c r="CA173" i="5"/>
  <c r="DN100" i="1"/>
  <c r="DL54" i="1"/>
  <c r="DL55" i="1" s="1"/>
  <c r="DK18" i="1"/>
  <c r="AX314" i="1"/>
  <c r="DH372" i="1"/>
  <c r="AW351" i="1"/>
  <c r="BA271" i="1"/>
  <c r="BB375" i="1" s="1"/>
  <c r="AR286" i="1"/>
  <c r="AR288" i="1" s="1"/>
  <c r="AZ78" i="1"/>
  <c r="AY39" i="1"/>
  <c r="AR78" i="1"/>
  <c r="AT27" i="1"/>
  <c r="AT112" i="1"/>
  <c r="AT39" i="1"/>
  <c r="AT35" i="1"/>
  <c r="BJ401" i="1"/>
  <c r="BJ109" i="1"/>
  <c r="BT153" i="1"/>
  <c r="BT154" i="1" s="1"/>
  <c r="AV153" i="1"/>
  <c r="AV154" i="1" s="1"/>
  <c r="AW405" i="1"/>
  <c r="AW404" i="1"/>
  <c r="AW378" i="1"/>
  <c r="BR403" i="1"/>
  <c r="BS404" i="1"/>
  <c r="AY202" i="1"/>
  <c r="AW347" i="1"/>
  <c r="AZ259" i="1"/>
  <c r="AT153" i="1"/>
  <c r="AT154" i="1" s="1"/>
  <c r="BB87" i="1"/>
  <c r="AX78" i="1"/>
  <c r="DH32" i="1"/>
  <c r="DJ38" i="1"/>
  <c r="BM259" i="1"/>
  <c r="DK240" i="1"/>
  <c r="BN239" i="5"/>
  <c r="BN87" i="1"/>
  <c r="CG263" i="1"/>
  <c r="AH177" i="1"/>
  <c r="AH178" i="1" s="1"/>
  <c r="BQ143" i="1"/>
  <c r="CK153" i="1"/>
  <c r="N173" i="5"/>
  <c r="N54" i="5" s="1"/>
  <c r="N77" i="5" s="1"/>
  <c r="AF10" i="5"/>
  <c r="H10" i="5"/>
  <c r="E239" i="5"/>
  <c r="DG246" i="1"/>
  <c r="AV78" i="1"/>
  <c r="BH55" i="1"/>
  <c r="DE153" i="1"/>
  <c r="CB380" i="1"/>
  <c r="CB381" i="1" s="1"/>
  <c r="CE271" i="1"/>
  <c r="CH375" i="1" s="1"/>
  <c r="CK272" i="1"/>
  <c r="CA259" i="1"/>
  <c r="BM272" i="1"/>
  <c r="D239" i="5"/>
  <c r="BG87" i="1"/>
  <c r="BR87" i="1"/>
  <c r="BA403" i="1"/>
  <c r="DT307" i="1"/>
  <c r="DT308" i="1" s="1"/>
  <c r="DU309" i="1" s="1"/>
  <c r="DV310" i="1" s="1"/>
  <c r="DQ388" i="1"/>
  <c r="DO325" i="1"/>
  <c r="DH289" i="1"/>
  <c r="DJ364" i="1"/>
  <c r="DJ396" i="1"/>
  <c r="DJ371" i="1"/>
  <c r="DJ365" i="1"/>
  <c r="DJ387" i="1"/>
  <c r="BJ381" i="1"/>
  <c r="BJ266" i="1"/>
  <c r="CH345" i="1"/>
  <c r="CL325" i="1"/>
  <c r="BJ364" i="1"/>
  <c r="BJ365" i="1"/>
  <c r="BJ371" i="1"/>
  <c r="BJ396" i="1"/>
  <c r="BJ379" i="1"/>
  <c r="BN148" i="1"/>
  <c r="BR126" i="1"/>
  <c r="BN125" i="1"/>
  <c r="BV41" i="5"/>
  <c r="BV134" i="1"/>
  <c r="BB203" i="1"/>
  <c r="BF203" i="1"/>
  <c r="BH290" i="1"/>
  <c r="BE289" i="1"/>
  <c r="BD295" i="1"/>
  <c r="BF292" i="1"/>
  <c r="BE295" i="1"/>
  <c r="BD290" i="1"/>
  <c r="BC311" i="1"/>
  <c r="BD289" i="1"/>
  <c r="CD322" i="1"/>
  <c r="CF322" i="1"/>
  <c r="CE322" i="1"/>
  <c r="CC322" i="1"/>
  <c r="CB266" i="1"/>
  <c r="CA343" i="1"/>
  <c r="CA266" i="1"/>
  <c r="BS370" i="1"/>
  <c r="BT375" i="1"/>
  <c r="BT369" i="1"/>
  <c r="BT402" i="1" s="1"/>
  <c r="BV375" i="1"/>
  <c r="BU370" i="1"/>
  <c r="BK364" i="1"/>
  <c r="BK379" i="1"/>
  <c r="BK371" i="1"/>
  <c r="BK396" i="1"/>
  <c r="BK365" i="1"/>
  <c r="BU22" i="1"/>
  <c r="BU4" i="5"/>
  <c r="BU6" i="5" s="1"/>
  <c r="BU19" i="1"/>
  <c r="CK90" i="1"/>
  <c r="CU90" i="1" s="1"/>
  <c r="CK109" i="1"/>
  <c r="CK118" i="1"/>
  <c r="BT370" i="1"/>
  <c r="DO376" i="1"/>
  <c r="DP376" i="1"/>
  <c r="BD39" i="2"/>
  <c r="BD47" i="2"/>
  <c r="BB148" i="1"/>
  <c r="BF126" i="1"/>
  <c r="BB125" i="1"/>
  <c r="BE19" i="1"/>
  <c r="BE4" i="5"/>
  <c r="BE6" i="5" s="1"/>
  <c r="BE22" i="1"/>
  <c r="BE16" i="1"/>
  <c r="BK369" i="1"/>
  <c r="BK402" i="1" s="1"/>
  <c r="BN375" i="1"/>
  <c r="BK370" i="1"/>
  <c r="BM370" i="1"/>
  <c r="BA290" i="1"/>
  <c r="BB295" i="1"/>
  <c r="BA289" i="1"/>
  <c r="BD292" i="1"/>
  <c r="BE290" i="1"/>
  <c r="BC292" i="1"/>
  <c r="BA295" i="1"/>
  <c r="BG22" i="1"/>
  <c r="BG19" i="1"/>
  <c r="BG16" i="1"/>
  <c r="BG4" i="5"/>
  <c r="CJ324" i="1"/>
  <c r="CJ345" i="1" s="1"/>
  <c r="CF344" i="1"/>
  <c r="AT23" i="1"/>
  <c r="AU23" i="1" s="1"/>
  <c r="AS11" i="1"/>
  <c r="DF51" i="5"/>
  <c r="DF75" i="5" s="1"/>
  <c r="DF40" i="5"/>
  <c r="DF168" i="5"/>
  <c r="AS20" i="1"/>
  <c r="AT20" i="1" s="1"/>
  <c r="AR7" i="1"/>
  <c r="DI65" i="1"/>
  <c r="DK55" i="1"/>
  <c r="O14" i="3"/>
  <c r="DH396" i="1"/>
  <c r="BR343" i="1"/>
  <c r="BV323" i="1"/>
  <c r="BG127" i="1"/>
  <c r="BG148" i="1"/>
  <c r="BH127" i="1"/>
  <c r="CE324" i="1"/>
  <c r="CA344" i="1"/>
  <c r="BQ282" i="1"/>
  <c r="BQ283" i="1"/>
  <c r="BN280" i="1"/>
  <c r="CD124" i="1"/>
  <c r="CD50" i="1"/>
  <c r="CI282" i="1"/>
  <c r="CI280" i="1"/>
  <c r="CJ375" i="1"/>
  <c r="CI369" i="1"/>
  <c r="CI402" i="1" s="1"/>
  <c r="CJ370" i="1"/>
  <c r="CI370" i="1"/>
  <c r="CI375" i="1"/>
  <c r="CD308" i="1"/>
  <c r="CF308" i="1"/>
  <c r="CE308" i="1"/>
  <c r="CC308" i="1"/>
  <c r="BL375" i="1"/>
  <c r="AY289" i="1"/>
  <c r="AY290" i="1"/>
  <c r="BB292" i="1"/>
  <c r="AZ289" i="1"/>
  <c r="BO381" i="1"/>
  <c r="BP266" i="1"/>
  <c r="BD43" i="2"/>
  <c r="BA54" i="5"/>
  <c r="BA172" i="5"/>
  <c r="BU70" i="1"/>
  <c r="BU71" i="1"/>
  <c r="BC282" i="1"/>
  <c r="AY282" i="1"/>
  <c r="BC283" i="1"/>
  <c r="AD8" i="5"/>
  <c r="DL118" i="1"/>
  <c r="DL83" i="1"/>
  <c r="DL395" i="1"/>
  <c r="DL35" i="1"/>
  <c r="DL109" i="1"/>
  <c r="DL97" i="1"/>
  <c r="DL401" i="1"/>
  <c r="DL74" i="1"/>
  <c r="DL90" i="1"/>
  <c r="DL357" i="1"/>
  <c r="DL112" i="1"/>
  <c r="DL65" i="1"/>
  <c r="DL115" i="1"/>
  <c r="DL121" i="1"/>
  <c r="DL31" i="1"/>
  <c r="BM50" i="1"/>
  <c r="BM124" i="1"/>
  <c r="DP55" i="1"/>
  <c r="DM136" i="1"/>
  <c r="BV42" i="5"/>
  <c r="BV138" i="1"/>
  <c r="BH125" i="1"/>
  <c r="BH148" i="1"/>
  <c r="AT15" i="5"/>
  <c r="AT64" i="1"/>
  <c r="AT97" i="1"/>
  <c r="AS336" i="1"/>
  <c r="AS347" i="1"/>
  <c r="AS332" i="1"/>
  <c r="AS344" i="1"/>
  <c r="AS334" i="1"/>
  <c r="AS345" i="1"/>
  <c r="AS346" i="1"/>
  <c r="AS337" i="1"/>
  <c r="AS333" i="1"/>
  <c r="AT266" i="1"/>
  <c r="AS266" i="1"/>
  <c r="AU282" i="1"/>
  <c r="AY283" i="1"/>
  <c r="BF125" i="1"/>
  <c r="AY50" i="1"/>
  <c r="BG322" i="1"/>
  <c r="BD322" i="1"/>
  <c r="BE322" i="1"/>
  <c r="BJ39" i="2"/>
  <c r="BJ11" i="2"/>
  <c r="BT22" i="1"/>
  <c r="BT16" i="1"/>
  <c r="AY148" i="2"/>
  <c r="AY50" i="2"/>
  <c r="AY147" i="2"/>
  <c r="BC50" i="2"/>
  <c r="BY358" i="1"/>
  <c r="DG289" i="1"/>
  <c r="CD266" i="1"/>
  <c r="CC266" i="1"/>
  <c r="BB314" i="1"/>
  <c r="DG313" i="1"/>
  <c r="BV322" i="1"/>
  <c r="BU322" i="1"/>
  <c r="CJ381" i="1"/>
  <c r="BW308" i="1"/>
  <c r="DF401" i="1"/>
  <c r="DF121" i="1"/>
  <c r="AX289" i="1"/>
  <c r="AY295" i="1"/>
  <c r="BC296" i="1" s="1"/>
  <c r="AZ292" i="1"/>
  <c r="BA292" i="1"/>
  <c r="BE293" i="1" s="1"/>
  <c r="CD208" i="1"/>
  <c r="BZ208" i="1"/>
  <c r="BU292" i="1"/>
  <c r="CD295" i="1"/>
  <c r="CE292" i="1"/>
  <c r="CI295" i="1"/>
  <c r="CI296" i="1" s="1"/>
  <c r="CH290" i="1"/>
  <c r="CI289" i="1"/>
  <c r="CH141" i="1"/>
  <c r="CL140" i="1"/>
  <c r="CB370" i="1"/>
  <c r="CD375" i="1"/>
  <c r="CB375" i="1"/>
  <c r="AT295" i="1"/>
  <c r="AT296" i="1" s="1"/>
  <c r="AS295" i="1"/>
  <c r="AS296" i="1" s="1"/>
  <c r="AS289" i="1"/>
  <c r="CF239" i="5"/>
  <c r="DH58" i="1"/>
  <c r="CI55" i="1"/>
  <c r="T14" i="3"/>
  <c r="BM41" i="5"/>
  <c r="BM51" i="5" s="1"/>
  <c r="BM75" i="5" s="1"/>
  <c r="BM134" i="1"/>
  <c r="BS289" i="1"/>
  <c r="BT295" i="1"/>
  <c r="BC381" i="1"/>
  <c r="CE289" i="1"/>
  <c r="AR358" i="1"/>
  <c r="AS359" i="1"/>
  <c r="BF308" i="1"/>
  <c r="BE308" i="1"/>
  <c r="BG308" i="1"/>
  <c r="AU364" i="1"/>
  <c r="AU379" i="1"/>
  <c r="BR370" i="1"/>
  <c r="BU375" i="1"/>
  <c r="BF381" i="1"/>
  <c r="DM4" i="1"/>
  <c r="DO14" i="5"/>
  <c r="CA381" i="1"/>
  <c r="AY334" i="1"/>
  <c r="AY346" i="1"/>
  <c r="CD67" i="1"/>
  <c r="CD65" i="1"/>
  <c r="DP155" i="1"/>
  <c r="DP153" i="1" s="1"/>
  <c r="DP96" i="1"/>
  <c r="DP64" i="1" s="1"/>
  <c r="CC64" i="1"/>
  <c r="CD66" i="1" s="1"/>
  <c r="CC15" i="5"/>
  <c r="CC97" i="1"/>
  <c r="CB168" i="5"/>
  <c r="DO3" i="1"/>
  <c r="DO9" i="1"/>
  <c r="DP9" i="1"/>
  <c r="DM46" i="1"/>
  <c r="DN46" i="1"/>
  <c r="DM57" i="1"/>
  <c r="DM58" i="1" s="1"/>
  <c r="BZ295" i="1"/>
  <c r="CE66" i="1"/>
  <c r="CH381" i="1"/>
  <c r="AW203" i="1"/>
  <c r="AU295" i="1"/>
  <c r="CB4" i="5"/>
  <c r="CB6" i="5" s="1"/>
  <c r="CB22" i="1"/>
  <c r="BB290" i="1"/>
  <c r="BF290" i="1"/>
  <c r="AR335" i="1"/>
  <c r="AR346" i="1"/>
  <c r="AR336" i="1"/>
  <c r="AR381" i="1"/>
  <c r="DP121" i="1"/>
  <c r="DP83" i="1"/>
  <c r="DP112" i="1"/>
  <c r="DP109" i="1"/>
  <c r="DP90" i="1"/>
  <c r="DN155" i="1"/>
  <c r="DN153" i="1" s="1"/>
  <c r="DN154" i="1" s="1"/>
  <c r="DN3" i="1"/>
  <c r="DN12" i="1" s="1"/>
  <c r="DN8" i="1" s="1"/>
  <c r="DN15" i="1"/>
  <c r="DN22" i="1" s="1"/>
  <c r="DN23" i="1"/>
  <c r="BW5" i="1"/>
  <c r="BX5" i="1"/>
  <c r="CA4" i="1"/>
  <c r="BW4" i="1"/>
  <c r="BW12" i="1"/>
  <c r="BW8" i="1" s="1"/>
  <c r="CD48" i="2"/>
  <c r="CD40" i="2"/>
  <c r="DQ309" i="1"/>
  <c r="DS311" i="1" s="1"/>
  <c r="DT312" i="1" s="1"/>
  <c r="DU313" i="1" s="1"/>
  <c r="DV314" i="1" s="1"/>
  <c r="BB364" i="1"/>
  <c r="BB396" i="1"/>
  <c r="BB365" i="1"/>
  <c r="DI357" i="1"/>
  <c r="DH106" i="1"/>
  <c r="DH27" i="1"/>
  <c r="CC295" i="1"/>
  <c r="CB295" i="1"/>
  <c r="CB296" i="1" s="1"/>
  <c r="BS295" i="1"/>
  <c r="DN309" i="1"/>
  <c r="DM331" i="1"/>
  <c r="DI405" i="1"/>
  <c r="DI403" i="1"/>
  <c r="DH403" i="1"/>
  <c r="AX295" i="1"/>
  <c r="AQ51" i="5"/>
  <c r="AQ75" i="5" s="1"/>
  <c r="AQ168" i="5"/>
  <c r="DN97" i="1"/>
  <c r="BV65" i="1"/>
  <c r="BV121" i="1"/>
  <c r="BV357" i="1"/>
  <c r="BV118" i="1"/>
  <c r="BV395" i="1"/>
  <c r="BV109" i="1"/>
  <c r="BV49" i="1"/>
  <c r="BV401" i="1"/>
  <c r="BV112" i="1"/>
  <c r="BV115" i="1"/>
  <c r="BV90" i="1"/>
  <c r="BV35" i="1"/>
  <c r="BV74" i="1"/>
  <c r="BV83" i="1"/>
  <c r="BV27" i="1"/>
  <c r="BV31" i="1"/>
  <c r="BV28" i="1"/>
  <c r="BZ27" i="1"/>
  <c r="BV97" i="1"/>
  <c r="BV29" i="1"/>
  <c r="BB357" i="1"/>
  <c r="BC359" i="1" s="1"/>
  <c r="BB265" i="1"/>
  <c r="BC266" i="1" s="1"/>
  <c r="BB264" i="1"/>
  <c r="BC263" i="1"/>
  <c r="DH262" i="1"/>
  <c r="DI263" i="1" s="1"/>
  <c r="DI375" i="1" s="1"/>
  <c r="BB263" i="1"/>
  <c r="BF264" i="1"/>
  <c r="AV263" i="1"/>
  <c r="AU265" i="1"/>
  <c r="AU332" i="1" s="1"/>
  <c r="AU357" i="1"/>
  <c r="AY264" i="1"/>
  <c r="AU264" i="1"/>
  <c r="DH75" i="1"/>
  <c r="DI76" i="1"/>
  <c r="DH76" i="1"/>
  <c r="AY54" i="1"/>
  <c r="DH53" i="1"/>
  <c r="DH54" i="1" s="1"/>
  <c r="AS54" i="1"/>
  <c r="DF53" i="1"/>
  <c r="DF54" i="1" s="1"/>
  <c r="AU7" i="5"/>
  <c r="AU49" i="1"/>
  <c r="DG38" i="1"/>
  <c r="DG39" i="1" s="1"/>
  <c r="AU39" i="1"/>
  <c r="BC87" i="1"/>
  <c r="BC78" i="1"/>
  <c r="BH69" i="1"/>
  <c r="BH65" i="1"/>
  <c r="BI66" i="1"/>
  <c r="BH66" i="1"/>
  <c r="CF364" i="1"/>
  <c r="CF396" i="1"/>
  <c r="CF379" i="1"/>
  <c r="CF365" i="1"/>
  <c r="CF371" i="1"/>
  <c r="AX233" i="1"/>
  <c r="AX321" i="1"/>
  <c r="AX307" i="1"/>
  <c r="DG76" i="1"/>
  <c r="DG78" i="1" s="1"/>
  <c r="DG75" i="1"/>
  <c r="DF57" i="1"/>
  <c r="DF58" i="1" s="1"/>
  <c r="DF46" i="1"/>
  <c r="BQ265" i="1"/>
  <c r="BQ357" i="1"/>
  <c r="BU358" i="1" s="1"/>
  <c r="AS59" i="1"/>
  <c r="AW59" i="1"/>
  <c r="BL168" i="5"/>
  <c r="BL40" i="5"/>
  <c r="BL171" i="5"/>
  <c r="BL51" i="5"/>
  <c r="BL75" i="5" s="1"/>
  <c r="CF134" i="1"/>
  <c r="CF41" i="5"/>
  <c r="DP132" i="1"/>
  <c r="DO41" i="5" s="1"/>
  <c r="DO51" i="5" s="1"/>
  <c r="DO75" i="5" s="1"/>
  <c r="CB59" i="1"/>
  <c r="BX59" i="1"/>
  <c r="AR347" i="1"/>
  <c r="BA312" i="1"/>
  <c r="AW334" i="1"/>
  <c r="DG46" i="1"/>
  <c r="CH49" i="2"/>
  <c r="CH16" i="2"/>
  <c r="CH36" i="2"/>
  <c r="CH41" i="2"/>
  <c r="DM75" i="1"/>
  <c r="DM84" i="1"/>
  <c r="DM26" i="1"/>
  <c r="DM31" i="1" s="1"/>
  <c r="DM277" i="1"/>
  <c r="Q6" i="3"/>
  <c r="DM29" i="1"/>
  <c r="DM281" i="1"/>
  <c r="DI85" i="1"/>
  <c r="DJ85" i="1"/>
  <c r="DJ87" i="1" s="1"/>
  <c r="DI84" i="1"/>
  <c r="BW56" i="1"/>
  <c r="DP12" i="1"/>
  <c r="DP8" i="1" s="1"/>
  <c r="DO3" i="5"/>
  <c r="DM20" i="1"/>
  <c r="CF87" i="1"/>
  <c r="CF78" i="1"/>
  <c r="CD364" i="1"/>
  <c r="CD365" i="1"/>
  <c r="CD371" i="1"/>
  <c r="CD396" i="1"/>
  <c r="DP405" i="1"/>
  <c r="DO405" i="1"/>
  <c r="BS40" i="2"/>
  <c r="BS48" i="2"/>
  <c r="BQ217" i="5"/>
  <c r="DK64" i="1"/>
  <c r="DJ13" i="5"/>
  <c r="N100" i="3" s="1"/>
  <c r="AS66" i="1"/>
  <c r="AS65" i="1"/>
  <c r="CF15" i="5"/>
  <c r="CF64" i="1"/>
  <c r="CF97" i="1"/>
  <c r="CE208" i="1"/>
  <c r="CI208" i="1"/>
  <c r="BS115" i="1"/>
  <c r="BS65" i="1"/>
  <c r="BS27" i="1"/>
  <c r="BS357" i="1"/>
  <c r="BS121" i="1"/>
  <c r="BS90" i="1"/>
  <c r="BS28" i="1"/>
  <c r="BS35" i="1"/>
  <c r="BS112" i="1"/>
  <c r="BS401" i="1"/>
  <c r="CA40" i="2"/>
  <c r="CA48" i="2"/>
  <c r="BX9" i="2"/>
  <c r="BK208" i="1"/>
  <c r="BO208" i="1"/>
  <c r="BK16" i="1"/>
  <c r="BK4" i="5"/>
  <c r="BK6" i="5" s="1"/>
  <c r="DN90" i="1"/>
  <c r="DN27" i="1"/>
  <c r="AU173" i="5"/>
  <c r="AU172" i="5" s="1"/>
  <c r="BT208" i="1"/>
  <c r="BX208" i="1"/>
  <c r="BL351" i="1"/>
  <c r="BP351" i="1"/>
  <c r="BA41" i="5"/>
  <c r="BA171" i="5" s="1"/>
  <c r="DH132" i="1"/>
  <c r="DG41" i="5" s="1"/>
  <c r="DG40" i="5" s="1"/>
  <c r="AV7" i="5"/>
  <c r="AV39" i="1"/>
  <c r="AV49" i="1"/>
  <c r="BF41" i="5"/>
  <c r="BF134" i="1"/>
  <c r="BJ259" i="1"/>
  <c r="BJ281" i="1"/>
  <c r="CA19" i="1"/>
  <c r="DP100" i="1"/>
  <c r="DP36" i="1"/>
  <c r="BY15" i="5"/>
  <c r="BY10" i="5" s="1"/>
  <c r="BY64" i="1"/>
  <c r="BY97" i="1"/>
  <c r="CB40" i="2"/>
  <c r="CB48" i="2"/>
  <c r="BW48" i="2"/>
  <c r="BW40" i="2"/>
  <c r="BW36" i="2"/>
  <c r="BW16" i="2"/>
  <c r="BW17" i="2" s="1"/>
  <c r="BY289" i="1"/>
  <c r="BP90" i="1"/>
  <c r="BP401" i="1"/>
  <c r="BP112" i="1"/>
  <c r="BP109" i="1"/>
  <c r="DI46" i="1"/>
  <c r="AW269" i="1"/>
  <c r="AW271" i="1"/>
  <c r="AW380" i="1"/>
  <c r="AW381" i="1" s="1"/>
  <c r="AX269" i="1"/>
  <c r="DH246" i="1"/>
  <c r="DI246" i="1"/>
  <c r="DJ103" i="1"/>
  <c r="DM363" i="1"/>
  <c r="CC358" i="1"/>
  <c r="BZ396" i="1"/>
  <c r="BZ90" i="1"/>
  <c r="BZ357" i="1"/>
  <c r="BZ28" i="1"/>
  <c r="BH272" i="1"/>
  <c r="BE269" i="1"/>
  <c r="AV286" i="1"/>
  <c r="AV288" i="1" s="1"/>
  <c r="AV265" i="1"/>
  <c r="AV338" i="1" s="1"/>
  <c r="AV269" i="1"/>
  <c r="AV281" i="1"/>
  <c r="AZ270" i="1"/>
  <c r="AV270" i="1"/>
  <c r="N85" i="3"/>
  <c r="N111" i="3" s="1"/>
  <c r="CD39" i="1"/>
  <c r="CE28" i="1"/>
  <c r="BW115" i="1"/>
  <c r="BW83" i="1"/>
  <c r="BW28" i="1"/>
  <c r="AW333" i="1"/>
  <c r="DM269" i="1"/>
  <c r="BU10" i="2"/>
  <c r="BU39" i="2" s="1"/>
  <c r="K7" i="3"/>
  <c r="AW337" i="1"/>
  <c r="DP281" i="1"/>
  <c r="AW395" i="1"/>
  <c r="AW74" i="1"/>
  <c r="AW97" i="1"/>
  <c r="AW65" i="1"/>
  <c r="AW109" i="1"/>
  <c r="AW90" i="1"/>
  <c r="AW39" i="1"/>
  <c r="AW103" i="1"/>
  <c r="BH269" i="1"/>
  <c r="BG271" i="1"/>
  <c r="BG286" i="1"/>
  <c r="BG288" i="1" s="1"/>
  <c r="BG292" i="1" s="1"/>
  <c r="BG293" i="1" s="1"/>
  <c r="BK357" i="1"/>
  <c r="BK41" i="2"/>
  <c r="DJ13" i="2"/>
  <c r="DJ61" i="2" s="1"/>
  <c r="BO363" i="1"/>
  <c r="BO379" i="1"/>
  <c r="BW39" i="1"/>
  <c r="BP395" i="1"/>
  <c r="AY364" i="1"/>
  <c r="AY365" i="1"/>
  <c r="BC97" i="1"/>
  <c r="BC65" i="1"/>
  <c r="BC49" i="1"/>
  <c r="BC31" i="1"/>
  <c r="BC103" i="1"/>
  <c r="DK397" i="1"/>
  <c r="DK378" i="1"/>
  <c r="DK380" i="1" s="1"/>
  <c r="BS364" i="1"/>
  <c r="BS396" i="1"/>
  <c r="CE36" i="2"/>
  <c r="CE41" i="2"/>
  <c r="CE16" i="2"/>
  <c r="CE61" i="2"/>
  <c r="BI358" i="1"/>
  <c r="AR87" i="1"/>
  <c r="BF31" i="1"/>
  <c r="BF97" i="1"/>
  <c r="BJ27" i="1"/>
  <c r="BF28" i="1"/>
  <c r="BL25" i="1"/>
  <c r="BL109" i="1"/>
  <c r="BL83" i="1"/>
  <c r="BL28" i="1"/>
  <c r="BL39" i="1"/>
  <c r="BL395" i="1"/>
  <c r="BL401" i="1"/>
  <c r="BL31" i="1"/>
  <c r="BL97" i="1"/>
  <c r="BM363" i="1"/>
  <c r="DK363" i="1" s="1"/>
  <c r="BM380" i="1"/>
  <c r="BM381" i="1" s="1"/>
  <c r="BN380" i="1"/>
  <c r="BN381" i="1" s="1"/>
  <c r="BN286" i="1"/>
  <c r="BN288" i="1" s="1"/>
  <c r="BP10" i="2"/>
  <c r="BP39" i="2" s="1"/>
  <c r="CJ40" i="2"/>
  <c r="CJ10" i="2" s="1"/>
  <c r="CJ39" i="2" s="1"/>
  <c r="AY62" i="2"/>
  <c r="BV39" i="1"/>
  <c r="BQ28" i="1"/>
  <c r="DJ46" i="1"/>
  <c r="DP226" i="1"/>
  <c r="DO224" i="1"/>
  <c r="E54" i="3"/>
  <c r="BD78" i="1"/>
  <c r="BE50" i="1"/>
  <c r="BE124" i="1"/>
  <c r="BI321" i="1"/>
  <c r="BI322" i="1" s="1"/>
  <c r="BI307" i="1"/>
  <c r="BI308" i="1" s="1"/>
  <c r="BJ7" i="5"/>
  <c r="BK159" i="5" s="1"/>
  <c r="BJ39" i="1"/>
  <c r="AS363" i="1"/>
  <c r="AS379" i="1" s="1"/>
  <c r="AR112" i="1"/>
  <c r="AR65" i="1"/>
  <c r="BJ233" i="1"/>
  <c r="BJ321" i="1"/>
  <c r="BJ307" i="1"/>
  <c r="BL49" i="1"/>
  <c r="BO41" i="2"/>
  <c r="BP152" i="2" s="1"/>
  <c r="DL152" i="2" s="1"/>
  <c r="BO36" i="2"/>
  <c r="BO49" i="2"/>
  <c r="DK49" i="2" s="1"/>
  <c r="BO16" i="2"/>
  <c r="BO17" i="2" s="1"/>
  <c r="BO61" i="2"/>
  <c r="BJ16" i="1"/>
  <c r="CI3" i="5"/>
  <c r="CI6" i="5" s="1"/>
  <c r="CI238" i="5" s="1"/>
  <c r="CE49" i="2"/>
  <c r="BN4" i="1"/>
  <c r="BY56" i="1"/>
  <c r="BM55" i="1"/>
  <c r="BF395" i="1"/>
  <c r="AR322" i="1"/>
  <c r="J7" i="3"/>
  <c r="I54" i="3"/>
  <c r="J248" i="5"/>
  <c r="T6" i="5"/>
  <c r="AS307" i="1"/>
  <c r="AT308" i="1" s="1"/>
  <c r="AS233" i="1"/>
  <c r="AS321" i="1"/>
  <c r="AX28" i="1"/>
  <c r="AX121" i="1"/>
  <c r="AX39" i="1"/>
  <c r="AX49" i="1"/>
  <c r="AX109" i="1"/>
  <c r="BB27" i="1"/>
  <c r="AX90" i="1"/>
  <c r="AQ35" i="1"/>
  <c r="AQ74" i="1"/>
  <c r="AU27" i="1"/>
  <c r="AQ97" i="1"/>
  <c r="BA41" i="2"/>
  <c r="BA49" i="2"/>
  <c r="BA16" i="2"/>
  <c r="BA17" i="2" s="1"/>
  <c r="BH23" i="1"/>
  <c r="DJ21" i="1"/>
  <c r="BP7" i="5"/>
  <c r="BS158" i="5" s="1"/>
  <c r="BP39" i="1"/>
  <c r="CJ49" i="1"/>
  <c r="AR364" i="1"/>
  <c r="AR396" i="1"/>
  <c r="AQ272" i="1"/>
  <c r="AQ271" i="1"/>
  <c r="AQ269" i="1"/>
  <c r="AQ380" i="1"/>
  <c r="AQ381" i="1" s="1"/>
  <c r="AQ270" i="1"/>
  <c r="BE364" i="1"/>
  <c r="BE371" i="1"/>
  <c r="BE396" i="1"/>
  <c r="BE379" i="1"/>
  <c r="DO13" i="2"/>
  <c r="S8" i="3"/>
  <c r="DO13" i="1"/>
  <c r="CD49" i="2"/>
  <c r="CD36" i="2"/>
  <c r="DH174" i="5"/>
  <c r="AQ364" i="1"/>
  <c r="AQ371" i="1"/>
  <c r="I10" i="5"/>
  <c r="N10" i="5"/>
  <c r="BQ301" i="1"/>
  <c r="BP307" i="1"/>
  <c r="BP308" i="1" s="1"/>
  <c r="BP233" i="1"/>
  <c r="DO57" i="1"/>
  <c r="DO58" i="1" s="1"/>
  <c r="BM173" i="5"/>
  <c r="BM54" i="5" s="1"/>
  <c r="DD175" i="5"/>
  <c r="AT364" i="1"/>
  <c r="AT387" i="1"/>
  <c r="BB351" i="1"/>
  <c r="BD364" i="1"/>
  <c r="BD365" i="1"/>
  <c r="BA351" i="1"/>
  <c r="BD87" i="1"/>
  <c r="AT83" i="1"/>
  <c r="AT109" i="1"/>
  <c r="AT202" i="1"/>
  <c r="AT106" i="1"/>
  <c r="BH27" i="1"/>
  <c r="DB3" i="5"/>
  <c r="D7" i="3"/>
  <c r="AT74" i="1"/>
  <c r="AL173" i="5"/>
  <c r="V10" i="5"/>
  <c r="DA13" i="5"/>
  <c r="M10" i="5"/>
  <c r="M240" i="5" s="1"/>
  <c r="DG91" i="1"/>
  <c r="DJ18" i="1"/>
  <c r="BG20" i="1"/>
  <c r="BT364" i="1"/>
  <c r="BT365" i="1"/>
  <c r="CH59" i="1"/>
  <c r="DB4" i="5"/>
  <c r="BD16" i="2"/>
  <c r="BD17" i="2" s="1"/>
  <c r="AZ272" i="1"/>
  <c r="AX271" i="1"/>
  <c r="AT118" i="1"/>
  <c r="BB61" i="2"/>
  <c r="BB62" i="2" s="1"/>
  <c r="BB16" i="2"/>
  <c r="BB17" i="2" s="1"/>
  <c r="BI364" i="1"/>
  <c r="BI371" i="1"/>
  <c r="BQ364" i="1"/>
  <c r="BQ396" i="1"/>
  <c r="CA56" i="1"/>
  <c r="AY10" i="5"/>
  <c r="CZ13" i="5"/>
  <c r="AE10" i="5"/>
  <c r="AB239" i="5"/>
  <c r="DH228" i="1"/>
  <c r="BX41" i="5"/>
  <c r="BX51" i="5" s="1"/>
  <c r="BX75" i="5" s="1"/>
  <c r="AB51" i="5"/>
  <c r="CF286" i="1"/>
  <c r="CF288" i="1" s="1"/>
  <c r="CH292" i="1" s="1"/>
  <c r="CH293" i="1" s="1"/>
  <c r="CF15" i="1"/>
  <c r="CF19" i="1" s="1"/>
  <c r="CF20" i="1"/>
  <c r="CK154" i="1"/>
  <c r="BR153" i="1"/>
  <c r="BR154" i="1" s="1"/>
  <c r="BG212" i="1"/>
  <c r="AY40" i="5"/>
  <c r="BD134" i="1"/>
  <c r="BL134" i="1"/>
  <c r="DC12" i="5"/>
  <c r="CI272" i="1"/>
  <c r="CK54" i="1"/>
  <c r="CK55" i="1" s="1"/>
  <c r="CU53" i="1"/>
  <c r="CC80" i="1"/>
  <c r="BS307" i="1"/>
  <c r="DS307" i="1"/>
  <c r="DS308" i="1" s="1"/>
  <c r="DT309" i="1" s="1"/>
  <c r="DU310" i="1" s="1"/>
  <c r="DV311" i="1" s="1"/>
  <c r="AY134" i="1"/>
  <c r="BO134" i="1"/>
  <c r="BO144" i="1"/>
  <c r="BO143" i="1" s="1"/>
  <c r="BN136" i="1"/>
  <c r="DD153" i="1"/>
  <c r="CL322" i="1"/>
  <c r="CP323" i="1" s="1"/>
  <c r="CI259" i="1"/>
  <c r="CI260" i="1" s="1"/>
  <c r="AR134" i="1"/>
  <c r="AZ134" i="1"/>
  <c r="R173" i="5"/>
  <c r="O173" i="5"/>
  <c r="O172" i="5" s="1"/>
  <c r="BH10" i="5"/>
  <c r="CJ62" i="1"/>
  <c r="BZ259" i="1"/>
  <c r="AF177" i="1"/>
  <c r="AF178" i="1" s="1"/>
  <c r="BA134" i="1"/>
  <c r="BS143" i="1"/>
  <c r="DG228" i="1"/>
  <c r="CA263" i="1"/>
  <c r="BY19" i="1"/>
  <c r="BY134" i="1"/>
  <c r="BU144" i="1"/>
  <c r="BU143" i="1" s="1"/>
  <c r="CK269" i="1"/>
  <c r="CL20" i="1"/>
  <c r="CK264" i="1"/>
  <c r="CJ40" i="5"/>
  <c r="BK40" i="5"/>
  <c r="BM144" i="1"/>
  <c r="BM143" i="1" s="1"/>
  <c r="CA143" i="1"/>
  <c r="CK263" i="1"/>
  <c r="DS322" i="1"/>
  <c r="DT323" i="1" s="1"/>
  <c r="DU324" i="1" s="1"/>
  <c r="DV325" i="1" s="1"/>
  <c r="CL304" i="2"/>
  <c r="CL303" i="2" s="1"/>
  <c r="CL291" i="2"/>
  <c r="CL96" i="2"/>
  <c r="CL86" i="2" s="1"/>
  <c r="CL286" i="2"/>
  <c r="CL311" i="5"/>
  <c r="CL331" i="5"/>
  <c r="AC77" i="5"/>
  <c r="DO150" i="5"/>
  <c r="DO89" i="5"/>
  <c r="DO65" i="5"/>
  <c r="G31" i="9"/>
  <c r="AX328" i="5"/>
  <c r="DF327" i="5"/>
  <c r="DF328" i="5" s="1"/>
  <c r="BF12" i="6"/>
  <c r="BV307" i="5"/>
  <c r="P77" i="5"/>
  <c r="P177" i="5"/>
  <c r="L246" i="5"/>
  <c r="L245" i="5"/>
  <c r="L247" i="5"/>
  <c r="L8" i="5"/>
  <c r="L243" i="5" s="1"/>
  <c r="L235" i="5"/>
  <c r="S54" i="5"/>
  <c r="BY301" i="5"/>
  <c r="BY292" i="5" s="1"/>
  <c r="BY308" i="5"/>
  <c r="K54" i="5"/>
  <c r="AT239" i="5"/>
  <c r="K172" i="5"/>
  <c r="AD314" i="5"/>
  <c r="AD300" i="5"/>
  <c r="CI173" i="5"/>
  <c r="CD107" i="5"/>
  <c r="DN107" i="5" s="1"/>
  <c r="DO299" i="5"/>
  <c r="DO300" i="5" s="1"/>
  <c r="CZ119" i="5"/>
  <c r="Q246" i="5"/>
  <c r="Q238" i="5"/>
  <c r="Q8" i="5"/>
  <c r="Q245" i="5"/>
  <c r="Q248" i="5"/>
  <c r="Q247" i="5"/>
  <c r="CA234" i="5"/>
  <c r="CA232" i="5" s="1"/>
  <c r="CD216" i="5"/>
  <c r="DN216" i="5" s="1"/>
  <c r="DA42" i="5"/>
  <c r="AA40" i="5"/>
  <c r="BP77" i="5"/>
  <c r="AF246" i="5"/>
  <c r="BZ141" i="1"/>
  <c r="DD299" i="5"/>
  <c r="CF131" i="5"/>
  <c r="CF264" i="5" s="1"/>
  <c r="CG53" i="5"/>
  <c r="CG78" i="5" s="1"/>
  <c r="AU168" i="5"/>
  <c r="AU51" i="5"/>
  <c r="AU75" i="5" s="1"/>
  <c r="AU40" i="5"/>
  <c r="AE322" i="5"/>
  <c r="DP133" i="1"/>
  <c r="DO102" i="5"/>
  <c r="DO135" i="5"/>
  <c r="DP137" i="1"/>
  <c r="DO149" i="5"/>
  <c r="CX141" i="5"/>
  <c r="CY287" i="5"/>
  <c r="CX288" i="5"/>
  <c r="BC285" i="2"/>
  <c r="BC287" i="2" s="1"/>
  <c r="CX42" i="5"/>
  <c r="O40" i="5"/>
  <c r="DD42" i="5"/>
  <c r="AM40" i="5"/>
  <c r="CJ140" i="1"/>
  <c r="CJ141" i="1" s="1"/>
  <c r="DL321" i="5"/>
  <c r="S270" i="5"/>
  <c r="DD149" i="5"/>
  <c r="DD102" i="5"/>
  <c r="L85" i="5"/>
  <c r="M85" i="5"/>
  <c r="W77" i="5"/>
  <c r="BU158" i="5"/>
  <c r="BR217" i="5"/>
  <c r="BR239" i="5"/>
  <c r="BT159" i="5"/>
  <c r="BU159" i="5"/>
  <c r="S235" i="5"/>
  <c r="F11" i="3"/>
  <c r="BM168" i="5"/>
  <c r="BB173" i="5"/>
  <c r="DG175" i="5"/>
  <c r="DD239" i="5"/>
  <c r="AX322" i="5"/>
  <c r="BW322" i="5"/>
  <c r="BX321" i="5"/>
  <c r="DM321" i="5"/>
  <c r="AX239" i="5"/>
  <c r="AC171" i="5"/>
  <c r="AC172" i="5"/>
  <c r="C171" i="5"/>
  <c r="BE280" i="5"/>
  <c r="BE270" i="5"/>
  <c r="DD13" i="5"/>
  <c r="AM10" i="5"/>
  <c r="CX13" i="5"/>
  <c r="O10" i="5"/>
  <c r="AG240" i="5"/>
  <c r="Y10" i="5"/>
  <c r="AO239" i="5"/>
  <c r="AP239" i="5"/>
  <c r="C6" i="5"/>
  <c r="C245" i="5" s="1"/>
  <c r="DL141" i="5"/>
  <c r="DL67" i="5"/>
  <c r="DL83" i="5" s="1"/>
  <c r="DB288" i="5"/>
  <c r="DB270" i="5" s="1"/>
  <c r="AH270" i="5"/>
  <c r="DK288" i="5"/>
  <c r="BR270" i="5"/>
  <c r="DL64" i="5"/>
  <c r="DK298" i="5"/>
  <c r="DK108" i="5"/>
  <c r="DM308" i="2"/>
  <c r="DN145" i="1"/>
  <c r="DN144" i="1" s="1"/>
  <c r="AM246" i="5"/>
  <c r="CL148" i="5"/>
  <c r="DP103" i="5"/>
  <c r="BV131" i="5"/>
  <c r="U54" i="5"/>
  <c r="U172" i="5"/>
  <c r="DK331" i="5"/>
  <c r="DM331" i="5"/>
  <c r="DJ331" i="5"/>
  <c r="AC324" i="5"/>
  <c r="AB322" i="5"/>
  <c r="AB328" i="5" s="1"/>
  <c r="AA322" i="5"/>
  <c r="AA328" i="5" s="1"/>
  <c r="AZ150" i="5"/>
  <c r="BA58" i="5" s="1"/>
  <c r="BA80" i="5" s="1"/>
  <c r="AZ119" i="5"/>
  <c r="AZ128" i="5" s="1"/>
  <c r="AZ129" i="5" s="1"/>
  <c r="CY15" i="5"/>
  <c r="U10" i="5"/>
  <c r="AL10" i="5"/>
  <c r="AL240" i="5" s="1"/>
  <c r="DC13" i="5"/>
  <c r="BC246" i="5"/>
  <c r="BC10" i="5"/>
  <c r="DE12" i="5"/>
  <c r="AQ10" i="5"/>
  <c r="S10" i="5"/>
  <c r="CY12" i="5"/>
  <c r="AV10" i="5"/>
  <c r="BU300" i="5"/>
  <c r="AE12" i="6"/>
  <c r="X168" i="5"/>
  <c r="X40" i="5"/>
  <c r="AG168" i="5"/>
  <c r="AG40" i="5"/>
  <c r="DB41" i="5"/>
  <c r="DB168" i="5" s="1"/>
  <c r="CK2" i="5"/>
  <c r="AT4" i="6"/>
  <c r="CC53" i="5"/>
  <c r="CC78" i="5" s="1"/>
  <c r="CC131" i="5"/>
  <c r="BM131" i="5"/>
  <c r="BO51" i="5"/>
  <c r="BO75" i="5" s="1"/>
  <c r="BO168" i="5"/>
  <c r="AJ10" i="5"/>
  <c r="DC15" i="5"/>
  <c r="DE321" i="5"/>
  <c r="U308" i="5"/>
  <c r="V308" i="5" s="1"/>
  <c r="W308" i="5" s="1"/>
  <c r="U314" i="5"/>
  <c r="U315" i="5" s="1"/>
  <c r="DA197" i="5"/>
  <c r="AB63" i="5"/>
  <c r="Y287" i="5"/>
  <c r="Y269" i="5" s="1"/>
  <c r="X288" i="5"/>
  <c r="X270" i="5" s="1"/>
  <c r="Y67" i="5"/>
  <c r="Y83" i="5" s="1"/>
  <c r="X141" i="5"/>
  <c r="AD274" i="5"/>
  <c r="AD18" i="5"/>
  <c r="AD60" i="5" s="1"/>
  <c r="R18" i="5"/>
  <c r="R60" i="5" s="1"/>
  <c r="CX19" i="5"/>
  <c r="R274" i="5"/>
  <c r="G274" i="5"/>
  <c r="AT60" i="5"/>
  <c r="DE18" i="5"/>
  <c r="J18" i="3" s="1"/>
  <c r="BO217" i="5"/>
  <c r="BO239" i="5"/>
  <c r="P171" i="5"/>
  <c r="P172" i="5"/>
  <c r="AG54" i="5"/>
  <c r="AG171" i="5"/>
  <c r="BL138" i="5"/>
  <c r="DM133" i="1"/>
  <c r="DN134" i="1" s="1"/>
  <c r="DL135" i="5"/>
  <c r="BH259" i="5"/>
  <c r="BH274" i="5"/>
  <c r="V328" i="5"/>
  <c r="CY322" i="5"/>
  <c r="CY328" i="5" s="1"/>
  <c r="CY327" i="5" s="1"/>
  <c r="I308" i="5"/>
  <c r="I314" i="5"/>
  <c r="AK81" i="5"/>
  <c r="DA19" i="5"/>
  <c r="BV6" i="5"/>
  <c r="BX217" i="5"/>
  <c r="BP270" i="5"/>
  <c r="BP280" i="5"/>
  <c r="CE217" i="5"/>
  <c r="V235" i="5"/>
  <c r="V246" i="5"/>
  <c r="BQ280" i="5"/>
  <c r="BS301" i="5"/>
  <c r="BS292" i="5" s="1"/>
  <c r="BS322" i="5"/>
  <c r="DM300" i="5"/>
  <c r="DN279" i="5"/>
  <c r="DN280" i="5" s="1"/>
  <c r="DN69" i="5"/>
  <c r="DO277" i="5"/>
  <c r="DO269" i="5" s="1"/>
  <c r="F31" i="9"/>
  <c r="F37" i="9" s="1"/>
  <c r="CC280" i="5"/>
  <c r="CC270" i="5"/>
  <c r="CC290" i="2" s="1"/>
  <c r="D259" i="5"/>
  <c r="DL308" i="2"/>
  <c r="DL309" i="2" s="1"/>
  <c r="DM146" i="1"/>
  <c r="DM144" i="1" s="1"/>
  <c r="BI280" i="5"/>
  <c r="BI270" i="5"/>
  <c r="AB119" i="5"/>
  <c r="AB128" i="5" s="1"/>
  <c r="AB150" i="5"/>
  <c r="AC58" i="5" s="1"/>
  <c r="AC80" i="5" s="1"/>
  <c r="AI89" i="5"/>
  <c r="AI133" i="5"/>
  <c r="AI132" i="5" s="1"/>
  <c r="D107" i="5"/>
  <c r="D129" i="5" s="1"/>
  <c r="AM150" i="5"/>
  <c r="AM58" i="5" s="1"/>
  <c r="AM119" i="5"/>
  <c r="BO40" i="5"/>
  <c r="AX168" i="5"/>
  <c r="J235" i="5"/>
  <c r="BJ6" i="5"/>
  <c r="BJ246" i="5" s="1"/>
  <c r="AN275" i="5"/>
  <c r="DK188" i="5"/>
  <c r="CD10" i="5"/>
  <c r="CD141" i="1"/>
  <c r="W18" i="5"/>
  <c r="W60" i="5" s="1"/>
  <c r="CZ20" i="5"/>
  <c r="AT63" i="5"/>
  <c r="AT81" i="5" s="1"/>
  <c r="DE81" i="5" s="1"/>
  <c r="DE197" i="5"/>
  <c r="DE63" i="5" s="1"/>
  <c r="AX40" i="5"/>
  <c r="J245" i="5"/>
  <c r="DL149" i="5"/>
  <c r="CA309" i="2"/>
  <c r="BM270" i="5"/>
  <c r="BM280" i="5"/>
  <c r="E134" i="5"/>
  <c r="E132" i="5" s="1"/>
  <c r="E108" i="5"/>
  <c r="E128" i="5" s="1"/>
  <c r="Y142" i="5"/>
  <c r="Y64" i="5"/>
  <c r="C40" i="5"/>
  <c r="BU10" i="5"/>
  <c r="BQ301" i="5"/>
  <c r="BQ292" i="5" s="1"/>
  <c r="DI188" i="5"/>
  <c r="CJ18" i="5"/>
  <c r="CJ60" i="5" s="1"/>
  <c r="DH69" i="5"/>
  <c r="DJ63" i="5"/>
  <c r="DJ81" i="5" s="1"/>
  <c r="AS270" i="5"/>
  <c r="AS275" i="5" s="1"/>
  <c r="AS280" i="5"/>
  <c r="AJ280" i="5"/>
  <c r="I52" i="5"/>
  <c r="I73" i="5" s="1"/>
  <c r="J52" i="5"/>
  <c r="J73" i="5" s="1"/>
  <c r="X142" i="5"/>
  <c r="X298" i="5"/>
  <c r="X300" i="5" s="1"/>
  <c r="X64" i="5"/>
  <c r="J247" i="5"/>
  <c r="CF261" i="5"/>
  <c r="BR322" i="5"/>
  <c r="Q150" i="5"/>
  <c r="DM133" i="5"/>
  <c r="BN173" i="5"/>
  <c r="BN54" i="5" s="1"/>
  <c r="AE143" i="5"/>
  <c r="AE52" i="5"/>
  <c r="AE73" i="5" s="1"/>
  <c r="J69" i="5"/>
  <c r="I140" i="5"/>
  <c r="J259" i="5" s="1"/>
  <c r="J277" i="5"/>
  <c r="I69" i="5"/>
  <c r="BX280" i="5"/>
  <c r="BX270" i="5"/>
  <c r="BX290" i="2" s="1"/>
  <c r="BX292" i="2" s="1"/>
  <c r="BP301" i="5"/>
  <c r="BP292" i="5" s="1"/>
  <c r="BP308" i="5"/>
  <c r="BA280" i="5"/>
  <c r="BA270" i="5"/>
  <c r="BA275" i="5" s="1"/>
  <c r="O133" i="5"/>
  <c r="O89" i="5"/>
  <c r="H140" i="5"/>
  <c r="I277" i="5"/>
  <c r="I285" i="5" s="1"/>
  <c r="I271" i="5" s="1"/>
  <c r="H279" i="5"/>
  <c r="BO132" i="5"/>
  <c r="BJ280" i="5"/>
  <c r="BJ270" i="5"/>
  <c r="AK65" i="5"/>
  <c r="AL65" i="5"/>
  <c r="AJ133" i="5"/>
  <c r="AJ132" i="5" s="1"/>
  <c r="AJ89" i="5"/>
  <c r="AJ107" i="5" s="1"/>
  <c r="X89" i="5"/>
  <c r="BL107" i="5"/>
  <c r="CB270" i="5"/>
  <c r="CA290" i="2" s="1"/>
  <c r="CA292" i="2" s="1"/>
  <c r="CB280" i="5"/>
  <c r="CD51" i="5"/>
  <c r="CD75" i="5" s="1"/>
  <c r="CD168" i="5"/>
  <c r="BX143" i="1"/>
  <c r="CG107" i="5"/>
  <c r="O113" i="3"/>
  <c r="CE173" i="5"/>
  <c r="DI134" i="5"/>
  <c r="DI229" i="5"/>
  <c r="DI150" i="5"/>
  <c r="DI58" i="5" s="1"/>
  <c r="DI80" i="5" s="1"/>
  <c r="AT300" i="5"/>
  <c r="AT308" i="5" s="1"/>
  <c r="Q300" i="5"/>
  <c r="DF300" i="5"/>
  <c r="AD134" i="5"/>
  <c r="AD132" i="5" s="1"/>
  <c r="BD107" i="5"/>
  <c r="BJ300" i="5"/>
  <c r="BB52" i="5"/>
  <c r="BB73" i="5" s="1"/>
  <c r="CF259" i="5"/>
  <c r="DO69" i="5"/>
  <c r="DK96" i="5"/>
  <c r="BI269" i="5"/>
  <c r="CZ142" i="5"/>
  <c r="P300" i="5"/>
  <c r="AG52" i="5"/>
  <c r="AG73" i="5" s="1"/>
  <c r="DF146" i="5"/>
  <c r="F132" i="5"/>
  <c r="AI107" i="5"/>
  <c r="F239" i="5"/>
  <c r="U6" i="5"/>
  <c r="BP259" i="5"/>
  <c r="DM67" i="5"/>
  <c r="DM83" i="5" s="1"/>
  <c r="BB132" i="5"/>
  <c r="CJ173" i="5"/>
  <c r="M40" i="5"/>
  <c r="CY48" i="5"/>
  <c r="CY49" i="5"/>
  <c r="DB49" i="5"/>
  <c r="CZ59" i="5"/>
  <c r="DC59" i="5"/>
  <c r="BZ58" i="5"/>
  <c r="BZ80" i="5" s="1"/>
  <c r="BC132" i="5"/>
  <c r="AI142" i="5"/>
  <c r="AI139" i="5" s="1"/>
  <c r="AI263" i="5" s="1"/>
  <c r="X260" i="5"/>
  <c r="BV300" i="5"/>
  <c r="BD132" i="5"/>
  <c r="CA269" i="5"/>
  <c r="CX59" i="5"/>
  <c r="DA59" i="5"/>
  <c r="DD59" i="5"/>
  <c r="BM107" i="5"/>
  <c r="BM129" i="5" s="1"/>
  <c r="BH269" i="5"/>
  <c r="DH67" i="5"/>
  <c r="DH83" i="5" s="1"/>
  <c r="AT142" i="5"/>
  <c r="AU260" i="5" s="1"/>
  <c r="AH142" i="5"/>
  <c r="AH139" i="5" s="1"/>
  <c r="W64" i="5"/>
  <c r="DC146" i="5"/>
  <c r="BG269" i="5"/>
  <c r="DI67" i="5"/>
  <c r="DI83" i="5" s="1"/>
  <c r="AM275" i="5"/>
  <c r="N6" i="5"/>
  <c r="Q164" i="5" s="1"/>
  <c r="E107" i="5"/>
  <c r="AH65" i="5"/>
  <c r="O134" i="5"/>
  <c r="DG135" i="5"/>
  <c r="L260" i="5"/>
  <c r="BG132" i="5"/>
  <c r="CA52" i="5"/>
  <c r="CA73" i="5" s="1"/>
  <c r="CI269" i="5"/>
  <c r="CE144" i="1"/>
  <c r="CE143" i="1" s="1"/>
  <c r="DJ134" i="5"/>
  <c r="DJ132" i="5" s="1"/>
  <c r="DI135" i="5"/>
  <c r="AF168" i="5"/>
  <c r="AS132" i="5"/>
  <c r="AS131" i="5" s="1"/>
  <c r="AR107" i="5"/>
  <c r="F52" i="5"/>
  <c r="F73" i="5" s="1"/>
  <c r="AX107" i="5"/>
  <c r="DG133" i="5"/>
  <c r="CY82" i="5"/>
  <c r="DE74" i="5"/>
  <c r="BR287" i="2"/>
  <c r="BT144" i="1"/>
  <c r="BT143" i="1" s="1"/>
  <c r="BK10" i="5"/>
  <c r="BF128" i="5"/>
  <c r="AM337" i="5"/>
  <c r="AM340" i="5" s="1"/>
  <c r="U300" i="5"/>
  <c r="V301" i="5" s="1"/>
  <c r="V292" i="5" s="1"/>
  <c r="AN143" i="5"/>
  <c r="W150" i="5"/>
  <c r="W6" i="5"/>
  <c r="BB300" i="5"/>
  <c r="DL229" i="5"/>
  <c r="R51" i="5"/>
  <c r="DF149" i="5"/>
  <c r="CJ139" i="5"/>
  <c r="C270" i="5"/>
  <c r="C143" i="5"/>
  <c r="U128" i="5"/>
  <c r="DD134" i="5"/>
  <c r="BC107" i="5"/>
  <c r="BU58" i="5"/>
  <c r="BU80" i="5" s="1"/>
  <c r="DL144" i="1"/>
  <c r="DL143" i="1" s="1"/>
  <c r="DN134" i="5"/>
  <c r="CB107" i="5"/>
  <c r="DJ102" i="5"/>
  <c r="DJ201" i="5"/>
  <c r="AE107" i="5"/>
  <c r="DB338" i="5"/>
  <c r="D269" i="5"/>
  <c r="DG229" i="5"/>
  <c r="DD229" i="5"/>
  <c r="DD203" i="5"/>
  <c r="AG58" i="5"/>
  <c r="AG80" i="5" s="1"/>
  <c r="DF67" i="5"/>
  <c r="DF83" i="5" s="1"/>
  <c r="BH287" i="2"/>
  <c r="BS269" i="5"/>
  <c r="AY107" i="5"/>
  <c r="BN144" i="1"/>
  <c r="BN143" i="1" s="1"/>
  <c r="AL107" i="5"/>
  <c r="DC107" i="5" s="1"/>
  <c r="AF143" i="5"/>
  <c r="AO58" i="5"/>
  <c r="AO80" i="5" s="1"/>
  <c r="DA117" i="5"/>
  <c r="DA134" i="5" s="1"/>
  <c r="BM287" i="2"/>
  <c r="BY144" i="1"/>
  <c r="BY143" i="1" s="1"/>
  <c r="DK159" i="5"/>
  <c r="P11" i="3"/>
  <c r="T83" i="5"/>
  <c r="DB107" i="5"/>
  <c r="BU52" i="5"/>
  <c r="BP52" i="5"/>
  <c r="BP73" i="5" s="1"/>
  <c r="BJ40" i="5"/>
  <c r="BI158" i="5"/>
  <c r="BH239" i="5"/>
  <c r="BI239" i="5"/>
  <c r="BI159" i="5"/>
  <c r="BV52" i="5"/>
  <c r="BV73" i="5" s="1"/>
  <c r="BJ51" i="5"/>
  <c r="BJ75" i="5" s="1"/>
  <c r="CX96" i="5"/>
  <c r="BH328" i="5"/>
  <c r="BH322" i="5"/>
  <c r="BH308" i="5"/>
  <c r="BI301" i="5"/>
  <c r="BI292" i="5" s="1"/>
  <c r="BO309" i="2"/>
  <c r="BN309" i="2"/>
  <c r="BW280" i="5"/>
  <c r="BW270" i="5"/>
  <c r="BM234" i="5"/>
  <c r="BM232" i="5" s="1"/>
  <c r="BM217" i="5"/>
  <c r="BN216" i="5"/>
  <c r="L51" i="5"/>
  <c r="L75" i="5" s="1"/>
  <c r="L168" i="5"/>
  <c r="L40" i="5"/>
  <c r="L171" i="5"/>
  <c r="BW140" i="1"/>
  <c r="BX138" i="1"/>
  <c r="CH138" i="1"/>
  <c r="CG140" i="1"/>
  <c r="BW217" i="5"/>
  <c r="V307" i="5"/>
  <c r="CY307" i="5" s="1"/>
  <c r="AR280" i="5"/>
  <c r="AR270" i="5"/>
  <c r="AR275" i="5" s="1"/>
  <c r="AP52" i="5"/>
  <c r="AQ52" i="5"/>
  <c r="AQ73" i="5" s="1"/>
  <c r="DC125" i="5"/>
  <c r="DC150" i="5" s="1"/>
  <c r="AL150" i="5"/>
  <c r="AL58" i="5" s="1"/>
  <c r="AL80" i="5" s="1"/>
  <c r="AL119" i="5"/>
  <c r="AA150" i="5"/>
  <c r="AA119" i="5"/>
  <c r="W67" i="5"/>
  <c r="X287" i="5"/>
  <c r="X269" i="5" s="1"/>
  <c r="W141" i="5"/>
  <c r="X67" i="5"/>
  <c r="X83" i="5" s="1"/>
  <c r="W96" i="5"/>
  <c r="W107" i="5" s="1"/>
  <c r="K96" i="5"/>
  <c r="K107" i="5" s="1"/>
  <c r="K129" i="5" s="1"/>
  <c r="L287" i="5"/>
  <c r="K67" i="5"/>
  <c r="K83" i="5" s="1"/>
  <c r="K288" i="5"/>
  <c r="K270" i="5" s="1"/>
  <c r="L67" i="5"/>
  <c r="L83" i="5" s="1"/>
  <c r="N133" i="5"/>
  <c r="N89" i="5"/>
  <c r="N107" i="5" s="1"/>
  <c r="CY158" i="5"/>
  <c r="CY133" i="5"/>
  <c r="BF52" i="5"/>
  <c r="BF73" i="5" s="1"/>
  <c r="BE52" i="5"/>
  <c r="BE73" i="5" s="1"/>
  <c r="BM138" i="1"/>
  <c r="BL140" i="1"/>
  <c r="BL143" i="1"/>
  <c r="AY85" i="5"/>
  <c r="AY260" i="5"/>
  <c r="AX260" i="5"/>
  <c r="AX85" i="5"/>
  <c r="AX139" i="5"/>
  <c r="BJ85" i="5"/>
  <c r="BK85" i="5"/>
  <c r="BJ139" i="5"/>
  <c r="BJ138" i="5" s="1"/>
  <c r="BW85" i="5"/>
  <c r="BV85" i="5"/>
  <c r="BV303" i="2"/>
  <c r="BV305" i="2" s="1"/>
  <c r="BV139" i="5"/>
  <c r="CH303" i="2"/>
  <c r="CH85" i="5"/>
  <c r="CI85" i="5"/>
  <c r="CH260" i="5"/>
  <c r="CH139" i="5"/>
  <c r="AE275" i="5"/>
  <c r="AK6" i="5"/>
  <c r="DC3" i="5"/>
  <c r="CG261" i="5"/>
  <c r="BX308" i="5"/>
  <c r="K139" i="5"/>
  <c r="AG8" i="5"/>
  <c r="AG248" i="5"/>
  <c r="AG245" i="5"/>
  <c r="AG246" i="5"/>
  <c r="AG247" i="5"/>
  <c r="AG235" i="5"/>
  <c r="AG336" i="5"/>
  <c r="BZ307" i="5"/>
  <c r="BG12" i="6"/>
  <c r="DL89" i="5"/>
  <c r="DL133" i="5"/>
  <c r="W288" i="5"/>
  <c r="CC173" i="5"/>
  <c r="DL142" i="5"/>
  <c r="DL303" i="2" s="1"/>
  <c r="DL305" i="2" s="1"/>
  <c r="DL299" i="5"/>
  <c r="DL300" i="5" s="1"/>
  <c r="DM65" i="5"/>
  <c r="DL65" i="5"/>
  <c r="BN270" i="5"/>
  <c r="BN280" i="5"/>
  <c r="BX239" i="5"/>
  <c r="AF73" i="5"/>
  <c r="AK315" i="5"/>
  <c r="AL315" i="5" s="1"/>
  <c r="AJ314" i="5"/>
  <c r="AP172" i="5"/>
  <c r="AB280" i="5"/>
  <c r="CF300" i="5"/>
  <c r="CG301" i="5" s="1"/>
  <c r="BQ6" i="5"/>
  <c r="BQ215" i="5" s="1"/>
  <c r="U52" i="5"/>
  <c r="Y150" i="5"/>
  <c r="Y143" i="5" s="1"/>
  <c r="Y89" i="5"/>
  <c r="Y107" i="5" s="1"/>
  <c r="CD214" i="5"/>
  <c r="DC67" i="5"/>
  <c r="AJ83" i="5"/>
  <c r="DC83" i="5" s="1"/>
  <c r="DK135" i="5"/>
  <c r="DK102" i="5"/>
  <c r="CZ117" i="5"/>
  <c r="CZ134" i="5" s="1"/>
  <c r="CZ132" i="5" s="1"/>
  <c r="Z134" i="5"/>
  <c r="DC188" i="5"/>
  <c r="DC144" i="5"/>
  <c r="AU85" i="5"/>
  <c r="DA175" i="5"/>
  <c r="AD173" i="5"/>
  <c r="AS300" i="5"/>
  <c r="AR132" i="5"/>
  <c r="DE259" i="5"/>
  <c r="DM135" i="5"/>
  <c r="DN133" i="1"/>
  <c r="DO134" i="1" s="1"/>
  <c r="AH63" i="5"/>
  <c r="DB197" i="5"/>
  <c r="AU145" i="5"/>
  <c r="AU128" i="5"/>
  <c r="AV127" i="5"/>
  <c r="AV145" i="5" s="1"/>
  <c r="AV143" i="5" s="1"/>
  <c r="AG64" i="5"/>
  <c r="AF64" i="5"/>
  <c r="R142" i="5"/>
  <c r="R85" i="5" s="1"/>
  <c r="R108" i="5"/>
  <c r="R298" i="5"/>
  <c r="CX111" i="5"/>
  <c r="AQ133" i="5"/>
  <c r="AQ132" i="5" s="1"/>
  <c r="AQ89" i="5"/>
  <c r="AQ107" i="5" s="1"/>
  <c r="BG274" i="5"/>
  <c r="BG259" i="5"/>
  <c r="BI119" i="5"/>
  <c r="BI150" i="5"/>
  <c r="E85" i="5"/>
  <c r="E260" i="5"/>
  <c r="Q85" i="5"/>
  <c r="Q260" i="5"/>
  <c r="T269" i="5"/>
  <c r="DI89" i="5"/>
  <c r="N197" i="5"/>
  <c r="N188" i="5"/>
  <c r="AR58" i="5"/>
  <c r="AR80" i="5" s="1"/>
  <c r="AR143" i="5"/>
  <c r="M134" i="5"/>
  <c r="M132" i="5" s="1"/>
  <c r="M108" i="5"/>
  <c r="L134" i="5"/>
  <c r="L132" i="5" s="1"/>
  <c r="L108" i="5"/>
  <c r="L128" i="5" s="1"/>
  <c r="AQ142" i="5"/>
  <c r="AQ298" i="5"/>
  <c r="AR64" i="5"/>
  <c r="AQ64" i="5"/>
  <c r="BE285" i="2"/>
  <c r="BE287" i="2" s="1"/>
  <c r="BE19" i="5"/>
  <c r="O260" i="5"/>
  <c r="CX20" i="5"/>
  <c r="AH314" i="5"/>
  <c r="X108" i="5"/>
  <c r="X128" i="5" s="1"/>
  <c r="X134" i="5"/>
  <c r="BS270" i="5"/>
  <c r="BS280" i="5"/>
  <c r="BZ216" i="5"/>
  <c r="DM216" i="5" s="1"/>
  <c r="BX234" i="5"/>
  <c r="DF102" i="5"/>
  <c r="DF148" i="5"/>
  <c r="O307" i="5"/>
  <c r="O312" i="5" s="1"/>
  <c r="O300" i="5"/>
  <c r="O301" i="5" s="1"/>
  <c r="O292" i="5" s="1"/>
  <c r="F314" i="5"/>
  <c r="F308" i="5"/>
  <c r="F89" i="5"/>
  <c r="F150" i="5"/>
  <c r="L279" i="5"/>
  <c r="L89" i="5"/>
  <c r="CE107" i="5"/>
  <c r="DP147" i="5"/>
  <c r="BW6" i="5"/>
  <c r="BX6" i="5"/>
  <c r="BX261" i="5"/>
  <c r="R18" i="3"/>
  <c r="DM60" i="5"/>
  <c r="AE132" i="5"/>
  <c r="AE131" i="5" s="1"/>
  <c r="T63" i="5"/>
  <c r="CY63" i="5" s="1"/>
  <c r="CY197" i="5"/>
  <c r="AN299" i="5"/>
  <c r="AN65" i="5"/>
  <c r="DG270" i="5"/>
  <c r="DH287" i="5"/>
  <c r="DH269" i="5" s="1"/>
  <c r="V282" i="5"/>
  <c r="AV269" i="5"/>
  <c r="AV275" i="5" s="1"/>
  <c r="AJ269" i="5"/>
  <c r="AS142" i="5"/>
  <c r="AS303" i="2" s="1"/>
  <c r="AS305" i="2" s="1"/>
  <c r="AG142" i="5"/>
  <c r="X6" i="5"/>
  <c r="AU60" i="5"/>
  <c r="DL197" i="5"/>
  <c r="CC139" i="5"/>
  <c r="AV58" i="5"/>
  <c r="AV80" i="5" s="1"/>
  <c r="CH223" i="5"/>
  <c r="DO223" i="5" s="1"/>
  <c r="O116" i="3" s="1"/>
  <c r="CF144" i="1"/>
  <c r="CF143" i="1" s="1"/>
  <c r="BK107" i="5"/>
  <c r="BK129" i="5" s="1"/>
  <c r="F300" i="5"/>
  <c r="F301" i="5" s="1"/>
  <c r="AU269" i="5"/>
  <c r="AU275" i="5" s="1"/>
  <c r="AE173" i="5"/>
  <c r="AO65" i="5"/>
  <c r="AI108" i="5"/>
  <c r="AW300" i="5"/>
  <c r="DD48" i="5"/>
  <c r="BP144" i="1"/>
  <c r="BP143" i="1" s="1"/>
  <c r="CH144" i="1"/>
  <c r="CH143" i="1" s="1"/>
  <c r="CG144" i="1"/>
  <c r="CG143" i="1" s="1"/>
  <c r="CK132" i="5"/>
  <c r="CK131" i="5" s="1"/>
  <c r="DM102" i="5"/>
  <c r="BS10" i="5"/>
  <c r="BG10" i="5"/>
  <c r="DH150" i="5"/>
  <c r="AL259" i="5"/>
  <c r="AP142" i="5"/>
  <c r="AE142" i="5"/>
  <c r="AE139" i="5" s="1"/>
  <c r="DE83" i="5"/>
  <c r="BN128" i="5"/>
  <c r="BZ223" i="5"/>
  <c r="DM223" i="5" s="1"/>
  <c r="DB48" i="5"/>
  <c r="AW259" i="5"/>
  <c r="DG149" i="5"/>
  <c r="DO133" i="5"/>
  <c r="DO188" i="5"/>
  <c r="DL331" i="5"/>
  <c r="BF145" i="5"/>
  <c r="BF143" i="5" s="1"/>
  <c r="CX81" i="5"/>
  <c r="DF65" i="5"/>
  <c r="AO142" i="5"/>
  <c r="AO139" i="5" s="1"/>
  <c r="AD142" i="5"/>
  <c r="AD139" i="5" s="1"/>
  <c r="G6" i="5"/>
  <c r="AX284" i="2"/>
  <c r="BE143" i="5"/>
  <c r="DF142" i="5"/>
  <c r="CJ52" i="5"/>
  <c r="CJ73" i="5" s="1"/>
  <c r="BZ280" i="5"/>
  <c r="DK279" i="5"/>
  <c r="DK280" i="5" s="1"/>
  <c r="DI142" i="5"/>
  <c r="BR323" i="5"/>
  <c r="BR324" i="5" s="1"/>
  <c r="DK324" i="5" s="1"/>
  <c r="DK323" i="5" s="1"/>
  <c r="DK325" i="5" s="1"/>
  <c r="DC269" i="5"/>
  <c r="M300" i="5"/>
  <c r="AZ269" i="5"/>
  <c r="H52" i="5"/>
  <c r="C139" i="5"/>
  <c r="O18" i="5"/>
  <c r="O60" i="5" s="1"/>
  <c r="BB107" i="5"/>
  <c r="BN107" i="5"/>
  <c r="BH52" i="5"/>
  <c r="BH73" i="5" s="1"/>
  <c r="CI132" i="5"/>
  <c r="CI300" i="5"/>
  <c r="T85" i="5"/>
  <c r="CJ223" i="5"/>
  <c r="DP223" i="5" s="1"/>
  <c r="CC107" i="5"/>
  <c r="BN10" i="5"/>
  <c r="DJ135" i="5"/>
  <c r="BS309" i="2"/>
  <c r="O270" i="5"/>
  <c r="D285" i="5"/>
  <c r="D271" i="5" s="1"/>
  <c r="AO280" i="5"/>
  <c r="G52" i="5"/>
  <c r="G73" i="5" s="1"/>
  <c r="AM142" i="5"/>
  <c r="DF96" i="5"/>
  <c r="BK144" i="1"/>
  <c r="BK143" i="1" s="1"/>
  <c r="CB143" i="1"/>
  <c r="DN150" i="5"/>
  <c r="DM150" i="5"/>
  <c r="DM287" i="5"/>
  <c r="AI300" i="5"/>
  <c r="V132" i="5"/>
  <c r="AK337" i="5"/>
  <c r="AK340" i="5" s="1"/>
  <c r="AS143" i="5"/>
  <c r="AG143" i="5"/>
  <c r="J143" i="5"/>
  <c r="AL142" i="5"/>
  <c r="F270" i="5"/>
  <c r="U150" i="5"/>
  <c r="AM132" i="5"/>
  <c r="DC49" i="5"/>
  <c r="CC144" i="1"/>
  <c r="CC143" i="1" s="1"/>
  <c r="G129" i="5"/>
  <c r="BT259" i="5"/>
  <c r="DH133" i="5"/>
  <c r="DI331" i="5"/>
  <c r="DK229" i="5"/>
  <c r="DA337" i="5"/>
  <c r="AJ337" i="5"/>
  <c r="AJ340" i="5" s="1"/>
  <c r="N329" i="5"/>
  <c r="N332" i="5" s="1"/>
  <c r="AS259" i="5"/>
  <c r="AK142" i="5"/>
  <c r="CJ58" i="5"/>
  <c r="CJ80" i="5" s="1"/>
  <c r="CB85" i="5"/>
  <c r="BT10" i="5"/>
  <c r="DI96" i="5"/>
  <c r="M270" i="5"/>
  <c r="M275" i="5" s="1"/>
  <c r="AW322" i="5"/>
  <c r="AJ142" i="5"/>
  <c r="CY135" i="5"/>
  <c r="AC107" i="5"/>
  <c r="I89" i="5"/>
  <c r="BI107" i="5"/>
  <c r="DD49" i="5"/>
  <c r="CI260" i="5"/>
  <c r="DO134" i="5"/>
  <c r="CD280" i="5"/>
  <c r="DI119" i="5"/>
  <c r="R324" i="5"/>
  <c r="DB229" i="5"/>
  <c r="DB203" i="5"/>
  <c r="CY203" i="5"/>
  <c r="DC201" i="5"/>
  <c r="AS65" i="5"/>
  <c r="DC74" i="5"/>
  <c r="DB59" i="5"/>
  <c r="BC139" i="5"/>
  <c r="BC263" i="5" s="1"/>
  <c r="BW144" i="1"/>
  <c r="BW143" i="1" s="1"/>
  <c r="CJ132" i="5"/>
  <c r="Y132" i="5"/>
  <c r="AT269" i="5"/>
  <c r="CX203" i="5"/>
  <c r="AS52" i="5"/>
  <c r="AS73" i="5" s="1"/>
  <c r="M52" i="5"/>
  <c r="I134" i="5"/>
  <c r="I132" i="5" s="1"/>
  <c r="DG134" i="5"/>
  <c r="AY300" i="5"/>
  <c r="BT287" i="2"/>
  <c r="CY42" i="5"/>
  <c r="CY65" i="5"/>
  <c r="BG139" i="5"/>
  <c r="DK119" i="5"/>
  <c r="DK146" i="5"/>
  <c r="BR73" i="5"/>
  <c r="BW52" i="5"/>
  <c r="CJ107" i="5"/>
  <c r="N315" i="5"/>
  <c r="BS54" i="5"/>
  <c r="BS172" i="5"/>
  <c r="D77" i="5"/>
  <c r="AK54" i="5"/>
  <c r="AK172" i="5"/>
  <c r="BZ51" i="5"/>
  <c r="BZ75" i="5" s="1"/>
  <c r="BZ40" i="5"/>
  <c r="BN159" i="5"/>
  <c r="BN158" i="5"/>
  <c r="V316" i="5"/>
  <c r="W317" i="5"/>
  <c r="BR131" i="5"/>
  <c r="AC6" i="5"/>
  <c r="DA4" i="5"/>
  <c r="DJ150" i="5"/>
  <c r="DJ96" i="5"/>
  <c r="AD245" i="5"/>
  <c r="AD336" i="5"/>
  <c r="BD235" i="5"/>
  <c r="BD4" i="5"/>
  <c r="BD246" i="5"/>
  <c r="BD245" i="5"/>
  <c r="BD247" i="5"/>
  <c r="BD8" i="5"/>
  <c r="DN133" i="5"/>
  <c r="DN89" i="5"/>
  <c r="AK58" i="5"/>
  <c r="AK80" i="5" s="1"/>
  <c r="AK143" i="5"/>
  <c r="CG158" i="5"/>
  <c r="S247" i="5"/>
  <c r="S246" i="5"/>
  <c r="M259" i="5"/>
  <c r="BP172" i="5"/>
  <c r="CH129" i="5"/>
  <c r="DO129" i="5" s="1"/>
  <c r="DO107" i="5"/>
  <c r="DB15" i="5"/>
  <c r="AH10" i="5"/>
  <c r="Y318" i="5"/>
  <c r="G322" i="5"/>
  <c r="G300" i="5"/>
  <c r="CH172" i="5"/>
  <c r="CA131" i="5"/>
  <c r="CA264" i="5" s="1"/>
  <c r="CB53" i="5"/>
  <c r="DA141" i="5"/>
  <c r="DB287" i="5"/>
  <c r="DB269" i="5" s="1"/>
  <c r="DP100" i="5"/>
  <c r="CL229" i="5"/>
  <c r="BO280" i="5"/>
  <c r="BO270" i="5"/>
  <c r="BO275" i="5" s="1"/>
  <c r="T18" i="3"/>
  <c r="O103" i="3" s="1"/>
  <c r="DO60" i="5"/>
  <c r="K143" i="5"/>
  <c r="K138" i="5" s="1"/>
  <c r="K58" i="5"/>
  <c r="K80" i="5" s="1"/>
  <c r="DH148" i="5"/>
  <c r="DH102" i="5"/>
  <c r="AX52" i="5"/>
  <c r="AX143" i="5"/>
  <c r="CZ287" i="5"/>
  <c r="CZ269" i="5" s="1"/>
  <c r="CY141" i="5"/>
  <c r="DN308" i="2"/>
  <c r="DO146" i="1"/>
  <c r="DK287" i="5"/>
  <c r="DJ270" i="5"/>
  <c r="AI324" i="5"/>
  <c r="DC324" i="5" s="1"/>
  <c r="AH324" i="5"/>
  <c r="DB321" i="5"/>
  <c r="E246" i="5"/>
  <c r="CE239" i="5"/>
  <c r="V247" i="5"/>
  <c r="DN149" i="5"/>
  <c r="P315" i="5"/>
  <c r="CY95" i="5"/>
  <c r="V150" i="5"/>
  <c r="V89" i="5"/>
  <c r="AB18" i="5"/>
  <c r="AB60" i="5" s="1"/>
  <c r="DA20" i="5"/>
  <c r="AX18" i="5"/>
  <c r="AX274" i="5"/>
  <c r="AX259" i="5"/>
  <c r="DF19" i="5"/>
  <c r="DF259" i="5" s="1"/>
  <c r="CH54" i="5"/>
  <c r="BH313" i="5"/>
  <c r="BH311" i="5"/>
  <c r="DN135" i="5"/>
  <c r="DO133" i="1"/>
  <c r="DN102" i="5"/>
  <c r="BN308" i="5"/>
  <c r="BO301" i="5"/>
  <c r="BO292" i="5" s="1"/>
  <c r="BN328" i="5"/>
  <c r="BN322" i="5"/>
  <c r="DA142" i="5"/>
  <c r="DA298" i="5"/>
  <c r="DA300" i="5" s="1"/>
  <c r="AU63" i="5"/>
  <c r="AU81" i="5" s="1"/>
  <c r="DF197" i="5"/>
  <c r="AM81" i="5"/>
  <c r="L248" i="5"/>
  <c r="DH65" i="5"/>
  <c r="DH299" i="5"/>
  <c r="DI65" i="5"/>
  <c r="F324" i="5"/>
  <c r="F322" i="5"/>
  <c r="G324" i="5"/>
  <c r="BI274" i="5"/>
  <c r="BI18" i="5"/>
  <c r="BI261" i="5" s="1"/>
  <c r="X310" i="5"/>
  <c r="X309" i="5" s="1"/>
  <c r="W330" i="5"/>
  <c r="W329" i="5" s="1"/>
  <c r="W332" i="5" s="1"/>
  <c r="T300" i="5"/>
  <c r="T307" i="5"/>
  <c r="T308" i="5" s="1"/>
  <c r="T314" i="5"/>
  <c r="K308" i="5"/>
  <c r="K314" i="5"/>
  <c r="DM149" i="5"/>
  <c r="DN137" i="1"/>
  <c r="DK277" i="5"/>
  <c r="DJ140" i="5"/>
  <c r="DK69" i="5"/>
  <c r="DJ69" i="5"/>
  <c r="DJ89" i="5"/>
  <c r="DJ279" i="5"/>
  <c r="DJ280" i="5" s="1"/>
  <c r="BL280" i="5"/>
  <c r="BL270" i="5"/>
  <c r="BC270" i="5"/>
  <c r="BC280" i="5"/>
  <c r="E172" i="5"/>
  <c r="G270" i="5"/>
  <c r="DN140" i="5"/>
  <c r="CG173" i="5"/>
  <c r="DL188" i="5"/>
  <c r="DK144" i="5"/>
  <c r="AV128" i="5"/>
  <c r="AG322" i="5"/>
  <c r="U309" i="5"/>
  <c r="U331" i="5"/>
  <c r="U329" i="5" s="1"/>
  <c r="U332" i="5" s="1"/>
  <c r="I329" i="5"/>
  <c r="I332" i="5" s="1"/>
  <c r="AI150" i="5"/>
  <c r="AI119" i="5"/>
  <c r="CF141" i="1"/>
  <c r="DC280" i="5"/>
  <c r="DC270" i="5"/>
  <c r="H312" i="5"/>
  <c r="CZ144" i="5"/>
  <c r="CZ188" i="5"/>
  <c r="DG19" i="5"/>
  <c r="BB18" i="5"/>
  <c r="DK146" i="1"/>
  <c r="DK144" i="1" s="1"/>
  <c r="DK143" i="1" s="1"/>
  <c r="DJ149" i="5"/>
  <c r="BZ52" i="5"/>
  <c r="BY52" i="5"/>
  <c r="CZ65" i="5"/>
  <c r="CY229" i="5"/>
  <c r="CZ201" i="5"/>
  <c r="AJ52" i="5"/>
  <c r="AK52" i="5"/>
  <c r="K312" i="5"/>
  <c r="CI107" i="5"/>
  <c r="DC142" i="5"/>
  <c r="DC299" i="5"/>
  <c r="DC300" i="5" s="1"/>
  <c r="AI51" i="5"/>
  <c r="DC41" i="5"/>
  <c r="DC168" i="5" s="1"/>
  <c r="DK309" i="2"/>
  <c r="CE280" i="5"/>
  <c r="Q134" i="5"/>
  <c r="Q108" i="5"/>
  <c r="Q128" i="5" s="1"/>
  <c r="CG40" i="5"/>
  <c r="S108" i="5"/>
  <c r="S128" i="5" s="1"/>
  <c r="S134" i="5"/>
  <c r="AA134" i="5"/>
  <c r="AA132" i="5" s="1"/>
  <c r="J332" i="5"/>
  <c r="AI280" i="5"/>
  <c r="DD197" i="5"/>
  <c r="AP63" i="5"/>
  <c r="AP81" i="5" s="1"/>
  <c r="AC143" i="5"/>
  <c r="J312" i="5"/>
  <c r="CG51" i="5"/>
  <c r="CG75" i="5" s="1"/>
  <c r="CF107" i="5"/>
  <c r="DM144" i="5"/>
  <c r="DN188" i="5"/>
  <c r="DK142" i="5"/>
  <c r="DK65" i="5"/>
  <c r="DK299" i="5"/>
  <c r="G173" i="5"/>
  <c r="X322" i="5"/>
  <c r="X328" i="5" s="1"/>
  <c r="Y324" i="5"/>
  <c r="K324" i="5"/>
  <c r="L324" i="5"/>
  <c r="CX63" i="5"/>
  <c r="P119" i="5"/>
  <c r="P150" i="5"/>
  <c r="BF139" i="5"/>
  <c r="BR303" i="2"/>
  <c r="BR305" i="2" s="1"/>
  <c r="BR85" i="5"/>
  <c r="BY107" i="5"/>
  <c r="X324" i="5"/>
  <c r="W324" i="5"/>
  <c r="CZ324" i="5" s="1"/>
  <c r="L314" i="5"/>
  <c r="AD269" i="5"/>
  <c r="DM142" i="5"/>
  <c r="K329" i="5"/>
  <c r="K332" i="5" s="1"/>
  <c r="M285" i="5"/>
  <c r="M271" i="5" s="1"/>
  <c r="BG239" i="5"/>
  <c r="AY143" i="5"/>
  <c r="AY138" i="5" s="1"/>
  <c r="AY137" i="5" s="1"/>
  <c r="AW58" i="5"/>
  <c r="AW80" i="5" s="1"/>
  <c r="DJ142" i="5"/>
  <c r="DR310" i="5"/>
  <c r="F8" i="5"/>
  <c r="S329" i="5"/>
  <c r="S332" i="5" s="1"/>
  <c r="G312" i="5"/>
  <c r="U285" i="5"/>
  <c r="U271" i="5" s="1"/>
  <c r="AU132" i="5"/>
  <c r="DN142" i="5"/>
  <c r="DN303" i="2" s="1"/>
  <c r="BT85" i="5"/>
  <c r="BS303" i="2"/>
  <c r="BS305" i="2" s="1"/>
  <c r="BS139" i="5"/>
  <c r="F329" i="5"/>
  <c r="F332" i="5" s="1"/>
  <c r="T285" i="5"/>
  <c r="T271" i="5" s="1"/>
  <c r="H285" i="5"/>
  <c r="H271" i="5" s="1"/>
  <c r="AO275" i="5"/>
  <c r="N52" i="5"/>
  <c r="CY4" i="5"/>
  <c r="DO142" i="5"/>
  <c r="G285" i="5"/>
  <c r="G271" i="5" s="1"/>
  <c r="I128" i="5"/>
  <c r="F10" i="5"/>
  <c r="DO270" i="5"/>
  <c r="DP287" i="5"/>
  <c r="AR337" i="5"/>
  <c r="AF337" i="5"/>
  <c r="AF340" i="5" s="1"/>
  <c r="F285" i="5"/>
  <c r="F271" i="5" s="1"/>
  <c r="AQ337" i="5"/>
  <c r="AE337" i="5"/>
  <c r="AE340" i="5" s="1"/>
  <c r="Q285" i="5"/>
  <c r="Q271" i="5" s="1"/>
  <c r="E285" i="5"/>
  <c r="E271" i="5" s="1"/>
  <c r="AF108" i="5"/>
  <c r="AF298" i="5"/>
  <c r="AF142" i="5"/>
  <c r="DB141" i="5"/>
  <c r="AW287" i="2"/>
  <c r="C51" i="5"/>
  <c r="C75" i="5" s="1"/>
  <c r="C13" i="5"/>
  <c r="M312" i="5"/>
  <c r="CY74" i="5"/>
  <c r="DH142" i="5"/>
  <c r="AN337" i="5"/>
  <c r="AN340" i="5" s="1"/>
  <c r="L312" i="5"/>
  <c r="AN142" i="5"/>
  <c r="AN298" i="5"/>
  <c r="BH128" i="5"/>
  <c r="BH129" i="5" s="1"/>
  <c r="V142" i="5"/>
  <c r="V260" i="5" s="1"/>
  <c r="AS287" i="2"/>
  <c r="AH51" i="5"/>
  <c r="AR142" i="5"/>
  <c r="BP139" i="5"/>
  <c r="AS337" i="5"/>
  <c r="BW305" i="2"/>
  <c r="J85" i="5"/>
  <c r="BE85" i="5"/>
  <c r="CD85" i="5"/>
  <c r="CK309" i="2"/>
  <c r="BY309" i="2"/>
  <c r="AK298" i="5"/>
  <c r="X18" i="5"/>
  <c r="AB64" i="5"/>
  <c r="DA64" i="5" s="1"/>
  <c r="AZ287" i="2"/>
  <c r="AW305" i="2"/>
  <c r="BI305" i="2"/>
  <c r="CK269" i="5"/>
  <c r="AY287" i="2"/>
  <c r="AU285" i="2"/>
  <c r="AU287" i="2" s="1"/>
  <c r="BQ287" i="2"/>
  <c r="BS287" i="2"/>
  <c r="AM89" i="5"/>
  <c r="AM107" i="5" s="1"/>
  <c r="BP287" i="2"/>
  <c r="CF309" i="2"/>
  <c r="CK139" i="5"/>
  <c r="AV287" i="2"/>
  <c r="BB139" i="5"/>
  <c r="BB263" i="5" s="1"/>
  <c r="CD303" i="2"/>
  <c r="CK303" i="2"/>
  <c r="DS2" i="1"/>
  <c r="DS300" i="1" s="1"/>
  <c r="W10" i="3" s="1"/>
  <c r="CJ304" i="2"/>
  <c r="CJ305" i="2" s="1"/>
  <c r="CJ291" i="2"/>
  <c r="CJ96" i="2"/>
  <c r="CJ86" i="2" s="1"/>
  <c r="CJ286" i="2"/>
  <c r="CJ287" i="2" s="1"/>
  <c r="AT117" i="6"/>
  <c r="AT160" i="6"/>
  <c r="AC20" i="3"/>
  <c r="AC21" i="3" s="1"/>
  <c r="AO21" i="3"/>
  <c r="G3" i="3"/>
  <c r="F34" i="3"/>
  <c r="F59" i="3" s="1"/>
  <c r="I7" i="3"/>
  <c r="D54" i="3"/>
  <c r="H54" i="3"/>
  <c r="AP21" i="3"/>
  <c r="E7" i="3"/>
  <c r="O87" i="3"/>
  <c r="AD12" i="3"/>
  <c r="AD13" i="3" s="1"/>
  <c r="O9" i="3"/>
  <c r="BE101" i="6"/>
  <c r="BP301" i="1"/>
  <c r="BF301" i="1"/>
  <c r="BH301" i="1"/>
  <c r="AV301" i="1"/>
  <c r="BA333" i="5"/>
  <c r="DB323" i="5"/>
  <c r="DO311" i="5"/>
  <c r="DO309" i="5" s="1"/>
  <c r="BM305" i="2"/>
  <c r="BG301" i="1"/>
  <c r="L331" i="5"/>
  <c r="L329" i="5" s="1"/>
  <c r="L332" i="5" s="1"/>
  <c r="BK73" i="6"/>
  <c r="DT311" i="5"/>
  <c r="DU331" i="5"/>
  <c r="DU96" i="2"/>
  <c r="DU311" i="5"/>
  <c r="BO73" i="6"/>
  <c r="AS117" i="6"/>
  <c r="AS160" i="6"/>
  <c r="DU284" i="5"/>
  <c r="CI96" i="2"/>
  <c r="CI86" i="2" s="1"/>
  <c r="CI286" i="2"/>
  <c r="CI287" i="2" s="1"/>
  <c r="CY14" i="8"/>
  <c r="CL3" i="2" s="1"/>
  <c r="CI304" i="2"/>
  <c r="CI305" i="2" s="1"/>
  <c r="CX14" i="8"/>
  <c r="CK3" i="2" s="1"/>
  <c r="CB96" i="2"/>
  <c r="CB86" i="2" s="1"/>
  <c r="AL117" i="6"/>
  <c r="CJ2" i="1"/>
  <c r="CJ2" i="2" s="1"/>
  <c r="CJ354" i="1"/>
  <c r="AL150" i="6"/>
  <c r="AL68" i="6"/>
  <c r="AL51" i="6" s="1"/>
  <c r="CB304" i="2"/>
  <c r="CB284" i="5"/>
  <c r="AL69" i="6"/>
  <c r="AL52" i="6" s="1"/>
  <c r="AL73" i="6"/>
  <c r="AL56" i="6" s="1"/>
  <c r="CB331" i="5"/>
  <c r="AM68" i="6"/>
  <c r="AM51" i="6" s="1"/>
  <c r="AM117" i="6"/>
  <c r="CC291" i="2"/>
  <c r="CC304" i="2"/>
  <c r="AM69" i="6"/>
  <c r="AM52" i="6" s="1"/>
  <c r="CC286" i="2"/>
  <c r="AM160" i="6"/>
  <c r="AM150" i="6"/>
  <c r="CC284" i="5"/>
  <c r="CC96" i="2"/>
  <c r="CC86" i="2" s="1"/>
  <c r="AM151" i="6"/>
  <c r="CC331" i="5"/>
  <c r="AM73" i="6"/>
  <c r="AM56" i="6" s="1"/>
  <c r="AK117" i="6"/>
  <c r="CA331" i="5"/>
  <c r="CD354" i="1"/>
  <c r="CK96" i="2"/>
  <c r="CK86" i="2" s="1"/>
  <c r="CK286" i="2"/>
  <c r="CK291" i="2"/>
  <c r="AK68" i="6"/>
  <c r="AK51" i="6" s="1"/>
  <c r="AK152" i="6"/>
  <c r="BI73" i="6"/>
  <c r="DO331" i="5"/>
  <c r="DN304" i="2"/>
  <c r="BW86" i="2"/>
  <c r="AI110" i="6"/>
  <c r="AI92" i="6" s="1"/>
  <c r="AE331" i="5"/>
  <c r="DB331" i="5" s="1"/>
  <c r="DJ86" i="2"/>
  <c r="H331" i="5"/>
  <c r="H329" i="5" s="1"/>
  <c r="H332" i="5" s="1"/>
  <c r="F309" i="5"/>
  <c r="F312" i="5" s="1"/>
  <c r="AW301" i="1"/>
  <c r="BR301" i="1"/>
  <c r="AE145" i="6"/>
  <c r="CK304" i="2"/>
  <c r="AZ305" i="2"/>
  <c r="CB2" i="1"/>
  <c r="CB2" i="2" s="1"/>
  <c r="CO14" i="8"/>
  <c r="CB3" i="2" s="1"/>
  <c r="AU117" i="6"/>
  <c r="CB311" i="5"/>
  <c r="AU160" i="6"/>
  <c r="AU301" i="1"/>
  <c r="CG291" i="2"/>
  <c r="CB291" i="2"/>
  <c r="BJ73" i="6"/>
  <c r="AG110" i="6"/>
  <c r="AG92" i="6" s="1"/>
  <c r="I14" i="9"/>
  <c r="CP14" i="8"/>
  <c r="CC3" i="2" s="1"/>
  <c r="CG2" i="1"/>
  <c r="CG2" i="2" s="1"/>
  <c r="CB286" i="2"/>
  <c r="CB287" i="2" s="1"/>
  <c r="BK301" i="1"/>
  <c r="S309" i="5"/>
  <c r="BL305" i="2"/>
  <c r="E331" i="5"/>
  <c r="E329" i="5" s="1"/>
  <c r="E332" i="5" s="1"/>
  <c r="BF151" i="6"/>
  <c r="AB111" i="6"/>
  <c r="AB93" i="6" s="1"/>
  <c r="BE93" i="6" s="1"/>
  <c r="AY301" i="1"/>
  <c r="BV301" i="1"/>
  <c r="CG96" i="2"/>
  <c r="CG86" i="2" s="1"/>
  <c r="BD333" i="5"/>
  <c r="CF86" i="2"/>
  <c r="CF354" i="1"/>
  <c r="DM91" i="2"/>
  <c r="BZ86" i="2"/>
  <c r="CE286" i="2"/>
  <c r="CE287" i="2" s="1"/>
  <c r="CE284" i="5" s="1"/>
  <c r="AR301" i="1"/>
  <c r="DH385" i="1"/>
  <c r="DI385" i="1" s="1"/>
  <c r="DJ385" i="1" s="1"/>
  <c r="DK385" i="1" s="1"/>
  <c r="DL385" i="1" s="1"/>
  <c r="DM385" i="1" s="1"/>
  <c r="DN385" i="1" s="1"/>
  <c r="DO385" i="1" s="1"/>
  <c r="DP385" i="1" s="1"/>
  <c r="DQ385" i="1" s="1"/>
  <c r="AT313" i="5"/>
  <c r="AO73" i="6"/>
  <c r="AO68" i="6"/>
  <c r="AO51" i="6" s="1"/>
  <c r="AK160" i="6"/>
  <c r="BG151" i="6"/>
  <c r="CE311" i="5"/>
  <c r="AT301" i="1"/>
  <c r="DE311" i="5"/>
  <c r="R331" i="5"/>
  <c r="R329" i="5" s="1"/>
  <c r="R332" i="5" s="1"/>
  <c r="CX323" i="5"/>
  <c r="C331" i="5"/>
  <c r="C329" i="5" s="1"/>
  <c r="AF106" i="6"/>
  <c r="AF88" i="6" s="1"/>
  <c r="DN96" i="2"/>
  <c r="AK153" i="6"/>
  <c r="CA286" i="2"/>
  <c r="CA287" i="2" s="1"/>
  <c r="CE96" i="2"/>
  <c r="AO160" i="6"/>
  <c r="BS301" i="1"/>
  <c r="AH100" i="6"/>
  <c r="CE304" i="2"/>
  <c r="CE305" i="2" s="1"/>
  <c r="BO305" i="2"/>
  <c r="DN311" i="5"/>
  <c r="DN309" i="5" s="1"/>
  <c r="BJ160" i="6"/>
  <c r="AO117" i="6"/>
  <c r="G331" i="5"/>
  <c r="G329" i="5" s="1"/>
  <c r="G332" i="5" s="1"/>
  <c r="DC311" i="5"/>
  <c r="DC313" i="5" s="1"/>
  <c r="DA284" i="5"/>
  <c r="BO301" i="1"/>
  <c r="BU301" i="1"/>
  <c r="BF148" i="6"/>
  <c r="J12" i="9"/>
  <c r="J9" i="9" s="1"/>
  <c r="AK150" i="6"/>
  <c r="CA284" i="5"/>
  <c r="CE331" i="5"/>
  <c r="BE89" i="6"/>
  <c r="M331" i="5"/>
  <c r="M329" i="5" s="1"/>
  <c r="M332" i="5" s="1"/>
  <c r="CA304" i="2"/>
  <c r="CF331" i="5"/>
  <c r="AQ385" i="1"/>
  <c r="AQ386" i="1" s="1"/>
  <c r="DG284" i="5"/>
  <c r="CA96" i="2"/>
  <c r="AK151" i="6"/>
  <c r="CA311" i="5"/>
  <c r="DQ2" i="1"/>
  <c r="DP2" i="2" s="1"/>
  <c r="CF305" i="2"/>
  <c r="Q331" i="5"/>
  <c r="Q329" i="5" s="1"/>
  <c r="Q332" i="5" s="1"/>
  <c r="DK284" i="5"/>
  <c r="DM287" i="2"/>
  <c r="CC2" i="1"/>
  <c r="CC2" i="2" s="1"/>
  <c r="CN14" i="8"/>
  <c r="CA3" i="2" s="1"/>
  <c r="AK73" i="6"/>
  <c r="AK56" i="6" s="1"/>
  <c r="CG304" i="2"/>
  <c r="CG305" i="2" s="1"/>
  <c r="CD291" i="2"/>
  <c r="BH73" i="6"/>
  <c r="DP331" i="5"/>
  <c r="AK69" i="6"/>
  <c r="AK52" i="6" s="1"/>
  <c r="CA2" i="1"/>
  <c r="CA2" i="2" s="1"/>
  <c r="AQ160" i="6"/>
  <c r="AR323" i="5"/>
  <c r="AR325" i="5" s="1"/>
  <c r="BE98" i="6"/>
  <c r="BQ86" i="2"/>
  <c r="N309" i="5"/>
  <c r="N312" i="5" s="1"/>
  <c r="DA323" i="5"/>
  <c r="CV14" i="8"/>
  <c r="CI3" i="2" s="1"/>
  <c r="DM86" i="2"/>
  <c r="BG91" i="2"/>
  <c r="AZ313" i="5"/>
  <c r="O331" i="5"/>
  <c r="O329" i="5" s="1"/>
  <c r="O332" i="5" s="1"/>
  <c r="DC284" i="5"/>
  <c r="CZ284" i="5"/>
  <c r="BE301" i="1"/>
  <c r="W323" i="5"/>
  <c r="CZ323" i="5" s="1"/>
  <c r="AK98" i="6"/>
  <c r="AL98" i="6" s="1"/>
  <c r="AL80" i="6" s="1"/>
  <c r="BA301" i="1"/>
  <c r="BL86" i="2"/>
  <c r="DM284" i="5"/>
  <c r="DE284" i="5"/>
  <c r="AA96" i="6"/>
  <c r="BN301" i="1"/>
  <c r="BF99" i="6"/>
  <c r="BF103" i="6"/>
  <c r="CW14" i="8"/>
  <c r="CJ3" i="2" s="1"/>
  <c r="CC311" i="5"/>
  <c r="AJ313" i="5"/>
  <c r="DC331" i="5"/>
  <c r="BE50" i="6"/>
  <c r="DR311" i="5"/>
  <c r="AH99" i="6"/>
  <c r="AH108" i="6" s="1"/>
  <c r="AH90" i="6" s="1"/>
  <c r="AF110" i="6"/>
  <c r="AF92" i="6" s="1"/>
  <c r="DK91" i="2"/>
  <c r="CY311" i="5"/>
  <c r="CY313" i="5" s="1"/>
  <c r="DI284" i="5"/>
  <c r="AB106" i="6"/>
  <c r="AB88" i="6" s="1"/>
  <c r="BF149" i="6"/>
  <c r="BT301" i="1"/>
  <c r="BL73" i="6"/>
  <c r="DR331" i="5"/>
  <c r="DM311" i="5"/>
  <c r="DM309" i="5" s="1"/>
  <c r="DA311" i="5"/>
  <c r="DA333" i="5" s="1"/>
  <c r="BJ301" i="1"/>
  <c r="AJ82" i="6"/>
  <c r="BG82" i="6" s="1"/>
  <c r="AK333" i="5"/>
  <c r="AB145" i="6"/>
  <c r="DP96" i="2"/>
  <c r="Z90" i="6"/>
  <c r="BE90" i="6" s="1"/>
  <c r="BE108" i="6"/>
  <c r="DS311" i="5"/>
  <c r="DS331" i="5"/>
  <c r="DS96" i="2"/>
  <c r="BM73" i="6"/>
  <c r="DS291" i="2"/>
  <c r="DS290" i="2" s="1"/>
  <c r="BM160" i="6"/>
  <c r="K6" i="9"/>
  <c r="DS286" i="2"/>
  <c r="DS304" i="2"/>
  <c r="L13" i="9"/>
  <c r="AD88" i="6"/>
  <c r="AH112" i="6"/>
  <c r="AH94" i="6" s="1"/>
  <c r="AI103" i="6"/>
  <c r="AS301" i="1"/>
  <c r="DD284" i="5"/>
  <c r="BG100" i="6"/>
  <c r="AJ107" i="6"/>
  <c r="AJ89" i="6" s="1"/>
  <c r="AG112" i="6"/>
  <c r="AG94" i="6" s="1"/>
  <c r="BE99" i="6"/>
  <c r="AZ301" i="1"/>
  <c r="AJ118" i="6"/>
  <c r="AA109" i="6"/>
  <c r="AA91" i="6" s="1"/>
  <c r="AA87" i="6" s="1"/>
  <c r="CN15" i="8"/>
  <c r="CO15" i="8" s="1"/>
  <c r="CP15" i="8" s="1"/>
  <c r="CQ15" i="8" s="1"/>
  <c r="CR15" i="8" s="1"/>
  <c r="CS15" i="8" s="1"/>
  <c r="CT15" i="8" s="1"/>
  <c r="CU15" i="8" s="1"/>
  <c r="CV15" i="8" s="1"/>
  <c r="CW15" i="8" s="1"/>
  <c r="CX15" i="8" s="1"/>
  <c r="CY15" i="8" s="1"/>
  <c r="AQ117" i="6"/>
  <c r="DR286" i="2"/>
  <c r="DB311" i="5"/>
  <c r="DB313" i="5" s="1"/>
  <c r="AJ80" i="6"/>
  <c r="BG80" i="6" s="1"/>
  <c r="AB112" i="6"/>
  <c r="AB94" i="6" s="1"/>
  <c r="DC339" i="5"/>
  <c r="AT91" i="2"/>
  <c r="DB284" i="5"/>
  <c r="DP311" i="5"/>
  <c r="DP309" i="5" s="1"/>
  <c r="CQ14" i="8"/>
  <c r="CD3" i="2" s="1"/>
  <c r="CH304" i="2"/>
  <c r="DR291" i="2"/>
  <c r="DR290" i="2" s="1"/>
  <c r="CX284" i="5"/>
  <c r="CX282" i="5" s="1"/>
  <c r="AC331" i="5"/>
  <c r="T309" i="5"/>
  <c r="AI106" i="6"/>
  <c r="AI88" i="6" s="1"/>
  <c r="BL301" i="1"/>
  <c r="BB301" i="1"/>
  <c r="DL311" i="5"/>
  <c r="DL309" i="5" s="1"/>
  <c r="AC96" i="6"/>
  <c r="X331" i="5"/>
  <c r="DH284" i="5"/>
  <c r="BJ91" i="2"/>
  <c r="BE54" i="6"/>
  <c r="CH291" i="2"/>
  <c r="DK311" i="5"/>
  <c r="DK309" i="5" s="1"/>
  <c r="CZ311" i="5"/>
  <c r="DD323" i="5"/>
  <c r="BI301" i="1"/>
  <c r="AJ333" i="5"/>
  <c r="AI96" i="6"/>
  <c r="BF98" i="6"/>
  <c r="BE107" i="6"/>
  <c r="BO86" i="2"/>
  <c r="I309" i="5"/>
  <c r="I312" i="5" s="1"/>
  <c r="BM301" i="1"/>
  <c r="BP86" i="2"/>
  <c r="BF146" i="6"/>
  <c r="AI145" i="6"/>
  <c r="CF287" i="2"/>
  <c r="CF284" i="5" s="1"/>
  <c r="BE53" i="6"/>
  <c r="DC323" i="5"/>
  <c r="AI111" i="6"/>
  <c r="AI93" i="6" s="1"/>
  <c r="DL284" i="5"/>
  <c r="AR117" i="6"/>
  <c r="DB339" i="5"/>
  <c r="AX301" i="1"/>
  <c r="DF284" i="5"/>
  <c r="N30" i="6"/>
  <c r="BD311" i="5" s="1"/>
  <c r="BI86" i="2"/>
  <c r="CH96" i="2"/>
  <c r="AR160" i="6"/>
  <c r="CG331" i="5"/>
  <c r="AU323" i="5"/>
  <c r="BB323" i="5"/>
  <c r="AV323" i="5"/>
  <c r="AZ323" i="5"/>
  <c r="BI323" i="5"/>
  <c r="BC323" i="5"/>
  <c r="BE323" i="5"/>
  <c r="BF323" i="5"/>
  <c r="AT323" i="5"/>
  <c r="AX323" i="5"/>
  <c r="BA323" i="5"/>
  <c r="BJ323" i="5"/>
  <c r="AW323" i="5"/>
  <c r="BH323" i="5"/>
  <c r="BK323" i="5"/>
  <c r="BK324" i="5" s="1"/>
  <c r="DJ324" i="5" s="1"/>
  <c r="DJ323" i="5" s="1"/>
  <c r="DJ325" i="5" s="1"/>
  <c r="BD323" i="5"/>
  <c r="AY323" i="5"/>
  <c r="AH107" i="6"/>
  <c r="AD91" i="6"/>
  <c r="BG323" i="5"/>
  <c r="AL101" i="6"/>
  <c r="AK110" i="6"/>
  <c r="AM100" i="6"/>
  <c r="AL82" i="6"/>
  <c r="AK82" i="6"/>
  <c r="AF111" i="6"/>
  <c r="AF93" i="6" s="1"/>
  <c r="AB96" i="6"/>
  <c r="BE96" i="6" s="1"/>
  <c r="AF96" i="6"/>
  <c r="BF96" i="6" s="1"/>
  <c r="AC107" i="6"/>
  <c r="BE100" i="6"/>
  <c r="BF91" i="2"/>
  <c r="CY284" i="5"/>
  <c r="BE110" i="6"/>
  <c r="AB92" i="6"/>
  <c r="BE92" i="6" s="1"/>
  <c r="AG96" i="6"/>
  <c r="AE96" i="6"/>
  <c r="BN160" i="6"/>
  <c r="DT291" i="2"/>
  <c r="DT290" i="2" s="1"/>
  <c r="DT286" i="2"/>
  <c r="DT96" i="2"/>
  <c r="DT304" i="2"/>
  <c r="L6" i="9"/>
  <c r="DT331" i="5"/>
  <c r="BN73" i="6"/>
  <c r="AK102" i="6"/>
  <c r="AC93" i="6"/>
  <c r="BG101" i="6"/>
  <c r="AJ110" i="6"/>
  <c r="AJ92" i="6" s="1"/>
  <c r="AK81" i="6"/>
  <c r="AL99" i="6"/>
  <c r="BF100" i="6"/>
  <c r="AF109" i="6"/>
  <c r="AF91" i="6" s="1"/>
  <c r="BG99" i="6"/>
  <c r="AJ81" i="6"/>
  <c r="AD108" i="6"/>
  <c r="AD96" i="6"/>
  <c r="AG88" i="6"/>
  <c r="AG145" i="6"/>
  <c r="DU291" i="2"/>
  <c r="DU290" i="2" s="1"/>
  <c r="DU289" i="2" s="1"/>
  <c r="DU284" i="2" s="1"/>
  <c r="DU285" i="2" s="1"/>
  <c r="BO160" i="6"/>
  <c r="DU286" i="2"/>
  <c r="M6" i="9"/>
  <c r="DU304" i="2"/>
  <c r="D331" i="5"/>
  <c r="D329" i="5" s="1"/>
  <c r="D332" i="5" s="1"/>
  <c r="D309" i="5"/>
  <c r="D312" i="5" s="1"/>
  <c r="BG149" i="6"/>
  <c r="BG97" i="6"/>
  <c r="AK97" i="6"/>
  <c r="AJ79" i="6"/>
  <c r="AJ106" i="6"/>
  <c r="CR14" i="8"/>
  <c r="CE3" i="2" s="1"/>
  <c r="CE354" i="1"/>
  <c r="CE2" i="1"/>
  <c r="CE2" i="2" s="1"/>
  <c r="BI160" i="6"/>
  <c r="DO291" i="2"/>
  <c r="DO286" i="2"/>
  <c r="DO96" i="2"/>
  <c r="BE146" i="6"/>
  <c r="P331" i="5"/>
  <c r="P309" i="5"/>
  <c r="CX311" i="5"/>
  <c r="CX309" i="5" s="1"/>
  <c r="DJ284" i="5"/>
  <c r="DN291" i="2"/>
  <c r="BH160" i="6"/>
  <c r="DN331" i="5"/>
  <c r="DN286" i="2"/>
  <c r="I6" i="9"/>
  <c r="BK160" i="6"/>
  <c r="Z94" i="6"/>
  <c r="BS86" i="2"/>
  <c r="BC301" i="1"/>
  <c r="BF152" i="6"/>
  <c r="AA49" i="6"/>
  <c r="Z96" i="6"/>
  <c r="Z106" i="6"/>
  <c r="DO304" i="2"/>
  <c r="DE91" i="2"/>
  <c r="AH145" i="6"/>
  <c r="DR96" i="2"/>
  <c r="CG286" i="2"/>
  <c r="CG287" i="2" s="1"/>
  <c r="CG284" i="5" s="1"/>
  <c r="I12" i="9"/>
  <c r="I9" i="9" s="1"/>
  <c r="I24" i="9" s="1"/>
  <c r="AD145" i="6"/>
  <c r="J6" i="9"/>
  <c r="BL160" i="6"/>
  <c r="BU86" i="2"/>
  <c r="AC145" i="6"/>
  <c r="CG91" i="2"/>
  <c r="CU14" i="8"/>
  <c r="CH3" i="2" s="1"/>
  <c r="DP286" i="2"/>
  <c r="AN73" i="6"/>
  <c r="AN56" i="6" s="1"/>
  <c r="BX287" i="2"/>
  <c r="CD284" i="5"/>
  <c r="DP291" i="2"/>
  <c r="AN69" i="6"/>
  <c r="AN52" i="6" s="1"/>
  <c r="CD304" i="2"/>
  <c r="CD311" i="5"/>
  <c r="AN160" i="6"/>
  <c r="BU287" i="2"/>
  <c r="CD331" i="5"/>
  <c r="CD96" i="2"/>
  <c r="CD86" i="2" s="1"/>
  <c r="CD286" i="2"/>
  <c r="AN68" i="6"/>
  <c r="AN51" i="6" s="1"/>
  <c r="AN150" i="6"/>
  <c r="CS14" i="8"/>
  <c r="CF3" i="2" s="1"/>
  <c r="AN117" i="6"/>
  <c r="BY287" i="2"/>
  <c r="CT14" i="8"/>
  <c r="CG3" i="2" s="1"/>
  <c r="CL12" i="5"/>
  <c r="CK33" i="2"/>
  <c r="DP16" i="2"/>
  <c r="CL46" i="2"/>
  <c r="CL72" i="2"/>
  <c r="CK125" i="2"/>
  <c r="CK130" i="2"/>
  <c r="CK132" i="2" s="1"/>
  <c r="CK61" i="2"/>
  <c r="CK62" i="2" s="1"/>
  <c r="CK49" i="2"/>
  <c r="CK41" i="2"/>
  <c r="CC285" i="2"/>
  <c r="CC19" i="5"/>
  <c r="CC259" i="5" s="1"/>
  <c r="CC294" i="2"/>
  <c r="CD284" i="2"/>
  <c r="DN284" i="2" s="1"/>
  <c r="CC281" i="2"/>
  <c r="CC282" i="2" s="1"/>
  <c r="CH312" i="2"/>
  <c r="AV9" i="2"/>
  <c r="AV100" i="2" s="1"/>
  <c r="BJ9" i="2"/>
  <c r="BJ100" i="2" s="1"/>
  <c r="BJ43" i="2"/>
  <c r="AW43" i="2"/>
  <c r="AW151" i="2"/>
  <c r="AV152" i="2"/>
  <c r="BN10" i="2"/>
  <c r="BT152" i="2"/>
  <c r="DP152" i="2" s="1"/>
  <c r="BT42" i="2"/>
  <c r="BU153" i="2"/>
  <c r="DQ153" i="2" s="1"/>
  <c r="BJ153" i="2"/>
  <c r="DI153" i="2" s="1"/>
  <c r="BD11" i="2"/>
  <c r="BI42" i="2"/>
  <c r="BE151" i="2"/>
  <c r="AY152" i="2"/>
  <c r="BP153" i="2"/>
  <c r="DL153" i="2" s="1"/>
  <c r="BP9" i="2"/>
  <c r="BK50" i="2"/>
  <c r="BL51" i="2"/>
  <c r="CF48" i="2"/>
  <c r="CF40" i="2"/>
  <c r="BK148" i="2"/>
  <c r="BF9" i="2"/>
  <c r="BF100" i="2" s="1"/>
  <c r="BK51" i="2"/>
  <c r="BL42" i="2"/>
  <c r="BF172" i="2"/>
  <c r="BF42" i="2"/>
  <c r="BF176" i="2"/>
  <c r="BF188" i="2"/>
  <c r="DM200" i="2"/>
  <c r="DM168" i="2"/>
  <c r="BP42" i="2"/>
  <c r="CI34" i="2"/>
  <c r="CG30" i="2"/>
  <c r="CF101" i="2"/>
  <c r="CJ101" i="2"/>
  <c r="CF130" i="2"/>
  <c r="BR101" i="2"/>
  <c r="BR130" i="2"/>
  <c r="BQ181" i="1"/>
  <c r="DF198" i="2"/>
  <c r="DE161" i="2"/>
  <c r="CG131" i="2"/>
  <c r="CH181" i="1"/>
  <c r="CH131" i="2"/>
  <c r="CB50" i="2"/>
  <c r="CD125" i="2"/>
  <c r="CD65" i="2"/>
  <c r="CD66" i="2"/>
  <c r="CB132" i="2"/>
  <c r="CB181" i="1"/>
  <c r="CB131" i="2"/>
  <c r="BZ66" i="2"/>
  <c r="BY125" i="2"/>
  <c r="BY65" i="2"/>
  <c r="BY130" i="2"/>
  <c r="CC65" i="2"/>
  <c r="BY66" i="2"/>
  <c r="BV131" i="2"/>
  <c r="DK161" i="2"/>
  <c r="DK85" i="2"/>
  <c r="DK86" i="2" s="1"/>
  <c r="DL85" i="2"/>
  <c r="DL86" i="2" s="1"/>
  <c r="DN64" i="2"/>
  <c r="DN85" i="2"/>
  <c r="CH33" i="2"/>
  <c r="CH35" i="2" s="1"/>
  <c r="CI33" i="2"/>
  <c r="BQ265" i="2"/>
  <c r="BQ26" i="2"/>
  <c r="BR264" i="2"/>
  <c r="DK264" i="2" s="1"/>
  <c r="DK265" i="2" s="1"/>
  <c r="DP124" i="2"/>
  <c r="CL127" i="2"/>
  <c r="CC214" i="1"/>
  <c r="BB50" i="2"/>
  <c r="AX9" i="2"/>
  <c r="AX100" i="2" s="1"/>
  <c r="BV21" i="2"/>
  <c r="BV115" i="2"/>
  <c r="BW203" i="2"/>
  <c r="BV167" i="2"/>
  <c r="BW200" i="2"/>
  <c r="BT125" i="2"/>
  <c r="BT66" i="2"/>
  <c r="BT130" i="2"/>
  <c r="BU66" i="2"/>
  <c r="BT65" i="2"/>
  <c r="BX40" i="2"/>
  <c r="BX48" i="2"/>
  <c r="DI161" i="2"/>
  <c r="CH101" i="2"/>
  <c r="CI49" i="2"/>
  <c r="DN99" i="2"/>
  <c r="CH61" i="1"/>
  <c r="CH62" i="1" s="1"/>
  <c r="DO21" i="2"/>
  <c r="BF274" i="2"/>
  <c r="DM7" i="2"/>
  <c r="BS101" i="2"/>
  <c r="BW101" i="2"/>
  <c r="DK99" i="2"/>
  <c r="BP281" i="2"/>
  <c r="BP282" i="2" s="1"/>
  <c r="BP20" i="5"/>
  <c r="BP260" i="5" s="1"/>
  <c r="CB197" i="2"/>
  <c r="DL201" i="2"/>
  <c r="CF66" i="2"/>
  <c r="CI65" i="2"/>
  <c r="CB200" i="2"/>
  <c r="BX281" i="2"/>
  <c r="BX282" i="2" s="1"/>
  <c r="BX21" i="2"/>
  <c r="BX249" i="2"/>
  <c r="BY249" i="2"/>
  <c r="BX241" i="2"/>
  <c r="BY252" i="2"/>
  <c r="BY90" i="2"/>
  <c r="BY91" i="2" s="1"/>
  <c r="BW197" i="2"/>
  <c r="DN255" i="2"/>
  <c r="DJ64" i="2"/>
  <c r="DK65" i="2" s="1"/>
  <c r="CG101" i="2"/>
  <c r="CE65" i="2"/>
  <c r="CC101" i="2"/>
  <c r="BX20" i="5"/>
  <c r="BX260" i="5" s="1"/>
  <c r="BX65" i="2"/>
  <c r="BM197" i="2"/>
  <c r="BM200" i="2"/>
  <c r="BL115" i="2"/>
  <c r="BL21" i="2"/>
  <c r="BP167" i="2"/>
  <c r="CJ30" i="2"/>
  <c r="DN163" i="2"/>
  <c r="DM118" i="2"/>
  <c r="BS167" i="2"/>
  <c r="BP197" i="2"/>
  <c r="DN207" i="2"/>
  <c r="CA167" i="2"/>
  <c r="CB203" i="2"/>
  <c r="CA115" i="2"/>
  <c r="CA21" i="2"/>
  <c r="BT281" i="2"/>
  <c r="BT282" i="2" s="1"/>
  <c r="DL297" i="2"/>
  <c r="DL285" i="2"/>
  <c r="DL287" i="2" s="1"/>
  <c r="DL19" i="5"/>
  <c r="BN130" i="2"/>
  <c r="BN65" i="2"/>
  <c r="BN66" i="2"/>
  <c r="BO66" i="2"/>
  <c r="BN125" i="2"/>
  <c r="BR65" i="2"/>
  <c r="BN69" i="2"/>
  <c r="CI41" i="2"/>
  <c r="CI16" i="2"/>
  <c r="DO126" i="2"/>
  <c r="CI101" i="2"/>
  <c r="CI61" i="2"/>
  <c r="DO201" i="2"/>
  <c r="DO200" i="2"/>
  <c r="BZ167" i="2"/>
  <c r="BX101" i="2"/>
  <c r="BX242" i="2"/>
  <c r="AS209" i="2"/>
  <c r="AS213" i="2" s="1"/>
  <c r="BV101" i="2"/>
  <c r="DI126" i="2"/>
  <c r="DH163" i="2"/>
  <c r="DH201" i="2"/>
  <c r="DC65" i="2"/>
  <c r="DD65" i="2"/>
  <c r="DH118" i="2"/>
  <c r="DH241" i="2"/>
  <c r="DI252" i="2"/>
  <c r="DI249" i="2"/>
  <c r="DI99" i="2"/>
  <c r="DI217" i="2"/>
  <c r="BI23" i="2"/>
  <c r="CZ197" i="2"/>
  <c r="CY214" i="2"/>
  <c r="CW185" i="2"/>
  <c r="CW181" i="2"/>
  <c r="CW192" i="2"/>
  <c r="CW111" i="2"/>
  <c r="CW177" i="2"/>
  <c r="CW39" i="2"/>
  <c r="CW41" i="2"/>
  <c r="DM64" i="2"/>
  <c r="DM125" i="2" s="1"/>
  <c r="BZ30" i="2"/>
  <c r="CD167" i="2"/>
  <c r="CD61" i="2"/>
  <c r="BV20" i="5"/>
  <c r="BV260" i="5" s="1"/>
  <c r="DL161" i="2"/>
  <c r="BP21" i="2"/>
  <c r="BP115" i="2"/>
  <c r="BQ197" i="2"/>
  <c r="BQ200" i="2"/>
  <c r="DJ161" i="2"/>
  <c r="DI246" i="2"/>
  <c r="DL198" i="2"/>
  <c r="DI72" i="2"/>
  <c r="DI94" i="2"/>
  <c r="DJ94" i="2"/>
  <c r="DH72" i="2"/>
  <c r="DH94" i="2"/>
  <c r="AR131" i="2"/>
  <c r="AR181" i="1"/>
  <c r="DL99" i="2"/>
  <c r="DL217" i="2"/>
  <c r="DI90" i="2"/>
  <c r="DI91" i="2" s="1"/>
  <c r="DH99" i="2"/>
  <c r="BQ281" i="2"/>
  <c r="BQ282" i="2" s="1"/>
  <c r="BQ20" i="5"/>
  <c r="BQ260" i="5" s="1"/>
  <c r="CZ200" i="2"/>
  <c r="CW189" i="2"/>
  <c r="DI241" i="2"/>
  <c r="BE131" i="2"/>
  <c r="DD50" i="2"/>
  <c r="DD108" i="2"/>
  <c r="DI125" i="2"/>
  <c r="DB166" i="2"/>
  <c r="BV66" i="2"/>
  <c r="DK118" i="2"/>
  <c r="DH64" i="2"/>
  <c r="DD56" i="2"/>
  <c r="DC56" i="2"/>
  <c r="BS27" i="2"/>
  <c r="BS31" i="2" s="1"/>
  <c r="BW61" i="1"/>
  <c r="BW62" i="1" s="1"/>
  <c r="BW27" i="2"/>
  <c r="BW31" i="2" s="1"/>
  <c r="BW23" i="2"/>
  <c r="BW22" i="2"/>
  <c r="BB297" i="2"/>
  <c r="BM69" i="2"/>
  <c r="BM125" i="2"/>
  <c r="BM130" i="2"/>
  <c r="BQ132" i="2" s="1"/>
  <c r="BM65" i="2"/>
  <c r="BS281" i="2"/>
  <c r="BS282" i="2" s="1"/>
  <c r="BQ66" i="2"/>
  <c r="BQ125" i="2"/>
  <c r="BK215" i="2"/>
  <c r="BJ203" i="2"/>
  <c r="DK234" i="2"/>
  <c r="DD76" i="2"/>
  <c r="DC201" i="2"/>
  <c r="DC231" i="2"/>
  <c r="DC163" i="2"/>
  <c r="BA263" i="2"/>
  <c r="AZ268" i="2"/>
  <c r="DI198" i="2"/>
  <c r="DI163" i="2"/>
  <c r="DJ122" i="2"/>
  <c r="DJ234" i="2"/>
  <c r="DD166" i="2"/>
  <c r="AR285" i="2"/>
  <c r="AR287" i="2" s="1"/>
  <c r="AR281" i="2"/>
  <c r="AR282" i="2" s="1"/>
  <c r="AT101" i="2"/>
  <c r="AX101" i="2"/>
  <c r="DH314" i="2"/>
  <c r="BQ40" i="2"/>
  <c r="BQ48" i="2"/>
  <c r="DJ201" i="2"/>
  <c r="BI115" i="2"/>
  <c r="DI118" i="2"/>
  <c r="BO131" i="2"/>
  <c r="DJ198" i="2"/>
  <c r="DJ118" i="2"/>
  <c r="BF65" i="2"/>
  <c r="BF66" i="2"/>
  <c r="BF125" i="2"/>
  <c r="BJ65" i="2"/>
  <c r="DA101" i="2"/>
  <c r="DA100" i="2"/>
  <c r="DB101" i="2"/>
  <c r="CZ107" i="2"/>
  <c r="CY108" i="2"/>
  <c r="BI130" i="2"/>
  <c r="BG130" i="2"/>
  <c r="DB39" i="2"/>
  <c r="DB47" i="2" s="1"/>
  <c r="DB11" i="2"/>
  <c r="CX194" i="2"/>
  <c r="CU11" i="2"/>
  <c r="AT321" i="2"/>
  <c r="AS312" i="2"/>
  <c r="DB131" i="2"/>
  <c r="DB133" i="2"/>
  <c r="DB132" i="2"/>
  <c r="AW181" i="1"/>
  <c r="AW131" i="2"/>
  <c r="DF255" i="2"/>
  <c r="DF252" i="2"/>
  <c r="DF249" i="2"/>
  <c r="AZ231" i="2"/>
  <c r="AZ230" i="2"/>
  <c r="BD230" i="2"/>
  <c r="CW173" i="2"/>
  <c r="AS201" i="2"/>
  <c r="AS204" i="2"/>
  <c r="AS198" i="2"/>
  <c r="AR69" i="2"/>
  <c r="AR166" i="2"/>
  <c r="AR214" i="2" s="1"/>
  <c r="AR85" i="2"/>
  <c r="AR86" i="2" s="1"/>
  <c r="AS85" i="2"/>
  <c r="AS86" i="2" s="1"/>
  <c r="DA143" i="2"/>
  <c r="DD132" i="2"/>
  <c r="AU130" i="2"/>
  <c r="DF7" i="2"/>
  <c r="DE7" i="2"/>
  <c r="CU47" i="2"/>
  <c r="CU100" i="2"/>
  <c r="DE76" i="2"/>
  <c r="AR204" i="2"/>
  <c r="AQ161" i="2"/>
  <c r="AR198" i="2"/>
  <c r="BN166" i="2"/>
  <c r="BN21" i="2" s="1"/>
  <c r="BN164" i="2"/>
  <c r="BM164" i="2"/>
  <c r="CX108" i="2"/>
  <c r="DF166" i="2"/>
  <c r="AV181" i="1"/>
  <c r="AW90" i="2"/>
  <c r="AW91" i="2" s="1"/>
  <c r="AX246" i="2"/>
  <c r="AX90" i="2"/>
  <c r="AX91" i="2" s="1"/>
  <c r="AW241" i="2"/>
  <c r="AW249" i="2"/>
  <c r="AX252" i="2"/>
  <c r="AX69" i="2"/>
  <c r="AX118" i="2"/>
  <c r="AW238" i="2"/>
  <c r="AY230" i="2"/>
  <c r="AY142" i="2"/>
  <c r="AY166" i="2"/>
  <c r="AY222" i="2" s="1"/>
  <c r="AY161" i="2"/>
  <c r="AZ198" i="2"/>
  <c r="AZ85" i="2"/>
  <c r="AZ86" i="2" s="1"/>
  <c r="BC161" i="2"/>
  <c r="AZ201" i="2"/>
  <c r="AY69" i="2"/>
  <c r="AY85" i="2"/>
  <c r="AY86" i="2" s="1"/>
  <c r="AS217" i="2"/>
  <c r="AS99" i="2"/>
  <c r="DE114" i="2"/>
  <c r="DE99" i="2" s="1"/>
  <c r="DF101" i="2" s="1"/>
  <c r="CW107" i="2"/>
  <c r="CV107" i="2"/>
  <c r="CV108" i="2"/>
  <c r="AT64" i="2"/>
  <c r="AT85" i="2"/>
  <c r="AT86" i="2" s="1"/>
  <c r="DB81" i="2"/>
  <c r="DA81" i="2"/>
  <c r="AZ66" i="2"/>
  <c r="BD65" i="2"/>
  <c r="AZ65" i="2"/>
  <c r="AZ130" i="2"/>
  <c r="BH273" i="2"/>
  <c r="BI264" i="2"/>
  <c r="BI273" i="2" s="1"/>
  <c r="BH26" i="2"/>
  <c r="BH265" i="2"/>
  <c r="BF61" i="1"/>
  <c r="BF62" i="1" s="1"/>
  <c r="DB157" i="2"/>
  <c r="CZ11" i="2"/>
  <c r="CX50" i="2"/>
  <c r="DC39" i="2"/>
  <c r="BA164" i="2"/>
  <c r="BA166" i="2"/>
  <c r="AY238" i="2"/>
  <c r="AY118" i="2"/>
  <c r="CV39" i="2"/>
  <c r="DB231" i="2"/>
  <c r="DB76" i="2"/>
  <c r="AR201" i="2"/>
  <c r="AR101" i="2"/>
  <c r="AV101" i="2"/>
  <c r="DF314" i="2"/>
  <c r="DF229" i="2"/>
  <c r="CZ100" i="2"/>
  <c r="CX189" i="2"/>
  <c r="CX230" i="2"/>
  <c r="P18" i="5"/>
  <c r="DD198" i="2"/>
  <c r="BN203" i="2"/>
  <c r="BN197" i="2"/>
  <c r="BN200" i="2"/>
  <c r="BM21" i="2"/>
  <c r="CZ125" i="2"/>
  <c r="DG229" i="2"/>
  <c r="DC131" i="2"/>
  <c r="DC133" i="2"/>
  <c r="DC132" i="2"/>
  <c r="AT252" i="2"/>
  <c r="AT246" i="2"/>
  <c r="AS90" i="2"/>
  <c r="AS91" i="2" s="1"/>
  <c r="AT255" i="2"/>
  <c r="AW204" i="2"/>
  <c r="AZ161" i="2"/>
  <c r="AV161" i="2"/>
  <c r="AW201" i="2"/>
  <c r="AV166" i="2"/>
  <c r="BE101" i="2"/>
  <c r="BA130" i="2"/>
  <c r="CX77" i="2"/>
  <c r="CY77" i="2"/>
  <c r="AW125" i="2"/>
  <c r="AW69" i="2"/>
  <c r="AW66" i="2"/>
  <c r="BA65" i="2"/>
  <c r="CZ7" i="2"/>
  <c r="CY7" i="2"/>
  <c r="DI122" i="2"/>
  <c r="DI234" i="2"/>
  <c r="CY42" i="2"/>
  <c r="CX185" i="2"/>
  <c r="CX42" i="2"/>
  <c r="CX41" i="2"/>
  <c r="CX39" i="2"/>
  <c r="DB230" i="2"/>
  <c r="DA140" i="2"/>
  <c r="BH241" i="2"/>
  <c r="BE252" i="2"/>
  <c r="BD241" i="2"/>
  <c r="BD90" i="2"/>
  <c r="BD91" i="2" s="1"/>
  <c r="BE246" i="2"/>
  <c r="BE249" i="2"/>
  <c r="DC19" i="5"/>
  <c r="AW118" i="2"/>
  <c r="AV238" i="2"/>
  <c r="DB161" i="2"/>
  <c r="BH303" i="2"/>
  <c r="BH305" i="2" s="1"/>
  <c r="BH291" i="5"/>
  <c r="AX321" i="2"/>
  <c r="AX312" i="2" s="1"/>
  <c r="AV118" i="2"/>
  <c r="AU238" i="2"/>
  <c r="AU118" i="2"/>
  <c r="DE229" i="2"/>
  <c r="DE140" i="2" s="1"/>
  <c r="CV132" i="2"/>
  <c r="CW132" i="2"/>
  <c r="BC101" i="2"/>
  <c r="BC130" i="2"/>
  <c r="BO246" i="2"/>
  <c r="BO90" i="2"/>
  <c r="BO91" i="2" s="1"/>
  <c r="BN241" i="2"/>
  <c r="BN239" i="2"/>
  <c r="BO249" i="2"/>
  <c r="BO252" i="2"/>
  <c r="BR241" i="2"/>
  <c r="AU303" i="2"/>
  <c r="AU305" i="2" s="1"/>
  <c r="AX299" i="2"/>
  <c r="DF299" i="2" s="1"/>
  <c r="BF284" i="2"/>
  <c r="BD19" i="5"/>
  <c r="BD285" i="2"/>
  <c r="BD287" i="2" s="1"/>
  <c r="AZ211" i="2"/>
  <c r="BA210" i="2"/>
  <c r="AV231" i="2"/>
  <c r="AV142" i="2"/>
  <c r="AV230" i="2"/>
  <c r="CZ163" i="2"/>
  <c r="CZ198" i="2"/>
  <c r="BJ125" i="2"/>
  <c r="BK66" i="2"/>
  <c r="BN252" i="2"/>
  <c r="BN249" i="2"/>
  <c r="BN246" i="2"/>
  <c r="BM90" i="2"/>
  <c r="BM91" i="2" s="1"/>
  <c r="BQ241" i="2"/>
  <c r="BN90" i="2"/>
  <c r="BN91" i="2" s="1"/>
  <c r="BM242" i="2"/>
  <c r="AQ85" i="2"/>
  <c r="AQ86" i="2" s="1"/>
  <c r="AS41" i="2"/>
  <c r="AV151" i="2" s="1"/>
  <c r="BD101" i="2"/>
  <c r="AZ101" i="2"/>
  <c r="BH249" i="2"/>
  <c r="BG242" i="2"/>
  <c r="BK241" i="2"/>
  <c r="BH252" i="2"/>
  <c r="BH246" i="2"/>
  <c r="BG241" i="2"/>
  <c r="BH90" i="2"/>
  <c r="BH91" i="2" s="1"/>
  <c r="BL101" i="2"/>
  <c r="BJ101" i="2"/>
  <c r="DF122" i="2"/>
  <c r="DD231" i="2"/>
  <c r="AQ90" i="2"/>
  <c r="AQ91" i="2" s="1"/>
  <c r="AR255" i="2"/>
  <c r="AQ238" i="2"/>
  <c r="AR118" i="2"/>
  <c r="DB234" i="2"/>
  <c r="DA122" i="2"/>
  <c r="CW231" i="2"/>
  <c r="BD125" i="2"/>
  <c r="BD130" i="2"/>
  <c r="BM212" i="2"/>
  <c r="BL218" i="2"/>
  <c r="BL219" i="2" s="1"/>
  <c r="AN18" i="5"/>
  <c r="AT241" i="2"/>
  <c r="S18" i="5"/>
  <c r="S274" i="5"/>
  <c r="AU198" i="2"/>
  <c r="AU85" i="2"/>
  <c r="AU86" i="2" s="1"/>
  <c r="AT161" i="2"/>
  <c r="AU204" i="2"/>
  <c r="DB107" i="2"/>
  <c r="BM279" i="2"/>
  <c r="BM270" i="2"/>
  <c r="BN266" i="2"/>
  <c r="DJ266" i="2" s="1"/>
  <c r="DL234" i="2"/>
  <c r="DD230" i="2"/>
  <c r="AU246" i="2"/>
  <c r="AX241" i="2"/>
  <c r="DC161" i="2"/>
  <c r="AU69" i="2"/>
  <c r="AC274" i="5"/>
  <c r="AC18" i="5"/>
  <c r="CW11" i="2"/>
  <c r="BA297" i="2"/>
  <c r="BA281" i="2" s="1"/>
  <c r="BA282" i="2" s="1"/>
  <c r="BA303" i="2"/>
  <c r="BA305" i="2" s="1"/>
  <c r="BA161" i="2"/>
  <c r="BB204" i="2"/>
  <c r="BB201" i="2"/>
  <c r="BG101" i="2"/>
  <c r="BY26" i="2"/>
  <c r="BZ264" i="2"/>
  <c r="BZ273" i="2" s="1"/>
  <c r="BZ274" i="2" s="1"/>
  <c r="AU291" i="5"/>
  <c r="AZ297" i="2"/>
  <c r="AZ281" i="2" s="1"/>
  <c r="AZ282" i="2" s="1"/>
  <c r="AZ291" i="5"/>
  <c r="DF126" i="2"/>
  <c r="BJ297" i="2"/>
  <c r="BG299" i="2"/>
  <c r="BG20" i="5"/>
  <c r="BN101" i="2"/>
  <c r="BP246" i="2"/>
  <c r="BP90" i="2"/>
  <c r="BP91" i="2" s="1"/>
  <c r="BO242" i="2"/>
  <c r="BP249" i="2"/>
  <c r="BH212" i="2"/>
  <c r="BS241" i="2"/>
  <c r="BP33" i="2"/>
  <c r="BR34" i="2"/>
  <c r="BE273" i="2"/>
  <c r="BQ273" i="2"/>
  <c r="DF240" i="2"/>
  <c r="AY90" i="2"/>
  <c r="AY91" i="2" s="1"/>
  <c r="BG224" i="2"/>
  <c r="BK242" i="2"/>
  <c r="BV203" i="2"/>
  <c r="BK101" i="2"/>
  <c r="BU264" i="2"/>
  <c r="BU273" i="2" s="1"/>
  <c r="BU274" i="2" s="1"/>
  <c r="BT273" i="2"/>
  <c r="CA222" i="2"/>
  <c r="BT270" i="2"/>
  <c r="BT279" i="2"/>
  <c r="BV197" i="2"/>
  <c r="BU21" i="2"/>
  <c r="CB90" i="2"/>
  <c r="CB91" i="2" s="1"/>
  <c r="CC90" i="2"/>
  <c r="CC91" i="2" s="1"/>
  <c r="CB242" i="2"/>
  <c r="CC249" i="2"/>
  <c r="CB249" i="2"/>
  <c r="CF241" i="2"/>
  <c r="CC242" i="2"/>
  <c r="BL130" i="2"/>
  <c r="BQ242" i="2"/>
  <c r="BT265" i="2"/>
  <c r="CC264" i="2"/>
  <c r="CC273" i="2" s="1"/>
  <c r="CB265" i="2"/>
  <c r="CB26" i="2"/>
  <c r="BB241" i="2"/>
  <c r="AY252" i="2"/>
  <c r="BI241" i="2"/>
  <c r="BG249" i="2"/>
  <c r="BK246" i="2"/>
  <c r="BQ167" i="2"/>
  <c r="BP242" i="2"/>
  <c r="BU241" i="2"/>
  <c r="BR197" i="2"/>
  <c r="BX279" i="2"/>
  <c r="BY266" i="2"/>
  <c r="BY21" i="2"/>
  <c r="BZ90" i="2"/>
  <c r="BZ91" i="2" s="1"/>
  <c r="BZ252" i="2"/>
  <c r="BZ242" i="2"/>
  <c r="DA49" i="5"/>
  <c r="DL258" i="2"/>
  <c r="BJ252" i="2"/>
  <c r="BL203" i="2"/>
  <c r="BM249" i="2"/>
  <c r="BQ252" i="2"/>
  <c r="BU167" i="2"/>
  <c r="BS249" i="2"/>
  <c r="BR21" i="2"/>
  <c r="BR239" i="2"/>
  <c r="BU61" i="2"/>
  <c r="BU36" i="2"/>
  <c r="BU16" i="2"/>
  <c r="BU17" i="2" s="1"/>
  <c r="BW252" i="2"/>
  <c r="BV90" i="2"/>
  <c r="BV91" i="2" s="1"/>
  <c r="BV241" i="2"/>
  <c r="BV239" i="2"/>
  <c r="BW90" i="2"/>
  <c r="BW91" i="2" s="1"/>
  <c r="BX34" i="2"/>
  <c r="BV33" i="2"/>
  <c r="BW33" i="2"/>
  <c r="BW35" i="2" s="1"/>
  <c r="AZ273" i="2"/>
  <c r="CB222" i="2"/>
  <c r="DN258" i="2"/>
  <c r="BY273" i="2"/>
  <c r="BK252" i="2"/>
  <c r="BQ249" i="2"/>
  <c r="CA41" i="2"/>
  <c r="CA16" i="2"/>
  <c r="CA17" i="2" s="1"/>
  <c r="CA61" i="2"/>
  <c r="DO258" i="2"/>
  <c r="BH279" i="2"/>
  <c r="BJ239" i="2"/>
  <c r="BS252" i="2"/>
  <c r="DM19" i="5"/>
  <c r="BU266" i="2"/>
  <c r="DD238" i="2"/>
  <c r="BP34" i="2"/>
  <c r="BN33" i="2"/>
  <c r="BN35" i="2" s="1"/>
  <c r="BO33" i="2"/>
  <c r="BX33" i="2"/>
  <c r="CB30" i="2"/>
  <c r="BX30" i="2"/>
  <c r="BY33" i="2"/>
  <c r="BY35" i="2" s="1"/>
  <c r="BG222" i="2"/>
  <c r="BS222" i="2"/>
  <c r="AW221" i="2"/>
  <c r="BZ19" i="5"/>
  <c r="BZ259" i="5" s="1"/>
  <c r="DK59" i="2"/>
  <c r="CJ197" i="2"/>
  <c r="CJ242" i="2"/>
  <c r="G260" i="5"/>
  <c r="CK212" i="2"/>
  <c r="CK104" i="2" s="1"/>
  <c r="CC241" i="2"/>
  <c r="BL33" i="2"/>
  <c r="BL35" i="2" s="1"/>
  <c r="DK16" i="2"/>
  <c r="CI167" i="2"/>
  <c r="DP56" i="2"/>
  <c r="BL273" i="2"/>
  <c r="BL278" i="2" s="1"/>
  <c r="H260" i="5"/>
  <c r="CK241" i="2"/>
  <c r="CD276" i="2"/>
  <c r="CF203" i="2"/>
  <c r="DK56" i="2"/>
  <c r="CK242" i="2"/>
  <c r="BY305" i="2"/>
  <c r="CG276" i="2"/>
  <c r="CJ249" i="2"/>
  <c r="BX265" i="2"/>
  <c r="CJ241" i="2"/>
  <c r="CI222" i="2"/>
  <c r="CJ270" i="2"/>
  <c r="CK266" i="2"/>
  <c r="BY218" i="2"/>
  <c r="BU250" i="2"/>
  <c r="CD242" i="2"/>
  <c r="CE276" i="2"/>
  <c r="CJ90" i="2"/>
  <c r="BZ212" i="2"/>
  <c r="BP305" i="2"/>
  <c r="CG249" i="2"/>
  <c r="CC21" i="2"/>
  <c r="CD90" i="2"/>
  <c r="CJ276" i="2"/>
  <c r="CJ273" i="2"/>
  <c r="CJ278" i="2" s="1"/>
  <c r="CJ277" i="2"/>
  <c r="CI273" i="2"/>
  <c r="CI276" i="2"/>
  <c r="CI250" i="2"/>
  <c r="CJ250" i="2"/>
  <c r="CK256" i="2"/>
  <c r="CL210" i="2"/>
  <c r="CL212" i="2" s="1"/>
  <c r="CK204" i="2"/>
  <c r="CK197" i="2"/>
  <c r="CL197" i="2" s="1"/>
  <c r="CL196" i="2" s="1"/>
  <c r="DP72" i="2"/>
  <c r="DP94" i="2"/>
  <c r="CK65" i="2"/>
  <c r="CJ66" i="2"/>
  <c r="CJ65" i="2"/>
  <c r="CJ130" i="2"/>
  <c r="CJ125" i="2"/>
  <c r="CK66" i="2"/>
  <c r="DP59" i="2"/>
  <c r="CJ234" i="5"/>
  <c r="CI191" i="5"/>
  <c r="DP188" i="5"/>
  <c r="DP197" i="5"/>
  <c r="H23" i="9" s="1"/>
  <c r="H25" i="9" s="1"/>
  <c r="CJ300" i="5"/>
  <c r="CK300" i="5"/>
  <c r="CI290" i="2"/>
  <c r="CI292" i="2" s="1"/>
  <c r="CJ290" i="2"/>
  <c r="CI81" i="5"/>
  <c r="DP213" i="5"/>
  <c r="P110" i="3" s="1"/>
  <c r="BP263" i="5"/>
  <c r="AR85" i="5"/>
  <c r="BD85" i="5"/>
  <c r="BH263" i="5"/>
  <c r="AR303" i="2"/>
  <c r="AR305" i="2" s="1"/>
  <c r="T260" i="5"/>
  <c r="BC85" i="5"/>
  <c r="BF85" i="5"/>
  <c r="BE303" i="2"/>
  <c r="BE305" i="2" s="1"/>
  <c r="CB303" i="2"/>
  <c r="CB260" i="5"/>
  <c r="BN303" i="2"/>
  <c r="BN305" i="2" s="1"/>
  <c r="I260" i="5"/>
  <c r="J260" i="5"/>
  <c r="BE139" i="5"/>
  <c r="CD260" i="5"/>
  <c r="CC303" i="2"/>
  <c r="CB139" i="5"/>
  <c r="BQ85" i="5"/>
  <c r="F260" i="5"/>
  <c r="U260" i="5"/>
  <c r="CC260" i="5"/>
  <c r="BB260" i="5"/>
  <c r="BP85" i="5"/>
  <c r="I85" i="5"/>
  <c r="BQ303" i="2"/>
  <c r="BQ305" i="2" s="1"/>
  <c r="AZ263" i="5"/>
  <c r="CG138" i="5"/>
  <c r="CG137" i="5" s="1"/>
  <c r="BQ139" i="5"/>
  <c r="BD303" i="2"/>
  <c r="BD305" i="2" s="1"/>
  <c r="BD139" i="5"/>
  <c r="CA260" i="5"/>
  <c r="BZ139" i="5"/>
  <c r="H85" i="5"/>
  <c r="G85" i="5"/>
  <c r="CC85" i="5"/>
  <c r="BN261" i="5"/>
  <c r="BZ85" i="5"/>
  <c r="BZ303" i="2"/>
  <c r="BZ305" i="2" s="1"/>
  <c r="DR100" i="5"/>
  <c r="CK308" i="1"/>
  <c r="CL308" i="1"/>
  <c r="CP309" i="1" s="1"/>
  <c r="DQ224" i="1"/>
  <c r="DQ321" i="1" s="1"/>
  <c r="DS245" i="1"/>
  <c r="DT245" i="1" s="1"/>
  <c r="DU245" i="1" s="1"/>
  <c r="DV245" i="1" s="1"/>
  <c r="DQ246" i="1"/>
  <c r="CK115" i="1"/>
  <c r="CL247" i="1"/>
  <c r="DQ247" i="1" s="1"/>
  <c r="DQ248" i="1" s="1"/>
  <c r="CK121" i="1"/>
  <c r="CK112" i="1"/>
  <c r="CK257" i="1"/>
  <c r="CK286" i="1"/>
  <c r="CK288" i="1" s="1"/>
  <c r="CK290" i="1" s="1"/>
  <c r="CK401" i="1"/>
  <c r="CL401" i="1" s="1"/>
  <c r="CK265" i="1"/>
  <c r="CK266" i="1" s="1"/>
  <c r="CK395" i="1"/>
  <c r="CK74" i="1"/>
  <c r="CU74" i="1" s="1"/>
  <c r="CU26" i="1"/>
  <c r="CU277" i="1" s="1"/>
  <c r="CK15" i="1"/>
  <c r="CK19" i="1" s="1"/>
  <c r="CK270" i="1"/>
  <c r="CL237" i="1"/>
  <c r="DQ237" i="1" s="1"/>
  <c r="DQ235" i="1"/>
  <c r="CK370" i="1"/>
  <c r="CK375" i="1"/>
  <c r="CL262" i="1"/>
  <c r="DQ225" i="1"/>
  <c r="CL226" i="1"/>
  <c r="CK188" i="1"/>
  <c r="DP12" i="5"/>
  <c r="DQ85" i="1"/>
  <c r="CK58" i="1"/>
  <c r="CK59" i="1" s="1"/>
  <c r="CK357" i="1"/>
  <c r="CK83" i="1"/>
  <c r="CU83" i="1" s="1"/>
  <c r="CK28" i="1"/>
  <c r="CK31" i="1"/>
  <c r="CK16" i="2"/>
  <c r="CK36" i="2"/>
  <c r="CK35" i="1"/>
  <c r="CK27" i="1"/>
  <c r="CK43" i="1"/>
  <c r="CK38" i="1"/>
  <c r="CK49" i="1" s="1"/>
  <c r="CK12" i="1"/>
  <c r="CK8" i="1" s="1"/>
  <c r="CK5" i="1"/>
  <c r="CK4" i="1"/>
  <c r="CK48" i="2"/>
  <c r="CK40" i="2"/>
  <c r="CK3" i="5"/>
  <c r="O6" i="12"/>
  <c r="C24" i="4"/>
  <c r="DQ324" i="5" l="1"/>
  <c r="DQ323" i="5" s="1"/>
  <c r="DQ325" i="5" s="1"/>
  <c r="AX145" i="6"/>
  <c r="AY49" i="6"/>
  <c r="AY58" i="6" s="1"/>
  <c r="CP295" i="5"/>
  <c r="AW145" i="6"/>
  <c r="DQ332" i="5"/>
  <c r="CJ91" i="2"/>
  <c r="DT405" i="1"/>
  <c r="DT300" i="1"/>
  <c r="X10" i="3" s="1"/>
  <c r="I11" i="4"/>
  <c r="I10" i="4"/>
  <c r="D5" i="4" s="1"/>
  <c r="C28" i="4" s="1"/>
  <c r="DR385" i="1"/>
  <c r="DS385" i="1" s="1"/>
  <c r="DT385" i="1" s="1"/>
  <c r="AW49" i="6"/>
  <c r="AW58" i="6" s="1"/>
  <c r="CP86" i="2"/>
  <c r="CP91" i="2"/>
  <c r="CO86" i="2"/>
  <c r="CO91" i="2"/>
  <c r="CN86" i="2"/>
  <c r="CN91" i="2"/>
  <c r="CM295" i="5"/>
  <c r="DQ312" i="5"/>
  <c r="CM86" i="2"/>
  <c r="CM91" i="2"/>
  <c r="AZ49" i="6"/>
  <c r="AZ58" i="6" s="1"/>
  <c r="AZ145" i="6"/>
  <c r="CO295" i="5"/>
  <c r="AY145" i="6"/>
  <c r="AX49" i="6"/>
  <c r="AX58" i="6" s="1"/>
  <c r="CN295" i="5"/>
  <c r="AK7" i="3"/>
  <c r="AR7" i="3"/>
  <c r="N7" i="3"/>
  <c r="O7" i="3"/>
  <c r="Q3" i="3"/>
  <c r="P34" i="3"/>
  <c r="P59" i="3" s="1"/>
  <c r="CP12" i="5"/>
  <c r="DR82" i="1"/>
  <c r="CJ240" i="5"/>
  <c r="AW153" i="2"/>
  <c r="DA40" i="5"/>
  <c r="I248" i="5"/>
  <c r="BW51" i="2"/>
  <c r="BX51" i="2"/>
  <c r="BV50" i="2"/>
  <c r="AX152" i="2"/>
  <c r="DF152" i="2" s="1"/>
  <c r="AL8" i="5"/>
  <c r="M171" i="5"/>
  <c r="AW148" i="2"/>
  <c r="BG151" i="2"/>
  <c r="BZ39" i="2"/>
  <c r="AW62" i="2"/>
  <c r="BX43" i="2"/>
  <c r="AX151" i="2"/>
  <c r="AX150" i="2" s="1"/>
  <c r="AX153" i="2"/>
  <c r="DF153" i="2" s="1"/>
  <c r="BD42" i="2"/>
  <c r="BZ11" i="2"/>
  <c r="BT62" i="2"/>
  <c r="DF41" i="2"/>
  <c r="M54" i="5"/>
  <c r="BP18" i="2"/>
  <c r="AW51" i="2"/>
  <c r="I245" i="5"/>
  <c r="BH54" i="5"/>
  <c r="BE172" i="5"/>
  <c r="I235" i="5"/>
  <c r="J238" i="5"/>
  <c r="AV153" i="2"/>
  <c r="BW50" i="2"/>
  <c r="BO10" i="2"/>
  <c r="BO39" i="2" s="1"/>
  <c r="BG153" i="2"/>
  <c r="I247" i="5"/>
  <c r="AU9" i="2"/>
  <c r="AU100" i="2" s="1"/>
  <c r="AX51" i="2"/>
  <c r="BL62" i="2"/>
  <c r="CC19" i="2"/>
  <c r="BG42" i="2"/>
  <c r="BY147" i="2"/>
  <c r="DU147" i="2" s="1"/>
  <c r="S9" i="3"/>
  <c r="BG43" i="2"/>
  <c r="BU54" i="5"/>
  <c r="BU77" i="5" s="1"/>
  <c r="BC62" i="2"/>
  <c r="BJ151" i="2"/>
  <c r="I171" i="5"/>
  <c r="C54" i="5"/>
  <c r="D170" i="5" s="1"/>
  <c r="AD248" i="5"/>
  <c r="BD62" i="2"/>
  <c r="K163" i="5"/>
  <c r="AI172" i="5"/>
  <c r="I246" i="5"/>
  <c r="H172" i="5"/>
  <c r="AT9" i="2"/>
  <c r="AT100" i="2" s="1"/>
  <c r="AU102" i="2" s="1"/>
  <c r="CG9" i="2"/>
  <c r="CG100" i="2" s="1"/>
  <c r="K240" i="5"/>
  <c r="H54" i="5"/>
  <c r="CC62" i="2"/>
  <c r="BE153" i="2"/>
  <c r="BH43" i="2"/>
  <c r="AE336" i="5"/>
  <c r="AY151" i="2"/>
  <c r="Q9" i="3"/>
  <c r="CZ10" i="5"/>
  <c r="E15" i="3" s="1"/>
  <c r="BZ151" i="2"/>
  <c r="BW9" i="2"/>
  <c r="BW100" i="2" s="1"/>
  <c r="BU62" i="2"/>
  <c r="AW152" i="2"/>
  <c r="DI41" i="2"/>
  <c r="L7" i="3"/>
  <c r="I54" i="5"/>
  <c r="AE238" i="5"/>
  <c r="AF248" i="5"/>
  <c r="AD247" i="5"/>
  <c r="BY172" i="5"/>
  <c r="L240" i="5"/>
  <c r="BU171" i="5"/>
  <c r="I8" i="5"/>
  <c r="I243" i="5" s="1"/>
  <c r="BX19" i="2"/>
  <c r="BJ62" i="2"/>
  <c r="BV10" i="2"/>
  <c r="CP127" i="2"/>
  <c r="CP99" i="1"/>
  <c r="DP240" i="2"/>
  <c r="CP240" i="2"/>
  <c r="CM248" i="2"/>
  <c r="CM242" i="2"/>
  <c r="CM89" i="2"/>
  <c r="DS91" i="5"/>
  <c r="DS67" i="5" s="1"/>
  <c r="DS83" i="5" s="1"/>
  <c r="CO225" i="1"/>
  <c r="CL137" i="1"/>
  <c r="CP140" i="1"/>
  <c r="CP86" i="1"/>
  <c r="CM262" i="1"/>
  <c r="CN223" i="1"/>
  <c r="CN226" i="1" s="1"/>
  <c r="CM137" i="1"/>
  <c r="CM105" i="5" s="1"/>
  <c r="CO235" i="1"/>
  <c r="CN237" i="1"/>
  <c r="CM247" i="1"/>
  <c r="CM268" i="1" s="1"/>
  <c r="CN245" i="1"/>
  <c r="AD67" i="6"/>
  <c r="AD50" i="6" s="1"/>
  <c r="BG56" i="6"/>
  <c r="AH109" i="6"/>
  <c r="AH91" i="6" s="1"/>
  <c r="Z49" i="6"/>
  <c r="Z58" i="6" s="1"/>
  <c r="BE156" i="6"/>
  <c r="AG107" i="6"/>
  <c r="AG89" i="6" s="1"/>
  <c r="AF19" i="6"/>
  <c r="BF19" i="6" s="1"/>
  <c r="BF20" i="6" s="1"/>
  <c r="AK146" i="6"/>
  <c r="DG331" i="5"/>
  <c r="AG108" i="6"/>
  <c r="AG90" i="6" s="1"/>
  <c r="BN150" i="6"/>
  <c r="AT333" i="5"/>
  <c r="BE111" i="6"/>
  <c r="BG108" i="6"/>
  <c r="BO151" i="6"/>
  <c r="BG51" i="6"/>
  <c r="BK150" i="6"/>
  <c r="BO150" i="6"/>
  <c r="DG311" i="5"/>
  <c r="DG328" i="5"/>
  <c r="AN126" i="6"/>
  <c r="AB49" i="6"/>
  <c r="BG146" i="6"/>
  <c r="Z156" i="6"/>
  <c r="AF71" i="6"/>
  <c r="AF54" i="6" s="1"/>
  <c r="BF54" i="6" s="1"/>
  <c r="AG63" i="6"/>
  <c r="BM68" i="6"/>
  <c r="AG111" i="6"/>
  <c r="AG93" i="6" s="1"/>
  <c r="AO150" i="6"/>
  <c r="DF308" i="5"/>
  <c r="BF94" i="6"/>
  <c r="BH129" i="6"/>
  <c r="BI129" i="6" s="1"/>
  <c r="BJ129" i="6" s="1"/>
  <c r="BK129" i="6" s="1"/>
  <c r="BL129" i="6" s="1"/>
  <c r="BM129" i="6" s="1"/>
  <c r="BN129" i="6" s="1"/>
  <c r="BO129" i="6" s="1"/>
  <c r="DF331" i="5"/>
  <c r="AT150" i="6"/>
  <c r="BE51" i="6"/>
  <c r="AE87" i="6"/>
  <c r="AR150" i="6"/>
  <c r="AO56" i="6"/>
  <c r="AD19" i="6"/>
  <c r="BT327" i="5" s="1"/>
  <c r="BT328" i="5" s="1"/>
  <c r="AB58" i="6"/>
  <c r="AJ111" i="6"/>
  <c r="AJ93" i="6" s="1"/>
  <c r="AK107" i="6"/>
  <c r="AK89" i="6" s="1"/>
  <c r="AM126" i="6"/>
  <c r="AM125" i="6" s="1"/>
  <c r="AP56" i="6"/>
  <c r="BJ56" i="6"/>
  <c r="BI56" i="6"/>
  <c r="BK56" i="6"/>
  <c r="BL68" i="6"/>
  <c r="BL51" i="6" s="1"/>
  <c r="AQ150" i="6"/>
  <c r="AS150" i="6"/>
  <c r="BF53" i="6"/>
  <c r="AL126" i="6"/>
  <c r="AL125" i="6" s="1"/>
  <c r="AP150" i="6"/>
  <c r="AX308" i="5"/>
  <c r="BN56" i="6"/>
  <c r="BM56" i="6"/>
  <c r="BL56" i="6"/>
  <c r="BJ68" i="6"/>
  <c r="BJ51" i="6" s="1"/>
  <c r="AU150" i="6"/>
  <c r="BO56" i="6"/>
  <c r="BF56" i="6"/>
  <c r="BE55" i="6"/>
  <c r="BE49" i="6" s="1"/>
  <c r="BE58" i="6" s="1"/>
  <c r="BM51" i="6"/>
  <c r="AD64" i="6"/>
  <c r="AC72" i="6"/>
  <c r="AC55" i="6" s="1"/>
  <c r="AF59" i="6"/>
  <c r="AE67" i="6"/>
  <c r="AE50" i="6" s="1"/>
  <c r="BG92" i="6"/>
  <c r="BH68" i="6"/>
  <c r="DF311" i="5"/>
  <c r="BF51" i="6"/>
  <c r="AL152" i="6"/>
  <c r="AM142" i="6"/>
  <c r="AN41" i="6"/>
  <c r="AK137" i="6"/>
  <c r="AJ147" i="6"/>
  <c r="BG137" i="6"/>
  <c r="AV150" i="6"/>
  <c r="Z145" i="6"/>
  <c r="AQ60" i="6"/>
  <c r="AP68" i="6"/>
  <c r="AP51" i="6" s="1"/>
  <c r="AN151" i="6"/>
  <c r="AO141" i="6"/>
  <c r="BL150" i="6"/>
  <c r="BL151" i="6"/>
  <c r="BI151" i="6"/>
  <c r="AM143" i="6"/>
  <c r="AL153" i="6"/>
  <c r="BK68" i="6"/>
  <c r="BK51" i="6" s="1"/>
  <c r="BI68" i="6"/>
  <c r="BI51" i="6" s="1"/>
  <c r="BN151" i="6"/>
  <c r="BM151" i="6"/>
  <c r="BM150" i="6"/>
  <c r="AL151" i="6"/>
  <c r="BH151" i="6" s="1"/>
  <c r="AL139" i="6"/>
  <c r="AK46" i="6"/>
  <c r="AL46" i="6" s="1"/>
  <c r="AM46" i="6" s="1"/>
  <c r="AN46" i="6" s="1"/>
  <c r="BG46" i="6"/>
  <c r="AH45" i="6"/>
  <c r="AG40" i="6"/>
  <c r="AG156" i="6" s="1"/>
  <c r="AR65" i="6"/>
  <c r="AQ73" i="6"/>
  <c r="AQ56" i="6" s="1"/>
  <c r="AH62" i="6"/>
  <c r="AG70" i="6"/>
  <c r="AG53" i="6" s="1"/>
  <c r="AL138" i="6"/>
  <c r="BJ150" i="6"/>
  <c r="BK151" i="6"/>
  <c r="BJ151" i="6"/>
  <c r="BN68" i="6"/>
  <c r="BN51" i="6" s="1"/>
  <c r="BF112" i="6"/>
  <c r="AY308" i="5"/>
  <c r="AP127" i="6"/>
  <c r="AO126" i="6"/>
  <c r="AO125" i="6" s="1"/>
  <c r="AO43" i="6"/>
  <c r="AP43" i="6" s="1"/>
  <c r="AQ43" i="6" s="1"/>
  <c r="AR43" i="6" s="1"/>
  <c r="AS43" i="6" s="1"/>
  <c r="AT43" i="6" s="1"/>
  <c r="AU43" i="6" s="1"/>
  <c r="AV43" i="6" s="1"/>
  <c r="BH43" i="6"/>
  <c r="BI43" i="6" s="1"/>
  <c r="BJ43" i="6" s="1"/>
  <c r="BK43" i="6" s="1"/>
  <c r="BL43" i="6" s="1"/>
  <c r="BM43" i="6" s="1"/>
  <c r="BN43" i="6" s="1"/>
  <c r="BO43" i="6" s="1"/>
  <c r="AL136" i="6"/>
  <c r="BI150" i="6"/>
  <c r="AE105" i="6"/>
  <c r="AE114" i="6" s="1"/>
  <c r="BH126" i="6"/>
  <c r="BI126" i="6" s="1"/>
  <c r="BJ126" i="6" s="1"/>
  <c r="BK126" i="6" s="1"/>
  <c r="BL126" i="6" s="1"/>
  <c r="BM126" i="6" s="1"/>
  <c r="BN126" i="6" s="1"/>
  <c r="BO126" i="6" s="1"/>
  <c r="AN125" i="6"/>
  <c r="AO61" i="6"/>
  <c r="BH61" i="6"/>
  <c r="AH111" i="6"/>
  <c r="AH93" i="6" s="1"/>
  <c r="AG109" i="6"/>
  <c r="AK44" i="6"/>
  <c r="BG44" i="6"/>
  <c r="AQ21" i="2"/>
  <c r="CB61" i="1"/>
  <c r="CB62" i="1" s="1"/>
  <c r="AY51" i="2"/>
  <c r="BT9" i="2"/>
  <c r="BT100" i="2" s="1"/>
  <c r="DM49" i="2"/>
  <c r="DM46" i="2" s="1"/>
  <c r="DM48" i="2" s="1"/>
  <c r="CC9" i="2"/>
  <c r="CC100" i="2" s="1"/>
  <c r="CC102" i="2" s="1"/>
  <c r="BZ148" i="2"/>
  <c r="CC50" i="2"/>
  <c r="AX148" i="2"/>
  <c r="DF148" i="2" s="1"/>
  <c r="BH147" i="2"/>
  <c r="BH146" i="2" s="1"/>
  <c r="AZ151" i="2"/>
  <c r="CJ224" i="2"/>
  <c r="BM211" i="2"/>
  <c r="DN297" i="2"/>
  <c r="DN20" i="5" s="1"/>
  <c r="DN260" i="5" s="1"/>
  <c r="BS147" i="2"/>
  <c r="BY148" i="2"/>
  <c r="DU148" i="2" s="1"/>
  <c r="BY221" i="2"/>
  <c r="BY222" i="2" s="1"/>
  <c r="BS278" i="2"/>
  <c r="BZ9" i="2"/>
  <c r="BZ100" i="2" s="1"/>
  <c r="AZ43" i="2"/>
  <c r="BT147" i="2"/>
  <c r="BY51" i="2"/>
  <c r="AZ153" i="2"/>
  <c r="DG161" i="2"/>
  <c r="DF321" i="2"/>
  <c r="AR197" i="2"/>
  <c r="BH131" i="2"/>
  <c r="AQ50" i="2"/>
  <c r="DM198" i="2"/>
  <c r="BH152" i="2"/>
  <c r="CL242" i="2"/>
  <c r="BP62" i="2"/>
  <c r="DR168" i="2"/>
  <c r="BY9" i="2"/>
  <c r="BY100" i="2" s="1"/>
  <c r="BF152" i="2"/>
  <c r="DH152" i="2" s="1"/>
  <c r="AX147" i="2"/>
  <c r="AX146" i="2" s="1"/>
  <c r="DF146" i="2" s="1"/>
  <c r="CG43" i="2"/>
  <c r="BA62" i="2"/>
  <c r="BR35" i="2"/>
  <c r="BN210" i="2"/>
  <c r="DJ210" i="2" s="1"/>
  <c r="DJ211" i="2" s="1"/>
  <c r="BJ132" i="2"/>
  <c r="BZ221" i="2"/>
  <c r="BZ222" i="2" s="1"/>
  <c r="BH153" i="2"/>
  <c r="AU42" i="2"/>
  <c r="AU153" i="2"/>
  <c r="CK61" i="1"/>
  <c r="CK62" i="1" s="1"/>
  <c r="BH42" i="2"/>
  <c r="BF43" i="2"/>
  <c r="DH41" i="2"/>
  <c r="BS148" i="2"/>
  <c r="DO148" i="2" s="1"/>
  <c r="BK151" i="2"/>
  <c r="BI153" i="2"/>
  <c r="BZ147" i="2"/>
  <c r="CA214" i="1"/>
  <c r="CA215" i="1" s="1"/>
  <c r="CA217" i="1" s="1"/>
  <c r="BZ51" i="2"/>
  <c r="DI65" i="2"/>
  <c r="BF151" i="2"/>
  <c r="BE43" i="2"/>
  <c r="BI43" i="2"/>
  <c r="BC9" i="2"/>
  <c r="BC100" i="2" s="1"/>
  <c r="BC102" i="2" s="1"/>
  <c r="BR18" i="5"/>
  <c r="BR261" i="5" s="1"/>
  <c r="BL224" i="2"/>
  <c r="AT167" i="2"/>
  <c r="AQ115" i="2"/>
  <c r="DI164" i="2"/>
  <c r="AZ237" i="2"/>
  <c r="AV132" i="2"/>
  <c r="DN164" i="2"/>
  <c r="CD181" i="1"/>
  <c r="DO181" i="1" s="1"/>
  <c r="CG42" i="2"/>
  <c r="DF161" i="2"/>
  <c r="CC148" i="2"/>
  <c r="BF153" i="2"/>
  <c r="DH153" i="2" s="1"/>
  <c r="CL21" i="2"/>
  <c r="BF11" i="2"/>
  <c r="BS51" i="2"/>
  <c r="AZ42" i="2"/>
  <c r="CA305" i="2"/>
  <c r="BO62" i="2"/>
  <c r="BE9" i="2"/>
  <c r="BE100" i="2" s="1"/>
  <c r="BF102" i="2" s="1"/>
  <c r="BY10" i="2"/>
  <c r="BY47" i="2" s="1"/>
  <c r="BI152" i="2"/>
  <c r="AV146" i="2"/>
  <c r="DG166" i="2"/>
  <c r="CI132" i="2"/>
  <c r="BJ181" i="1"/>
  <c r="BJ182" i="1" s="1"/>
  <c r="BJ184" i="1" s="1"/>
  <c r="AQ214" i="2"/>
  <c r="BS184" i="1"/>
  <c r="CA51" i="2"/>
  <c r="CG132" i="2"/>
  <c r="AY200" i="2"/>
  <c r="AX115" i="2"/>
  <c r="CB9" i="2"/>
  <c r="CB100" i="2" s="1"/>
  <c r="AZ9" i="2"/>
  <c r="AZ100" i="2" s="1"/>
  <c r="AZ102" i="2" s="1"/>
  <c r="BD153" i="2"/>
  <c r="CC43" i="2"/>
  <c r="BC153" i="2"/>
  <c r="DF201" i="2"/>
  <c r="BC39" i="2"/>
  <c r="BD152" i="2"/>
  <c r="BC42" i="2"/>
  <c r="BH51" i="2"/>
  <c r="AR203" i="2"/>
  <c r="DG201" i="2"/>
  <c r="CE61" i="1"/>
  <c r="CE62" i="1" s="1"/>
  <c r="BH47" i="2"/>
  <c r="BY211" i="2"/>
  <c r="CB22" i="2"/>
  <c r="BV132" i="2"/>
  <c r="BH9" i="2"/>
  <c r="BH100" i="2" s="1"/>
  <c r="BI151" i="2"/>
  <c r="BF39" i="2"/>
  <c r="BH39" i="2"/>
  <c r="BS61" i="1"/>
  <c r="BS62" i="1" s="1"/>
  <c r="DB164" i="2"/>
  <c r="CD131" i="2"/>
  <c r="CB148" i="2"/>
  <c r="BG152" i="2"/>
  <c r="BG150" i="2" s="1"/>
  <c r="BH151" i="2"/>
  <c r="BE152" i="2"/>
  <c r="BS18" i="2"/>
  <c r="BC43" i="2"/>
  <c r="DK62" i="2"/>
  <c r="DO118" i="2"/>
  <c r="DF164" i="2"/>
  <c r="AX21" i="2"/>
  <c r="BB22" i="2" s="1"/>
  <c r="DM210" i="2"/>
  <c r="DM211" i="2" s="1"/>
  <c r="BG197" i="2"/>
  <c r="BF115" i="2"/>
  <c r="BD61" i="1"/>
  <c r="BD62" i="1" s="1"/>
  <c r="BD23" i="2"/>
  <c r="BZ102" i="2"/>
  <c r="BZ152" i="2"/>
  <c r="CJ274" i="2"/>
  <c r="CF224" i="2"/>
  <c r="DM115" i="2"/>
  <c r="BZ132" i="2"/>
  <c r="DM167" i="2"/>
  <c r="BU43" i="2"/>
  <c r="BY153" i="2"/>
  <c r="BZ153" i="2"/>
  <c r="BT153" i="2"/>
  <c r="DP153" i="2" s="1"/>
  <c r="CD42" i="2"/>
  <c r="BL148" i="2"/>
  <c r="BP50" i="2"/>
  <c r="BM147" i="2"/>
  <c r="BM35" i="2"/>
  <c r="DN200" i="2"/>
  <c r="DL65" i="2"/>
  <c r="BZ43" i="2"/>
  <c r="BL50" i="2"/>
  <c r="BL147" i="2"/>
  <c r="BS43" i="2"/>
  <c r="AS222" i="2"/>
  <c r="BX181" i="1"/>
  <c r="BX182" i="1" s="1"/>
  <c r="BX131" i="2"/>
  <c r="DM241" i="2"/>
  <c r="DN246" i="2"/>
  <c r="DJ255" i="2"/>
  <c r="CC279" i="2"/>
  <c r="CC270" i="2"/>
  <c r="CD266" i="2"/>
  <c r="BY151" i="2"/>
  <c r="DU151" i="2" s="1"/>
  <c r="BH222" i="2"/>
  <c r="DK164" i="2"/>
  <c r="BT50" i="2"/>
  <c r="BT51" i="2"/>
  <c r="CH104" i="2"/>
  <c r="DO212" i="2"/>
  <c r="DO218" i="2" s="1"/>
  <c r="DM21" i="2"/>
  <c r="BZ23" i="2"/>
  <c r="CA278" i="2"/>
  <c r="BY224" i="2"/>
  <c r="CI91" i="2"/>
  <c r="DE164" i="2"/>
  <c r="BT151" i="2"/>
  <c r="BR266" i="2"/>
  <c r="DK266" i="2" s="1"/>
  <c r="DK279" i="2" s="1"/>
  <c r="DF65" i="2"/>
  <c r="DJ20" i="5"/>
  <c r="BG278" i="2"/>
  <c r="DE221" i="2"/>
  <c r="DE224" i="2" s="1"/>
  <c r="BS153" i="2"/>
  <c r="DO153" i="2" s="1"/>
  <c r="DN252" i="2"/>
  <c r="AW9" i="2"/>
  <c r="AW100" i="2" s="1"/>
  <c r="AX102" i="2" s="1"/>
  <c r="BO35" i="2"/>
  <c r="BB303" i="2"/>
  <c r="BB305" i="2" s="1"/>
  <c r="CB27" i="2"/>
  <c r="CB31" i="2" s="1"/>
  <c r="BD278" i="2"/>
  <c r="CK35" i="2"/>
  <c r="DH184" i="2"/>
  <c r="DH185" i="2" s="1"/>
  <c r="BQ279" i="2"/>
  <c r="BF222" i="2"/>
  <c r="BR62" i="2"/>
  <c r="DO130" i="2"/>
  <c r="DO131" i="2" s="1"/>
  <c r="DM61" i="2"/>
  <c r="DM57" i="2" s="1"/>
  <c r="DM59" i="2" s="1"/>
  <c r="BC278" i="2"/>
  <c r="DN197" i="2"/>
  <c r="DJ90" i="2"/>
  <c r="DJ91" i="2" s="1"/>
  <c r="BT148" i="2"/>
  <c r="DP148" i="2" s="1"/>
  <c r="BS9" i="2"/>
  <c r="BS100" i="2" s="1"/>
  <c r="CX164" i="2"/>
  <c r="CC18" i="2"/>
  <c r="BB291" i="5"/>
  <c r="CG181" i="1"/>
  <c r="CG214" i="1" s="1"/>
  <c r="BU152" i="2"/>
  <c r="DQ152" i="2" s="1"/>
  <c r="BX42" i="2"/>
  <c r="CB305" i="2"/>
  <c r="AU101" i="2"/>
  <c r="CD62" i="2"/>
  <c r="CH281" i="2"/>
  <c r="CH282" i="2" s="1"/>
  <c r="BE62" i="2"/>
  <c r="CX166" i="2"/>
  <c r="CY211" i="2" s="1"/>
  <c r="BM51" i="2"/>
  <c r="BD203" i="2"/>
  <c r="BZ19" i="2"/>
  <c r="DL125" i="2"/>
  <c r="BH281" i="2"/>
  <c r="BH20" i="5"/>
  <c r="DE284" i="2"/>
  <c r="DE285" i="2" s="1"/>
  <c r="DE287" i="2" s="1"/>
  <c r="BA265" i="2"/>
  <c r="BB264" i="2"/>
  <c r="CE182" i="1"/>
  <c r="CE184" i="1" s="1"/>
  <c r="CG152" i="2"/>
  <c r="BS132" i="2"/>
  <c r="BM43" i="2"/>
  <c r="BM153" i="2"/>
  <c r="DT40" i="2"/>
  <c r="BS151" i="2"/>
  <c r="DO151" i="2" s="1"/>
  <c r="CC47" i="2"/>
  <c r="BM42" i="2"/>
  <c r="BZ42" i="2"/>
  <c r="CJ42" i="2"/>
  <c r="BQ50" i="2"/>
  <c r="BR9" i="2"/>
  <c r="BR100" i="2" s="1"/>
  <c r="BS102" i="2" s="1"/>
  <c r="BW148" i="2"/>
  <c r="DS148" i="2" s="1"/>
  <c r="BG22" i="2"/>
  <c r="CF278" i="2"/>
  <c r="BR42" i="2"/>
  <c r="BB312" i="2"/>
  <c r="DG312" i="2" s="1"/>
  <c r="DL164" i="2"/>
  <c r="AX203" i="2"/>
  <c r="AX197" i="2"/>
  <c r="AX200" i="2"/>
  <c r="AW115" i="2"/>
  <c r="CY197" i="2"/>
  <c r="BA279" i="2"/>
  <c r="BA270" i="2"/>
  <c r="BB266" i="2"/>
  <c r="BE281" i="2"/>
  <c r="BZ182" i="1"/>
  <c r="BZ184" i="1" s="1"/>
  <c r="BZ214" i="1"/>
  <c r="BZ215" i="1" s="1"/>
  <c r="BA267" i="2"/>
  <c r="BA260" i="2" s="1"/>
  <c r="AZ50" i="2"/>
  <c r="BM9" i="2"/>
  <c r="BM100" i="2" s="1"/>
  <c r="BM102" i="2" s="1"/>
  <c r="BN152" i="2"/>
  <c r="DJ152" i="2" s="1"/>
  <c r="BK153" i="2"/>
  <c r="BM146" i="2"/>
  <c r="AZ148" i="2"/>
  <c r="DR15" i="2"/>
  <c r="DS15" i="2" s="1"/>
  <c r="DT15" i="2" s="1"/>
  <c r="DT16" i="2" s="1"/>
  <c r="BV35" i="2"/>
  <c r="DM321" i="2"/>
  <c r="DM312" i="2" s="1"/>
  <c r="AT197" i="2"/>
  <c r="BT23" i="2"/>
  <c r="CC51" i="2"/>
  <c r="BP151" i="2"/>
  <c r="DL151" i="2" s="1"/>
  <c r="DL150" i="2" s="1"/>
  <c r="DL41" i="2"/>
  <c r="DL38" i="2" s="1"/>
  <c r="DL40" i="2" s="1"/>
  <c r="BU151" i="2"/>
  <c r="DQ151" i="2" s="1"/>
  <c r="BR147" i="2"/>
  <c r="DN147" i="2" s="1"/>
  <c r="DN146" i="2" s="1"/>
  <c r="CC39" i="2"/>
  <c r="DO86" i="2"/>
  <c r="CA148" i="2"/>
  <c r="BX18" i="2"/>
  <c r="DN118" i="2"/>
  <c r="BG167" i="2"/>
  <c r="CD35" i="2"/>
  <c r="BD200" i="2"/>
  <c r="AX222" i="2"/>
  <c r="DG65" i="2"/>
  <c r="BE200" i="2"/>
  <c r="BD115" i="2"/>
  <c r="BE197" i="2"/>
  <c r="BE203" i="2"/>
  <c r="DE125" i="2"/>
  <c r="BK23" i="2"/>
  <c r="BK61" i="1"/>
  <c r="BK62" i="1" s="1"/>
  <c r="BS131" i="2"/>
  <c r="DU40" i="2"/>
  <c r="BD222" i="2"/>
  <c r="DL130" i="2"/>
  <c r="DP129" i="2" s="1"/>
  <c r="CK27" i="2"/>
  <c r="CK31" i="2" s="1"/>
  <c r="BA273" i="2"/>
  <c r="BA278" i="2" s="1"/>
  <c r="CB274" i="2"/>
  <c r="BT27" i="2"/>
  <c r="BT31" i="2" s="1"/>
  <c r="CE131" i="2"/>
  <c r="CC153" i="2"/>
  <c r="BS183" i="1"/>
  <c r="BR51" i="2"/>
  <c r="BY43" i="2"/>
  <c r="CA50" i="2"/>
  <c r="BM10" i="2"/>
  <c r="BM39" i="2" s="1"/>
  <c r="CA147" i="2"/>
  <c r="BC281" i="2"/>
  <c r="BC282" i="2" s="1"/>
  <c r="DH221" i="2"/>
  <c r="DM41" i="2"/>
  <c r="DS40" i="2"/>
  <c r="BC115" i="2"/>
  <c r="BC23" i="2"/>
  <c r="BU181" i="1"/>
  <c r="BU182" i="1" s="1"/>
  <c r="BU131" i="2"/>
  <c r="AQ125" i="2"/>
  <c r="AQ65" i="2"/>
  <c r="AR66" i="2"/>
  <c r="AQ66" i="2"/>
  <c r="AU65" i="2"/>
  <c r="CG278" i="2"/>
  <c r="AQ130" i="2"/>
  <c r="AQ131" i="2" s="1"/>
  <c r="CE183" i="1"/>
  <c r="DE69" i="2"/>
  <c r="BH270" i="2"/>
  <c r="AZ222" i="2"/>
  <c r="CE132" i="2"/>
  <c r="BC11" i="2"/>
  <c r="DS284" i="5"/>
  <c r="CB42" i="2"/>
  <c r="AZ147" i="2"/>
  <c r="CB147" i="2"/>
  <c r="BR50" i="2"/>
  <c r="AB275" i="5"/>
  <c r="BI39" i="2"/>
  <c r="BE224" i="2"/>
  <c r="BD197" i="2"/>
  <c r="BL215" i="2"/>
  <c r="BL214" i="2"/>
  <c r="BM209" i="2"/>
  <c r="BM213" i="2" s="1"/>
  <c r="BZ183" i="1"/>
  <c r="CG222" i="2"/>
  <c r="CG224" i="2"/>
  <c r="BB61" i="1"/>
  <c r="BB62" i="1" s="1"/>
  <c r="BB23" i="2"/>
  <c r="DG21" i="2"/>
  <c r="BD35" i="2"/>
  <c r="BR279" i="2"/>
  <c r="BR270" i="2"/>
  <c r="DK270" i="2" s="1"/>
  <c r="BW135" i="2"/>
  <c r="BK181" i="1"/>
  <c r="BK131" i="2"/>
  <c r="BV148" i="2"/>
  <c r="DR148" i="2" s="1"/>
  <c r="BV147" i="2"/>
  <c r="BV9" i="2"/>
  <c r="BV100" i="2" s="1"/>
  <c r="BV51" i="2"/>
  <c r="CK218" i="2"/>
  <c r="BQ27" i="2"/>
  <c r="BQ31" i="2" s="1"/>
  <c r="BV151" i="2"/>
  <c r="DR151" i="2" s="1"/>
  <c r="BC222" i="2"/>
  <c r="BB131" i="2"/>
  <c r="BB181" i="1"/>
  <c r="BB132" i="2"/>
  <c r="BE291" i="5"/>
  <c r="BE292" i="5" s="1"/>
  <c r="DH299" i="2"/>
  <c r="DH303" i="2" s="1"/>
  <c r="DH305" i="2" s="1"/>
  <c r="BD281" i="2"/>
  <c r="BD20" i="5"/>
  <c r="BD260" i="5" s="1"/>
  <c r="BF132" i="2"/>
  <c r="BV152" i="2"/>
  <c r="DR152" i="2" s="1"/>
  <c r="CE274" i="2"/>
  <c r="BQ23" i="2"/>
  <c r="AX167" i="2"/>
  <c r="DF140" i="2"/>
  <c r="BW24" i="2"/>
  <c r="BH167" i="2"/>
  <c r="DO125" i="2"/>
  <c r="BO21" i="2"/>
  <c r="BO23" i="2" s="1"/>
  <c r="DL167" i="2"/>
  <c r="BR18" i="2"/>
  <c r="AW319" i="2"/>
  <c r="AW318" i="2" s="1"/>
  <c r="AW312" i="2" s="1"/>
  <c r="AW281" i="2" s="1"/>
  <c r="AW282" i="2" s="1"/>
  <c r="BO147" i="2"/>
  <c r="DK147" i="2" s="1"/>
  <c r="CJ147" i="2"/>
  <c r="BW151" i="2"/>
  <c r="AW146" i="2"/>
  <c r="BI47" i="2"/>
  <c r="BF292" i="5"/>
  <c r="Z275" i="5"/>
  <c r="BP181" i="1"/>
  <c r="BP182" i="1" s="1"/>
  <c r="BP131" i="2"/>
  <c r="DN90" i="2"/>
  <c r="DN91" i="2" s="1"/>
  <c r="BR212" i="2"/>
  <c r="BQ104" i="2"/>
  <c r="BT35" i="2"/>
  <c r="CH266" i="2"/>
  <c r="CG270" i="2"/>
  <c r="CG279" i="2"/>
  <c r="BU148" i="2"/>
  <c r="DQ148" i="2" s="1"/>
  <c r="BU51" i="2"/>
  <c r="BU147" i="2"/>
  <c r="DQ147" i="2" s="1"/>
  <c r="BU9" i="2"/>
  <c r="BU100" i="2" s="1"/>
  <c r="AX181" i="1"/>
  <c r="AX182" i="1" s="1"/>
  <c r="AX131" i="2"/>
  <c r="BX274" i="2"/>
  <c r="BX278" i="2"/>
  <c r="BF197" i="2"/>
  <c r="BF203" i="2"/>
  <c r="BE21" i="2"/>
  <c r="BG35" i="2" s="1"/>
  <c r="BF200" i="2"/>
  <c r="BE115" i="2"/>
  <c r="BO274" i="2"/>
  <c r="BO278" i="2"/>
  <c r="BY50" i="2"/>
  <c r="BF35" i="2"/>
  <c r="DH21" i="2"/>
  <c r="BF22" i="2"/>
  <c r="BF23" i="2"/>
  <c r="BF24" i="2" s="1"/>
  <c r="BF212" i="2"/>
  <c r="DH212" i="2" s="1"/>
  <c r="BE104" i="2"/>
  <c r="BJ115" i="2"/>
  <c r="BJ214" i="2"/>
  <c r="BK200" i="2"/>
  <c r="AT222" i="2"/>
  <c r="DO246" i="2"/>
  <c r="DO90" i="2"/>
  <c r="DO91" i="2" s="1"/>
  <c r="AY181" i="1"/>
  <c r="AY182" i="1" s="1"/>
  <c r="AY131" i="2"/>
  <c r="BW274" i="2"/>
  <c r="BW278" i="2"/>
  <c r="DL200" i="2"/>
  <c r="BM273" i="2"/>
  <c r="BM274" i="2" s="1"/>
  <c r="BK222" i="2"/>
  <c r="AU222" i="2"/>
  <c r="BO222" i="2"/>
  <c r="DO255" i="2"/>
  <c r="BP200" i="2"/>
  <c r="DN241" i="2"/>
  <c r="BR273" i="2"/>
  <c r="DF69" i="2"/>
  <c r="BN148" i="2"/>
  <c r="DJ148" i="2" s="1"/>
  <c r="DL115" i="2"/>
  <c r="BT39" i="2"/>
  <c r="DM38" i="2"/>
  <c r="DM40" i="2" s="1"/>
  <c r="DH297" i="2"/>
  <c r="BT224" i="2"/>
  <c r="BU35" i="2"/>
  <c r="BP274" i="2"/>
  <c r="BP278" i="2"/>
  <c r="DM164" i="2"/>
  <c r="BX147" i="2"/>
  <c r="DT147" i="2" s="1"/>
  <c r="BV153" i="2"/>
  <c r="DR153" i="2" s="1"/>
  <c r="BV43" i="2"/>
  <c r="BW153" i="2"/>
  <c r="DS153" i="2" s="1"/>
  <c r="AT21" i="2"/>
  <c r="AT115" i="2"/>
  <c r="CE224" i="2"/>
  <c r="CE222" i="2"/>
  <c r="BI203" i="2"/>
  <c r="BI200" i="2"/>
  <c r="BH115" i="2"/>
  <c r="CJ22" i="2"/>
  <c r="CF27" i="2"/>
  <c r="CF31" i="2" s="1"/>
  <c r="CC211" i="2"/>
  <c r="CD210" i="2"/>
  <c r="BG61" i="1"/>
  <c r="BG62" i="1" s="1"/>
  <c r="BK22" i="2"/>
  <c r="BH21" i="2"/>
  <c r="BH22" i="2" s="1"/>
  <c r="BW43" i="2"/>
  <c r="BW147" i="2"/>
  <c r="BF167" i="2"/>
  <c r="BR210" i="2"/>
  <c r="BQ221" i="2"/>
  <c r="BQ224" i="2" s="1"/>
  <c r="BQ211" i="2"/>
  <c r="DK210" i="2"/>
  <c r="DK211" i="2" s="1"/>
  <c r="CH264" i="2"/>
  <c r="CG265" i="2"/>
  <c r="CG26" i="2"/>
  <c r="CG27" i="2" s="1"/>
  <c r="CG31" i="2" s="1"/>
  <c r="CI27" i="2"/>
  <c r="CI31" i="2" s="1"/>
  <c r="BE222" i="2"/>
  <c r="BK197" i="2"/>
  <c r="AU200" i="2"/>
  <c r="BG23" i="2"/>
  <c r="BG24" i="2" s="1"/>
  <c r="DO241" i="2"/>
  <c r="BO115" i="2"/>
  <c r="DJ281" i="2"/>
  <c r="CH132" i="2"/>
  <c r="DL168" i="2"/>
  <c r="BT11" i="2"/>
  <c r="DI10" i="2"/>
  <c r="DI11" i="2" s="1"/>
  <c r="DJ62" i="2"/>
  <c r="DE299" i="2"/>
  <c r="AT291" i="5"/>
  <c r="AT297" i="2"/>
  <c r="DE297" i="2" s="1"/>
  <c r="BJ21" i="2"/>
  <c r="BU218" i="2"/>
  <c r="BV212" i="2"/>
  <c r="DL212" i="2" s="1"/>
  <c r="BU104" i="2"/>
  <c r="AZ21" i="2"/>
  <c r="AZ115" i="2"/>
  <c r="BA197" i="2"/>
  <c r="BA200" i="2"/>
  <c r="BD167" i="2"/>
  <c r="BA203" i="2"/>
  <c r="DN21" i="2"/>
  <c r="DO22" i="2" s="1"/>
  <c r="CD61" i="1"/>
  <c r="CD62" i="1" s="1"/>
  <c r="CD22" i="2"/>
  <c r="CH22" i="2"/>
  <c r="AY274" i="2"/>
  <c r="AY278" i="2"/>
  <c r="CI136" i="2"/>
  <c r="CI181" i="1"/>
  <c r="CT130" i="2"/>
  <c r="CI131" i="2"/>
  <c r="DO252" i="2"/>
  <c r="BM26" i="2"/>
  <c r="BM27" i="2" s="1"/>
  <c r="BM31" i="2" s="1"/>
  <c r="BM265" i="2"/>
  <c r="BN264" i="2"/>
  <c r="BI221" i="2"/>
  <c r="BI222" i="2" s="1"/>
  <c r="BI211" i="2"/>
  <c r="AT203" i="2"/>
  <c r="AS115" i="2"/>
  <c r="AS167" i="2"/>
  <c r="AW167" i="2"/>
  <c r="BW224" i="2"/>
  <c r="DM221" i="2"/>
  <c r="DM222" i="2" s="1"/>
  <c r="BW181" i="1"/>
  <c r="BW131" i="2"/>
  <c r="BF266" i="2"/>
  <c r="BE270" i="2"/>
  <c r="BE279" i="2"/>
  <c r="AT200" i="2"/>
  <c r="CD212" i="2"/>
  <c r="DN212" i="2"/>
  <c r="CC104" i="2"/>
  <c r="DB197" i="2"/>
  <c r="DA214" i="2"/>
  <c r="DB200" i="2"/>
  <c r="BC203" i="2"/>
  <c r="BB115" i="2"/>
  <c r="BC197" i="2"/>
  <c r="BC200" i="2"/>
  <c r="BB167" i="2"/>
  <c r="AS21" i="2"/>
  <c r="AS35" i="2" s="1"/>
  <c r="BE218" i="2"/>
  <c r="BI197" i="2"/>
  <c r="BW152" i="2"/>
  <c r="DS152" i="2" s="1"/>
  <c r="CK181" i="1"/>
  <c r="CK214" i="1" s="1"/>
  <c r="BP222" i="2"/>
  <c r="CI22" i="2"/>
  <c r="DM20" i="5"/>
  <c r="DM260" i="5" s="1"/>
  <c r="BK203" i="2"/>
  <c r="DG314" i="2"/>
  <c r="AU197" i="2"/>
  <c r="BO132" i="2"/>
  <c r="BF312" i="2"/>
  <c r="BP203" i="2"/>
  <c r="CF22" i="2"/>
  <c r="BW132" i="2"/>
  <c r="CI39" i="2"/>
  <c r="BF303" i="2"/>
  <c r="BF305" i="2" s="1"/>
  <c r="BT18" i="2"/>
  <c r="BV42" i="2"/>
  <c r="BZ50" i="2"/>
  <c r="BZ18" i="2"/>
  <c r="DL49" i="2"/>
  <c r="DL46" i="2" s="1"/>
  <c r="DL48" i="2" s="1"/>
  <c r="AU115" i="2"/>
  <c r="AV203" i="2"/>
  <c r="AV197" i="2"/>
  <c r="AV200" i="2"/>
  <c r="AU21" i="2"/>
  <c r="CH210" i="2"/>
  <c r="CG211" i="2"/>
  <c r="DO210" i="2"/>
  <c r="DO211" i="2" s="1"/>
  <c r="DI314" i="2"/>
  <c r="BJ312" i="2"/>
  <c r="DI312" i="2" s="1"/>
  <c r="BV210" i="2"/>
  <c r="BU211" i="2"/>
  <c r="CB35" i="2"/>
  <c r="BB212" i="2"/>
  <c r="BA104" i="2"/>
  <c r="BA218" i="2"/>
  <c r="BX222" i="2"/>
  <c r="BX224" i="2"/>
  <c r="BX153" i="2"/>
  <c r="DT153" i="2" s="1"/>
  <c r="BY152" i="2"/>
  <c r="DU152" i="2" s="1"/>
  <c r="BX151" i="2"/>
  <c r="BX152" i="2"/>
  <c r="DT152" i="2" s="1"/>
  <c r="BJ266" i="2"/>
  <c r="BI270" i="2"/>
  <c r="BI279" i="2"/>
  <c r="BQ148" i="2"/>
  <c r="DM148" i="2" s="1"/>
  <c r="BQ51" i="2"/>
  <c r="CC221" i="2"/>
  <c r="CC222" i="2" s="1"/>
  <c r="BU221" i="2"/>
  <c r="BU222" i="2" s="1"/>
  <c r="L77" i="5"/>
  <c r="L177" i="5"/>
  <c r="AQ58" i="5"/>
  <c r="AQ80" i="5" s="1"/>
  <c r="AP58" i="5"/>
  <c r="AP80" i="5" s="1"/>
  <c r="DR141" i="5"/>
  <c r="AC275" i="5"/>
  <c r="U272" i="5"/>
  <c r="AL245" i="5"/>
  <c r="AP274" i="5"/>
  <c r="AP275" i="5" s="1"/>
  <c r="L269" i="5"/>
  <c r="AP143" i="5"/>
  <c r="AF247" i="5"/>
  <c r="AZ239" i="5"/>
  <c r="AE235" i="5"/>
  <c r="AN8" i="5"/>
  <c r="AN243" i="5" s="1"/>
  <c r="DF58" i="5"/>
  <c r="DF80" i="5" s="1"/>
  <c r="AD260" i="5"/>
  <c r="AD128" i="5"/>
  <c r="DA128" i="5" s="1"/>
  <c r="DA52" i="5"/>
  <c r="AS129" i="5"/>
  <c r="CZ322" i="5"/>
  <c r="CZ328" i="5" s="1"/>
  <c r="CZ327" i="5" s="1"/>
  <c r="DG7" i="5"/>
  <c r="Z177" i="5"/>
  <c r="AN245" i="5"/>
  <c r="DG139" i="5"/>
  <c r="BU53" i="5"/>
  <c r="BU78" i="5" s="1"/>
  <c r="BV141" i="1"/>
  <c r="V259" i="5"/>
  <c r="S132" i="5"/>
  <c r="S131" i="5" s="1"/>
  <c r="S264" i="5" s="1"/>
  <c r="Z132" i="5"/>
  <c r="AZ158" i="5"/>
  <c r="BM138" i="5"/>
  <c r="CA301" i="5"/>
  <c r="CA292" i="5" s="1"/>
  <c r="V275" i="5"/>
  <c r="P128" i="5"/>
  <c r="DE143" i="5"/>
  <c r="BR264" i="5"/>
  <c r="AL336" i="5"/>
  <c r="BD159" i="5"/>
  <c r="AP259" i="5"/>
  <c r="O245" i="5"/>
  <c r="BT235" i="5"/>
  <c r="BL129" i="5"/>
  <c r="K238" i="5"/>
  <c r="G259" i="5"/>
  <c r="BM53" i="5"/>
  <c r="BM78" i="5" s="1"/>
  <c r="G23" i="9"/>
  <c r="G25" i="9" s="1"/>
  <c r="S172" i="5"/>
  <c r="AE245" i="5"/>
  <c r="AE248" i="5"/>
  <c r="AE246" i="5"/>
  <c r="I139" i="5"/>
  <c r="I263" i="5" s="1"/>
  <c r="S285" i="5"/>
  <c r="S271" i="5" s="1"/>
  <c r="CY271" i="5" s="1"/>
  <c r="DF64" i="5"/>
  <c r="DF322" i="5"/>
  <c r="CJ282" i="2"/>
  <c r="AX275" i="5"/>
  <c r="AG162" i="5"/>
  <c r="AO164" i="5"/>
  <c r="BE158" i="5"/>
  <c r="CC215" i="5"/>
  <c r="BT248" i="5"/>
  <c r="BM264" i="5"/>
  <c r="AN171" i="5"/>
  <c r="CY173" i="5"/>
  <c r="CY171" i="5" s="1"/>
  <c r="L165" i="5"/>
  <c r="AE8" i="5"/>
  <c r="AF171" i="5"/>
  <c r="X171" i="5"/>
  <c r="BT245" i="5"/>
  <c r="E11" i="3"/>
  <c r="AD58" i="5"/>
  <c r="AD80" i="5" s="1"/>
  <c r="L301" i="5"/>
  <c r="L292" i="5" s="1"/>
  <c r="BS53" i="5"/>
  <c r="BS78" i="5" s="1"/>
  <c r="BG308" i="5"/>
  <c r="AG238" i="5"/>
  <c r="CG290" i="2"/>
  <c r="CG292" i="2" s="1"/>
  <c r="DC131" i="5"/>
  <c r="AD143" i="5"/>
  <c r="CZ141" i="5"/>
  <c r="CZ139" i="5" s="1"/>
  <c r="DA287" i="5"/>
  <c r="DA269" i="5" s="1"/>
  <c r="CZ259" i="5"/>
  <c r="AF172" i="5"/>
  <c r="AL247" i="5"/>
  <c r="J301" i="5"/>
  <c r="J292" i="5" s="1"/>
  <c r="DM185" i="5"/>
  <c r="DM188" i="5" s="1"/>
  <c r="AL246" i="5"/>
  <c r="AT275" i="5"/>
  <c r="DN58" i="5"/>
  <c r="DN80" i="5" s="1"/>
  <c r="AZ275" i="5"/>
  <c r="M128" i="5"/>
  <c r="M129" i="5" s="1"/>
  <c r="L164" i="5"/>
  <c r="DB64" i="5"/>
  <c r="H259" i="5"/>
  <c r="DM132" i="5"/>
  <c r="DM131" i="5" s="1"/>
  <c r="Y301" i="5"/>
  <c r="Y292" i="5" s="1"/>
  <c r="M58" i="5"/>
  <c r="M80" i="5" s="1"/>
  <c r="Y275" i="5"/>
  <c r="AN54" i="5"/>
  <c r="Z246" i="5"/>
  <c r="AY159" i="5"/>
  <c r="CG159" i="5"/>
  <c r="CZ173" i="5"/>
  <c r="CZ171" i="5" s="1"/>
  <c r="L172" i="5"/>
  <c r="V172" i="5"/>
  <c r="AN128" i="5"/>
  <c r="AG275" i="5"/>
  <c r="DJ269" i="5"/>
  <c r="BR138" i="5"/>
  <c r="AQ300" i="5"/>
  <c r="AQ335" i="5" s="1"/>
  <c r="AQ340" i="5" s="1"/>
  <c r="P269" i="5"/>
  <c r="P275" i="5" s="1"/>
  <c r="F259" i="5"/>
  <c r="BT308" i="5"/>
  <c r="BB275" i="5"/>
  <c r="AL248" i="5"/>
  <c r="AA128" i="5"/>
  <c r="AA129" i="5" s="1"/>
  <c r="CB51" i="5"/>
  <c r="CB75" i="5" s="1"/>
  <c r="DO85" i="5"/>
  <c r="DE142" i="5"/>
  <c r="DE139" i="5" s="1"/>
  <c r="DE138" i="5" s="1"/>
  <c r="DE137" i="5" s="1"/>
  <c r="DI285" i="2"/>
  <c r="DI287" i="2" s="1"/>
  <c r="F107" i="5"/>
  <c r="F129" i="5" s="1"/>
  <c r="BT301" i="5"/>
  <c r="BT292" i="5" s="1"/>
  <c r="AF8" i="5"/>
  <c r="X54" i="5"/>
  <c r="O285" i="5"/>
  <c r="O271" i="5" s="1"/>
  <c r="CX271" i="5" s="1"/>
  <c r="Q132" i="5"/>
  <c r="Q131" i="5" s="1"/>
  <c r="Q264" i="5" s="1"/>
  <c r="AH128" i="5"/>
  <c r="DB128" i="5" s="1"/>
  <c r="DB129" i="5" s="1"/>
  <c r="O275" i="5"/>
  <c r="BA158" i="5"/>
  <c r="O107" i="5"/>
  <c r="O129" i="5" s="1"/>
  <c r="Z247" i="5"/>
  <c r="DC239" i="5"/>
  <c r="CH159" i="5"/>
  <c r="CL159" i="5" s="1"/>
  <c r="CP159" i="5" s="1"/>
  <c r="DK10" i="5"/>
  <c r="DD64" i="5"/>
  <c r="BN275" i="5"/>
  <c r="AN235" i="5"/>
  <c r="AY172" i="5"/>
  <c r="AY54" i="5"/>
  <c r="AY77" i="5" s="1"/>
  <c r="AR328" i="5"/>
  <c r="AR335" i="5"/>
  <c r="AR322" i="5"/>
  <c r="AR308" i="5"/>
  <c r="DG58" i="5"/>
  <c r="DG80" i="5" s="1"/>
  <c r="N285" i="5"/>
  <c r="N271" i="5" s="1"/>
  <c r="DK19" i="5"/>
  <c r="DK259" i="5" s="1"/>
  <c r="AT53" i="5"/>
  <c r="AT78" i="5" s="1"/>
  <c r="DB260" i="5"/>
  <c r="L139" i="5"/>
  <c r="AH156" i="5"/>
  <c r="AQ260" i="5"/>
  <c r="BM172" i="5"/>
  <c r="CY67" i="5"/>
  <c r="Y260" i="5"/>
  <c r="AM128" i="5"/>
  <c r="AM129" i="5" s="1"/>
  <c r="DB239" i="5"/>
  <c r="DO143" i="5"/>
  <c r="AD73" i="5"/>
  <c r="DA73" i="5" s="1"/>
  <c r="BG6" i="5"/>
  <c r="BG248" i="5" s="1"/>
  <c r="DC173" i="5"/>
  <c r="DC171" i="5" s="1"/>
  <c r="AM245" i="5"/>
  <c r="D172" i="5"/>
  <c r="P17" i="5"/>
  <c r="P43" i="5" s="1"/>
  <c r="P45" i="5" s="1"/>
  <c r="P46" i="5" s="1"/>
  <c r="P56" i="5" s="1"/>
  <c r="DD143" i="5"/>
  <c r="Z301" i="5"/>
  <c r="Z292" i="5" s="1"/>
  <c r="DA129" i="5"/>
  <c r="DL216" i="5"/>
  <c r="Q28" i="3" s="1"/>
  <c r="BY264" i="5"/>
  <c r="BY53" i="5"/>
  <c r="BY78" i="5" s="1"/>
  <c r="BR141" i="1"/>
  <c r="AN248" i="5"/>
  <c r="BY290" i="2"/>
  <c r="BY292" i="2" s="1"/>
  <c r="AX261" i="5"/>
  <c r="P301" i="5"/>
  <c r="P292" i="5" s="1"/>
  <c r="AH235" i="5"/>
  <c r="DH132" i="5"/>
  <c r="DI53" i="5" s="1"/>
  <c r="DI78" i="5" s="1"/>
  <c r="Y129" i="5"/>
  <c r="CY83" i="5"/>
  <c r="AY129" i="5"/>
  <c r="CZ64" i="5"/>
  <c r="DI132" i="5"/>
  <c r="D171" i="5"/>
  <c r="R165" i="5"/>
  <c r="T107" i="5"/>
  <c r="CX131" i="5"/>
  <c r="AC139" i="5"/>
  <c r="AC263" i="5" s="1"/>
  <c r="DH52" i="5"/>
  <c r="DH73" i="5" s="1"/>
  <c r="CY331" i="5"/>
  <c r="AZ328" i="5"/>
  <c r="AZ322" i="5"/>
  <c r="BA301" i="5"/>
  <c r="BA292" i="5" s="1"/>
  <c r="BM328" i="5"/>
  <c r="CZ18" i="5"/>
  <c r="E18" i="3" s="1"/>
  <c r="AH157" i="5"/>
  <c r="AH154" i="5" s="1"/>
  <c r="DK281" i="2"/>
  <c r="AT128" i="5"/>
  <c r="BL275" i="5"/>
  <c r="AH245" i="5"/>
  <c r="BZ248" i="5"/>
  <c r="BP131" i="5"/>
  <c r="BP264" i="5" s="1"/>
  <c r="BD129" i="5"/>
  <c r="BV53" i="5"/>
  <c r="BV78" i="5" s="1"/>
  <c r="AZ159" i="5"/>
  <c r="Z128" i="5"/>
  <c r="DB6" i="5"/>
  <c r="DB156" i="5" s="1"/>
  <c r="CB171" i="5"/>
  <c r="AX172" i="5"/>
  <c r="DL141" i="1"/>
  <c r="X240" i="5"/>
  <c r="N58" i="5"/>
  <c r="N80" i="5" s="1"/>
  <c r="BP138" i="5"/>
  <c r="BM308" i="5"/>
  <c r="V128" i="5"/>
  <c r="CY128" i="5" s="1"/>
  <c r="BM301" i="5"/>
  <c r="BM292" i="5" s="1"/>
  <c r="BH292" i="5"/>
  <c r="DB139" i="5"/>
  <c r="DB264" i="5" s="1"/>
  <c r="AV49" i="5"/>
  <c r="AH336" i="5"/>
  <c r="DM301" i="5"/>
  <c r="AB58" i="5"/>
  <c r="AB80" i="5" s="1"/>
  <c r="BP53" i="5"/>
  <c r="BP78" i="5" s="1"/>
  <c r="AH165" i="5"/>
  <c r="AX171" i="5"/>
  <c r="AH238" i="5"/>
  <c r="N157" i="5"/>
  <c r="AS240" i="5"/>
  <c r="DE132" i="5"/>
  <c r="DE131" i="5" s="1"/>
  <c r="M314" i="5"/>
  <c r="M315" i="5" s="1"/>
  <c r="AP128" i="5"/>
  <c r="DD128" i="5" s="1"/>
  <c r="F272" i="5"/>
  <c r="BX159" i="5"/>
  <c r="S259" i="5"/>
  <c r="AR129" i="5"/>
  <c r="CD305" i="2"/>
  <c r="CI141" i="1"/>
  <c r="CF172" i="5"/>
  <c r="AF260" i="5"/>
  <c r="AV312" i="2"/>
  <c r="AV281" i="2" s="1"/>
  <c r="AV282" i="2" s="1"/>
  <c r="BC129" i="5"/>
  <c r="Q312" i="5"/>
  <c r="DN139" i="5"/>
  <c r="S61" i="3" s="1"/>
  <c r="BN301" i="5"/>
  <c r="BN292" i="5" s="1"/>
  <c r="AM247" i="5"/>
  <c r="CZ51" i="5"/>
  <c r="BM40" i="5"/>
  <c r="Y54" i="5"/>
  <c r="Z170" i="5" s="1"/>
  <c r="AQ275" i="5"/>
  <c r="O58" i="5"/>
  <c r="O80" i="5" s="1"/>
  <c r="BH137" i="5"/>
  <c r="AJ128" i="5"/>
  <c r="Q314" i="5"/>
  <c r="BK138" i="5"/>
  <c r="AQ128" i="5"/>
  <c r="AQ129" i="5" s="1"/>
  <c r="DC81" i="5"/>
  <c r="BY321" i="5"/>
  <c r="DN321" i="5"/>
  <c r="DN322" i="5" s="1"/>
  <c r="H77" i="5"/>
  <c r="H177" i="5"/>
  <c r="CX140" i="5"/>
  <c r="CX259" i="5" s="1"/>
  <c r="CX279" i="5"/>
  <c r="CY277" i="5"/>
  <c r="CY269" i="5" s="1"/>
  <c r="DD132" i="5"/>
  <c r="DD131" i="5" s="1"/>
  <c r="DD264" i="5" s="1"/>
  <c r="AC259" i="5"/>
  <c r="AT40" i="5"/>
  <c r="AL143" i="5"/>
  <c r="BV240" i="5"/>
  <c r="AO54" i="5"/>
  <c r="AO172" i="5"/>
  <c r="AO171" i="5"/>
  <c r="W301" i="5"/>
  <c r="W292" i="5" s="1"/>
  <c r="X301" i="5"/>
  <c r="X292" i="5" s="1"/>
  <c r="CX52" i="5"/>
  <c r="R73" i="5"/>
  <c r="CX73" i="5" s="1"/>
  <c r="T270" i="5"/>
  <c r="AM235" i="5"/>
  <c r="AM336" i="5"/>
  <c r="AM238" i="5"/>
  <c r="AM8" i="5"/>
  <c r="AM243" i="5" s="1"/>
  <c r="AN238" i="5"/>
  <c r="T58" i="5"/>
  <c r="T80" i="5" s="1"/>
  <c r="T143" i="5"/>
  <c r="AL163" i="5"/>
  <c r="D17" i="5"/>
  <c r="D43" i="5" s="1"/>
  <c r="D45" i="5" s="1"/>
  <c r="M157" i="5"/>
  <c r="CB240" i="5"/>
  <c r="BT8" i="5"/>
  <c r="BT211" i="5"/>
  <c r="BT246" i="5"/>
  <c r="Q139" i="5"/>
  <c r="Q263" i="5" s="1"/>
  <c r="R259" i="5"/>
  <c r="AB139" i="5"/>
  <c r="AB263" i="5" s="1"/>
  <c r="BM275" i="5"/>
  <c r="DB131" i="5"/>
  <c r="D131" i="5"/>
  <c r="D53" i="5"/>
  <c r="D78" i="5" s="1"/>
  <c r="AW53" i="5"/>
  <c r="AW78" i="5" s="1"/>
  <c r="BS131" i="5"/>
  <c r="BS264" i="5" s="1"/>
  <c r="BT53" i="5"/>
  <c r="BT78" i="5" s="1"/>
  <c r="AB301" i="5"/>
  <c r="AB292" i="5" s="1"/>
  <c r="AA301" i="5"/>
  <c r="AA292" i="5" s="1"/>
  <c r="O139" i="5"/>
  <c r="O263" i="5" s="1"/>
  <c r="O259" i="5"/>
  <c r="AE314" i="5"/>
  <c r="AE300" i="5"/>
  <c r="AE301" i="5" s="1"/>
  <c r="AE292" i="5" s="1"/>
  <c r="BN263" i="5"/>
  <c r="BN138" i="5"/>
  <c r="BO261" i="5"/>
  <c r="T275" i="5"/>
  <c r="CI54" i="5"/>
  <c r="CI77" i="5" s="1"/>
  <c r="CI171" i="5"/>
  <c r="DL58" i="5"/>
  <c r="DL80" i="5" s="1"/>
  <c r="DD298" i="5"/>
  <c r="DD300" i="5" s="1"/>
  <c r="DD142" i="5"/>
  <c r="DD139" i="5" s="1"/>
  <c r="J280" i="5"/>
  <c r="J270" i="5"/>
  <c r="DR31" i="5"/>
  <c r="V24" i="3"/>
  <c r="V315" i="5"/>
  <c r="V314" i="5" s="1"/>
  <c r="V319" i="5" s="1"/>
  <c r="AL307" i="5"/>
  <c r="DC307" i="5" s="1"/>
  <c r="DC308" i="5" s="1"/>
  <c r="CX89" i="5"/>
  <c r="R107" i="5"/>
  <c r="CX107" i="5" s="1"/>
  <c r="X283" i="5"/>
  <c r="W282" i="5"/>
  <c r="W285" i="5" s="1"/>
  <c r="W271" i="5" s="1"/>
  <c r="AJ245" i="5"/>
  <c r="AJ235" i="5"/>
  <c r="AJ246" i="5"/>
  <c r="S129" i="5"/>
  <c r="AP53" i="5"/>
  <c r="U129" i="5"/>
  <c r="AA240" i="5"/>
  <c r="DA10" i="5"/>
  <c r="F15" i="3" s="1"/>
  <c r="DT289" i="2"/>
  <c r="DT284" i="2" s="1"/>
  <c r="DT285" i="2" s="1"/>
  <c r="DT287" i="2" s="1"/>
  <c r="AR171" i="5"/>
  <c r="P280" i="5"/>
  <c r="BT215" i="5"/>
  <c r="DC63" i="5"/>
  <c r="AJ8" i="5"/>
  <c r="AJ243" i="5" s="1"/>
  <c r="BQ240" i="5"/>
  <c r="AM171" i="5"/>
  <c r="DD173" i="5"/>
  <c r="DD171" i="5" s="1"/>
  <c r="AM172" i="5"/>
  <c r="K235" i="5"/>
  <c r="K245" i="5"/>
  <c r="L157" i="5"/>
  <c r="M163" i="5"/>
  <c r="L238" i="5"/>
  <c r="M165" i="5"/>
  <c r="BH235" i="5"/>
  <c r="BH247" i="5"/>
  <c r="BH8" i="5"/>
  <c r="BH17" i="5" s="1"/>
  <c r="CA240" i="5"/>
  <c r="BB240" i="5"/>
  <c r="AI238" i="5"/>
  <c r="AH246" i="5"/>
  <c r="AH247" i="5"/>
  <c r="DM52" i="5"/>
  <c r="DM73" i="5" s="1"/>
  <c r="AB240" i="5"/>
  <c r="CD131" i="5"/>
  <c r="CD264" i="5" s="1"/>
  <c r="CD53" i="5"/>
  <c r="CD78" i="5" s="1"/>
  <c r="CE53" i="5"/>
  <c r="CE78" i="5" s="1"/>
  <c r="BW131" i="5"/>
  <c r="BW264" i="5" s="1"/>
  <c r="BX53" i="5"/>
  <c r="BX78" i="5" s="1"/>
  <c r="BW53" i="5"/>
  <c r="BW78" i="5" s="1"/>
  <c r="AT58" i="5"/>
  <c r="AT80" i="5" s="1"/>
  <c r="DE80" i="5" s="1"/>
  <c r="AT143" i="5"/>
  <c r="AU58" i="5"/>
  <c r="AU80" i="5" s="1"/>
  <c r="DN52" i="5"/>
  <c r="DN73" i="5" s="1"/>
  <c r="BF53" i="5"/>
  <c r="BF78" i="5" s="1"/>
  <c r="DD337" i="5"/>
  <c r="AA139" i="5"/>
  <c r="AA263" i="5" s="1"/>
  <c r="AA85" i="5"/>
  <c r="AB260" i="5"/>
  <c r="AA260" i="5"/>
  <c r="BR51" i="5"/>
  <c r="BR75" i="5" s="1"/>
  <c r="BR168" i="5"/>
  <c r="BR171" i="5"/>
  <c r="BC308" i="5"/>
  <c r="BC328" i="5"/>
  <c r="BC322" i="5"/>
  <c r="AB83" i="5"/>
  <c r="DA83" i="5" s="1"/>
  <c r="DA67" i="5"/>
  <c r="AP328" i="5"/>
  <c r="AP322" i="5"/>
  <c r="R260" i="5"/>
  <c r="R139" i="5"/>
  <c r="S260" i="5"/>
  <c r="DB65" i="5"/>
  <c r="M238" i="5"/>
  <c r="P156" i="5"/>
  <c r="CG239" i="5"/>
  <c r="CI158" i="5"/>
  <c r="CM158" i="5" s="1"/>
  <c r="CI159" i="5"/>
  <c r="CM159" i="5" s="1"/>
  <c r="BZ131" i="5"/>
  <c r="BZ53" i="5"/>
  <c r="BZ78" i="5" s="1"/>
  <c r="CA53" i="5"/>
  <c r="CA78" i="5" s="1"/>
  <c r="N240" i="5"/>
  <c r="T240" i="5"/>
  <c r="E171" i="5"/>
  <c r="E54" i="5"/>
  <c r="E77" i="5" s="1"/>
  <c r="AO131" i="5"/>
  <c r="AO53" i="5"/>
  <c r="AO78" i="5" s="1"/>
  <c r="S85" i="5"/>
  <c r="DD65" i="5"/>
  <c r="DE64" i="5"/>
  <c r="DD89" i="5"/>
  <c r="AP107" i="5"/>
  <c r="AI60" i="5"/>
  <c r="DC60" i="5" s="1"/>
  <c r="DC18" i="5"/>
  <c r="H18" i="3" s="1"/>
  <c r="CY282" i="5"/>
  <c r="AR54" i="5"/>
  <c r="AR77" i="5" s="1"/>
  <c r="AP335" i="5"/>
  <c r="AP340" i="5" s="1"/>
  <c r="CI233" i="5"/>
  <c r="U58" i="5"/>
  <c r="U80" i="5" s="1"/>
  <c r="BT247" i="5"/>
  <c r="J269" i="5"/>
  <c r="J285" i="5"/>
  <c r="J271" i="5" s="1"/>
  <c r="E259" i="5"/>
  <c r="DP148" i="5"/>
  <c r="L163" i="5"/>
  <c r="BD239" i="5"/>
  <c r="AJ157" i="5"/>
  <c r="AJ154" i="5" s="1"/>
  <c r="AJ248" i="5"/>
  <c r="BE247" i="5"/>
  <c r="BE246" i="5"/>
  <c r="BU233" i="5"/>
  <c r="BU8" i="5"/>
  <c r="BU243" i="5" s="1"/>
  <c r="BU235" i="5"/>
  <c r="BU247" i="5"/>
  <c r="BB158" i="5"/>
  <c r="BD158" i="5"/>
  <c r="BB159" i="5"/>
  <c r="BB239" i="5"/>
  <c r="BE248" i="5"/>
  <c r="BE10" i="5"/>
  <c r="BF240" i="5" s="1"/>
  <c r="AI163" i="5"/>
  <c r="AH163" i="5"/>
  <c r="AJ247" i="5"/>
  <c r="C11" i="3"/>
  <c r="CY239" i="5"/>
  <c r="CX239" i="5"/>
  <c r="AX10" i="5"/>
  <c r="AX240" i="5" s="1"/>
  <c r="DF15" i="5"/>
  <c r="AV301" i="5"/>
  <c r="AV292" i="5" s="1"/>
  <c r="AV328" i="5"/>
  <c r="AV322" i="5"/>
  <c r="BM137" i="5"/>
  <c r="DD259" i="5"/>
  <c r="AW261" i="5"/>
  <c r="AV261" i="5"/>
  <c r="U139" i="5"/>
  <c r="U263" i="5" s="1"/>
  <c r="AG60" i="5"/>
  <c r="DB60" i="5" s="1"/>
  <c r="DB18" i="5"/>
  <c r="G18" i="3" s="1"/>
  <c r="BE129" i="5"/>
  <c r="P259" i="5"/>
  <c r="P139" i="5"/>
  <c r="S308" i="5"/>
  <c r="S314" i="5"/>
  <c r="S315" i="5" s="1"/>
  <c r="G263" i="5"/>
  <c r="G264" i="5"/>
  <c r="DR289" i="2"/>
  <c r="DR284" i="2" s="1"/>
  <c r="DR285" i="2" s="1"/>
  <c r="DR287" i="2" s="1"/>
  <c r="DP269" i="5"/>
  <c r="M272" i="5"/>
  <c r="CI129" i="5"/>
  <c r="AV129" i="5"/>
  <c r="BL137" i="5"/>
  <c r="O240" i="5"/>
  <c r="D58" i="5"/>
  <c r="D80" i="5" s="1"/>
  <c r="E58" i="5"/>
  <c r="E80" i="5" s="1"/>
  <c r="Q270" i="5"/>
  <c r="Q275" i="5" s="1"/>
  <c r="DI259" i="5"/>
  <c r="CX143" i="5"/>
  <c r="C131" i="5"/>
  <c r="C264" i="5" s="1"/>
  <c r="C53" i="5"/>
  <c r="C78" i="5" s="1"/>
  <c r="CH292" i="2"/>
  <c r="DT284" i="5"/>
  <c r="CL309" i="2"/>
  <c r="N270" i="5"/>
  <c r="N319" i="5"/>
  <c r="N295" i="5" s="1"/>
  <c r="AO138" i="5"/>
  <c r="DG143" i="5"/>
  <c r="DG138" i="5" s="1"/>
  <c r="AQ53" i="5"/>
  <c r="AQ78" i="5" s="1"/>
  <c r="AU129" i="5"/>
  <c r="BX301" i="5"/>
  <c r="BX292" i="5" s="1"/>
  <c r="CG141" i="1"/>
  <c r="DG301" i="5"/>
  <c r="H143" i="5"/>
  <c r="AJ240" i="5"/>
  <c r="AN240" i="5"/>
  <c r="Z235" i="5"/>
  <c r="DH173" i="5"/>
  <c r="DH54" i="5" s="1"/>
  <c r="DH77" i="5" s="1"/>
  <c r="BH171" i="5"/>
  <c r="AT171" i="5"/>
  <c r="DN173" i="5"/>
  <c r="BN264" i="5"/>
  <c r="AF275" i="5"/>
  <c r="R269" i="5"/>
  <c r="H58" i="5"/>
  <c r="H80" i="5" s="1"/>
  <c r="AI275" i="5"/>
  <c r="AO129" i="5"/>
  <c r="AN247" i="5"/>
  <c r="BR129" i="5"/>
  <c r="K53" i="5"/>
  <c r="K78" i="5" s="1"/>
  <c r="AG19" i="6"/>
  <c r="BW307" i="5"/>
  <c r="DC337" i="5"/>
  <c r="DC340" i="5" s="1"/>
  <c r="E272" i="5"/>
  <c r="AI128" i="5"/>
  <c r="BC275" i="5"/>
  <c r="DI107" i="5"/>
  <c r="BY240" i="5"/>
  <c r="BN240" i="5"/>
  <c r="AJ275" i="5"/>
  <c r="BG275" i="5"/>
  <c r="BP141" i="1"/>
  <c r="CZ40" i="5"/>
  <c r="H17" i="5"/>
  <c r="BA240" i="5"/>
  <c r="DO52" i="5"/>
  <c r="DO73" i="5" s="1"/>
  <c r="AB85" i="5"/>
  <c r="BZ188" i="5"/>
  <c r="BZ201" i="5"/>
  <c r="DJ259" i="5"/>
  <c r="I107" i="5"/>
  <c r="DI139" i="5"/>
  <c r="AV138" i="5"/>
  <c r="AV137" i="5" s="1"/>
  <c r="AT139" i="5"/>
  <c r="AU261" i="5" s="1"/>
  <c r="DL132" i="5"/>
  <c r="N132" i="5"/>
  <c r="N156" i="5" s="1"/>
  <c r="N164" i="5"/>
  <c r="DM309" i="2"/>
  <c r="Z17" i="5"/>
  <c r="DD138" i="5"/>
  <c r="AW264" i="5"/>
  <c r="N261" i="5"/>
  <c r="AN336" i="5"/>
  <c r="AH53" i="5"/>
  <c r="AH78" i="5" s="1"/>
  <c r="BL53" i="5"/>
  <c r="BL78" i="5" s="1"/>
  <c r="BK53" i="5"/>
  <c r="BK78" i="5" s="1"/>
  <c r="BK131" i="5"/>
  <c r="BA261" i="5"/>
  <c r="AP139" i="5"/>
  <c r="AP264" i="5" s="1"/>
  <c r="DS289" i="2"/>
  <c r="DS284" i="2" s="1"/>
  <c r="DS285" i="2" s="1"/>
  <c r="DS287" i="2" s="1"/>
  <c r="DM139" i="5"/>
  <c r="R61" i="3" s="1"/>
  <c r="S163" i="5"/>
  <c r="AD235" i="5"/>
  <c r="DE73" i="5"/>
  <c r="DI128" i="5"/>
  <c r="DO58" i="5"/>
  <c r="DO80" i="5" s="1"/>
  <c r="DH58" i="5"/>
  <c r="DH80" i="5" s="1"/>
  <c r="V285" i="5"/>
  <c r="V271" i="5" s="1"/>
  <c r="V272" i="5" s="1"/>
  <c r="L107" i="5"/>
  <c r="L129" i="5" s="1"/>
  <c r="P238" i="5"/>
  <c r="O248" i="5"/>
  <c r="DA132" i="5"/>
  <c r="DA131" i="5" s="1"/>
  <c r="AJ129" i="5"/>
  <c r="CE240" i="5"/>
  <c r="S8" i="5"/>
  <c r="S243" i="5" s="1"/>
  <c r="AC240" i="5"/>
  <c r="S164" i="5"/>
  <c r="BF159" i="5"/>
  <c r="H129" i="5"/>
  <c r="Q107" i="5"/>
  <c r="BQ129" i="5"/>
  <c r="BG301" i="5"/>
  <c r="BF322" i="5"/>
  <c r="BF308" i="5"/>
  <c r="BF328" i="5"/>
  <c r="CE261" i="5"/>
  <c r="U259" i="5"/>
  <c r="T259" i="5"/>
  <c r="T139" i="5"/>
  <c r="T261" i="5" s="1"/>
  <c r="AG83" i="5"/>
  <c r="DB67" i="5"/>
  <c r="DB83" i="5" s="1"/>
  <c r="BJ259" i="5"/>
  <c r="BJ274" i="5"/>
  <c r="BJ275" i="5" s="1"/>
  <c r="W73" i="5"/>
  <c r="CZ73" i="5" s="1"/>
  <c r="CZ52" i="5"/>
  <c r="AG260" i="5"/>
  <c r="AG85" i="5"/>
  <c r="T60" i="5"/>
  <c r="DO285" i="2"/>
  <c r="DO287" i="2" s="1"/>
  <c r="DO19" i="5"/>
  <c r="O272" i="5"/>
  <c r="CG233" i="5"/>
  <c r="CG211" i="5"/>
  <c r="CG246" i="5"/>
  <c r="CH238" i="5"/>
  <c r="CG215" i="5"/>
  <c r="CG245" i="5"/>
  <c r="CG235" i="5"/>
  <c r="CG247" i="5"/>
  <c r="CJ131" i="5"/>
  <c r="CJ264" i="5" s="1"/>
  <c r="CJ53" i="5"/>
  <c r="CJ78" i="5" s="1"/>
  <c r="AP240" i="5"/>
  <c r="BZ247" i="5"/>
  <c r="BZ246" i="5"/>
  <c r="BZ211" i="5"/>
  <c r="BK322" i="5"/>
  <c r="BL301" i="5"/>
  <c r="BL292" i="5" s="1"/>
  <c r="BK308" i="5"/>
  <c r="BK328" i="5"/>
  <c r="CH243" i="5"/>
  <c r="CH17" i="5"/>
  <c r="CD290" i="2"/>
  <c r="CD292" i="2" s="1"/>
  <c r="CE290" i="2"/>
  <c r="CE292" i="2" s="1"/>
  <c r="T131" i="5"/>
  <c r="U53" i="5"/>
  <c r="AT322" i="5"/>
  <c r="Q240" i="5"/>
  <c r="R240" i="5"/>
  <c r="BI54" i="5"/>
  <c r="BI77" i="5" s="1"/>
  <c r="BI171" i="5"/>
  <c r="CB141" i="1"/>
  <c r="BX141" i="1"/>
  <c r="DR112" i="5"/>
  <c r="DR308" i="2" s="1"/>
  <c r="DP144" i="1"/>
  <c r="DP143" i="1" s="1"/>
  <c r="DC143" i="5"/>
  <c r="DG15" i="5"/>
  <c r="DG10" i="5" s="1"/>
  <c r="L15" i="3" s="1"/>
  <c r="CJ239" i="5"/>
  <c r="CJ159" i="5"/>
  <c r="CN159" i="5" s="1"/>
  <c r="CJ158" i="5"/>
  <c r="CN158" i="5" s="1"/>
  <c r="DN138" i="1"/>
  <c r="DM140" i="1"/>
  <c r="DM141" i="1" s="1"/>
  <c r="BH77" i="5"/>
  <c r="BH177" i="5"/>
  <c r="BT323" i="5"/>
  <c r="BT324" i="5" s="1"/>
  <c r="BU325" i="5"/>
  <c r="BW261" i="5"/>
  <c r="BV264" i="5"/>
  <c r="BV248" i="5"/>
  <c r="BV246" i="5"/>
  <c r="AJ322" i="5"/>
  <c r="BV261" i="5"/>
  <c r="DK234" i="5"/>
  <c r="DK232" i="5" s="1"/>
  <c r="P28" i="3"/>
  <c r="DK217" i="5"/>
  <c r="BV211" i="5"/>
  <c r="K269" i="5"/>
  <c r="K275" i="5" s="1"/>
  <c r="K285" i="5"/>
  <c r="K271" i="5" s="1"/>
  <c r="AF139" i="5"/>
  <c r="AF263" i="5" s="1"/>
  <c r="CC217" i="5"/>
  <c r="CD239" i="5"/>
  <c r="CC160" i="5"/>
  <c r="CC158" i="5"/>
  <c r="CF159" i="5"/>
  <c r="CD158" i="5"/>
  <c r="CC239" i="5"/>
  <c r="CE158" i="5"/>
  <c r="CE159" i="5"/>
  <c r="DJ301" i="5"/>
  <c r="DI322" i="5"/>
  <c r="DI328" i="5"/>
  <c r="BN137" i="5"/>
  <c r="AS171" i="5"/>
  <c r="AS54" i="5"/>
  <c r="AS170" i="5" s="1"/>
  <c r="AS172" i="5"/>
  <c r="BW54" i="5"/>
  <c r="BW177" i="5" s="1"/>
  <c r="BW171" i="5"/>
  <c r="BQ170" i="5"/>
  <c r="BQ77" i="5"/>
  <c r="BO54" i="5"/>
  <c r="BP170" i="5" s="1"/>
  <c r="BO172" i="5"/>
  <c r="R131" i="5"/>
  <c r="R264" i="5" s="1"/>
  <c r="R156" i="5"/>
  <c r="AI129" i="5"/>
  <c r="AW127" i="5"/>
  <c r="AW145" i="5" s="1"/>
  <c r="DH300" i="5"/>
  <c r="DH308" i="5" s="1"/>
  <c r="DF143" i="5"/>
  <c r="Z77" i="5"/>
  <c r="X275" i="5"/>
  <c r="BW301" i="5"/>
  <c r="BW292" i="5" s="1"/>
  <c r="BV322" i="5"/>
  <c r="AG170" i="5"/>
  <c r="CD159" i="5"/>
  <c r="BV171" i="5"/>
  <c r="BV51" i="5"/>
  <c r="BV75" i="5" s="1"/>
  <c r="CA158" i="5"/>
  <c r="BY239" i="5"/>
  <c r="BZ158" i="5"/>
  <c r="BZ159" i="5"/>
  <c r="BZ160" i="5"/>
  <c r="Z263" i="5"/>
  <c r="BO141" i="1"/>
  <c r="BS141" i="1"/>
  <c r="S58" i="5"/>
  <c r="S80" i="5" s="1"/>
  <c r="R143" i="5"/>
  <c r="R138" i="5" s="1"/>
  <c r="CE308" i="5"/>
  <c r="CF307" i="5"/>
  <c r="CG307" i="5" s="1"/>
  <c r="CH307" i="5" s="1"/>
  <c r="BU127" i="5"/>
  <c r="BT145" i="5"/>
  <c r="BU264" i="5"/>
  <c r="CC292" i="2"/>
  <c r="U312" i="5"/>
  <c r="BE159" i="5"/>
  <c r="DK128" i="5"/>
  <c r="CY329" i="5"/>
  <c r="BS138" i="5"/>
  <c r="BS137" i="5" s="1"/>
  <c r="CC264" i="5"/>
  <c r="J139" i="5"/>
  <c r="K259" i="5"/>
  <c r="CX67" i="5"/>
  <c r="P83" i="5"/>
  <c r="CX83" i="5" s="1"/>
  <c r="S275" i="5"/>
  <c r="CH305" i="2"/>
  <c r="I129" i="5"/>
  <c r="DH143" i="5"/>
  <c r="DK52" i="5"/>
  <c r="DK73" i="5" s="1"/>
  <c r="Z138" i="5"/>
  <c r="DK107" i="5"/>
  <c r="F171" i="5"/>
  <c r="AH275" i="5"/>
  <c r="DM143" i="1"/>
  <c r="DN301" i="5"/>
  <c r="AE240" i="5"/>
  <c r="AY53" i="5"/>
  <c r="AY78" i="5" s="1"/>
  <c r="AX131" i="5"/>
  <c r="AX264" i="5" s="1"/>
  <c r="AC128" i="5"/>
  <c r="AC129" i="5" s="1"/>
  <c r="DG259" i="5"/>
  <c r="DN132" i="5"/>
  <c r="CG248" i="5"/>
  <c r="AT303" i="2"/>
  <c r="AT305" i="2" s="1"/>
  <c r="AP18" i="5"/>
  <c r="DD18" i="5" s="1"/>
  <c r="O171" i="5"/>
  <c r="CF171" i="5"/>
  <c r="AD17" i="5"/>
  <c r="AD22" i="5" s="1"/>
  <c r="AB235" i="5"/>
  <c r="AC85" i="5"/>
  <c r="AC260" i="5"/>
  <c r="CY142" i="5"/>
  <c r="CZ260" i="5" s="1"/>
  <c r="CY298" i="5"/>
  <c r="CY300" i="5" s="1"/>
  <c r="CZ301" i="5" s="1"/>
  <c r="BK54" i="5"/>
  <c r="BK77" i="5" s="1"/>
  <c r="BK171" i="5"/>
  <c r="P107" i="5"/>
  <c r="P129" i="5" s="1"/>
  <c r="BU261" i="5"/>
  <c r="DA18" i="5"/>
  <c r="DL259" i="5"/>
  <c r="DB337" i="5"/>
  <c r="T312" i="5"/>
  <c r="DR309" i="5"/>
  <c r="AF128" i="5"/>
  <c r="AI260" i="5"/>
  <c r="DO259" i="5"/>
  <c r="D314" i="5"/>
  <c r="D319" i="5" s="1"/>
  <c r="D295" i="5" s="1"/>
  <c r="M164" i="5"/>
  <c r="DE7" i="5"/>
  <c r="DE158" i="5" s="1"/>
  <c r="AV263" i="5"/>
  <c r="DM269" i="5"/>
  <c r="AW301" i="5"/>
  <c r="AW292" i="5" s="1"/>
  <c r="AV308" i="5"/>
  <c r="BI128" i="5"/>
  <c r="BI129" i="5" s="1"/>
  <c r="I259" i="5"/>
  <c r="R163" i="5"/>
  <c r="DE60" i="5"/>
  <c r="F54" i="5"/>
  <c r="F77" i="5" s="1"/>
  <c r="CY132" i="5"/>
  <c r="CY131" i="5" s="1"/>
  <c r="O246" i="5"/>
  <c r="AE129" i="5"/>
  <c r="O54" i="5"/>
  <c r="O77" i="5" s="1"/>
  <c r="AW240" i="5"/>
  <c r="Q54" i="5"/>
  <c r="Q77" i="5" s="1"/>
  <c r="AU158" i="5"/>
  <c r="AM54" i="5"/>
  <c r="AM177" i="5" s="1"/>
  <c r="K8" i="5"/>
  <c r="K243" i="5" s="1"/>
  <c r="K246" i="5"/>
  <c r="BI53" i="5"/>
  <c r="BI78" i="5" s="1"/>
  <c r="R270" i="5"/>
  <c r="C13" i="4"/>
  <c r="I23" i="9"/>
  <c r="I25" i="9" s="1"/>
  <c r="BK263" i="5"/>
  <c r="BL261" i="5"/>
  <c r="BK264" i="5"/>
  <c r="AI308" i="5"/>
  <c r="AH308" i="5" s="1"/>
  <c r="AH307" i="5" s="1"/>
  <c r="DB307" i="5" s="1"/>
  <c r="DB308" i="5" s="1"/>
  <c r="AJ307" i="5"/>
  <c r="AJ327" i="5" s="1"/>
  <c r="AJ328" i="5" s="1"/>
  <c r="O235" i="5"/>
  <c r="AN129" i="5"/>
  <c r="DF175" i="5"/>
  <c r="DN269" i="5"/>
  <c r="H139" i="5"/>
  <c r="H261" i="5" s="1"/>
  <c r="DP63" i="5"/>
  <c r="DP81" i="5" s="1"/>
  <c r="T272" i="5"/>
  <c r="Y139" i="5"/>
  <c r="Y263" i="5" s="1"/>
  <c r="CZ143" i="5"/>
  <c r="D308" i="5"/>
  <c r="BB285" i="2"/>
  <c r="BB287" i="2" s="1"/>
  <c r="DI143" i="5"/>
  <c r="M162" i="5"/>
  <c r="BH248" i="5"/>
  <c r="DG132" i="5"/>
  <c r="DG131" i="5" s="1"/>
  <c r="DG264" i="5" s="1"/>
  <c r="R245" i="5"/>
  <c r="DO132" i="5"/>
  <c r="DM58" i="5"/>
  <c r="DM80" i="5" s="1"/>
  <c r="BS240" i="5"/>
  <c r="DA173" i="5"/>
  <c r="DA171" i="5" s="1"/>
  <c r="J17" i="5"/>
  <c r="AL53" i="5"/>
  <c r="AL78" i="5" s="1"/>
  <c r="Y259" i="5"/>
  <c r="Q171" i="5"/>
  <c r="CC159" i="5"/>
  <c r="AV264" i="5"/>
  <c r="Z245" i="5"/>
  <c r="Z248" i="5"/>
  <c r="L162" i="5"/>
  <c r="BY54" i="5"/>
  <c r="BY77" i="5" s="1"/>
  <c r="BA53" i="5"/>
  <c r="BA78" i="5" s="1"/>
  <c r="BA131" i="5"/>
  <c r="AI245" i="5"/>
  <c r="AI247" i="5"/>
  <c r="AI336" i="5"/>
  <c r="AI235" i="5"/>
  <c r="AI8" i="5"/>
  <c r="AJ238" i="5"/>
  <c r="Q259" i="5"/>
  <c r="DR197" i="5"/>
  <c r="J23" i="9" s="1"/>
  <c r="DS193" i="5"/>
  <c r="CI145" i="5"/>
  <c r="CI143" i="5" s="1"/>
  <c r="CI138" i="5" s="1"/>
  <c r="CJ127" i="5"/>
  <c r="N138" i="5"/>
  <c r="BM261" i="5"/>
  <c r="BL264" i="5"/>
  <c r="BL263" i="5"/>
  <c r="DG322" i="5"/>
  <c r="DG308" i="5"/>
  <c r="DB322" i="5"/>
  <c r="BC240" i="5"/>
  <c r="CX40" i="5"/>
  <c r="H131" i="5"/>
  <c r="H264" i="5" s="1"/>
  <c r="H53" i="5"/>
  <c r="H78" i="5" s="1"/>
  <c r="BT128" i="5"/>
  <c r="BT129" i="5" s="1"/>
  <c r="AG259" i="5"/>
  <c r="AH259" i="5"/>
  <c r="CZ89" i="5"/>
  <c r="Z107" i="5"/>
  <c r="CZ107" i="5" s="1"/>
  <c r="BI240" i="5"/>
  <c r="I269" i="5"/>
  <c r="I275" i="5" s="1"/>
  <c r="BV235" i="5"/>
  <c r="AD240" i="5"/>
  <c r="DG263" i="5"/>
  <c r="L61" i="3"/>
  <c r="AB8" i="5"/>
  <c r="AB246" i="5"/>
  <c r="AB248" i="5"/>
  <c r="O143" i="5"/>
  <c r="O138" i="5" s="1"/>
  <c r="BW290" i="2"/>
  <c r="BW292" i="2" s="1"/>
  <c r="O8" i="5"/>
  <c r="O17" i="5" s="1"/>
  <c r="DJ322" i="5"/>
  <c r="DJ308" i="5"/>
  <c r="DJ328" i="5"/>
  <c r="S138" i="5"/>
  <c r="DM259" i="5"/>
  <c r="CK305" i="2"/>
  <c r="H295" i="5"/>
  <c r="DK300" i="5"/>
  <c r="DK328" i="5" s="1"/>
  <c r="Q129" i="5"/>
  <c r="N275" i="5"/>
  <c r="BI275" i="5"/>
  <c r="BR53" i="5"/>
  <c r="BR78" i="5" s="1"/>
  <c r="D272" i="5"/>
  <c r="C138" i="5"/>
  <c r="BJ137" i="5"/>
  <c r="N129" i="5"/>
  <c r="CG129" i="5"/>
  <c r="CB290" i="2"/>
  <c r="CB292" i="2" s="1"/>
  <c r="AB129" i="5"/>
  <c r="DB40" i="5"/>
  <c r="DM173" i="5"/>
  <c r="DM171" i="5" s="1"/>
  <c r="BR170" i="5"/>
  <c r="CG8" i="5"/>
  <c r="CG243" i="5" s="1"/>
  <c r="AB247" i="5"/>
  <c r="AZ131" i="5"/>
  <c r="AZ264" i="5" s="1"/>
  <c r="AZ53" i="5"/>
  <c r="AZ78" i="5" s="1"/>
  <c r="BJ53" i="5"/>
  <c r="BJ78" i="5" s="1"/>
  <c r="D301" i="5"/>
  <c r="AC131" i="5"/>
  <c r="AC264" i="5" s="1"/>
  <c r="AC53" i="5"/>
  <c r="AC78" i="5" s="1"/>
  <c r="BR282" i="2"/>
  <c r="DK18" i="5"/>
  <c r="BR60" i="5"/>
  <c r="AI248" i="5"/>
  <c r="BR263" i="5"/>
  <c r="BH50" i="2"/>
  <c r="AO248" i="5"/>
  <c r="DF83" i="1"/>
  <c r="DF39" i="1"/>
  <c r="AJ162" i="5"/>
  <c r="AJ165" i="5"/>
  <c r="AJ164" i="5"/>
  <c r="AH248" i="5"/>
  <c r="BK22" i="1"/>
  <c r="BK19" i="1"/>
  <c r="BL332" i="1"/>
  <c r="BP310" i="1"/>
  <c r="DF97" i="1"/>
  <c r="DF115" i="1"/>
  <c r="BO290" i="1"/>
  <c r="CJ280" i="1"/>
  <c r="AJ163" i="5"/>
  <c r="DN376" i="1"/>
  <c r="DP401" i="1"/>
  <c r="CJ331" i="1"/>
  <c r="CI47" i="2"/>
  <c r="BZ215" i="5"/>
  <c r="AR239" i="5"/>
  <c r="BI4" i="5"/>
  <c r="BI6" i="5" s="1"/>
  <c r="BK163" i="5" s="1"/>
  <c r="BI19" i="1"/>
  <c r="BI22" i="1"/>
  <c r="BI16" i="1"/>
  <c r="DJ3" i="5"/>
  <c r="DL4" i="1"/>
  <c r="BD396" i="1"/>
  <c r="BD379" i="1"/>
  <c r="BD371" i="1"/>
  <c r="BI336" i="1"/>
  <c r="BM314" i="1"/>
  <c r="BK55" i="1"/>
  <c r="BF172" i="5"/>
  <c r="BC159" i="5"/>
  <c r="BE170" i="5"/>
  <c r="DH78" i="1"/>
  <c r="BB370" i="1"/>
  <c r="CF295" i="1"/>
  <c r="DP56" i="1"/>
  <c r="DF90" i="1"/>
  <c r="DF357" i="1"/>
  <c r="DN266" i="1"/>
  <c r="CA292" i="1"/>
  <c r="BY295" i="1"/>
  <c r="CC296" i="1" s="1"/>
  <c r="BZ245" i="5"/>
  <c r="BG146" i="2"/>
  <c r="BS51" i="5"/>
  <c r="BS75" i="5" s="1"/>
  <c r="BS40" i="5"/>
  <c r="BS168" i="5"/>
  <c r="DH89" i="1"/>
  <c r="DH134" i="1"/>
  <c r="BU283" i="1"/>
  <c r="BU282" i="1"/>
  <c r="CE62" i="2"/>
  <c r="BX171" i="5"/>
  <c r="BL67" i="1"/>
  <c r="DF178" i="1"/>
  <c r="DF31" i="1"/>
  <c r="BV292" i="1"/>
  <c r="CZ75" i="5"/>
  <c r="BC172" i="5"/>
  <c r="BC54" i="5"/>
  <c r="BD170" i="5" s="1"/>
  <c r="DM286" i="1"/>
  <c r="DM288" i="1" s="1"/>
  <c r="DM271" i="1"/>
  <c r="DM369" i="1" s="1"/>
  <c r="DM402" i="1" s="1"/>
  <c r="DN281" i="1"/>
  <c r="DN269" i="1"/>
  <c r="DN265" i="1"/>
  <c r="CC168" i="5"/>
  <c r="CC51" i="5"/>
  <c r="CC75" i="5" s="1"/>
  <c r="CC40" i="5"/>
  <c r="AW67" i="1"/>
  <c r="CD43" i="2"/>
  <c r="CI62" i="2"/>
  <c r="CU54" i="1"/>
  <c r="AO156" i="5"/>
  <c r="BC158" i="5"/>
  <c r="H240" i="5"/>
  <c r="BA159" i="5"/>
  <c r="DF395" i="1"/>
  <c r="DF211" i="1"/>
  <c r="AY146" i="2"/>
  <c r="DJ173" i="5"/>
  <c r="DJ54" i="5" s="1"/>
  <c r="DJ170" i="5" s="1"/>
  <c r="BZ289" i="1"/>
  <c r="AT51" i="5"/>
  <c r="AT75" i="5" s="1"/>
  <c r="DE75" i="5" s="1"/>
  <c r="DH15" i="5"/>
  <c r="DH10" i="5" s="1"/>
  <c r="M15" i="3" s="1"/>
  <c r="AV173" i="5"/>
  <c r="DF173" i="5" s="1"/>
  <c r="BD41" i="5"/>
  <c r="DI132" i="1"/>
  <c r="AV363" i="1"/>
  <c r="AV380" i="1"/>
  <c r="CB292" i="1"/>
  <c r="DH64" i="1"/>
  <c r="DI67" i="1" s="1"/>
  <c r="DP49" i="1"/>
  <c r="DP50" i="1" s="1"/>
  <c r="CC323" i="1"/>
  <c r="BN153" i="2"/>
  <c r="DJ153" i="2" s="1"/>
  <c r="AW148" i="1"/>
  <c r="AW125" i="1"/>
  <c r="CE11" i="2"/>
  <c r="CE39" i="2"/>
  <c r="CE47" i="2"/>
  <c r="BS171" i="5"/>
  <c r="DN51" i="5"/>
  <c r="DN75" i="5" s="1"/>
  <c r="DN168" i="5"/>
  <c r="BF70" i="1"/>
  <c r="BF71" i="1"/>
  <c r="AQ51" i="2"/>
  <c r="AQ147" i="2"/>
  <c r="AQ148" i="2"/>
  <c r="AU50" i="2"/>
  <c r="BC69" i="1"/>
  <c r="BC67" i="1"/>
  <c r="BC66" i="1"/>
  <c r="BG67" i="1"/>
  <c r="BO124" i="1"/>
  <c r="BO50" i="1"/>
  <c r="BS51" i="1" s="1"/>
  <c r="BE171" i="5"/>
  <c r="BE40" i="5"/>
  <c r="BE51" i="5"/>
  <c r="BE75" i="5" s="1"/>
  <c r="BE168" i="5"/>
  <c r="CG151" i="2"/>
  <c r="AO162" i="5"/>
  <c r="CX173" i="5"/>
  <c r="CX171" i="5" s="1"/>
  <c r="CE151" i="2"/>
  <c r="CC147" i="2"/>
  <c r="AV334" i="1"/>
  <c r="BB55" i="1"/>
  <c r="DG59" i="1"/>
  <c r="DF106" i="1"/>
  <c r="BS67" i="1"/>
  <c r="BZ65" i="1"/>
  <c r="CA67" i="1"/>
  <c r="DH364" i="1"/>
  <c r="DP357" i="1"/>
  <c r="BW289" i="1"/>
  <c r="BE203" i="1"/>
  <c r="DI109" i="1"/>
  <c r="DI83" i="1"/>
  <c r="DI395" i="1"/>
  <c r="DI121" i="1"/>
  <c r="DI118" i="1"/>
  <c r="DI103" i="1"/>
  <c r="DI31" i="1"/>
  <c r="DI401" i="1"/>
  <c r="BS124" i="1"/>
  <c r="DI282" i="1"/>
  <c r="AX66" i="1"/>
  <c r="AX65" i="1"/>
  <c r="DI154" i="1"/>
  <c r="BO247" i="5"/>
  <c r="BO246" i="5"/>
  <c r="BO248" i="5"/>
  <c r="BO8" i="5"/>
  <c r="BO235" i="5"/>
  <c r="BO233" i="5"/>
  <c r="BO211" i="5"/>
  <c r="BO245" i="5"/>
  <c r="BO215" i="5"/>
  <c r="AQ172" i="5"/>
  <c r="DE173" i="5"/>
  <c r="DE54" i="5" s="1"/>
  <c r="BT77" i="5"/>
  <c r="BT177" i="5"/>
  <c r="DN54" i="5"/>
  <c r="DN77" i="5" s="1"/>
  <c r="DN171" i="5"/>
  <c r="G164" i="5"/>
  <c r="G157" i="5"/>
  <c r="DJ10" i="5"/>
  <c r="O15" i="3" s="1"/>
  <c r="AF77" i="5"/>
  <c r="AF177" i="5"/>
  <c r="AX336" i="1"/>
  <c r="AT359" i="1"/>
  <c r="AT358" i="1"/>
  <c r="DK263" i="1"/>
  <c r="DK375" i="1" s="1"/>
  <c r="DL376" i="1" s="1"/>
  <c r="DK264" i="1"/>
  <c r="DJ264" i="1"/>
  <c r="DJ265" i="1"/>
  <c r="DJ263" i="1"/>
  <c r="DJ375" i="1" s="1"/>
  <c r="DJ357" i="1"/>
  <c r="BV308" i="1"/>
  <c r="BT308" i="1"/>
  <c r="BI164" i="5"/>
  <c r="BG247" i="5"/>
  <c r="CK343" i="1"/>
  <c r="CC247" i="5"/>
  <c r="CC235" i="5"/>
  <c r="CC211" i="5"/>
  <c r="CC245" i="5"/>
  <c r="CC8" i="5"/>
  <c r="CC243" i="5" s="1"/>
  <c r="CC233" i="5"/>
  <c r="R246" i="5"/>
  <c r="CG379" i="1"/>
  <c r="DP363" i="1"/>
  <c r="CG371" i="1"/>
  <c r="CG396" i="1"/>
  <c r="CG365" i="1"/>
  <c r="CK331" i="1"/>
  <c r="AU239" i="5"/>
  <c r="AU159" i="5"/>
  <c r="BJ370" i="1"/>
  <c r="BH369" i="1"/>
  <c r="BH402" i="1" s="1"/>
  <c r="BK375" i="1"/>
  <c r="DN357" i="1"/>
  <c r="DN118" i="1"/>
  <c r="DN31" i="1"/>
  <c r="DN121" i="1"/>
  <c r="DN112" i="1"/>
  <c r="DN115" i="1"/>
  <c r="BN22" i="1"/>
  <c r="BN4" i="5"/>
  <c r="BN6" i="5" s="1"/>
  <c r="BN16" i="1"/>
  <c r="BN19" i="1"/>
  <c r="AF98" i="5"/>
  <c r="AF96" i="5" s="1"/>
  <c r="AF107" i="5" s="1"/>
  <c r="AG156" i="5"/>
  <c r="AI165" i="5"/>
  <c r="AI164" i="5"/>
  <c r="AI157" i="5"/>
  <c r="AI154" i="5" s="1"/>
  <c r="AG157" i="5"/>
  <c r="AG154" i="5" s="1"/>
  <c r="AG165" i="5"/>
  <c r="AI162" i="5"/>
  <c r="AG163" i="5"/>
  <c r="AF235" i="5"/>
  <c r="AH162" i="5"/>
  <c r="AG164" i="5"/>
  <c r="AF238" i="5"/>
  <c r="AH164" i="5"/>
  <c r="AF245" i="5"/>
  <c r="O86" i="3"/>
  <c r="O85" i="3" s="1"/>
  <c r="AC7" i="3"/>
  <c r="AO7" i="3"/>
  <c r="BF22" i="1"/>
  <c r="BF16" i="1"/>
  <c r="BF19" i="1"/>
  <c r="BF4" i="5"/>
  <c r="BF6" i="5" s="1"/>
  <c r="DT148" i="2"/>
  <c r="CG148" i="2"/>
  <c r="CF50" i="2"/>
  <c r="CF9" i="2"/>
  <c r="CF100" i="2" s="1"/>
  <c r="CG102" i="2" s="1"/>
  <c r="CG51" i="2"/>
  <c r="CJ50" i="2"/>
  <c r="AO240" i="5"/>
  <c r="BJ124" i="1"/>
  <c r="DJ124" i="1" s="1"/>
  <c r="BJ50" i="1"/>
  <c r="AN75" i="5"/>
  <c r="DD75" i="5" s="1"/>
  <c r="DD51" i="5"/>
  <c r="DP4" i="1"/>
  <c r="DO12" i="1"/>
  <c r="DO8" i="1" s="1"/>
  <c r="Y235" i="5"/>
  <c r="Y246" i="5"/>
  <c r="Y8" i="5"/>
  <c r="Y243" i="5" s="1"/>
  <c r="Y247" i="5"/>
  <c r="Y248" i="5"/>
  <c r="AB165" i="5"/>
  <c r="Y245" i="5"/>
  <c r="Z238" i="5"/>
  <c r="BG54" i="5"/>
  <c r="BG171" i="5"/>
  <c r="BG172" i="5"/>
  <c r="DN55" i="1"/>
  <c r="R14" i="3"/>
  <c r="CE69" i="1"/>
  <c r="CE65" i="1"/>
  <c r="CI67" i="1"/>
  <c r="CE67" i="1"/>
  <c r="BZ365" i="1"/>
  <c r="BZ371" i="1"/>
  <c r="BZ379" i="1"/>
  <c r="BZ364" i="1"/>
  <c r="DM51" i="5"/>
  <c r="DM75" i="5" s="1"/>
  <c r="DM40" i="5"/>
  <c r="BR292" i="1"/>
  <c r="BV293" i="1" s="1"/>
  <c r="BP289" i="1"/>
  <c r="CH148" i="1"/>
  <c r="CH125" i="1"/>
  <c r="J240" i="5"/>
  <c r="BR158" i="5"/>
  <c r="BQ239" i="5"/>
  <c r="BQ158" i="5"/>
  <c r="BA77" i="5"/>
  <c r="BX54" i="5"/>
  <c r="BX177" i="5" s="1"/>
  <c r="BX172" i="5"/>
  <c r="BP295" i="1"/>
  <c r="BX331" i="1"/>
  <c r="BY266" i="1"/>
  <c r="AZ69" i="1"/>
  <c r="AZ66" i="1"/>
  <c r="AZ67" i="1"/>
  <c r="AZ65" i="1"/>
  <c r="CG10" i="2"/>
  <c r="CG39" i="2" s="1"/>
  <c r="CF358" i="1"/>
  <c r="CF359" i="1"/>
  <c r="CJ358" i="1"/>
  <c r="DF282" i="1"/>
  <c r="DG282" i="1"/>
  <c r="DG283" i="1"/>
  <c r="DM15" i="5"/>
  <c r="DM10" i="5" s="1"/>
  <c r="R15" i="3" s="1"/>
  <c r="DN64" i="1"/>
  <c r="DN65" i="1" s="1"/>
  <c r="BJ358" i="1"/>
  <c r="BN358" i="1"/>
  <c r="BJ359" i="1"/>
  <c r="CJ62" i="2"/>
  <c r="AV150" i="2"/>
  <c r="AV156" i="2" s="1"/>
  <c r="AO8" i="5"/>
  <c r="AO243" i="5" s="1"/>
  <c r="DD6" i="5"/>
  <c r="DD245" i="5" s="1"/>
  <c r="AO246" i="5"/>
  <c r="AO163" i="5"/>
  <c r="AP165" i="5"/>
  <c r="AP163" i="5"/>
  <c r="AP156" i="5"/>
  <c r="CI51" i="5"/>
  <c r="CI75" i="5" s="1"/>
  <c r="CI168" i="5"/>
  <c r="DF67" i="1"/>
  <c r="DF65" i="1"/>
  <c r="DL159" i="5"/>
  <c r="DL239" i="5"/>
  <c r="CJ266" i="1"/>
  <c r="CJ343" i="1"/>
  <c r="R235" i="5"/>
  <c r="R247" i="5"/>
  <c r="R238" i="5"/>
  <c r="R8" i="5"/>
  <c r="R243" i="5" s="1"/>
  <c r="R248" i="5"/>
  <c r="S165" i="5"/>
  <c r="R164" i="5"/>
  <c r="S157" i="5"/>
  <c r="S154" i="5" s="1"/>
  <c r="CX6" i="5"/>
  <c r="S162" i="5"/>
  <c r="S238" i="5"/>
  <c r="R162" i="5"/>
  <c r="DI20" i="1"/>
  <c r="DI15" i="1"/>
  <c r="DI19" i="1" s="1"/>
  <c r="BY16" i="1"/>
  <c r="BY4" i="5"/>
  <c r="BY6" i="5" s="1"/>
  <c r="BY22" i="1"/>
  <c r="DK265" i="1"/>
  <c r="DK281" i="1"/>
  <c r="DK282" i="1" s="1"/>
  <c r="DL269" i="1"/>
  <c r="DK271" i="1"/>
  <c r="DK369" i="1" s="1"/>
  <c r="DK402" i="1" s="1"/>
  <c r="DK269" i="1"/>
  <c r="DK386" i="1" s="1"/>
  <c r="DL286" i="1"/>
  <c r="DL288" i="1" s="1"/>
  <c r="DL271" i="1"/>
  <c r="DL369" i="1" s="1"/>
  <c r="DL402" i="1" s="1"/>
  <c r="DK286" i="1"/>
  <c r="DK288" i="1" s="1"/>
  <c r="DK289" i="1" s="1"/>
  <c r="BO70" i="1"/>
  <c r="BO71" i="1"/>
  <c r="BE239" i="5"/>
  <c r="BF239" i="5"/>
  <c r="BG159" i="5"/>
  <c r="BH158" i="5"/>
  <c r="BG158" i="5"/>
  <c r="BH159" i="5"/>
  <c r="AB54" i="5"/>
  <c r="AB171" i="5"/>
  <c r="AB172" i="5"/>
  <c r="K248" i="5"/>
  <c r="K157" i="5"/>
  <c r="K247" i="5"/>
  <c r="BN9" i="2"/>
  <c r="BN100" i="2" s="1"/>
  <c r="BN50" i="2"/>
  <c r="BN147" i="2"/>
  <c r="DJ147" i="2" s="1"/>
  <c r="BN51" i="2"/>
  <c r="CE359" i="1"/>
  <c r="CI358" i="1"/>
  <c r="DI23" i="1"/>
  <c r="M8" i="3"/>
  <c r="N9" i="3" s="1"/>
  <c r="DI22" i="1"/>
  <c r="DH312" i="1"/>
  <c r="BF313" i="1"/>
  <c r="T54" i="5"/>
  <c r="T77" i="5" s="1"/>
  <c r="T172" i="5"/>
  <c r="T171" i="5"/>
  <c r="BI50" i="1"/>
  <c r="BI124" i="1"/>
  <c r="BX381" i="1"/>
  <c r="DL282" i="1"/>
  <c r="DN49" i="1"/>
  <c r="DN50" i="1" s="1"/>
  <c r="CF369" i="1"/>
  <c r="CF402" i="1" s="1"/>
  <c r="CH370" i="1"/>
  <c r="BJ71" i="1"/>
  <c r="BJ70" i="1"/>
  <c r="BN71" i="1"/>
  <c r="AW70" i="1"/>
  <c r="AW71" i="1"/>
  <c r="BA71" i="1"/>
  <c r="BY296" i="1"/>
  <c r="BQ50" i="1"/>
  <c r="BQ124" i="1"/>
  <c r="CE50" i="1"/>
  <c r="CE124" i="1"/>
  <c r="CB331" i="1"/>
  <c r="CF309" i="1"/>
  <c r="K164" i="5"/>
  <c r="CA308" i="1"/>
  <c r="CI66" i="1"/>
  <c r="CH69" i="1"/>
  <c r="CH65" i="1"/>
  <c r="CH67" i="1"/>
  <c r="DF263" i="1"/>
  <c r="DF375" i="1" s="1"/>
  <c r="DF376" i="1" s="1"/>
  <c r="DF264" i="1"/>
  <c r="DF265" i="1"/>
  <c r="AU146" i="2"/>
  <c r="AS50" i="2"/>
  <c r="AW50" i="2"/>
  <c r="DE168" i="5"/>
  <c r="DE40" i="5"/>
  <c r="DE51" i="5" s="1"/>
  <c r="T162" i="5"/>
  <c r="DJ358" i="1"/>
  <c r="BU248" i="5"/>
  <c r="AB162" i="5"/>
  <c r="DJ4" i="1"/>
  <c r="DJ158" i="5"/>
  <c r="DJ159" i="5"/>
  <c r="O11" i="3"/>
  <c r="BW69" i="1"/>
  <c r="CA71" i="1" s="1"/>
  <c r="BW67" i="1"/>
  <c r="BW65" i="1"/>
  <c r="BQ55" i="1"/>
  <c r="BU55" i="1"/>
  <c r="BW172" i="5"/>
  <c r="CG331" i="1"/>
  <c r="CK309" i="1"/>
  <c r="K162" i="5"/>
  <c r="AJ172" i="5"/>
  <c r="AJ171" i="5"/>
  <c r="AJ54" i="5"/>
  <c r="BF212" i="1"/>
  <c r="BB212" i="1"/>
  <c r="AR203" i="1"/>
  <c r="AV203" i="1"/>
  <c r="DD40" i="5"/>
  <c r="DN49" i="2"/>
  <c r="DN50" i="2" s="1"/>
  <c r="BD296" i="1"/>
  <c r="BH332" i="1"/>
  <c r="M248" i="5"/>
  <c r="M246" i="5"/>
  <c r="M8" i="5"/>
  <c r="M243" i="5" s="1"/>
  <c r="M245" i="5"/>
  <c r="M235" i="5"/>
  <c r="AX363" i="1"/>
  <c r="AX380" i="1"/>
  <c r="AX381" i="1" s="1"/>
  <c r="AX379" i="1"/>
  <c r="AX70" i="1"/>
  <c r="BB71" i="1"/>
  <c r="BI69" i="1"/>
  <c r="BI65" i="1"/>
  <c r="BI67" i="1"/>
  <c r="BM67" i="1"/>
  <c r="BJ66" i="1"/>
  <c r="BM359" i="1"/>
  <c r="BM358" i="1"/>
  <c r="BN359" i="1"/>
  <c r="DH180" i="2"/>
  <c r="DH181" i="2" s="1"/>
  <c r="BF179" i="2"/>
  <c r="V77" i="5"/>
  <c r="V177" i="5"/>
  <c r="BG313" i="1"/>
  <c r="BK314" i="1" s="1"/>
  <c r="BO315" i="1" s="1"/>
  <c r="BO338" i="1" s="1"/>
  <c r="BC335" i="1"/>
  <c r="CE6" i="5"/>
  <c r="BH245" i="5"/>
  <c r="DJ31" i="1"/>
  <c r="DJ27" i="1"/>
  <c r="DJ74" i="1"/>
  <c r="DJ35" i="1"/>
  <c r="DJ154" i="1"/>
  <c r="DJ121" i="1"/>
  <c r="AR124" i="1"/>
  <c r="AR50" i="1"/>
  <c r="AR51" i="1" s="1"/>
  <c r="AZ358" i="1"/>
  <c r="BA359" i="1"/>
  <c r="BD358" i="1"/>
  <c r="BD10" i="5"/>
  <c r="BF322" i="1"/>
  <c r="DG173" i="5"/>
  <c r="DG54" i="5" s="1"/>
  <c r="DG77" i="5" s="1"/>
  <c r="DO61" i="2"/>
  <c r="DO57" i="2" s="1"/>
  <c r="AW159" i="5"/>
  <c r="DM289" i="1"/>
  <c r="BN308" i="1"/>
  <c r="AU308" i="1"/>
  <c r="AP171" i="5"/>
  <c r="AP54" i="5"/>
  <c r="AA54" i="5"/>
  <c r="AA77" i="5" s="1"/>
  <c r="AA172" i="5"/>
  <c r="CI50" i="1"/>
  <c r="CI124" i="1"/>
  <c r="BE69" i="1"/>
  <c r="BE67" i="1"/>
  <c r="BE65" i="1"/>
  <c r="BF66" i="1"/>
  <c r="DO7" i="5"/>
  <c r="DP39" i="1"/>
  <c r="BJ54" i="5"/>
  <c r="BJ171" i="5"/>
  <c r="AI177" i="5"/>
  <c r="AI77" i="5"/>
  <c r="CF42" i="2"/>
  <c r="CG153" i="2"/>
  <c r="CL373" i="1"/>
  <c r="DQ368" i="1"/>
  <c r="CL372" i="1"/>
  <c r="CL174" i="5"/>
  <c r="AZ171" i="5"/>
  <c r="AZ54" i="5"/>
  <c r="BA170" i="5" s="1"/>
  <c r="BG125" i="1"/>
  <c r="CB332" i="1"/>
  <c r="CF310" i="1"/>
  <c r="BR240" i="5"/>
  <c r="K156" i="5"/>
  <c r="CD332" i="1"/>
  <c r="CH310" i="1"/>
  <c r="BP324" i="1"/>
  <c r="BL344" i="1"/>
  <c r="CB19" i="2"/>
  <c r="AU70" i="1"/>
  <c r="AY71" i="1"/>
  <c r="CG217" i="5"/>
  <c r="CH239" i="5"/>
  <c r="DH387" i="1"/>
  <c r="DH365" i="1"/>
  <c r="DK59" i="1"/>
  <c r="DJ59" i="1"/>
  <c r="BU168" i="5"/>
  <c r="BU51" i="5"/>
  <c r="BU75" i="5" s="1"/>
  <c r="CB18" i="2"/>
  <c r="CC290" i="1"/>
  <c r="BL77" i="5"/>
  <c r="AT51" i="2"/>
  <c r="BR127" i="1"/>
  <c r="BS127" i="1"/>
  <c r="BR148" i="1"/>
  <c r="BR149" i="1" s="1"/>
  <c r="BR125" i="1"/>
  <c r="CD19" i="1"/>
  <c r="CD22" i="1"/>
  <c r="CD4" i="5"/>
  <c r="CD6" i="5" s="1"/>
  <c r="E17" i="5"/>
  <c r="E243" i="5"/>
  <c r="DJ49" i="1"/>
  <c r="DJ50" i="1" s="1"/>
  <c r="BJ172" i="5"/>
  <c r="M247" i="5"/>
  <c r="BI172" i="5"/>
  <c r="K165" i="5"/>
  <c r="BU40" i="5"/>
  <c r="BY324" i="1"/>
  <c r="BU344" i="1"/>
  <c r="DO331" i="1"/>
  <c r="DO332" i="1"/>
  <c r="DO266" i="1"/>
  <c r="BS309" i="1"/>
  <c r="BS332" i="1" s="1"/>
  <c r="BO331" i="1"/>
  <c r="DL20" i="1"/>
  <c r="DL15" i="1"/>
  <c r="DL19" i="1" s="1"/>
  <c r="AX158" i="5"/>
  <c r="AB156" i="5"/>
  <c r="CK280" i="1"/>
  <c r="DI49" i="2"/>
  <c r="DJ50" i="2" s="1"/>
  <c r="AX159" i="5"/>
  <c r="DI78" i="1"/>
  <c r="DH112" i="1"/>
  <c r="BK266" i="1"/>
  <c r="AU381" i="1"/>
  <c r="DH351" i="1"/>
  <c r="P14" i="3"/>
  <c r="DM55" i="1"/>
  <c r="BM62" i="2"/>
  <c r="BI62" i="2"/>
  <c r="BW50" i="1"/>
  <c r="BW51" i="1" s="1"/>
  <c r="BW124" i="1"/>
  <c r="BR12" i="1"/>
  <c r="BR8" i="1" s="1"/>
  <c r="BS5" i="1"/>
  <c r="BR4" i="1"/>
  <c r="BR3" i="5"/>
  <c r="BR5" i="1"/>
  <c r="BU42" i="2"/>
  <c r="BQ9" i="2"/>
  <c r="BQ100" i="2" s="1"/>
  <c r="BR102" i="2" s="1"/>
  <c r="BQ42" i="2"/>
  <c r="BR152" i="2"/>
  <c r="DN152" i="2" s="1"/>
  <c r="BS152" i="2"/>
  <c r="DO152" i="2" s="1"/>
  <c r="BR43" i="2"/>
  <c r="BR153" i="2"/>
  <c r="DN153" i="2" s="1"/>
  <c r="AQ347" i="1"/>
  <c r="AQ344" i="1"/>
  <c r="AQ335" i="1"/>
  <c r="AQ334" i="1"/>
  <c r="AR266" i="1"/>
  <c r="AQ336" i="1"/>
  <c r="AQ343" i="1"/>
  <c r="AQ337" i="1"/>
  <c r="AQ338" i="1"/>
  <c r="AQ345" i="1"/>
  <c r="AQ331" i="1"/>
  <c r="AQ266" i="1"/>
  <c r="AQ332" i="1"/>
  <c r="AQ346" i="1"/>
  <c r="AQ333" i="1"/>
  <c r="N14" i="3"/>
  <c r="DJ55" i="1"/>
  <c r="BB311" i="1"/>
  <c r="DG310" i="1"/>
  <c r="AX333" i="1"/>
  <c r="CH10" i="2"/>
  <c r="CH11" i="2" s="1"/>
  <c r="DG263" i="1"/>
  <c r="DG375" i="1" s="1"/>
  <c r="DG376" i="1" s="1"/>
  <c r="DG264" i="1"/>
  <c r="DG357" i="1"/>
  <c r="S14" i="3"/>
  <c r="DO55" i="1"/>
  <c r="DO115" i="1"/>
  <c r="S75" i="5"/>
  <c r="CY75" i="5" s="1"/>
  <c r="CY51" i="5"/>
  <c r="DG97" i="1"/>
  <c r="DG64" i="1"/>
  <c r="DI12" i="1"/>
  <c r="DI8" i="1" s="1"/>
  <c r="AP245" i="5"/>
  <c r="AP247" i="5"/>
  <c r="AP8" i="5"/>
  <c r="AP238" i="5"/>
  <c r="AP235" i="5"/>
  <c r="AP246" i="5"/>
  <c r="DL217" i="5"/>
  <c r="Q11" i="3"/>
  <c r="BX50" i="1"/>
  <c r="BX124" i="1"/>
  <c r="AS147" i="2"/>
  <c r="AT147" i="2"/>
  <c r="DE147" i="2" s="1"/>
  <c r="AR50" i="2"/>
  <c r="AR9" i="2"/>
  <c r="AR100" i="2" s="1"/>
  <c r="DE49" i="2"/>
  <c r="AR147" i="2"/>
  <c r="AS51" i="2"/>
  <c r="AR51" i="2"/>
  <c r="AX347" i="1"/>
  <c r="DN321" i="1"/>
  <c r="DN322" i="1" s="1"/>
  <c r="DN233" i="1"/>
  <c r="BZ290" i="1"/>
  <c r="BH338" i="1"/>
  <c r="CE369" i="1"/>
  <c r="CE402" i="1" s="1"/>
  <c r="CG375" i="1"/>
  <c r="CE375" i="1"/>
  <c r="CG370" i="1"/>
  <c r="AR295" i="1"/>
  <c r="AR296" i="1" s="1"/>
  <c r="AR292" i="1"/>
  <c r="AR293" i="1" s="1"/>
  <c r="AQ292" i="1"/>
  <c r="AQ293" i="1" s="1"/>
  <c r="AQ295" i="1"/>
  <c r="AQ296" i="1" s="1"/>
  <c r="AT292" i="1"/>
  <c r="AT293" i="1" s="1"/>
  <c r="AU290" i="1"/>
  <c r="AS292" i="1"/>
  <c r="AS293" i="1" s="1"/>
  <c r="BG381" i="1"/>
  <c r="BG337" i="1"/>
  <c r="BG336" i="1"/>
  <c r="CJ19" i="1"/>
  <c r="CJ4" i="5"/>
  <c r="CJ6" i="5" s="1"/>
  <c r="CJ235" i="5" s="1"/>
  <c r="CN235" i="5" s="1"/>
  <c r="CJ22" i="1"/>
  <c r="AR70" i="1"/>
  <c r="AV71" i="1"/>
  <c r="CJ16" i="1"/>
  <c r="BL151" i="2"/>
  <c r="BK43" i="2"/>
  <c r="DP134" i="1"/>
  <c r="BX158" i="5"/>
  <c r="BK158" i="5"/>
  <c r="V240" i="5"/>
  <c r="CI172" i="5"/>
  <c r="AA238" i="5"/>
  <c r="BJ158" i="5"/>
  <c r="DI87" i="1"/>
  <c r="DH97" i="1"/>
  <c r="DH118" i="1"/>
  <c r="BG266" i="1"/>
  <c r="BF149" i="1"/>
  <c r="AY102" i="2"/>
  <c r="DI7" i="5"/>
  <c r="DJ39" i="1"/>
  <c r="BC203" i="1"/>
  <c r="AY203" i="1"/>
  <c r="BE51" i="2"/>
  <c r="BF147" i="2"/>
  <c r="BD147" i="2"/>
  <c r="BD9" i="2"/>
  <c r="BD148" i="2"/>
  <c r="BE148" i="2"/>
  <c r="BE147" i="2"/>
  <c r="DH49" i="2"/>
  <c r="DH46" i="2" s="1"/>
  <c r="DH48" i="2" s="1"/>
  <c r="BD51" i="2"/>
  <c r="DF403" i="1"/>
  <c r="DG403" i="1"/>
  <c r="DG405" i="1"/>
  <c r="DF405" i="1"/>
  <c r="DF378" i="1"/>
  <c r="DF380" i="1" s="1"/>
  <c r="DF381" i="1" s="1"/>
  <c r="DF402" i="1"/>
  <c r="BS4" i="5"/>
  <c r="BS6" i="5" s="1"/>
  <c r="BV164" i="5" s="1"/>
  <c r="BS19" i="1"/>
  <c r="BS16" i="1"/>
  <c r="BS22" i="1"/>
  <c r="DM266" i="1"/>
  <c r="DM344" i="1"/>
  <c r="BP70" i="1"/>
  <c r="BT71" i="1"/>
  <c r="BR364" i="1"/>
  <c r="BR396" i="1"/>
  <c r="BR371" i="1"/>
  <c r="BR365" i="1"/>
  <c r="BP364" i="1"/>
  <c r="BP371" i="1"/>
  <c r="BP396" i="1"/>
  <c r="BP365" i="1"/>
  <c r="AQ70" i="1"/>
  <c r="AU71" i="1"/>
  <c r="BC8" i="5"/>
  <c r="BF158" i="5"/>
  <c r="DH7" i="5"/>
  <c r="DH239" i="5" s="1"/>
  <c r="DP265" i="1"/>
  <c r="DP269" i="1"/>
  <c r="DP380" i="1"/>
  <c r="DP286" i="1"/>
  <c r="DP288" i="1" s="1"/>
  <c r="BT41" i="5"/>
  <c r="BT134" i="1"/>
  <c r="DI387" i="1"/>
  <c r="DI396" i="1"/>
  <c r="DI364" i="1"/>
  <c r="DI365" i="1"/>
  <c r="DH154" i="1"/>
  <c r="BR77" i="5"/>
  <c r="BP16" i="1"/>
  <c r="BP4" i="5"/>
  <c r="BP6" i="5" s="1"/>
  <c r="BP235" i="5" s="1"/>
  <c r="BP19" i="1"/>
  <c r="AW308" i="1"/>
  <c r="BJ295" i="1"/>
  <c r="BJ296" i="1" s="1"/>
  <c r="BM290" i="1"/>
  <c r="BL292" i="1"/>
  <c r="BI289" i="1"/>
  <c r="BJ289" i="1"/>
  <c r="BI290" i="1"/>
  <c r="CA70" i="1"/>
  <c r="DK351" i="1"/>
  <c r="BX358" i="1"/>
  <c r="BX359" i="1"/>
  <c r="BY359" i="1"/>
  <c r="CB358" i="1"/>
  <c r="DP19" i="1"/>
  <c r="DP16" i="1"/>
  <c r="DO4" i="5"/>
  <c r="DO6" i="5" s="1"/>
  <c r="DO235" i="5" s="1"/>
  <c r="DP22" i="1"/>
  <c r="BH381" i="1"/>
  <c r="AX338" i="1"/>
  <c r="DG315" i="1"/>
  <c r="DK78" i="1"/>
  <c r="DN74" i="1"/>
  <c r="DN35" i="1"/>
  <c r="DN109" i="1"/>
  <c r="DN83" i="1"/>
  <c r="DN401" i="1"/>
  <c r="DO35" i="1"/>
  <c r="BO18" i="2"/>
  <c r="BR20" i="1"/>
  <c r="BR15" i="1"/>
  <c r="BV70" i="1"/>
  <c r="BV71" i="1"/>
  <c r="CG69" i="1"/>
  <c r="CG70" i="1" s="1"/>
  <c r="CH66" i="1"/>
  <c r="BC51" i="5"/>
  <c r="BC75" i="5" s="1"/>
  <c r="BC40" i="5"/>
  <c r="BC168" i="5"/>
  <c r="BC171" i="5"/>
  <c r="BK9" i="2"/>
  <c r="Z244" i="5"/>
  <c r="AY158" i="5"/>
  <c r="BI51" i="2"/>
  <c r="BJ51" i="2"/>
  <c r="BI9" i="2"/>
  <c r="BI100" i="2" s="1"/>
  <c r="BJ102" i="2" s="1"/>
  <c r="BJ148" i="2"/>
  <c r="DI148" i="2" s="1"/>
  <c r="BI147" i="2"/>
  <c r="BJ147" i="2"/>
  <c r="BI148" i="2"/>
  <c r="BI50" i="2"/>
  <c r="BL266" i="1"/>
  <c r="CD153" i="2"/>
  <c r="CD152" i="2"/>
  <c r="DH49" i="1"/>
  <c r="DH50" i="1" s="1"/>
  <c r="BL152" i="2"/>
  <c r="AB164" i="5"/>
  <c r="AH54" i="5"/>
  <c r="AI170" i="5" s="1"/>
  <c r="BV158" i="5"/>
  <c r="DO171" i="5"/>
  <c r="BW159" i="5"/>
  <c r="DF7" i="5"/>
  <c r="K11" i="3" s="1"/>
  <c r="AB157" i="5"/>
  <c r="AB154" i="5" s="1"/>
  <c r="AW158" i="5"/>
  <c r="AZ50" i="1"/>
  <c r="BD51" i="1" s="1"/>
  <c r="DH401" i="1"/>
  <c r="DH115" i="1"/>
  <c r="BZ296" i="1"/>
  <c r="DH39" i="1"/>
  <c r="CE293" i="1"/>
  <c r="BR308" i="1"/>
  <c r="BR331" i="1" s="1"/>
  <c r="BZ293" i="1"/>
  <c r="AR290" i="1"/>
  <c r="AU292" i="1"/>
  <c r="AR289" i="1"/>
  <c r="CA172" i="5"/>
  <c r="CA54" i="5"/>
  <c r="CA177" i="5" s="1"/>
  <c r="CA171" i="5"/>
  <c r="BL69" i="1"/>
  <c r="BL70" i="1" s="1"/>
  <c r="BM66" i="1"/>
  <c r="BL65" i="1"/>
  <c r="BL66" i="1"/>
  <c r="BC308" i="1"/>
  <c r="BB308" i="1"/>
  <c r="BP290" i="1"/>
  <c r="BQ295" i="1"/>
  <c r="BT290" i="1"/>
  <c r="BQ289" i="1"/>
  <c r="AW171" i="5"/>
  <c r="AW54" i="5"/>
  <c r="BP379" i="1"/>
  <c r="BX364" i="1"/>
  <c r="BX371" i="1"/>
  <c r="BX396" i="1"/>
  <c r="BX365" i="1"/>
  <c r="DI41" i="5"/>
  <c r="DJ134" i="1"/>
  <c r="BS322" i="1"/>
  <c r="BT322" i="1"/>
  <c r="AQ54" i="5"/>
  <c r="AQ171" i="5"/>
  <c r="AQ4" i="1"/>
  <c r="AQ3" i="5"/>
  <c r="AQ5" i="1"/>
  <c r="AQ12" i="1"/>
  <c r="AQ8" i="1" s="1"/>
  <c r="BT358" i="1"/>
  <c r="BU359" i="1"/>
  <c r="BT124" i="1"/>
  <c r="BT50" i="1"/>
  <c r="BT48" i="1"/>
  <c r="DL266" i="1"/>
  <c r="DL15" i="5"/>
  <c r="DL10" i="5" s="1"/>
  <c r="Q15" i="3" s="1"/>
  <c r="DM64" i="1"/>
  <c r="DK31" i="1"/>
  <c r="DK118" i="1"/>
  <c r="DK35" i="1"/>
  <c r="DK112" i="1"/>
  <c r="DK357" i="1"/>
  <c r="DK358" i="1" s="1"/>
  <c r="DK39" i="1"/>
  <c r="DK121" i="1"/>
  <c r="DK109" i="1"/>
  <c r="DK90" i="1"/>
  <c r="DK83" i="1"/>
  <c r="DK74" i="1"/>
  <c r="DK401" i="1"/>
  <c r="DK115" i="1"/>
  <c r="DK395" i="1"/>
  <c r="DL27" i="1"/>
  <c r="DK97" i="1"/>
  <c r="DK27" i="1"/>
  <c r="CB359" i="1"/>
  <c r="CE358" i="1"/>
  <c r="BM11" i="2"/>
  <c r="BM47" i="2"/>
  <c r="BY217" i="5"/>
  <c r="CB160" i="5"/>
  <c r="CA159" i="5"/>
  <c r="CB158" i="5"/>
  <c r="CA160" i="5"/>
  <c r="DG312" i="1"/>
  <c r="BB313" i="1"/>
  <c r="AX335" i="1"/>
  <c r="BZ50" i="1"/>
  <c r="BZ124" i="1"/>
  <c r="DI16" i="1"/>
  <c r="AQ339" i="1"/>
  <c r="DM381" i="1"/>
  <c r="AU296" i="1"/>
  <c r="BN248" i="5"/>
  <c r="T238" i="5"/>
  <c r="CG65" i="1"/>
  <c r="BR40" i="2"/>
  <c r="BR48" i="2"/>
  <c r="BJ247" i="5"/>
  <c r="DG51" i="5"/>
  <c r="DG75" i="5" s="1"/>
  <c r="N171" i="5"/>
  <c r="BW158" i="5"/>
  <c r="CE370" i="1"/>
  <c r="DH35" i="1"/>
  <c r="DM59" i="1"/>
  <c r="CD296" i="1"/>
  <c r="BQ308" i="1"/>
  <c r="BQ331" i="1" s="1"/>
  <c r="BA369" i="1"/>
  <c r="BA402" i="1" s="1"/>
  <c r="BC370" i="1"/>
  <c r="BA370" i="1"/>
  <c r="BC375" i="1"/>
  <c r="BD375" i="1"/>
  <c r="BD67" i="1"/>
  <c r="BD66" i="1"/>
  <c r="BD65" i="1"/>
  <c r="BE66" i="1"/>
  <c r="BD69" i="1"/>
  <c r="BH71" i="1" s="1"/>
  <c r="BD124" i="1"/>
  <c r="BM295" i="1"/>
  <c r="BL295" i="1"/>
  <c r="BP296" i="1" s="1"/>
  <c r="BL289" i="1"/>
  <c r="BM289" i="1"/>
  <c r="BM292" i="1"/>
  <c r="BW295" i="1"/>
  <c r="BW296" i="1" s="1"/>
  <c r="BV290" i="1"/>
  <c r="BV289" i="1"/>
  <c r="BY292" i="1"/>
  <c r="CC293" i="1" s="1"/>
  <c r="BX292" i="1"/>
  <c r="BX293" i="1" s="1"/>
  <c r="BW292" i="1"/>
  <c r="BW293" i="1" s="1"/>
  <c r="DO65" i="1"/>
  <c r="BN364" i="1"/>
  <c r="BN396" i="1"/>
  <c r="BN365" i="1"/>
  <c r="BN371" i="1"/>
  <c r="BQ43" i="2"/>
  <c r="BI51" i="5"/>
  <c r="BI75" i="5" s="1"/>
  <c r="BI40" i="5"/>
  <c r="AQ15" i="1"/>
  <c r="AQ19" i="1" s="1"/>
  <c r="CG50" i="1"/>
  <c r="CG51" i="1" s="1"/>
  <c r="CG124" i="1"/>
  <c r="E15" i="10"/>
  <c r="DN363" i="1"/>
  <c r="CB124" i="1"/>
  <c r="CB50" i="1"/>
  <c r="BP359" i="1"/>
  <c r="BP358" i="1"/>
  <c r="AT172" i="5"/>
  <c r="AT54" i="5"/>
  <c r="AT77" i="5" s="1"/>
  <c r="AQ358" i="1"/>
  <c r="AR359" i="1"/>
  <c r="AQ359" i="1"/>
  <c r="BZ239" i="5"/>
  <c r="BZ8" i="5"/>
  <c r="BK51" i="1"/>
  <c r="BO51" i="1"/>
  <c r="BH336" i="1"/>
  <c r="BL314" i="1"/>
  <c r="AA246" i="5"/>
  <c r="AA245" i="5"/>
  <c r="AA8" i="5"/>
  <c r="AA247" i="5"/>
  <c r="AA248" i="5"/>
  <c r="AB238" i="5"/>
  <c r="BK11" i="2"/>
  <c r="BK39" i="2"/>
  <c r="BK47" i="2"/>
  <c r="BA124" i="1"/>
  <c r="BA50" i="1"/>
  <c r="BA51" i="1" s="1"/>
  <c r="DM15" i="1"/>
  <c r="DM23" i="1"/>
  <c r="BQ41" i="5"/>
  <c r="DL132" i="1"/>
  <c r="AZ359" i="1"/>
  <c r="BC358" i="1"/>
  <c r="AY359" i="1"/>
  <c r="BM282" i="1"/>
  <c r="BM283" i="1"/>
  <c r="BI282" i="1"/>
  <c r="CG343" i="1"/>
  <c r="CK323" i="1"/>
  <c r="BF185" i="1"/>
  <c r="BF160" i="1"/>
  <c r="DL386" i="1"/>
  <c r="DK391" i="1"/>
  <c r="DK20" i="1"/>
  <c r="DK15" i="1"/>
  <c r="BK381" i="1"/>
  <c r="BK337" i="1"/>
  <c r="BA323" i="1"/>
  <c r="AW343" i="1"/>
  <c r="CB323" i="1"/>
  <c r="BX343" i="1"/>
  <c r="BX266" i="1"/>
  <c r="BW266" i="1"/>
  <c r="BW343" i="1"/>
  <c r="AR42" i="2"/>
  <c r="AR43" i="2"/>
  <c r="DH31" i="1"/>
  <c r="DH83" i="1"/>
  <c r="DI27" i="1"/>
  <c r="DH74" i="1"/>
  <c r="DH121" i="1"/>
  <c r="DH395" i="1"/>
  <c r="BI266" i="1"/>
  <c r="BH343" i="1"/>
  <c r="BH331" i="1"/>
  <c r="DH65" i="1"/>
  <c r="BC337" i="1"/>
  <c r="BG315" i="1"/>
  <c r="BG338" i="1" s="1"/>
  <c r="BH337" i="1"/>
  <c r="CJ11" i="2"/>
  <c r="BY159" i="5"/>
  <c r="DQ238" i="1"/>
  <c r="BL43" i="2"/>
  <c r="BQ147" i="2"/>
  <c r="DM147" i="2" s="1"/>
  <c r="BM152" i="2"/>
  <c r="CF151" i="2"/>
  <c r="AV42" i="2"/>
  <c r="BK152" i="2"/>
  <c r="DR2" i="2"/>
  <c r="AH171" i="5"/>
  <c r="BV239" i="5"/>
  <c r="BV40" i="5"/>
  <c r="CK289" i="1"/>
  <c r="BM151" i="2"/>
  <c r="BO50" i="2"/>
  <c r="CE152" i="2"/>
  <c r="BJ8" i="5"/>
  <c r="BJ17" i="5" s="1"/>
  <c r="BV168" i="5"/>
  <c r="N172" i="5"/>
  <c r="AW239" i="5"/>
  <c r="AV159" i="5"/>
  <c r="CB10" i="2"/>
  <c r="DO27" i="1"/>
  <c r="CF370" i="1"/>
  <c r="DH103" i="1"/>
  <c r="BH266" i="1"/>
  <c r="DM132" i="1"/>
  <c r="DM134" i="1" s="1"/>
  <c r="BF62" i="2"/>
  <c r="AW363" i="1"/>
  <c r="AW379" i="1" s="1"/>
  <c r="DI15" i="5"/>
  <c r="DI10" i="5" s="1"/>
  <c r="N15" i="3" s="1"/>
  <c r="DJ97" i="1"/>
  <c r="DJ64" i="1"/>
  <c r="CD171" i="5"/>
  <c r="CD172" i="5"/>
  <c r="CD54" i="5"/>
  <c r="BA239" i="5"/>
  <c r="BB322" i="1"/>
  <c r="BC322" i="1"/>
  <c r="DO23" i="1"/>
  <c r="DO22" i="1"/>
  <c r="BU50" i="1"/>
  <c r="BU124" i="1"/>
  <c r="CC359" i="1"/>
  <c r="CD359" i="1"/>
  <c r="BL4" i="5"/>
  <c r="BL6" i="5" s="1"/>
  <c r="BL22" i="1"/>
  <c r="BL19" i="1"/>
  <c r="DH87" i="1"/>
  <c r="AW358" i="1"/>
  <c r="BA358" i="1"/>
  <c r="AW359" i="1"/>
  <c r="AQ48" i="2"/>
  <c r="AQ40" i="2"/>
  <c r="AR152" i="2" s="1"/>
  <c r="CG358" i="1"/>
  <c r="CG359" i="1"/>
  <c r="CH359" i="1"/>
  <c r="DL381" i="1"/>
  <c r="AX359" i="1"/>
  <c r="AX358" i="1"/>
  <c r="DP87" i="1"/>
  <c r="DF35" i="1"/>
  <c r="DF27" i="1"/>
  <c r="DF168" i="1"/>
  <c r="DF109" i="1"/>
  <c r="DF118" i="1"/>
  <c r="DG27" i="1"/>
  <c r="DF112" i="1"/>
  <c r="DF202" i="1"/>
  <c r="DF74" i="1"/>
  <c r="DF103" i="1"/>
  <c r="BP50" i="1"/>
  <c r="BP124" i="1"/>
  <c r="DP78" i="1"/>
  <c r="CG310" i="1"/>
  <c r="CC332" i="1"/>
  <c r="AQ203" i="1"/>
  <c r="AU203" i="1"/>
  <c r="DK87" i="1"/>
  <c r="DO154" i="1"/>
  <c r="DG265" i="1"/>
  <c r="BP51" i="5"/>
  <c r="BP75" i="5" s="1"/>
  <c r="BP40" i="5"/>
  <c r="BP168" i="5"/>
  <c r="DO97" i="1"/>
  <c r="DN15" i="5"/>
  <c r="DN10" i="5" s="1"/>
  <c r="CA296" i="1"/>
  <c r="BO126" i="1"/>
  <c r="BK127" i="1"/>
  <c r="BK125" i="1"/>
  <c r="BK126" i="1"/>
  <c r="BK148" i="1"/>
  <c r="DG314" i="1"/>
  <c r="AX337" i="1"/>
  <c r="BB315" i="1"/>
  <c r="DH315" i="1" s="1"/>
  <c r="X77" i="5"/>
  <c r="Y170" i="5"/>
  <c r="X170" i="5"/>
  <c r="CF375" i="1"/>
  <c r="DM7" i="5"/>
  <c r="DN39" i="1"/>
  <c r="AB163" i="5"/>
  <c r="AR306" i="1"/>
  <c r="AS306" i="1" s="1"/>
  <c r="AR308" i="1"/>
  <c r="AW51" i="5"/>
  <c r="AW75" i="5" s="1"/>
  <c r="AW168" i="5"/>
  <c r="AW40" i="5"/>
  <c r="DP271" i="1"/>
  <c r="DP369" i="1" s="1"/>
  <c r="DP402" i="1" s="1"/>
  <c r="DO269" i="1"/>
  <c r="DO271" i="1"/>
  <c r="DO369" i="1" s="1"/>
  <c r="DO402" i="1" s="1"/>
  <c r="DO281" i="1"/>
  <c r="DO282" i="1" s="1"/>
  <c r="DO286" i="1"/>
  <c r="DO288" i="1" s="1"/>
  <c r="DO289" i="1" s="1"/>
  <c r="DO49" i="1"/>
  <c r="DO50" i="1" s="1"/>
  <c r="DO109" i="1"/>
  <c r="DO121" i="1"/>
  <c r="DO118" i="1"/>
  <c r="DO395" i="1"/>
  <c r="DO74" i="1"/>
  <c r="DP27" i="1"/>
  <c r="DO112" i="1"/>
  <c r="DO31" i="1"/>
  <c r="DO357" i="1"/>
  <c r="DO90" i="1"/>
  <c r="DO83" i="1"/>
  <c r="DM321" i="1"/>
  <c r="DM322" i="1" s="1"/>
  <c r="DM233" i="1"/>
  <c r="CB69" i="1"/>
  <c r="CB66" i="1"/>
  <c r="CB65" i="1"/>
  <c r="CB67" i="1"/>
  <c r="BW239" i="5"/>
  <c r="BV159" i="5"/>
  <c r="AQ124" i="1"/>
  <c r="AQ50" i="1"/>
  <c r="AQ51" i="1" s="1"/>
  <c r="DF49" i="1"/>
  <c r="DF50" i="1" s="1"/>
  <c r="DN58" i="1"/>
  <c r="DN59" i="1" s="1"/>
  <c r="BN151" i="2"/>
  <c r="DJ151" i="2" s="1"/>
  <c r="T7" i="3"/>
  <c r="DO168" i="5"/>
  <c r="BL153" i="2"/>
  <c r="BK147" i="2"/>
  <c r="BK146" i="2" s="1"/>
  <c r="BY158" i="5"/>
  <c r="BD177" i="5"/>
  <c r="AV158" i="5"/>
  <c r="BN211" i="5"/>
  <c r="N170" i="5"/>
  <c r="DH90" i="1"/>
  <c r="AQ289" i="1"/>
  <c r="DH109" i="1"/>
  <c r="DN289" i="1"/>
  <c r="H43" i="5"/>
  <c r="H244" i="5"/>
  <c r="H22" i="5"/>
  <c r="AS50" i="1"/>
  <c r="AS124" i="1"/>
  <c r="J171" i="5"/>
  <c r="J54" i="5"/>
  <c r="K170" i="5" s="1"/>
  <c r="AO247" i="5"/>
  <c r="AO165" i="5"/>
  <c r="AO336" i="5"/>
  <c r="AO245" i="5"/>
  <c r="AP157" i="5"/>
  <c r="AP154" i="5" s="1"/>
  <c r="AO238" i="5"/>
  <c r="AP164" i="5"/>
  <c r="AP162" i="5"/>
  <c r="AO157" i="5"/>
  <c r="AO154" i="5" s="1"/>
  <c r="DO39" i="1"/>
  <c r="DN7" i="5"/>
  <c r="BS70" i="1"/>
  <c r="BS71" i="1"/>
  <c r="DK321" i="1"/>
  <c r="DK322" i="1" s="1"/>
  <c r="BN322" i="1"/>
  <c r="BO322" i="1"/>
  <c r="BP322" i="1"/>
  <c r="BG358" i="1"/>
  <c r="BH359" i="1"/>
  <c r="BG359" i="1"/>
  <c r="BH62" i="2"/>
  <c r="AX345" i="1"/>
  <c r="AX266" i="1"/>
  <c r="AX346" i="1"/>
  <c r="AY266" i="1"/>
  <c r="AX334" i="1"/>
  <c r="DO380" i="1"/>
  <c r="DO381" i="1" s="1"/>
  <c r="BB325" i="1"/>
  <c r="DG324" i="1"/>
  <c r="BM22" i="1"/>
  <c r="BM4" i="5"/>
  <c r="BM6" i="5" s="1"/>
  <c r="BM177" i="5" s="1"/>
  <c r="BM16" i="1"/>
  <c r="BM19" i="1"/>
  <c r="CA124" i="1"/>
  <c r="CA50" i="1"/>
  <c r="CB159" i="5"/>
  <c r="BL290" i="1"/>
  <c r="BI295" i="1"/>
  <c r="BM296" i="1" s="1"/>
  <c r="BK292" i="1"/>
  <c r="AU212" i="1"/>
  <c r="BE10" i="2"/>
  <c r="BE39" i="2" s="1"/>
  <c r="DO15" i="1"/>
  <c r="DO16" i="1" s="1"/>
  <c r="DO364" i="1"/>
  <c r="DO396" i="1"/>
  <c r="DO365" i="1"/>
  <c r="DO387" i="1"/>
  <c r="DO371" i="1"/>
  <c r="CH343" i="1"/>
  <c r="CL323" i="1"/>
  <c r="BG347" i="1"/>
  <c r="BV170" i="5"/>
  <c r="BU170" i="5"/>
  <c r="BZ71" i="1"/>
  <c r="DK371" i="1"/>
  <c r="DK364" i="1"/>
  <c r="DK365" i="1"/>
  <c r="DK387" i="1"/>
  <c r="DK396" i="1"/>
  <c r="BK246" i="5"/>
  <c r="BK215" i="5"/>
  <c r="BK8" i="5"/>
  <c r="BK243" i="5" s="1"/>
  <c r="BK245" i="5"/>
  <c r="BK157" i="5"/>
  <c r="BK235" i="5"/>
  <c r="BK238" i="5"/>
  <c r="BK248" i="5"/>
  <c r="BK247" i="5"/>
  <c r="BK211" i="5"/>
  <c r="BK233" i="5"/>
  <c r="BZ309" i="1"/>
  <c r="BV331" i="1"/>
  <c r="BE50" i="2"/>
  <c r="BA50" i="2"/>
  <c r="BA148" i="2"/>
  <c r="BB148" i="2"/>
  <c r="DG148" i="2" s="1"/>
  <c r="BB147" i="2"/>
  <c r="BA9" i="2"/>
  <c r="BA100" i="2" s="1"/>
  <c r="BB102" i="2" s="1"/>
  <c r="BC147" i="2"/>
  <c r="BC146" i="2" s="1"/>
  <c r="BB51" i="2"/>
  <c r="BA147" i="2"/>
  <c r="T247" i="5"/>
  <c r="T235" i="5"/>
  <c r="DJ307" i="1"/>
  <c r="BJ308" i="1"/>
  <c r="AV290" i="1"/>
  <c r="AW295" i="1"/>
  <c r="AW296" i="1" s="1"/>
  <c r="AW289" i="1"/>
  <c r="AW292" i="1"/>
  <c r="AV292" i="1"/>
  <c r="AV295" i="1"/>
  <c r="AX292" i="1"/>
  <c r="AX293" i="1" s="1"/>
  <c r="AZ290" i="1"/>
  <c r="AV289" i="1"/>
  <c r="AY292" i="1"/>
  <c r="AY293" i="1" s="1"/>
  <c r="BT359" i="1"/>
  <c r="BS359" i="1"/>
  <c r="BS358" i="1"/>
  <c r="CD147" i="2"/>
  <c r="CD148" i="2"/>
  <c r="CD50" i="2"/>
  <c r="CD51" i="2"/>
  <c r="BA153" i="2"/>
  <c r="BB153" i="2"/>
  <c r="DG153" i="2" s="1"/>
  <c r="BA43" i="2"/>
  <c r="BA152" i="2"/>
  <c r="DG41" i="2"/>
  <c r="DG42" i="2" s="1"/>
  <c r="BA42" i="2"/>
  <c r="BB151" i="2"/>
  <c r="BB43" i="2"/>
  <c r="BB152" i="2"/>
  <c r="DG152" i="2" s="1"/>
  <c r="BC152" i="2"/>
  <c r="BW10" i="2"/>
  <c r="BW11" i="2" s="1"/>
  <c r="CF10" i="5"/>
  <c r="CF240" i="5" s="1"/>
  <c r="CH153" i="2"/>
  <c r="CH151" i="2"/>
  <c r="CH42" i="2"/>
  <c r="CH43" i="2"/>
  <c r="CH152" i="2"/>
  <c r="DO215" i="5"/>
  <c r="DO246" i="5"/>
  <c r="CC343" i="1"/>
  <c r="CG323" i="1"/>
  <c r="T246" i="5"/>
  <c r="CI8" i="5"/>
  <c r="CI243" i="5" s="1"/>
  <c r="CJ50" i="1"/>
  <c r="CJ51" i="1" s="1"/>
  <c r="CJ124" i="1"/>
  <c r="AU358" i="1"/>
  <c r="AV359" i="1"/>
  <c r="AU359" i="1"/>
  <c r="AY358" i="1"/>
  <c r="BF315" i="1"/>
  <c r="DH314" i="1"/>
  <c r="BB337" i="1"/>
  <c r="BI323" i="1"/>
  <c r="BE343" i="1"/>
  <c r="AS7" i="1"/>
  <c r="L14" i="3"/>
  <c r="DH55" i="1"/>
  <c r="DI55" i="1"/>
  <c r="BH185" i="1"/>
  <c r="BH149" i="1"/>
  <c r="BH160" i="1"/>
  <c r="BH133" i="2"/>
  <c r="AU11" i="1"/>
  <c r="BE235" i="5"/>
  <c r="S177" i="5"/>
  <c r="DB246" i="5"/>
  <c r="BE245" i="5"/>
  <c r="BZ172" i="5"/>
  <c r="BZ54" i="5"/>
  <c r="BZ171" i="5"/>
  <c r="AQ369" i="1"/>
  <c r="AQ402" i="1" s="1"/>
  <c r="AR375" i="1"/>
  <c r="AQ375" i="1"/>
  <c r="AR370" i="1"/>
  <c r="AQ370" i="1"/>
  <c r="AS370" i="1"/>
  <c r="AS375" i="1"/>
  <c r="AT375" i="1"/>
  <c r="BI331" i="1"/>
  <c r="BM309" i="1"/>
  <c r="CE153" i="2"/>
  <c r="CF153" i="2"/>
  <c r="CF43" i="2"/>
  <c r="CH50" i="2"/>
  <c r="CH51" i="2"/>
  <c r="CH9" i="2"/>
  <c r="CH100" i="2" s="1"/>
  <c r="CH102" i="2" s="1"/>
  <c r="CH148" i="2"/>
  <c r="CH147" i="2"/>
  <c r="DO310" i="1"/>
  <c r="DN332" i="1"/>
  <c r="DN3" i="5"/>
  <c r="DO4" i="1"/>
  <c r="BD151" i="2"/>
  <c r="CB215" i="5"/>
  <c r="CB235" i="5"/>
  <c r="CB245" i="5"/>
  <c r="CB177" i="5"/>
  <c r="CB233" i="5"/>
  <c r="CB8" i="5"/>
  <c r="CB246" i="5"/>
  <c r="CB247" i="5"/>
  <c r="CB211" i="5"/>
  <c r="BL308" i="1"/>
  <c r="BR160" i="1"/>
  <c r="CH323" i="1"/>
  <c r="CD343" i="1"/>
  <c r="DL41" i="5"/>
  <c r="CK4" i="5"/>
  <c r="CK6" i="5" s="1"/>
  <c r="CK22" i="1"/>
  <c r="BY62" i="2"/>
  <c r="DO41" i="2"/>
  <c r="CJ47" i="2"/>
  <c r="BA151" i="2"/>
  <c r="CF152" i="2"/>
  <c r="AW150" i="2"/>
  <c r="AW156" i="2" s="1"/>
  <c r="DS151" i="2"/>
  <c r="D238" i="5"/>
  <c r="V164" i="5"/>
  <c r="W164" i="5"/>
  <c r="T248" i="5"/>
  <c r="BQ8" i="5"/>
  <c r="BQ17" i="5" s="1"/>
  <c r="AY170" i="5"/>
  <c r="CI245" i="5"/>
  <c r="CI215" i="5"/>
  <c r="BO238" i="5"/>
  <c r="DI77" i="5"/>
  <c r="Z43" i="5"/>
  <c r="Z45" i="5" s="1"/>
  <c r="DB245" i="5"/>
  <c r="I240" i="5"/>
  <c r="CC238" i="5"/>
  <c r="BV8" i="5"/>
  <c r="BV17" i="5" s="1"/>
  <c r="S77" i="5"/>
  <c r="BV215" i="5"/>
  <c r="D244" i="5"/>
  <c r="BN246" i="5"/>
  <c r="T156" i="5"/>
  <c r="BE238" i="5"/>
  <c r="AD243" i="5"/>
  <c r="CF290" i="1"/>
  <c r="CI292" i="1"/>
  <c r="CI293" i="1" s="1"/>
  <c r="CJ290" i="1"/>
  <c r="CG289" i="1"/>
  <c r="CG295" i="1"/>
  <c r="CG296" i="1" s="1"/>
  <c r="CG292" i="1"/>
  <c r="CG293" i="1" s="1"/>
  <c r="CF292" i="1"/>
  <c r="CF289" i="1"/>
  <c r="AZ240" i="5"/>
  <c r="DJ23" i="1"/>
  <c r="AS322" i="1"/>
  <c r="AT322" i="1"/>
  <c r="DF321" i="1"/>
  <c r="AV322" i="1"/>
  <c r="AU322" i="1"/>
  <c r="AS364" i="1"/>
  <c r="AS387" i="1"/>
  <c r="AS365" i="1"/>
  <c r="DF363" i="1"/>
  <c r="AS396" i="1"/>
  <c r="AS371" i="1"/>
  <c r="BM323" i="1"/>
  <c r="BI343" i="1"/>
  <c r="BO364" i="1"/>
  <c r="BO396" i="1"/>
  <c r="BO365" i="1"/>
  <c r="DL363" i="1"/>
  <c r="BO371" i="1"/>
  <c r="AU331" i="1"/>
  <c r="AY309" i="1"/>
  <c r="AZ283" i="1"/>
  <c r="AZ282" i="1"/>
  <c r="AV282" i="1"/>
  <c r="DM364" i="1"/>
  <c r="DM371" i="1"/>
  <c r="DM396" i="1"/>
  <c r="DM387" i="1"/>
  <c r="DM365" i="1"/>
  <c r="AV239" i="5"/>
  <c r="BB381" i="1"/>
  <c r="AU50" i="1"/>
  <c r="AU124" i="1"/>
  <c r="AY126" i="1" s="1"/>
  <c r="DG49" i="1"/>
  <c r="DG50" i="1" s="1"/>
  <c r="BV358" i="1"/>
  <c r="BV359" i="1"/>
  <c r="AX309" i="1"/>
  <c r="DF308" i="1"/>
  <c r="DF331" i="1" s="1"/>
  <c r="AT331" i="1"/>
  <c r="DH59" i="1"/>
  <c r="DI59" i="1"/>
  <c r="BY293" i="1"/>
  <c r="AZ293" i="1"/>
  <c r="AT66" i="1"/>
  <c r="AT124" i="1"/>
  <c r="AT69" i="1"/>
  <c r="AT67" i="1"/>
  <c r="AX67" i="1"/>
  <c r="AT65" i="1"/>
  <c r="AU66" i="1"/>
  <c r="BQ51" i="1"/>
  <c r="BM51" i="1"/>
  <c r="CJ309" i="1"/>
  <c r="CJ332" i="1" s="1"/>
  <c r="CF331" i="1"/>
  <c r="CI325" i="1"/>
  <c r="CI346" i="1" s="1"/>
  <c r="CE345" i="1"/>
  <c r="BV344" i="1"/>
  <c r="BZ324" i="1"/>
  <c r="BN331" i="1"/>
  <c r="BR309" i="1"/>
  <c r="AT11" i="1"/>
  <c r="DF11" i="1" s="1"/>
  <c r="BD293" i="1"/>
  <c r="CH296" i="1"/>
  <c r="CH62" i="2"/>
  <c r="T112" i="5"/>
  <c r="T108" i="5" s="1"/>
  <c r="T128" i="5" s="1"/>
  <c r="T129" i="5" s="1"/>
  <c r="U240" i="5"/>
  <c r="BG369" i="1"/>
  <c r="BG402" i="1" s="1"/>
  <c r="BG375" i="1"/>
  <c r="BH375" i="1"/>
  <c r="BI375" i="1"/>
  <c r="BJ375" i="1"/>
  <c r="BF370" i="1"/>
  <c r="AW55" i="1"/>
  <c r="AS55" i="1"/>
  <c r="CC67" i="1"/>
  <c r="CC65" i="1"/>
  <c r="CC124" i="1"/>
  <c r="CC66" i="1"/>
  <c r="CC69" i="1"/>
  <c r="AS13" i="1"/>
  <c r="AS21" i="1"/>
  <c r="BE296" i="1"/>
  <c r="DB248" i="5"/>
  <c r="W163" i="5"/>
  <c r="DO321" i="1"/>
  <c r="DO233" i="1"/>
  <c r="AV124" i="1"/>
  <c r="AV50" i="1"/>
  <c r="AV51" i="1" s="1"/>
  <c r="BS10" i="2"/>
  <c r="BS39" i="2" s="1"/>
  <c r="AU337" i="1"/>
  <c r="AU334" i="1"/>
  <c r="AU345" i="1"/>
  <c r="AU333" i="1"/>
  <c r="AU346" i="1"/>
  <c r="AU347" i="1"/>
  <c r="AU344" i="1"/>
  <c r="AU335" i="1"/>
  <c r="AU336" i="1"/>
  <c r="AU266" i="1"/>
  <c r="CD10" i="2"/>
  <c r="CD11" i="2" s="1"/>
  <c r="BB338" i="1"/>
  <c r="DF358" i="1"/>
  <c r="DG358" i="1"/>
  <c r="DG49" i="2"/>
  <c r="BC151" i="2"/>
  <c r="BG312" i="1"/>
  <c r="BC334" i="1"/>
  <c r="DS405" i="1"/>
  <c r="CI248" i="5"/>
  <c r="Z22" i="5"/>
  <c r="Z200" i="5" s="1"/>
  <c r="Z202" i="5" s="1"/>
  <c r="Z205" i="5" s="1"/>
  <c r="Z204" i="5" s="1"/>
  <c r="Z182" i="5" s="1"/>
  <c r="Z181" i="5" s="1"/>
  <c r="BE8" i="5"/>
  <c r="CF4" i="5"/>
  <c r="CF6" i="5" s="1"/>
  <c r="CF248" i="5" s="1"/>
  <c r="CF16" i="1"/>
  <c r="CF22" i="1"/>
  <c r="AU54" i="5"/>
  <c r="BX100" i="2"/>
  <c r="BX102" i="2" s="1"/>
  <c r="DM9" i="2"/>
  <c r="DM100" i="2" s="1"/>
  <c r="AU338" i="1"/>
  <c r="AY55" i="1"/>
  <c r="BC55" i="1"/>
  <c r="O101" i="3"/>
  <c r="DP154" i="1"/>
  <c r="BT296" i="1"/>
  <c r="BX296" i="1"/>
  <c r="BA293" i="1"/>
  <c r="BU309" i="1"/>
  <c r="BK323" i="1"/>
  <c r="BG343" i="1"/>
  <c r="BQ126" i="1"/>
  <c r="BM125" i="1"/>
  <c r="BM126" i="1"/>
  <c r="BM148" i="1"/>
  <c r="AV23" i="1"/>
  <c r="BU211" i="5"/>
  <c r="BU215" i="5"/>
  <c r="BU238" i="5"/>
  <c r="BU177" i="5"/>
  <c r="Z243" i="5"/>
  <c r="CC157" i="5"/>
  <c r="CI246" i="5"/>
  <c r="T4" i="3"/>
  <c r="Q5" i="7" s="1"/>
  <c r="T165" i="5"/>
  <c r="BV247" i="5"/>
  <c r="BN215" i="5"/>
  <c r="AF240" i="5"/>
  <c r="BF162" i="5"/>
  <c r="BU245" i="5"/>
  <c r="BN42" i="5"/>
  <c r="DK136" i="1"/>
  <c r="BN132" i="1"/>
  <c r="BN138" i="1"/>
  <c r="AB75" i="5"/>
  <c r="DA75" i="5" s="1"/>
  <c r="DA51" i="5"/>
  <c r="AX369" i="1"/>
  <c r="AX402" i="1" s="1"/>
  <c r="AW370" i="1"/>
  <c r="BA375" i="1"/>
  <c r="AX370" i="1"/>
  <c r="AZ370" i="1"/>
  <c r="AY370" i="1"/>
  <c r="V17" i="5"/>
  <c r="W240" i="5"/>
  <c r="BO152" i="2"/>
  <c r="DK152" i="2" s="1"/>
  <c r="BS42" i="2"/>
  <c r="BO42" i="2"/>
  <c r="BO153" i="2"/>
  <c r="DK153" i="2" s="1"/>
  <c r="BQ152" i="2"/>
  <c r="DM152" i="2" s="1"/>
  <c r="DK41" i="2"/>
  <c r="BO43" i="2"/>
  <c r="BP43" i="2"/>
  <c r="BR151" i="2"/>
  <c r="BQ151" i="2"/>
  <c r="DM151" i="2" s="1"/>
  <c r="BO151" i="2"/>
  <c r="BE126" i="1"/>
  <c r="BE148" i="1"/>
  <c r="BE185" i="1" s="1"/>
  <c r="BE125" i="1"/>
  <c r="BI126" i="1"/>
  <c r="BP47" i="2"/>
  <c r="BP11" i="2"/>
  <c r="DI49" i="1"/>
  <c r="DI50" i="1" s="1"/>
  <c r="BC50" i="1"/>
  <c r="BC124" i="1"/>
  <c r="T9" i="3"/>
  <c r="BZ359" i="1"/>
  <c r="BZ358" i="1"/>
  <c r="CA359" i="1"/>
  <c r="AW369" i="1"/>
  <c r="AW402" i="1" s="1"/>
  <c r="AZ375" i="1"/>
  <c r="AW375" i="1"/>
  <c r="AX375" i="1"/>
  <c r="AY375" i="1"/>
  <c r="AV370" i="1"/>
  <c r="BY66" i="1"/>
  <c r="BZ66" i="1"/>
  <c r="BY69" i="1"/>
  <c r="BY124" i="1"/>
  <c r="BY65" i="1"/>
  <c r="BY67" i="1"/>
  <c r="DK65" i="1"/>
  <c r="DL67" i="1"/>
  <c r="DM121" i="1"/>
  <c r="DM112" i="1"/>
  <c r="DM109" i="1"/>
  <c r="DM74" i="1"/>
  <c r="DM35" i="1"/>
  <c r="DM395" i="1"/>
  <c r="DM357" i="1"/>
  <c r="DM358" i="1" s="1"/>
  <c r="DM115" i="1"/>
  <c r="DM154" i="1"/>
  <c r="DM401" i="1"/>
  <c r="DM49" i="1"/>
  <c r="DM50" i="1" s="1"/>
  <c r="DM90" i="1"/>
  <c r="DM118" i="1"/>
  <c r="DM39" i="1"/>
  <c r="DM97" i="1"/>
  <c r="DM83" i="1"/>
  <c r="DM27" i="1"/>
  <c r="CF40" i="5"/>
  <c r="CF51" i="5"/>
  <c r="CF75" i="5" s="1"/>
  <c r="CF168" i="5"/>
  <c r="BQ358" i="1"/>
  <c r="BQ359" i="1"/>
  <c r="BR359" i="1"/>
  <c r="CG67" i="1"/>
  <c r="DN4" i="1"/>
  <c r="DM3" i="5"/>
  <c r="CF296" i="1"/>
  <c r="CJ296" i="1"/>
  <c r="AY296" i="1"/>
  <c r="AY125" i="1"/>
  <c r="DH124" i="1"/>
  <c r="AY148" i="1"/>
  <c r="DE15" i="5"/>
  <c r="AT10" i="5"/>
  <c r="DE10" i="5" s="1"/>
  <c r="BH370" i="1"/>
  <c r="CD331" i="1"/>
  <c r="CH309" i="1"/>
  <c r="AF243" i="5"/>
  <c r="AF17" i="5"/>
  <c r="BK308" i="1"/>
  <c r="BP311" i="1"/>
  <c r="BL333" i="1"/>
  <c r="BN127" i="1"/>
  <c r="DP59" i="1"/>
  <c r="CC325" i="1"/>
  <c r="BY345" i="1"/>
  <c r="R172" i="5"/>
  <c r="R171" i="5"/>
  <c r="R54" i="5"/>
  <c r="S170" i="5" s="1"/>
  <c r="BO358" i="1"/>
  <c r="BK359" i="1"/>
  <c r="BK358" i="1"/>
  <c r="BL359" i="1"/>
  <c r="CG66" i="1"/>
  <c r="CF124" i="1"/>
  <c r="CF67" i="1"/>
  <c r="CJ67" i="1"/>
  <c r="CF69" i="1"/>
  <c r="CF65" i="1"/>
  <c r="CF66" i="1"/>
  <c r="DM282" i="1"/>
  <c r="DN282" i="1"/>
  <c r="BA308" i="1"/>
  <c r="DG307" i="1"/>
  <c r="AZ308" i="1"/>
  <c r="AX308" i="1"/>
  <c r="AY308" i="1"/>
  <c r="BH70" i="1"/>
  <c r="DP67" i="1"/>
  <c r="DP65" i="1"/>
  <c r="BI309" i="1"/>
  <c r="BE331" i="1"/>
  <c r="BT331" i="1"/>
  <c r="BX309" i="1"/>
  <c r="BZ323" i="1"/>
  <c r="BV343" i="1"/>
  <c r="BW358" i="1"/>
  <c r="BW310" i="1"/>
  <c r="CD125" i="1"/>
  <c r="CD148" i="1"/>
  <c r="AR18" i="1"/>
  <c r="AR4" i="2"/>
  <c r="AR9" i="1"/>
  <c r="AR3" i="1"/>
  <c r="T157" i="5"/>
  <c r="T154" i="5" s="1"/>
  <c r="BJ164" i="5"/>
  <c r="CI247" i="5"/>
  <c r="DJ20" i="1"/>
  <c r="DJ15" i="1"/>
  <c r="DJ22" i="1" s="1"/>
  <c r="AX50" i="1"/>
  <c r="AX124" i="1"/>
  <c r="DJ321" i="1"/>
  <c r="BJ322" i="1"/>
  <c r="BK322" i="1"/>
  <c r="BL322" i="1"/>
  <c r="BM322" i="1"/>
  <c r="BG295" i="1"/>
  <c r="BI292" i="1"/>
  <c r="BH292" i="1"/>
  <c r="BG289" i="1"/>
  <c r="BH295" i="1"/>
  <c r="BG290" i="1"/>
  <c r="BH289" i="1"/>
  <c r="BK290" i="1"/>
  <c r="BJ292" i="1"/>
  <c r="BJ293" i="1" s="1"/>
  <c r="BU47" i="2"/>
  <c r="BU11" i="2"/>
  <c r="CA10" i="2"/>
  <c r="CA39" i="2" s="1"/>
  <c r="DG321" i="1"/>
  <c r="BA322" i="1"/>
  <c r="AY322" i="1"/>
  <c r="AX322" i="1"/>
  <c r="AZ322" i="1"/>
  <c r="J14" i="3"/>
  <c r="DG55" i="1"/>
  <c r="BV50" i="1"/>
  <c r="BV124" i="1"/>
  <c r="CC10" i="5"/>
  <c r="CC240" i="5" s="1"/>
  <c r="CC248" i="5"/>
  <c r="DI308" i="1"/>
  <c r="DI331" i="1" s="1"/>
  <c r="BF331" i="1"/>
  <c r="BJ309" i="1"/>
  <c r="AT7" i="1"/>
  <c r="BM364" i="1"/>
  <c r="BM371" i="1"/>
  <c r="BM396" i="1"/>
  <c r="BM379" i="1"/>
  <c r="BM365" i="1"/>
  <c r="BF51" i="5"/>
  <c r="BF75" i="5" s="1"/>
  <c r="BF168" i="5"/>
  <c r="BF171" i="5"/>
  <c r="BF40" i="5"/>
  <c r="BB346" i="1"/>
  <c r="BB334" i="1"/>
  <c r="BB343" i="1"/>
  <c r="BB347" i="1"/>
  <c r="BB266" i="1"/>
  <c r="BB335" i="1"/>
  <c r="BB336" i="1"/>
  <c r="BG370" i="1"/>
  <c r="CI323" i="1"/>
  <c r="CI344" i="1" s="1"/>
  <c r="CE343" i="1"/>
  <c r="BN149" i="1"/>
  <c r="BR151" i="1" s="1"/>
  <c r="BN160" i="1"/>
  <c r="T245" i="5"/>
  <c r="CE148" i="2"/>
  <c r="CE50" i="2"/>
  <c r="CE147" i="2"/>
  <c r="CE9" i="2"/>
  <c r="CF51" i="2"/>
  <c r="CF147" i="2"/>
  <c r="CF148" i="2"/>
  <c r="CG147" i="2"/>
  <c r="DO49" i="2"/>
  <c r="BJ239" i="5"/>
  <c r="BM159" i="5"/>
  <c r="BL158" i="5"/>
  <c r="BL159" i="5"/>
  <c r="BK239" i="5"/>
  <c r="BF358" i="1"/>
  <c r="BB358" i="1"/>
  <c r="BB359" i="1"/>
  <c r="BA51" i="2"/>
  <c r="DO15" i="5"/>
  <c r="DP97" i="1"/>
  <c r="BH323" i="1"/>
  <c r="BD343" i="1"/>
  <c r="CG309" i="1"/>
  <c r="CC331" i="1"/>
  <c r="BM308" i="1"/>
  <c r="BB133" i="2"/>
  <c r="BB160" i="1"/>
  <c r="BB149" i="1"/>
  <c r="BF150" i="1"/>
  <c r="CJ323" i="1"/>
  <c r="CJ344" i="1" s="1"/>
  <c r="CF343" i="1"/>
  <c r="BF293" i="1"/>
  <c r="T164" i="5"/>
  <c r="T8" i="5"/>
  <c r="T243" i="5" s="1"/>
  <c r="CI235" i="5"/>
  <c r="CM235" i="5" s="1"/>
  <c r="BT240" i="5"/>
  <c r="BV177" i="5"/>
  <c r="AV240" i="5"/>
  <c r="BF156" i="5"/>
  <c r="BE177" i="5"/>
  <c r="BS308" i="1"/>
  <c r="BU308" i="1"/>
  <c r="BP217" i="5"/>
  <c r="BQ159" i="5"/>
  <c r="BP158" i="5"/>
  <c r="BP159" i="5"/>
  <c r="BP239" i="5"/>
  <c r="BR159" i="5"/>
  <c r="BS159" i="5"/>
  <c r="AV323" i="1"/>
  <c r="AR343" i="1"/>
  <c r="BO51" i="2"/>
  <c r="BO9" i="2"/>
  <c r="BO100" i="2" s="1"/>
  <c r="BP148" i="2"/>
  <c r="DL148" i="2" s="1"/>
  <c r="BP51" i="2"/>
  <c r="BO148" i="2"/>
  <c r="DK148" i="2" s="1"/>
  <c r="BP147" i="2"/>
  <c r="BS50" i="2"/>
  <c r="R7" i="3"/>
  <c r="Q7" i="3"/>
  <c r="AX296" i="1"/>
  <c r="DN16" i="1"/>
  <c r="DN19" i="1"/>
  <c r="DM4" i="5"/>
  <c r="CI309" i="1"/>
  <c r="CI332" i="1" s="1"/>
  <c r="CE331" i="1"/>
  <c r="CK16" i="1"/>
  <c r="DS248" i="1"/>
  <c r="DT248" i="1" s="1"/>
  <c r="CE43" i="2"/>
  <c r="CE51" i="2"/>
  <c r="BS62" i="2"/>
  <c r="CD9" i="2"/>
  <c r="CD100" i="2" s="1"/>
  <c r="BE42" i="2"/>
  <c r="T163" i="5"/>
  <c r="BM158" i="5"/>
  <c r="DC6" i="5"/>
  <c r="DC246" i="5" s="1"/>
  <c r="CI211" i="5"/>
  <c r="BN245" i="5"/>
  <c r="Y240" i="5"/>
  <c r="DG168" i="5"/>
  <c r="CB248" i="5"/>
  <c r="BJ159" i="5"/>
  <c r="BF157" i="5"/>
  <c r="AU171" i="5"/>
  <c r="BF164" i="5"/>
  <c r="BU246" i="5"/>
  <c r="BF163" i="5"/>
  <c r="DH6" i="5"/>
  <c r="DH245" i="5" s="1"/>
  <c r="BX40" i="5"/>
  <c r="BX168" i="5"/>
  <c r="AL171" i="5"/>
  <c r="AL172" i="5"/>
  <c r="AL54" i="5"/>
  <c r="AT203" i="1"/>
  <c r="AX203" i="1"/>
  <c r="BT309" i="1"/>
  <c r="BP331" i="1"/>
  <c r="DF307" i="1"/>
  <c r="AV308" i="1"/>
  <c r="AS308" i="1"/>
  <c r="BL50" i="1"/>
  <c r="BL124" i="1"/>
  <c r="BM127" i="1" s="1"/>
  <c r="DK49" i="1"/>
  <c r="DK50" i="1" s="1"/>
  <c r="DN51" i="1" s="1"/>
  <c r="BI51" i="1"/>
  <c r="BP292" i="1"/>
  <c r="BN295" i="1"/>
  <c r="BN289" i="1"/>
  <c r="BN290" i="1"/>
  <c r="BQ292" i="1"/>
  <c r="BQ293" i="1" s="1"/>
  <c r="BO295" i="1"/>
  <c r="BO296" i="1" s="1"/>
  <c r="BR290" i="1"/>
  <c r="BN292" i="1"/>
  <c r="BN293" i="1" s="1"/>
  <c r="BO292" i="1"/>
  <c r="BO289" i="1"/>
  <c r="DO40" i="5"/>
  <c r="DJ41" i="2"/>
  <c r="DJ42" i="2" s="1"/>
  <c r="BK42" i="2"/>
  <c r="AV347" i="1"/>
  <c r="AV335" i="1"/>
  <c r="AV381" i="1"/>
  <c r="AV346" i="1"/>
  <c r="AW266" i="1"/>
  <c r="AV345" i="1"/>
  <c r="AV337" i="1"/>
  <c r="AV333" i="1"/>
  <c r="AV336" i="1"/>
  <c r="AV266" i="1"/>
  <c r="BW18" i="2"/>
  <c r="BW19" i="2"/>
  <c r="BN283" i="1"/>
  <c r="BJ282" i="1"/>
  <c r="BJ280" i="1"/>
  <c r="BN282" i="1"/>
  <c r="BK280" i="1"/>
  <c r="BA168" i="5"/>
  <c r="BA51" i="5"/>
  <c r="BA75" i="5" s="1"/>
  <c r="BA40" i="5"/>
  <c r="DU153" i="2"/>
  <c r="CD358" i="1"/>
  <c r="CF77" i="5"/>
  <c r="BE313" i="1"/>
  <c r="BA335" i="1"/>
  <c r="BQ381" i="1"/>
  <c r="BR266" i="1"/>
  <c r="BQ266" i="1"/>
  <c r="BQ343" i="1"/>
  <c r="AZ125" i="1"/>
  <c r="AZ148" i="1"/>
  <c r="BA127" i="1"/>
  <c r="BD126" i="1"/>
  <c r="AZ127" i="1"/>
  <c r="DH264" i="1"/>
  <c r="DH263" i="1"/>
  <c r="DH375" i="1" s="1"/>
  <c r="DI376" i="1" s="1"/>
  <c r="DH265" i="1"/>
  <c r="DH357" i="1"/>
  <c r="DH358" i="1" s="1"/>
  <c r="DI264" i="1"/>
  <c r="DJ376" i="1"/>
  <c r="BG331" i="1"/>
  <c r="BK309" i="1"/>
  <c r="BM171" i="5"/>
  <c r="CA309" i="1"/>
  <c r="BW331" i="1"/>
  <c r="BY323" i="1"/>
  <c r="BU343" i="1"/>
  <c r="BW359" i="1"/>
  <c r="AY51" i="1"/>
  <c r="BF127" i="1"/>
  <c r="DM138" i="1"/>
  <c r="DL42" i="5"/>
  <c r="BY11" i="2"/>
  <c r="BY39" i="2"/>
  <c r="BI370" i="1"/>
  <c r="BK293" i="1"/>
  <c r="CD51" i="1"/>
  <c r="CH51" i="1"/>
  <c r="BG149" i="1"/>
  <c r="BG160" i="1"/>
  <c r="AU20" i="1"/>
  <c r="AV20" i="1" s="1"/>
  <c r="BF296" i="1"/>
  <c r="BB296" i="1"/>
  <c r="CH126" i="1"/>
  <c r="DP326" i="1"/>
  <c r="DP347" i="1" s="1"/>
  <c r="DO346" i="1"/>
  <c r="CL91" i="2"/>
  <c r="AD53" i="5"/>
  <c r="AD78" i="5" s="1"/>
  <c r="AD131" i="5"/>
  <c r="AD264" i="5" s="1"/>
  <c r="DN234" i="5"/>
  <c r="S28" i="3"/>
  <c r="DK53" i="5"/>
  <c r="DK78" i="5" s="1"/>
  <c r="DJ53" i="5"/>
  <c r="DJ78" i="5" s="1"/>
  <c r="DO301" i="5"/>
  <c r="DO308" i="5"/>
  <c r="DM85" i="5"/>
  <c r="N165" i="5"/>
  <c r="DK170" i="5"/>
  <c r="CF301" i="5"/>
  <c r="O165" i="5"/>
  <c r="BW240" i="5"/>
  <c r="BX240" i="5"/>
  <c r="DE65" i="5"/>
  <c r="DE322" i="5"/>
  <c r="BB172" i="5"/>
  <c r="BB171" i="5"/>
  <c r="BB54" i="5"/>
  <c r="R75" i="5"/>
  <c r="CX75" i="5" s="1"/>
  <c r="CX51" i="5"/>
  <c r="CE172" i="5"/>
  <c r="CE171" i="5"/>
  <c r="CE54" i="5"/>
  <c r="CD234" i="5"/>
  <c r="CD217" i="5"/>
  <c r="DF303" i="2"/>
  <c r="DF305" i="2" s="1"/>
  <c r="U157" i="5"/>
  <c r="U154" i="5" s="1"/>
  <c r="Q157" i="5"/>
  <c r="Q154" i="5" s="1"/>
  <c r="P162" i="5"/>
  <c r="Q163" i="5"/>
  <c r="BB322" i="5"/>
  <c r="BB328" i="5"/>
  <c r="BB308" i="5"/>
  <c r="BB301" i="5"/>
  <c r="BJ322" i="5"/>
  <c r="BJ328" i="5"/>
  <c r="BJ308" i="5"/>
  <c r="BK301" i="5"/>
  <c r="BK292" i="5" s="1"/>
  <c r="BJ301" i="5"/>
  <c r="AJ53" i="5"/>
  <c r="AJ78" i="5" s="1"/>
  <c r="AJ131" i="5"/>
  <c r="AJ156" i="5"/>
  <c r="U77" i="5"/>
  <c r="U177" i="5"/>
  <c r="P15" i="3"/>
  <c r="BV308" i="5"/>
  <c r="DL307" i="5"/>
  <c r="DL308" i="5" s="1"/>
  <c r="AI131" i="5"/>
  <c r="AI264" i="5" s="1"/>
  <c r="AI53" i="5"/>
  <c r="AI78" i="5" s="1"/>
  <c r="AI156" i="5"/>
  <c r="U156" i="5"/>
  <c r="W165" i="5"/>
  <c r="V312" i="5"/>
  <c r="DM197" i="5"/>
  <c r="DM63" i="5" s="1"/>
  <c r="DM81" i="5" s="1"/>
  <c r="F156" i="5"/>
  <c r="F53" i="5"/>
  <c r="F78" i="5" s="1"/>
  <c r="F131" i="5"/>
  <c r="F264" i="5" s="1"/>
  <c r="G53" i="5"/>
  <c r="G78" i="5" s="1"/>
  <c r="AM143" i="5"/>
  <c r="AN58" i="5"/>
  <c r="AN80" i="5" s="1"/>
  <c r="BZ63" i="5"/>
  <c r="BZ81" i="5" s="1"/>
  <c r="AK240" i="5"/>
  <c r="AJ17" i="5"/>
  <c r="AU4" i="6"/>
  <c r="CL2" i="5"/>
  <c r="AV4" i="6" s="1"/>
  <c r="DJ131" i="5"/>
  <c r="N8" i="5"/>
  <c r="N245" i="5"/>
  <c r="N235" i="5"/>
  <c r="N248" i="5"/>
  <c r="P165" i="5"/>
  <c r="P163" i="5"/>
  <c r="Q162" i="5"/>
  <c r="N246" i="5"/>
  <c r="N238" i="5"/>
  <c r="N247" i="5"/>
  <c r="AO77" i="5"/>
  <c r="AO177" i="5"/>
  <c r="CD261" i="5"/>
  <c r="AS85" i="5"/>
  <c r="DN309" i="2"/>
  <c r="V162" i="5"/>
  <c r="DL170" i="5"/>
  <c r="L17" i="5"/>
  <c r="L43" i="5" s="1"/>
  <c r="DB52" i="5"/>
  <c r="DB73" i="5" s="1"/>
  <c r="O163" i="5"/>
  <c r="DM201" i="5"/>
  <c r="W247" i="5"/>
  <c r="W246" i="5"/>
  <c r="W245" i="5"/>
  <c r="W8" i="5"/>
  <c r="W235" i="5"/>
  <c r="W124" i="5"/>
  <c r="W119" i="5" s="1"/>
  <c r="W128" i="5" s="1"/>
  <c r="W129" i="5" s="1"/>
  <c r="W248" i="5"/>
  <c r="W238" i="5"/>
  <c r="DF52" i="5"/>
  <c r="DF73" i="5" s="1"/>
  <c r="DG52" i="5"/>
  <c r="DG73" i="5" s="1"/>
  <c r="DF131" i="5"/>
  <c r="DC65" i="5"/>
  <c r="BH275" i="5"/>
  <c r="AE19" i="6"/>
  <c r="BU307" i="5"/>
  <c r="BU308" i="5" s="1"/>
  <c r="N163" i="5"/>
  <c r="BV327" i="5"/>
  <c r="AG20" i="6"/>
  <c r="U235" i="5"/>
  <c r="W162" i="5"/>
  <c r="U247" i="5"/>
  <c r="U8" i="5"/>
  <c r="U238" i="5"/>
  <c r="U248" i="5"/>
  <c r="W156" i="5"/>
  <c r="U245" i="5"/>
  <c r="U246" i="5"/>
  <c r="Q17" i="5"/>
  <c r="Q243" i="5"/>
  <c r="CY332" i="5"/>
  <c r="U163" i="5"/>
  <c r="V163" i="5"/>
  <c r="V156" i="5"/>
  <c r="Q165" i="5"/>
  <c r="X58" i="5"/>
  <c r="X80" i="5" s="1"/>
  <c r="W143" i="5"/>
  <c r="BG53" i="5"/>
  <c r="BG78" i="5" s="1"/>
  <c r="BG131" i="5"/>
  <c r="BG264" i="5" s="1"/>
  <c r="BH53" i="5"/>
  <c r="BH78" i="5" s="1"/>
  <c r="Z85" i="5"/>
  <c r="Y85" i="5"/>
  <c r="Z260" i="5"/>
  <c r="BK240" i="5"/>
  <c r="BV301" i="5"/>
  <c r="BV292" i="5" s="1"/>
  <c r="BU301" i="5"/>
  <c r="BU292" i="5" s="1"/>
  <c r="BU322" i="5"/>
  <c r="DL287" i="5"/>
  <c r="DL269" i="5" s="1"/>
  <c r="DK270" i="5"/>
  <c r="K177" i="5"/>
  <c r="L170" i="5"/>
  <c r="K77" i="5"/>
  <c r="DB164" i="5"/>
  <c r="DB162" i="5"/>
  <c r="DB247" i="5"/>
  <c r="DB157" i="5"/>
  <c r="DB165" i="5"/>
  <c r="G4" i="3"/>
  <c r="G52" i="3" s="1"/>
  <c r="DB163" i="5"/>
  <c r="DB336" i="5"/>
  <c r="BC131" i="5"/>
  <c r="BC264" i="5" s="1"/>
  <c r="BC53" i="5"/>
  <c r="BC78" i="5" s="1"/>
  <c r="I319" i="5"/>
  <c r="I295" i="5" s="1"/>
  <c r="I296" i="5" s="1"/>
  <c r="I315" i="5"/>
  <c r="AD43" i="5"/>
  <c r="AD244" i="5"/>
  <c r="G272" i="5"/>
  <c r="AK53" i="5"/>
  <c r="AK78" i="5" s="1"/>
  <c r="U165" i="5"/>
  <c r="BX322" i="5"/>
  <c r="DF107" i="5"/>
  <c r="DF129" i="5" s="1"/>
  <c r="AX129" i="5"/>
  <c r="AH263" i="5"/>
  <c r="AH264" i="5"/>
  <c r="Q301" i="5"/>
  <c r="Q292" i="5" s="1"/>
  <c r="BN77" i="5"/>
  <c r="BN177" i="5"/>
  <c r="CJ261" i="5"/>
  <c r="E129" i="5"/>
  <c r="BV245" i="5"/>
  <c r="BV233" i="5"/>
  <c r="BV238" i="5"/>
  <c r="DA63" i="5"/>
  <c r="AB81" i="5"/>
  <c r="DA81" i="5" s="1"/>
  <c r="AZ58" i="5"/>
  <c r="AZ80" i="5" s="1"/>
  <c r="AZ143" i="5"/>
  <c r="AZ138" i="5" s="1"/>
  <c r="AZ137" i="5" s="1"/>
  <c r="CX10" i="5"/>
  <c r="P240" i="5"/>
  <c r="AH138" i="5"/>
  <c r="CZ128" i="5"/>
  <c r="Z129" i="5"/>
  <c r="CZ129" i="5" s="1"/>
  <c r="BO131" i="5"/>
  <c r="BO53" i="5"/>
  <c r="BO78" i="5" s="1"/>
  <c r="AB143" i="5"/>
  <c r="E131" i="5"/>
  <c r="E156" i="5"/>
  <c r="C77" i="5"/>
  <c r="C177" i="5"/>
  <c r="W177" i="5"/>
  <c r="G37" i="9"/>
  <c r="G35" i="9"/>
  <c r="BB138" i="5"/>
  <c r="AD275" i="5"/>
  <c r="CY6" i="5"/>
  <c r="CY162" i="5" s="1"/>
  <c r="BN129" i="5"/>
  <c r="O238" i="5"/>
  <c r="O132" i="5"/>
  <c r="O53" i="5" s="1"/>
  <c r="BD131" i="5"/>
  <c r="BD264" i="5" s="1"/>
  <c r="BD53" i="5"/>
  <c r="BD78" i="5" s="1"/>
  <c r="BE53" i="5"/>
  <c r="BE78" i="5" s="1"/>
  <c r="CJ54" i="5"/>
  <c r="CJ172" i="5"/>
  <c r="CJ171" i="5"/>
  <c r="AT328" i="5"/>
  <c r="AU301" i="5"/>
  <c r="AU292" i="5" s="1"/>
  <c r="H270" i="5"/>
  <c r="H272" i="5" s="1"/>
  <c r="H280" i="5"/>
  <c r="R58" i="5"/>
  <c r="R80" i="5" s="1"/>
  <c r="Q143" i="5"/>
  <c r="Q138" i="5" s="1"/>
  <c r="X85" i="5"/>
  <c r="X139" i="5"/>
  <c r="AL327" i="5"/>
  <c r="P157" i="5"/>
  <c r="P154" i="5" s="1"/>
  <c r="CY10" i="5"/>
  <c r="S240" i="5"/>
  <c r="AM240" i="5"/>
  <c r="DD10" i="5"/>
  <c r="N162" i="5"/>
  <c r="U164" i="5"/>
  <c r="DB58" i="5"/>
  <c r="DB80" i="5" s="1"/>
  <c r="AP170" i="5"/>
  <c r="BC261" i="5"/>
  <c r="AS77" i="5"/>
  <c r="P164" i="5"/>
  <c r="O162" i="5"/>
  <c r="BB131" i="5"/>
  <c r="BB264" i="5" s="1"/>
  <c r="BB53" i="5"/>
  <c r="BB78" i="5" s="1"/>
  <c r="V170" i="5"/>
  <c r="BJ235" i="5"/>
  <c r="BJ245" i="5"/>
  <c r="BJ248" i="5"/>
  <c r="CX274" i="5"/>
  <c r="AQ240" i="5"/>
  <c r="AR240" i="5"/>
  <c r="DF301" i="5"/>
  <c r="DE328" i="5"/>
  <c r="DC10" i="5"/>
  <c r="H15" i="3" s="1"/>
  <c r="AN177" i="5"/>
  <c r="AN77" i="5"/>
  <c r="N272" i="5"/>
  <c r="O157" i="5"/>
  <c r="O154" i="5" s="1"/>
  <c r="V165" i="5"/>
  <c r="W157" i="5"/>
  <c r="W154" i="5" s="1"/>
  <c r="BC301" i="5"/>
  <c r="BC292" i="5" s="1"/>
  <c r="N177" i="5"/>
  <c r="DH128" i="5"/>
  <c r="DH129" i="5" s="1"/>
  <c r="BF129" i="5"/>
  <c r="AO328" i="5"/>
  <c r="AO308" i="5"/>
  <c r="AO322" i="5"/>
  <c r="AP301" i="5"/>
  <c r="AP292" i="5" s="1"/>
  <c r="V238" i="5"/>
  <c r="AG77" i="5"/>
  <c r="AG177" i="5"/>
  <c r="CH240" i="5"/>
  <c r="F162" i="5"/>
  <c r="E163" i="5"/>
  <c r="F165" i="5"/>
  <c r="F163" i="5"/>
  <c r="C246" i="5"/>
  <c r="E165" i="5"/>
  <c r="C235" i="5"/>
  <c r="D163" i="5"/>
  <c r="D162" i="5"/>
  <c r="C165" i="5"/>
  <c r="C157" i="5"/>
  <c r="C156" i="5"/>
  <c r="C8" i="5"/>
  <c r="C243" i="5" s="1"/>
  <c r="D157" i="5"/>
  <c r="E157" i="5"/>
  <c r="E164" i="5"/>
  <c r="E162" i="5"/>
  <c r="F164" i="5"/>
  <c r="D156" i="5"/>
  <c r="D164" i="5"/>
  <c r="C248" i="5"/>
  <c r="C162" i="5"/>
  <c r="D165" i="5"/>
  <c r="F157" i="5"/>
  <c r="V157" i="5"/>
  <c r="V154" i="5" s="1"/>
  <c r="AD301" i="5"/>
  <c r="AD292" i="5" s="1"/>
  <c r="U162" i="5"/>
  <c r="J319" i="5"/>
  <c r="J295" i="5" s="1"/>
  <c r="J296" i="5" s="1"/>
  <c r="U143" i="5"/>
  <c r="O164" i="5"/>
  <c r="AI85" i="5"/>
  <c r="DI131" i="5"/>
  <c r="DI264" i="5" s="1"/>
  <c r="E177" i="5"/>
  <c r="E170" i="5"/>
  <c r="E53" i="5"/>
  <c r="BN172" i="5"/>
  <c r="DM322" i="5"/>
  <c r="DR105" i="5"/>
  <c r="DR149" i="5" s="1"/>
  <c r="DP140" i="1"/>
  <c r="DP141" i="1" s="1"/>
  <c r="Z240" i="5"/>
  <c r="M156" i="5"/>
  <c r="M131" i="5"/>
  <c r="M53" i="5"/>
  <c r="M78" i="5" s="1"/>
  <c r="CZ131" i="5"/>
  <c r="N61" i="3"/>
  <c r="DI263" i="5"/>
  <c r="AE138" i="5"/>
  <c r="AE263" i="5"/>
  <c r="AE264" i="5"/>
  <c r="X98" i="5"/>
  <c r="X247" i="5"/>
  <c r="X245" i="5"/>
  <c r="Z165" i="5"/>
  <c r="AA164" i="5"/>
  <c r="X177" i="5"/>
  <c r="AA165" i="5"/>
  <c r="X246" i="5"/>
  <c r="Z164" i="5"/>
  <c r="X8" i="5"/>
  <c r="AA163" i="5"/>
  <c r="Y162" i="5"/>
  <c r="X162" i="5"/>
  <c r="AA162" i="5"/>
  <c r="X165" i="5"/>
  <c r="Z163" i="5"/>
  <c r="Z157" i="5"/>
  <c r="Z154" i="5" s="1"/>
  <c r="X235" i="5"/>
  <c r="Z162" i="5"/>
  <c r="X238" i="5"/>
  <c r="CZ6" i="5"/>
  <c r="CZ156" i="5" s="1"/>
  <c r="Y238" i="5"/>
  <c r="X157" i="5"/>
  <c r="X154" i="5" s="1"/>
  <c r="Y165" i="5"/>
  <c r="X248" i="5"/>
  <c r="AA157" i="5"/>
  <c r="AA154" i="5" s="1"/>
  <c r="Y157" i="5"/>
  <c r="Y154" i="5" s="1"/>
  <c r="X163" i="5"/>
  <c r="Y164" i="5"/>
  <c r="X164" i="5"/>
  <c r="AQ308" i="5"/>
  <c r="AQ328" i="5"/>
  <c r="AQ322" i="5"/>
  <c r="AH81" i="5"/>
  <c r="DB63" i="5"/>
  <c r="DB81" i="5" s="1"/>
  <c r="CC171" i="5"/>
  <c r="CC54" i="5"/>
  <c r="CX248" i="5"/>
  <c r="CX164" i="5"/>
  <c r="CX162" i="5"/>
  <c r="CX247" i="5"/>
  <c r="CX163" i="5"/>
  <c r="CX246" i="5"/>
  <c r="CX156" i="5"/>
  <c r="C4" i="3"/>
  <c r="C52" i="3" s="1"/>
  <c r="CX238" i="5"/>
  <c r="CX165" i="5"/>
  <c r="CX245" i="5"/>
  <c r="CX157" i="5"/>
  <c r="BX162" i="5"/>
  <c r="BU73" i="5"/>
  <c r="BP261" i="5"/>
  <c r="W53" i="5"/>
  <c r="W78" i="5" s="1"/>
  <c r="AL238" i="5"/>
  <c r="AN53" i="5"/>
  <c r="AN78" i="5" s="1"/>
  <c r="AM131" i="5"/>
  <c r="AM53" i="5"/>
  <c r="BB129" i="5"/>
  <c r="DG107" i="5"/>
  <c r="DG129" i="5" s="1"/>
  <c r="AQ85" i="5"/>
  <c r="AP85" i="5"/>
  <c r="AP260" i="5"/>
  <c r="AH260" i="5"/>
  <c r="AG139" i="5"/>
  <c r="AG138" i="5" s="1"/>
  <c r="AH85" i="5"/>
  <c r="AQ131" i="5"/>
  <c r="Z131" i="5"/>
  <c r="Z264" i="5" s="1"/>
  <c r="Z53" i="5"/>
  <c r="Z78" i="5" s="1"/>
  <c r="Z156" i="5"/>
  <c r="CC172" i="5"/>
  <c r="AP60" i="5"/>
  <c r="K263" i="5"/>
  <c r="K264" i="5"/>
  <c r="DL322" i="5"/>
  <c r="BW163" i="5"/>
  <c r="BW162" i="5"/>
  <c r="AN164" i="5"/>
  <c r="CX298" i="5"/>
  <c r="CX300" i="5" s="1"/>
  <c r="CX142" i="5"/>
  <c r="BW156" i="5"/>
  <c r="AF85" i="5"/>
  <c r="AL162" i="5"/>
  <c r="D138" i="5"/>
  <c r="D263" i="5"/>
  <c r="E261" i="5"/>
  <c r="C263" i="5"/>
  <c r="D261" i="5"/>
  <c r="AM80" i="5"/>
  <c r="F58" i="5"/>
  <c r="F80" i="5" s="1"/>
  <c r="G58" i="5"/>
  <c r="G80" i="5" s="1"/>
  <c r="F143" i="5"/>
  <c r="F138" i="5" s="1"/>
  <c r="AQ303" i="2"/>
  <c r="AQ305" i="2" s="1"/>
  <c r="AQ139" i="5"/>
  <c r="R307" i="5"/>
  <c r="S312" i="5" s="1"/>
  <c r="R300" i="5"/>
  <c r="AS328" i="5"/>
  <c r="AS335" i="5"/>
  <c r="AT301" i="5"/>
  <c r="AS301" i="5"/>
  <c r="AS292" i="5" s="1"/>
  <c r="AS308" i="5"/>
  <c r="AS322" i="5"/>
  <c r="BX156" i="5"/>
  <c r="BT17" i="5"/>
  <c r="BT243" i="5"/>
  <c r="AK165" i="5"/>
  <c r="L280" i="5"/>
  <c r="L270" i="5"/>
  <c r="L272" i="5" s="1"/>
  <c r="AX263" i="5"/>
  <c r="AY261" i="5"/>
  <c r="AT260" i="5"/>
  <c r="CJ301" i="5"/>
  <c r="CJ292" i="5" s="1"/>
  <c r="AO263" i="5"/>
  <c r="AM165" i="5"/>
  <c r="Y131" i="5"/>
  <c r="Y264" i="5" s="1"/>
  <c r="AJ139" i="5"/>
  <c r="AJ85" i="5"/>
  <c r="AJ260" i="5"/>
  <c r="AL260" i="5"/>
  <c r="AL139" i="5"/>
  <c r="AL85" i="5"/>
  <c r="H73" i="5"/>
  <c r="DG85" i="5"/>
  <c r="DG260" i="5"/>
  <c r="AI301" i="5"/>
  <c r="AI292" i="5" s="1"/>
  <c r="AH322" i="5"/>
  <c r="AH301" i="5"/>
  <c r="AH292" i="5" s="1"/>
  <c r="DF139" i="5"/>
  <c r="P263" i="5"/>
  <c r="P264" i="5"/>
  <c r="CX108" i="5"/>
  <c r="R128" i="5"/>
  <c r="CX128" i="5" s="1"/>
  <c r="AD54" i="5"/>
  <c r="AD171" i="5"/>
  <c r="AD172" i="5"/>
  <c r="AE53" i="5"/>
  <c r="W83" i="5"/>
  <c r="CZ83" i="5" s="1"/>
  <c r="CZ67" i="5"/>
  <c r="AM156" i="5"/>
  <c r="BG263" i="5"/>
  <c r="CA141" i="1"/>
  <c r="BW141" i="1"/>
  <c r="AT85" i="5"/>
  <c r="DE85" i="5" s="1"/>
  <c r="DM303" i="2"/>
  <c r="DM305" i="2" s="1"/>
  <c r="DO309" i="2"/>
  <c r="DN85" i="5"/>
  <c r="AX138" i="5"/>
  <c r="BU240" i="5"/>
  <c r="Y163" i="5"/>
  <c r="AN163" i="5"/>
  <c r="AW328" i="5"/>
  <c r="AW308" i="5"/>
  <c r="L131" i="5"/>
  <c r="L264" i="5" s="1"/>
  <c r="L53" i="5"/>
  <c r="L78" i="5" s="1"/>
  <c r="L156" i="5"/>
  <c r="DN214" i="5"/>
  <c r="CI301" i="5"/>
  <c r="CI292" i="5" s="1"/>
  <c r="D264" i="5"/>
  <c r="BX164" i="5"/>
  <c r="AR53" i="5"/>
  <c r="AR78" i="5" s="1"/>
  <c r="AS53" i="5"/>
  <c r="AS78" i="5" s="1"/>
  <c r="AR131" i="5"/>
  <c r="W259" i="5"/>
  <c r="X259" i="5"/>
  <c r="W139" i="5"/>
  <c r="X261" i="5" s="1"/>
  <c r="CX285" i="5"/>
  <c r="DL85" i="5"/>
  <c r="T81" i="5"/>
  <c r="CY81" i="5" s="1"/>
  <c r="AN157" i="5"/>
  <c r="AN154" i="5" s="1"/>
  <c r="M301" i="5"/>
  <c r="M292" i="5" s="1"/>
  <c r="N301" i="5"/>
  <c r="N292" i="5" s="1"/>
  <c r="DF284" i="2"/>
  <c r="DF285" i="2" s="1"/>
  <c r="DF287" i="2" s="1"/>
  <c r="AX285" i="2"/>
  <c r="AX287" i="2" s="1"/>
  <c r="CX260" i="5"/>
  <c r="AX301" i="5"/>
  <c r="Y156" i="5"/>
  <c r="BI8" i="5"/>
  <c r="BI245" i="5"/>
  <c r="BJ163" i="5"/>
  <c r="BJ238" i="5"/>
  <c r="BJ165" i="5"/>
  <c r="BI247" i="5"/>
  <c r="W270" i="5"/>
  <c r="W275" i="5" s="1"/>
  <c r="CZ288" i="5"/>
  <c r="CZ270" i="5" s="1"/>
  <c r="N131" i="5"/>
  <c r="N264" i="5" s="1"/>
  <c r="N53" i="5"/>
  <c r="N78" i="5" s="1"/>
  <c r="AA143" i="5"/>
  <c r="AA58" i="5"/>
  <c r="X308" i="5"/>
  <c r="W307" i="5"/>
  <c r="W315" i="5"/>
  <c r="W314" i="5" s="1"/>
  <c r="BX163" i="5"/>
  <c r="D39" i="5"/>
  <c r="BX157" i="5"/>
  <c r="CI261" i="5"/>
  <c r="CH261" i="5"/>
  <c r="CH264" i="5"/>
  <c r="CH263" i="5"/>
  <c r="CH138" i="5"/>
  <c r="CH137" i="5" s="1"/>
  <c r="BW165" i="5"/>
  <c r="AE260" i="5"/>
  <c r="DL139" i="5"/>
  <c r="P312" i="5"/>
  <c r="Q272" i="5"/>
  <c r="DJ107" i="5"/>
  <c r="DJ129" i="5" s="1"/>
  <c r="BQ247" i="5"/>
  <c r="AN156" i="5"/>
  <c r="DI129" i="5"/>
  <c r="AK139" i="5"/>
  <c r="AK264" i="5" s="1"/>
  <c r="AK260" i="5"/>
  <c r="AK85" i="5"/>
  <c r="G248" i="5"/>
  <c r="G247" i="5"/>
  <c r="G246" i="5"/>
  <c r="H238" i="5"/>
  <c r="G163" i="5"/>
  <c r="I164" i="5"/>
  <c r="I163" i="5"/>
  <c r="J165" i="5"/>
  <c r="H164" i="5"/>
  <c r="H157" i="5"/>
  <c r="G235" i="5"/>
  <c r="G245" i="5"/>
  <c r="G162" i="5"/>
  <c r="G156" i="5"/>
  <c r="G238" i="5"/>
  <c r="H156" i="5"/>
  <c r="G165" i="5"/>
  <c r="I162" i="5"/>
  <c r="J163" i="5"/>
  <c r="J157" i="5"/>
  <c r="I157" i="5"/>
  <c r="J164" i="5"/>
  <c r="H165" i="5"/>
  <c r="H163" i="5"/>
  <c r="H162" i="5"/>
  <c r="I165" i="5"/>
  <c r="J156" i="5"/>
  <c r="J162" i="5"/>
  <c r="G8" i="5"/>
  <c r="BM240" i="5"/>
  <c r="BL240" i="5"/>
  <c r="F315" i="5"/>
  <c r="G319" i="5"/>
  <c r="G295" i="5" s="1"/>
  <c r="F319" i="5"/>
  <c r="F295" i="5" s="1"/>
  <c r="F296" i="5" s="1"/>
  <c r="BX232" i="5"/>
  <c r="BX233" i="5" s="1"/>
  <c r="BX235" i="5"/>
  <c r="BO240" i="5"/>
  <c r="BC138" i="5"/>
  <c r="BC137" i="5" s="1"/>
  <c r="DC119" i="5"/>
  <c r="AL128" i="5"/>
  <c r="BN234" i="5"/>
  <c r="DJ216" i="5"/>
  <c r="BN217" i="5"/>
  <c r="AS260" i="5"/>
  <c r="AO264" i="5"/>
  <c r="AS139" i="5"/>
  <c r="AK163" i="5"/>
  <c r="AM163" i="5"/>
  <c r="AY322" i="5"/>
  <c r="AY301" i="5"/>
  <c r="AY292" i="5" s="1"/>
  <c r="AY328" i="5"/>
  <c r="AZ301" i="5"/>
  <c r="AZ292" i="5" s="1"/>
  <c r="AM139" i="5"/>
  <c r="AM85" i="5"/>
  <c r="AM260" i="5"/>
  <c r="AE85" i="5"/>
  <c r="AD85" i="5"/>
  <c r="BH240" i="5"/>
  <c r="BG240" i="5"/>
  <c r="AE54" i="5"/>
  <c r="DB54" i="5" s="1"/>
  <c r="AE171" i="5"/>
  <c r="AE172" i="5"/>
  <c r="DB173" i="5"/>
  <c r="DB171" i="5" s="1"/>
  <c r="BX215" i="5"/>
  <c r="BX245" i="5"/>
  <c r="BX211" i="5"/>
  <c r="BX248" i="5"/>
  <c r="BX8" i="5"/>
  <c r="BX238" i="5"/>
  <c r="BX247" i="5"/>
  <c r="BX246" i="5"/>
  <c r="BZ217" i="5"/>
  <c r="BZ234" i="5"/>
  <c r="BG138" i="5"/>
  <c r="AY240" i="5"/>
  <c r="BI58" i="5"/>
  <c r="BI80" i="5" s="1"/>
  <c r="BJ58" i="5"/>
  <c r="BJ80" i="5" s="1"/>
  <c r="BI143" i="5"/>
  <c r="BI138" i="5" s="1"/>
  <c r="BI137" i="5" s="1"/>
  <c r="BJ240" i="5"/>
  <c r="Y58" i="5"/>
  <c r="Y80" i="5" s="1"/>
  <c r="Z58" i="5"/>
  <c r="Z80" i="5" s="1"/>
  <c r="BZ240" i="5"/>
  <c r="AM315" i="5"/>
  <c r="AL314" i="5"/>
  <c r="BI157" i="5"/>
  <c r="BI154" i="5" s="1"/>
  <c r="V131" i="5"/>
  <c r="V53" i="5"/>
  <c r="BQ177" i="5"/>
  <c r="DK269" i="5"/>
  <c r="AK157" i="5"/>
  <c r="AK154" i="5" s="1"/>
  <c r="AL164" i="5"/>
  <c r="I53" i="5"/>
  <c r="I78" i="5" s="1"/>
  <c r="I131" i="5"/>
  <c r="J53" i="5"/>
  <c r="I156" i="5"/>
  <c r="AI322" i="5"/>
  <c r="AJ301" i="5"/>
  <c r="AJ292" i="5" s="1"/>
  <c r="CI131" i="5"/>
  <c r="CI53" i="5"/>
  <c r="CI78" i="5" s="1"/>
  <c r="BE274" i="5"/>
  <c r="BE275" i="5" s="1"/>
  <c r="BE18" i="5"/>
  <c r="BE259" i="5"/>
  <c r="AU263" i="5"/>
  <c r="AU143" i="5"/>
  <c r="AU138" i="5" s="1"/>
  <c r="U73" i="5"/>
  <c r="CY73" i="5" s="1"/>
  <c r="CY52" i="5"/>
  <c r="AG17" i="5"/>
  <c r="AG243" i="5"/>
  <c r="M177" i="5"/>
  <c r="M77" i="5"/>
  <c r="M170" i="5"/>
  <c r="DL63" i="5"/>
  <c r="DL81" i="5" s="1"/>
  <c r="BW233" i="5"/>
  <c r="BW215" i="5"/>
  <c r="BW235" i="5"/>
  <c r="BW247" i="5"/>
  <c r="BW8" i="5"/>
  <c r="BW246" i="5"/>
  <c r="BW248" i="5"/>
  <c r="BW238" i="5"/>
  <c r="BW245" i="5"/>
  <c r="BW157" i="5"/>
  <c r="BW211" i="5"/>
  <c r="O308" i="5"/>
  <c r="O314" i="5"/>
  <c r="DM234" i="5"/>
  <c r="R28" i="3"/>
  <c r="BQ233" i="5"/>
  <c r="BQ235" i="5"/>
  <c r="BQ211" i="5"/>
  <c r="BQ246" i="5"/>
  <c r="BQ248" i="5"/>
  <c r="BQ245" i="5"/>
  <c r="DP307" i="5"/>
  <c r="DR307" i="5" s="1"/>
  <c r="DS307" i="5" s="1"/>
  <c r="DT307" i="5" s="1"/>
  <c r="DU307" i="5" s="1"/>
  <c r="BZ308" i="5"/>
  <c r="AK245" i="5"/>
  <c r="AK248" i="5"/>
  <c r="AK235" i="5"/>
  <c r="AK8" i="5"/>
  <c r="AK336" i="5"/>
  <c r="AK246" i="5"/>
  <c r="AK238" i="5"/>
  <c r="AL156" i="5"/>
  <c r="AK247" i="5"/>
  <c r="AM162" i="5"/>
  <c r="AM164" i="5"/>
  <c r="AK156" i="5"/>
  <c r="AM157" i="5"/>
  <c r="AM154" i="5" s="1"/>
  <c r="AN162" i="5"/>
  <c r="AL165" i="5"/>
  <c r="AK164" i="5"/>
  <c r="AK162" i="5"/>
  <c r="AN165" i="5"/>
  <c r="F170" i="5"/>
  <c r="O243" i="5"/>
  <c r="DC259" i="5"/>
  <c r="AJ261" i="5"/>
  <c r="AL157" i="5"/>
  <c r="AL154" i="5" s="1"/>
  <c r="M73" i="5"/>
  <c r="DR116" i="5"/>
  <c r="N63" i="5"/>
  <c r="N81" i="5" s="1"/>
  <c r="AQ301" i="5"/>
  <c r="AQ292" i="5" s="1"/>
  <c r="BN170" i="5"/>
  <c r="BM170" i="5"/>
  <c r="BM77" i="5"/>
  <c r="BJ264" i="5"/>
  <c r="BK261" i="5"/>
  <c r="BJ263" i="5"/>
  <c r="AP73" i="5"/>
  <c r="DD73" i="5" s="1"/>
  <c r="DD52" i="5"/>
  <c r="BX165" i="5"/>
  <c r="BW164" i="5"/>
  <c r="CY150" i="5"/>
  <c r="CY143" i="5" s="1"/>
  <c r="AX73" i="5"/>
  <c r="AC246" i="5"/>
  <c r="AC245" i="5"/>
  <c r="AC235" i="5"/>
  <c r="AC156" i="5"/>
  <c r="AE164" i="5"/>
  <c r="AF162" i="5"/>
  <c r="AC165" i="5"/>
  <c r="AF163" i="5"/>
  <c r="AC162" i="5"/>
  <c r="AE156" i="5"/>
  <c r="AF157" i="5"/>
  <c r="AF154" i="5" s="1"/>
  <c r="AC164" i="5"/>
  <c r="AD162" i="5"/>
  <c r="AF164" i="5"/>
  <c r="AE163" i="5"/>
  <c r="AC248" i="5"/>
  <c r="AC247" i="5"/>
  <c r="AE157" i="5"/>
  <c r="AE154" i="5" s="1"/>
  <c r="AE162" i="5"/>
  <c r="AF165" i="5"/>
  <c r="AD157" i="5"/>
  <c r="AD154" i="5" s="1"/>
  <c r="AD164" i="5"/>
  <c r="AD238" i="5"/>
  <c r="AC177" i="5"/>
  <c r="AD165" i="5"/>
  <c r="AC8" i="5"/>
  <c r="AC163" i="5"/>
  <c r="DA6" i="5"/>
  <c r="AC238" i="5"/>
  <c r="AD163" i="5"/>
  <c r="AE165" i="5"/>
  <c r="AC157" i="5"/>
  <c r="AC154" i="5" s="1"/>
  <c r="BZ321" i="5"/>
  <c r="DO321" i="5"/>
  <c r="DO322" i="5" s="1"/>
  <c r="BY322" i="5"/>
  <c r="DL52" i="5"/>
  <c r="AF314" i="5"/>
  <c r="AF300" i="5"/>
  <c r="N73" i="5"/>
  <c r="BF263" i="5"/>
  <c r="BF264" i="5"/>
  <c r="AI261" i="5"/>
  <c r="CK301" i="5"/>
  <c r="CK292" i="5" s="1"/>
  <c r="DR330" i="5"/>
  <c r="DR329" i="5" s="1"/>
  <c r="DS310" i="5"/>
  <c r="DS309" i="5" s="1"/>
  <c r="P143" i="5"/>
  <c r="P138" i="5" s="1"/>
  <c r="P58" i="5"/>
  <c r="Q58" i="5"/>
  <c r="Q80" i="5" s="1"/>
  <c r="DC322" i="5"/>
  <c r="L263" i="5"/>
  <c r="L261" i="5"/>
  <c r="M261" i="5"/>
  <c r="L138" i="5"/>
  <c r="CA245" i="5"/>
  <c r="CA233" i="5"/>
  <c r="CA247" i="5"/>
  <c r="CA215" i="5"/>
  <c r="CA238" i="5"/>
  <c r="CA8" i="5"/>
  <c r="CB238" i="5"/>
  <c r="CC164" i="5"/>
  <c r="CC162" i="5"/>
  <c r="CA248" i="5"/>
  <c r="CA246" i="5"/>
  <c r="CA235" i="5"/>
  <c r="CA211" i="5"/>
  <c r="CC156" i="5"/>
  <c r="DJ260" i="5"/>
  <c r="DJ139" i="5"/>
  <c r="DJ303" i="2"/>
  <c r="DJ305" i="2" s="1"/>
  <c r="DJ85" i="5"/>
  <c r="L11" i="3"/>
  <c r="DG159" i="5"/>
  <c r="DG158" i="5"/>
  <c r="DH139" i="5"/>
  <c r="DI85" i="5"/>
  <c r="DH85" i="5"/>
  <c r="AK73" i="5"/>
  <c r="DD63" i="5"/>
  <c r="BF138" i="5"/>
  <c r="BF137" i="5" s="1"/>
  <c r="DC157" i="5"/>
  <c r="BT261" i="5"/>
  <c r="BS261" i="5"/>
  <c r="BS263" i="5"/>
  <c r="DG18" i="5"/>
  <c r="BB60" i="5"/>
  <c r="AP78" i="5"/>
  <c r="CK292" i="2"/>
  <c r="CL292" i="2" s="1"/>
  <c r="V85" i="5"/>
  <c r="W260" i="5"/>
  <c r="V139" i="5"/>
  <c r="W85" i="5"/>
  <c r="Q53" i="5"/>
  <c r="R53" i="5"/>
  <c r="Q156" i="5"/>
  <c r="AJ73" i="5"/>
  <c r="DC52" i="5"/>
  <c r="K315" i="5"/>
  <c r="L319" i="5"/>
  <c r="L295" i="5" s="1"/>
  <c r="L296" i="5" s="1"/>
  <c r="K319" i="5"/>
  <c r="K295" i="5" s="1"/>
  <c r="K296" i="5" s="1"/>
  <c r="U78" i="5"/>
  <c r="DD81" i="5"/>
  <c r="AH240" i="5"/>
  <c r="DB10" i="5"/>
  <c r="AI240" i="5"/>
  <c r="BT170" i="5"/>
  <c r="BS170" i="5"/>
  <c r="BS77" i="5"/>
  <c r="X60" i="5"/>
  <c r="CZ60" i="5" s="1"/>
  <c r="AA156" i="5"/>
  <c r="AA131" i="5"/>
  <c r="AB53" i="5"/>
  <c r="AA53" i="5"/>
  <c r="BF77" i="5"/>
  <c r="BG170" i="5"/>
  <c r="BF170" i="5"/>
  <c r="BF177" i="5"/>
  <c r="DO131" i="5"/>
  <c r="DF63" i="5"/>
  <c r="DF81" i="5" s="1"/>
  <c r="DO144" i="1"/>
  <c r="DO143" i="1" s="1"/>
  <c r="AL17" i="5"/>
  <c r="AL243" i="5"/>
  <c r="AK300" i="5"/>
  <c r="AK314" i="5"/>
  <c r="AN300" i="5"/>
  <c r="F243" i="5"/>
  <c r="F17" i="5"/>
  <c r="DK303" i="2"/>
  <c r="DK305" i="2" s="1"/>
  <c r="DK85" i="5"/>
  <c r="DK139" i="5"/>
  <c r="DK260" i="5"/>
  <c r="DK143" i="5"/>
  <c r="U319" i="5"/>
  <c r="T319" i="5"/>
  <c r="T315" i="5"/>
  <c r="DF18" i="5"/>
  <c r="AX60" i="5"/>
  <c r="BW73" i="5"/>
  <c r="AO85" i="5"/>
  <c r="AO260" i="5"/>
  <c r="AN85" i="5"/>
  <c r="AN139" i="5"/>
  <c r="AN260" i="5"/>
  <c r="AU131" i="5"/>
  <c r="AU53" i="5"/>
  <c r="AV53" i="5"/>
  <c r="DE128" i="5"/>
  <c r="DE129" i="5" s="1"/>
  <c r="AT129" i="5"/>
  <c r="DB301" i="5"/>
  <c r="DA301" i="5"/>
  <c r="DA322" i="5"/>
  <c r="BI313" i="5"/>
  <c r="BI311" i="5"/>
  <c r="AK170" i="5"/>
  <c r="AK77" i="5"/>
  <c r="AK177" i="5"/>
  <c r="L315" i="5"/>
  <c r="M319" i="5"/>
  <c r="M295" i="5" s="1"/>
  <c r="DC301" i="5"/>
  <c r="AI143" i="5"/>
  <c r="AI138" i="5" s="1"/>
  <c r="AI58" i="5"/>
  <c r="AJ58" i="5"/>
  <c r="AJ80" i="5" s="1"/>
  <c r="CG54" i="5"/>
  <c r="CH170" i="5" s="1"/>
  <c r="CG171" i="5"/>
  <c r="CG172" i="5"/>
  <c r="U301" i="5"/>
  <c r="U292" i="5" s="1"/>
  <c r="T301" i="5"/>
  <c r="T292" i="5" s="1"/>
  <c r="DA139" i="5"/>
  <c r="DB85" i="5"/>
  <c r="DA260" i="5"/>
  <c r="CC163" i="5"/>
  <c r="Z261" i="5"/>
  <c r="BB261" i="5"/>
  <c r="F240" i="5"/>
  <c r="G240" i="5"/>
  <c r="DC139" i="5"/>
  <c r="DC260" i="5"/>
  <c r="DD260" i="5"/>
  <c r="DN140" i="1"/>
  <c r="DO138" i="1"/>
  <c r="DN143" i="1"/>
  <c r="DB259" i="5"/>
  <c r="DA259" i="5"/>
  <c r="X317" i="5"/>
  <c r="W316" i="5"/>
  <c r="C10" i="5"/>
  <c r="C247" i="5"/>
  <c r="Z318" i="5"/>
  <c r="Y138" i="5"/>
  <c r="AR260" i="5"/>
  <c r="AR139" i="5"/>
  <c r="DB263" i="5"/>
  <c r="DO303" i="2"/>
  <c r="DO305" i="2" s="1"/>
  <c r="DO139" i="5"/>
  <c r="G171" i="5"/>
  <c r="G54" i="5"/>
  <c r="AI75" i="5"/>
  <c r="DC51" i="5"/>
  <c r="BY73" i="5"/>
  <c r="X330" i="5"/>
  <c r="X329" i="5" s="1"/>
  <c r="X332" i="5" s="1"/>
  <c r="Y310" i="5"/>
  <c r="CY89" i="5"/>
  <c r="V107" i="5"/>
  <c r="I77" i="5"/>
  <c r="I177" i="5"/>
  <c r="I170" i="5"/>
  <c r="CB78" i="5"/>
  <c r="AD156" i="5"/>
  <c r="DJ58" i="5"/>
  <c r="DJ80" i="5" s="1"/>
  <c r="DK58" i="5"/>
  <c r="DK80" i="5" s="1"/>
  <c r="DJ143" i="5"/>
  <c r="AH17" i="5"/>
  <c r="AH243" i="5"/>
  <c r="CC165" i="5"/>
  <c r="CH177" i="5"/>
  <c r="CH77" i="5"/>
  <c r="BD243" i="5"/>
  <c r="AH75" i="5"/>
  <c r="DB51" i="5"/>
  <c r="DB75" i="5" s="1"/>
  <c r="G172" i="5"/>
  <c r="BZ73" i="5"/>
  <c r="BI282" i="2"/>
  <c r="BI60" i="5"/>
  <c r="V58" i="5"/>
  <c r="V143" i="5"/>
  <c r="W58" i="5"/>
  <c r="G301" i="5"/>
  <c r="H301" i="5"/>
  <c r="DO77" i="5"/>
  <c r="DO170" i="5"/>
  <c r="DO177" i="5"/>
  <c r="BR137" i="5"/>
  <c r="CJ292" i="2"/>
  <c r="G34" i="3"/>
  <c r="G59" i="3" s="1"/>
  <c r="H3" i="3"/>
  <c r="CY333" i="5"/>
  <c r="CK302" i="1"/>
  <c r="BF145" i="6"/>
  <c r="AM98" i="6"/>
  <c r="AM80" i="6" s="1"/>
  <c r="AK90" i="6"/>
  <c r="CC305" i="2"/>
  <c r="CK91" i="2"/>
  <c r="BH51" i="6"/>
  <c r="CC287" i="2"/>
  <c r="BH52" i="6"/>
  <c r="BH150" i="6"/>
  <c r="DN305" i="2"/>
  <c r="CY309" i="5"/>
  <c r="AR385" i="1"/>
  <c r="AR386" i="1" s="1"/>
  <c r="BE109" i="6"/>
  <c r="BF88" i="6"/>
  <c r="AL107" i="6"/>
  <c r="AL89" i="6" s="1"/>
  <c r="DN86" i="2"/>
  <c r="AA105" i="6"/>
  <c r="AA114" i="6" s="1"/>
  <c r="CD302" i="1"/>
  <c r="CJ302" i="1"/>
  <c r="DU19" i="5"/>
  <c r="BE112" i="6"/>
  <c r="CE86" i="2"/>
  <c r="CE91" i="2"/>
  <c r="CD91" i="2"/>
  <c r="BE94" i="6"/>
  <c r="BH56" i="6"/>
  <c r="AH96" i="6"/>
  <c r="BF106" i="6"/>
  <c r="DC333" i="5"/>
  <c r="AB105" i="6"/>
  <c r="AB114" i="6" s="1"/>
  <c r="BF110" i="6"/>
  <c r="CA86" i="2"/>
  <c r="CA91" i="2"/>
  <c r="BF92" i="6"/>
  <c r="CI302" i="1"/>
  <c r="BE333" i="5"/>
  <c r="BE331" i="5"/>
  <c r="BF91" i="6"/>
  <c r="BZ302" i="1"/>
  <c r="BQ302" i="1"/>
  <c r="DA313" i="5"/>
  <c r="BF93" i="6"/>
  <c r="BM302" i="1"/>
  <c r="AK80" i="6"/>
  <c r="BE91" i="6"/>
  <c r="CL302" i="1"/>
  <c r="CE302" i="1"/>
  <c r="BD313" i="5"/>
  <c r="BE311" i="5" s="1"/>
  <c r="DP284" i="5"/>
  <c r="BE145" i="6"/>
  <c r="AB87" i="6"/>
  <c r="AK118" i="6"/>
  <c r="AJ91" i="6"/>
  <c r="CZ331" i="5"/>
  <c r="CA302" i="1"/>
  <c r="AI112" i="6"/>
  <c r="AJ103" i="6"/>
  <c r="DB333" i="5"/>
  <c r="BI302" i="1"/>
  <c r="M13" i="9"/>
  <c r="DA331" i="5"/>
  <c r="CH86" i="2"/>
  <c r="CH91" i="2"/>
  <c r="CZ313" i="5"/>
  <c r="CZ333" i="5"/>
  <c r="BG110" i="6"/>
  <c r="AU325" i="5"/>
  <c r="AU324" i="5"/>
  <c r="AJ88" i="6"/>
  <c r="BG88" i="6" s="1"/>
  <c r="AW324" i="5"/>
  <c r="AW325" i="5"/>
  <c r="AQ302" i="1"/>
  <c r="CB302" i="1"/>
  <c r="CH302" i="1"/>
  <c r="AT302" i="1"/>
  <c r="BB302" i="1"/>
  <c r="AX302" i="1"/>
  <c r="BH302" i="1"/>
  <c r="BY302" i="1"/>
  <c r="AV302" i="1"/>
  <c r="BX302" i="1"/>
  <c r="BA302" i="1"/>
  <c r="BJ302" i="1"/>
  <c r="BC302" i="1"/>
  <c r="BT302" i="1"/>
  <c r="AU302" i="1"/>
  <c r="BP302" i="1"/>
  <c r="BW302" i="1"/>
  <c r="CC302" i="1"/>
  <c r="BF302" i="1"/>
  <c r="BV302" i="1"/>
  <c r="BS302" i="1"/>
  <c r="AY302" i="1"/>
  <c r="BG79" i="6"/>
  <c r="AJ78" i="6"/>
  <c r="AD90" i="6"/>
  <c r="BF108" i="6"/>
  <c r="AD105" i="6"/>
  <c r="AD114" i="6" s="1"/>
  <c r="CF302" i="1"/>
  <c r="BJ325" i="5"/>
  <c r="BJ324" i="5"/>
  <c r="BA325" i="5"/>
  <c r="BA324" i="5"/>
  <c r="BO302" i="1"/>
  <c r="AS302" i="1"/>
  <c r="BG302" i="1"/>
  <c r="BD302" i="1"/>
  <c r="DE323" i="5"/>
  <c r="AT325" i="5"/>
  <c r="AX324" i="5"/>
  <c r="AX325" i="5"/>
  <c r="BG81" i="6"/>
  <c r="AJ90" i="6"/>
  <c r="BG90" i="6" s="1"/>
  <c r="CG302" i="1"/>
  <c r="BE302" i="1"/>
  <c r="BF109" i="6"/>
  <c r="BF325" i="5"/>
  <c r="BF324" i="5"/>
  <c r="Z88" i="6"/>
  <c r="Z105" i="6"/>
  <c r="Z114" i="6" s="1"/>
  <c r="BE106" i="6"/>
  <c r="BE105" i="6" s="1"/>
  <c r="BE114" i="6" s="1"/>
  <c r="BR302" i="1"/>
  <c r="AW302" i="1"/>
  <c r="AN100" i="6"/>
  <c r="AM82" i="6"/>
  <c r="BE325" i="5"/>
  <c r="BE324" i="5"/>
  <c r="AK106" i="6"/>
  <c r="AL97" i="6"/>
  <c r="AK79" i="6"/>
  <c r="AM99" i="6"/>
  <c r="AL81" i="6"/>
  <c r="AL90" i="6" s="1"/>
  <c r="CX331" i="5"/>
  <c r="CX329" i="5" s="1"/>
  <c r="P329" i="5"/>
  <c r="P332" i="5" s="1"/>
  <c r="CX332" i="5" s="1"/>
  <c r="AZ302" i="1"/>
  <c r="BF107" i="6"/>
  <c r="AC105" i="6"/>
  <c r="AC114" i="6" s="1"/>
  <c r="AC89" i="6"/>
  <c r="AF105" i="6"/>
  <c r="AF114" i="6" s="1"/>
  <c r="AH89" i="6"/>
  <c r="BC324" i="5"/>
  <c r="BC325" i="5"/>
  <c r="AA58" i="6"/>
  <c r="AA157" i="6"/>
  <c r="DU287" i="2"/>
  <c r="BG106" i="6"/>
  <c r="BF111" i="6"/>
  <c r="AK92" i="6"/>
  <c r="BI324" i="5"/>
  <c r="BI325" i="5"/>
  <c r="AY325" i="5"/>
  <c r="AY324" i="5"/>
  <c r="J24" i="9"/>
  <c r="BN302" i="1"/>
  <c r="AR302" i="1"/>
  <c r="AF87" i="6"/>
  <c r="AM101" i="6"/>
  <c r="AL110" i="6"/>
  <c r="AL92" i="6" s="1"/>
  <c r="BD324" i="5"/>
  <c r="BD325" i="5"/>
  <c r="AZ325" i="5"/>
  <c r="AZ324" i="5"/>
  <c r="BL302" i="1"/>
  <c r="BU302" i="1"/>
  <c r="BG325" i="5"/>
  <c r="BG324" i="5"/>
  <c r="AV324" i="5"/>
  <c r="AV325" i="5"/>
  <c r="DO284" i="5"/>
  <c r="DN284" i="5"/>
  <c r="BK302" i="1"/>
  <c r="AL102" i="6"/>
  <c r="AK111" i="6"/>
  <c r="BH324" i="5"/>
  <c r="BH325" i="5"/>
  <c r="BB325" i="5"/>
  <c r="BB324" i="5"/>
  <c r="CK131" i="2"/>
  <c r="AZ197" i="2"/>
  <c r="BC167" i="2"/>
  <c r="AY167" i="2"/>
  <c r="AZ200" i="2"/>
  <c r="AY21" i="2"/>
  <c r="AY115" i="2"/>
  <c r="AZ203" i="2"/>
  <c r="AV115" i="2"/>
  <c r="AW203" i="2"/>
  <c r="AV21" i="2"/>
  <c r="AZ167" i="2"/>
  <c r="AW200" i="2"/>
  <c r="AW197" i="2"/>
  <c r="AV167" i="2"/>
  <c r="DG303" i="2"/>
  <c r="DG305" i="2" s="1"/>
  <c r="BP61" i="1"/>
  <c r="BP62" i="1" s="1"/>
  <c r="BP23" i="2"/>
  <c r="BP22" i="2"/>
  <c r="BP27" i="2"/>
  <c r="BP31" i="2" s="1"/>
  <c r="AQ100" i="2"/>
  <c r="CI51" i="2"/>
  <c r="CI147" i="2"/>
  <c r="CI9" i="2"/>
  <c r="CI100" i="2" s="1"/>
  <c r="CI50" i="2"/>
  <c r="CJ148" i="2"/>
  <c r="CJ51" i="2"/>
  <c r="CI148" i="2"/>
  <c r="CB183" i="1"/>
  <c r="CB182" i="1"/>
  <c r="CB184" i="1" s="1"/>
  <c r="CB214" i="1"/>
  <c r="BG102" i="2"/>
  <c r="DH38" i="2"/>
  <c r="DH40" i="2" s="1"/>
  <c r="DO147" i="2"/>
  <c r="DO146" i="2" s="1"/>
  <c r="BS146" i="2"/>
  <c r="DI151" i="2"/>
  <c r="DI150" i="2" s="1"/>
  <c r="BJ150" i="2"/>
  <c r="DO20" i="5"/>
  <c r="DO260" i="5" s="1"/>
  <c r="DO281" i="2"/>
  <c r="CH214" i="1"/>
  <c r="CH182" i="1"/>
  <c r="CH183" i="1"/>
  <c r="CH185" i="1"/>
  <c r="CB153" i="2"/>
  <c r="CA152" i="2"/>
  <c r="CB151" i="2"/>
  <c r="CC152" i="2"/>
  <c r="CB152" i="2"/>
  <c r="CB43" i="2"/>
  <c r="CA43" i="2"/>
  <c r="CA153" i="2"/>
  <c r="DN41" i="2"/>
  <c r="CC151" i="2"/>
  <c r="CA9" i="2"/>
  <c r="CA42" i="2"/>
  <c r="CA151" i="2"/>
  <c r="AV222" i="2"/>
  <c r="DM264" i="2"/>
  <c r="BZ265" i="2"/>
  <c r="BZ26" i="2"/>
  <c r="BZ27" i="2" s="1"/>
  <c r="BZ31" i="2" s="1"/>
  <c r="BF285" i="2"/>
  <c r="BF287" i="2" s="1"/>
  <c r="BF281" i="2"/>
  <c r="BF19" i="5"/>
  <c r="DH19" i="5" s="1"/>
  <c r="DH259" i="5" s="1"/>
  <c r="DH284" i="2"/>
  <c r="DH285" i="2" s="1"/>
  <c r="DH287" i="2" s="1"/>
  <c r="BM61" i="1"/>
  <c r="BM62" i="1" s="1"/>
  <c r="BM23" i="2"/>
  <c r="BM24" i="2" s="1"/>
  <c r="BQ22" i="2"/>
  <c r="BM22" i="2"/>
  <c r="BB200" i="2"/>
  <c r="BB197" i="2"/>
  <c r="BA115" i="2"/>
  <c r="BA21" i="2"/>
  <c r="BA167" i="2"/>
  <c r="BE167" i="2"/>
  <c r="BB203" i="2"/>
  <c r="BH274" i="2"/>
  <c r="BH278" i="2"/>
  <c r="DE101" i="2"/>
  <c r="BT181" i="1"/>
  <c r="BT132" i="2"/>
  <c r="BX132" i="2"/>
  <c r="BT131" i="2"/>
  <c r="DP126" i="2"/>
  <c r="CD151" i="2"/>
  <c r="BA211" i="2"/>
  <c r="BA221" i="2"/>
  <c r="BA26" i="2"/>
  <c r="BB210" i="2"/>
  <c r="BX10" i="2"/>
  <c r="BX47" i="2" s="1"/>
  <c r="BR22" i="2"/>
  <c r="DK21" i="2"/>
  <c r="BR61" i="1"/>
  <c r="BR62" i="1" s="1"/>
  <c r="BR23" i="2"/>
  <c r="AV182" i="1"/>
  <c r="AV183" i="1"/>
  <c r="CJ132" i="2"/>
  <c r="AW222" i="2"/>
  <c r="AW224" i="2"/>
  <c r="DF221" i="2"/>
  <c r="BT274" i="2"/>
  <c r="CK312" i="2"/>
  <c r="BY27" i="2"/>
  <c r="BY31" i="2" s="1"/>
  <c r="S60" i="5"/>
  <c r="CY18" i="5"/>
  <c r="BD181" i="1"/>
  <c r="BD131" i="2"/>
  <c r="BD132" i="2"/>
  <c r="AZ131" i="2"/>
  <c r="AZ181" i="1"/>
  <c r="AZ132" i="2"/>
  <c r="DG130" i="2"/>
  <c r="AS101" i="2"/>
  <c r="AS130" i="2"/>
  <c r="AW101" i="2"/>
  <c r="AU131" i="2"/>
  <c r="AU181" i="1"/>
  <c r="DF130" i="2"/>
  <c r="AY132" i="2"/>
  <c r="DB167" i="2"/>
  <c r="DB214" i="2"/>
  <c r="DC197" i="2"/>
  <c r="DC200" i="2"/>
  <c r="DM101" i="2"/>
  <c r="DL101" i="2"/>
  <c r="DH164" i="2"/>
  <c r="DH166" i="2"/>
  <c r="DB211" i="2"/>
  <c r="BL23" i="2"/>
  <c r="BL61" i="1"/>
  <c r="BL62" i="1" s="1"/>
  <c r="BL27" i="2"/>
  <c r="BL31" i="2" s="1"/>
  <c r="BO47" i="2"/>
  <c r="CE217" i="1"/>
  <c r="DH172" i="2"/>
  <c r="BF229" i="2"/>
  <c r="CF10" i="2"/>
  <c r="CF39" i="2" s="1"/>
  <c r="DI181" i="2"/>
  <c r="DI194" i="2"/>
  <c r="DI38" i="2"/>
  <c r="DI40" i="2" s="1"/>
  <c r="DI42" i="2"/>
  <c r="DI192" i="2"/>
  <c r="DI173" i="2"/>
  <c r="DI185" i="2"/>
  <c r="DI177" i="2"/>
  <c r="DI189" i="2"/>
  <c r="CL321" i="2"/>
  <c r="CL312" i="2" s="1"/>
  <c r="BQ274" i="2"/>
  <c r="BQ278" i="2"/>
  <c r="AW61" i="1"/>
  <c r="AW62" i="1" s="1"/>
  <c r="AW23" i="2"/>
  <c r="AW35" i="2"/>
  <c r="BE274" i="2"/>
  <c r="BE278" i="2"/>
  <c r="BU26" i="2"/>
  <c r="BU27" i="2" s="1"/>
  <c r="BU31" i="2" s="1"/>
  <c r="BV264" i="2"/>
  <c r="BU265" i="2"/>
  <c r="BN279" i="2"/>
  <c r="BN270" i="2"/>
  <c r="AX303" i="2"/>
  <c r="AX305" i="2" s="1"/>
  <c r="AX297" i="2"/>
  <c r="AX291" i="5"/>
  <c r="BC181" i="1"/>
  <c r="BC132" i="2"/>
  <c r="BC131" i="2"/>
  <c r="DH130" i="2"/>
  <c r="BT278" i="2"/>
  <c r="DF167" i="2"/>
  <c r="DG197" i="2"/>
  <c r="DG200" i="2"/>
  <c r="DG115" i="2"/>
  <c r="DG61" i="1"/>
  <c r="DG62" i="1" s="1"/>
  <c r="AZ238" i="2"/>
  <c r="AZ118" i="2"/>
  <c r="AZ69" i="2"/>
  <c r="BE182" i="1"/>
  <c r="DI101" i="2"/>
  <c r="CA27" i="2"/>
  <c r="CA31" i="2" s="1"/>
  <c r="CA22" i="2"/>
  <c r="CE22" i="2"/>
  <c r="CA23" i="2"/>
  <c r="CA24" i="2" s="1"/>
  <c r="CA61" i="1"/>
  <c r="CA62" i="1" s="1"/>
  <c r="DJ69" i="2"/>
  <c r="DJ65" i="2"/>
  <c r="DJ125" i="2"/>
  <c r="BX27" i="2"/>
  <c r="BX31" i="2" s="1"/>
  <c r="BX23" i="2"/>
  <c r="BX61" i="1"/>
  <c r="BX62" i="1" s="1"/>
  <c r="BX22" i="2"/>
  <c r="DK101" i="2"/>
  <c r="BL11" i="2"/>
  <c r="BL47" i="2"/>
  <c r="DR10" i="2"/>
  <c r="DR39" i="2" s="1"/>
  <c r="DR47" i="2" s="1"/>
  <c r="DG241" i="2"/>
  <c r="DG118" i="2"/>
  <c r="DG90" i="2"/>
  <c r="DG91" i="2" s="1"/>
  <c r="DG246" i="2"/>
  <c r="DF118" i="2"/>
  <c r="DG252" i="2"/>
  <c r="DG249" i="2"/>
  <c r="DF241" i="2"/>
  <c r="DG255" i="2"/>
  <c r="AT66" i="2"/>
  <c r="AU66" i="2"/>
  <c r="AT130" i="2"/>
  <c r="AT69" i="2"/>
  <c r="AT125" i="2"/>
  <c r="AX65" i="2"/>
  <c r="AT65" i="2"/>
  <c r="CD214" i="1"/>
  <c r="CD183" i="1"/>
  <c r="DK46" i="2"/>
  <c r="DK48" i="2" s="1"/>
  <c r="DK50" i="2"/>
  <c r="AV102" i="2"/>
  <c r="AW102" i="2"/>
  <c r="AQ22" i="2"/>
  <c r="AQ23" i="2"/>
  <c r="AQ24" i="2" s="1"/>
  <c r="AQ35" i="2"/>
  <c r="AQ61" i="1"/>
  <c r="AQ62" i="1" s="1"/>
  <c r="BE150" i="2"/>
  <c r="DF143" i="2"/>
  <c r="DP147" i="2"/>
  <c r="BX35" i="2"/>
  <c r="AZ274" i="2"/>
  <c r="AZ278" i="2"/>
  <c r="BY18" i="2"/>
  <c r="BU18" i="2"/>
  <c r="BN23" i="2"/>
  <c r="BN61" i="1"/>
  <c r="BN62" i="1" s="1"/>
  <c r="DJ21" i="2"/>
  <c r="AN60" i="5"/>
  <c r="DJ101" i="2"/>
  <c r="BQ182" i="1"/>
  <c r="DM281" i="2"/>
  <c r="BF187" i="2"/>
  <c r="DH188" i="2"/>
  <c r="DH189" i="2" s="1"/>
  <c r="DL61" i="2"/>
  <c r="DH194" i="2"/>
  <c r="DN19" i="5"/>
  <c r="DN259" i="5" s="1"/>
  <c r="DN285" i="2"/>
  <c r="DN287" i="2" s="1"/>
  <c r="DN101" i="2"/>
  <c r="BF150" i="2"/>
  <c r="DH151" i="2"/>
  <c r="DH150" i="2" s="1"/>
  <c r="AQ132" i="2"/>
  <c r="BA181" i="1"/>
  <c r="BA131" i="2"/>
  <c r="BA132" i="2"/>
  <c r="BE132" i="2"/>
  <c r="BB263" i="2"/>
  <c r="CC26" i="2"/>
  <c r="CC27" i="2" s="1"/>
  <c r="CC31" i="2" s="1"/>
  <c r="CD264" i="2"/>
  <c r="DN264" i="2" s="1"/>
  <c r="CC265" i="2"/>
  <c r="DG297" i="2"/>
  <c r="DH312" i="2"/>
  <c r="BF20" i="5"/>
  <c r="AC60" i="5"/>
  <c r="DA60" i="5" s="1"/>
  <c r="BD18" i="5"/>
  <c r="BD274" i="5"/>
  <c r="BD275" i="5" s="1"/>
  <c r="BD259" i="5"/>
  <c r="BJ221" i="2"/>
  <c r="BJ211" i="2"/>
  <c r="DI210" i="2"/>
  <c r="DI211" i="2" s="1"/>
  <c r="BM278" i="2"/>
  <c r="AS42" i="2"/>
  <c r="AS43" i="2"/>
  <c r="AS9" i="2"/>
  <c r="AS100" i="2" s="1"/>
  <c r="DE41" i="2"/>
  <c r="DF42" i="2" s="1"/>
  <c r="AT43" i="2"/>
  <c r="AW42" i="2"/>
  <c r="AU152" i="2"/>
  <c r="AU151" i="2"/>
  <c r="CZ166" i="2"/>
  <c r="CZ164" i="2"/>
  <c r="DG230" i="2"/>
  <c r="DG231" i="2"/>
  <c r="DG143" i="2"/>
  <c r="DG140" i="2"/>
  <c r="AS281" i="2"/>
  <c r="AS282" i="2" s="1"/>
  <c r="DI130" i="2"/>
  <c r="BK132" i="2"/>
  <c r="BG181" i="1"/>
  <c r="BG131" i="2"/>
  <c r="BG132" i="2"/>
  <c r="BG133" i="2"/>
  <c r="DO129" i="2"/>
  <c r="DK131" i="2"/>
  <c r="BN181" i="1"/>
  <c r="BN131" i="2"/>
  <c r="BN132" i="2"/>
  <c r="BZ135" i="2"/>
  <c r="BN133" i="2"/>
  <c r="BR132" i="2"/>
  <c r="BR131" i="2"/>
  <c r="BR181" i="1"/>
  <c r="BR133" i="2"/>
  <c r="DP151" i="2"/>
  <c r="CD285" i="2"/>
  <c r="CD287" i="2" s="1"/>
  <c r="CD294" i="2"/>
  <c r="DN294" i="2" s="1"/>
  <c r="CD19" i="5"/>
  <c r="CD259" i="5" s="1"/>
  <c r="CD281" i="2"/>
  <c r="CD282" i="2" s="1"/>
  <c r="DH192" i="2"/>
  <c r="AW182" i="1"/>
  <c r="AW185" i="1"/>
  <c r="DM65" i="2"/>
  <c r="DM130" i="2"/>
  <c r="CF181" i="1"/>
  <c r="CF132" i="2"/>
  <c r="CF131" i="2"/>
  <c r="BI274" i="2"/>
  <c r="BI278" i="2"/>
  <c r="BI212" i="2"/>
  <c r="BH224" i="2"/>
  <c r="BH218" i="2"/>
  <c r="BH104" i="2"/>
  <c r="BN212" i="2"/>
  <c r="DJ212" i="2" s="1"/>
  <c r="BM224" i="2"/>
  <c r="BM218" i="2"/>
  <c r="BM219" i="2" s="1"/>
  <c r="BM104" i="2"/>
  <c r="CI42" i="2"/>
  <c r="CI152" i="2"/>
  <c r="CJ153" i="2"/>
  <c r="CJ43" i="2"/>
  <c r="CI151" i="2"/>
  <c r="CJ151" i="2"/>
  <c r="CI153" i="2"/>
  <c r="CJ152" i="2"/>
  <c r="CI43" i="2"/>
  <c r="BO27" i="2"/>
  <c r="BO31" i="2" s="1"/>
  <c r="BO61" i="1"/>
  <c r="BO62" i="1" s="1"/>
  <c r="BO22" i="2"/>
  <c r="DT166" i="2"/>
  <c r="DS168" i="2"/>
  <c r="BJ264" i="2"/>
  <c r="DI264" i="2" s="1"/>
  <c r="DI265" i="2" s="1"/>
  <c r="BI26" i="2"/>
  <c r="BI27" i="2" s="1"/>
  <c r="BI265" i="2"/>
  <c r="DC166" i="2"/>
  <c r="DC211" i="2" s="1"/>
  <c r="DC164" i="2"/>
  <c r="DD164" i="2"/>
  <c r="BN11" i="2"/>
  <c r="DU10" i="2"/>
  <c r="BN47" i="2"/>
  <c r="CC61" i="1"/>
  <c r="CC62" i="1" s="1"/>
  <c r="CC22" i="2"/>
  <c r="CC23" i="2"/>
  <c r="CG22" i="2"/>
  <c r="BL131" i="2"/>
  <c r="BL181" i="1"/>
  <c r="BP132" i="2"/>
  <c r="BL132" i="2"/>
  <c r="DJ130" i="2"/>
  <c r="BG18" i="5"/>
  <c r="BG282" i="2" s="1"/>
  <c r="BG260" i="5"/>
  <c r="P60" i="5"/>
  <c r="CX60" i="5" s="1"/>
  <c r="CX18" i="5"/>
  <c r="DE321" i="2"/>
  <c r="AT312" i="2"/>
  <c r="BI131" i="2"/>
  <c r="BI181" i="1"/>
  <c r="BI132" i="2"/>
  <c r="BH132" i="2"/>
  <c r="CE42" i="2"/>
  <c r="AR183" i="1"/>
  <c r="AR182" i="1"/>
  <c r="AR184" i="1" s="1"/>
  <c r="AT209" i="2"/>
  <c r="AT213" i="2" s="1"/>
  <c r="AS215" i="2"/>
  <c r="AS214" i="2"/>
  <c r="BZ20" i="5"/>
  <c r="BZ260" i="5" s="1"/>
  <c r="BX135" i="2"/>
  <c r="DN65" i="2"/>
  <c r="DN130" i="2"/>
  <c r="DO65" i="2"/>
  <c r="DN125" i="2"/>
  <c r="BF175" i="2"/>
  <c r="DH176" i="2"/>
  <c r="DH177" i="2" s="1"/>
  <c r="AY150" i="2"/>
  <c r="BU278" i="2"/>
  <c r="BV266" i="2"/>
  <c r="DL266" i="2" s="1"/>
  <c r="BU270" i="2"/>
  <c r="BU279" i="2"/>
  <c r="BZ218" i="2"/>
  <c r="BZ224" i="2"/>
  <c r="DM212" i="2"/>
  <c r="BZ104" i="2"/>
  <c r="BY274" i="2"/>
  <c r="DM273" i="2"/>
  <c r="DM274" i="2" s="1"/>
  <c r="BY61" i="1"/>
  <c r="BY62" i="1" s="1"/>
  <c r="BY23" i="2"/>
  <c r="BY22" i="2"/>
  <c r="BP35" i="2"/>
  <c r="BG303" i="2"/>
  <c r="BG305" i="2" s="1"/>
  <c r="BG291" i="5"/>
  <c r="DE231" i="2"/>
  <c r="DE143" i="2"/>
  <c r="DE230" i="2"/>
  <c r="DA164" i="2"/>
  <c r="CX200" i="2"/>
  <c r="CX197" i="2"/>
  <c r="BR167" i="2"/>
  <c r="BO197" i="2"/>
  <c r="BN115" i="2"/>
  <c r="DJ166" i="2"/>
  <c r="BO203" i="2"/>
  <c r="BN167" i="2"/>
  <c r="BO200" i="2"/>
  <c r="DE200" i="2"/>
  <c r="DE197" i="2"/>
  <c r="DD214" i="2"/>
  <c r="BM181" i="1"/>
  <c r="BQ183" i="1" s="1"/>
  <c r="BM132" i="2"/>
  <c r="BM131" i="2"/>
  <c r="BS22" i="2"/>
  <c r="DH65" i="2"/>
  <c r="DH125" i="2"/>
  <c r="BT22" i="2"/>
  <c r="DO61" i="1"/>
  <c r="DO62" i="1" s="1"/>
  <c r="DI166" i="2"/>
  <c r="CC215" i="1"/>
  <c r="CC217" i="1" s="1"/>
  <c r="DO101" i="2"/>
  <c r="BY131" i="2"/>
  <c r="BY129" i="2"/>
  <c r="BY181" i="1"/>
  <c r="BY135" i="2"/>
  <c r="BY132" i="2"/>
  <c r="CC132" i="2"/>
  <c r="DF9" i="2"/>
  <c r="DF100" i="2" s="1"/>
  <c r="BN39" i="2"/>
  <c r="BU23" i="2"/>
  <c r="BU61" i="1"/>
  <c r="BU62" i="1" s="1"/>
  <c r="BU22" i="2"/>
  <c r="DF115" i="2"/>
  <c r="DE167" i="2"/>
  <c r="DF200" i="2"/>
  <c r="DF197" i="2"/>
  <c r="DF61" i="1"/>
  <c r="DF62" i="1" s="1"/>
  <c r="DE222" i="2"/>
  <c r="BP100" i="2"/>
  <c r="CC278" i="2"/>
  <c r="CC274" i="2"/>
  <c r="DF230" i="2"/>
  <c r="DF231" i="2"/>
  <c r="DH101" i="2"/>
  <c r="BR265" i="2"/>
  <c r="CL61" i="1"/>
  <c r="DP21" i="2"/>
  <c r="CL22" i="2"/>
  <c r="DN61" i="2"/>
  <c r="CA62" i="2"/>
  <c r="CA18" i="2"/>
  <c r="CA19" i="2"/>
  <c r="BL274" i="2"/>
  <c r="BY270" i="2"/>
  <c r="BY278" i="2"/>
  <c r="BY279" i="2"/>
  <c r="BZ266" i="2"/>
  <c r="DM266" i="2"/>
  <c r="BJ299" i="2"/>
  <c r="DI299" i="2" s="1"/>
  <c r="DI297" i="2"/>
  <c r="DF90" i="2"/>
  <c r="DF91" i="2" s="1"/>
  <c r="AS203" i="2"/>
  <c r="AR115" i="2"/>
  <c r="AR167" i="2"/>
  <c r="AS197" i="2"/>
  <c r="AR21" i="2"/>
  <c r="AS200" i="2"/>
  <c r="DJ279" i="2"/>
  <c r="BQ10" i="2"/>
  <c r="BQ11" i="2" s="1"/>
  <c r="DJ164" i="2"/>
  <c r="DL20" i="5"/>
  <c r="DL260" i="5" s="1"/>
  <c r="DL281" i="2"/>
  <c r="DL21" i="2"/>
  <c r="BV61" i="1"/>
  <c r="BV62" i="1" s="1"/>
  <c r="BV22" i="2"/>
  <c r="BZ22" i="2"/>
  <c r="BV23" i="2"/>
  <c r="CI35" i="2"/>
  <c r="DO164" i="2"/>
  <c r="DR240" i="2"/>
  <c r="DS240" i="2" s="1"/>
  <c r="DT240" i="2" s="1"/>
  <c r="DU240" i="2" s="1"/>
  <c r="DP241" i="2"/>
  <c r="DJ46" i="2"/>
  <c r="DJ48" i="2" s="1"/>
  <c r="DF192" i="2"/>
  <c r="DF181" i="2"/>
  <c r="DF177" i="2"/>
  <c r="DF185" i="2"/>
  <c r="DF189" i="2"/>
  <c r="DF194" i="2"/>
  <c r="DF38" i="2"/>
  <c r="DF173" i="2"/>
  <c r="CI274" i="2"/>
  <c r="CI278" i="2"/>
  <c r="CI277" i="2"/>
  <c r="DP212" i="2"/>
  <c r="CL104" i="2"/>
  <c r="DP210" i="2"/>
  <c r="DP211" i="2" s="1"/>
  <c r="CL89" i="2"/>
  <c r="DP89" i="2" s="1"/>
  <c r="DP90" i="2" s="1"/>
  <c r="DP196" i="2"/>
  <c r="CL198" i="2"/>
  <c r="CJ136" i="2"/>
  <c r="CJ131" i="2"/>
  <c r="CJ181" i="1"/>
  <c r="DR93" i="2"/>
  <c r="DU15" i="2"/>
  <c r="DU16" i="2" s="1"/>
  <c r="G261" i="5"/>
  <c r="F263" i="5"/>
  <c r="F261" i="5"/>
  <c r="BE264" i="5"/>
  <c r="BE138" i="5"/>
  <c r="BE137" i="5" s="1"/>
  <c r="BE263" i="5"/>
  <c r="BD263" i="5"/>
  <c r="BD138" i="5"/>
  <c r="AF261" i="5"/>
  <c r="AG261" i="5"/>
  <c r="R263" i="5"/>
  <c r="S261" i="5"/>
  <c r="R261" i="5"/>
  <c r="CX85" i="5"/>
  <c r="BQ264" i="5"/>
  <c r="BQ263" i="5"/>
  <c r="BQ138" i="5"/>
  <c r="BQ137" i="5" s="1"/>
  <c r="CA261" i="5"/>
  <c r="BZ261" i="5"/>
  <c r="BZ264" i="5"/>
  <c r="BQ261" i="5"/>
  <c r="AE261" i="5"/>
  <c r="AD138" i="5"/>
  <c r="AD263" i="5"/>
  <c r="CB264" i="5"/>
  <c r="CB261" i="5"/>
  <c r="CC261" i="5"/>
  <c r="DR229" i="5"/>
  <c r="DS100" i="5"/>
  <c r="CK50" i="1"/>
  <c r="CU49" i="1"/>
  <c r="CK292" i="1"/>
  <c r="CK295" i="1"/>
  <c r="CK296" i="1" s="1"/>
  <c r="CL268" i="1"/>
  <c r="CK332" i="1"/>
  <c r="DQ322" i="1"/>
  <c r="DS324" i="1" s="1"/>
  <c r="DT325" i="1" s="1"/>
  <c r="DU326" i="1" s="1"/>
  <c r="CK344" i="1"/>
  <c r="CL264" i="1"/>
  <c r="CL263" i="1"/>
  <c r="DQ262" i="1"/>
  <c r="DQ236" i="1"/>
  <c r="DQ233" i="1"/>
  <c r="DQ226" i="1"/>
  <c r="DQ268" i="1"/>
  <c r="DS82" i="1"/>
  <c r="CK358" i="1"/>
  <c r="CK359" i="1"/>
  <c r="CK152" i="2"/>
  <c r="CK153" i="2"/>
  <c r="CK43" i="2"/>
  <c r="CK42" i="2"/>
  <c r="CK151" i="2"/>
  <c r="CK39" i="1"/>
  <c r="CK7" i="5"/>
  <c r="CK96" i="1"/>
  <c r="CK72" i="1"/>
  <c r="CU72" i="1" s="1"/>
  <c r="CK75" i="1"/>
  <c r="CK77" i="1"/>
  <c r="CK76" i="1"/>
  <c r="CK78" i="1" s="1"/>
  <c r="CK11" i="5"/>
  <c r="CK403" i="1"/>
  <c r="CK404" i="1"/>
  <c r="CK402" i="1"/>
  <c r="CK397" i="1"/>
  <c r="CK378" i="1"/>
  <c r="CK363" i="1" s="1"/>
  <c r="CK364" i="1" s="1"/>
  <c r="CK398" i="1"/>
  <c r="CK175" i="5"/>
  <c r="CK9" i="2"/>
  <c r="CK147" i="2"/>
  <c r="CK148" i="2"/>
  <c r="CK50" i="2"/>
  <c r="CK51" i="2"/>
  <c r="CK10" i="2"/>
  <c r="CK47" i="2" s="1"/>
  <c r="C60" i="3"/>
  <c r="F20" i="9"/>
  <c r="F16" i="9" s="1"/>
  <c r="K60" i="3"/>
  <c r="N6" i="12"/>
  <c r="P6" i="12"/>
  <c r="DQ295" i="5" l="1"/>
  <c r="DQ296" i="5" s="1"/>
  <c r="CL290" i="2"/>
  <c r="CL289" i="2" s="1"/>
  <c r="CM292" i="2"/>
  <c r="R3" i="3"/>
  <c r="Q34" i="3"/>
  <c r="Q59" i="3" s="1"/>
  <c r="DR85" i="1"/>
  <c r="DQ12" i="5"/>
  <c r="BM235" i="5"/>
  <c r="BP211" i="5"/>
  <c r="BZ150" i="2"/>
  <c r="DT10" i="2"/>
  <c r="DT39" i="2" s="1"/>
  <c r="DT47" i="2" s="1"/>
  <c r="BQ163" i="5"/>
  <c r="BM163" i="5"/>
  <c r="DQ150" i="2"/>
  <c r="DK240" i="5"/>
  <c r="DM42" i="2"/>
  <c r="DF147" i="2"/>
  <c r="DF151" i="2"/>
  <c r="DJ10" i="2"/>
  <c r="DJ11" i="2" s="1"/>
  <c r="DE171" i="5"/>
  <c r="AH77" i="5"/>
  <c r="BJ157" i="5"/>
  <c r="BJ154" i="5" s="1"/>
  <c r="DQ146" i="2"/>
  <c r="DO245" i="5"/>
  <c r="BN238" i="5"/>
  <c r="BO11" i="2"/>
  <c r="DO233" i="5"/>
  <c r="I17" i="5"/>
  <c r="I241" i="5" s="1"/>
  <c r="DB8" i="5"/>
  <c r="DB243" i="5" s="1"/>
  <c r="CB146" i="2"/>
  <c r="BV39" i="2"/>
  <c r="BV11" i="2"/>
  <c r="BH150" i="2"/>
  <c r="BH156" i="2" s="1"/>
  <c r="BI150" i="2"/>
  <c r="BV47" i="2"/>
  <c r="DS141" i="5"/>
  <c r="DT91" i="5"/>
  <c r="CN276" i="2"/>
  <c r="CK182" i="1"/>
  <c r="CU182" i="1" s="1"/>
  <c r="CU181" i="1"/>
  <c r="CP242" i="2"/>
  <c r="CP21" i="2"/>
  <c r="CP89" i="2"/>
  <c r="DQ89" i="2" s="1"/>
  <c r="DQ90" i="2" s="1"/>
  <c r="CL269" i="1"/>
  <c r="CO245" i="1"/>
  <c r="CN247" i="1"/>
  <c r="CN268" i="1" s="1"/>
  <c r="CM263" i="1"/>
  <c r="CM264" i="1"/>
  <c r="CL105" i="5"/>
  <c r="DP105" i="5" s="1"/>
  <c r="DQ137" i="1" s="1"/>
  <c r="CM136" i="1"/>
  <c r="CM189" i="1" s="1"/>
  <c r="CM272" i="1"/>
  <c r="CM269" i="1"/>
  <c r="CM271" i="1"/>
  <c r="CM286" i="1"/>
  <c r="CM265" i="1"/>
  <c r="CM270" i="1"/>
  <c r="CP235" i="1"/>
  <c r="CO237" i="1"/>
  <c r="CP225" i="1"/>
  <c r="DR225" i="1" s="1"/>
  <c r="CM144" i="1"/>
  <c r="CN136" i="1"/>
  <c r="CO223" i="1"/>
  <c r="CN262" i="1"/>
  <c r="CN137" i="1"/>
  <c r="CN105" i="5" s="1"/>
  <c r="BG107" i="6"/>
  <c r="AB157" i="6"/>
  <c r="BR300" i="2" s="1"/>
  <c r="BR301" i="2" s="1"/>
  <c r="AG105" i="6"/>
  <c r="AG114" i="6" s="1"/>
  <c r="BG111" i="6"/>
  <c r="AG71" i="6"/>
  <c r="AG54" i="6" s="1"/>
  <c r="AH63" i="6"/>
  <c r="AH105" i="6"/>
  <c r="AH114" i="6" s="1"/>
  <c r="AD20" i="6"/>
  <c r="BG93" i="6"/>
  <c r="AH87" i="6"/>
  <c r="BH41" i="6"/>
  <c r="AO41" i="6"/>
  <c r="AP61" i="6"/>
  <c r="AO69" i="6"/>
  <c r="AO52" i="6" s="1"/>
  <c r="AN142" i="6"/>
  <c r="AM152" i="6"/>
  <c r="AR73" i="6"/>
  <c r="AR56" i="6" s="1"/>
  <c r="AS65" i="6"/>
  <c r="AM136" i="6"/>
  <c r="AL146" i="6"/>
  <c r="BH46" i="6"/>
  <c r="BI46" i="6" s="1"/>
  <c r="BJ46" i="6" s="1"/>
  <c r="BK46" i="6" s="1"/>
  <c r="BL46" i="6" s="1"/>
  <c r="BM46" i="6" s="1"/>
  <c r="BN46" i="6" s="1"/>
  <c r="BO46" i="6" s="1"/>
  <c r="AO46" i="6"/>
  <c r="AP46" i="6" s="1"/>
  <c r="AQ46" i="6" s="1"/>
  <c r="AR46" i="6" s="1"/>
  <c r="AS46" i="6" s="1"/>
  <c r="AT46" i="6" s="1"/>
  <c r="AU46" i="6" s="1"/>
  <c r="AV46" i="6" s="1"/>
  <c r="BI61" i="6"/>
  <c r="BH69" i="6"/>
  <c r="AI62" i="6"/>
  <c r="AH70" i="6"/>
  <c r="AH53" i="6" s="1"/>
  <c r="AM139" i="6"/>
  <c r="AL149" i="6"/>
  <c r="BF59" i="6"/>
  <c r="BF67" i="6" s="1"/>
  <c r="AF67" i="6"/>
  <c r="AF50" i="6" s="1"/>
  <c r="AG59" i="6"/>
  <c r="AD72" i="6"/>
  <c r="AD55" i="6" s="1"/>
  <c r="AD49" i="6" s="1"/>
  <c r="AD58" i="6" s="1"/>
  <c r="AE64" i="6"/>
  <c r="AL44" i="6"/>
  <c r="AI45" i="6"/>
  <c r="AH40" i="6"/>
  <c r="AN143" i="6"/>
  <c r="AM153" i="6"/>
  <c r="AG91" i="6"/>
  <c r="AG87" i="6" s="1"/>
  <c r="BG109" i="6"/>
  <c r="AM138" i="6"/>
  <c r="AL148" i="6"/>
  <c r="AJ145" i="6"/>
  <c r="BG147" i="6"/>
  <c r="BG145" i="6" s="1"/>
  <c r="AC49" i="6"/>
  <c r="AC58" i="6" s="1"/>
  <c r="AR60" i="6"/>
  <c r="AQ68" i="6"/>
  <c r="AQ51" i="6" s="1"/>
  <c r="AP126" i="6"/>
  <c r="AP125" i="6" s="1"/>
  <c r="AQ127" i="6"/>
  <c r="AP141" i="6"/>
  <c r="AO151" i="6"/>
  <c r="AL137" i="6"/>
  <c r="AK147" i="6"/>
  <c r="BB267" i="2"/>
  <c r="BX24" i="2"/>
  <c r="DH197" i="2"/>
  <c r="DH200" i="2"/>
  <c r="DG167" i="2"/>
  <c r="CG183" i="1"/>
  <c r="DH281" i="2"/>
  <c r="BM150" i="2"/>
  <c r="BM156" i="2" s="1"/>
  <c r="BM157" i="2" s="1"/>
  <c r="BR278" i="2"/>
  <c r="AZ150" i="2"/>
  <c r="BY146" i="2"/>
  <c r="DU146" i="2"/>
  <c r="DU39" i="2"/>
  <c r="DU47" i="2" s="1"/>
  <c r="BT24" i="2"/>
  <c r="CD102" i="2"/>
  <c r="AS61" i="1"/>
  <c r="AS62" i="1" s="1"/>
  <c r="DL131" i="2"/>
  <c r="AQ181" i="1"/>
  <c r="DN281" i="2"/>
  <c r="CD185" i="1"/>
  <c r="DS10" i="2"/>
  <c r="DS39" i="2" s="1"/>
  <c r="DS47" i="2" s="1"/>
  <c r="AU132" i="2"/>
  <c r="DL42" i="2"/>
  <c r="DL9" i="2"/>
  <c r="DL100" i="2" s="1"/>
  <c r="BN102" i="2"/>
  <c r="BJ183" i="1"/>
  <c r="CX214" i="2"/>
  <c r="BN221" i="2"/>
  <c r="BN211" i="2"/>
  <c r="AX61" i="1"/>
  <c r="AX62" i="1" s="1"/>
  <c r="AX23" i="2"/>
  <c r="BB24" i="2" s="1"/>
  <c r="DF21" i="2"/>
  <c r="DF23" i="2" s="1"/>
  <c r="CX211" i="2"/>
  <c r="BZ146" i="2"/>
  <c r="BZ156" i="2" s="1"/>
  <c r="CK183" i="1"/>
  <c r="BH23" i="2"/>
  <c r="BH24" i="2" s="1"/>
  <c r="AY156" i="2"/>
  <c r="AS22" i="2"/>
  <c r="DL132" i="2"/>
  <c r="BU183" i="1"/>
  <c r="CD182" i="1"/>
  <c r="BD150" i="2"/>
  <c r="CE216" i="1"/>
  <c r="CC146" i="2"/>
  <c r="CY200" i="2"/>
  <c r="BL146" i="2"/>
  <c r="DU150" i="2"/>
  <c r="BB281" i="2"/>
  <c r="BB282" i="2" s="1"/>
  <c r="BY150" i="2"/>
  <c r="BY156" i="2" s="1"/>
  <c r="DU156" i="2" s="1"/>
  <c r="BU150" i="2"/>
  <c r="DR16" i="2"/>
  <c r="BR146" i="2"/>
  <c r="CG182" i="1"/>
  <c r="CG184" i="1" s="1"/>
  <c r="BH27" i="2"/>
  <c r="AZ146" i="2"/>
  <c r="AZ156" i="2" s="1"/>
  <c r="BA268" i="2"/>
  <c r="CJ146" i="2"/>
  <c r="BT146" i="2"/>
  <c r="BV150" i="2"/>
  <c r="DJ146" i="2"/>
  <c r="AW49" i="5"/>
  <c r="AR151" i="2"/>
  <c r="CG150" i="2"/>
  <c r="CG156" i="2" s="1"/>
  <c r="BJ281" i="2"/>
  <c r="BA274" i="2"/>
  <c r="DP150" i="2"/>
  <c r="DL50" i="2"/>
  <c r="AW22" i="2"/>
  <c r="BB292" i="5"/>
  <c r="CG146" i="2"/>
  <c r="DI46" i="2"/>
  <c r="DI48" i="2" s="1"/>
  <c r="DM23" i="2"/>
  <c r="DM61" i="1"/>
  <c r="DM62" i="1" s="1"/>
  <c r="CD279" i="2"/>
  <c r="DN266" i="2"/>
  <c r="DN279" i="2" s="1"/>
  <c r="CD270" i="2"/>
  <c r="DN270" i="2" s="1"/>
  <c r="DN271" i="2" s="1"/>
  <c r="DI39" i="2"/>
  <c r="DI47" i="2" s="1"/>
  <c r="BH61" i="1"/>
  <c r="BH62" i="1" s="1"/>
  <c r="BL22" i="2"/>
  <c r="DP146" i="2"/>
  <c r="DS16" i="2"/>
  <c r="BT150" i="2"/>
  <c r="BT156" i="2" s="1"/>
  <c r="BD282" i="2"/>
  <c r="BP150" i="2"/>
  <c r="BE282" i="2"/>
  <c r="DJ150" i="2"/>
  <c r="BK150" i="2"/>
  <c r="BK156" i="2" s="1"/>
  <c r="DM50" i="2"/>
  <c r="BN209" i="2"/>
  <c r="BN213" i="2" s="1"/>
  <c r="BM214" i="2"/>
  <c r="BM215" i="2"/>
  <c r="BB265" i="2"/>
  <c r="BB273" i="2"/>
  <c r="CA146" i="2"/>
  <c r="BK24" i="2"/>
  <c r="DN46" i="2"/>
  <c r="DN48" i="2" s="1"/>
  <c r="BW39" i="2"/>
  <c r="DR150" i="2"/>
  <c r="BB279" i="2"/>
  <c r="BB270" i="2"/>
  <c r="BB271" i="2" s="1"/>
  <c r="BH260" i="5"/>
  <c r="BH18" i="5"/>
  <c r="BN146" i="2"/>
  <c r="BN156" i="2" s="1"/>
  <c r="CD184" i="1"/>
  <c r="CD150" i="2"/>
  <c r="BG156" i="2"/>
  <c r="BH157" i="2" s="1"/>
  <c r="BQ24" i="2"/>
  <c r="BZ217" i="1"/>
  <c r="BO24" i="2"/>
  <c r="BS24" i="2"/>
  <c r="DG23" i="2"/>
  <c r="DG24" i="2" s="1"/>
  <c r="DG22" i="2"/>
  <c r="DS150" i="2"/>
  <c r="AZ23" i="2"/>
  <c r="BD24" i="2" s="1"/>
  <c r="AZ35" i="2"/>
  <c r="AZ61" i="1"/>
  <c r="AZ62" i="1" s="1"/>
  <c r="BD22" i="2"/>
  <c r="BV211" i="2"/>
  <c r="BV221" i="2"/>
  <c r="BJ22" i="2"/>
  <c r="DI21" i="2"/>
  <c r="DJ22" i="2" s="1"/>
  <c r="BJ61" i="1"/>
  <c r="BJ62" i="1" s="1"/>
  <c r="BJ23" i="2"/>
  <c r="BJ24" i="2" s="1"/>
  <c r="CH279" i="2"/>
  <c r="CH270" i="2"/>
  <c r="DO270" i="2" s="1"/>
  <c r="BK182" i="1"/>
  <c r="BO184" i="1" s="1"/>
  <c r="BO183" i="1"/>
  <c r="DL181" i="1"/>
  <c r="P46" i="3" s="1"/>
  <c r="P47" i="3" s="1"/>
  <c r="DK273" i="2"/>
  <c r="DK278" i="2" s="1"/>
  <c r="AW60" i="5"/>
  <c r="BV102" i="2"/>
  <c r="BW102" i="2"/>
  <c r="BN24" i="2"/>
  <c r="CH211" i="2"/>
  <c r="CH221" i="2"/>
  <c r="DN218" i="2"/>
  <c r="BW182" i="1"/>
  <c r="BW183" i="1"/>
  <c r="CA183" i="1"/>
  <c r="CI182" i="1"/>
  <c r="CI184" i="1" s="1"/>
  <c r="CI214" i="1"/>
  <c r="CI183" i="1"/>
  <c r="BV104" i="2"/>
  <c r="BV218" i="2"/>
  <c r="DH224" i="2"/>
  <c r="DH218" i="2"/>
  <c r="AT22" i="2"/>
  <c r="AT61" i="1"/>
  <c r="AT62" i="1" s="1"/>
  <c r="AT23" i="2"/>
  <c r="AX22" i="2"/>
  <c r="BR104" i="2"/>
  <c r="DK212" i="2"/>
  <c r="BR224" i="2"/>
  <c r="BR218" i="2"/>
  <c r="BV146" i="2"/>
  <c r="DR147" i="2"/>
  <c r="DR146" i="2" s="1"/>
  <c r="BQ146" i="2"/>
  <c r="BU24" i="2"/>
  <c r="AT281" i="2"/>
  <c r="AT282" i="2" s="1"/>
  <c r="BR274" i="2"/>
  <c r="BN22" i="2"/>
  <c r="DM146" i="2"/>
  <c r="DJ9" i="2"/>
  <c r="DJ100" i="2" s="1"/>
  <c r="DT146" i="2"/>
  <c r="DL210" i="2"/>
  <c r="DL211" i="2" s="1"/>
  <c r="AU22" i="2"/>
  <c r="AU35" i="2"/>
  <c r="AU23" i="2"/>
  <c r="AU24" i="2" s="1"/>
  <c r="AU61" i="1"/>
  <c r="AU62" i="1" s="1"/>
  <c r="CC224" i="2"/>
  <c r="BN26" i="2"/>
  <c r="BN27" i="2" s="1"/>
  <c r="BN31" i="2" s="1"/>
  <c r="BN265" i="2"/>
  <c r="BN273" i="2"/>
  <c r="BU224" i="2"/>
  <c r="BW150" i="2"/>
  <c r="DJ264" i="2"/>
  <c r="DJ265" i="2" s="1"/>
  <c r="BQ222" i="2"/>
  <c r="DH61" i="1"/>
  <c r="DH62" i="1" s="1"/>
  <c r="DH23" i="2"/>
  <c r="DH22" i="2"/>
  <c r="BO102" i="2"/>
  <c r="AW157" i="2"/>
  <c r="BJ270" i="2"/>
  <c r="DI270" i="2" s="1"/>
  <c r="DI271" i="2" s="1"/>
  <c r="BJ279" i="2"/>
  <c r="DI266" i="2"/>
  <c r="BF279" i="2"/>
  <c r="BF270" i="2"/>
  <c r="BF278" i="2"/>
  <c r="BR211" i="2"/>
  <c r="BR221" i="2"/>
  <c r="BR222" i="2" s="1"/>
  <c r="CD211" i="2"/>
  <c r="CD221" i="2"/>
  <c r="CD222" i="2" s="1"/>
  <c r="DN210" i="2"/>
  <c r="DN211" i="2" s="1"/>
  <c r="BE35" i="2"/>
  <c r="BE61" i="1"/>
  <c r="BE62" i="1" s="1"/>
  <c r="BE23" i="2"/>
  <c r="BI24" i="2" s="1"/>
  <c r="BI22" i="2"/>
  <c r="BU146" i="2"/>
  <c r="BU156" i="2" s="1"/>
  <c r="DQ156" i="2" s="1"/>
  <c r="BB182" i="1"/>
  <c r="BB183" i="1"/>
  <c r="BF183" i="1"/>
  <c r="AS23" i="2"/>
  <c r="AS24" i="2" s="1"/>
  <c r="AT292" i="5"/>
  <c r="BB104" i="2"/>
  <c r="BB218" i="2"/>
  <c r="DG212" i="2"/>
  <c r="DG218" i="2" s="1"/>
  <c r="DG219" i="2" s="1"/>
  <c r="DN61" i="1"/>
  <c r="DN62" i="1" s="1"/>
  <c r="DN22" i="2"/>
  <c r="BN150" i="2"/>
  <c r="BX146" i="2"/>
  <c r="DT151" i="2"/>
  <c r="DT150" i="2" s="1"/>
  <c r="BX150" i="2"/>
  <c r="DS147" i="2"/>
  <c r="DS146" i="2" s="1"/>
  <c r="BW146" i="2"/>
  <c r="BJ20" i="5"/>
  <c r="BJ260" i="5" s="1"/>
  <c r="BR26" i="2"/>
  <c r="BR27" i="2" s="1"/>
  <c r="BR31" i="2" s="1"/>
  <c r="BB185" i="1"/>
  <c r="CD218" i="2"/>
  <c r="CD104" i="2"/>
  <c r="CH265" i="2"/>
  <c r="CH26" i="2"/>
  <c r="CH27" i="2" s="1"/>
  <c r="CH31" i="2" s="1"/>
  <c r="CH273" i="2"/>
  <c r="CH278" i="2" s="1"/>
  <c r="DO264" i="2"/>
  <c r="DO265" i="2" s="1"/>
  <c r="BF224" i="2"/>
  <c r="BF218" i="2"/>
  <c r="BF104" i="2"/>
  <c r="DO266" i="2"/>
  <c r="DL218" i="2"/>
  <c r="E61" i="3"/>
  <c r="CZ263" i="5"/>
  <c r="G61" i="3"/>
  <c r="BH165" i="5"/>
  <c r="BH157" i="5"/>
  <c r="BG8" i="5"/>
  <c r="BG243" i="5" s="1"/>
  <c r="CY272" i="5"/>
  <c r="CY273" i="5" s="1"/>
  <c r="H263" i="5"/>
  <c r="AF138" i="5"/>
  <c r="DB138" i="5"/>
  <c r="CY85" i="5"/>
  <c r="DC247" i="5"/>
  <c r="AH129" i="5"/>
  <c r="BK165" i="5"/>
  <c r="DJ77" i="5"/>
  <c r="AR301" i="5"/>
  <c r="AR292" i="5" s="1"/>
  <c r="AE17" i="5"/>
  <c r="AF241" i="5" s="1"/>
  <c r="DD54" i="5"/>
  <c r="DD177" i="5" s="1"/>
  <c r="AM77" i="5"/>
  <c r="BG238" i="5"/>
  <c r="BG165" i="5"/>
  <c r="BM156" i="5"/>
  <c r="BL163" i="5"/>
  <c r="E241" i="5"/>
  <c r="Y77" i="5"/>
  <c r="CZ77" i="5" s="1"/>
  <c r="CZ54" i="5"/>
  <c r="AN17" i="5"/>
  <c r="BH238" i="5"/>
  <c r="U264" i="5"/>
  <c r="BG246" i="5"/>
  <c r="BK137" i="5"/>
  <c r="AO170" i="5"/>
  <c r="S272" i="5"/>
  <c r="BG235" i="5"/>
  <c r="H138" i="5"/>
  <c r="BD137" i="5"/>
  <c r="DT19" i="5"/>
  <c r="Z207" i="5"/>
  <c r="Z208" i="5" s="1"/>
  <c r="DE303" i="2"/>
  <c r="DE305" i="2" s="1"/>
  <c r="DF10" i="5"/>
  <c r="K15" i="3" s="1"/>
  <c r="BI163" i="5"/>
  <c r="BI238" i="5"/>
  <c r="BU17" i="5"/>
  <c r="DD247" i="5"/>
  <c r="AE243" i="5"/>
  <c r="BG156" i="5"/>
  <c r="DO163" i="5"/>
  <c r="BG157" i="5"/>
  <c r="BG154" i="5" s="1"/>
  <c r="BH156" i="5"/>
  <c r="BG162" i="5"/>
  <c r="Y177" i="5"/>
  <c r="BH164" i="5"/>
  <c r="J261" i="5"/>
  <c r="BG245" i="5"/>
  <c r="J272" i="5"/>
  <c r="AD129" i="5"/>
  <c r="V138" i="5"/>
  <c r="DD335" i="5"/>
  <c r="S53" i="5"/>
  <c r="DF85" i="5"/>
  <c r="BK162" i="5"/>
  <c r="BK156" i="5"/>
  <c r="DH131" i="5"/>
  <c r="DH264" i="5" s="1"/>
  <c r="P272" i="5"/>
  <c r="BJ162" i="5"/>
  <c r="T53" i="5"/>
  <c r="T78" i="5" s="1"/>
  <c r="DL234" i="5"/>
  <c r="DL232" i="5" s="1"/>
  <c r="BP137" i="5"/>
  <c r="K17" i="5"/>
  <c r="K244" i="5" s="1"/>
  <c r="CZ138" i="5"/>
  <c r="CZ137" i="5" s="1"/>
  <c r="D296" i="5"/>
  <c r="BI165" i="5"/>
  <c r="I138" i="5"/>
  <c r="AP336" i="5"/>
  <c r="S156" i="5"/>
  <c r="DF260" i="5"/>
  <c r="I264" i="5"/>
  <c r="BI162" i="5"/>
  <c r="BI248" i="5"/>
  <c r="BI156" i="5"/>
  <c r="BK164" i="5"/>
  <c r="CZ264" i="5"/>
  <c r="U138" i="5"/>
  <c r="AB264" i="5"/>
  <c r="DE301" i="5"/>
  <c r="DD301" i="5"/>
  <c r="AF129" i="5"/>
  <c r="DO261" i="5"/>
  <c r="Z25" i="5"/>
  <c r="Z35" i="5" s="1"/>
  <c r="L275" i="5"/>
  <c r="Q177" i="5"/>
  <c r="BL165" i="5"/>
  <c r="BL164" i="5"/>
  <c r="BL238" i="5"/>
  <c r="CY312" i="5"/>
  <c r="P39" i="5"/>
  <c r="P249" i="5" s="1"/>
  <c r="BL170" i="5"/>
  <c r="DD156" i="5"/>
  <c r="H296" i="5"/>
  <c r="S17" i="5"/>
  <c r="S22" i="5" s="1"/>
  <c r="S25" i="5" s="1"/>
  <c r="DF53" i="5"/>
  <c r="DF78" i="5" s="1"/>
  <c r="AL138" i="5"/>
  <c r="BH243" i="5"/>
  <c r="J241" i="5"/>
  <c r="DA261" i="5"/>
  <c r="DO53" i="5"/>
  <c r="DO78" i="5" s="1"/>
  <c r="U295" i="5"/>
  <c r="U296" i="5" s="1"/>
  <c r="AP261" i="5"/>
  <c r="AD261" i="5"/>
  <c r="DR19" i="5"/>
  <c r="BS177" i="5"/>
  <c r="AT264" i="5"/>
  <c r="DC78" i="5"/>
  <c r="P244" i="5"/>
  <c r="BG163" i="5"/>
  <c r="DO247" i="5"/>
  <c r="Q170" i="5"/>
  <c r="DI138" i="5"/>
  <c r="DI137" i="5" s="1"/>
  <c r="AC138" i="5"/>
  <c r="J275" i="5"/>
  <c r="Q315" i="5"/>
  <c r="Q319" i="5"/>
  <c r="Q295" i="5" s="1"/>
  <c r="Q296" i="5" s="1"/>
  <c r="AP263" i="5"/>
  <c r="P22" i="5"/>
  <c r="AP138" i="5"/>
  <c r="AC261" i="5"/>
  <c r="DS312" i="5"/>
  <c r="AT263" i="5"/>
  <c r="DO165" i="5"/>
  <c r="DO157" i="5"/>
  <c r="BL157" i="5"/>
  <c r="BL154" i="5" s="1"/>
  <c r="AT170" i="5"/>
  <c r="CF308" i="5"/>
  <c r="CX280" i="5"/>
  <c r="CX270" i="5"/>
  <c r="CX272" i="5" s="1"/>
  <c r="CX273" i="5" s="1"/>
  <c r="DD263" i="5"/>
  <c r="I61" i="3"/>
  <c r="DH240" i="5"/>
  <c r="T295" i="5"/>
  <c r="T296" i="5" s="1"/>
  <c r="O261" i="5"/>
  <c r="BO177" i="5"/>
  <c r="Y283" i="5"/>
  <c r="X282" i="5"/>
  <c r="X285" i="5" s="1"/>
  <c r="X271" i="5" s="1"/>
  <c r="X272" i="5" s="1"/>
  <c r="DR59" i="5"/>
  <c r="DS31" i="5"/>
  <c r="W24" i="3"/>
  <c r="DC138" i="5"/>
  <c r="DC137" i="5" s="1"/>
  <c r="BO77" i="5"/>
  <c r="DH53" i="5"/>
  <c r="DH78" i="5" s="1"/>
  <c r="DI170" i="5"/>
  <c r="BO170" i="5"/>
  <c r="DD107" i="5"/>
  <c r="DD129" i="5" s="1"/>
  <c r="AP129" i="5"/>
  <c r="BW327" i="5"/>
  <c r="E319" i="5"/>
  <c r="E295" i="5" s="1"/>
  <c r="E296" i="5" s="1"/>
  <c r="DG53" i="5"/>
  <c r="DG78" i="5" s="1"/>
  <c r="DA240" i="5"/>
  <c r="T177" i="5"/>
  <c r="DN261" i="5"/>
  <c r="F18" i="3"/>
  <c r="DH170" i="5"/>
  <c r="CY139" i="5"/>
  <c r="CZ261" i="5" s="1"/>
  <c r="D315" i="5"/>
  <c r="DK322" i="5"/>
  <c r="DN53" i="5"/>
  <c r="AT138" i="5"/>
  <c r="DD80" i="5"/>
  <c r="U170" i="5"/>
  <c r="DG171" i="5"/>
  <c r="DO164" i="5"/>
  <c r="DO248" i="5"/>
  <c r="D22" i="5"/>
  <c r="D200" i="5" s="1"/>
  <c r="D202" i="5" s="1"/>
  <c r="D205" i="5" s="1"/>
  <c r="D204" i="5" s="1"/>
  <c r="D182" i="5" s="1"/>
  <c r="D181" i="5" s="1"/>
  <c r="AN170" i="5"/>
  <c r="O170" i="5"/>
  <c r="BP163" i="5"/>
  <c r="BE240" i="5"/>
  <c r="J138" i="5"/>
  <c r="P261" i="5"/>
  <c r="DR103" i="5"/>
  <c r="DD322" i="5"/>
  <c r="DD308" i="5"/>
  <c r="DD328" i="5"/>
  <c r="DL53" i="5"/>
  <c r="DL78" i="5" s="1"/>
  <c r="DM53" i="5"/>
  <c r="DM78" i="5" s="1"/>
  <c r="DG281" i="2"/>
  <c r="DB137" i="5"/>
  <c r="AA138" i="5"/>
  <c r="AA261" i="5"/>
  <c r="DM307" i="5"/>
  <c r="DM308" i="5" s="1"/>
  <c r="BW308" i="5"/>
  <c r="CI170" i="5"/>
  <c r="DJ138" i="5"/>
  <c r="DJ137" i="5" s="1"/>
  <c r="DA85" i="5"/>
  <c r="CY259" i="5"/>
  <c r="CZ85" i="5"/>
  <c r="DD58" i="5"/>
  <c r="V295" i="5"/>
  <c r="V296" i="5" s="1"/>
  <c r="DD60" i="5"/>
  <c r="DS19" i="5"/>
  <c r="AH177" i="5"/>
  <c r="DC53" i="5"/>
  <c r="DO156" i="5"/>
  <c r="DK301" i="5"/>
  <c r="DN131" i="5"/>
  <c r="DN264" i="5" s="1"/>
  <c r="F177" i="5"/>
  <c r="AI307" i="5"/>
  <c r="AI327" i="5" s="1"/>
  <c r="AI328" i="5" s="1"/>
  <c r="I272" i="5"/>
  <c r="DL131" i="5"/>
  <c r="DL264" i="5" s="1"/>
  <c r="Q261" i="5"/>
  <c r="AQ261" i="5"/>
  <c r="DD53" i="5"/>
  <c r="DD165" i="5"/>
  <c r="AM17" i="5"/>
  <c r="AN241" i="5" s="1"/>
  <c r="AB138" i="5"/>
  <c r="DM264" i="5"/>
  <c r="DL240" i="5"/>
  <c r="DE53" i="5"/>
  <c r="DM6" i="5"/>
  <c r="DM8" i="5" s="1"/>
  <c r="CI177" i="5"/>
  <c r="DM261" i="5"/>
  <c r="BY170" i="5"/>
  <c r="CI263" i="5"/>
  <c r="I261" i="5"/>
  <c r="BG292" i="5"/>
  <c r="AH170" i="5"/>
  <c r="M296" i="5"/>
  <c r="DE260" i="5"/>
  <c r="BJ243" i="5"/>
  <c r="CY285" i="5"/>
  <c r="DD246" i="5"/>
  <c r="CY54" i="5"/>
  <c r="CZ170" i="5" s="1"/>
  <c r="P50" i="5"/>
  <c r="P251" i="5" s="1"/>
  <c r="AB261" i="5"/>
  <c r="R275" i="5"/>
  <c r="CD245" i="5"/>
  <c r="CD215" i="5"/>
  <c r="CD157" i="5"/>
  <c r="CD154" i="5" s="1"/>
  <c r="CD238" i="5"/>
  <c r="CD165" i="5"/>
  <c r="CD162" i="5"/>
  <c r="CL162" i="5" s="1"/>
  <c r="CD8" i="5"/>
  <c r="CD156" i="5"/>
  <c r="CD164" i="5"/>
  <c r="CD211" i="5"/>
  <c r="CE165" i="5"/>
  <c r="CE157" i="5"/>
  <c r="CE154" i="5" s="1"/>
  <c r="CD163" i="5"/>
  <c r="BP248" i="5"/>
  <c r="AV172" i="5"/>
  <c r="AB243" i="5"/>
  <c r="AB17" i="5"/>
  <c r="CJ145" i="5"/>
  <c r="CJ128" i="5"/>
  <c r="CJ129" i="5" s="1"/>
  <c r="CK127" i="5"/>
  <c r="DK129" i="5"/>
  <c r="BW77" i="5"/>
  <c r="BW170" i="5"/>
  <c r="Q61" i="3"/>
  <c r="CY60" i="5"/>
  <c r="DF239" i="5"/>
  <c r="DL301" i="5"/>
  <c r="AW128" i="5"/>
  <c r="AW129" i="5" s="1"/>
  <c r="DH301" i="5"/>
  <c r="I4" i="3"/>
  <c r="I52" i="3" s="1"/>
  <c r="P170" i="5"/>
  <c r="DF158" i="5"/>
  <c r="BD240" i="5"/>
  <c r="BL156" i="5"/>
  <c r="BK177" i="5"/>
  <c r="Y17" i="5"/>
  <c r="CG17" i="5"/>
  <c r="CH241" i="5" s="1"/>
  <c r="AI243" i="5"/>
  <c r="AI17" i="5"/>
  <c r="AI241" i="5" s="1"/>
  <c r="DT193" i="5"/>
  <c r="DS197" i="5"/>
  <c r="K23" i="9" s="1"/>
  <c r="T263" i="5"/>
  <c r="T264" i="5"/>
  <c r="U261" i="5"/>
  <c r="T138" i="5"/>
  <c r="CT17" i="5"/>
  <c r="CH244" i="5"/>
  <c r="CH22" i="5"/>
  <c r="CH43" i="5"/>
  <c r="J22" i="5"/>
  <c r="J25" i="5" s="1"/>
  <c r="BP156" i="5"/>
  <c r="AN43" i="5"/>
  <c r="AN39" i="5" s="1"/>
  <c r="AN265" i="5" s="1"/>
  <c r="DE239" i="5"/>
  <c r="DG239" i="5"/>
  <c r="DH322" i="5"/>
  <c r="J43" i="5"/>
  <c r="J45" i="5" s="1"/>
  <c r="AG308" i="5"/>
  <c r="AF308" i="5" s="1"/>
  <c r="AE308" i="5" s="1"/>
  <c r="DD163" i="5"/>
  <c r="DD157" i="5"/>
  <c r="AO17" i="5"/>
  <c r="AO241" i="5" s="1"/>
  <c r="O177" i="5"/>
  <c r="DM54" i="5"/>
  <c r="DN170" i="5" s="1"/>
  <c r="CG308" i="5"/>
  <c r="CJ165" i="5"/>
  <c r="BI246" i="5"/>
  <c r="BI235" i="5"/>
  <c r="AA170" i="5"/>
  <c r="R17" i="5"/>
  <c r="S241" i="5" s="1"/>
  <c r="BI170" i="5"/>
  <c r="CE164" i="5"/>
  <c r="BA137" i="5"/>
  <c r="BA264" i="5"/>
  <c r="J263" i="5"/>
  <c r="K261" i="5"/>
  <c r="J264" i="5"/>
  <c r="BT263" i="5"/>
  <c r="BT143" i="5"/>
  <c r="BT138" i="5" s="1"/>
  <c r="BT137" i="5" s="1"/>
  <c r="BP233" i="5"/>
  <c r="BU145" i="5"/>
  <c r="BV127" i="5"/>
  <c r="BU128" i="5"/>
  <c r="BU129" i="5" s="1"/>
  <c r="DK308" i="5"/>
  <c r="DC8" i="5"/>
  <c r="H12" i="3" s="1"/>
  <c r="BI177" i="5"/>
  <c r="DD164" i="5"/>
  <c r="DE159" i="5"/>
  <c r="AX137" i="5"/>
  <c r="DF159" i="5"/>
  <c r="CJ157" i="5"/>
  <c r="BD17" i="5"/>
  <c r="J11" i="3"/>
  <c r="DH328" i="5"/>
  <c r="J244" i="5"/>
  <c r="BG137" i="5"/>
  <c r="DM240" i="5"/>
  <c r="DD162" i="5"/>
  <c r="AF133" i="5"/>
  <c r="AF132" i="5" s="1"/>
  <c r="AF156" i="5" s="1"/>
  <c r="CX54" i="5"/>
  <c r="CX170" i="5" s="1"/>
  <c r="CD240" i="5"/>
  <c r="BJ156" i="5"/>
  <c r="CJ162" i="5"/>
  <c r="CJ163" i="5"/>
  <c r="R272" i="5"/>
  <c r="I43" i="5"/>
  <c r="I39" i="5" s="1"/>
  <c r="AX292" i="5"/>
  <c r="DI301" i="5"/>
  <c r="DD248" i="5"/>
  <c r="DC261" i="5"/>
  <c r="AN261" i="5"/>
  <c r="CX8" i="5"/>
  <c r="CX243" i="5" s="1"/>
  <c r="DD137" i="5"/>
  <c r="CJ156" i="5"/>
  <c r="CC154" i="5"/>
  <c r="CJ238" i="5"/>
  <c r="DK60" i="5"/>
  <c r="P18" i="3"/>
  <c r="CY308" i="5"/>
  <c r="K272" i="5"/>
  <c r="BU323" i="5"/>
  <c r="BU324" i="5" s="1"/>
  <c r="BV325" i="5"/>
  <c r="O114" i="3"/>
  <c r="O111" i="3"/>
  <c r="CD39" i="2"/>
  <c r="DL308" i="1"/>
  <c r="BH154" i="5"/>
  <c r="AW149" i="1"/>
  <c r="AW160" i="1"/>
  <c r="AW133" i="2"/>
  <c r="DI134" i="1"/>
  <c r="DH41" i="5"/>
  <c r="DI240" i="5"/>
  <c r="BD51" i="5"/>
  <c r="BD75" i="5" s="1"/>
  <c r="BD40" i="5"/>
  <c r="BD168" i="5"/>
  <c r="BD171" i="5"/>
  <c r="H4" i="3"/>
  <c r="H5" i="3" s="1"/>
  <c r="BM233" i="5"/>
  <c r="BD146" i="2"/>
  <c r="BD156" i="2" s="1"/>
  <c r="CE163" i="5"/>
  <c r="BR150" i="1"/>
  <c r="BC70" i="1"/>
  <c r="BC71" i="1"/>
  <c r="BG71" i="1"/>
  <c r="CG324" i="1"/>
  <c r="CC344" i="1"/>
  <c r="AV54" i="5"/>
  <c r="AV77" i="5" s="1"/>
  <c r="AV171" i="5"/>
  <c r="CD248" i="5"/>
  <c r="BC177" i="5"/>
  <c r="BC77" i="5"/>
  <c r="BT311" i="1"/>
  <c r="BP333" i="1"/>
  <c r="DH247" i="5"/>
  <c r="BL71" i="1"/>
  <c r="AU293" i="1"/>
  <c r="CD246" i="5"/>
  <c r="DH4" i="5"/>
  <c r="DH156" i="5"/>
  <c r="DH164" i="5"/>
  <c r="AV293" i="1"/>
  <c r="DI50" i="2"/>
  <c r="DK376" i="1"/>
  <c r="BS125" i="1"/>
  <c r="BS148" i="1"/>
  <c r="AQ146" i="2"/>
  <c r="AQ156" i="2" s="1"/>
  <c r="AQ157" i="2" s="1"/>
  <c r="BM337" i="1"/>
  <c r="BQ315" i="1"/>
  <c r="BQ338" i="1" s="1"/>
  <c r="DH165" i="5"/>
  <c r="BC150" i="2"/>
  <c r="BC156" i="2" s="1"/>
  <c r="BK100" i="2"/>
  <c r="BK102" i="2" s="1"/>
  <c r="L22" i="5"/>
  <c r="L25" i="5" s="1"/>
  <c r="BX39" i="2"/>
  <c r="BO293" i="1"/>
  <c r="DO358" i="1"/>
  <c r="BS126" i="1"/>
  <c r="BO148" i="1"/>
  <c r="BO127" i="1"/>
  <c r="BO125" i="1"/>
  <c r="DN331" i="1"/>
  <c r="DN345" i="1"/>
  <c r="CE162" i="5"/>
  <c r="CM162" i="5" s="1"/>
  <c r="AV396" i="1"/>
  <c r="AV371" i="1"/>
  <c r="AV379" i="1"/>
  <c r="AV364" i="1"/>
  <c r="AV365" i="1"/>
  <c r="DH91" i="1"/>
  <c r="DI91" i="1"/>
  <c r="DN381" i="1"/>
  <c r="BZ238" i="5"/>
  <c r="BY8" i="5"/>
  <c r="BY246" i="5"/>
  <c r="BY177" i="5"/>
  <c r="BY211" i="5"/>
  <c r="BY215" i="5"/>
  <c r="BY156" i="5"/>
  <c r="BZ156" i="5"/>
  <c r="BZ165" i="5"/>
  <c r="BY235" i="5"/>
  <c r="CB165" i="5"/>
  <c r="CB162" i="5"/>
  <c r="CA165" i="5"/>
  <c r="CA163" i="5"/>
  <c r="BY162" i="5"/>
  <c r="BY238" i="5"/>
  <c r="CB164" i="5"/>
  <c r="CB156" i="5"/>
  <c r="CB163" i="5"/>
  <c r="CA164" i="5"/>
  <c r="BY164" i="5"/>
  <c r="BY245" i="5"/>
  <c r="BY157" i="5"/>
  <c r="BY154" i="5" s="1"/>
  <c r="BY247" i="5"/>
  <c r="CB157" i="5"/>
  <c r="CB154" i="5" s="1"/>
  <c r="BZ162" i="5"/>
  <c r="BY163" i="5"/>
  <c r="BZ164" i="5"/>
  <c r="BZ163" i="5"/>
  <c r="CA157" i="5"/>
  <c r="CA154" i="5" s="1"/>
  <c r="CA162" i="5"/>
  <c r="BY233" i="5"/>
  <c r="BY248" i="5"/>
  <c r="BY165" i="5"/>
  <c r="BZ157" i="5"/>
  <c r="BZ154" i="5" s="1"/>
  <c r="CA156" i="5"/>
  <c r="DS247" i="1"/>
  <c r="T17" i="5"/>
  <c r="T241" i="5" s="1"/>
  <c r="CY157" i="5"/>
  <c r="BM162" i="5"/>
  <c r="DG345" i="1"/>
  <c r="BE47" i="2"/>
  <c r="DP282" i="1"/>
  <c r="BE146" i="2"/>
  <c r="BE156" i="2" s="1"/>
  <c r="BX51" i="1"/>
  <c r="AR148" i="1"/>
  <c r="AR126" i="1"/>
  <c r="AR125" i="1"/>
  <c r="CE248" i="5"/>
  <c r="CE211" i="5"/>
  <c r="CE246" i="5"/>
  <c r="CE235" i="5"/>
  <c r="CE247" i="5"/>
  <c r="CE8" i="5"/>
  <c r="CE215" i="5"/>
  <c r="CE233" i="5"/>
  <c r="CE245" i="5"/>
  <c r="CE309" i="1"/>
  <c r="CA331" i="1"/>
  <c r="BX77" i="5"/>
  <c r="BX170" i="5"/>
  <c r="CY238" i="5"/>
  <c r="E22" i="5"/>
  <c r="E244" i="5"/>
  <c r="E43" i="5"/>
  <c r="BE70" i="1"/>
  <c r="BE71" i="1"/>
  <c r="DF346" i="1"/>
  <c r="DF347" i="1"/>
  <c r="DF344" i="1"/>
  <c r="DF266" i="1"/>
  <c r="DF336" i="1"/>
  <c r="DF338" i="1"/>
  <c r="DF333" i="1"/>
  <c r="DF345" i="1"/>
  <c r="DF335" i="1"/>
  <c r="CH149" i="1"/>
  <c r="CH133" i="2"/>
  <c r="CH160" i="1"/>
  <c r="BJ51" i="1"/>
  <c r="BN51" i="1"/>
  <c r="DP387" i="1"/>
  <c r="DP396" i="1"/>
  <c r="DP365" i="1"/>
  <c r="DP364" i="1"/>
  <c r="DP371" i="1"/>
  <c r="CY245" i="5"/>
  <c r="BV309" i="1"/>
  <c r="AR153" i="2"/>
  <c r="AR150" i="2" s="1"/>
  <c r="CE156" i="5"/>
  <c r="CD247" i="5"/>
  <c r="CJ311" i="1"/>
  <c r="CJ334" i="1" s="1"/>
  <c r="CF333" i="1"/>
  <c r="DQ372" i="1"/>
  <c r="DP174" i="5"/>
  <c r="CI126" i="1"/>
  <c r="CI125" i="1"/>
  <c r="CI148" i="1"/>
  <c r="DI322" i="1"/>
  <c r="DI343" i="1" s="1"/>
  <c r="BF343" i="1"/>
  <c r="BJ323" i="1"/>
  <c r="DF332" i="1"/>
  <c r="AJ170" i="5"/>
  <c r="AJ177" i="5"/>
  <c r="AJ77" i="5"/>
  <c r="CJ310" i="1"/>
  <c r="CJ333" i="1" s="1"/>
  <c r="CF332" i="1"/>
  <c r="AZ70" i="1"/>
  <c r="AZ71" i="1"/>
  <c r="BJ127" i="1"/>
  <c r="BJ125" i="1"/>
  <c r="BJ148" i="1"/>
  <c r="BJ126" i="1"/>
  <c r="BN126" i="1"/>
  <c r="CY156" i="5"/>
  <c r="CH150" i="2"/>
  <c r="DL358" i="1"/>
  <c r="AQ342" i="1"/>
  <c r="BT325" i="1"/>
  <c r="BP345" i="1"/>
  <c r="BJ77" i="5"/>
  <c r="BJ170" i="5"/>
  <c r="BK170" i="5"/>
  <c r="CI51" i="1"/>
  <c r="AX364" i="1"/>
  <c r="AX365" i="1"/>
  <c r="AX371" i="1"/>
  <c r="AX396" i="1"/>
  <c r="AB177" i="5"/>
  <c r="AB77" i="5"/>
  <c r="AB170" i="5"/>
  <c r="AC170" i="5"/>
  <c r="BG77" i="5"/>
  <c r="BG177" i="5"/>
  <c r="BH170" i="5"/>
  <c r="CY248" i="5"/>
  <c r="CY164" i="5"/>
  <c r="CG240" i="5"/>
  <c r="BP165" i="5"/>
  <c r="CH39" i="2"/>
  <c r="CL311" i="1"/>
  <c r="CH333" i="1"/>
  <c r="CE125" i="1"/>
  <c r="CE148" i="1"/>
  <c r="DK266" i="1"/>
  <c r="DK331" i="1"/>
  <c r="BF8" i="5"/>
  <c r="BF235" i="5"/>
  <c r="BG164" i="5"/>
  <c r="BF238" i="5"/>
  <c r="BH163" i="5"/>
  <c r="BF248" i="5"/>
  <c r="BF245" i="5"/>
  <c r="BF246" i="5"/>
  <c r="BH162" i="5"/>
  <c r="BF247" i="5"/>
  <c r="BF165" i="5"/>
  <c r="BJ177" i="5"/>
  <c r="DJ266" i="1"/>
  <c r="DJ381" i="1"/>
  <c r="BO17" i="5"/>
  <c r="BO243" i="5"/>
  <c r="DP358" i="1"/>
  <c r="DJ125" i="1"/>
  <c r="DJ148" i="1"/>
  <c r="DO217" i="5"/>
  <c r="DO158" i="5"/>
  <c r="DO159" i="5"/>
  <c r="T11" i="3"/>
  <c r="BW70" i="1"/>
  <c r="BW71" i="1"/>
  <c r="DF334" i="1"/>
  <c r="BN8" i="5"/>
  <c r="BN247" i="5"/>
  <c r="DF337" i="1"/>
  <c r="DK381" i="1"/>
  <c r="DO67" i="1"/>
  <c r="CB293" i="1"/>
  <c r="BL150" i="2"/>
  <c r="BL156" i="2" s="1"/>
  <c r="BI146" i="2"/>
  <c r="BI156" i="2" s="1"/>
  <c r="AZ77" i="5"/>
  <c r="AZ170" i="5"/>
  <c r="AP77" i="5"/>
  <c r="DD77" i="5" s="1"/>
  <c r="AP177" i="5"/>
  <c r="BI71" i="1"/>
  <c r="BI70" i="1"/>
  <c r="BM71" i="1"/>
  <c r="CH70" i="1"/>
  <c r="CH71" i="1"/>
  <c r="BQ148" i="1"/>
  <c r="BQ125" i="1"/>
  <c r="M17" i="5"/>
  <c r="BJ314" i="1"/>
  <c r="BF336" i="1"/>
  <c r="DI313" i="1"/>
  <c r="DI336" i="1" s="1"/>
  <c r="T170" i="5"/>
  <c r="CG11" i="2"/>
  <c r="CG47" i="2"/>
  <c r="CE70" i="1"/>
  <c r="CE71" i="1"/>
  <c r="CI71" i="1"/>
  <c r="J170" i="5"/>
  <c r="Z39" i="5"/>
  <c r="Z249" i="5" s="1"/>
  <c r="AS385" i="1"/>
  <c r="CY8" i="5"/>
  <c r="D12" i="3" s="1"/>
  <c r="DO10" i="5"/>
  <c r="T15" i="3" s="1"/>
  <c r="T16" i="3" s="1"/>
  <c r="BS293" i="1"/>
  <c r="BK154" i="5"/>
  <c r="CH47" i="2"/>
  <c r="AA177" i="5"/>
  <c r="BR10" i="2"/>
  <c r="BR11" i="2" s="1"/>
  <c r="DP381" i="1"/>
  <c r="BP71" i="1"/>
  <c r="CE238" i="5"/>
  <c r="BI148" i="1"/>
  <c r="BI127" i="1"/>
  <c r="BI125" i="1"/>
  <c r="DL289" i="1"/>
  <c r="CY77" i="5"/>
  <c r="DO42" i="2"/>
  <c r="CH146" i="2"/>
  <c r="DL323" i="1"/>
  <c r="DK343" i="1"/>
  <c r="AS127" i="1"/>
  <c r="AW126" i="1"/>
  <c r="AS148" i="1"/>
  <c r="AS126" i="1"/>
  <c r="AS125" i="1"/>
  <c r="DM159" i="5"/>
  <c r="R11" i="3"/>
  <c r="DM158" i="5"/>
  <c r="BO150" i="1"/>
  <c r="BK149" i="1"/>
  <c r="BK133" i="2"/>
  <c r="BK185" i="1"/>
  <c r="BK160" i="1"/>
  <c r="DG334" i="1"/>
  <c r="DG346" i="1"/>
  <c r="DG381" i="1"/>
  <c r="DG266" i="1"/>
  <c r="BQ127" i="1"/>
  <c r="DL124" i="1"/>
  <c r="BP127" i="1"/>
  <c r="BP148" i="1"/>
  <c r="BP125" i="1"/>
  <c r="DJ65" i="1"/>
  <c r="DJ67" i="1"/>
  <c r="CB344" i="1"/>
  <c r="CF324" i="1"/>
  <c r="BP315" i="1"/>
  <c r="BP338" i="1" s="1"/>
  <c r="BL337" i="1"/>
  <c r="BD148" i="1"/>
  <c r="BD125" i="1"/>
  <c r="BH126" i="1"/>
  <c r="BT127" i="1"/>
  <c r="BT126" i="1"/>
  <c r="BT125" i="1"/>
  <c r="BT148" i="1"/>
  <c r="AQ77" i="5"/>
  <c r="DE77" i="5" s="1"/>
  <c r="AQ170" i="5"/>
  <c r="BF309" i="1"/>
  <c r="BB331" i="1"/>
  <c r="DH308" i="1"/>
  <c r="DI147" i="2"/>
  <c r="DI146" i="2" s="1"/>
  <c r="BJ146" i="2"/>
  <c r="BJ156" i="2" s="1"/>
  <c r="BD100" i="2"/>
  <c r="DH9" i="2"/>
  <c r="DH100" i="2" s="1"/>
  <c r="DM239" i="5"/>
  <c r="DG65" i="1"/>
  <c r="DH67" i="1"/>
  <c r="DG67" i="1"/>
  <c r="AS51" i="1"/>
  <c r="AW51" i="1"/>
  <c r="DL4" i="5"/>
  <c r="DL6" i="5" s="1"/>
  <c r="DM16" i="1"/>
  <c r="DM19" i="1"/>
  <c r="BD71" i="1"/>
  <c r="BD70" i="1"/>
  <c r="BT343" i="1"/>
  <c r="BX323" i="1"/>
  <c r="BG309" i="1"/>
  <c r="BC331" i="1"/>
  <c r="BC243" i="5"/>
  <c r="BC17" i="5"/>
  <c r="DL22" i="1"/>
  <c r="DK4" i="5"/>
  <c r="DK6" i="5" s="1"/>
  <c r="DL16" i="1"/>
  <c r="DH246" i="5"/>
  <c r="BC293" i="1"/>
  <c r="BS296" i="1"/>
  <c r="DK67" i="1"/>
  <c r="AV309" i="1"/>
  <c r="AR331" i="1"/>
  <c r="BP8" i="5"/>
  <c r="BP243" i="5" s="1"/>
  <c r="DG9" i="2"/>
  <c r="DG100" i="2" s="1"/>
  <c r="BL233" i="5"/>
  <c r="BL215" i="5"/>
  <c r="BL247" i="5"/>
  <c r="BL248" i="5"/>
  <c r="BO156" i="5"/>
  <c r="BL177" i="5"/>
  <c r="BL8" i="5"/>
  <c r="BL211" i="5"/>
  <c r="BL245" i="5"/>
  <c r="BL246" i="5"/>
  <c r="BO164" i="5"/>
  <c r="BO165" i="5"/>
  <c r="BL235" i="5"/>
  <c r="BA125" i="1"/>
  <c r="BA148" i="1"/>
  <c r="BE150" i="1" s="1"/>
  <c r="BA126" i="1"/>
  <c r="BB127" i="1"/>
  <c r="AA243" i="5"/>
  <c r="AA17" i="5"/>
  <c r="CB51" i="1"/>
  <c r="CF51" i="1"/>
  <c r="BZ125" i="1"/>
  <c r="BZ148" i="1"/>
  <c r="CD150" i="1" s="1"/>
  <c r="DM67" i="1"/>
  <c r="DM65" i="1"/>
  <c r="DP289" i="1"/>
  <c r="H200" i="5"/>
  <c r="H202" i="5" s="1"/>
  <c r="H205" i="5" s="1"/>
  <c r="H204" i="5" s="1"/>
  <c r="H182" i="5" s="1"/>
  <c r="H181" i="5" s="1"/>
  <c r="H207" i="5"/>
  <c r="H208" i="5" s="1"/>
  <c r="H25" i="5"/>
  <c r="BG323" i="1"/>
  <c r="BC343" i="1"/>
  <c r="DL391" i="1"/>
  <c r="DM386" i="1"/>
  <c r="DO323" i="1"/>
  <c r="DN343" i="1"/>
  <c r="CY163" i="5"/>
  <c r="DC248" i="5"/>
  <c r="BQ156" i="5"/>
  <c r="DH248" i="5"/>
  <c r="BQ165" i="5"/>
  <c r="BP247" i="5"/>
  <c r="CF177" i="5"/>
  <c r="BY102" i="2"/>
  <c r="CD126" i="1"/>
  <c r="BO162" i="5"/>
  <c r="BI296" i="1"/>
  <c r="DN67" i="1"/>
  <c r="BN163" i="5"/>
  <c r="CA125" i="1"/>
  <c r="CA126" i="1"/>
  <c r="CA127" i="1"/>
  <c r="CA148" i="1"/>
  <c r="CE126" i="1"/>
  <c r="H45" i="5"/>
  <c r="H39" i="5"/>
  <c r="AQ126" i="1"/>
  <c r="AQ148" i="1"/>
  <c r="AR127" i="1"/>
  <c r="AQ127" i="1"/>
  <c r="AQ125" i="1"/>
  <c r="DN323" i="1"/>
  <c r="DM343" i="1"/>
  <c r="AQ108" i="2"/>
  <c r="AR148" i="2"/>
  <c r="AR146" i="2" s="1"/>
  <c r="AW396" i="1"/>
  <c r="DG363" i="1"/>
  <c r="AW364" i="1"/>
  <c r="AW365" i="1"/>
  <c r="AW371" i="1"/>
  <c r="CB11" i="2"/>
  <c r="CB47" i="2"/>
  <c r="CB148" i="1"/>
  <c r="CB126" i="1"/>
  <c r="CB125" i="1"/>
  <c r="CB127" i="1"/>
  <c r="DI168" i="5"/>
  <c r="DI51" i="5"/>
  <c r="DI75" i="5" s="1"/>
  <c r="DI40" i="5"/>
  <c r="DI171" i="5"/>
  <c r="BS247" i="5"/>
  <c r="BS8" i="5"/>
  <c r="BV165" i="5"/>
  <c r="BS248" i="5"/>
  <c r="BS233" i="5"/>
  <c r="BS235" i="5"/>
  <c r="BS211" i="5"/>
  <c r="BT238" i="5"/>
  <c r="BS215" i="5"/>
  <c r="BS246" i="5"/>
  <c r="BS245" i="5"/>
  <c r="BV162" i="5"/>
  <c r="BV163" i="5"/>
  <c r="BX126" i="1"/>
  <c r="BX148" i="1"/>
  <c r="BX125" i="1"/>
  <c r="BX127" i="1"/>
  <c r="AP17" i="5"/>
  <c r="AP243" i="5"/>
  <c r="AQ330" i="1"/>
  <c r="AQ274" i="1" s="1"/>
  <c r="AQ275" i="1" s="1"/>
  <c r="AQ284" i="1" s="1"/>
  <c r="AQ278" i="1" s="1"/>
  <c r="AQ279" i="1" s="1"/>
  <c r="BW148" i="1"/>
  <c r="BW125" i="1"/>
  <c r="BW126" i="1"/>
  <c r="BF326" i="1"/>
  <c r="DH325" i="1"/>
  <c r="DH346" i="1" s="1"/>
  <c r="CB71" i="1"/>
  <c r="CB70" i="1"/>
  <c r="S15" i="3"/>
  <c r="DN240" i="5"/>
  <c r="BE324" i="1"/>
  <c r="BA344" i="1"/>
  <c r="BZ17" i="5"/>
  <c r="BZ243" i="5"/>
  <c r="AQ4" i="5"/>
  <c r="AQ6" i="5" s="1"/>
  <c r="AQ22" i="1"/>
  <c r="AQ16" i="1"/>
  <c r="AW77" i="5"/>
  <c r="BR16" i="1"/>
  <c r="BR4" i="5"/>
  <c r="BR6" i="5" s="1"/>
  <c r="BR157" i="5" s="1"/>
  <c r="BR154" i="5" s="1"/>
  <c r="BR22" i="1"/>
  <c r="BQ238" i="5"/>
  <c r="BP238" i="5"/>
  <c r="BK150" i="1"/>
  <c r="CA51" i="1"/>
  <c r="CE51" i="1"/>
  <c r="AR320" i="1"/>
  <c r="AR327" i="1" s="1"/>
  <c r="AR348" i="1" s="1"/>
  <c r="AR342" i="1" s="1"/>
  <c r="AR316" i="1"/>
  <c r="AR339" i="1" s="1"/>
  <c r="DH322" i="1"/>
  <c r="DH343" i="1" s="1"/>
  <c r="BF323" i="1"/>
  <c r="DI9" i="2"/>
  <c r="DI100" i="2" s="1"/>
  <c r="BQ150" i="2"/>
  <c r="BS150" i="2"/>
  <c r="BS156" i="2" s="1"/>
  <c r="DO156" i="2" s="1"/>
  <c r="L244" i="5"/>
  <c r="CI17" i="5"/>
  <c r="CI241" i="5" s="1"/>
  <c r="D4" i="3"/>
  <c r="D52" i="3" s="1"/>
  <c r="BQ162" i="5"/>
  <c r="BW154" i="5"/>
  <c r="BX154" i="5"/>
  <c r="DH157" i="5"/>
  <c r="BP246" i="5"/>
  <c r="BP157" i="5"/>
  <c r="BP154" i="5" s="1"/>
  <c r="BF154" i="5"/>
  <c r="BL162" i="5"/>
  <c r="BE127" i="1"/>
  <c r="BO157" i="5"/>
  <c r="BO154" i="5" s="1"/>
  <c r="BM157" i="5"/>
  <c r="BM154" i="5" s="1"/>
  <c r="BM165" i="5"/>
  <c r="BN157" i="5"/>
  <c r="BN154" i="5" s="1"/>
  <c r="BE11" i="2"/>
  <c r="DH10" i="2"/>
  <c r="DH11" i="2" s="1"/>
  <c r="BP343" i="1"/>
  <c r="BT323" i="1"/>
  <c r="CD77" i="5"/>
  <c r="CD177" i="5"/>
  <c r="DO59" i="1"/>
  <c r="DK16" i="1"/>
  <c r="DJ4" i="5"/>
  <c r="DJ6" i="5" s="1"/>
  <c r="DK19" i="1"/>
  <c r="DK41" i="5"/>
  <c r="DL134" i="1"/>
  <c r="DN364" i="1"/>
  <c r="DN371" i="1"/>
  <c r="DN387" i="1"/>
  <c r="DN396" i="1"/>
  <c r="DN365" i="1"/>
  <c r="CJ246" i="5"/>
  <c r="CJ215" i="5"/>
  <c r="CJ164" i="5"/>
  <c r="CJ8" i="5"/>
  <c r="CJ247" i="5"/>
  <c r="CJ248" i="5"/>
  <c r="CJ233" i="5"/>
  <c r="CJ245" i="5"/>
  <c r="CJ211" i="5"/>
  <c r="DG333" i="1"/>
  <c r="DG336" i="1"/>
  <c r="DF87" i="1"/>
  <c r="DF77" i="1"/>
  <c r="BS343" i="1"/>
  <c r="BW323" i="1"/>
  <c r="DG338" i="1"/>
  <c r="BT40" i="5"/>
  <c r="BT171" i="5"/>
  <c r="BT51" i="5"/>
  <c r="BT75" i="5" s="1"/>
  <c r="BT168" i="5"/>
  <c r="BF146" i="2"/>
  <c r="BF156" i="2" s="1"/>
  <c r="DH147" i="2"/>
  <c r="DH146" i="2" s="1"/>
  <c r="DE9" i="2"/>
  <c r="DE100" i="2" s="1"/>
  <c r="CY165" i="5"/>
  <c r="CY246" i="5"/>
  <c r="M4" i="3"/>
  <c r="BP164" i="5"/>
  <c r="BP177" i="5"/>
  <c r="DJ240" i="5"/>
  <c r="DO239" i="5"/>
  <c r="S11" i="3"/>
  <c r="DN158" i="5"/>
  <c r="DN159" i="5"/>
  <c r="DN239" i="5"/>
  <c r="DO38" i="2"/>
  <c r="DO40" i="2" s="1"/>
  <c r="DO150" i="2"/>
  <c r="CA150" i="2"/>
  <c r="L241" i="5"/>
  <c r="CY247" i="5"/>
  <c r="K241" i="5"/>
  <c r="DM217" i="5"/>
  <c r="BP162" i="5"/>
  <c r="BQ157" i="5"/>
  <c r="BQ154" i="5" s="1"/>
  <c r="DH163" i="5"/>
  <c r="BP245" i="5"/>
  <c r="DN217" i="5"/>
  <c r="BK17" i="5"/>
  <c r="BK241" i="5" s="1"/>
  <c r="BR293" i="1"/>
  <c r="DI358" i="1"/>
  <c r="CD47" i="2"/>
  <c r="BA296" i="1"/>
  <c r="CF150" i="2"/>
  <c r="AW293" i="1"/>
  <c r="BN164" i="5"/>
  <c r="BN156" i="5"/>
  <c r="BN162" i="5"/>
  <c r="BO146" i="2"/>
  <c r="BO343" i="1"/>
  <c r="BS323" i="1"/>
  <c r="J77" i="5"/>
  <c r="J177" i="5"/>
  <c r="CA293" i="1"/>
  <c r="CG333" i="1"/>
  <c r="CK311" i="1"/>
  <c r="CK334" i="1" s="1"/>
  <c r="BU126" i="1"/>
  <c r="BU125" i="1"/>
  <c r="BU127" i="1"/>
  <c r="BU148" i="1"/>
  <c r="BQ51" i="5"/>
  <c r="BQ75" i="5" s="1"/>
  <c r="BQ40" i="5"/>
  <c r="BQ168" i="5"/>
  <c r="BQ171" i="5"/>
  <c r="DH313" i="1"/>
  <c r="DH336" i="1" s="1"/>
  <c r="BF314" i="1"/>
  <c r="BQ296" i="1"/>
  <c r="BU296" i="1"/>
  <c r="DK22" i="1"/>
  <c r="DO162" i="5"/>
  <c r="DO211" i="5"/>
  <c r="DO8" i="5"/>
  <c r="BA309" i="1"/>
  <c r="AW331" i="1"/>
  <c r="DP343" i="1"/>
  <c r="DP266" i="1"/>
  <c r="DP332" i="1"/>
  <c r="DP333" i="1"/>
  <c r="DP331" i="1"/>
  <c r="BF312" i="1"/>
  <c r="DH311" i="1"/>
  <c r="BR19" i="1"/>
  <c r="DD8" i="5"/>
  <c r="AX170" i="5"/>
  <c r="DN4" i="5"/>
  <c r="DN6" i="5" s="1"/>
  <c r="DO19" i="1"/>
  <c r="AQ111" i="2"/>
  <c r="AQ112" i="2" s="1"/>
  <c r="AQ10" i="2"/>
  <c r="BF167" i="1"/>
  <c r="BF161" i="1"/>
  <c r="BF171" i="1"/>
  <c r="AR170" i="5"/>
  <c r="BQ164" i="5"/>
  <c r="DH177" i="5"/>
  <c r="DH162" i="5"/>
  <c r="BP215" i="5"/>
  <c r="DH376" i="1"/>
  <c r="BE51" i="1"/>
  <c r="BO163" i="5"/>
  <c r="CF146" i="2"/>
  <c r="BW47" i="2"/>
  <c r="BV156" i="5"/>
  <c r="CB39" i="2"/>
  <c r="AU51" i="1"/>
  <c r="BV157" i="5"/>
  <c r="BV154" i="5" s="1"/>
  <c r="CE150" i="2"/>
  <c r="BN165" i="5"/>
  <c r="BM164" i="5"/>
  <c r="DK146" i="2"/>
  <c r="BM247" i="5"/>
  <c r="BM238" i="5"/>
  <c r="BM248" i="5"/>
  <c r="BM8" i="5"/>
  <c r="BM246" i="5"/>
  <c r="BM211" i="5"/>
  <c r="BM245" i="5"/>
  <c r="BM215" i="5"/>
  <c r="BR323" i="1"/>
  <c r="BN343" i="1"/>
  <c r="DG337" i="1"/>
  <c r="BU51" i="1"/>
  <c r="BY51" i="1"/>
  <c r="DG347" i="1"/>
  <c r="DM22" i="1"/>
  <c r="CG125" i="1"/>
  <c r="CG148" i="1"/>
  <c r="DG335" i="1"/>
  <c r="BT51" i="1"/>
  <c r="CB170" i="5"/>
  <c r="CA77" i="5"/>
  <c r="DH159" i="5"/>
  <c r="DH158" i="5"/>
  <c r="M11" i="3"/>
  <c r="DI158" i="5"/>
  <c r="DJ239" i="5"/>
  <c r="N11" i="3"/>
  <c r="DI239" i="5"/>
  <c r="DI159" i="5"/>
  <c r="DE50" i="2"/>
  <c r="DE46" i="2"/>
  <c r="DF50" i="2"/>
  <c r="BK151" i="1"/>
  <c r="AR15" i="1"/>
  <c r="AR19" i="1" s="1"/>
  <c r="AX331" i="1"/>
  <c r="BB309" i="1"/>
  <c r="DG308" i="1"/>
  <c r="DG331" i="1" s="1"/>
  <c r="BN134" i="1"/>
  <c r="BN41" i="5"/>
  <c r="DK132" i="1"/>
  <c r="AY323" i="1"/>
  <c r="AU343" i="1"/>
  <c r="BB171" i="1"/>
  <c r="BB167" i="1"/>
  <c r="BF162" i="1"/>
  <c r="BB161" i="1"/>
  <c r="AL77" i="5"/>
  <c r="AL177" i="5"/>
  <c r="BZ51" i="1"/>
  <c r="BV51" i="1"/>
  <c r="DJ322" i="1"/>
  <c r="BJ343" i="1"/>
  <c r="BN323" i="1"/>
  <c r="AV11" i="1"/>
  <c r="DL51" i="5"/>
  <c r="DL75" i="5" s="1"/>
  <c r="DL168" i="5"/>
  <c r="DL171" i="5"/>
  <c r="BQ310" i="1"/>
  <c r="BM332" i="1"/>
  <c r="AW20" i="1"/>
  <c r="AW309" i="1"/>
  <c r="AS331" i="1"/>
  <c r="CA11" i="2"/>
  <c r="DN10" i="2"/>
  <c r="DN11" i="2" s="1"/>
  <c r="CD149" i="1"/>
  <c r="CD133" i="2"/>
  <c r="CD160" i="1"/>
  <c r="CH150" i="1"/>
  <c r="AZ51" i="1"/>
  <c r="BE309" i="1"/>
  <c r="BA331" i="1"/>
  <c r="R177" i="5"/>
  <c r="R77" i="5"/>
  <c r="CX77" i="5" s="1"/>
  <c r="BT312" i="1"/>
  <c r="BP334" i="1"/>
  <c r="AF22" i="5"/>
  <c r="AF43" i="5"/>
  <c r="AF244" i="5"/>
  <c r="DM150" i="2"/>
  <c r="BM160" i="1"/>
  <c r="BM150" i="1"/>
  <c r="BM149" i="1"/>
  <c r="BQ150" i="1"/>
  <c r="BY310" i="1"/>
  <c r="BU332" i="1"/>
  <c r="DO322" i="1"/>
  <c r="BB293" i="1"/>
  <c r="BA102" i="2"/>
  <c r="DF322" i="1"/>
  <c r="DF343" i="1" s="1"/>
  <c r="AX323" i="1"/>
  <c r="AT343" i="1"/>
  <c r="DL331" i="1"/>
  <c r="DM309" i="1"/>
  <c r="AS18" i="1"/>
  <c r="AS3" i="1"/>
  <c r="AS9" i="1"/>
  <c r="AS4" i="2"/>
  <c r="DH337" i="1"/>
  <c r="DG189" i="2"/>
  <c r="DG192" i="2"/>
  <c r="DG194" i="2"/>
  <c r="DG181" i="2"/>
  <c r="DG173" i="2"/>
  <c r="DG38" i="2"/>
  <c r="DG185" i="2"/>
  <c r="DG177" i="2"/>
  <c r="CD146" i="2"/>
  <c r="AV296" i="1"/>
  <c r="AZ296" i="1"/>
  <c r="BP323" i="1"/>
  <c r="BL343" i="1"/>
  <c r="AT148" i="1"/>
  <c r="AT125" i="1"/>
  <c r="AT126" i="1"/>
  <c r="AT127" i="1"/>
  <c r="DF124" i="1"/>
  <c r="BE336" i="1"/>
  <c r="BI314" i="1"/>
  <c r="I45" i="5"/>
  <c r="BD309" i="1"/>
  <c r="AZ331" i="1"/>
  <c r="CG326" i="1"/>
  <c r="CG347" i="1" s="1"/>
  <c r="CC346" i="1"/>
  <c r="DO59" i="2"/>
  <c r="DP58" i="2"/>
  <c r="BQ324" i="1"/>
  <c r="BM344" i="1"/>
  <c r="DP311" i="1"/>
  <c r="DO333" i="1"/>
  <c r="AV7" i="1"/>
  <c r="CL271" i="1"/>
  <c r="BQ243" i="5"/>
  <c r="DC164" i="5"/>
  <c r="DH266" i="1"/>
  <c r="DH334" i="1"/>
  <c r="DI266" i="1"/>
  <c r="DH335" i="1"/>
  <c r="DH347" i="1"/>
  <c r="DH381" i="1"/>
  <c r="DH338" i="1"/>
  <c r="BN296" i="1"/>
  <c r="BR296" i="1"/>
  <c r="DC54" i="5"/>
  <c r="DC177" i="5" s="1"/>
  <c r="AA5" i="3"/>
  <c r="BV243" i="5"/>
  <c r="AU7" i="1"/>
  <c r="BP293" i="1"/>
  <c r="BT293" i="1"/>
  <c r="AV331" i="1"/>
  <c r="AZ309" i="1"/>
  <c r="BP146" i="2"/>
  <c r="BP156" i="2" s="1"/>
  <c r="DL147" i="2"/>
  <c r="DL146" i="2" s="1"/>
  <c r="AV344" i="1"/>
  <c r="AZ324" i="1"/>
  <c r="BU331" i="1"/>
  <c r="BY309" i="1"/>
  <c r="CE100" i="2"/>
  <c r="DO9" i="2"/>
  <c r="DO100" i="2" s="1"/>
  <c r="AT3" i="1"/>
  <c r="AT12" i="1" s="1"/>
  <c r="AT8" i="1" s="1"/>
  <c r="AT18" i="1"/>
  <c r="AT4" i="2"/>
  <c r="AT9" i="1"/>
  <c r="BH293" i="1"/>
  <c r="BL293" i="1"/>
  <c r="AX148" i="1"/>
  <c r="AX125" i="1"/>
  <c r="AX127" i="1"/>
  <c r="BB126" i="1"/>
  <c r="AX126" i="1"/>
  <c r="DF7" i="1"/>
  <c r="BM310" i="1"/>
  <c r="BI332" i="1"/>
  <c r="CF125" i="1"/>
  <c r="CF148" i="1"/>
  <c r="CF126" i="1"/>
  <c r="DP124" i="1"/>
  <c r="DN151" i="2"/>
  <c r="DN150" i="2" s="1"/>
  <c r="BR150" i="2"/>
  <c r="CF247" i="5"/>
  <c r="CF8" i="5"/>
  <c r="CF246" i="5"/>
  <c r="CF233" i="5"/>
  <c r="CF238" i="5"/>
  <c r="CF245" i="5"/>
  <c r="CF235" i="5"/>
  <c r="CG163" i="5"/>
  <c r="CG238" i="5"/>
  <c r="CF215" i="5"/>
  <c r="CF211" i="5"/>
  <c r="CH156" i="5"/>
  <c r="CH165" i="5"/>
  <c r="CH163" i="5"/>
  <c r="CF165" i="5"/>
  <c r="CG157" i="5"/>
  <c r="CG154" i="5" s="1"/>
  <c r="CI156" i="5"/>
  <c r="CI164" i="5"/>
  <c r="CI157" i="5"/>
  <c r="CI162" i="5"/>
  <c r="CH162" i="5"/>
  <c r="CP162" i="5" s="1"/>
  <c r="CH157" i="5"/>
  <c r="CF164" i="5"/>
  <c r="CF156" i="5"/>
  <c r="CG162" i="5"/>
  <c r="CO162" i="5" s="1"/>
  <c r="CG165" i="5"/>
  <c r="CI165" i="5"/>
  <c r="CF163" i="5"/>
  <c r="CF157" i="5"/>
  <c r="CF154" i="5" s="1"/>
  <c r="CF162" i="5"/>
  <c r="CN162" i="5" s="1"/>
  <c r="CI163" i="5"/>
  <c r="CH164" i="5"/>
  <c r="CG156" i="5"/>
  <c r="CG164" i="5"/>
  <c r="AW23" i="1"/>
  <c r="BU293" i="1"/>
  <c r="DL364" i="1"/>
  <c r="DL371" i="1"/>
  <c r="DL365" i="1"/>
  <c r="DL387" i="1"/>
  <c r="DL396" i="1"/>
  <c r="DF364" i="1"/>
  <c r="DF387" i="1"/>
  <c r="DF396" i="1"/>
  <c r="DF371" i="1"/>
  <c r="DF365" i="1"/>
  <c r="AW323" i="1"/>
  <c r="AS343" i="1"/>
  <c r="CH344" i="1"/>
  <c r="CL324" i="1"/>
  <c r="AU13" i="1"/>
  <c r="AU21" i="1"/>
  <c r="BV332" i="1"/>
  <c r="BZ310" i="1"/>
  <c r="DI315" i="1"/>
  <c r="DI338" i="1" s="1"/>
  <c r="BF338" i="1"/>
  <c r="DC238" i="5"/>
  <c r="DC165" i="5"/>
  <c r="BF151" i="1"/>
  <c r="BG167" i="1"/>
  <c r="BG168" i="1" s="1"/>
  <c r="BG161" i="1"/>
  <c r="CC324" i="1"/>
  <c r="BY344" i="1"/>
  <c r="BK332" i="1"/>
  <c r="BO310" i="1"/>
  <c r="DM163" i="5"/>
  <c r="BS331" i="1"/>
  <c r="BW309" i="1"/>
  <c r="BQ309" i="1"/>
  <c r="BM331" i="1"/>
  <c r="CE146" i="2"/>
  <c r="BJ332" i="1"/>
  <c r="BN310" i="1"/>
  <c r="DJ309" i="1"/>
  <c r="BD323" i="1"/>
  <c r="AZ343" i="1"/>
  <c r="BI293" i="1"/>
  <c r="BM293" i="1"/>
  <c r="AX51" i="1"/>
  <c r="BB51" i="1"/>
  <c r="AR12" i="1"/>
  <c r="AR8" i="1" s="1"/>
  <c r="AR4" i="1"/>
  <c r="AR3" i="5"/>
  <c r="AR5" i="1"/>
  <c r="BE243" i="5"/>
  <c r="BE17" i="5"/>
  <c r="BE22" i="5" s="1"/>
  <c r="DH331" i="1"/>
  <c r="AU148" i="1"/>
  <c r="AY150" i="1" s="1"/>
  <c r="AU126" i="1"/>
  <c r="AU125" i="1"/>
  <c r="DG124" i="1"/>
  <c r="AU127" i="1"/>
  <c r="BR167" i="1"/>
  <c r="BR168" i="1" s="1"/>
  <c r="BR162" i="1"/>
  <c r="BR195" i="1"/>
  <c r="BR161" i="1"/>
  <c r="BZ77" i="5"/>
  <c r="BZ170" i="5"/>
  <c r="CA170" i="5"/>
  <c r="BZ177" i="5"/>
  <c r="BA146" i="2"/>
  <c r="CD310" i="1"/>
  <c r="BZ332" i="1"/>
  <c r="BL125" i="1"/>
  <c r="BL148" i="1"/>
  <c r="BL185" i="1" s="1"/>
  <c r="DK124" i="1"/>
  <c r="BL126" i="1"/>
  <c r="BP126" i="1"/>
  <c r="BL127" i="1"/>
  <c r="DJ16" i="1"/>
  <c r="DI4" i="5"/>
  <c r="DI6" i="5" s="1"/>
  <c r="DI124" i="1"/>
  <c r="BC148" i="1"/>
  <c r="BC185" i="1" s="1"/>
  <c r="BC125" i="1"/>
  <c r="BD127" i="1"/>
  <c r="BC127" i="1"/>
  <c r="BC126" i="1"/>
  <c r="BG126" i="1"/>
  <c r="AU77" i="5"/>
  <c r="AU170" i="5"/>
  <c r="AZ149" i="1"/>
  <c r="AZ160" i="1"/>
  <c r="AZ171" i="1" s="1"/>
  <c r="CK310" i="1"/>
  <c r="CK333" i="1" s="1"/>
  <c r="CG332" i="1"/>
  <c r="BV148" i="1"/>
  <c r="BV125" i="1"/>
  <c r="BV127" i="1"/>
  <c r="BW127" i="1"/>
  <c r="BV126" i="1"/>
  <c r="BZ126" i="1"/>
  <c r="DM124" i="1"/>
  <c r="BO323" i="1"/>
  <c r="BK343" i="1"/>
  <c r="DH148" i="1"/>
  <c r="DG133" i="2" s="1"/>
  <c r="DH125" i="1"/>
  <c r="BY125" i="1"/>
  <c r="BY126" i="1"/>
  <c r="DN124" i="1"/>
  <c r="BZ127" i="1"/>
  <c r="BY127" i="1"/>
  <c r="BY148" i="1"/>
  <c r="BY185" i="1" s="1"/>
  <c r="BG51" i="1"/>
  <c r="BC51" i="1"/>
  <c r="AV127" i="1"/>
  <c r="AV148" i="1"/>
  <c r="AZ150" i="1" s="1"/>
  <c r="AW127" i="1"/>
  <c r="AV126" i="1"/>
  <c r="AV125" i="1"/>
  <c r="CJ125" i="1"/>
  <c r="CJ126" i="1"/>
  <c r="CJ148" i="1"/>
  <c r="BB150" i="2"/>
  <c r="DG151" i="2"/>
  <c r="DG150" i="2" s="1"/>
  <c r="BN309" i="1"/>
  <c r="BJ331" i="1"/>
  <c r="DJ308" i="1"/>
  <c r="BH296" i="1"/>
  <c r="BL296" i="1"/>
  <c r="CK293" i="1"/>
  <c r="AH5" i="3"/>
  <c r="BN195" i="1"/>
  <c r="BN167" i="1"/>
  <c r="BN168" i="1" s="1"/>
  <c r="BN161" i="1"/>
  <c r="CL272" i="1"/>
  <c r="CL265" i="1"/>
  <c r="CL343" i="1" s="1"/>
  <c r="BM133" i="2"/>
  <c r="DH42" i="2"/>
  <c r="AL170" i="5"/>
  <c r="DC336" i="5"/>
  <c r="DC162" i="5"/>
  <c r="R170" i="5"/>
  <c r="CC17" i="5"/>
  <c r="CC22" i="5" s="1"/>
  <c r="DG322" i="1"/>
  <c r="DG343" i="1" s="1"/>
  <c r="AX343" i="1"/>
  <c r="BB323" i="1"/>
  <c r="BG296" i="1"/>
  <c r="BK296" i="1"/>
  <c r="CA311" i="1"/>
  <c r="BW333" i="1"/>
  <c r="BZ344" i="1"/>
  <c r="CD324" i="1"/>
  <c r="AM170" i="5"/>
  <c r="CA47" i="2"/>
  <c r="CH332" i="1"/>
  <c r="CL310" i="1"/>
  <c r="V22" i="5"/>
  <c r="V43" i="5"/>
  <c r="V244" i="5"/>
  <c r="DG50" i="2"/>
  <c r="DH50" i="2"/>
  <c r="DG46" i="2"/>
  <c r="CC70" i="1"/>
  <c r="CC71" i="1"/>
  <c r="CG71" i="1"/>
  <c r="AT13" i="1"/>
  <c r="AT21" i="1"/>
  <c r="DF21" i="1" s="1"/>
  <c r="BA150" i="2"/>
  <c r="BA156" i="2" s="1"/>
  <c r="BA157" i="2" s="1"/>
  <c r="BL331" i="1"/>
  <c r="BP309" i="1"/>
  <c r="CK324" i="1"/>
  <c r="CK345" i="1" s="1"/>
  <c r="CG344" i="1"/>
  <c r="BE323" i="1"/>
  <c r="BA343" i="1"/>
  <c r="AY160" i="1"/>
  <c r="AY149" i="1"/>
  <c r="AY133" i="2"/>
  <c r="AY185" i="1"/>
  <c r="BE133" i="2"/>
  <c r="BE160" i="1"/>
  <c r="BE149" i="1"/>
  <c r="BI150" i="1"/>
  <c r="CC127" i="1"/>
  <c r="DO124" i="1"/>
  <c r="CC126" i="1"/>
  <c r="CC125" i="1"/>
  <c r="CC148" i="1"/>
  <c r="CG126" i="1"/>
  <c r="DJ173" i="2"/>
  <c r="DJ194" i="2"/>
  <c r="DJ181" i="2"/>
  <c r="DJ177" i="2"/>
  <c r="DJ192" i="2"/>
  <c r="DJ189" i="2"/>
  <c r="DJ185" i="2"/>
  <c r="DJ38" i="2"/>
  <c r="DJ40" i="2" s="1"/>
  <c r="DJ39" i="2" s="1"/>
  <c r="DJ47" i="2" s="1"/>
  <c r="BP51" i="1"/>
  <c r="BL51" i="1"/>
  <c r="DO240" i="5"/>
  <c r="DJ19" i="1"/>
  <c r="CF70" i="1"/>
  <c r="CF71" i="1"/>
  <c r="CJ71" i="1"/>
  <c r="BK331" i="1"/>
  <c r="BO309" i="1"/>
  <c r="DJ42" i="5"/>
  <c r="DK138" i="1"/>
  <c r="BK344" i="1"/>
  <c r="BO324" i="1"/>
  <c r="BZ345" i="1"/>
  <c r="CD325" i="1"/>
  <c r="BB310" i="1"/>
  <c r="DG309" i="1"/>
  <c r="DG332" i="1" s="1"/>
  <c r="AX332" i="1"/>
  <c r="BC310" i="1"/>
  <c r="AY332" i="1"/>
  <c r="AV343" i="1"/>
  <c r="AZ323" i="1"/>
  <c r="CF293" i="1"/>
  <c r="CJ293" i="1"/>
  <c r="BM324" i="1"/>
  <c r="BI344" i="1"/>
  <c r="DG147" i="2"/>
  <c r="DG146" i="2" s="1"/>
  <c r="BB146" i="2"/>
  <c r="AZ126" i="1"/>
  <c r="AS316" i="1"/>
  <c r="AS339" i="1" s="1"/>
  <c r="AT306" i="1"/>
  <c r="AS320" i="1"/>
  <c r="AS327" i="1" s="1"/>
  <c r="AS348" i="1" s="1"/>
  <c r="AT240" i="5"/>
  <c r="AU240" i="5"/>
  <c r="BY71" i="1"/>
  <c r="BY70" i="1"/>
  <c r="DK151" i="2"/>
  <c r="DK150" i="2" s="1"/>
  <c r="BO150" i="2"/>
  <c r="CB243" i="5"/>
  <c r="CB17" i="5"/>
  <c r="CB150" i="2"/>
  <c r="DC163" i="5"/>
  <c r="BL324" i="1"/>
  <c r="BH344" i="1"/>
  <c r="DK9" i="2"/>
  <c r="DK100" i="2" s="1"/>
  <c r="CF47" i="2"/>
  <c r="AZ133" i="2"/>
  <c r="DC156" i="5"/>
  <c r="DD238" i="5"/>
  <c r="CL286" i="1"/>
  <c r="CJ150" i="2"/>
  <c r="DC245" i="5"/>
  <c r="DL40" i="5"/>
  <c r="CA332" i="1"/>
  <c r="CE310" i="1"/>
  <c r="DN358" i="1"/>
  <c r="DP51" i="1"/>
  <c r="DO51" i="1"/>
  <c r="BX310" i="1"/>
  <c r="BT332" i="1"/>
  <c r="DO50" i="2"/>
  <c r="DO46" i="2"/>
  <c r="DO48" i="2" s="1"/>
  <c r="AY343" i="1"/>
  <c r="BC323" i="1"/>
  <c r="BM343" i="1"/>
  <c r="BQ323" i="1"/>
  <c r="AR48" i="2"/>
  <c r="AR40" i="2"/>
  <c r="CB310" i="1"/>
  <c r="BX332" i="1"/>
  <c r="AY331" i="1"/>
  <c r="BC309" i="1"/>
  <c r="AY127" i="1"/>
  <c r="DM51" i="1"/>
  <c r="DK181" i="2"/>
  <c r="DL181" i="2" s="1"/>
  <c r="DK194" i="2"/>
  <c r="DL194" i="2" s="1"/>
  <c r="DK177" i="2"/>
  <c r="DL177" i="2" s="1"/>
  <c r="DK173" i="2"/>
  <c r="DL173" i="2" s="1"/>
  <c r="DK38" i="2"/>
  <c r="DK40" i="2" s="1"/>
  <c r="DK192" i="2"/>
  <c r="DL192" i="2" s="1"/>
  <c r="DK189" i="2"/>
  <c r="DL189" i="2" s="1"/>
  <c r="DK185" i="2"/>
  <c r="DL185" i="2" s="1"/>
  <c r="DK42" i="2"/>
  <c r="DF54" i="5"/>
  <c r="DF170" i="5" s="1"/>
  <c r="DF171" i="5"/>
  <c r="BG335" i="1"/>
  <c r="BK313" i="1"/>
  <c r="BS47" i="2"/>
  <c r="BS11" i="2"/>
  <c r="DL10" i="2"/>
  <c r="DL11" i="2" s="1"/>
  <c r="DL309" i="1"/>
  <c r="BR332" i="1"/>
  <c r="BV310" i="1"/>
  <c r="AX71" i="1"/>
  <c r="AT70" i="1"/>
  <c r="BH161" i="1"/>
  <c r="BH171" i="1"/>
  <c r="BH172" i="1" s="1"/>
  <c r="BH167" i="1"/>
  <c r="BT102" i="2"/>
  <c r="BU102" i="2"/>
  <c r="CL270" i="1"/>
  <c r="X263" i="5"/>
  <c r="X138" i="5"/>
  <c r="CX240" i="5"/>
  <c r="C15" i="3"/>
  <c r="Q43" i="5"/>
  <c r="Q22" i="5"/>
  <c r="Q244" i="5"/>
  <c r="Q241" i="5"/>
  <c r="BV328" i="5"/>
  <c r="DL327" i="5"/>
  <c r="DL328" i="5" s="1"/>
  <c r="AS340" i="5"/>
  <c r="CI307" i="5"/>
  <c r="CH308" i="5"/>
  <c r="AM43" i="5"/>
  <c r="O131" i="5"/>
  <c r="O264" i="5" s="1"/>
  <c r="P53" i="5"/>
  <c r="CX53" i="5" s="1"/>
  <c r="O156" i="5"/>
  <c r="BO264" i="5"/>
  <c r="BO137" i="5"/>
  <c r="Y261" i="5"/>
  <c r="DG137" i="5"/>
  <c r="DE240" i="5"/>
  <c r="J15" i="3"/>
  <c r="I15" i="3"/>
  <c r="DD240" i="5"/>
  <c r="AE241" i="5"/>
  <c r="AE22" i="5"/>
  <c r="BD261" i="5"/>
  <c r="AE20" i="6"/>
  <c r="BU327" i="5"/>
  <c r="BU328" i="5" s="1"/>
  <c r="DM77" i="5"/>
  <c r="DM170" i="5"/>
  <c r="CD232" i="5"/>
  <c r="CD233" i="5" s="1"/>
  <c r="CD235" i="5"/>
  <c r="DN232" i="5"/>
  <c r="CZ240" i="5"/>
  <c r="D15" i="3"/>
  <c r="CY240" i="5"/>
  <c r="S244" i="5"/>
  <c r="S43" i="5"/>
  <c r="AD39" i="5"/>
  <c r="AD266" i="5" s="1"/>
  <c r="AD45" i="5"/>
  <c r="U243" i="5"/>
  <c r="U17" i="5"/>
  <c r="AJ22" i="5"/>
  <c r="AJ43" i="5"/>
  <c r="AJ241" i="5"/>
  <c r="AJ244" i="5"/>
  <c r="AD207" i="5"/>
  <c r="AD208" i="5" s="1"/>
  <c r="AD25" i="5"/>
  <c r="AD200" i="5"/>
  <c r="AD202" i="5" s="1"/>
  <c r="AD205" i="5" s="1"/>
  <c r="AD204" i="5" s="1"/>
  <c r="AD182" i="5" s="1"/>
  <c r="AD181" i="5" s="1"/>
  <c r="BC170" i="5"/>
  <c r="BB77" i="5"/>
  <c r="BB170" i="5"/>
  <c r="DF312" i="2"/>
  <c r="W243" i="5"/>
  <c r="W17" i="5"/>
  <c r="BU244" i="5"/>
  <c r="BU43" i="5"/>
  <c r="BU22" i="5"/>
  <c r="AR340" i="5"/>
  <c r="DC327" i="5"/>
  <c r="DC328" i="5" s="1"/>
  <c r="AL328" i="5"/>
  <c r="CJ177" i="5"/>
  <c r="CJ170" i="5"/>
  <c r="CJ77" i="5"/>
  <c r="AF20" i="6"/>
  <c r="N243" i="5"/>
  <c r="N17" i="5"/>
  <c r="BP17" i="5"/>
  <c r="BQ241" i="5" s="1"/>
  <c r="E78" i="5"/>
  <c r="CE77" i="5"/>
  <c r="CF170" i="5"/>
  <c r="CE170" i="5"/>
  <c r="CE177" i="5"/>
  <c r="BB137" i="5"/>
  <c r="E264" i="5"/>
  <c r="AT261" i="5"/>
  <c r="AS138" i="5"/>
  <c r="AS263" i="5"/>
  <c r="AS264" i="5"/>
  <c r="N296" i="5"/>
  <c r="DR312" i="5"/>
  <c r="AE78" i="5"/>
  <c r="AK261" i="5"/>
  <c r="AJ263" i="5"/>
  <c r="AJ138" i="5"/>
  <c r="AJ264" i="5"/>
  <c r="CX307" i="5"/>
  <c r="CX308" i="5" s="1"/>
  <c r="R308" i="5"/>
  <c r="R312" i="5"/>
  <c r="O22" i="5"/>
  <c r="O244" i="5"/>
  <c r="P241" i="5"/>
  <c r="O43" i="5"/>
  <c r="AM314" i="5"/>
  <c r="AN315" i="5"/>
  <c r="AD77" i="5"/>
  <c r="AD170" i="5"/>
  <c r="DA54" i="5"/>
  <c r="DA170" i="5" s="1"/>
  <c r="AD177" i="5"/>
  <c r="AM264" i="5"/>
  <c r="AM263" i="5"/>
  <c r="AM138" i="5"/>
  <c r="AQ263" i="5"/>
  <c r="AQ264" i="5"/>
  <c r="AQ138" i="5"/>
  <c r="BH43" i="5"/>
  <c r="BH244" i="5"/>
  <c r="X243" i="5"/>
  <c r="X17" i="5"/>
  <c r="CZ8" i="5"/>
  <c r="CZ177" i="5"/>
  <c r="AK263" i="5"/>
  <c r="AL261" i="5"/>
  <c r="D46" i="5"/>
  <c r="D56" i="5" s="1"/>
  <c r="D265" i="5"/>
  <c r="AM78" i="5"/>
  <c r="DD78" i="5" s="1"/>
  <c r="V78" i="5"/>
  <c r="X307" i="5"/>
  <c r="X312" i="5" s="1"/>
  <c r="X315" i="5"/>
  <c r="X314" i="5" s="1"/>
  <c r="Y308" i="5"/>
  <c r="W312" i="5"/>
  <c r="CC177" i="5"/>
  <c r="CD170" i="5"/>
  <c r="CC77" i="5"/>
  <c r="CC170" i="5"/>
  <c r="CZ164" i="5"/>
  <c r="CZ245" i="5"/>
  <c r="CZ162" i="5"/>
  <c r="CZ163" i="5"/>
  <c r="E4" i="3"/>
  <c r="E52" i="3" s="1"/>
  <c r="CZ246" i="5"/>
  <c r="CZ248" i="5"/>
  <c r="CZ157" i="5"/>
  <c r="CZ247" i="5"/>
  <c r="CZ238" i="5"/>
  <c r="CI264" i="5"/>
  <c r="CI137" i="5"/>
  <c r="AF170" i="5"/>
  <c r="AE170" i="5"/>
  <c r="AE77" i="5"/>
  <c r="AE177" i="5"/>
  <c r="AA80" i="5"/>
  <c r="DA80" i="5" s="1"/>
  <c r="DA58" i="5"/>
  <c r="W138" i="5"/>
  <c r="W264" i="5"/>
  <c r="W263" i="5"/>
  <c r="DC73" i="5"/>
  <c r="CZ165" i="5"/>
  <c r="R129" i="5"/>
  <c r="CX129" i="5" s="1"/>
  <c r="O28" i="3"/>
  <c r="DJ217" i="5"/>
  <c r="DJ234" i="5"/>
  <c r="N113" i="3"/>
  <c r="N114" i="3" s="1"/>
  <c r="AM261" i="5"/>
  <c r="AL264" i="5"/>
  <c r="AL263" i="5"/>
  <c r="CX139" i="5"/>
  <c r="CX261" i="5" s="1"/>
  <c r="CY260" i="5"/>
  <c r="BE60" i="5"/>
  <c r="DM232" i="5"/>
  <c r="BX17" i="5"/>
  <c r="BX243" i="5"/>
  <c r="BN232" i="5"/>
  <c r="BN233" i="5" s="1"/>
  <c r="BN235" i="5"/>
  <c r="G243" i="5"/>
  <c r="G17" i="5"/>
  <c r="G241" i="5" s="1"/>
  <c r="BI243" i="5"/>
  <c r="BI17" i="5"/>
  <c r="BJ241" i="5" s="1"/>
  <c r="BV22" i="5"/>
  <c r="BV244" i="5"/>
  <c r="BV241" i="5"/>
  <c r="BV43" i="5"/>
  <c r="BT22" i="5"/>
  <c r="BT43" i="5"/>
  <c r="BT244" i="5"/>
  <c r="BU241" i="5"/>
  <c r="CY301" i="5"/>
  <c r="CX301" i="5"/>
  <c r="AG263" i="5"/>
  <c r="AH261" i="5"/>
  <c r="AG264" i="5"/>
  <c r="BE261" i="5"/>
  <c r="W272" i="5"/>
  <c r="W319" i="5"/>
  <c r="DD85" i="5"/>
  <c r="DS116" i="5"/>
  <c r="DR147" i="5"/>
  <c r="DR63" i="5"/>
  <c r="DR81" i="5" s="1"/>
  <c r="AK243" i="5"/>
  <c r="AK17" i="5"/>
  <c r="AL241" i="5" s="1"/>
  <c r="O315" i="5"/>
  <c r="P319" i="5"/>
  <c r="P295" i="5" s="1"/>
  <c r="O319" i="5"/>
  <c r="O295" i="5" s="1"/>
  <c r="O296" i="5" s="1"/>
  <c r="AK138" i="5"/>
  <c r="AL129" i="5"/>
  <c r="DC128" i="5"/>
  <c r="DC129" i="5" s="1"/>
  <c r="O78" i="5"/>
  <c r="DF263" i="5"/>
  <c r="K61" i="3"/>
  <c r="K62" i="3" s="1"/>
  <c r="DF264" i="5"/>
  <c r="DF138" i="5"/>
  <c r="DF137" i="5" s="1"/>
  <c r="R314" i="5"/>
  <c r="X133" i="5"/>
  <c r="X132" i="5" s="1"/>
  <c r="X96" i="5"/>
  <c r="X107" i="5" s="1"/>
  <c r="X129" i="5" s="1"/>
  <c r="M264" i="5"/>
  <c r="BZ232" i="5"/>
  <c r="BZ233" i="5" s="1"/>
  <c r="BZ235" i="5"/>
  <c r="D249" i="5"/>
  <c r="D266" i="5"/>
  <c r="BW243" i="5"/>
  <c r="BW17" i="5"/>
  <c r="AG43" i="5"/>
  <c r="AG241" i="5"/>
  <c r="AG244" i="5"/>
  <c r="AG22" i="5"/>
  <c r="J78" i="5"/>
  <c r="AH327" i="5"/>
  <c r="DC85" i="5"/>
  <c r="S301" i="5"/>
  <c r="S292" i="5" s="1"/>
  <c r="R301" i="5"/>
  <c r="R292" i="5" s="1"/>
  <c r="T61" i="3"/>
  <c r="DO264" i="5"/>
  <c r="DO138" i="5"/>
  <c r="DO263" i="5"/>
  <c r="C17" i="5"/>
  <c r="D240" i="5"/>
  <c r="DA263" i="5"/>
  <c r="F61" i="3"/>
  <c r="DA138" i="5"/>
  <c r="DA137" i="5" s="1"/>
  <c r="DA264" i="5"/>
  <c r="DB261" i="5"/>
  <c r="CY107" i="5"/>
  <c r="V129" i="5"/>
  <c r="CY129" i="5" s="1"/>
  <c r="L45" i="5"/>
  <c r="L39" i="5"/>
  <c r="DF261" i="5"/>
  <c r="K18" i="3"/>
  <c r="DF60" i="5"/>
  <c r="D5" i="3"/>
  <c r="DN78" i="5"/>
  <c r="Q9" i="7"/>
  <c r="G5" i="7" s="1"/>
  <c r="Q13" i="7"/>
  <c r="G6" i="7" s="1"/>
  <c r="CY138" i="5"/>
  <c r="CY137" i="5" s="1"/>
  <c r="DB177" i="5"/>
  <c r="DB77" i="5"/>
  <c r="DN141" i="1"/>
  <c r="DO141" i="1"/>
  <c r="DK263" i="5"/>
  <c r="P61" i="3"/>
  <c r="DK264" i="5"/>
  <c r="CA17" i="5"/>
  <c r="CA243" i="5"/>
  <c r="AV78" i="5"/>
  <c r="DA53" i="5"/>
  <c r="AA78" i="5"/>
  <c r="G15" i="3"/>
  <c r="DB240" i="5"/>
  <c r="DC240" i="5"/>
  <c r="AF301" i="5"/>
  <c r="AF292" i="5" s="1"/>
  <c r="AG301" i="5"/>
  <c r="AG292" i="5" s="1"/>
  <c r="DL261" i="5"/>
  <c r="AU78" i="5"/>
  <c r="BQ43" i="5"/>
  <c r="BQ244" i="5"/>
  <c r="BQ22" i="5"/>
  <c r="AB78" i="5"/>
  <c r="R78" i="5"/>
  <c r="J61" i="3"/>
  <c r="DE263" i="5"/>
  <c r="DE264" i="5"/>
  <c r="DE261" i="5"/>
  <c r="M61" i="3"/>
  <c r="DH263" i="5"/>
  <c r="DE78" i="5"/>
  <c r="DH138" i="5"/>
  <c r="Y330" i="5"/>
  <c r="Z310" i="5"/>
  <c r="CZ310" i="5" s="1"/>
  <c r="CZ309" i="5" s="1"/>
  <c r="Y309" i="5"/>
  <c r="G296" i="5"/>
  <c r="W80" i="5"/>
  <c r="CZ58" i="5"/>
  <c r="Y317" i="5"/>
  <c r="X316" i="5"/>
  <c r="DC263" i="5"/>
  <c r="DC264" i="5"/>
  <c r="H61" i="3"/>
  <c r="CG170" i="5"/>
  <c r="CG77" i="5"/>
  <c r="CG177" i="5"/>
  <c r="AU264" i="5"/>
  <c r="AU137" i="5"/>
  <c r="F244" i="5"/>
  <c r="F43" i="5"/>
  <c r="F22" i="5"/>
  <c r="F241" i="5"/>
  <c r="AA264" i="5"/>
  <c r="Q78" i="5"/>
  <c r="BD43" i="5"/>
  <c r="DK138" i="5"/>
  <c r="DK137" i="5" s="1"/>
  <c r="W261" i="5"/>
  <c r="V264" i="5"/>
  <c r="V263" i="5"/>
  <c r="V261" i="5"/>
  <c r="AW143" i="5"/>
  <c r="AW138" i="5" s="1"/>
  <c r="AW137" i="5" s="1"/>
  <c r="AW263" i="5"/>
  <c r="DJ263" i="5"/>
  <c r="DK261" i="5"/>
  <c r="DJ264" i="5"/>
  <c r="O61" i="3"/>
  <c r="DJ261" i="5"/>
  <c r="BZ322" i="5"/>
  <c r="CA321" i="5"/>
  <c r="DP321" i="5"/>
  <c r="DR321" i="5" s="1"/>
  <c r="DS321" i="5" s="1"/>
  <c r="DT321" i="5" s="1"/>
  <c r="DU321" i="5" s="1"/>
  <c r="DA248" i="5"/>
  <c r="DA162" i="5"/>
  <c r="DA163" i="5"/>
  <c r="DA247" i="5"/>
  <c r="DA238" i="5"/>
  <c r="F4" i="3"/>
  <c r="DA164" i="5"/>
  <c r="DA245" i="5"/>
  <c r="DB238" i="5"/>
  <c r="DA246" i="5"/>
  <c r="DA156" i="5"/>
  <c r="DA165" i="5"/>
  <c r="DA157" i="5"/>
  <c r="V80" i="5"/>
  <c r="CY80" i="5" s="1"/>
  <c r="CY58" i="5"/>
  <c r="DC58" i="5"/>
  <c r="AI80" i="5"/>
  <c r="DC80" i="5" s="1"/>
  <c r="AN138" i="5"/>
  <c r="AN263" i="5"/>
  <c r="AN264" i="5"/>
  <c r="AO261" i="5"/>
  <c r="DD336" i="5"/>
  <c r="DD340" i="5"/>
  <c r="S78" i="5"/>
  <c r="CY53" i="5"/>
  <c r="AH241" i="5"/>
  <c r="AH22" i="5"/>
  <c r="AH43" i="5"/>
  <c r="DB17" i="5"/>
  <c r="AH244" i="5"/>
  <c r="AR263" i="5"/>
  <c r="AR138" i="5"/>
  <c r="AS261" i="5"/>
  <c r="AR264" i="5"/>
  <c r="AR261" i="5"/>
  <c r="Z46" i="5"/>
  <c r="Z50" i="5" s="1"/>
  <c r="BJ313" i="5"/>
  <c r="BK311" i="5" s="1"/>
  <c r="BJ311" i="5"/>
  <c r="DI311" i="5" s="1"/>
  <c r="DI309" i="5" s="1"/>
  <c r="BJ43" i="5"/>
  <c r="BJ244" i="5"/>
  <c r="DL73" i="5"/>
  <c r="AC243" i="5"/>
  <c r="AC17" i="5"/>
  <c r="DA8" i="5"/>
  <c r="DC75" i="5"/>
  <c r="AA318" i="5"/>
  <c r="AO301" i="5"/>
  <c r="AO292" i="5" s="1"/>
  <c r="AN322" i="5"/>
  <c r="AN328" i="5"/>
  <c r="AN308" i="5"/>
  <c r="AN301" i="5"/>
  <c r="AN292" i="5" s="1"/>
  <c r="P80" i="5"/>
  <c r="CX80" i="5" s="1"/>
  <c r="CX58" i="5"/>
  <c r="G77" i="5"/>
  <c r="H170" i="5"/>
  <c r="G177" i="5"/>
  <c r="G170" i="5"/>
  <c r="T43" i="5"/>
  <c r="T22" i="5"/>
  <c r="AL244" i="5"/>
  <c r="AL43" i="5"/>
  <c r="AL22" i="5"/>
  <c r="CK159" i="5"/>
  <c r="CO159" i="5" s="1"/>
  <c r="CK158" i="5"/>
  <c r="CO158" i="5" s="1"/>
  <c r="AK322" i="5"/>
  <c r="AL301" i="5"/>
  <c r="AL292" i="5" s="1"/>
  <c r="AK301" i="5"/>
  <c r="AK292" i="5" s="1"/>
  <c r="AK307" i="5"/>
  <c r="AK327" i="5" s="1"/>
  <c r="AK328" i="5" s="1"/>
  <c r="L18" i="3"/>
  <c r="DG261" i="5"/>
  <c r="DG60" i="5"/>
  <c r="DS330" i="5"/>
  <c r="DS329" i="5" s="1"/>
  <c r="DT310" i="5"/>
  <c r="I3" i="3"/>
  <c r="H34" i="3"/>
  <c r="H59" i="3" s="1"/>
  <c r="AM107" i="6"/>
  <c r="AM89" i="6" s="1"/>
  <c r="AN98" i="6"/>
  <c r="BH98" i="6" s="1"/>
  <c r="BI98" i="6" s="1"/>
  <c r="BI107" i="6" s="1"/>
  <c r="BI89" i="6" s="1"/>
  <c r="AK78" i="6"/>
  <c r="BF333" i="5"/>
  <c r="BF331" i="5"/>
  <c r="AS386" i="1"/>
  <c r="AT385" i="1"/>
  <c r="AT386" i="1" s="1"/>
  <c r="BG78" i="6"/>
  <c r="DG324" i="5"/>
  <c r="DG323" i="5" s="1"/>
  <c r="DG325" i="5" s="1"/>
  <c r="AB159" i="6"/>
  <c r="AB161" i="6" s="1"/>
  <c r="DH311" i="5"/>
  <c r="AK103" i="6"/>
  <c r="AJ112" i="6"/>
  <c r="BG112" i="6" s="1"/>
  <c r="BG103" i="6"/>
  <c r="BG96" i="6" s="1"/>
  <c r="AJ96" i="6"/>
  <c r="AI94" i="6"/>
  <c r="AI105" i="6"/>
  <c r="AI114" i="6" s="1"/>
  <c r="AL118" i="6"/>
  <c r="AK91" i="6"/>
  <c r="Z87" i="6"/>
  <c r="Z157" i="6" s="1"/>
  <c r="Z159" i="6" s="1"/>
  <c r="Z161" i="6" s="1"/>
  <c r="BE88" i="6"/>
  <c r="BE87" i="6" s="1"/>
  <c r="BE157" i="6" s="1"/>
  <c r="BE159" i="6" s="1"/>
  <c r="BE161" i="6" s="1"/>
  <c r="AN99" i="6"/>
  <c r="AM81" i="6"/>
  <c r="AM90" i="6" s="1"/>
  <c r="BF105" i="6"/>
  <c r="BF114" i="6" s="1"/>
  <c r="BF90" i="6"/>
  <c r="AD87" i="6"/>
  <c r="DF324" i="5"/>
  <c r="DF323" i="5" s="1"/>
  <c r="DF325" i="5" s="1"/>
  <c r="AK93" i="6"/>
  <c r="BH100" i="6"/>
  <c r="BI100" i="6" s="1"/>
  <c r="AN82" i="6"/>
  <c r="BH82" i="6" s="1"/>
  <c r="AO100" i="6"/>
  <c r="BG89" i="6"/>
  <c r="AM102" i="6"/>
  <c r="AL111" i="6"/>
  <c r="AL93" i="6" s="1"/>
  <c r="DH324" i="5"/>
  <c r="DH323" i="5" s="1"/>
  <c r="DH325" i="5" s="1"/>
  <c r="AL106" i="6"/>
  <c r="AL79" i="6"/>
  <c r="AL78" i="6" s="1"/>
  <c r="AM97" i="6"/>
  <c r="AK88" i="6"/>
  <c r="K24" i="9"/>
  <c r="J25" i="9"/>
  <c r="AN101" i="6"/>
  <c r="AM110" i="6"/>
  <c r="DI324" i="5"/>
  <c r="AA159" i="6"/>
  <c r="AA161" i="6" s="1"/>
  <c r="BQ300" i="2"/>
  <c r="BF89" i="6"/>
  <c r="AC87" i="6"/>
  <c r="DL279" i="2"/>
  <c r="DI20" i="5"/>
  <c r="DI260" i="5" s="1"/>
  <c r="DI281" i="2"/>
  <c r="DJ218" i="2"/>
  <c r="DJ219" i="2" s="1"/>
  <c r="BC182" i="1"/>
  <c r="BC184" i="1" s="1"/>
  <c r="BC183" i="1"/>
  <c r="DI181" i="1"/>
  <c r="AS132" i="2"/>
  <c r="AS131" i="2"/>
  <c r="AS181" i="1"/>
  <c r="AW132" i="2"/>
  <c r="AS133" i="2"/>
  <c r="CD216" i="1"/>
  <c r="CD215" i="1"/>
  <c r="CD217" i="1" s="1"/>
  <c r="CB215" i="1"/>
  <c r="CB217" i="1" s="1"/>
  <c r="DM224" i="2"/>
  <c r="DM218" i="2"/>
  <c r="BA261" i="2"/>
  <c r="BA237" i="2"/>
  <c r="BV24" i="2"/>
  <c r="BZ24" i="2"/>
  <c r="DM129" i="2"/>
  <c r="DJ132" i="2"/>
  <c r="DN129" i="2"/>
  <c r="DJ131" i="2"/>
  <c r="AX156" i="2"/>
  <c r="DF150" i="2"/>
  <c r="BQ39" i="2"/>
  <c r="BY24" i="2"/>
  <c r="BG182" i="1"/>
  <c r="BG183" i="1"/>
  <c r="DJ181" i="1"/>
  <c r="BK183" i="1"/>
  <c r="BG185" i="1"/>
  <c r="BG171" i="1"/>
  <c r="BI102" i="2"/>
  <c r="BH102" i="2"/>
  <c r="BL24" i="2"/>
  <c r="BX11" i="2"/>
  <c r="DM10" i="2"/>
  <c r="DO214" i="1"/>
  <c r="S46" i="3"/>
  <c r="DO182" i="1"/>
  <c r="DI168" i="2"/>
  <c r="DI214" i="2"/>
  <c r="DI167" i="2"/>
  <c r="DJ197" i="2"/>
  <c r="DJ115" i="2"/>
  <c r="DJ200" i="2"/>
  <c r="BP102" i="2"/>
  <c r="BQ102" i="2"/>
  <c r="DD211" i="2"/>
  <c r="DD200" i="2"/>
  <c r="DC167" i="2"/>
  <c r="DC214" i="2"/>
  <c r="DD197" i="2"/>
  <c r="DA197" i="2"/>
  <c r="DA200" i="2"/>
  <c r="CZ214" i="2"/>
  <c r="CZ211" i="2"/>
  <c r="DA211" i="2"/>
  <c r="S207" i="5"/>
  <c r="S208" i="5" s="1"/>
  <c r="DM265" i="2"/>
  <c r="AY22" i="2"/>
  <c r="BC22" i="2"/>
  <c r="AY61" i="1"/>
  <c r="AY62" i="1" s="1"/>
  <c r="AY23" i="2"/>
  <c r="AY35" i="2"/>
  <c r="DD167" i="2"/>
  <c r="CK39" i="2"/>
  <c r="BJ291" i="5"/>
  <c r="BJ292" i="5" s="1"/>
  <c r="BJ303" i="2"/>
  <c r="BJ305" i="2" s="1"/>
  <c r="P207" i="5"/>
  <c r="P208" i="5" s="1"/>
  <c r="P200" i="5"/>
  <c r="P202" i="5" s="1"/>
  <c r="P25" i="5"/>
  <c r="BJ265" i="2"/>
  <c r="BJ26" i="2"/>
  <c r="BJ27" i="2" s="1"/>
  <c r="BJ31" i="2" s="1"/>
  <c r="BJ273" i="2"/>
  <c r="BN224" i="2"/>
  <c r="BN104" i="2"/>
  <c r="BN218" i="2"/>
  <c r="BN219" i="2" s="1"/>
  <c r="BJ222" i="2"/>
  <c r="DI221" i="2"/>
  <c r="DI222" i="2" s="1"/>
  <c r="AX281" i="2"/>
  <c r="DF297" i="2"/>
  <c r="DG132" i="2"/>
  <c r="DG131" i="2"/>
  <c r="BB26" i="2"/>
  <c r="BB35" i="2" s="1"/>
  <c r="BB221" i="2"/>
  <c r="DG221" i="2" s="1"/>
  <c r="BB211" i="2"/>
  <c r="AQ102" i="2"/>
  <c r="AR102" i="2"/>
  <c r="D18" i="3"/>
  <c r="DN181" i="1"/>
  <c r="DO183" i="1" s="1"/>
  <c r="BY182" i="1"/>
  <c r="BY183" i="1"/>
  <c r="CC183" i="1"/>
  <c r="BQ47" i="2"/>
  <c r="DN132" i="2"/>
  <c r="DN131" i="2"/>
  <c r="DO132" i="2"/>
  <c r="C18" i="3"/>
  <c r="BL182" i="1"/>
  <c r="DK181" i="1"/>
  <c r="BP183" i="1"/>
  <c r="BL183" i="1"/>
  <c r="DI131" i="2"/>
  <c r="DI132" i="2"/>
  <c r="DI133" i="2"/>
  <c r="AU150" i="2"/>
  <c r="AU156" i="2" s="1"/>
  <c r="DH20" i="5"/>
  <c r="DH260" i="5" s="1"/>
  <c r="BF260" i="5"/>
  <c r="DD261" i="5"/>
  <c r="I18" i="3"/>
  <c r="DP321" i="2"/>
  <c r="DR124" i="2"/>
  <c r="DN9" i="2"/>
  <c r="DN100" i="2" s="1"/>
  <c r="CA100" i="2"/>
  <c r="CH184" i="1"/>
  <c r="AT214" i="2"/>
  <c r="AU209" i="2"/>
  <c r="AU213" i="2" s="1"/>
  <c r="AT215" i="2"/>
  <c r="DE213" i="2"/>
  <c r="DE312" i="2"/>
  <c r="DJ270" i="2"/>
  <c r="AZ183" i="1"/>
  <c r="AZ182" i="1"/>
  <c r="AZ184" i="1" s="1"/>
  <c r="AZ185" i="1"/>
  <c r="DH181" i="1"/>
  <c r="BA222" i="2"/>
  <c r="BA224" i="2"/>
  <c r="CC150" i="2"/>
  <c r="CC156" i="2" s="1"/>
  <c r="CH216" i="1"/>
  <c r="CH215" i="1"/>
  <c r="CH217" i="1" s="1"/>
  <c r="AV23" i="2"/>
  <c r="AV61" i="1"/>
  <c r="AV62" i="1" s="1"/>
  <c r="AV22" i="2"/>
  <c r="AX35" i="2"/>
  <c r="AV35" i="2"/>
  <c r="AZ22" i="2"/>
  <c r="AR23" i="2"/>
  <c r="AR24" i="2" s="1"/>
  <c r="AR22" i="2"/>
  <c r="AR35" i="2"/>
  <c r="AR61" i="1"/>
  <c r="AR62" i="1" s="1"/>
  <c r="AT35" i="2"/>
  <c r="BZ278" i="2"/>
  <c r="BZ270" i="2"/>
  <c r="DM270" i="2" s="1"/>
  <c r="BZ279" i="2"/>
  <c r="CI150" i="2"/>
  <c r="BN182" i="1"/>
  <c r="BN185" i="1"/>
  <c r="BN183" i="1"/>
  <c r="BN171" i="1"/>
  <c r="BA182" i="1"/>
  <c r="BA184" i="1" s="1"/>
  <c r="BA183" i="1"/>
  <c r="BA185" i="1"/>
  <c r="AT181" i="1"/>
  <c r="AT132" i="2"/>
  <c r="AX132" i="2"/>
  <c r="AT131" i="2"/>
  <c r="AT133" i="2"/>
  <c r="DF131" i="2"/>
  <c r="AV184" i="1"/>
  <c r="DG210" i="2"/>
  <c r="DN38" i="2"/>
  <c r="DN40" i="2" s="1"/>
  <c r="DN42" i="2"/>
  <c r="BP24" i="2"/>
  <c r="AS102" i="2"/>
  <c r="AT102" i="2"/>
  <c r="DK22" i="2"/>
  <c r="DK61" i="1"/>
  <c r="DK62" i="1" s="1"/>
  <c r="DK23" i="2"/>
  <c r="DM131" i="2"/>
  <c r="DM132" i="2"/>
  <c r="DH222" i="2"/>
  <c r="DI200" i="2"/>
  <c r="DH167" i="2"/>
  <c r="DH115" i="2"/>
  <c r="DI115" i="2"/>
  <c r="DI197" i="2"/>
  <c r="DN57" i="2"/>
  <c r="DO62" i="2"/>
  <c r="DN62" i="2"/>
  <c r="DP61" i="1"/>
  <c r="DP62" i="1" s="1"/>
  <c r="DP22" i="2"/>
  <c r="BV279" i="2"/>
  <c r="BV270" i="2"/>
  <c r="DL270" i="2" s="1"/>
  <c r="DN265" i="2"/>
  <c r="DJ61" i="1"/>
  <c r="DJ62" i="1" s="1"/>
  <c r="DJ23" i="2"/>
  <c r="BE183" i="1"/>
  <c r="CF11" i="2"/>
  <c r="DO10" i="2"/>
  <c r="DO11" i="2" s="1"/>
  <c r="AY183" i="1"/>
  <c r="AU182" i="1"/>
  <c r="DG181" i="1"/>
  <c r="AU185" i="1"/>
  <c r="AU183" i="1"/>
  <c r="BA23" i="2"/>
  <c r="BA22" i="2"/>
  <c r="BA35" i="2"/>
  <c r="BA61" i="1"/>
  <c r="BA62" i="1" s="1"/>
  <c r="BC35" i="2"/>
  <c r="BE22" i="2"/>
  <c r="BF18" i="5"/>
  <c r="DH18" i="5" s="1"/>
  <c r="BF259" i="5"/>
  <c r="BF274" i="5"/>
  <c r="BF275" i="5" s="1"/>
  <c r="BG60" i="5"/>
  <c r="BG261" i="5"/>
  <c r="BV26" i="2"/>
  <c r="BV27" i="2" s="1"/>
  <c r="BV31" i="2" s="1"/>
  <c r="BV265" i="2"/>
  <c r="BV273" i="2"/>
  <c r="BC263" i="2"/>
  <c r="BC267" i="2" s="1"/>
  <c r="DG267" i="2"/>
  <c r="BB260" i="2"/>
  <c r="BB268" i="2"/>
  <c r="BC271" i="2"/>
  <c r="DL61" i="1"/>
  <c r="DL62" i="1" s="1"/>
  <c r="DL22" i="2"/>
  <c r="DL23" i="2"/>
  <c r="DM22" i="2"/>
  <c r="DU166" i="2"/>
  <c r="DU168" i="2" s="1"/>
  <c r="DT168" i="2"/>
  <c r="BJ212" i="2"/>
  <c r="BI224" i="2"/>
  <c r="BI218" i="2"/>
  <c r="BI104" i="2"/>
  <c r="CF182" i="1"/>
  <c r="CF184" i="1" s="1"/>
  <c r="CF214" i="1"/>
  <c r="CF183" i="1"/>
  <c r="CF185" i="1"/>
  <c r="DP181" i="1"/>
  <c r="DE185" i="2"/>
  <c r="DE189" i="2"/>
  <c r="DE177" i="2"/>
  <c r="DE42" i="2"/>
  <c r="DE194" i="2"/>
  <c r="DE173" i="2"/>
  <c r="DE192" i="2"/>
  <c r="DE181" i="2"/>
  <c r="DE38" i="2"/>
  <c r="AQ183" i="1"/>
  <c r="AQ182" i="1"/>
  <c r="AQ184" i="1" s="1"/>
  <c r="BU184" i="1"/>
  <c r="E11" i="10"/>
  <c r="CG216" i="1"/>
  <c r="CG215" i="1"/>
  <c r="CG217" i="1" s="1"/>
  <c r="DM278" i="2"/>
  <c r="DM279" i="2"/>
  <c r="DJ168" i="2"/>
  <c r="DK197" i="2"/>
  <c r="DK200" i="2"/>
  <c r="DJ167" i="2"/>
  <c r="DK167" i="2"/>
  <c r="DK115" i="2"/>
  <c r="DK168" i="2"/>
  <c r="BI182" i="1"/>
  <c r="BI184" i="1" s="1"/>
  <c r="BI183" i="1"/>
  <c r="BI185" i="1"/>
  <c r="CC24" i="2"/>
  <c r="BD60" i="5"/>
  <c r="CD265" i="2"/>
  <c r="CD26" i="2"/>
  <c r="CD27" i="2" s="1"/>
  <c r="CD31" i="2" s="1"/>
  <c r="CD273" i="2"/>
  <c r="DE130" i="2"/>
  <c r="DF132" i="2" s="1"/>
  <c r="DL57" i="2"/>
  <c r="DL62" i="2"/>
  <c r="DM62" i="2"/>
  <c r="DH132" i="2"/>
  <c r="DH131" i="2"/>
  <c r="DL264" i="2"/>
  <c r="DL265" i="2" s="1"/>
  <c r="BF231" i="2"/>
  <c r="BF142" i="2"/>
  <c r="DH142" i="2" s="1"/>
  <c r="BF230" i="2"/>
  <c r="BF139" i="2"/>
  <c r="DH139" i="2" s="1"/>
  <c r="BR24" i="2"/>
  <c r="BT182" i="1"/>
  <c r="BT183" i="1"/>
  <c r="BX183" i="1"/>
  <c r="BT185" i="1"/>
  <c r="DM181" i="1"/>
  <c r="CI102" i="2"/>
  <c r="CJ102" i="2"/>
  <c r="CB24" i="2"/>
  <c r="BM182" i="1"/>
  <c r="BQ184" i="1" s="1"/>
  <c r="BM183" i="1"/>
  <c r="BM185" i="1"/>
  <c r="BM171" i="1"/>
  <c r="DI303" i="2"/>
  <c r="DI305" i="2" s="1"/>
  <c r="BR182" i="1"/>
  <c r="BR183" i="1"/>
  <c r="BV183" i="1"/>
  <c r="BR185" i="1"/>
  <c r="BR171" i="1"/>
  <c r="BR177" i="1"/>
  <c r="BR178" i="1" s="1"/>
  <c r="DK132" i="2"/>
  <c r="DH229" i="2"/>
  <c r="DH173" i="2"/>
  <c r="BD182" i="1"/>
  <c r="BD183" i="1"/>
  <c r="BD185" i="1"/>
  <c r="BH183" i="1"/>
  <c r="DF224" i="2"/>
  <c r="DF222" i="2"/>
  <c r="CI146" i="2"/>
  <c r="DP91" i="2"/>
  <c r="DP198" i="2"/>
  <c r="DP197" i="2"/>
  <c r="DR72" i="2"/>
  <c r="DS93" i="2"/>
  <c r="DR94" i="2"/>
  <c r="CJ182" i="1"/>
  <c r="CJ183" i="1"/>
  <c r="CJ185" i="1"/>
  <c r="CJ214" i="1"/>
  <c r="CK215" i="1"/>
  <c r="CK217" i="1" s="1"/>
  <c r="CK216" i="1"/>
  <c r="CK211" i="5"/>
  <c r="CL211" i="5" s="1"/>
  <c r="CM211" i="5" s="1"/>
  <c r="CN211" i="5" s="1"/>
  <c r="CO211" i="5" s="1"/>
  <c r="CP211" i="5" s="1"/>
  <c r="CK157" i="5"/>
  <c r="CO157" i="5" s="1"/>
  <c r="CO154" i="5" s="1"/>
  <c r="CK156" i="5"/>
  <c r="CK215" i="5"/>
  <c r="CK165" i="5"/>
  <c r="CK235" i="5"/>
  <c r="CO235" i="5" s="1"/>
  <c r="CK163" i="5"/>
  <c r="CK162" i="5"/>
  <c r="CK233" i="5"/>
  <c r="CK164" i="5"/>
  <c r="DS229" i="5"/>
  <c r="DT100" i="5"/>
  <c r="DT141" i="5"/>
  <c r="DU91" i="5"/>
  <c r="DT67" i="5"/>
  <c r="DT83" i="5" s="1"/>
  <c r="CK19" i="5"/>
  <c r="CK285" i="2"/>
  <c r="CK287" i="2" s="1"/>
  <c r="CK365" i="1"/>
  <c r="CJ217" i="5"/>
  <c r="CK51" i="1"/>
  <c r="CU50" i="1"/>
  <c r="CK259" i="1"/>
  <c r="CK260" i="1" s="1"/>
  <c r="DU248" i="1"/>
  <c r="DT247" i="1"/>
  <c r="CK250" i="1"/>
  <c r="DQ264" i="1"/>
  <c r="DQ263" i="1"/>
  <c r="DQ375" i="1" s="1"/>
  <c r="DQ376" i="1" s="1"/>
  <c r="CL346" i="1"/>
  <c r="CL266" i="1"/>
  <c r="CL370" i="1"/>
  <c r="DQ269" i="1"/>
  <c r="DQ265" i="1"/>
  <c r="DQ286" i="1"/>
  <c r="DQ271" i="1"/>
  <c r="DQ369" i="1" s="1"/>
  <c r="DR12" i="5"/>
  <c r="DT82" i="1"/>
  <c r="CK97" i="1"/>
  <c r="CK15" i="5"/>
  <c r="CK10" i="5" s="1"/>
  <c r="CK240" i="5" s="1"/>
  <c r="CK64" i="1"/>
  <c r="CU64" i="1" s="1"/>
  <c r="CK239" i="5"/>
  <c r="CK150" i="2"/>
  <c r="CK173" i="5"/>
  <c r="CK380" i="1"/>
  <c r="CK381" i="1" s="1"/>
  <c r="CK379" i="1"/>
  <c r="CK146" i="2"/>
  <c r="CK100" i="2"/>
  <c r="CK52" i="5"/>
  <c r="CK247" i="5"/>
  <c r="CK245" i="5"/>
  <c r="CK8" i="5"/>
  <c r="CK238" i="5"/>
  <c r="CK246" i="5"/>
  <c r="CK11" i="2"/>
  <c r="Q6" i="12"/>
  <c r="M6" i="12"/>
  <c r="L60" i="3"/>
  <c r="C65" i="3"/>
  <c r="D60" i="3"/>
  <c r="CL284" i="2" l="1"/>
  <c r="DP289" i="2"/>
  <c r="CM290" i="2"/>
  <c r="CM289" i="2" s="1"/>
  <c r="CN292" i="2"/>
  <c r="R34" i="3"/>
  <c r="R59" i="3" s="1"/>
  <c r="S3" i="3"/>
  <c r="AZ157" i="2"/>
  <c r="AE244" i="5"/>
  <c r="Z266" i="5"/>
  <c r="K22" i="5"/>
  <c r="K207" i="5" s="1"/>
  <c r="K208" i="5" s="1"/>
  <c r="BG17" i="5"/>
  <c r="BG244" i="5" s="1"/>
  <c r="DE170" i="5"/>
  <c r="DF240" i="5"/>
  <c r="CJ154" i="5"/>
  <c r="CN157" i="5"/>
  <c r="CN154" i="5" s="1"/>
  <c r="DG240" i="5"/>
  <c r="CA156" i="2"/>
  <c r="CI154" i="5"/>
  <c r="CM157" i="5"/>
  <c r="CM154" i="5" s="1"/>
  <c r="DC243" i="5"/>
  <c r="G12" i="3"/>
  <c r="G13" i="3" s="1"/>
  <c r="AF53" i="5"/>
  <c r="K43" i="5"/>
  <c r="K45" i="5" s="1"/>
  <c r="I22" i="5"/>
  <c r="AN45" i="5"/>
  <c r="AN46" i="5" s="1"/>
  <c r="AE43" i="5"/>
  <c r="CB156" i="2"/>
  <c r="CM165" i="5"/>
  <c r="CN165" i="5" s="1"/>
  <c r="CI22" i="5"/>
  <c r="CI207" i="5" s="1"/>
  <c r="CI208" i="5" s="1"/>
  <c r="CI225" i="5" s="1"/>
  <c r="AM244" i="5"/>
  <c r="CY177" i="5"/>
  <c r="I244" i="5"/>
  <c r="BZ157" i="2"/>
  <c r="CP237" i="1"/>
  <c r="DR237" i="1" s="1"/>
  <c r="DR238" i="1" s="1"/>
  <c r="DS238" i="1" s="1"/>
  <c r="DT238" i="1" s="1"/>
  <c r="DU238" i="1" s="1"/>
  <c r="DV238" i="1" s="1"/>
  <c r="DW238" i="1" s="1"/>
  <c r="DW243" i="1" s="1"/>
  <c r="DR235" i="1"/>
  <c r="CN42" i="5"/>
  <c r="DR268" i="1"/>
  <c r="DQ91" i="2"/>
  <c r="DR90" i="2"/>
  <c r="CK184" i="1"/>
  <c r="CP22" i="2"/>
  <c r="CP61" i="1"/>
  <c r="CN286" i="1"/>
  <c r="CN271" i="1"/>
  <c r="CN265" i="1"/>
  <c r="CN272" i="1"/>
  <c r="CN270" i="1"/>
  <c r="CN269" i="1"/>
  <c r="CP223" i="1"/>
  <c r="CO262" i="1"/>
  <c r="CO137" i="1"/>
  <c r="CO105" i="5" s="1"/>
  <c r="CM347" i="1"/>
  <c r="CM266" i="1"/>
  <c r="CM345" i="1"/>
  <c r="CM346" i="1"/>
  <c r="CM338" i="1"/>
  <c r="CM334" i="1"/>
  <c r="CM336" i="1"/>
  <c r="CM332" i="1"/>
  <c r="CM335" i="1"/>
  <c r="CM333" i="1"/>
  <c r="CM337" i="1"/>
  <c r="CM344" i="1"/>
  <c r="CM343" i="1"/>
  <c r="CM331" i="1"/>
  <c r="CP245" i="1"/>
  <c r="CP247" i="1" s="1"/>
  <c r="CP268" i="1" s="1"/>
  <c r="CO247" i="1"/>
  <c r="CO268" i="1" s="1"/>
  <c r="CL332" i="1"/>
  <c r="CO226" i="1"/>
  <c r="CN189" i="1"/>
  <c r="CL369" i="1"/>
  <c r="CN144" i="1"/>
  <c r="CO136" i="1"/>
  <c r="CO42" i="5" s="1"/>
  <c r="CL375" i="1"/>
  <c r="CN264" i="1"/>
  <c r="CN263" i="1"/>
  <c r="DS105" i="5"/>
  <c r="DQ140" i="1"/>
  <c r="AC157" i="6"/>
  <c r="AD157" i="6"/>
  <c r="AI63" i="6"/>
  <c r="AH71" i="6"/>
  <c r="AH54" i="6" s="1"/>
  <c r="AI70" i="6"/>
  <c r="AI53" i="6" s="1"/>
  <c r="AJ62" i="6"/>
  <c r="AT65" i="6"/>
  <c r="AS73" i="6"/>
  <c r="AS56" i="6" s="1"/>
  <c r="BJ98" i="6"/>
  <c r="BJ107" i="6" s="1"/>
  <c r="AO142" i="6"/>
  <c r="AN152" i="6"/>
  <c r="BH152" i="6" s="1"/>
  <c r="AG67" i="6"/>
  <c r="AG50" i="6" s="1"/>
  <c r="AH59" i="6"/>
  <c r="AM44" i="6"/>
  <c r="AP41" i="6"/>
  <c r="BI80" i="6"/>
  <c r="AK145" i="6"/>
  <c r="AS60" i="6"/>
  <c r="AR68" i="6"/>
  <c r="AR51" i="6" s="1"/>
  <c r="BI41" i="6"/>
  <c r="AQ141" i="6"/>
  <c r="AP151" i="6"/>
  <c r="BJ61" i="6"/>
  <c r="BI69" i="6"/>
  <c r="BI52" i="6" s="1"/>
  <c r="AO143" i="6"/>
  <c r="AN153" i="6"/>
  <c r="BH143" i="6"/>
  <c r="BI143" i="6" s="1"/>
  <c r="BJ143" i="6" s="1"/>
  <c r="BK143" i="6" s="1"/>
  <c r="BL143" i="6" s="1"/>
  <c r="BM143" i="6" s="1"/>
  <c r="BN143" i="6" s="1"/>
  <c r="BO143" i="6" s="1"/>
  <c r="AE72" i="6"/>
  <c r="AE55" i="6" s="1"/>
  <c r="AF64" i="6"/>
  <c r="AN139" i="6"/>
  <c r="BH139" i="6" s="1"/>
  <c r="BI139" i="6" s="1"/>
  <c r="AM149" i="6"/>
  <c r="BH142" i="6"/>
  <c r="BI142" i="6" s="1"/>
  <c r="BG91" i="6"/>
  <c r="AN136" i="6"/>
  <c r="AM146" i="6"/>
  <c r="AH19" i="6"/>
  <c r="AH156" i="6"/>
  <c r="BH136" i="6"/>
  <c r="BI136" i="6" s="1"/>
  <c r="AQ126" i="6"/>
  <c r="AQ125" i="6" s="1"/>
  <c r="AR127" i="6"/>
  <c r="AN138" i="6"/>
  <c r="BH138" i="6" s="1"/>
  <c r="BI138" i="6" s="1"/>
  <c r="AM148" i="6"/>
  <c r="AJ45" i="6"/>
  <c r="AI40" i="6"/>
  <c r="AQ61" i="6"/>
  <c r="AP69" i="6"/>
  <c r="AP52" i="6" s="1"/>
  <c r="BF50" i="6"/>
  <c r="BG105" i="6"/>
  <c r="BG114" i="6" s="1"/>
  <c r="AL147" i="6"/>
  <c r="AM137" i="6"/>
  <c r="AL145" i="6"/>
  <c r="CA157" i="2"/>
  <c r="BR39" i="2"/>
  <c r="DE281" i="2"/>
  <c r="Z72" i="5"/>
  <c r="Z76" i="5" s="1"/>
  <c r="Z79" i="5" s="1"/>
  <c r="Z84" i="5" s="1"/>
  <c r="Z86" i="5" s="1"/>
  <c r="CJ156" i="2"/>
  <c r="CD156" i="2"/>
  <c r="CD157" i="2" s="1"/>
  <c r="BN222" i="2"/>
  <c r="DJ221" i="2"/>
  <c r="BR47" i="2"/>
  <c r="AY157" i="2"/>
  <c r="CH156" i="2"/>
  <c r="BL157" i="2"/>
  <c r="BG157" i="2"/>
  <c r="Z254" i="5"/>
  <c r="DK274" i="2"/>
  <c r="BJ18" i="5"/>
  <c r="BJ282" i="2" s="1"/>
  <c r="DL182" i="1"/>
  <c r="DO271" i="2"/>
  <c r="DJ271" i="2"/>
  <c r="BV156" i="2"/>
  <c r="BV157" i="2" s="1"/>
  <c r="BR156" i="2"/>
  <c r="DK221" i="2"/>
  <c r="DK222" i="2" s="1"/>
  <c r="CE156" i="2"/>
  <c r="CE157" i="2" s="1"/>
  <c r="BQ156" i="2"/>
  <c r="DM156" i="2" s="1"/>
  <c r="BD157" i="2"/>
  <c r="DN39" i="2"/>
  <c r="DN47" i="2" s="1"/>
  <c r="BB274" i="2"/>
  <c r="BB278" i="2"/>
  <c r="BH60" i="5"/>
  <c r="BH282" i="2"/>
  <c r="BH261" i="5"/>
  <c r="BH22" i="5"/>
  <c r="DM271" i="2"/>
  <c r="BK157" i="2"/>
  <c r="DI156" i="2"/>
  <c r="DR156" i="2"/>
  <c r="BV222" i="2"/>
  <c r="DL221" i="2"/>
  <c r="BJ157" i="2"/>
  <c r="DO279" i="2"/>
  <c r="CD224" i="2"/>
  <c r="BW156" i="2"/>
  <c r="BL102" i="2"/>
  <c r="DL271" i="2"/>
  <c r="DK10" i="2"/>
  <c r="DK11" i="2" s="1"/>
  <c r="BV224" i="2"/>
  <c r="CH274" i="2"/>
  <c r="CL274" i="2" s="1"/>
  <c r="CL273" i="2" s="1"/>
  <c r="CL266" i="2" s="1"/>
  <c r="DO273" i="2"/>
  <c r="DO274" i="2" s="1"/>
  <c r="DK218" i="2"/>
  <c r="CA184" i="1"/>
  <c r="BW184" i="1"/>
  <c r="DK271" i="2"/>
  <c r="S200" i="5"/>
  <c r="S202" i="5" s="1"/>
  <c r="S205" i="5" s="1"/>
  <c r="BO156" i="2"/>
  <c r="DK156" i="2" s="1"/>
  <c r="DN221" i="2"/>
  <c r="BX156" i="2"/>
  <c r="DH24" i="2"/>
  <c r="BN274" i="2"/>
  <c r="BN278" i="2"/>
  <c r="DJ273" i="2"/>
  <c r="AT24" i="2"/>
  <c r="AX24" i="2"/>
  <c r="CH222" i="2"/>
  <c r="CH224" i="2"/>
  <c r="DO221" i="2"/>
  <c r="DI23" i="2"/>
  <c r="DI24" i="2" s="1"/>
  <c r="DI22" i="2"/>
  <c r="DI61" i="1"/>
  <c r="DI62" i="1" s="1"/>
  <c r="BF184" i="1"/>
  <c r="BB184" i="1"/>
  <c r="CB157" i="2"/>
  <c r="BI157" i="2"/>
  <c r="DH156" i="2"/>
  <c r="CI216" i="1"/>
  <c r="CI215" i="1"/>
  <c r="CI217" i="1" s="1"/>
  <c r="AW24" i="2"/>
  <c r="DM215" i="5"/>
  <c r="DM246" i="5"/>
  <c r="DM156" i="5"/>
  <c r="DM165" i="5"/>
  <c r="D207" i="5"/>
  <c r="D208" i="5" s="1"/>
  <c r="AN244" i="5"/>
  <c r="AN22" i="5"/>
  <c r="DM177" i="5"/>
  <c r="DM162" i="5"/>
  <c r="D25" i="5"/>
  <c r="D72" i="5" s="1"/>
  <c r="D76" i="5" s="1"/>
  <c r="D79" i="5" s="1"/>
  <c r="D84" i="5" s="1"/>
  <c r="D86" i="5" s="1"/>
  <c r="DM211" i="5"/>
  <c r="DH137" i="5"/>
  <c r="AO244" i="5"/>
  <c r="I200" i="5"/>
  <c r="I202" i="5" s="1"/>
  <c r="I205" i="5" s="1"/>
  <c r="I204" i="5" s="1"/>
  <c r="I182" i="5" s="1"/>
  <c r="I181" i="5" s="1"/>
  <c r="DM157" i="5"/>
  <c r="AM22" i="5"/>
  <c r="AM200" i="5" s="1"/>
  <c r="AM202" i="5" s="1"/>
  <c r="AM205" i="5" s="1"/>
  <c r="AM204" i="5" s="1"/>
  <c r="AM182" i="5" s="1"/>
  <c r="AM181" i="5" s="1"/>
  <c r="Z250" i="5"/>
  <c r="P265" i="5"/>
  <c r="CY243" i="5"/>
  <c r="Z198" i="5"/>
  <c r="CY78" i="5"/>
  <c r="Z265" i="5"/>
  <c r="L207" i="5"/>
  <c r="L208" i="5" s="1"/>
  <c r="K200" i="5"/>
  <c r="K202" i="5" s="1"/>
  <c r="K205" i="5" s="1"/>
  <c r="K204" i="5" s="1"/>
  <c r="K182" i="5" s="1"/>
  <c r="K181" i="5" s="1"/>
  <c r="U241" i="5"/>
  <c r="L200" i="5"/>
  <c r="L202" i="5" s="1"/>
  <c r="L205" i="5" s="1"/>
  <c r="L204" i="5" s="1"/>
  <c r="L182" i="5" s="1"/>
  <c r="L181" i="5" s="1"/>
  <c r="K25" i="5"/>
  <c r="K35" i="5" s="1"/>
  <c r="AD26" i="5"/>
  <c r="DM245" i="5"/>
  <c r="DM247" i="5"/>
  <c r="DO17" i="5"/>
  <c r="T17" i="3" s="1"/>
  <c r="T244" i="5"/>
  <c r="DM235" i="5"/>
  <c r="J207" i="5"/>
  <c r="J208" i="5" s="1"/>
  <c r="R4" i="3"/>
  <c r="DM248" i="5"/>
  <c r="AG307" i="5"/>
  <c r="AG327" i="5" s="1"/>
  <c r="AG328" i="5" s="1"/>
  <c r="DM233" i="5"/>
  <c r="DM164" i="5"/>
  <c r="AW170" i="5"/>
  <c r="BH241" i="5"/>
  <c r="X24" i="3"/>
  <c r="DT31" i="5"/>
  <c r="DS59" i="5"/>
  <c r="AM241" i="5"/>
  <c r="CY264" i="5"/>
  <c r="BG43" i="5"/>
  <c r="D61" i="3"/>
  <c r="D62" i="3" s="1"/>
  <c r="D35" i="5"/>
  <c r="J39" i="5"/>
  <c r="J265" i="5" s="1"/>
  <c r="D13" i="3"/>
  <c r="BR162" i="5"/>
  <c r="BD241" i="5"/>
  <c r="Z283" i="5"/>
  <c r="Y282" i="5"/>
  <c r="Y285" i="5" s="1"/>
  <c r="Y271" i="5" s="1"/>
  <c r="DM327" i="5"/>
  <c r="DM328" i="5" s="1"/>
  <c r="BW328" i="5"/>
  <c r="BG22" i="5"/>
  <c r="BG25" i="5" s="1"/>
  <c r="D250" i="5"/>
  <c r="H13" i="3"/>
  <c r="C12" i="3"/>
  <c r="C13" i="3" s="1"/>
  <c r="DR148" i="5"/>
  <c r="DS103" i="5"/>
  <c r="H52" i="3"/>
  <c r="D198" i="5"/>
  <c r="CY263" i="5"/>
  <c r="CY261" i="5"/>
  <c r="DC77" i="5"/>
  <c r="CX17" i="5"/>
  <c r="CX241" i="5" s="1"/>
  <c r="R244" i="5"/>
  <c r="BV323" i="5"/>
  <c r="BV324" i="5" s="1"/>
  <c r="DL324" i="5" s="1"/>
  <c r="DL323" i="5" s="1"/>
  <c r="DL325" i="5" s="1"/>
  <c r="BW325" i="5"/>
  <c r="I5" i="3"/>
  <c r="J200" i="5"/>
  <c r="J202" i="5" s="1"/>
  <c r="J205" i="5" s="1"/>
  <c r="J204" i="5" s="1"/>
  <c r="J182" i="5" s="1"/>
  <c r="J181" i="5" s="1"/>
  <c r="CY170" i="5"/>
  <c r="DD17" i="5"/>
  <c r="I17" i="3" s="1"/>
  <c r="R22" i="5"/>
  <c r="R25" i="5" s="1"/>
  <c r="BW127" i="5"/>
  <c r="DL127" i="5"/>
  <c r="DL145" i="5" s="1"/>
  <c r="BV145" i="5"/>
  <c r="BV128" i="5"/>
  <c r="CH45" i="5"/>
  <c r="CH39" i="5"/>
  <c r="CG43" i="5"/>
  <c r="CG244" i="5"/>
  <c r="CG22" i="5"/>
  <c r="AG53" i="5"/>
  <c r="AG78" i="5" s="1"/>
  <c r="AF131" i="5"/>
  <c r="AF264" i="5" s="1"/>
  <c r="Z241" i="5"/>
  <c r="Y43" i="5"/>
  <c r="Y244" i="5"/>
  <c r="Y22" i="5"/>
  <c r="CL127" i="5"/>
  <c r="CM127" i="5" s="1"/>
  <c r="CK145" i="5"/>
  <c r="CK143" i="5" s="1"/>
  <c r="CK138" i="5" s="1"/>
  <c r="CK137" i="5" s="1"/>
  <c r="R241" i="5"/>
  <c r="CX177" i="5"/>
  <c r="R43" i="5"/>
  <c r="R45" i="5" s="1"/>
  <c r="R46" i="5" s="1"/>
  <c r="Y272" i="5"/>
  <c r="BU143" i="5"/>
  <c r="BU138" i="5" s="1"/>
  <c r="BU137" i="5" s="1"/>
  <c r="BU263" i="5"/>
  <c r="CH25" i="5"/>
  <c r="CH200" i="5"/>
  <c r="CH202" i="5" s="1"/>
  <c r="CH205" i="5" s="1"/>
  <c r="CT22" i="5"/>
  <c r="CH207" i="5"/>
  <c r="CH208" i="5" s="1"/>
  <c r="CH225" i="5" s="1"/>
  <c r="DT197" i="5"/>
  <c r="L23" i="9" s="1"/>
  <c r="DU193" i="5"/>
  <c r="DU197" i="5" s="1"/>
  <c r="M23" i="9" s="1"/>
  <c r="CJ143" i="5"/>
  <c r="CJ138" i="5" s="1"/>
  <c r="CJ137" i="5" s="1"/>
  <c r="CJ263" i="5"/>
  <c r="AI22" i="5"/>
  <c r="AI244" i="5"/>
  <c r="AI43" i="5"/>
  <c r="AB244" i="5"/>
  <c r="AB43" i="5"/>
  <c r="AB22" i="5"/>
  <c r="AP241" i="5"/>
  <c r="CD17" i="5"/>
  <c r="CD243" i="5"/>
  <c r="AO43" i="5"/>
  <c r="AO39" i="5" s="1"/>
  <c r="AO242" i="5" s="1"/>
  <c r="BD244" i="5"/>
  <c r="K39" i="5"/>
  <c r="K249" i="5" s="1"/>
  <c r="BD22" i="5"/>
  <c r="BD25" i="5" s="1"/>
  <c r="AO22" i="5"/>
  <c r="AO207" i="5" s="1"/>
  <c r="AO208" i="5" s="1"/>
  <c r="CC43" i="5"/>
  <c r="CC39" i="5" s="1"/>
  <c r="AV170" i="5"/>
  <c r="DO244" i="5"/>
  <c r="CL334" i="1"/>
  <c r="CY17" i="5"/>
  <c r="CI244" i="5"/>
  <c r="DO154" i="5"/>
  <c r="AW161" i="1"/>
  <c r="AW167" i="1"/>
  <c r="AW171" i="1"/>
  <c r="AW172" i="1" s="1"/>
  <c r="DM154" i="5"/>
  <c r="BS149" i="1"/>
  <c r="BS185" i="1"/>
  <c r="BS133" i="2"/>
  <c r="BS160" i="1"/>
  <c r="BS150" i="1"/>
  <c r="CL344" i="1"/>
  <c r="CL164" i="5"/>
  <c r="CM164" i="5" s="1"/>
  <c r="CL333" i="1"/>
  <c r="DH51" i="5"/>
  <c r="DH75" i="5" s="1"/>
  <c r="DH171" i="5"/>
  <c r="DH40" i="5"/>
  <c r="DH168" i="5"/>
  <c r="CL331" i="1"/>
  <c r="DC17" i="5"/>
  <c r="H17" i="3" s="1"/>
  <c r="CI43" i="5"/>
  <c r="CI39" i="5" s="1"/>
  <c r="BO160" i="1"/>
  <c r="BO149" i="1"/>
  <c r="BS151" i="1" s="1"/>
  <c r="BO185" i="1"/>
  <c r="BO133" i="2"/>
  <c r="BG177" i="1"/>
  <c r="BG178" i="1" s="1"/>
  <c r="BX312" i="1"/>
  <c r="BT334" i="1"/>
  <c r="CG345" i="1"/>
  <c r="CK325" i="1"/>
  <c r="CK346" i="1" s="1"/>
  <c r="BE157" i="2"/>
  <c r="BF157" i="2"/>
  <c r="AQ177" i="5"/>
  <c r="AQ336" i="5"/>
  <c r="CJ184" i="1"/>
  <c r="BE241" i="5"/>
  <c r="BS162" i="5"/>
  <c r="BJ160" i="1"/>
  <c r="BJ133" i="2"/>
  <c r="BJ185" i="1"/>
  <c r="BJ149" i="1"/>
  <c r="BJ150" i="1"/>
  <c r="BN150" i="1"/>
  <c r="BQ133" i="2"/>
  <c r="BQ160" i="1"/>
  <c r="BQ149" i="1"/>
  <c r="BQ185" i="1"/>
  <c r="BO43" i="5"/>
  <c r="BO244" i="5"/>
  <c r="BO22" i="5"/>
  <c r="BX326" i="1"/>
  <c r="BX347" i="1" s="1"/>
  <c r="BT346" i="1"/>
  <c r="BE184" i="1"/>
  <c r="DH39" i="2"/>
  <c r="DH47" i="2" s="1"/>
  <c r="BN324" i="1"/>
  <c r="DJ323" i="1"/>
  <c r="BJ344" i="1"/>
  <c r="CE332" i="1"/>
  <c r="CI310" i="1"/>
  <c r="CI333" i="1" s="1"/>
  <c r="BS163" i="5"/>
  <c r="CH167" i="1"/>
  <c r="CH171" i="1"/>
  <c r="CH172" i="1" s="1"/>
  <c r="CH195" i="1"/>
  <c r="CH161" i="1"/>
  <c r="E45" i="5"/>
  <c r="E39" i="5"/>
  <c r="BS165" i="5"/>
  <c r="BN243" i="5"/>
  <c r="BN17" i="5"/>
  <c r="N35" i="3"/>
  <c r="DJ149" i="1"/>
  <c r="DJ160" i="1"/>
  <c r="BS238" i="5"/>
  <c r="DJ314" i="1"/>
  <c r="BN315" i="1"/>
  <c r="BN338" i="1" s="1"/>
  <c r="BJ337" i="1"/>
  <c r="CI160" i="1"/>
  <c r="CI133" i="2"/>
  <c r="CI185" i="1"/>
  <c r="CI149" i="1"/>
  <c r="CI150" i="1"/>
  <c r="E207" i="5"/>
  <c r="E208" i="5" s="1"/>
  <c r="E25" i="5"/>
  <c r="E200" i="5"/>
  <c r="E202" i="5" s="1"/>
  <c r="E205" i="5" s="1"/>
  <c r="E204" i="5" s="1"/>
  <c r="E182" i="5" s="1"/>
  <c r="E181" i="5" s="1"/>
  <c r="BY17" i="5"/>
  <c r="BY243" i="5"/>
  <c r="BS164" i="5"/>
  <c r="BI149" i="1"/>
  <c r="BM151" i="1" s="1"/>
  <c r="BI160" i="1"/>
  <c r="BI133" i="2"/>
  <c r="M43" i="5"/>
  <c r="M22" i="5"/>
  <c r="M241" i="5"/>
  <c r="M244" i="5"/>
  <c r="BF243" i="5"/>
  <c r="DH8" i="5"/>
  <c r="BF17" i="5"/>
  <c r="BF241" i="5" s="1"/>
  <c r="CE185" i="1"/>
  <c r="CE149" i="1"/>
  <c r="CE133" i="2"/>
  <c r="CE160" i="1"/>
  <c r="CE243" i="5"/>
  <c r="CE17" i="5"/>
  <c r="AR149" i="1"/>
  <c r="AR151" i="1" s="1"/>
  <c r="AR160" i="1"/>
  <c r="AR133" i="2"/>
  <c r="AR150" i="1"/>
  <c r="AR185" i="1"/>
  <c r="DL156" i="2"/>
  <c r="DN156" i="5"/>
  <c r="DN248" i="5"/>
  <c r="DN8" i="5"/>
  <c r="DN243" i="5" s="1"/>
  <c r="DO238" i="5"/>
  <c r="DN162" i="5"/>
  <c r="DN163" i="5"/>
  <c r="DN235" i="5"/>
  <c r="DN215" i="5"/>
  <c r="DN164" i="5"/>
  <c r="DN211" i="5"/>
  <c r="DN165" i="5"/>
  <c r="DN246" i="5"/>
  <c r="DN177" i="5"/>
  <c r="DN247" i="5"/>
  <c r="DN245" i="5"/>
  <c r="DN157" i="5"/>
  <c r="DN154" i="5" s="1"/>
  <c r="DN238" i="5"/>
  <c r="S4" i="3"/>
  <c r="CG185" i="1"/>
  <c r="CG133" i="2"/>
  <c r="CG160" i="1"/>
  <c r="CG149" i="1"/>
  <c r="CJ243" i="5"/>
  <c r="CJ17" i="5"/>
  <c r="DJ245" i="5"/>
  <c r="DJ8" i="5"/>
  <c r="DJ248" i="5"/>
  <c r="DJ247" i="5"/>
  <c r="DJ162" i="5"/>
  <c r="DJ246" i="5"/>
  <c r="DJ211" i="5"/>
  <c r="DJ165" i="5"/>
  <c r="DJ163" i="5"/>
  <c r="O4" i="3"/>
  <c r="DJ164" i="5"/>
  <c r="DJ215" i="5"/>
  <c r="DJ157" i="5"/>
  <c r="DJ154" i="5" s="1"/>
  <c r="DJ156" i="5"/>
  <c r="DJ177" i="5"/>
  <c r="BF344" i="1"/>
  <c r="DI323" i="1"/>
  <c r="DI344" i="1" s="1"/>
  <c r="BJ324" i="1"/>
  <c r="BW185" i="1"/>
  <c r="BW160" i="1"/>
  <c r="BW150" i="1"/>
  <c r="BW149" i="1"/>
  <c r="BW133" i="2"/>
  <c r="DO324" i="1"/>
  <c r="DN344" i="1"/>
  <c r="DM324" i="1"/>
  <c r="DL344" i="1"/>
  <c r="DN233" i="5"/>
  <c r="BV324" i="1"/>
  <c r="BR344" i="1"/>
  <c r="CA149" i="1"/>
  <c r="CA150" i="1"/>
  <c r="CA133" i="2"/>
  <c r="CA185" i="1"/>
  <c r="CA160" i="1"/>
  <c r="CE150" i="1"/>
  <c r="DL235" i="5"/>
  <c r="DL247" i="5"/>
  <c r="DL215" i="5"/>
  <c r="DL162" i="5"/>
  <c r="DL164" i="5"/>
  <c r="DL165" i="5"/>
  <c r="DL238" i="5"/>
  <c r="DL246" i="5"/>
  <c r="DL233" i="5"/>
  <c r="DL245" i="5"/>
  <c r="DL211" i="5"/>
  <c r="DL248" i="5"/>
  <c r="DM238" i="5"/>
  <c r="DL156" i="5"/>
  <c r="Q4" i="3"/>
  <c r="DL163" i="5"/>
  <c r="DL177" i="5"/>
  <c r="DL8" i="5"/>
  <c r="DL157" i="5"/>
  <c r="DL154" i="5" s="1"/>
  <c r="BD149" i="1"/>
  <c r="BH151" i="1" s="1"/>
  <c r="BD160" i="1"/>
  <c r="BD162" i="1" s="1"/>
  <c r="BD133" i="2"/>
  <c r="BH150" i="1"/>
  <c r="BD150" i="1"/>
  <c r="BF172" i="1"/>
  <c r="DD243" i="5"/>
  <c r="I12" i="3"/>
  <c r="I13" i="3" s="1"/>
  <c r="DM391" i="1"/>
  <c r="DN386" i="1"/>
  <c r="AB241" i="5"/>
  <c r="AA241" i="5"/>
  <c r="AA22" i="5"/>
  <c r="AA43" i="5"/>
  <c r="AA244" i="5"/>
  <c r="AR330" i="1"/>
  <c r="AR274" i="1" s="1"/>
  <c r="AR275" i="1" s="1"/>
  <c r="AR284" i="1" s="1"/>
  <c r="AR278" i="1" s="1"/>
  <c r="AR279" i="1" s="1"/>
  <c r="BK310" i="1"/>
  <c r="BG332" i="1"/>
  <c r="BE102" i="2"/>
  <c r="BD102" i="2"/>
  <c r="BP149" i="1"/>
  <c r="BP133" i="2"/>
  <c r="BP160" i="1"/>
  <c r="BP185" i="1"/>
  <c r="BK162" i="1"/>
  <c r="BK161" i="1"/>
  <c r="BK195" i="1"/>
  <c r="BO162" i="1"/>
  <c r="BK171" i="1"/>
  <c r="BK173" i="1" s="1"/>
  <c r="BK167" i="1"/>
  <c r="CA324" i="1"/>
  <c r="BW344" i="1"/>
  <c r="AP244" i="5"/>
  <c r="AP43" i="5"/>
  <c r="AP22" i="5"/>
  <c r="DG365" i="1"/>
  <c r="DG371" i="1"/>
  <c r="DG364" i="1"/>
  <c r="DG387" i="1"/>
  <c r="DG396" i="1"/>
  <c r="AZ310" i="1"/>
  <c r="AV332" i="1"/>
  <c r="BX344" i="1"/>
  <c r="CB324" i="1"/>
  <c r="BT150" i="1"/>
  <c r="BT160" i="1"/>
  <c r="BT149" i="1"/>
  <c r="BT133" i="2"/>
  <c r="BF177" i="1"/>
  <c r="BF178" i="1" s="1"/>
  <c r="BF168" i="1"/>
  <c r="BA332" i="1"/>
  <c r="BE310" i="1"/>
  <c r="BU149" i="1"/>
  <c r="BU133" i="2"/>
  <c r="BU160" i="1"/>
  <c r="BU150" i="1"/>
  <c r="BU185" i="1"/>
  <c r="BK43" i="5"/>
  <c r="BK244" i="5"/>
  <c r="BK22" i="5"/>
  <c r="AQ164" i="5"/>
  <c r="AQ163" i="5"/>
  <c r="AQ8" i="5"/>
  <c r="AQ162" i="5"/>
  <c r="AQ238" i="5"/>
  <c r="AQ245" i="5"/>
  <c r="AQ235" i="5"/>
  <c r="AQ157" i="5"/>
  <c r="AQ154" i="5" s="1"/>
  <c r="AQ165" i="5"/>
  <c r="AQ246" i="5"/>
  <c r="AQ248" i="5"/>
  <c r="AQ247" i="5"/>
  <c r="AQ156" i="5"/>
  <c r="DH154" i="5"/>
  <c r="BS17" i="5"/>
  <c r="BS243" i="5"/>
  <c r="AQ160" i="1"/>
  <c r="AQ150" i="1"/>
  <c r="AQ149" i="1"/>
  <c r="AQ151" i="1" s="1"/>
  <c r="AQ133" i="2"/>
  <c r="BZ133" i="2"/>
  <c r="BZ185" i="1"/>
  <c r="BZ160" i="1"/>
  <c r="BZ149" i="1"/>
  <c r="CD151" i="1" s="1"/>
  <c r="DK164" i="5"/>
  <c r="DK246" i="5"/>
  <c r="DK248" i="5"/>
  <c r="DK245" i="5"/>
  <c r="DK162" i="5"/>
  <c r="DK233" i="5"/>
  <c r="DK235" i="5"/>
  <c r="DK215" i="5"/>
  <c r="DK211" i="5"/>
  <c r="DK247" i="5"/>
  <c r="P4" i="3"/>
  <c r="DK8" i="5"/>
  <c r="DK157" i="5"/>
  <c r="DK154" i="5" s="1"/>
  <c r="DK156" i="5"/>
  <c r="DK165" i="5"/>
  <c r="DK238" i="5"/>
  <c r="DK163" i="5"/>
  <c r="DK177" i="5"/>
  <c r="DI85" i="2"/>
  <c r="DI86" i="2" s="1"/>
  <c r="CF345" i="1"/>
  <c r="CJ325" i="1"/>
  <c r="CJ346" i="1" s="1"/>
  <c r="DL148" i="1"/>
  <c r="DL125" i="1"/>
  <c r="AS150" i="1"/>
  <c r="AS160" i="1"/>
  <c r="AS149" i="1"/>
  <c r="AW150" i="1"/>
  <c r="AQ47" i="2"/>
  <c r="AQ11" i="2"/>
  <c r="AQ39" i="2"/>
  <c r="BF335" i="1"/>
  <c r="BJ313" i="1"/>
  <c r="DI312" i="1"/>
  <c r="DI335" i="1" s="1"/>
  <c r="T12" i="3"/>
  <c r="DO243" i="5"/>
  <c r="DI314" i="1"/>
  <c r="DI337" i="1" s="1"/>
  <c r="BF337" i="1"/>
  <c r="BJ315" i="1"/>
  <c r="CF156" i="2"/>
  <c r="BX324" i="1"/>
  <c r="BT344" i="1"/>
  <c r="BR235" i="5"/>
  <c r="BR211" i="5"/>
  <c r="BR215" i="5"/>
  <c r="BR233" i="5"/>
  <c r="BR245" i="5"/>
  <c r="BR8" i="5"/>
  <c r="BU163" i="5"/>
  <c r="BR246" i="5"/>
  <c r="BU165" i="5"/>
  <c r="BU157" i="5"/>
  <c r="BU154" i="5" s="1"/>
  <c r="BU156" i="5"/>
  <c r="BU162" i="5"/>
  <c r="BR247" i="5"/>
  <c r="BR248" i="5"/>
  <c r="BU164" i="5"/>
  <c r="BR238" i="5"/>
  <c r="BT164" i="5"/>
  <c r="BT162" i="5"/>
  <c r="BT157" i="5"/>
  <c r="BT154" i="5" s="1"/>
  <c r="BR177" i="5"/>
  <c r="BS157" i="5"/>
  <c r="BS154" i="5" s="1"/>
  <c r="BT163" i="5"/>
  <c r="BS156" i="5"/>
  <c r="BR163" i="5"/>
  <c r="BR165" i="5"/>
  <c r="BT165" i="5"/>
  <c r="BT156" i="5"/>
  <c r="BR164" i="5"/>
  <c r="BZ244" i="5"/>
  <c r="BZ22" i="5"/>
  <c r="BZ43" i="5"/>
  <c r="DI326" i="1"/>
  <c r="DI347" i="1" s="1"/>
  <c r="BF347" i="1"/>
  <c r="CB133" i="2"/>
  <c r="CB149" i="1"/>
  <c r="CB160" i="1"/>
  <c r="CB150" i="1"/>
  <c r="CB185" i="1"/>
  <c r="BG344" i="1"/>
  <c r="BK324" i="1"/>
  <c r="DC170" i="5"/>
  <c r="BM243" i="5"/>
  <c r="BM17" i="5"/>
  <c r="BS344" i="1"/>
  <c r="BW324" i="1"/>
  <c r="DK168" i="5"/>
  <c r="DK40" i="5"/>
  <c r="DK51" i="5"/>
  <c r="DK75" i="5" s="1"/>
  <c r="DK171" i="5"/>
  <c r="BX133" i="2"/>
  <c r="BX185" i="1"/>
  <c r="BX160" i="1"/>
  <c r="BX149" i="1"/>
  <c r="BX150" i="1"/>
  <c r="H249" i="5"/>
  <c r="H266" i="5"/>
  <c r="H265" i="5"/>
  <c r="H35" i="5"/>
  <c r="H198" i="5"/>
  <c r="H72" i="5"/>
  <c r="H76" i="5" s="1"/>
  <c r="H79" i="5" s="1"/>
  <c r="H84" i="5" s="1"/>
  <c r="H86" i="5" s="1"/>
  <c r="H254" i="5"/>
  <c r="H250" i="5"/>
  <c r="BA149" i="1"/>
  <c r="BA151" i="1" s="1"/>
  <c r="BA150" i="1"/>
  <c r="BA160" i="1"/>
  <c r="BE162" i="1" s="1"/>
  <c r="BA133" i="2"/>
  <c r="BL17" i="5"/>
  <c r="BL243" i="5"/>
  <c r="AR156" i="2"/>
  <c r="AR157" i="2" s="1"/>
  <c r="CL345" i="1"/>
  <c r="BR156" i="5"/>
  <c r="BI325" i="1"/>
  <c r="BE345" i="1"/>
  <c r="H46" i="5"/>
  <c r="H56" i="5" s="1"/>
  <c r="DP324" i="1"/>
  <c r="DO344" i="1"/>
  <c r="BC43" i="5"/>
  <c r="BC22" i="5"/>
  <c r="BC244" i="5"/>
  <c r="BF332" i="1"/>
  <c r="BJ310" i="1"/>
  <c r="DI309" i="1"/>
  <c r="DI332" i="1" s="1"/>
  <c r="J8" i="3"/>
  <c r="J9" i="3" s="1"/>
  <c r="DF23" i="1"/>
  <c r="CH154" i="5"/>
  <c r="CL157" i="5"/>
  <c r="AT40" i="2"/>
  <c r="AT48" i="2"/>
  <c r="BN51" i="5"/>
  <c r="BN75" i="5" s="1"/>
  <c r="BN168" i="5"/>
  <c r="BN171" i="5"/>
  <c r="CC244" i="5"/>
  <c r="DM310" i="1"/>
  <c r="DL332" i="1"/>
  <c r="CJ149" i="1"/>
  <c r="CJ150" i="1"/>
  <c r="CJ160" i="1"/>
  <c r="CJ133" i="2"/>
  <c r="BV185" i="1"/>
  <c r="BV149" i="1"/>
  <c r="BZ150" i="1"/>
  <c r="BV150" i="1"/>
  <c r="BV160" i="1"/>
  <c r="BV133" i="2"/>
  <c r="BQ345" i="1"/>
  <c r="BU325" i="1"/>
  <c r="BP344" i="1"/>
  <c r="BT324" i="1"/>
  <c r="DK323" i="1"/>
  <c r="DJ343" i="1"/>
  <c r="CI156" i="2"/>
  <c r="CI157" i="2" s="1"/>
  <c r="DF77" i="5"/>
  <c r="DG170" i="5"/>
  <c r="BC160" i="1"/>
  <c r="BC149" i="1"/>
  <c r="BC150" i="1"/>
  <c r="BG150" i="1"/>
  <c r="BC133" i="2"/>
  <c r="BB172" i="1"/>
  <c r="BF173" i="1"/>
  <c r="E5" i="3"/>
  <c r="DM181" i="2"/>
  <c r="DL180" i="2"/>
  <c r="AS152" i="2"/>
  <c r="AS153" i="2"/>
  <c r="AS151" i="2"/>
  <c r="AR111" i="2"/>
  <c r="AR112" i="2" s="1"/>
  <c r="AR10" i="2"/>
  <c r="BG324" i="1"/>
  <c r="BC344" i="1"/>
  <c r="CI311" i="1"/>
  <c r="CI334" i="1" s="1"/>
  <c r="CE333" i="1"/>
  <c r="CH325" i="1"/>
  <c r="CD345" i="1"/>
  <c r="DM126" i="1"/>
  <c r="DM148" i="1"/>
  <c r="DM125" i="1"/>
  <c r="DI126" i="1"/>
  <c r="DI148" i="1"/>
  <c r="DJ126" i="1"/>
  <c r="DI125" i="1"/>
  <c r="CH311" i="1"/>
  <c r="CD333" i="1"/>
  <c r="BR311" i="1"/>
  <c r="BN333" i="1"/>
  <c r="BU310" i="1"/>
  <c r="BQ332" i="1"/>
  <c r="AS342" i="1"/>
  <c r="BD325" i="1"/>
  <c r="AZ345" i="1"/>
  <c r="AS40" i="2"/>
  <c r="AS48" i="2"/>
  <c r="CH151" i="1"/>
  <c r="AS330" i="1"/>
  <c r="BF310" i="1"/>
  <c r="DH309" i="1"/>
  <c r="DH332" i="1" s="1"/>
  <c r="BB332" i="1"/>
  <c r="DM173" i="2"/>
  <c r="DL172" i="2"/>
  <c r="CD346" i="1"/>
  <c r="CH326" i="1"/>
  <c r="CH347" i="1" s="1"/>
  <c r="O5" i="7"/>
  <c r="R16" i="3"/>
  <c r="CD161" i="1"/>
  <c r="CD162" i="1"/>
  <c r="CD195" i="1"/>
  <c r="CD167" i="1"/>
  <c r="CH162" i="1"/>
  <c r="CD171" i="1"/>
  <c r="BU324" i="1"/>
  <c r="BQ344" i="1"/>
  <c r="AZ344" i="1"/>
  <c r="BD324" i="1"/>
  <c r="AT15" i="1"/>
  <c r="AT22" i="1" s="1"/>
  <c r="CF311" i="1"/>
  <c r="CB333" i="1"/>
  <c r="BS325" i="1"/>
  <c r="BO345" i="1"/>
  <c r="DO148" i="1"/>
  <c r="DO126" i="1"/>
  <c r="DO125" i="1"/>
  <c r="BN197" i="1"/>
  <c r="BN201" i="1"/>
  <c r="BN214" i="1"/>
  <c r="BN196" i="1"/>
  <c r="BR310" i="1"/>
  <c r="BN332" i="1"/>
  <c r="CC157" i="2"/>
  <c r="BH177" i="1"/>
  <c r="BH178" i="1" s="1"/>
  <c r="BH168" i="1"/>
  <c r="DM185" i="2"/>
  <c r="DL184" i="2"/>
  <c r="AS148" i="2"/>
  <c r="AS146" i="2" s="1"/>
  <c r="AR108" i="2"/>
  <c r="CB22" i="5"/>
  <c r="CB43" i="5"/>
  <c r="CB244" i="5"/>
  <c r="DG85" i="2"/>
  <c r="DG86" i="2" s="1"/>
  <c r="DH85" i="2"/>
  <c r="DH86" i="2" s="1"/>
  <c r="BC333" i="1"/>
  <c r="BG311" i="1"/>
  <c r="AY171" i="1"/>
  <c r="AY172" i="1" s="1"/>
  <c r="AY161" i="1"/>
  <c r="AY167" i="1"/>
  <c r="BP332" i="1"/>
  <c r="BT310" i="1"/>
  <c r="BB156" i="2"/>
  <c r="BY150" i="1"/>
  <c r="BY160" i="1"/>
  <c r="BY149" i="1"/>
  <c r="BY133" i="2"/>
  <c r="L51" i="3"/>
  <c r="DH149" i="1"/>
  <c r="DH160" i="1"/>
  <c r="BR163" i="1"/>
  <c r="AU149" i="1"/>
  <c r="AU150" i="1"/>
  <c r="AU160" i="1"/>
  <c r="AY162" i="1" s="1"/>
  <c r="AU133" i="2"/>
  <c r="BW332" i="1"/>
  <c r="CA310" i="1"/>
  <c r="BA324" i="1"/>
  <c r="AW344" i="1"/>
  <c r="CF17" i="5"/>
  <c r="CF243" i="5"/>
  <c r="CF150" i="1"/>
  <c r="CF160" i="1"/>
  <c r="CF149" i="1"/>
  <c r="CF133" i="2"/>
  <c r="BD332" i="1"/>
  <c r="BH310" i="1"/>
  <c r="AT149" i="1"/>
  <c r="AT151" i="1" s="1"/>
  <c r="AT150" i="1"/>
  <c r="AT160" i="1"/>
  <c r="DP323" i="1"/>
  <c r="DO343" i="1"/>
  <c r="BI310" i="1"/>
  <c r="BE332" i="1"/>
  <c r="AW332" i="1"/>
  <c r="BA310" i="1"/>
  <c r="AV13" i="1"/>
  <c r="AV21" i="1"/>
  <c r="BC324" i="1"/>
  <c r="AY344" i="1"/>
  <c r="DJ331" i="1"/>
  <c r="DK309" i="1"/>
  <c r="DK332" i="1" s="1"/>
  <c r="BL149" i="1"/>
  <c r="BL160" i="1"/>
  <c r="BL150" i="1"/>
  <c r="BP150" i="1"/>
  <c r="BL133" i="2"/>
  <c r="AW11" i="1"/>
  <c r="DF3" i="1"/>
  <c r="DE4" i="2"/>
  <c r="DE48" i="2" s="1"/>
  <c r="BM315" i="1"/>
  <c r="BM338" i="1" s="1"/>
  <c r="BI337" i="1"/>
  <c r="BQ151" i="1"/>
  <c r="BX313" i="1"/>
  <c r="BT335" i="1"/>
  <c r="DL176" i="2"/>
  <c r="DM177" i="2"/>
  <c r="AZ167" i="1"/>
  <c r="AZ161" i="1"/>
  <c r="DG125" i="1"/>
  <c r="DG126" i="1"/>
  <c r="DG148" i="1"/>
  <c r="BD344" i="1"/>
  <c r="BH324" i="1"/>
  <c r="DM243" i="5"/>
  <c r="R12" i="3"/>
  <c r="R13" i="3" s="1"/>
  <c r="DM17" i="5"/>
  <c r="CC345" i="1"/>
  <c r="CG325" i="1"/>
  <c r="CC310" i="1"/>
  <c r="BY332" i="1"/>
  <c r="BB168" i="1"/>
  <c r="BB177" i="1"/>
  <c r="BB178" i="1" s="1"/>
  <c r="DM194" i="2"/>
  <c r="DL193" i="2"/>
  <c r="DH126" i="1"/>
  <c r="BS324" i="1"/>
  <c r="BO344" i="1"/>
  <c r="BE244" i="5"/>
  <c r="BE43" i="5"/>
  <c r="DK310" i="1"/>
  <c r="DK333" i="1" s="1"/>
  <c r="DJ332" i="1"/>
  <c r="CD311" i="1"/>
  <c r="BZ333" i="1"/>
  <c r="DP148" i="1"/>
  <c r="DP125" i="1"/>
  <c r="DP126" i="1"/>
  <c r="AT5" i="1"/>
  <c r="AT3" i="5"/>
  <c r="AT4" i="1"/>
  <c r="BM162" i="1"/>
  <c r="BM167" i="1"/>
  <c r="BM161" i="1"/>
  <c r="BM195" i="1"/>
  <c r="CL163" i="5"/>
  <c r="BN177" i="1"/>
  <c r="BN178" i="1" s="1"/>
  <c r="DD170" i="5"/>
  <c r="DM189" i="2"/>
  <c r="DL188" i="2"/>
  <c r="CB311" i="1"/>
  <c r="BX333" i="1"/>
  <c r="V45" i="5"/>
  <c r="V39" i="5"/>
  <c r="DL39" i="2"/>
  <c r="DL47" i="2" s="1"/>
  <c r="BR201" i="1"/>
  <c r="BR214" i="1"/>
  <c r="BR197" i="1"/>
  <c r="BR196" i="1"/>
  <c r="AS5" i="1"/>
  <c r="AS4" i="1"/>
  <c r="AS3" i="5"/>
  <c r="AS12" i="1"/>
  <c r="AS8" i="1" s="1"/>
  <c r="AF45" i="5"/>
  <c r="AF39" i="5"/>
  <c r="AW7" i="1"/>
  <c r="AX20" i="1"/>
  <c r="I46" i="5"/>
  <c r="I56" i="5" s="1"/>
  <c r="AS15" i="1"/>
  <c r="AS19" i="1" s="1"/>
  <c r="CC311" i="1"/>
  <c r="BY333" i="1"/>
  <c r="AF200" i="5"/>
  <c r="AF202" i="5" s="1"/>
  <c r="AF205" i="5" s="1"/>
  <c r="AF204" i="5" s="1"/>
  <c r="AF182" i="5" s="1"/>
  <c r="AF181" i="5" s="1"/>
  <c r="AF207" i="5"/>
  <c r="AF208" i="5" s="1"/>
  <c r="AF25" i="5"/>
  <c r="BF163" i="1"/>
  <c r="DF18" i="1"/>
  <c r="CH157" i="2"/>
  <c r="BS310" i="1"/>
  <c r="BO332" i="1"/>
  <c r="DF125" i="1"/>
  <c r="DF148" i="1"/>
  <c r="CC241" i="5"/>
  <c r="DM192" i="2"/>
  <c r="DL191" i="2"/>
  <c r="BP325" i="1"/>
  <c r="BL345" i="1"/>
  <c r="AU306" i="1"/>
  <c r="DF306" i="1"/>
  <c r="AT320" i="1"/>
  <c r="AT316" i="1"/>
  <c r="BQ325" i="1"/>
  <c r="BM345" i="1"/>
  <c r="BE151" i="1"/>
  <c r="V207" i="5"/>
  <c r="V208" i="5" s="1"/>
  <c r="V25" i="5"/>
  <c r="V200" i="5"/>
  <c r="V202" i="5" s="1"/>
  <c r="V205" i="5" s="1"/>
  <c r="V204" i="5" s="1"/>
  <c r="V182" i="5" s="1"/>
  <c r="V181" i="5" s="1"/>
  <c r="CE312" i="1"/>
  <c r="CA334" i="1"/>
  <c r="DH323" i="1"/>
  <c r="DH344" i="1" s="1"/>
  <c r="BB344" i="1"/>
  <c r="BF324" i="1"/>
  <c r="DI163" i="5"/>
  <c r="DI248" i="5"/>
  <c r="DI162" i="5"/>
  <c r="DI164" i="5"/>
  <c r="DI156" i="5"/>
  <c r="DI246" i="5"/>
  <c r="DI8" i="5"/>
  <c r="DJ238" i="5"/>
  <c r="DI245" i="5"/>
  <c r="DI247" i="5"/>
  <c r="DI165" i="5"/>
  <c r="N4" i="3"/>
  <c r="DI157" i="5"/>
  <c r="DI154" i="5" s="1"/>
  <c r="DI177" i="5"/>
  <c r="DI238" i="5"/>
  <c r="AX23" i="1"/>
  <c r="BO333" i="1"/>
  <c r="BS311" i="1"/>
  <c r="AU3" i="1"/>
  <c r="AU9" i="1"/>
  <c r="AU4" i="2"/>
  <c r="AU18" i="1"/>
  <c r="CL165" i="5"/>
  <c r="CO165" i="5" s="1"/>
  <c r="S12" i="3"/>
  <c r="DN17" i="5"/>
  <c r="BZ311" i="1"/>
  <c r="BV333" i="1"/>
  <c r="BK336" i="1"/>
  <c r="BO314" i="1"/>
  <c r="BG310" i="1"/>
  <c r="BC332" i="1"/>
  <c r="BN40" i="5"/>
  <c r="BB333" i="1"/>
  <c r="BF311" i="1"/>
  <c r="DH310" i="1"/>
  <c r="DH333" i="1" s="1"/>
  <c r="CC150" i="1"/>
  <c r="CC160" i="1"/>
  <c r="CC149" i="1"/>
  <c r="CC133" i="2"/>
  <c r="CC185" i="1"/>
  <c r="CG150" i="1"/>
  <c r="BE167" i="1"/>
  <c r="BE161" i="1"/>
  <c r="BE171" i="1"/>
  <c r="BE172" i="1" s="1"/>
  <c r="BE344" i="1"/>
  <c r="BI324" i="1"/>
  <c r="AV133" i="2"/>
  <c r="AV160" i="1"/>
  <c r="AV149" i="1"/>
  <c r="AV150" i="1"/>
  <c r="AV185" i="1"/>
  <c r="DN126" i="1"/>
  <c r="DN148" i="1"/>
  <c r="DN125" i="1"/>
  <c r="DK125" i="1"/>
  <c r="DL126" i="1"/>
  <c r="DK126" i="1"/>
  <c r="DK148" i="1"/>
  <c r="BR169" i="1"/>
  <c r="BQ311" i="1"/>
  <c r="BM333" i="1"/>
  <c r="AX133" i="2"/>
  <c r="AX160" i="1"/>
  <c r="AX149" i="1"/>
  <c r="AX185" i="1"/>
  <c r="AX150" i="1"/>
  <c r="BB150" i="1"/>
  <c r="CF102" i="2"/>
  <c r="CE102" i="2"/>
  <c r="BD310" i="1"/>
  <c r="AZ332" i="1"/>
  <c r="AV4" i="2"/>
  <c r="AV9" i="1"/>
  <c r="AV3" i="1"/>
  <c r="AV12" i="1" s="1"/>
  <c r="AV8" i="1" s="1"/>
  <c r="AV18" i="1"/>
  <c r="DP334" i="1"/>
  <c r="DQ312" i="1"/>
  <c r="DS314" i="1" s="1"/>
  <c r="DT315" i="1" s="1"/>
  <c r="I249" i="5"/>
  <c r="I242" i="5"/>
  <c r="I266" i="5"/>
  <c r="I265" i="5"/>
  <c r="DN310" i="1"/>
  <c r="DM332" i="1"/>
  <c r="AX344" i="1"/>
  <c r="DG323" i="1"/>
  <c r="DG344" i="1" s="1"/>
  <c r="BB324" i="1"/>
  <c r="BU311" i="1"/>
  <c r="BQ333" i="1"/>
  <c r="BR324" i="1"/>
  <c r="BN344" i="1"/>
  <c r="DJ41" i="5"/>
  <c r="DK134" i="1"/>
  <c r="AR16" i="1"/>
  <c r="AR22" i="1"/>
  <c r="AR4" i="5"/>
  <c r="N43" i="5"/>
  <c r="N22" i="5"/>
  <c r="N241" i="5"/>
  <c r="N244" i="5"/>
  <c r="CC207" i="5"/>
  <c r="CC208" i="5" s="1"/>
  <c r="CC225" i="5" s="1"/>
  <c r="CC200" i="5"/>
  <c r="CC202" i="5" s="1"/>
  <c r="CC205" i="5" s="1"/>
  <c r="CC25" i="5"/>
  <c r="P78" i="5"/>
  <c r="P266" i="5"/>
  <c r="Q25" i="5"/>
  <c r="Q200" i="5"/>
  <c r="Q202" i="5" s="1"/>
  <c r="Q205" i="5" s="1"/>
  <c r="Q204" i="5" s="1"/>
  <c r="Q182" i="5" s="1"/>
  <c r="Q181" i="5" s="1"/>
  <c r="Q207" i="5"/>
  <c r="Q208" i="5" s="1"/>
  <c r="D50" i="5"/>
  <c r="D57" i="5" s="1"/>
  <c r="W43" i="5"/>
  <c r="W244" i="5"/>
  <c r="W22" i="5"/>
  <c r="W241" i="5"/>
  <c r="Q45" i="5"/>
  <c r="Q39" i="5"/>
  <c r="U43" i="5"/>
  <c r="CY43" i="5" s="1"/>
  <c r="U244" i="5"/>
  <c r="U22" i="5"/>
  <c r="V241" i="5"/>
  <c r="AM39" i="5"/>
  <c r="AN242" i="5" s="1"/>
  <c r="AM45" i="5"/>
  <c r="AE45" i="5"/>
  <c r="AE39" i="5"/>
  <c r="AD46" i="5"/>
  <c r="AD56" i="5" s="1"/>
  <c r="AJ39" i="5"/>
  <c r="AJ45" i="5"/>
  <c r="AD249" i="5"/>
  <c r="AD265" i="5"/>
  <c r="AJ200" i="5"/>
  <c r="AJ202" i="5" s="1"/>
  <c r="AJ205" i="5" s="1"/>
  <c r="AJ204" i="5" s="1"/>
  <c r="AJ182" i="5" s="1"/>
  <c r="AJ181" i="5" s="1"/>
  <c r="AJ25" i="5"/>
  <c r="AJ207" i="5"/>
  <c r="AJ208" i="5" s="1"/>
  <c r="P255" i="5"/>
  <c r="CJ307" i="5"/>
  <c r="CI308" i="5"/>
  <c r="AE207" i="5"/>
  <c r="AE208" i="5" s="1"/>
  <c r="AE200" i="5"/>
  <c r="AE202" i="5" s="1"/>
  <c r="AE205" i="5" s="1"/>
  <c r="AE204" i="5" s="1"/>
  <c r="AE182" i="5" s="1"/>
  <c r="AE181" i="5" s="1"/>
  <c r="AE25" i="5"/>
  <c r="S45" i="5"/>
  <c r="S46" i="5" s="1"/>
  <c r="S39" i="5"/>
  <c r="O241" i="5"/>
  <c r="AD250" i="5"/>
  <c r="AD35" i="5"/>
  <c r="AD72" i="5"/>
  <c r="AD76" i="5" s="1"/>
  <c r="AD79" i="5" s="1"/>
  <c r="AD84" i="5" s="1"/>
  <c r="AD86" i="5" s="1"/>
  <c r="AD198" i="5"/>
  <c r="AD254" i="5"/>
  <c r="P57" i="5"/>
  <c r="BU207" i="5"/>
  <c r="BU208" i="5" s="1"/>
  <c r="BU225" i="5" s="1"/>
  <c r="BU200" i="5"/>
  <c r="BU202" i="5" s="1"/>
  <c r="BU205" i="5" s="1"/>
  <c r="BU204" i="5" s="1"/>
  <c r="BU182" i="5" s="1"/>
  <c r="BU181" i="5" s="1"/>
  <c r="BU25" i="5"/>
  <c r="AF78" i="5"/>
  <c r="AF307" i="5"/>
  <c r="AF327" i="5" s="1"/>
  <c r="AF328" i="5" s="1"/>
  <c r="BP244" i="5"/>
  <c r="BP43" i="5"/>
  <c r="BP22" i="5"/>
  <c r="BP241" i="5"/>
  <c r="BU39" i="5"/>
  <c r="BU45" i="5"/>
  <c r="DJ232" i="5"/>
  <c r="DJ233" i="5" s="1"/>
  <c r="DJ235" i="5"/>
  <c r="BE207" i="5"/>
  <c r="BE208" i="5" s="1"/>
  <c r="BE200" i="5"/>
  <c r="BE202" i="5" s="1"/>
  <c r="BE205" i="5" s="1"/>
  <c r="BE204" i="5" s="1"/>
  <c r="BE182" i="5" s="1"/>
  <c r="BE181" i="5" s="1"/>
  <c r="BE25" i="5"/>
  <c r="BF282" i="2"/>
  <c r="AG200" i="5"/>
  <c r="AG202" i="5" s="1"/>
  <c r="AG205" i="5" s="1"/>
  <c r="AG204" i="5" s="1"/>
  <c r="AG182" i="5" s="1"/>
  <c r="AG181" i="5" s="1"/>
  <c r="AG207" i="5"/>
  <c r="AG208" i="5" s="1"/>
  <c r="AG25" i="5"/>
  <c r="BT39" i="5"/>
  <c r="BT45" i="5"/>
  <c r="O200" i="5"/>
  <c r="O202" i="5" s="1"/>
  <c r="O205" i="5" s="1"/>
  <c r="O204" i="5" s="1"/>
  <c r="O182" i="5" s="1"/>
  <c r="O181" i="5" s="1"/>
  <c r="O25" i="5"/>
  <c r="O207" i="5"/>
  <c r="O208" i="5" s="1"/>
  <c r="DA77" i="5"/>
  <c r="BT207" i="5"/>
  <c r="BT208" i="5" s="1"/>
  <c r="BT225" i="5" s="1"/>
  <c r="BT200" i="5"/>
  <c r="BT202" i="5" s="1"/>
  <c r="BT205" i="5" s="1"/>
  <c r="BT204" i="5" s="1"/>
  <c r="BT182" i="5" s="1"/>
  <c r="BT181" i="5" s="1"/>
  <c r="BT25" i="5"/>
  <c r="BI244" i="5"/>
  <c r="BI43" i="5"/>
  <c r="BI241" i="5"/>
  <c r="BI22" i="5"/>
  <c r="W295" i="5"/>
  <c r="W296" i="5" s="1"/>
  <c r="K72" i="5"/>
  <c r="K76" i="5" s="1"/>
  <c r="K79" i="5" s="1"/>
  <c r="K84" i="5" s="1"/>
  <c r="K86" i="5" s="1"/>
  <c r="DB170" i="5"/>
  <c r="X53" i="5"/>
  <c r="X156" i="5"/>
  <c r="X131" i="5"/>
  <c r="Y53" i="5"/>
  <c r="BV45" i="5"/>
  <c r="BV39" i="5"/>
  <c r="DA177" i="5"/>
  <c r="AG45" i="5"/>
  <c r="AG39" i="5"/>
  <c r="AK43" i="5"/>
  <c r="DC43" i="5" s="1"/>
  <c r="AK244" i="5"/>
  <c r="AK22" i="5"/>
  <c r="AK241" i="5"/>
  <c r="CX263" i="5"/>
  <c r="CX264" i="5"/>
  <c r="CX138" i="5"/>
  <c r="CX137" i="5" s="1"/>
  <c r="C61" i="3"/>
  <c r="CZ243" i="5"/>
  <c r="E12" i="3"/>
  <c r="E13" i="3" s="1"/>
  <c r="BW43" i="5"/>
  <c r="BW241" i="5"/>
  <c r="BW22" i="5"/>
  <c r="BW244" i="5"/>
  <c r="R315" i="5"/>
  <c r="S319" i="5"/>
  <c r="S295" i="5" s="1"/>
  <c r="R319" i="5"/>
  <c r="R295" i="5" s="1"/>
  <c r="BX22" i="5"/>
  <c r="BX43" i="5"/>
  <c r="BX241" i="5"/>
  <c r="BX244" i="5"/>
  <c r="X241" i="5"/>
  <c r="X43" i="5"/>
  <c r="X244" i="5"/>
  <c r="Y241" i="5"/>
  <c r="CZ17" i="5"/>
  <c r="X22" i="5"/>
  <c r="Z308" i="5"/>
  <c r="Y307" i="5"/>
  <c r="Y312" i="5" s="1"/>
  <c r="Y315" i="5"/>
  <c r="Y314" i="5" s="1"/>
  <c r="BV200" i="5"/>
  <c r="BV202" i="5" s="1"/>
  <c r="BV205" i="5" s="1"/>
  <c r="BV204" i="5" s="1"/>
  <c r="BV182" i="5" s="1"/>
  <c r="BV181" i="5" s="1"/>
  <c r="BV207" i="5"/>
  <c r="BV208" i="5" s="1"/>
  <c r="BV225" i="5" s="1"/>
  <c r="BV25" i="5"/>
  <c r="G244" i="5"/>
  <c r="H241" i="5"/>
  <c r="G43" i="5"/>
  <c r="G22" i="5"/>
  <c r="J254" i="5"/>
  <c r="J198" i="5"/>
  <c r="J250" i="5"/>
  <c r="J35" i="5"/>
  <c r="J72" i="5"/>
  <c r="J76" i="5" s="1"/>
  <c r="J79" i="5" s="1"/>
  <c r="J84" i="5" s="1"/>
  <c r="J86" i="5" s="1"/>
  <c r="X319" i="5"/>
  <c r="X295" i="5" s="1"/>
  <c r="X296" i="5" s="1"/>
  <c r="DB327" i="5"/>
  <c r="DB328" i="5" s="1"/>
  <c r="AH328" i="5"/>
  <c r="AO315" i="5"/>
  <c r="AN314" i="5"/>
  <c r="AD308" i="5"/>
  <c r="AD307" i="5" s="1"/>
  <c r="AE307" i="5"/>
  <c r="AE327" i="5" s="1"/>
  <c r="AE328" i="5" s="1"/>
  <c r="K46" i="5"/>
  <c r="K56" i="5" s="1"/>
  <c r="DT116" i="5"/>
  <c r="DS147" i="5"/>
  <c r="DS63" i="5"/>
  <c r="DS81" i="5" s="1"/>
  <c r="BH39" i="5"/>
  <c r="BH45" i="5"/>
  <c r="J46" i="5"/>
  <c r="J56" i="5" s="1"/>
  <c r="O45" i="5"/>
  <c r="O46" i="5" s="1"/>
  <c r="O39" i="5"/>
  <c r="CX312" i="5"/>
  <c r="Z255" i="5"/>
  <c r="Z251" i="5"/>
  <c r="F39" i="5"/>
  <c r="F45" i="5"/>
  <c r="F46" i="5" s="1"/>
  <c r="G33" i="9"/>
  <c r="G34" i="9"/>
  <c r="DO137" i="5"/>
  <c r="AN50" i="5"/>
  <c r="AN56" i="5"/>
  <c r="AL25" i="5"/>
  <c r="AL200" i="5"/>
  <c r="AL202" i="5" s="1"/>
  <c r="AL207" i="5"/>
  <c r="AL208" i="5" s="1"/>
  <c r="CZ80" i="5"/>
  <c r="Y329" i="5"/>
  <c r="Y332" i="5" s="1"/>
  <c r="L266" i="5"/>
  <c r="L249" i="5"/>
  <c r="L265" i="5"/>
  <c r="AN266" i="5"/>
  <c r="AN249" i="5"/>
  <c r="AL39" i="5"/>
  <c r="AL45" i="5"/>
  <c r="G17" i="3"/>
  <c r="DB244" i="5"/>
  <c r="Z330" i="5"/>
  <c r="Z329" i="5" s="1"/>
  <c r="Z332" i="5" s="1"/>
  <c r="AA310" i="5"/>
  <c r="Z309" i="5"/>
  <c r="DA78" i="5"/>
  <c r="CA244" i="5"/>
  <c r="CA43" i="5"/>
  <c r="CA241" i="5"/>
  <c r="CA22" i="5"/>
  <c r="CB241" i="5"/>
  <c r="CI200" i="5"/>
  <c r="CI202" i="5" s="1"/>
  <c r="CI205" i="5" s="1"/>
  <c r="CI25" i="5"/>
  <c r="CB321" i="5"/>
  <c r="CA322" i="5"/>
  <c r="BQ200" i="5"/>
  <c r="BQ202" i="5" s="1"/>
  <c r="BQ205" i="5" s="1"/>
  <c r="BQ204" i="5" s="1"/>
  <c r="BQ182" i="5" s="1"/>
  <c r="BQ181" i="5" s="1"/>
  <c r="BQ207" i="5"/>
  <c r="BQ208" i="5" s="1"/>
  <c r="BQ225" i="5" s="1"/>
  <c r="BQ25" i="5"/>
  <c r="DT330" i="5"/>
  <c r="DT329" i="5" s="1"/>
  <c r="DU310" i="5"/>
  <c r="DT309" i="5"/>
  <c r="DT312" i="5" s="1"/>
  <c r="BG45" i="5"/>
  <c r="BG39" i="5"/>
  <c r="T25" i="5"/>
  <c r="T26" i="5" s="1"/>
  <c r="T200" i="5"/>
  <c r="T202" i="5" s="1"/>
  <c r="T205" i="5" s="1"/>
  <c r="T204" i="5" s="1"/>
  <c r="T182" i="5" s="1"/>
  <c r="T181" i="5" s="1"/>
  <c r="T207" i="5"/>
  <c r="T208" i="5" s="1"/>
  <c r="AB318" i="5"/>
  <c r="DJ311" i="5"/>
  <c r="DJ309" i="5" s="1"/>
  <c r="CY244" i="5"/>
  <c r="T39" i="5"/>
  <c r="T45" i="5"/>
  <c r="F5" i="3"/>
  <c r="F52" i="3"/>
  <c r="G5" i="3"/>
  <c r="Z317" i="5"/>
  <c r="Y316" i="5"/>
  <c r="AH45" i="5"/>
  <c r="DB43" i="5"/>
  <c r="AH39" i="5"/>
  <c r="DA243" i="5"/>
  <c r="F12" i="3"/>
  <c r="F13" i="3" s="1"/>
  <c r="L46" i="5"/>
  <c r="L56" i="5" s="1"/>
  <c r="AC241" i="5"/>
  <c r="DA17" i="5"/>
  <c r="AC244" i="5"/>
  <c r="AD241" i="5"/>
  <c r="AC43" i="5"/>
  <c r="AC22" i="5"/>
  <c r="CK154" i="5"/>
  <c r="Z56" i="5"/>
  <c r="BD45" i="5"/>
  <c r="BD39" i="5"/>
  <c r="CX78" i="5"/>
  <c r="C22" i="5"/>
  <c r="C244" i="5"/>
  <c r="C43" i="5"/>
  <c r="D241" i="5"/>
  <c r="DF281" i="2"/>
  <c r="AX282" i="2"/>
  <c r="AH25" i="5"/>
  <c r="AH207" i="5"/>
  <c r="AH208" i="5" s="1"/>
  <c r="AH200" i="5"/>
  <c r="AH202" i="5" s="1"/>
  <c r="DB22" i="5"/>
  <c r="DB200" i="5" s="1"/>
  <c r="F200" i="5"/>
  <c r="F202" i="5" s="1"/>
  <c r="F205" i="5" s="1"/>
  <c r="F204" i="5" s="1"/>
  <c r="F182" i="5" s="1"/>
  <c r="F181" i="5" s="1"/>
  <c r="F25" i="5"/>
  <c r="F207" i="5"/>
  <c r="F208" i="5" s="1"/>
  <c r="BQ39" i="5"/>
  <c r="BQ45" i="5"/>
  <c r="BJ45" i="5"/>
  <c r="BJ39" i="5"/>
  <c r="L198" i="5"/>
  <c r="L72" i="5"/>
  <c r="L76" i="5" s="1"/>
  <c r="L79" i="5" s="1"/>
  <c r="L84" i="5" s="1"/>
  <c r="L86" i="5" s="1"/>
  <c r="L250" i="5"/>
  <c r="L26" i="5"/>
  <c r="L35" i="5"/>
  <c r="L254" i="5"/>
  <c r="J3" i="3"/>
  <c r="I34" i="3"/>
  <c r="I59" i="3" s="1"/>
  <c r="AN107" i="6"/>
  <c r="AN80" i="6"/>
  <c r="BH80" i="6" s="1"/>
  <c r="AO98" i="6"/>
  <c r="BG333" i="5"/>
  <c r="BG331" i="5"/>
  <c r="DH331" i="5"/>
  <c r="AM118" i="6"/>
  <c r="AL91" i="6"/>
  <c r="AI87" i="6"/>
  <c r="AJ94" i="6"/>
  <c r="AJ87" i="6" s="1"/>
  <c r="AJ105" i="6"/>
  <c r="AJ114" i="6" s="1"/>
  <c r="AL103" i="6"/>
  <c r="AK112" i="6"/>
  <c r="AK96" i="6"/>
  <c r="AN81" i="6"/>
  <c r="BH99" i="6"/>
  <c r="BI99" i="6" s="1"/>
  <c r="AO99" i="6"/>
  <c r="DI323" i="5"/>
  <c r="DI325" i="5" s="1"/>
  <c r="AM106" i="6"/>
  <c r="AN97" i="6"/>
  <c r="AM79" i="6"/>
  <c r="AM78" i="6" s="1"/>
  <c r="BI82" i="6"/>
  <c r="BI109" i="6"/>
  <c r="BI91" i="6" s="1"/>
  <c r="BJ100" i="6"/>
  <c r="BF87" i="6"/>
  <c r="AD159" i="6"/>
  <c r="AD161" i="6" s="1"/>
  <c r="BT300" i="2"/>
  <c r="BT301" i="2" s="1"/>
  <c r="AL88" i="6"/>
  <c r="P296" i="5"/>
  <c r="AM92" i="6"/>
  <c r="BS300" i="2"/>
  <c r="AC159" i="6"/>
  <c r="AC161" i="6" s="1"/>
  <c r="AN102" i="6"/>
  <c r="AM111" i="6"/>
  <c r="AM93" i="6" s="1"/>
  <c r="BQ301" i="2"/>
  <c r="AP100" i="6"/>
  <c r="AO82" i="6"/>
  <c r="BH101" i="6"/>
  <c r="BI101" i="6" s="1"/>
  <c r="AO101" i="6"/>
  <c r="AN110" i="6"/>
  <c r="AN92" i="6" s="1"/>
  <c r="K25" i="9"/>
  <c r="DH60" i="5"/>
  <c r="M18" i="3"/>
  <c r="DH261" i="5"/>
  <c r="AU184" i="1"/>
  <c r="AY184" i="1"/>
  <c r="BR173" i="1"/>
  <c r="BR172" i="1"/>
  <c r="AV157" i="2"/>
  <c r="AY24" i="2"/>
  <c r="BC24" i="2"/>
  <c r="BG172" i="1"/>
  <c r="S47" i="3"/>
  <c r="DL58" i="2"/>
  <c r="DL59" i="2"/>
  <c r="DM58" i="2"/>
  <c r="DL24" i="2"/>
  <c r="DM24" i="2"/>
  <c r="BB222" i="2"/>
  <c r="BB224" i="2"/>
  <c r="AZ172" i="1"/>
  <c r="DJ214" i="1"/>
  <c r="DJ182" i="1"/>
  <c r="N46" i="3"/>
  <c r="N47" i="3" s="1"/>
  <c r="DJ183" i="1"/>
  <c r="AU215" i="2"/>
  <c r="AV209" i="2"/>
  <c r="AV213" i="2" s="1"/>
  <c r="AU214" i="2"/>
  <c r="DH231" i="2"/>
  <c r="DH230" i="2"/>
  <c r="BM184" i="1"/>
  <c r="DH182" i="1"/>
  <c r="DH214" i="1"/>
  <c r="DH183" i="1"/>
  <c r="DH140" i="2"/>
  <c r="S55" i="3"/>
  <c r="S56" i="3" s="1"/>
  <c r="DO215" i="1"/>
  <c r="DO217" i="1" s="1"/>
  <c r="BR184" i="1"/>
  <c r="BV184" i="1"/>
  <c r="DM182" i="1"/>
  <c r="DM183" i="1"/>
  <c r="Q46" i="3"/>
  <c r="Q47" i="3" s="1"/>
  <c r="DH143" i="2"/>
  <c r="DF181" i="1"/>
  <c r="DG183" i="1" s="1"/>
  <c r="DE132" i="2"/>
  <c r="DE131" i="2"/>
  <c r="BA24" i="2"/>
  <c r="BE24" i="2"/>
  <c r="CA102" i="2"/>
  <c r="CB102" i="2"/>
  <c r="BM172" i="1"/>
  <c r="DK24" i="2"/>
  <c r="DP312" i="2"/>
  <c r="CF216" i="1"/>
  <c r="CF215" i="1"/>
  <c r="CF217" i="1" s="1"/>
  <c r="BN215" i="2"/>
  <c r="DJ213" i="2"/>
  <c r="BN214" i="2"/>
  <c r="BO209" i="2"/>
  <c r="BO213" i="2" s="1"/>
  <c r="BO219" i="2"/>
  <c r="CD278" i="2"/>
  <c r="CD274" i="2"/>
  <c r="DN273" i="2"/>
  <c r="DP156" i="2"/>
  <c r="DP157" i="2" s="1"/>
  <c r="BT157" i="2"/>
  <c r="DN59" i="2"/>
  <c r="DN58" i="2"/>
  <c r="DO58" i="2"/>
  <c r="DO39" i="2"/>
  <c r="DO47" i="2" s="1"/>
  <c r="AT183" i="1"/>
  <c r="AT182" i="1"/>
  <c r="AX183" i="1"/>
  <c r="AT185" i="1"/>
  <c r="BN172" i="1"/>
  <c r="AV24" i="2"/>
  <c r="AZ24" i="2"/>
  <c r="DM11" i="2"/>
  <c r="DM39" i="2"/>
  <c r="DM47" i="2" s="1"/>
  <c r="BG184" i="1"/>
  <c r="BK184" i="1"/>
  <c r="DI182" i="1"/>
  <c r="DI214" i="1"/>
  <c r="DI183" i="1"/>
  <c r="DG214" i="1"/>
  <c r="DG182" i="1"/>
  <c r="BV274" i="2"/>
  <c r="DL273" i="2"/>
  <c r="BV278" i="2"/>
  <c r="P205" i="5"/>
  <c r="BJ224" i="2"/>
  <c r="BJ218" i="2"/>
  <c r="BJ104" i="2"/>
  <c r="BL184" i="1"/>
  <c r="BP184" i="1"/>
  <c r="S35" i="5"/>
  <c r="S250" i="5"/>
  <c r="S72" i="5"/>
  <c r="S254" i="5"/>
  <c r="S198" i="5"/>
  <c r="BT184" i="1"/>
  <c r="BX184" i="1"/>
  <c r="DG211" i="2"/>
  <c r="DH219" i="2"/>
  <c r="DS99" i="1"/>
  <c r="DS124" i="2"/>
  <c r="O46" i="3"/>
  <c r="DK182" i="1"/>
  <c r="DK183" i="1"/>
  <c r="BJ274" i="2"/>
  <c r="BJ278" i="2"/>
  <c r="BB261" i="2"/>
  <c r="BB237" i="2"/>
  <c r="BN157" i="2"/>
  <c r="DJ156" i="2"/>
  <c r="DE214" i="2"/>
  <c r="DE215" i="2"/>
  <c r="DF209" i="2"/>
  <c r="DP182" i="1"/>
  <c r="DP184" i="1" s="1"/>
  <c r="DP214" i="1"/>
  <c r="T46" i="3"/>
  <c r="DP175" i="1"/>
  <c r="DP183" i="1"/>
  <c r="DH263" i="2"/>
  <c r="DG260" i="2"/>
  <c r="DG261" i="2" s="1"/>
  <c r="DG268" i="2"/>
  <c r="BN184" i="1"/>
  <c r="BY184" i="1"/>
  <c r="CC184" i="1"/>
  <c r="DL183" i="1"/>
  <c r="DN182" i="1"/>
  <c r="DO184" i="1" s="1"/>
  <c r="DN183" i="1"/>
  <c r="DN175" i="1"/>
  <c r="R46" i="3"/>
  <c r="P198" i="5"/>
  <c r="P26" i="5"/>
  <c r="P72" i="5"/>
  <c r="P35" i="5"/>
  <c r="P254" i="5"/>
  <c r="P250" i="5"/>
  <c r="BF60" i="5"/>
  <c r="BF261" i="5"/>
  <c r="DO175" i="1"/>
  <c r="BD263" i="2"/>
  <c r="BD267" i="2" s="1"/>
  <c r="BC268" i="2"/>
  <c r="BC260" i="2"/>
  <c r="BD271" i="2"/>
  <c r="BD184" i="1"/>
  <c r="BH184" i="1"/>
  <c r="DG222" i="2"/>
  <c r="DG224" i="2"/>
  <c r="BU157" i="2"/>
  <c r="DR157" i="2"/>
  <c r="AX157" i="2"/>
  <c r="DF156" i="2"/>
  <c r="BA238" i="2"/>
  <c r="BA69" i="2"/>
  <c r="BA118" i="2"/>
  <c r="AS182" i="1"/>
  <c r="AS183" i="1"/>
  <c r="AS185" i="1"/>
  <c r="AS171" i="1"/>
  <c r="AW183" i="1"/>
  <c r="DI212" i="2"/>
  <c r="DR197" i="2"/>
  <c r="CJ215" i="1"/>
  <c r="CJ217" i="1" s="1"/>
  <c r="CJ216" i="1"/>
  <c r="DS94" i="2"/>
  <c r="DS72" i="2"/>
  <c r="DT93" i="2"/>
  <c r="DS90" i="2"/>
  <c r="DR89" i="2"/>
  <c r="DR91" i="2"/>
  <c r="CK172" i="5"/>
  <c r="CK54" i="5"/>
  <c r="DU100" i="5"/>
  <c r="DU229" i="5" s="1"/>
  <c r="DT229" i="5"/>
  <c r="DU141" i="5"/>
  <c r="DU67" i="5"/>
  <c r="DU83" i="5" s="1"/>
  <c r="DV248" i="1"/>
  <c r="DV247" i="1" s="1"/>
  <c r="DU247" i="1"/>
  <c r="DQ332" i="1"/>
  <c r="DQ334" i="1"/>
  <c r="DQ266" i="1"/>
  <c r="DQ343" i="1"/>
  <c r="DQ331" i="1"/>
  <c r="DQ333" i="1"/>
  <c r="DQ344" i="1"/>
  <c r="CK248" i="5"/>
  <c r="DU82" i="1"/>
  <c r="DS12" i="5"/>
  <c r="CK156" i="2"/>
  <c r="CK65" i="1"/>
  <c r="CU65" i="1" s="1"/>
  <c r="CK69" i="1"/>
  <c r="CU69" i="1" s="1"/>
  <c r="CK66" i="1"/>
  <c r="CK67" i="1"/>
  <c r="CK124" i="1"/>
  <c r="CK371" i="1"/>
  <c r="CK396" i="1"/>
  <c r="CK102" i="2"/>
  <c r="CK73" i="5"/>
  <c r="CK96" i="5"/>
  <c r="CK243" i="5"/>
  <c r="CK17" i="5"/>
  <c r="CK43" i="5" s="1"/>
  <c r="L6" i="12"/>
  <c r="D65" i="3"/>
  <c r="E60" i="3"/>
  <c r="M60" i="3"/>
  <c r="L62" i="3"/>
  <c r="R6" i="12"/>
  <c r="CL19" i="5" l="1"/>
  <c r="DP284" i="2"/>
  <c r="CL285" i="2"/>
  <c r="CL287" i="2" s="1"/>
  <c r="CL284" i="5" s="1"/>
  <c r="CM284" i="2"/>
  <c r="CN290" i="2"/>
  <c r="CN289" i="2" s="1"/>
  <c r="CO292" i="2"/>
  <c r="S34" i="3"/>
  <c r="S59" i="3" s="1"/>
  <c r="T3" i="3"/>
  <c r="CM163" i="5"/>
  <c r="CO164" i="5"/>
  <c r="CN164" i="5"/>
  <c r="I26" i="5"/>
  <c r="J249" i="5"/>
  <c r="CP165" i="5"/>
  <c r="CL154" i="5"/>
  <c r="CP157" i="5"/>
  <c r="CP154" i="5" s="1"/>
  <c r="S5" i="3"/>
  <c r="H26" i="5"/>
  <c r="I25" i="5"/>
  <c r="I207" i="5"/>
  <c r="I208" i="5" s="1"/>
  <c r="CP164" i="5"/>
  <c r="BD200" i="5"/>
  <c r="BD202" i="5" s="1"/>
  <c r="BD205" i="5" s="1"/>
  <c r="BD204" i="5" s="1"/>
  <c r="K250" i="5"/>
  <c r="DQ157" i="2"/>
  <c r="DR236" i="1"/>
  <c r="DS235" i="1"/>
  <c r="DR269" i="1"/>
  <c r="DR386" i="1" s="1"/>
  <c r="DR391" i="1" s="1"/>
  <c r="DR271" i="1"/>
  <c r="DR286" i="1"/>
  <c r="CP226" i="1"/>
  <c r="DR223" i="1"/>
  <c r="DR136" i="1"/>
  <c r="CN127" i="5"/>
  <c r="CM145" i="5"/>
  <c r="CP271" i="1"/>
  <c r="CP269" i="1"/>
  <c r="CP272" i="1"/>
  <c r="CP270" i="1"/>
  <c r="CP286" i="1"/>
  <c r="CO189" i="1"/>
  <c r="CN337" i="1"/>
  <c r="CN266" i="1"/>
  <c r="CN344" i="1"/>
  <c r="CN335" i="1"/>
  <c r="CN347" i="1"/>
  <c r="CN338" i="1"/>
  <c r="CN332" i="1"/>
  <c r="CN345" i="1"/>
  <c r="CN333" i="1"/>
  <c r="CN346" i="1"/>
  <c r="CN336" i="1"/>
  <c r="CN334" i="1"/>
  <c r="CN343" i="1"/>
  <c r="CN331" i="1"/>
  <c r="CO264" i="1"/>
  <c r="CO263" i="1"/>
  <c r="CP262" i="1"/>
  <c r="DR262" i="1" s="1"/>
  <c r="DR265" i="1" s="1"/>
  <c r="CP137" i="1"/>
  <c r="DQ141" i="1"/>
  <c r="CO271" i="1"/>
  <c r="CO269" i="1"/>
  <c r="CO286" i="1"/>
  <c r="CO265" i="1"/>
  <c r="CO272" i="1"/>
  <c r="CO270" i="1"/>
  <c r="CO144" i="1"/>
  <c r="CP136" i="1"/>
  <c r="CP42" i="5" s="1"/>
  <c r="AJ63" i="6"/>
  <c r="AI71" i="6"/>
  <c r="AI54" i="6" s="1"/>
  <c r="BJ139" i="6"/>
  <c r="BI149" i="6"/>
  <c r="AR126" i="6"/>
  <c r="AR125" i="6" s="1"/>
  <c r="AS127" i="6"/>
  <c r="BG45" i="6"/>
  <c r="BG40" i="6" s="1"/>
  <c r="BG156" i="6" s="1"/>
  <c r="AK45" i="6"/>
  <c r="AJ40" i="6"/>
  <c r="BX327" i="5"/>
  <c r="AH20" i="6"/>
  <c r="BF64" i="6"/>
  <c r="BF72" i="6" s="1"/>
  <c r="AF72" i="6"/>
  <c r="AF55" i="6" s="1"/>
  <c r="AF49" i="6" s="1"/>
  <c r="AG64" i="6"/>
  <c r="AN44" i="6"/>
  <c r="AU65" i="6"/>
  <c r="AT73" i="6"/>
  <c r="AT56" i="6" s="1"/>
  <c r="BJ136" i="6"/>
  <c r="BI146" i="6"/>
  <c r="AQ41" i="6"/>
  <c r="BJ138" i="6"/>
  <c r="BI148" i="6"/>
  <c r="AE49" i="6"/>
  <c r="AR141" i="6"/>
  <c r="AQ151" i="6"/>
  <c r="AT60" i="6"/>
  <c r="AS68" i="6"/>
  <c r="AS51" i="6" s="1"/>
  <c r="BG62" i="6"/>
  <c r="BG70" i="6" s="1"/>
  <c r="AJ70" i="6"/>
  <c r="AJ53" i="6" s="1"/>
  <c r="BG53" i="6" s="1"/>
  <c r="AK62" i="6"/>
  <c r="AP143" i="6"/>
  <c r="AO153" i="6"/>
  <c r="AN137" i="6"/>
  <c r="AM147" i="6"/>
  <c r="AM145" i="6" s="1"/>
  <c r="AR61" i="6"/>
  <c r="AQ69" i="6"/>
  <c r="AQ52" i="6" s="1"/>
  <c r="AI19" i="6"/>
  <c r="AI156" i="6"/>
  <c r="BK98" i="6"/>
  <c r="AH67" i="6"/>
  <c r="AH50" i="6" s="1"/>
  <c r="AI59" i="6"/>
  <c r="BJ142" i="6"/>
  <c r="BI152" i="6"/>
  <c r="AP142" i="6"/>
  <c r="AO152" i="6"/>
  <c r="AO139" i="6"/>
  <c r="AN149" i="6"/>
  <c r="BH149" i="6" s="1"/>
  <c r="BK61" i="6"/>
  <c r="BJ69" i="6"/>
  <c r="BJ52" i="6" s="1"/>
  <c r="AO138" i="6"/>
  <c r="AN148" i="6"/>
  <c r="BH148" i="6" s="1"/>
  <c r="AO136" i="6"/>
  <c r="AN146" i="6"/>
  <c r="BJ41" i="6"/>
  <c r="BH137" i="6"/>
  <c r="BI137" i="6" s="1"/>
  <c r="BJ60" i="5"/>
  <c r="BJ22" i="5"/>
  <c r="BR157" i="2"/>
  <c r="CF157" i="2"/>
  <c r="BQ157" i="2"/>
  <c r="BJ261" i="5"/>
  <c r="CK157" i="2"/>
  <c r="DJ222" i="2"/>
  <c r="DJ224" i="2"/>
  <c r="DI18" i="5"/>
  <c r="DI60" i="5" s="1"/>
  <c r="BG200" i="5"/>
  <c r="BG202" i="5" s="1"/>
  <c r="BG205" i="5" s="1"/>
  <c r="BG207" i="5"/>
  <c r="BG208" i="5" s="1"/>
  <c r="DI157" i="2"/>
  <c r="BD207" i="5"/>
  <c r="BD208" i="5" s="1"/>
  <c r="BS157" i="2"/>
  <c r="DN156" i="2"/>
  <c r="DO157" i="2" s="1"/>
  <c r="DK224" i="2"/>
  <c r="BH25" i="5"/>
  <c r="BH207" i="5"/>
  <c r="BH208" i="5" s="1"/>
  <c r="BH200" i="5"/>
  <c r="BH202" i="5" s="1"/>
  <c r="BH205" i="5" s="1"/>
  <c r="BH204" i="5" s="1"/>
  <c r="BH182" i="5" s="1"/>
  <c r="BH181" i="5" s="1"/>
  <c r="BO157" i="2"/>
  <c r="DJ24" i="2"/>
  <c r="DO222" i="2"/>
  <c r="DO224" i="2"/>
  <c r="DL222" i="2"/>
  <c r="DL224" i="2"/>
  <c r="DK39" i="2"/>
  <c r="DK47" i="2" s="1"/>
  <c r="N18" i="3"/>
  <c r="DT156" i="2"/>
  <c r="DU157" i="2" s="1"/>
  <c r="BY157" i="2"/>
  <c r="BX157" i="2"/>
  <c r="BW157" i="2"/>
  <c r="DS156" i="2"/>
  <c r="DJ274" i="2"/>
  <c r="DJ278" i="2"/>
  <c r="BP157" i="2"/>
  <c r="DN222" i="2"/>
  <c r="DN224" i="2"/>
  <c r="DL157" i="2"/>
  <c r="DO278" i="2"/>
  <c r="AN207" i="5"/>
  <c r="AN208" i="5" s="1"/>
  <c r="AN25" i="5"/>
  <c r="AN26" i="5" s="1"/>
  <c r="AN200" i="5"/>
  <c r="AN202" i="5" s="1"/>
  <c r="AN205" i="5" s="1"/>
  <c r="AN204" i="5" s="1"/>
  <c r="I50" i="5"/>
  <c r="I251" i="5" s="1"/>
  <c r="AM25" i="5"/>
  <c r="AM207" i="5"/>
  <c r="AM208" i="5" s="1"/>
  <c r="DD22" i="5"/>
  <c r="DD200" i="5" s="1"/>
  <c r="DD43" i="5"/>
  <c r="CZ241" i="5"/>
  <c r="D254" i="5"/>
  <c r="BF22" i="5"/>
  <c r="DH22" i="5" s="1"/>
  <c r="DH25" i="5" s="1"/>
  <c r="CX43" i="5"/>
  <c r="K198" i="5"/>
  <c r="DO43" i="5"/>
  <c r="DO39" i="5" s="1"/>
  <c r="DO265" i="5" s="1"/>
  <c r="DO241" i="5"/>
  <c r="J266" i="5"/>
  <c r="CI45" i="5"/>
  <c r="K254" i="5"/>
  <c r="J242" i="5"/>
  <c r="DD244" i="5"/>
  <c r="DO22" i="5"/>
  <c r="DO24" i="5" s="1"/>
  <c r="R207" i="5"/>
  <c r="R208" i="5" s="1"/>
  <c r="R296" i="5"/>
  <c r="CX295" i="5"/>
  <c r="CX296" i="5" s="1"/>
  <c r="R50" i="5"/>
  <c r="R255" i="5" s="1"/>
  <c r="R56" i="5"/>
  <c r="CY241" i="5"/>
  <c r="D17" i="3"/>
  <c r="K242" i="5"/>
  <c r="C17" i="3"/>
  <c r="DD241" i="5"/>
  <c r="K266" i="5"/>
  <c r="CX244" i="5"/>
  <c r="DT59" i="5"/>
  <c r="DU31" i="5"/>
  <c r="Y24" i="3"/>
  <c r="R39" i="5"/>
  <c r="R266" i="5" s="1"/>
  <c r="DC241" i="5"/>
  <c r="L242" i="5"/>
  <c r="DC22" i="5"/>
  <c r="DC200" i="5" s="1"/>
  <c r="AO45" i="5"/>
  <c r="AO46" i="5" s="1"/>
  <c r="AO56" i="5" s="1"/>
  <c r="R200" i="5"/>
  <c r="R202" i="5" s="1"/>
  <c r="R205" i="5" s="1"/>
  <c r="R204" i="5" s="1"/>
  <c r="R182" i="5" s="1"/>
  <c r="R181" i="5" s="1"/>
  <c r="CX22" i="5"/>
  <c r="CX200" i="5" s="1"/>
  <c r="AA283" i="5"/>
  <c r="CZ283" i="5"/>
  <c r="CZ282" i="5" s="1"/>
  <c r="Z282" i="5"/>
  <c r="Z285" i="5" s="1"/>
  <c r="K265" i="5"/>
  <c r="DC244" i="5"/>
  <c r="DT103" i="5"/>
  <c r="DS148" i="5"/>
  <c r="Y200" i="5"/>
  <c r="Y202" i="5" s="1"/>
  <c r="Y205" i="5" s="1"/>
  <c r="Y204" i="5" s="1"/>
  <c r="Y182" i="5" s="1"/>
  <c r="Y181" i="5" s="1"/>
  <c r="Y25" i="5"/>
  <c r="Y207" i="5"/>
  <c r="Y208" i="5" s="1"/>
  <c r="AB25" i="5"/>
  <c r="AF26" i="5" s="1"/>
  <c r="AB200" i="5"/>
  <c r="AB202" i="5" s="1"/>
  <c r="AB205" i="5" s="1"/>
  <c r="AB204" i="5" s="1"/>
  <c r="AB182" i="5" s="1"/>
  <c r="AB181" i="5" s="1"/>
  <c r="AB207" i="5"/>
  <c r="AB208" i="5" s="1"/>
  <c r="BV263" i="5"/>
  <c r="BV143" i="5"/>
  <c r="BV138" i="5" s="1"/>
  <c r="BV137" i="5" s="1"/>
  <c r="DO207" i="5"/>
  <c r="DO208" i="5" s="1"/>
  <c r="DO225" i="5" s="1"/>
  <c r="AB39" i="5"/>
  <c r="AB45" i="5"/>
  <c r="Y45" i="5"/>
  <c r="Y46" i="5" s="1"/>
  <c r="Y56" i="5" s="1"/>
  <c r="Y39" i="5"/>
  <c r="Y266" i="5" s="1"/>
  <c r="DL263" i="5"/>
  <c r="DL143" i="5"/>
  <c r="DL138" i="5" s="1"/>
  <c r="DL137" i="5" s="1"/>
  <c r="BW323" i="5"/>
  <c r="BW324" i="5" s="1"/>
  <c r="BX325" i="5"/>
  <c r="CH227" i="5"/>
  <c r="CH226" i="5"/>
  <c r="CH46" i="5" s="1"/>
  <c r="CH56" i="5" s="1"/>
  <c r="CH203" i="5"/>
  <c r="CH204" i="5" s="1"/>
  <c r="CH182" i="5" s="1"/>
  <c r="CH181" i="5" s="1"/>
  <c r="CG207" i="5"/>
  <c r="CG208" i="5" s="1"/>
  <c r="CG225" i="5" s="1"/>
  <c r="CG200" i="5"/>
  <c r="CG202" i="5" s="1"/>
  <c r="CG205" i="5" s="1"/>
  <c r="CG25" i="5"/>
  <c r="CG26" i="5" s="1"/>
  <c r="BX127" i="5"/>
  <c r="BW128" i="5"/>
  <c r="BW129" i="5" s="1"/>
  <c r="BW145" i="5"/>
  <c r="CD22" i="5"/>
  <c r="CD244" i="5"/>
  <c r="CD43" i="5"/>
  <c r="DI261" i="5"/>
  <c r="DL128" i="5"/>
  <c r="BV129" i="5"/>
  <c r="DL129" i="5" s="1"/>
  <c r="CC45" i="5"/>
  <c r="AO200" i="5"/>
  <c r="AO202" i="5" s="1"/>
  <c r="AO205" i="5" s="1"/>
  <c r="AO204" i="5" s="1"/>
  <c r="AO182" i="5" s="1"/>
  <c r="AO181" i="5" s="1"/>
  <c r="AI39" i="5"/>
  <c r="AI242" i="5" s="1"/>
  <c r="AI45" i="5"/>
  <c r="DP127" i="5"/>
  <c r="CL145" i="5"/>
  <c r="DE3" i="5"/>
  <c r="AO25" i="5"/>
  <c r="AO198" i="5" s="1"/>
  <c r="DB53" i="5"/>
  <c r="DB78" i="5" s="1"/>
  <c r="CG45" i="5"/>
  <c r="CG39" i="5"/>
  <c r="CD241" i="5"/>
  <c r="AI207" i="5"/>
  <c r="AI208" i="5" s="1"/>
  <c r="AI200" i="5"/>
  <c r="AI202" i="5" s="1"/>
  <c r="AI205" i="5" s="1"/>
  <c r="AI204" i="5" s="1"/>
  <c r="AI182" i="5" s="1"/>
  <c r="AI181" i="5" s="1"/>
  <c r="AI25" i="5"/>
  <c r="AI26" i="5" s="1"/>
  <c r="CH198" i="5"/>
  <c r="CH35" i="5"/>
  <c r="CH218" i="5" s="1"/>
  <c r="CH254" i="5"/>
  <c r="CH250" i="5"/>
  <c r="CH72" i="5"/>
  <c r="CH76" i="5" s="1"/>
  <c r="CH79" i="5" s="1"/>
  <c r="CH84" i="5" s="1"/>
  <c r="CH86" i="5" s="1"/>
  <c r="CT25" i="5"/>
  <c r="CH249" i="5"/>
  <c r="CH266" i="5"/>
  <c r="CH265" i="5"/>
  <c r="BS167" i="1"/>
  <c r="BS161" i="1"/>
  <c r="BS195" i="1"/>
  <c r="BS171" i="1"/>
  <c r="BS162" i="1"/>
  <c r="BI151" i="1"/>
  <c r="T5" i="3"/>
  <c r="P5" i="7"/>
  <c r="P9" i="7" s="1"/>
  <c r="F5" i="7" s="1"/>
  <c r="BO161" i="1"/>
  <c r="BS163" i="1" s="1"/>
  <c r="BO195" i="1"/>
  <c r="BO171" i="1"/>
  <c r="BO172" i="1" s="1"/>
  <c r="BO167" i="1"/>
  <c r="AV151" i="1"/>
  <c r="S13" i="3"/>
  <c r="CG157" i="2"/>
  <c r="BD151" i="1"/>
  <c r="DM157" i="2"/>
  <c r="BX335" i="1"/>
  <c r="CB313" i="1"/>
  <c r="BO151" i="1"/>
  <c r="AW168" i="1"/>
  <c r="AW177" i="1"/>
  <c r="AW178" i="1" s="1"/>
  <c r="M25" i="5"/>
  <c r="Q26" i="5" s="1"/>
  <c r="M207" i="5"/>
  <c r="M208" i="5" s="1"/>
  <c r="M200" i="5"/>
  <c r="M202" i="5" s="1"/>
  <c r="M205" i="5" s="1"/>
  <c r="M204" i="5" s="1"/>
  <c r="M182" i="5" s="1"/>
  <c r="M181" i="5" s="1"/>
  <c r="BY43" i="5"/>
  <c r="BZ241" i="5"/>
  <c r="BY22" i="5"/>
  <c r="BY244" i="5"/>
  <c r="CI195" i="1"/>
  <c r="CI167" i="1"/>
  <c r="CI161" i="1"/>
  <c r="CI171" i="1"/>
  <c r="CI162" i="1"/>
  <c r="BN43" i="5"/>
  <c r="BN45" i="5" s="1"/>
  <c r="BN22" i="5"/>
  <c r="BN244" i="5"/>
  <c r="BN345" i="1"/>
  <c r="BR325" i="1"/>
  <c r="AR161" i="1"/>
  <c r="AR163" i="1" s="1"/>
  <c r="AR167" i="1"/>
  <c r="AR162" i="1"/>
  <c r="AR171" i="1"/>
  <c r="BF43" i="5"/>
  <c r="BF244" i="5"/>
  <c r="BG241" i="5"/>
  <c r="BI167" i="1"/>
  <c r="BI161" i="1"/>
  <c r="BI171" i="1"/>
  <c r="DJ337" i="1"/>
  <c r="DK315" i="1"/>
  <c r="DK338" i="1" s="1"/>
  <c r="CH168" i="1"/>
  <c r="CH177" i="1"/>
  <c r="CH178" i="1" s="1"/>
  <c r="CE195" i="1"/>
  <c r="CE161" i="1"/>
  <c r="CE171" i="1"/>
  <c r="CE172" i="1" s="1"/>
  <c r="CE167" i="1"/>
  <c r="E46" i="5"/>
  <c r="E56" i="5" s="1"/>
  <c r="CH197" i="1"/>
  <c r="CH196" i="1"/>
  <c r="CH199" i="1" s="1"/>
  <c r="CH201" i="1"/>
  <c r="BQ167" i="1"/>
  <c r="BQ195" i="1"/>
  <c r="BQ161" i="1"/>
  <c r="BQ171" i="1"/>
  <c r="DO200" i="5"/>
  <c r="DO202" i="5" s="1"/>
  <c r="BI162" i="1"/>
  <c r="M12" i="3"/>
  <c r="M13" i="3" s="1"/>
  <c r="DH243" i="5"/>
  <c r="BO200" i="5"/>
  <c r="BO202" i="5" s="1"/>
  <c r="BO205" i="5" s="1"/>
  <c r="BO204" i="5" s="1"/>
  <c r="BO182" i="5" s="1"/>
  <c r="BO181" i="5" s="1"/>
  <c r="BO207" i="5"/>
  <c r="BO208" i="5" s="1"/>
  <c r="BO225" i="5" s="1"/>
  <c r="BO25" i="5"/>
  <c r="DH17" i="5"/>
  <c r="BJ167" i="1"/>
  <c r="BJ171" i="1"/>
  <c r="BJ161" i="1"/>
  <c r="BJ162" i="1"/>
  <c r="BN162" i="1"/>
  <c r="DO25" i="5"/>
  <c r="DO29" i="5" s="1"/>
  <c r="S16" i="3"/>
  <c r="H50" i="5"/>
  <c r="H57" i="5" s="1"/>
  <c r="BU151" i="1"/>
  <c r="CE241" i="5"/>
  <c r="CE22" i="5"/>
  <c r="CE244" i="5"/>
  <c r="CE43" i="5"/>
  <c r="CI151" i="1"/>
  <c r="DJ167" i="1"/>
  <c r="DJ161" i="1"/>
  <c r="N40" i="3"/>
  <c r="N41" i="3" s="1"/>
  <c r="DJ195" i="1"/>
  <c r="BY241" i="5"/>
  <c r="DK324" i="1"/>
  <c r="DJ344" i="1"/>
  <c r="BO45" i="5"/>
  <c r="BO39" i="5"/>
  <c r="M45" i="5"/>
  <c r="M39" i="5"/>
  <c r="R72" i="5"/>
  <c r="R76" i="5" s="1"/>
  <c r="R79" i="5" s="1"/>
  <c r="R84" i="5" s="1"/>
  <c r="R86" i="5" s="1"/>
  <c r="R198" i="5"/>
  <c r="R35" i="5"/>
  <c r="R254" i="5"/>
  <c r="R250" i="5"/>
  <c r="BJ151" i="1"/>
  <c r="BN151" i="1"/>
  <c r="E254" i="5"/>
  <c r="E72" i="5"/>
  <c r="E76" i="5" s="1"/>
  <c r="E79" i="5" s="1"/>
  <c r="E84" i="5" s="1"/>
  <c r="E86" i="5" s="1"/>
  <c r="E35" i="5"/>
  <c r="E198" i="5"/>
  <c r="E250" i="5"/>
  <c r="CH175" i="1"/>
  <c r="BQ162" i="1"/>
  <c r="E249" i="5"/>
  <c r="E265" i="5"/>
  <c r="E266" i="5"/>
  <c r="E242" i="5"/>
  <c r="BO241" i="5"/>
  <c r="P5" i="3"/>
  <c r="M5" i="7"/>
  <c r="P16" i="3"/>
  <c r="BD311" i="1"/>
  <c r="AZ333" i="1"/>
  <c r="BO311" i="1"/>
  <c r="BK333" i="1"/>
  <c r="CG161" i="1"/>
  <c r="CG195" i="1"/>
  <c r="CG167" i="1"/>
  <c r="CG171" i="1"/>
  <c r="CG172" i="1" s="1"/>
  <c r="CG175" i="1" s="1"/>
  <c r="E7" i="10"/>
  <c r="E8" i="10" s="1"/>
  <c r="O89" i="3"/>
  <c r="T13" i="3"/>
  <c r="AS151" i="1"/>
  <c r="AW151" i="1"/>
  <c r="Q5" i="3"/>
  <c r="Q16" i="3"/>
  <c r="N5" i="7"/>
  <c r="CA162" i="1"/>
  <c r="CA195" i="1"/>
  <c r="CA167" i="1"/>
  <c r="CA171" i="1"/>
  <c r="CE162" i="1"/>
  <c r="CA161" i="1"/>
  <c r="BW162" i="1"/>
  <c r="BW195" i="1"/>
  <c r="BW161" i="1"/>
  <c r="BW163" i="1" s="1"/>
  <c r="BW171" i="1"/>
  <c r="BW167" i="1"/>
  <c r="K50" i="5"/>
  <c r="K255" i="5" s="1"/>
  <c r="AD50" i="5"/>
  <c r="AD57" i="5" s="1"/>
  <c r="DQ325" i="1"/>
  <c r="DP345" i="1"/>
  <c r="BO325" i="1"/>
  <c r="BK345" i="1"/>
  <c r="AS162" i="1"/>
  <c r="AS161" i="1"/>
  <c r="AS167" i="1"/>
  <c r="AW162" i="1"/>
  <c r="AQ167" i="1"/>
  <c r="AQ161" i="1"/>
  <c r="AQ163" i="1" s="1"/>
  <c r="AQ162" i="1"/>
  <c r="AQ185" i="1"/>
  <c r="AQ171" i="1"/>
  <c r="AQ17" i="5"/>
  <c r="AQ243" i="5"/>
  <c r="BU167" i="1"/>
  <c r="BU161" i="1"/>
  <c r="BU171" i="1"/>
  <c r="BU195" i="1"/>
  <c r="BU162" i="1"/>
  <c r="BT151" i="1"/>
  <c r="CE325" i="1"/>
  <c r="CA345" i="1"/>
  <c r="BP195" i="1"/>
  <c r="BP171" i="1"/>
  <c r="BP167" i="1"/>
  <c r="BP161" i="1"/>
  <c r="AU151" i="1"/>
  <c r="BZ45" i="5"/>
  <c r="BZ39" i="5"/>
  <c r="BX345" i="1"/>
  <c r="CB325" i="1"/>
  <c r="BN314" i="1"/>
  <c r="DJ313" i="1"/>
  <c r="BJ336" i="1"/>
  <c r="BT195" i="1"/>
  <c r="BT162" i="1"/>
  <c r="BT167" i="1"/>
  <c r="BT171" i="1"/>
  <c r="BT161" i="1"/>
  <c r="BT163" i="1" s="1"/>
  <c r="BK177" i="1"/>
  <c r="BK178" i="1" s="1"/>
  <c r="BK168" i="1"/>
  <c r="AA45" i="5"/>
  <c r="AA39" i="5"/>
  <c r="BD161" i="1"/>
  <c r="BH163" i="1" s="1"/>
  <c r="BD167" i="1"/>
  <c r="BH162" i="1"/>
  <c r="BD171" i="1"/>
  <c r="DN325" i="1"/>
  <c r="DM345" i="1"/>
  <c r="BN325" i="1"/>
  <c r="DJ324" i="1"/>
  <c r="BJ345" i="1"/>
  <c r="L5" i="7"/>
  <c r="O16" i="3"/>
  <c r="DJ17" i="5"/>
  <c r="DJ243" i="5"/>
  <c r="O12" i="3"/>
  <c r="R5" i="3"/>
  <c r="DE40" i="2"/>
  <c r="BJ333" i="1"/>
  <c r="BN311" i="1"/>
  <c r="DJ310" i="1"/>
  <c r="BX151" i="1"/>
  <c r="CA325" i="1"/>
  <c r="BW345" i="1"/>
  <c r="BZ207" i="5"/>
  <c r="BZ208" i="5" s="1"/>
  <c r="BZ225" i="5" s="1"/>
  <c r="BZ25" i="5"/>
  <c r="BZ200" i="5"/>
  <c r="BZ202" i="5" s="1"/>
  <c r="BZ205" i="5" s="1"/>
  <c r="BZ204" i="5" s="1"/>
  <c r="BZ182" i="5" s="1"/>
  <c r="BZ181" i="5" s="1"/>
  <c r="BR243" i="5"/>
  <c r="BR17" i="5"/>
  <c r="BZ195" i="1"/>
  <c r="BZ161" i="1"/>
  <c r="BZ167" i="1"/>
  <c r="BZ171" i="1"/>
  <c r="BZ172" i="1" s="1"/>
  <c r="BZ175" i="1" s="1"/>
  <c r="BS43" i="5"/>
  <c r="BT241" i="5"/>
  <c r="BS22" i="5"/>
  <c r="BS241" i="5"/>
  <c r="BS244" i="5"/>
  <c r="BK172" i="1"/>
  <c r="BK174" i="1" s="1"/>
  <c r="AA25" i="5"/>
  <c r="AE26" i="5" s="1"/>
  <c r="AA200" i="5"/>
  <c r="AA202" i="5" s="1"/>
  <c r="AA205" i="5" s="1"/>
  <c r="AA204" i="5" s="1"/>
  <c r="AA182" i="5" s="1"/>
  <c r="AA181" i="5" s="1"/>
  <c r="AA207" i="5"/>
  <c r="AA208" i="5" s="1"/>
  <c r="BA167" i="1"/>
  <c r="BA161" i="1"/>
  <c r="BA163" i="1" s="1"/>
  <c r="BA162" i="1"/>
  <c r="BA171" i="1"/>
  <c r="D251" i="5"/>
  <c r="AT19" i="1"/>
  <c r="AS150" i="2"/>
  <c r="AS156" i="2" s="1"/>
  <c r="AS157" i="2" s="1"/>
  <c r="BX171" i="1"/>
  <c r="BX167" i="1"/>
  <c r="BX161" i="1"/>
  <c r="BX195" i="1"/>
  <c r="BX162" i="1"/>
  <c r="DJ315" i="1"/>
  <c r="DJ338" i="1" s="1"/>
  <c r="BJ338" i="1"/>
  <c r="P35" i="3"/>
  <c r="P37" i="3" s="1"/>
  <c r="DL160" i="1"/>
  <c r="DL149" i="1"/>
  <c r="DK133" i="2"/>
  <c r="BK25" i="5"/>
  <c r="BK26" i="5" s="1"/>
  <c r="BK207" i="5"/>
  <c r="BK208" i="5" s="1"/>
  <c r="BK225" i="5" s="1"/>
  <c r="BK200" i="5"/>
  <c r="BK202" i="5" s="1"/>
  <c r="BK205" i="5" s="1"/>
  <c r="BK204" i="5" s="1"/>
  <c r="BK182" i="5" s="1"/>
  <c r="BK181" i="5" s="1"/>
  <c r="BI311" i="1"/>
  <c r="BE333" i="1"/>
  <c r="CB345" i="1"/>
  <c r="CF325" i="1"/>
  <c r="CA151" i="1"/>
  <c r="CE151" i="1"/>
  <c r="DP325" i="1"/>
  <c r="DO345" i="1"/>
  <c r="CJ43" i="5"/>
  <c r="CJ241" i="5"/>
  <c r="CJ244" i="5"/>
  <c r="CJ22" i="5"/>
  <c r="BC45" i="5"/>
  <c r="BC39" i="5"/>
  <c r="BD242" i="5" s="1"/>
  <c r="BE173" i="1"/>
  <c r="BI173" i="1"/>
  <c r="BM326" i="1"/>
  <c r="BM347" i="1" s="1"/>
  <c r="BI346" i="1"/>
  <c r="BL241" i="5"/>
  <c r="BL22" i="5"/>
  <c r="BL43" i="5"/>
  <c r="BL244" i="5"/>
  <c r="BM22" i="5"/>
  <c r="BM43" i="5"/>
  <c r="BM244" i="5"/>
  <c r="BM241" i="5"/>
  <c r="BN241" i="5"/>
  <c r="CB162" i="1"/>
  <c r="CB161" i="1"/>
  <c r="CB163" i="1" s="1"/>
  <c r="CB167" i="1"/>
  <c r="CB195" i="1"/>
  <c r="CB171" i="1"/>
  <c r="AP207" i="5"/>
  <c r="AP208" i="5" s="1"/>
  <c r="AP25" i="5"/>
  <c r="AP26" i="5" s="1"/>
  <c r="AP200" i="5"/>
  <c r="AP202" i="5" s="1"/>
  <c r="BK201" i="1"/>
  <c r="BK196" i="1"/>
  <c r="BK197" i="1"/>
  <c r="BK214" i="1"/>
  <c r="DL17" i="5"/>
  <c r="DL243" i="5"/>
  <c r="Q12" i="3"/>
  <c r="Q13" i="3" s="1"/>
  <c r="DI184" i="1"/>
  <c r="BC207" i="5"/>
  <c r="BC208" i="5" s="1"/>
  <c r="BC200" i="5"/>
  <c r="BC202" i="5" s="1"/>
  <c r="BC205" i="5" s="1"/>
  <c r="BC204" i="5" s="1"/>
  <c r="BC182" i="5" s="1"/>
  <c r="BC181" i="5" s="1"/>
  <c r="BC25" i="5"/>
  <c r="CB151" i="1"/>
  <c r="DK243" i="5"/>
  <c r="P12" i="3"/>
  <c r="P13" i="3" s="1"/>
  <c r="DK17" i="5"/>
  <c r="BK45" i="5"/>
  <c r="BK39" i="5"/>
  <c r="BK242" i="5" s="1"/>
  <c r="AP39" i="5"/>
  <c r="AP45" i="5"/>
  <c r="BK163" i="1"/>
  <c r="BO163" i="1"/>
  <c r="DO386" i="1"/>
  <c r="DN391" i="1"/>
  <c r="BZ325" i="1"/>
  <c r="BV345" i="1"/>
  <c r="BW151" i="1"/>
  <c r="BV325" i="1"/>
  <c r="BR345" i="1"/>
  <c r="BR216" i="1"/>
  <c r="BR215" i="1"/>
  <c r="BR217" i="1" s="1"/>
  <c r="CG311" i="1"/>
  <c r="CC333" i="1"/>
  <c r="AW13" i="1"/>
  <c r="AW21" i="1"/>
  <c r="CB45" i="5"/>
  <c r="CB39" i="5"/>
  <c r="CC242" i="5" s="1"/>
  <c r="AR11" i="2"/>
  <c r="AR47" i="2"/>
  <c r="AV48" i="2"/>
  <c r="AV40" i="2"/>
  <c r="AX11" i="1"/>
  <c r="AW3" i="1"/>
  <c r="AW9" i="1"/>
  <c r="AW18" i="1"/>
  <c r="AW4" i="2"/>
  <c r="BR210" i="1"/>
  <c r="BR211" i="1" s="1"/>
  <c r="BR202" i="1"/>
  <c r="DG149" i="1"/>
  <c r="DH150" i="1" s="1"/>
  <c r="K51" i="3"/>
  <c r="DG160" i="1"/>
  <c r="DH162" i="1" s="1"/>
  <c r="DF133" i="2"/>
  <c r="DI310" i="1"/>
  <c r="DI333" i="1" s="1"/>
  <c r="BJ311" i="1"/>
  <c r="BF333" i="1"/>
  <c r="CJ162" i="1"/>
  <c r="CJ195" i="1"/>
  <c r="CJ167" i="1"/>
  <c r="CJ161" i="1"/>
  <c r="CJ171" i="1"/>
  <c r="AR6" i="5"/>
  <c r="DI243" i="5"/>
  <c r="N12" i="3"/>
  <c r="N13" i="3" s="1"/>
  <c r="DI17" i="5"/>
  <c r="BU326" i="1"/>
  <c r="BU347" i="1" s="1"/>
  <c r="BQ346" i="1"/>
  <c r="BA333" i="1"/>
  <c r="BE311" i="1"/>
  <c r="BN210" i="1"/>
  <c r="BN211" i="1" s="1"/>
  <c r="BN212" i="1" s="1"/>
  <c r="BN202" i="1"/>
  <c r="BN203" i="1" s="1"/>
  <c r="BH325" i="1"/>
  <c r="BD345" i="1"/>
  <c r="BB345" i="1"/>
  <c r="DH324" i="1"/>
  <c r="DH345" i="1" s="1"/>
  <c r="BF325" i="1"/>
  <c r="BH311" i="1"/>
  <c r="BD333" i="1"/>
  <c r="AF265" i="5"/>
  <c r="AF249" i="5"/>
  <c r="DM193" i="2"/>
  <c r="DN194" i="2"/>
  <c r="CF244" i="5"/>
  <c r="CF43" i="5"/>
  <c r="CF22" i="5"/>
  <c r="CG241" i="5"/>
  <c r="CF241" i="5"/>
  <c r="BK312" i="1"/>
  <c r="BG334" i="1"/>
  <c r="CL312" i="1"/>
  <c r="CL335" i="1" s="1"/>
  <c r="CH334" i="1"/>
  <c r="V35" i="5"/>
  <c r="V254" i="5"/>
  <c r="V198" i="5"/>
  <c r="V26" i="5"/>
  <c r="V72" i="5"/>
  <c r="V76" i="5" s="1"/>
  <c r="V79" i="5" s="1"/>
  <c r="V84" i="5" s="1"/>
  <c r="V86" i="5" s="1"/>
  <c r="V250" i="5"/>
  <c r="Z26" i="5"/>
  <c r="CG312" i="1"/>
  <c r="CC334" i="1"/>
  <c r="BM201" i="1"/>
  <c r="BM196" i="1"/>
  <c r="BM214" i="1"/>
  <c r="BM197" i="1"/>
  <c r="BE168" i="1"/>
  <c r="BE177" i="1"/>
  <c r="BE178" i="1" s="1"/>
  <c r="BS315" i="1"/>
  <c r="BS338" i="1" s="1"/>
  <c r="BO337" i="1"/>
  <c r="BT326" i="1"/>
  <c r="BT347" i="1" s="1"/>
  <c r="BP346" i="1"/>
  <c r="AF35" i="5"/>
  <c r="AF254" i="5"/>
  <c r="AF250" i="5"/>
  <c r="AF72" i="5"/>
  <c r="AF76" i="5" s="1"/>
  <c r="AF79" i="5" s="1"/>
  <c r="AF84" i="5" s="1"/>
  <c r="AF86" i="5" s="1"/>
  <c r="AF198" i="5"/>
  <c r="BL311" i="1"/>
  <c r="BH333" i="1"/>
  <c r="BN198" i="1"/>
  <c r="BN199" i="1"/>
  <c r="CL326" i="1"/>
  <c r="CL347" i="1" s="1"/>
  <c r="CH346" i="1"/>
  <c r="DM180" i="2"/>
  <c r="DN181" i="2"/>
  <c r="AX151" i="1"/>
  <c r="BB151" i="1"/>
  <c r="DI311" i="1"/>
  <c r="DI334" i="1" s="1"/>
  <c r="BF334" i="1"/>
  <c r="BJ312" i="1"/>
  <c r="AU4" i="1"/>
  <c r="AU5" i="1"/>
  <c r="AU3" i="5"/>
  <c r="AU12" i="1"/>
  <c r="AU8" i="1" s="1"/>
  <c r="BV312" i="1"/>
  <c r="BR334" i="1"/>
  <c r="DL311" i="1"/>
  <c r="DM160" i="1"/>
  <c r="Q35" i="3"/>
  <c r="DM149" i="1"/>
  <c r="DL133" i="2"/>
  <c r="BY312" i="1"/>
  <c r="BU334" i="1"/>
  <c r="AX171" i="1"/>
  <c r="AX161" i="1"/>
  <c r="AX167" i="1"/>
  <c r="AX162" i="1"/>
  <c r="BB162" i="1"/>
  <c r="DM191" i="2"/>
  <c r="DN192" i="2"/>
  <c r="DF160" i="1"/>
  <c r="DF149" i="1"/>
  <c r="J51" i="3"/>
  <c r="DH184" i="1"/>
  <c r="BI345" i="1"/>
  <c r="BM325" i="1"/>
  <c r="CD312" i="1"/>
  <c r="BZ334" i="1"/>
  <c r="BS333" i="1"/>
  <c r="BW311" i="1"/>
  <c r="DM43" i="5"/>
  <c r="R17" i="3"/>
  <c r="DM244" i="5"/>
  <c r="DM22" i="5"/>
  <c r="DM176" i="2"/>
  <c r="DN177" i="2"/>
  <c r="DG156" i="2"/>
  <c r="DH157" i="2" s="1"/>
  <c r="BB157" i="2"/>
  <c r="BC157" i="2"/>
  <c r="AT148" i="2"/>
  <c r="AS108" i="2"/>
  <c r="BH326" i="1"/>
  <c r="BH347" i="1" s="1"/>
  <c r="BD346" i="1"/>
  <c r="AY151" i="1"/>
  <c r="AT108" i="2"/>
  <c r="AV161" i="1"/>
  <c r="AV163" i="1" s="1"/>
  <c r="AV167" i="1"/>
  <c r="AV162" i="1"/>
  <c r="AV171" i="1"/>
  <c r="AT327" i="1"/>
  <c r="DF320" i="1"/>
  <c r="AF46" i="5"/>
  <c r="AF56" i="5" s="1"/>
  <c r="AZ151" i="1"/>
  <c r="DH195" i="1"/>
  <c r="DH205" i="1" s="1"/>
  <c r="DH167" i="1"/>
  <c r="DH161" i="1"/>
  <c r="BW326" i="1"/>
  <c r="BW347" i="1" s="1"/>
  <c r="BS346" i="1"/>
  <c r="CJ312" i="1"/>
  <c r="CJ335" i="1" s="1"/>
  <c r="CF334" i="1"/>
  <c r="CD168" i="1"/>
  <c r="CD177" i="1"/>
  <c r="CD178" i="1" s="1"/>
  <c r="AS274" i="1"/>
  <c r="AS275" i="1" s="1"/>
  <c r="AS284" i="1" s="1"/>
  <c r="AS278" i="1" s="1"/>
  <c r="AS111" i="2"/>
  <c r="AS112" i="2" s="1"/>
  <c r="AS10" i="2"/>
  <c r="AS11" i="2" s="1"/>
  <c r="AT153" i="2"/>
  <c r="DE153" i="2" s="1"/>
  <c r="AT152" i="2"/>
  <c r="DE152" i="2" s="1"/>
  <c r="AR39" i="2"/>
  <c r="BF174" i="1"/>
  <c r="BC151" i="1"/>
  <c r="BG151" i="1"/>
  <c r="DL324" i="1"/>
  <c r="DK344" i="1"/>
  <c r="AT111" i="2"/>
  <c r="AT112" i="2" s="1"/>
  <c r="AT10" i="2"/>
  <c r="AT11" i="2" s="1"/>
  <c r="DQ335" i="1"/>
  <c r="CC151" i="1"/>
  <c r="CG151" i="1"/>
  <c r="AU15" i="1"/>
  <c r="AU19" i="1" s="1"/>
  <c r="N37" i="3"/>
  <c r="O5" i="3"/>
  <c r="N16" i="3"/>
  <c r="N5" i="3"/>
  <c r="DF20" i="1"/>
  <c r="DF15" i="1"/>
  <c r="DF19" i="1" s="1"/>
  <c r="BF179" i="1"/>
  <c r="BM311" i="1"/>
  <c r="BI333" i="1"/>
  <c r="AT162" i="1"/>
  <c r="AT161" i="1"/>
  <c r="AT163" i="1" s="1"/>
  <c r="AT167" i="1"/>
  <c r="BE325" i="1"/>
  <c r="BA345" i="1"/>
  <c r="DH151" i="1"/>
  <c r="L53" i="3" s="1"/>
  <c r="L54" i="3" s="1"/>
  <c r="BX311" i="1"/>
  <c r="BT333" i="1"/>
  <c r="BU345" i="1"/>
  <c r="BY325" i="1"/>
  <c r="CD197" i="1"/>
  <c r="CD201" i="1"/>
  <c r="CD196" i="1"/>
  <c r="BC167" i="1"/>
  <c r="BC161" i="1"/>
  <c r="BC162" i="1"/>
  <c r="BC171" i="1"/>
  <c r="BG162" i="1"/>
  <c r="BX325" i="1"/>
  <c r="BT345" i="1"/>
  <c r="CJ157" i="2"/>
  <c r="DO45" i="5"/>
  <c r="DO46" i="5" s="1"/>
  <c r="DO56" i="5" s="1"/>
  <c r="D255" i="5"/>
  <c r="DJ40" i="5"/>
  <c r="DJ168" i="5"/>
  <c r="DJ51" i="5"/>
  <c r="DJ75" i="5" s="1"/>
  <c r="DJ171" i="5"/>
  <c r="AV15" i="1"/>
  <c r="AV19" i="1" s="1"/>
  <c r="BE163" i="1"/>
  <c r="BI163" i="1"/>
  <c r="CC195" i="1"/>
  <c r="CC171" i="1"/>
  <c r="CC161" i="1"/>
  <c r="CC162" i="1"/>
  <c r="CC167" i="1"/>
  <c r="CG162" i="1"/>
  <c r="BW312" i="1"/>
  <c r="BS334" i="1"/>
  <c r="DI324" i="1"/>
  <c r="DI345" i="1" s="1"/>
  <c r="BF345" i="1"/>
  <c r="BJ325" i="1"/>
  <c r="AU320" i="1"/>
  <c r="AU327" i="1" s="1"/>
  <c r="AU348" i="1" s="1"/>
  <c r="AU342" i="1" s="1"/>
  <c r="AV306" i="1"/>
  <c r="AU316" i="1"/>
  <c r="AU339" i="1" s="1"/>
  <c r="AU330" i="1" s="1"/>
  <c r="AX7" i="1"/>
  <c r="AY20" i="1"/>
  <c r="BR198" i="1"/>
  <c r="BR199" i="1"/>
  <c r="V265" i="5"/>
  <c r="V249" i="5"/>
  <c r="V266" i="5"/>
  <c r="BM168" i="1"/>
  <c r="BM177" i="1"/>
  <c r="BM178" i="1" s="1"/>
  <c r="BE45" i="5"/>
  <c r="BE46" i="5" s="1"/>
  <c r="BE56" i="5" s="1"/>
  <c r="BE39" i="5"/>
  <c r="BE242" i="5" s="1"/>
  <c r="BW325" i="1"/>
  <c r="BS345" i="1"/>
  <c r="BF169" i="1"/>
  <c r="BL325" i="1"/>
  <c r="BH345" i="1"/>
  <c r="AZ168" i="1"/>
  <c r="AZ177" i="1"/>
  <c r="AZ178" i="1" s="1"/>
  <c r="BL151" i="1"/>
  <c r="BP151" i="1"/>
  <c r="BG325" i="1"/>
  <c r="BC345" i="1"/>
  <c r="AU161" i="1"/>
  <c r="AU163" i="1" s="1"/>
  <c r="AU167" i="1"/>
  <c r="AU162" i="1"/>
  <c r="AU171" i="1"/>
  <c r="AY173" i="1" s="1"/>
  <c r="AT4" i="5"/>
  <c r="AT6" i="5" s="1"/>
  <c r="AT16" i="1"/>
  <c r="DN173" i="2"/>
  <c r="DM172" i="2"/>
  <c r="DI149" i="1"/>
  <c r="DI160" i="1"/>
  <c r="M51" i="3"/>
  <c r="M52" i="3" s="1"/>
  <c r="DH133" i="2"/>
  <c r="AT151" i="2"/>
  <c r="BV151" i="1"/>
  <c r="BZ151" i="1"/>
  <c r="DP149" i="1"/>
  <c r="DO133" i="2"/>
  <c r="T35" i="3"/>
  <c r="DP160" i="1"/>
  <c r="CF162" i="1"/>
  <c r="CF195" i="1"/>
  <c r="CF167" i="1"/>
  <c r="CF161" i="1"/>
  <c r="CF171" i="1"/>
  <c r="BY151" i="1"/>
  <c r="DK160" i="1"/>
  <c r="O35" i="3"/>
  <c r="DK149" i="1"/>
  <c r="DJ133" i="2"/>
  <c r="CK326" i="1"/>
  <c r="CK347" i="1" s="1"/>
  <c r="CG346" i="1"/>
  <c r="BY161" i="1"/>
  <c r="BY162" i="1"/>
  <c r="BY167" i="1"/>
  <c r="BY195" i="1"/>
  <c r="BY171" i="1"/>
  <c r="CB200" i="5"/>
  <c r="CB202" i="5" s="1"/>
  <c r="CB205" i="5" s="1"/>
  <c r="CB25" i="5"/>
  <c r="CB207" i="5"/>
  <c r="CB208" i="5" s="1"/>
  <c r="CB225" i="5" s="1"/>
  <c r="BN215" i="1"/>
  <c r="BN217" i="1" s="1"/>
  <c r="BN216" i="1"/>
  <c r="O9" i="7"/>
  <c r="E5" i="7" s="1"/>
  <c r="O13" i="7"/>
  <c r="E6" i="7" s="1"/>
  <c r="CE335" i="1"/>
  <c r="CI313" i="1"/>
  <c r="CI336" i="1" s="1"/>
  <c r="CH312" i="1"/>
  <c r="CD334" i="1"/>
  <c r="S35" i="3"/>
  <c r="DO149" i="1"/>
  <c r="DO160" i="1"/>
  <c r="DN133" i="2"/>
  <c r="CD172" i="1"/>
  <c r="CH173" i="1"/>
  <c r="AY23" i="1"/>
  <c r="AZ23" i="1" s="1"/>
  <c r="DE133" i="2"/>
  <c r="AT339" i="1"/>
  <c r="AT330" i="1" s="1"/>
  <c r="DF316" i="1"/>
  <c r="DF339" i="1" s="1"/>
  <c r="DF330" i="1" s="1"/>
  <c r="CB334" i="1"/>
  <c r="CF312" i="1"/>
  <c r="BV171" i="1"/>
  <c r="BV195" i="1"/>
  <c r="BV162" i="1"/>
  <c r="BV161" i="1"/>
  <c r="BV167" i="1"/>
  <c r="BZ162" i="1"/>
  <c r="CJ151" i="1"/>
  <c r="BR179" i="1"/>
  <c r="BU312" i="1"/>
  <c r="BQ334" i="1"/>
  <c r="DN244" i="5"/>
  <c r="DN22" i="5"/>
  <c r="S17" i="3"/>
  <c r="DN43" i="5"/>
  <c r="DN241" i="5"/>
  <c r="BM163" i="1"/>
  <c r="BQ163" i="1"/>
  <c r="BL195" i="1"/>
  <c r="BL167" i="1"/>
  <c r="BL162" i="1"/>
  <c r="BL161" i="1"/>
  <c r="BP162" i="1"/>
  <c r="BL171" i="1"/>
  <c r="AT171" i="1"/>
  <c r="AF266" i="5"/>
  <c r="DN333" i="1"/>
  <c r="DO311" i="1"/>
  <c r="AV4" i="1"/>
  <c r="AV5" i="1"/>
  <c r="AV3" i="5"/>
  <c r="R35" i="3"/>
  <c r="DN149" i="1"/>
  <c r="DN160" i="1"/>
  <c r="DM133" i="2"/>
  <c r="BG333" i="1"/>
  <c r="BK311" i="1"/>
  <c r="AU48" i="2"/>
  <c r="AU40" i="2"/>
  <c r="AS16" i="1"/>
  <c r="AS4" i="5"/>
  <c r="AS6" i="5" s="1"/>
  <c r="AS22" i="1"/>
  <c r="V46" i="5"/>
  <c r="V56" i="5" s="1"/>
  <c r="DM188" i="2"/>
  <c r="DN189" i="2"/>
  <c r="AZ162" i="1"/>
  <c r="BX336" i="1"/>
  <c r="CB314" i="1"/>
  <c r="DF4" i="1"/>
  <c r="DF12" i="1"/>
  <c r="DF8" i="1" s="1"/>
  <c r="DQ324" i="1"/>
  <c r="DP344" i="1"/>
  <c r="CF151" i="1"/>
  <c r="CE311" i="1"/>
  <c r="CA333" i="1"/>
  <c r="AY168" i="1"/>
  <c r="AY177" i="1"/>
  <c r="AY178" i="1" s="1"/>
  <c r="DM184" i="2"/>
  <c r="DN185" i="2"/>
  <c r="DL310" i="1"/>
  <c r="BR333" i="1"/>
  <c r="BV311" i="1"/>
  <c r="CD163" i="1"/>
  <c r="CH163" i="1"/>
  <c r="BU333" i="1"/>
  <c r="BY311" i="1"/>
  <c r="BK325" i="1"/>
  <c r="BG345" i="1"/>
  <c r="BU346" i="1"/>
  <c r="BY326" i="1"/>
  <c r="BY347" i="1" s="1"/>
  <c r="DM333" i="1"/>
  <c r="DN311" i="1"/>
  <c r="AO254" i="5"/>
  <c r="AO250" i="5"/>
  <c r="BU227" i="5"/>
  <c r="BU226" i="5"/>
  <c r="BU46" i="5" s="1"/>
  <c r="AJ26" i="5"/>
  <c r="AJ35" i="5"/>
  <c r="AJ72" i="5"/>
  <c r="AJ76" i="5" s="1"/>
  <c r="AJ79" i="5" s="1"/>
  <c r="AJ84" i="5" s="1"/>
  <c r="AJ86" i="5" s="1"/>
  <c r="AJ250" i="5"/>
  <c r="AJ254" i="5"/>
  <c r="AJ198" i="5"/>
  <c r="Q249" i="5"/>
  <c r="Q242" i="5"/>
  <c r="Q265" i="5"/>
  <c r="Q266" i="5"/>
  <c r="AE242" i="5"/>
  <c r="AE249" i="5"/>
  <c r="AE265" i="5"/>
  <c r="AF242" i="5"/>
  <c r="AE266" i="5"/>
  <c r="Q46" i="5"/>
  <c r="BU249" i="5"/>
  <c r="BU265" i="5"/>
  <c r="BU266" i="5"/>
  <c r="AE72" i="5"/>
  <c r="AE76" i="5" s="1"/>
  <c r="AE79" i="5" s="1"/>
  <c r="AE84" i="5" s="1"/>
  <c r="AE86" i="5" s="1"/>
  <c r="AE254" i="5"/>
  <c r="AE198" i="5"/>
  <c r="AE35" i="5"/>
  <c r="AE250" i="5"/>
  <c r="AJ46" i="5"/>
  <c r="AJ56" i="5" s="1"/>
  <c r="AE46" i="5"/>
  <c r="AE56" i="5" s="1"/>
  <c r="CC72" i="5"/>
  <c r="CC76" i="5" s="1"/>
  <c r="CC79" i="5" s="1"/>
  <c r="CC84" i="5" s="1"/>
  <c r="CC86" i="5" s="1"/>
  <c r="CC198" i="5"/>
  <c r="CC250" i="5"/>
  <c r="CC35" i="5"/>
  <c r="CC218" i="5" s="1"/>
  <c r="CC190" i="5"/>
  <c r="CC191" i="5" s="1"/>
  <c r="CC254" i="5"/>
  <c r="AJ249" i="5"/>
  <c r="AJ242" i="5"/>
  <c r="AJ266" i="5"/>
  <c r="AJ265" i="5"/>
  <c r="CC249" i="5"/>
  <c r="CC266" i="5"/>
  <c r="CC265" i="5"/>
  <c r="BP200" i="5"/>
  <c r="BP202" i="5" s="1"/>
  <c r="BP205" i="5" s="1"/>
  <c r="BP204" i="5" s="1"/>
  <c r="BP182" i="5" s="1"/>
  <c r="BP181" i="5" s="1"/>
  <c r="BP207" i="5"/>
  <c r="BP208" i="5" s="1"/>
  <c r="BP225" i="5" s="1"/>
  <c r="BP25" i="5"/>
  <c r="BT26" i="5" s="1"/>
  <c r="CC227" i="5"/>
  <c r="CC226" i="5"/>
  <c r="CC203" i="5"/>
  <c r="CC204" i="5" s="1"/>
  <c r="CC182" i="5" s="1"/>
  <c r="CC181" i="5" s="1"/>
  <c r="BP45" i="5"/>
  <c r="BP39" i="5"/>
  <c r="BQ242" i="5" s="1"/>
  <c r="P252" i="5"/>
  <c r="P62" i="5"/>
  <c r="P68" i="5" s="1"/>
  <c r="S242" i="5"/>
  <c r="S266" i="5"/>
  <c r="S265" i="5"/>
  <c r="S249" i="5"/>
  <c r="AM46" i="5"/>
  <c r="AM50" i="5" s="1"/>
  <c r="W200" i="5"/>
  <c r="W202" i="5" s="1"/>
  <c r="W205" i="5" s="1"/>
  <c r="W204" i="5" s="1"/>
  <c r="W182" i="5" s="1"/>
  <c r="W181" i="5" s="1"/>
  <c r="W207" i="5"/>
  <c r="W208" i="5" s="1"/>
  <c r="W25" i="5"/>
  <c r="S50" i="5"/>
  <c r="S56" i="5"/>
  <c r="CK307" i="5"/>
  <c r="CJ308" i="5"/>
  <c r="AM249" i="5"/>
  <c r="AM266" i="5"/>
  <c r="AM265" i="5"/>
  <c r="W45" i="5"/>
  <c r="W39" i="5"/>
  <c r="N25" i="5"/>
  <c r="N200" i="5"/>
  <c r="N202" i="5" s="1"/>
  <c r="N205" i="5" s="1"/>
  <c r="N204" i="5" s="1"/>
  <c r="N182" i="5" s="1"/>
  <c r="N181" i="5" s="1"/>
  <c r="N207" i="5"/>
  <c r="N208" i="5" s="1"/>
  <c r="U207" i="5"/>
  <c r="U208" i="5" s="1"/>
  <c r="U25" i="5"/>
  <c r="U200" i="5"/>
  <c r="U202" i="5" s="1"/>
  <c r="U205" i="5" s="1"/>
  <c r="U204" i="5" s="1"/>
  <c r="U182" i="5" s="1"/>
  <c r="U181" i="5" s="1"/>
  <c r="CY22" i="5"/>
  <c r="CY200" i="5" s="1"/>
  <c r="N39" i="5"/>
  <c r="O242" i="5" s="1"/>
  <c r="N45" i="5"/>
  <c r="BU72" i="5"/>
  <c r="BU76" i="5" s="1"/>
  <c r="BU79" i="5" s="1"/>
  <c r="BU84" i="5" s="1"/>
  <c r="BU86" i="5" s="1"/>
  <c r="BU250" i="5"/>
  <c r="BU35" i="5"/>
  <c r="BU218" i="5" s="1"/>
  <c r="BU198" i="5"/>
  <c r="BU254" i="5"/>
  <c r="BU190" i="5"/>
  <c r="BU191" i="5" s="1"/>
  <c r="AM35" i="5"/>
  <c r="AM250" i="5"/>
  <c r="AM198" i="5"/>
  <c r="AM72" i="5"/>
  <c r="AM76" i="5" s="1"/>
  <c r="AM79" i="5" s="1"/>
  <c r="AM254" i="5"/>
  <c r="U45" i="5"/>
  <c r="U39" i="5"/>
  <c r="U242" i="5" s="1"/>
  <c r="Q198" i="5"/>
  <c r="Q250" i="5"/>
  <c r="Q254" i="5"/>
  <c r="Q35" i="5"/>
  <c r="Q72" i="5"/>
  <c r="Q76" i="5" s="1"/>
  <c r="Q79" i="5" s="1"/>
  <c r="Q84" i="5" s="1"/>
  <c r="Q86" i="5" s="1"/>
  <c r="AO265" i="5"/>
  <c r="AO249" i="5"/>
  <c r="AO266" i="5"/>
  <c r="BH265" i="5"/>
  <c r="BH266" i="5"/>
  <c r="BH249" i="5"/>
  <c r="O50" i="5"/>
  <c r="O56" i="5"/>
  <c r="Z315" i="5"/>
  <c r="Z314" i="5" s="1"/>
  <c r="Z307" i="5"/>
  <c r="CZ307" i="5" s="1"/>
  <c r="CZ308" i="5" s="1"/>
  <c r="AA308" i="5"/>
  <c r="Y78" i="5"/>
  <c r="AD327" i="5"/>
  <c r="DA307" i="5"/>
  <c r="DA308" i="5" s="1"/>
  <c r="BX207" i="5"/>
  <c r="BX208" i="5" s="1"/>
  <c r="BX225" i="5" s="1"/>
  <c r="BX200" i="5"/>
  <c r="BX202" i="5" s="1"/>
  <c r="BX205" i="5" s="1"/>
  <c r="BX204" i="5" s="1"/>
  <c r="BX182" i="5" s="1"/>
  <c r="BX181" i="5" s="1"/>
  <c r="BX25" i="5"/>
  <c r="BX26" i="5" s="1"/>
  <c r="O72" i="5"/>
  <c r="O76" i="5" s="1"/>
  <c r="O79" i="5" s="1"/>
  <c r="O254" i="5"/>
  <c r="O26" i="5"/>
  <c r="O35" i="5"/>
  <c r="O250" i="5"/>
  <c r="O198" i="5"/>
  <c r="S26" i="5"/>
  <c r="O249" i="5"/>
  <c r="P242" i="5"/>
  <c r="O265" i="5"/>
  <c r="O266" i="5"/>
  <c r="AK200" i="5"/>
  <c r="AK202" i="5" s="1"/>
  <c r="AK205" i="5" s="1"/>
  <c r="AK204" i="5" s="1"/>
  <c r="AK182" i="5" s="1"/>
  <c r="AK181" i="5" s="1"/>
  <c r="AK25" i="5"/>
  <c r="AK207" i="5"/>
  <c r="AK208" i="5" s="1"/>
  <c r="X78" i="5"/>
  <c r="CZ53" i="5"/>
  <c r="BI207" i="5"/>
  <c r="BI208" i="5" s="1"/>
  <c r="BI25" i="5"/>
  <c r="BI200" i="5"/>
  <c r="BI202" i="5" s="1"/>
  <c r="BI205" i="5" s="1"/>
  <c r="BI204" i="5" s="1"/>
  <c r="BI182" i="5" s="1"/>
  <c r="BI181" i="5" s="1"/>
  <c r="J50" i="5"/>
  <c r="DT147" i="5"/>
  <c r="DU116" i="5"/>
  <c r="DT63" i="5"/>
  <c r="DT81" i="5" s="1"/>
  <c r="AO314" i="5"/>
  <c r="AP315" i="5"/>
  <c r="G25" i="5"/>
  <c r="G207" i="5"/>
  <c r="G208" i="5" s="1"/>
  <c r="G200" i="5"/>
  <c r="G202" i="5" s="1"/>
  <c r="G205" i="5" s="1"/>
  <c r="G204" i="5" s="1"/>
  <c r="G182" i="5" s="1"/>
  <c r="G181" i="5" s="1"/>
  <c r="S296" i="5"/>
  <c r="CY295" i="5"/>
  <c r="CY296" i="5" s="1"/>
  <c r="AG72" i="5"/>
  <c r="AG76" i="5" s="1"/>
  <c r="AG79" i="5" s="1"/>
  <c r="AG84" i="5" s="1"/>
  <c r="AG86" i="5" s="1"/>
  <c r="AG198" i="5"/>
  <c r="AG254" i="5"/>
  <c r="AG35" i="5"/>
  <c r="AG250" i="5"/>
  <c r="BE72" i="5"/>
  <c r="BE76" i="5" s="1"/>
  <c r="BE79" i="5" s="1"/>
  <c r="BE84" i="5" s="1"/>
  <c r="BE86" i="5" s="1"/>
  <c r="BE254" i="5"/>
  <c r="BE190" i="5"/>
  <c r="BE191" i="5" s="1"/>
  <c r="BE35" i="5"/>
  <c r="BE198" i="5"/>
  <c r="BE250" i="5"/>
  <c r="CZ332" i="5"/>
  <c r="G39" i="5"/>
  <c r="G242" i="5" s="1"/>
  <c r="G45" i="5"/>
  <c r="AK45" i="5"/>
  <c r="AK39" i="5"/>
  <c r="BI45" i="5"/>
  <c r="BI39" i="5"/>
  <c r="BH46" i="5"/>
  <c r="BH56" i="5" s="1"/>
  <c r="BW200" i="5"/>
  <c r="BW202" i="5" s="1"/>
  <c r="BW205" i="5" s="1"/>
  <c r="BW204" i="5" s="1"/>
  <c r="BW182" i="5" s="1"/>
  <c r="BW181" i="5" s="1"/>
  <c r="BW25" i="5"/>
  <c r="BW207" i="5"/>
  <c r="BW208" i="5" s="1"/>
  <c r="BW225" i="5" s="1"/>
  <c r="AG46" i="5"/>
  <c r="AG56" i="5" s="1"/>
  <c r="BT72" i="5"/>
  <c r="BT76" i="5" s="1"/>
  <c r="BT79" i="5" s="1"/>
  <c r="BT84" i="5" s="1"/>
  <c r="BT86" i="5" s="1"/>
  <c r="BT250" i="5"/>
  <c r="BT190" i="5"/>
  <c r="BT191" i="5" s="1"/>
  <c r="BT254" i="5"/>
  <c r="BT198" i="5"/>
  <c r="BT35" i="5"/>
  <c r="BT218" i="5" s="1"/>
  <c r="CX25" i="5"/>
  <c r="C22" i="3" s="1"/>
  <c r="C66" i="3" s="1"/>
  <c r="BV254" i="5"/>
  <c r="BV35" i="5"/>
  <c r="BV218" i="5" s="1"/>
  <c r="BV190" i="5"/>
  <c r="BV191" i="5" s="1"/>
  <c r="BV72" i="5"/>
  <c r="BV76" i="5" s="1"/>
  <c r="BV79" i="5" s="1"/>
  <c r="BV84" i="5" s="1"/>
  <c r="BV86" i="5" s="1"/>
  <c r="BV250" i="5"/>
  <c r="BV198" i="5"/>
  <c r="X25" i="5"/>
  <c r="X26" i="5" s="1"/>
  <c r="X207" i="5"/>
  <c r="X208" i="5" s="1"/>
  <c r="X200" i="5"/>
  <c r="X202" i="5" s="1"/>
  <c r="CZ22" i="5"/>
  <c r="CZ200" i="5" s="1"/>
  <c r="C67" i="3"/>
  <c r="C62" i="3"/>
  <c r="X39" i="5"/>
  <c r="X266" i="5" s="1"/>
  <c r="X45" i="5"/>
  <c r="CZ43" i="5"/>
  <c r="X264" i="5"/>
  <c r="AG249" i="5"/>
  <c r="AG242" i="5"/>
  <c r="AG266" i="5"/>
  <c r="AG265" i="5"/>
  <c r="BT227" i="5"/>
  <c r="BT226" i="5"/>
  <c r="BT46" i="5" s="1"/>
  <c r="BT56" i="5" s="1"/>
  <c r="D62" i="5"/>
  <c r="D68" i="5" s="1"/>
  <c r="D252" i="5"/>
  <c r="BX45" i="5"/>
  <c r="BX39" i="5"/>
  <c r="BV266" i="5"/>
  <c r="BV242" i="5"/>
  <c r="BV265" i="5"/>
  <c r="BV249" i="5"/>
  <c r="BU242" i="5"/>
  <c r="BT265" i="5"/>
  <c r="BT249" i="5"/>
  <c r="BT266" i="5"/>
  <c r="Y319" i="5"/>
  <c r="Y295" i="5" s="1"/>
  <c r="Y296" i="5" s="1"/>
  <c r="BV227" i="5"/>
  <c r="BV226" i="5"/>
  <c r="BV46" i="5" s="1"/>
  <c r="BV56" i="5" s="1"/>
  <c r="E17" i="3"/>
  <c r="CZ244" i="5"/>
  <c r="BW45" i="5"/>
  <c r="BW39" i="5"/>
  <c r="AC45" i="5"/>
  <c r="DA43" i="5"/>
  <c r="AC39" i="5"/>
  <c r="DU330" i="5"/>
  <c r="DU329" i="5" s="1"/>
  <c r="DU309" i="5"/>
  <c r="DU312" i="5" s="1"/>
  <c r="CA39" i="5"/>
  <c r="CA45" i="5"/>
  <c r="CI266" i="5"/>
  <c r="CI265" i="5"/>
  <c r="CI249" i="5"/>
  <c r="CI242" i="5"/>
  <c r="AH46" i="5"/>
  <c r="AH50" i="5" s="1"/>
  <c r="AA317" i="5"/>
  <c r="Z316" i="5"/>
  <c r="AL205" i="5"/>
  <c r="AH249" i="5"/>
  <c r="AH265" i="5"/>
  <c r="AH242" i="5"/>
  <c r="DB39" i="5"/>
  <c r="AH266" i="5"/>
  <c r="CB322" i="5"/>
  <c r="CC321" i="5"/>
  <c r="AL46" i="5"/>
  <c r="AL50" i="5" s="1"/>
  <c r="AL250" i="5"/>
  <c r="AL35" i="5"/>
  <c r="AL254" i="5"/>
  <c r="AL72" i="5"/>
  <c r="AL26" i="5"/>
  <c r="AL198" i="5"/>
  <c r="C45" i="5"/>
  <c r="C39" i="5"/>
  <c r="BD266" i="5"/>
  <c r="BD249" i="5"/>
  <c r="BD265" i="5"/>
  <c r="T254" i="5"/>
  <c r="T198" i="5"/>
  <c r="T250" i="5"/>
  <c r="T72" i="5"/>
  <c r="T76" i="5" s="1"/>
  <c r="T79" i="5" s="1"/>
  <c r="T84" i="5" s="1"/>
  <c r="T86" i="5" s="1"/>
  <c r="T35" i="5"/>
  <c r="AM242" i="5"/>
  <c r="AL249" i="5"/>
  <c r="AL266" i="5"/>
  <c r="AL265" i="5"/>
  <c r="AN57" i="5"/>
  <c r="F50" i="5"/>
  <c r="F56" i="5"/>
  <c r="BJ266" i="5"/>
  <c r="BJ249" i="5"/>
  <c r="BJ265" i="5"/>
  <c r="AH205" i="5"/>
  <c r="DB202" i="5"/>
  <c r="BD46" i="5"/>
  <c r="BD56" i="5" s="1"/>
  <c r="BQ35" i="5"/>
  <c r="BQ218" i="5" s="1"/>
  <c r="BQ198" i="5"/>
  <c r="BQ190" i="5"/>
  <c r="BQ191" i="5" s="1"/>
  <c r="BQ254" i="5"/>
  <c r="BQ72" i="5"/>
  <c r="BQ76" i="5" s="1"/>
  <c r="BQ79" i="5" s="1"/>
  <c r="BQ84" i="5" s="1"/>
  <c r="BQ86" i="5" s="1"/>
  <c r="BQ250" i="5"/>
  <c r="BU26" i="5"/>
  <c r="AA330" i="5"/>
  <c r="AB310" i="5"/>
  <c r="AA309" i="5"/>
  <c r="F266" i="5"/>
  <c r="F249" i="5"/>
  <c r="F242" i="5"/>
  <c r="F265" i="5"/>
  <c r="Z57" i="5"/>
  <c r="DA241" i="5"/>
  <c r="DA244" i="5"/>
  <c r="F17" i="3"/>
  <c r="BJ46" i="5"/>
  <c r="BJ56" i="5" s="1"/>
  <c r="C207" i="5"/>
  <c r="C208" i="5" s="1"/>
  <c r="C200" i="5"/>
  <c r="C202" i="5" s="1"/>
  <c r="C205" i="5" s="1"/>
  <c r="C204" i="5" s="1"/>
  <c r="C182" i="5" s="1"/>
  <c r="C181" i="5" s="1"/>
  <c r="C25" i="5"/>
  <c r="L50" i="5"/>
  <c r="DO226" i="5"/>
  <c r="DO227" i="5"/>
  <c r="BQ227" i="5"/>
  <c r="BQ226" i="5"/>
  <c r="BQ46" i="5" s="1"/>
  <c r="CZ330" i="5"/>
  <c r="CZ329" i="5" s="1"/>
  <c r="AN251" i="5"/>
  <c r="AN255" i="5"/>
  <c r="AH254" i="5"/>
  <c r="AH250" i="5"/>
  <c r="AH35" i="5"/>
  <c r="AH26" i="5"/>
  <c r="AH198" i="5"/>
  <c r="AH72" i="5"/>
  <c r="AH76" i="5" s="1"/>
  <c r="AH79" i="5" s="1"/>
  <c r="AH84" i="5" s="1"/>
  <c r="AH86" i="5" s="1"/>
  <c r="DB25" i="5"/>
  <c r="T46" i="5"/>
  <c r="T50" i="5" s="1"/>
  <c r="F250" i="5"/>
  <c r="F72" i="5"/>
  <c r="F76" i="5" s="1"/>
  <c r="F79" i="5" s="1"/>
  <c r="F84" i="5" s="1"/>
  <c r="F86" i="5" s="1"/>
  <c r="F254" i="5"/>
  <c r="F198" i="5"/>
  <c r="F35" i="5"/>
  <c r="J26" i="5"/>
  <c r="AC318" i="5"/>
  <c r="DO249" i="5"/>
  <c r="DO266" i="5"/>
  <c r="T242" i="5"/>
  <c r="T249" i="5"/>
  <c r="T265" i="5"/>
  <c r="T266" i="5"/>
  <c r="BG249" i="5"/>
  <c r="BG265" i="5"/>
  <c r="BG266" i="5"/>
  <c r="BH242" i="5"/>
  <c r="CI226" i="5"/>
  <c r="CI227" i="5"/>
  <c r="CI203" i="5"/>
  <c r="CI204" i="5" s="1"/>
  <c r="CI182" i="5" s="1"/>
  <c r="CI181" i="5" s="1"/>
  <c r="BQ249" i="5"/>
  <c r="BQ266" i="5"/>
  <c r="BQ265" i="5"/>
  <c r="AC25" i="5"/>
  <c r="DA22" i="5"/>
  <c r="DA200" i="5" s="1"/>
  <c r="AC207" i="5"/>
  <c r="AC208" i="5" s="1"/>
  <c r="AC200" i="5"/>
  <c r="AC202" i="5" s="1"/>
  <c r="DO250" i="5"/>
  <c r="DO194" i="5"/>
  <c r="G36" i="9" s="1"/>
  <c r="DO35" i="5"/>
  <c r="DO72" i="5"/>
  <c r="DO76" i="5" s="1"/>
  <c r="DO79" i="5" s="1"/>
  <c r="DO84" i="5" s="1"/>
  <c r="DO86" i="5" s="1"/>
  <c r="BG46" i="5"/>
  <c r="BG56" i="5" s="1"/>
  <c r="CI250" i="5"/>
  <c r="CI198" i="5"/>
  <c r="CI35" i="5"/>
  <c r="CI218" i="5" s="1"/>
  <c r="CI254" i="5"/>
  <c r="CI72" i="5"/>
  <c r="CI76" i="5" s="1"/>
  <c r="CI79" i="5" s="1"/>
  <c r="CI84" i="5" s="1"/>
  <c r="CI86" i="5" s="1"/>
  <c r="CA25" i="5"/>
  <c r="CA207" i="5"/>
  <c r="CA208" i="5" s="1"/>
  <c r="CA225" i="5" s="1"/>
  <c r="CA200" i="5"/>
  <c r="CA202" i="5" s="1"/>
  <c r="CA205" i="5" s="1"/>
  <c r="DB241" i="5"/>
  <c r="J34" i="3"/>
  <c r="J59" i="3" s="1"/>
  <c r="K3" i="3"/>
  <c r="AP98" i="6"/>
  <c r="AO80" i="6"/>
  <c r="AO107" i="6"/>
  <c r="AO89" i="6" s="1"/>
  <c r="AN89" i="6"/>
  <c r="BH89" i="6" s="1"/>
  <c r="BH107" i="6"/>
  <c r="BH331" i="5"/>
  <c r="BH333" i="5"/>
  <c r="BG94" i="6"/>
  <c r="BG87" i="6" s="1"/>
  <c r="AN118" i="6"/>
  <c r="AM91" i="6"/>
  <c r="AK94" i="6"/>
  <c r="AK105" i="6"/>
  <c r="AK114" i="6" s="1"/>
  <c r="AM103" i="6"/>
  <c r="AL112" i="6"/>
  <c r="AL96" i="6"/>
  <c r="AP101" i="6"/>
  <c r="AO110" i="6"/>
  <c r="AO92" i="6" s="1"/>
  <c r="BI83" i="6"/>
  <c r="BI110" i="6"/>
  <c r="BI92" i="6" s="1"/>
  <c r="BJ101" i="6"/>
  <c r="AQ100" i="6"/>
  <c r="AP82" i="6"/>
  <c r="AP99" i="6"/>
  <c r="AO81" i="6"/>
  <c r="AO90" i="6" s="1"/>
  <c r="AO97" i="6"/>
  <c r="AN79" i="6"/>
  <c r="AN106" i="6"/>
  <c r="BH106" i="6" s="1"/>
  <c r="BH97" i="6"/>
  <c r="AN111" i="6"/>
  <c r="AO102" i="6"/>
  <c r="BH102" i="6"/>
  <c r="BI102" i="6" s="1"/>
  <c r="BI81" i="6"/>
  <c r="BI108" i="6"/>
  <c r="BI90" i="6" s="1"/>
  <c r="BJ99" i="6"/>
  <c r="BH81" i="6"/>
  <c r="AN90" i="6"/>
  <c r="BH90" i="6" s="1"/>
  <c r="BH110" i="6"/>
  <c r="AM88" i="6"/>
  <c r="BS301" i="2"/>
  <c r="BK100" i="6"/>
  <c r="BJ109" i="6"/>
  <c r="BH92" i="6"/>
  <c r="R47" i="3"/>
  <c r="R48" i="3"/>
  <c r="DN278" i="2"/>
  <c r="DN274" i="2"/>
  <c r="DR321" i="2"/>
  <c r="DK184" i="1"/>
  <c r="BC261" i="2"/>
  <c r="BC237" i="2"/>
  <c r="BC118" i="2" s="1"/>
  <c r="DP216" i="1"/>
  <c r="DP215" i="1"/>
  <c r="DP217" i="1" s="1"/>
  <c r="T55" i="3"/>
  <c r="T56" i="3" s="1"/>
  <c r="N97" i="3"/>
  <c r="N98" i="3" s="1"/>
  <c r="O47" i="3"/>
  <c r="AW209" i="2"/>
  <c r="AW213" i="2" s="1"/>
  <c r="AV215" i="2"/>
  <c r="AV214" i="2"/>
  <c r="S48" i="3"/>
  <c r="DJ214" i="2"/>
  <c r="DK209" i="2"/>
  <c r="DJ215" i="2"/>
  <c r="DK219" i="2"/>
  <c r="DN184" i="1"/>
  <c r="T48" i="3"/>
  <c r="T47" i="3"/>
  <c r="O97" i="3"/>
  <c r="O98" i="3" s="1"/>
  <c r="BD250" i="5"/>
  <c r="BD72" i="5"/>
  <c r="BD76" i="5" s="1"/>
  <c r="BD79" i="5" s="1"/>
  <c r="BD84" i="5" s="1"/>
  <c r="BD86" i="5" s="1"/>
  <c r="BD198" i="5"/>
  <c r="BD190" i="5"/>
  <c r="BD191" i="5" s="1"/>
  <c r="BH26" i="5"/>
  <c r="BD35" i="5"/>
  <c r="BD254" i="5"/>
  <c r="DL274" i="2"/>
  <c r="DL278" i="2"/>
  <c r="AT184" i="1"/>
  <c r="AX184" i="1"/>
  <c r="AS172" i="1"/>
  <c r="AS173" i="1"/>
  <c r="AW173" i="1"/>
  <c r="S204" i="5"/>
  <c r="DI215" i="1"/>
  <c r="DI217" i="1" s="1"/>
  <c r="DI216" i="1"/>
  <c r="DH215" i="1"/>
  <c r="DH217" i="1" s="1"/>
  <c r="DH216" i="1"/>
  <c r="BR174" i="1"/>
  <c r="DT99" i="1"/>
  <c r="DT124" i="2"/>
  <c r="BG198" i="5"/>
  <c r="BG72" i="5"/>
  <c r="BG76" i="5" s="1"/>
  <c r="BG79" i="5" s="1"/>
  <c r="BG84" i="5" s="1"/>
  <c r="BG86" i="5" s="1"/>
  <c r="BG35" i="5"/>
  <c r="BG254" i="5"/>
  <c r="BG250" i="5"/>
  <c r="BG190" i="5"/>
  <c r="BG191" i="5" s="1"/>
  <c r="BB238" i="2"/>
  <c r="DG237" i="2"/>
  <c r="BB69" i="2"/>
  <c r="DI224" i="2"/>
  <c r="DI218" i="2"/>
  <c r="DI219" i="2" s="1"/>
  <c r="AS184" i="1"/>
  <c r="AW184" i="1"/>
  <c r="DL184" i="1"/>
  <c r="DF182" i="1"/>
  <c r="DG184" i="1" s="1"/>
  <c r="DF214" i="1"/>
  <c r="DF183" i="1"/>
  <c r="BO214" i="2"/>
  <c r="BP209" i="2"/>
  <c r="BP213" i="2" s="1"/>
  <c r="BO215" i="2"/>
  <c r="BP219" i="2"/>
  <c r="P204" i="5"/>
  <c r="DM184" i="1"/>
  <c r="P76" i="5"/>
  <c r="P79" i="5" s="1"/>
  <c r="P84" i="5" s="1"/>
  <c r="P86" i="5" s="1"/>
  <c r="BJ25" i="5"/>
  <c r="BJ207" i="5"/>
  <c r="BJ208" i="5" s="1"/>
  <c r="BJ200" i="5"/>
  <c r="BJ202" i="5" s="1"/>
  <c r="BJ205" i="5" s="1"/>
  <c r="BJ204" i="5" s="1"/>
  <c r="BJ182" i="5" s="1"/>
  <c r="BJ181" i="5" s="1"/>
  <c r="DJ184" i="1"/>
  <c r="BE263" i="2"/>
  <c r="BE267" i="2" s="1"/>
  <c r="BD260" i="2"/>
  <c r="BD268" i="2"/>
  <c r="BE271" i="2"/>
  <c r="BB118" i="2"/>
  <c r="DJ157" i="2"/>
  <c r="DK157" i="2"/>
  <c r="BG204" i="5"/>
  <c r="DJ216" i="1"/>
  <c r="DJ205" i="1"/>
  <c r="DJ215" i="1"/>
  <c r="DJ217" i="1" s="1"/>
  <c r="N55" i="3"/>
  <c r="N56" i="3" s="1"/>
  <c r="CY72" i="5"/>
  <c r="CY76" i="5" s="1"/>
  <c r="S76" i="5"/>
  <c r="S79" i="5" s="1"/>
  <c r="DG215" i="1"/>
  <c r="DG217" i="1" s="1"/>
  <c r="AT172" i="1"/>
  <c r="DR196" i="2"/>
  <c r="DS197" i="2"/>
  <c r="DT94" i="2"/>
  <c r="DU93" i="2"/>
  <c r="DT72" i="2"/>
  <c r="DS89" i="2"/>
  <c r="DS91" i="2"/>
  <c r="DT90" i="2"/>
  <c r="CJ191" i="5"/>
  <c r="CK58" i="5"/>
  <c r="CK80" i="5" s="1"/>
  <c r="CK53" i="5"/>
  <c r="CK148" i="1"/>
  <c r="CU124" i="1"/>
  <c r="DT12" i="5"/>
  <c r="DV82" i="1"/>
  <c r="DU12" i="5" s="1"/>
  <c r="CK126" i="1"/>
  <c r="CK125" i="1"/>
  <c r="CU125" i="1" s="1"/>
  <c r="CK77" i="5"/>
  <c r="CK170" i="5"/>
  <c r="CK177" i="5"/>
  <c r="CK70" i="1"/>
  <c r="CK71" i="1"/>
  <c r="CK241" i="5"/>
  <c r="CK244" i="5"/>
  <c r="CK217" i="5"/>
  <c r="S6" i="12"/>
  <c r="N60" i="3"/>
  <c r="M62" i="3"/>
  <c r="F60" i="3"/>
  <c r="E62" i="3"/>
  <c r="E65" i="3"/>
  <c r="D74" i="3"/>
  <c r="D73" i="3"/>
  <c r="K6" i="12"/>
  <c r="DP19" i="5" l="1"/>
  <c r="DP285" i="2"/>
  <c r="DP287" i="2" s="1"/>
  <c r="CM19" i="5"/>
  <c r="CM285" i="2"/>
  <c r="CM287" i="2" s="1"/>
  <c r="CM284" i="5" s="1"/>
  <c r="CO290" i="2"/>
  <c r="CO289" i="2" s="1"/>
  <c r="CP292" i="2"/>
  <c r="CP290" i="2" s="1"/>
  <c r="CP289" i="2" s="1"/>
  <c r="CP284" i="2" s="1"/>
  <c r="CN284" i="2"/>
  <c r="T34" i="3"/>
  <c r="T59" i="3" s="1"/>
  <c r="U3" i="3"/>
  <c r="CX254" i="5"/>
  <c r="I250" i="5"/>
  <c r="I35" i="5"/>
  <c r="I198" i="5"/>
  <c r="I254" i="5"/>
  <c r="I72" i="5"/>
  <c r="I76" i="5" s="1"/>
  <c r="I79" i="5" s="1"/>
  <c r="I84" i="5" s="1"/>
  <c r="I86" i="5" s="1"/>
  <c r="CN163" i="5"/>
  <c r="CO163" i="5" s="1"/>
  <c r="DN157" i="2"/>
  <c r="DT235" i="1"/>
  <c r="DS237" i="1"/>
  <c r="CP265" i="1"/>
  <c r="CP346" i="1" s="1"/>
  <c r="DR337" i="1"/>
  <c r="DR336" i="1"/>
  <c r="DR345" i="1"/>
  <c r="DR333" i="1"/>
  <c r="DR332" i="1"/>
  <c r="DR334" i="1"/>
  <c r="DR339" i="1"/>
  <c r="DR344" i="1"/>
  <c r="DR335" i="1"/>
  <c r="DR338" i="1"/>
  <c r="DR331" i="1"/>
  <c r="DR346" i="1"/>
  <c r="DR266" i="1"/>
  <c r="DR347" i="1"/>
  <c r="DR138" i="1"/>
  <c r="DQ42" i="5"/>
  <c r="DR224" i="1"/>
  <c r="DS223" i="1"/>
  <c r="DT223" i="1" s="1"/>
  <c r="DU223" i="1" s="1"/>
  <c r="DV223" i="1" s="1"/>
  <c r="DR226" i="1"/>
  <c r="CP144" i="1"/>
  <c r="CP105" i="5"/>
  <c r="DQ105" i="5" s="1"/>
  <c r="DR137" i="1" s="1"/>
  <c r="DR140" i="1" s="1"/>
  <c r="DR141" i="1" s="1"/>
  <c r="DR264" i="1"/>
  <c r="DR263" i="1"/>
  <c r="DS262" i="1"/>
  <c r="CN145" i="5"/>
  <c r="CO127" i="5"/>
  <c r="CO266" i="1"/>
  <c r="CO346" i="1"/>
  <c r="CO344" i="1"/>
  <c r="CO336" i="1"/>
  <c r="CO332" i="1"/>
  <c r="CO345" i="1"/>
  <c r="CO347" i="1"/>
  <c r="CO333" i="1"/>
  <c r="CO338" i="1"/>
  <c r="CO335" i="1"/>
  <c r="CO337" i="1"/>
  <c r="CO334" i="1"/>
  <c r="CO331" i="1"/>
  <c r="CO343" i="1"/>
  <c r="CP189" i="1"/>
  <c r="DR189" i="1" s="1"/>
  <c r="CP264" i="1"/>
  <c r="CP263" i="1"/>
  <c r="CP266" i="1"/>
  <c r="CP335" i="1"/>
  <c r="CP336" i="1"/>
  <c r="CP345" i="1"/>
  <c r="CP338" i="1"/>
  <c r="CP347" i="1"/>
  <c r="CP333" i="1"/>
  <c r="CP331" i="1"/>
  <c r="CP344" i="1"/>
  <c r="CP332" i="1"/>
  <c r="BK107" i="6"/>
  <c r="BL98" i="6"/>
  <c r="AK63" i="6"/>
  <c r="AJ71" i="6"/>
  <c r="AJ54" i="6" s="1"/>
  <c r="BG54" i="6" s="1"/>
  <c r="BG63" i="6"/>
  <c r="BG71" i="6" s="1"/>
  <c r="BJ137" i="6"/>
  <c r="BI147" i="6"/>
  <c r="BI145" i="6" s="1"/>
  <c r="BK142" i="6"/>
  <c r="BJ152" i="6"/>
  <c r="BF55" i="6"/>
  <c r="BF49" i="6" s="1"/>
  <c r="AE58" i="6"/>
  <c r="AE157" i="6"/>
  <c r="BL61" i="6"/>
  <c r="BK69" i="6"/>
  <c r="BK52" i="6" s="1"/>
  <c r="BK138" i="6"/>
  <c r="BJ148" i="6"/>
  <c r="DN327" i="5"/>
  <c r="DN328" i="5" s="1"/>
  <c r="BX328" i="5"/>
  <c r="AP138" i="6"/>
  <c r="AO148" i="6"/>
  <c r="AQ143" i="6"/>
  <c r="AP153" i="6"/>
  <c r="AS126" i="6"/>
  <c r="AS125" i="6" s="1"/>
  <c r="AT127" i="6"/>
  <c r="BK41" i="6"/>
  <c r="AP139" i="6"/>
  <c r="AO149" i="6"/>
  <c r="AR69" i="6"/>
  <c r="AR52" i="6" s="1"/>
  <c r="AS61" i="6"/>
  <c r="AV65" i="6"/>
  <c r="AV73" i="6" s="1"/>
  <c r="AV56" i="6" s="1"/>
  <c r="AU73" i="6"/>
  <c r="AU56" i="6" s="1"/>
  <c r="AJ19" i="6"/>
  <c r="AJ156" i="6"/>
  <c r="AG72" i="6"/>
  <c r="AG55" i="6" s="1"/>
  <c r="AH64" i="6"/>
  <c r="AF58" i="6"/>
  <c r="AF157" i="6"/>
  <c r="BK136" i="6"/>
  <c r="BJ146" i="6"/>
  <c r="BH146" i="6"/>
  <c r="AU60" i="6"/>
  <c r="AT68" i="6"/>
  <c r="AT51" i="6" s="1"/>
  <c r="AL45" i="6"/>
  <c r="AK40" i="6"/>
  <c r="BK139" i="6"/>
  <c r="BJ149" i="6"/>
  <c r="AS141" i="6"/>
  <c r="AR151" i="6"/>
  <c r="BY327" i="5"/>
  <c r="AI20" i="6"/>
  <c r="AR41" i="6"/>
  <c r="AL62" i="6"/>
  <c r="AK70" i="6"/>
  <c r="AK53" i="6" s="1"/>
  <c r="AJ59" i="6"/>
  <c r="AI67" i="6"/>
  <c r="AI50" i="6" s="1"/>
  <c r="AP136" i="6"/>
  <c r="AO146" i="6"/>
  <c r="AQ142" i="6"/>
  <c r="AP152" i="6"/>
  <c r="AO137" i="6"/>
  <c r="AN147" i="6"/>
  <c r="BH147" i="6" s="1"/>
  <c r="AO44" i="6"/>
  <c r="BH44" i="6"/>
  <c r="BO173" i="1"/>
  <c r="AJ50" i="5"/>
  <c r="I255" i="5"/>
  <c r="BH198" i="5"/>
  <c r="BH250" i="5"/>
  <c r="BH72" i="5"/>
  <c r="BH76" i="5" s="1"/>
  <c r="BH79" i="5" s="1"/>
  <c r="BH84" i="5" s="1"/>
  <c r="BH86" i="5" s="1"/>
  <c r="BH35" i="5"/>
  <c r="BH190" i="5"/>
  <c r="BH191" i="5" s="1"/>
  <c r="BH254" i="5"/>
  <c r="BF200" i="5"/>
  <c r="BF202" i="5" s="1"/>
  <c r="BF205" i="5" s="1"/>
  <c r="BF204" i="5" s="1"/>
  <c r="BF182" i="5" s="1"/>
  <c r="BF181" i="5" s="1"/>
  <c r="DH207" i="5"/>
  <c r="DH208" i="5" s="1"/>
  <c r="DH225" i="5" s="1"/>
  <c r="DH227" i="5" s="1"/>
  <c r="I57" i="5"/>
  <c r="I252" i="5" s="1"/>
  <c r="BF207" i="5"/>
  <c r="BF208" i="5" s="1"/>
  <c r="BF25" i="5"/>
  <c r="BF198" i="5" s="1"/>
  <c r="CX205" i="5"/>
  <c r="DH200" i="5"/>
  <c r="DH202" i="5" s="1"/>
  <c r="CC46" i="5"/>
  <c r="CC56" i="5" s="1"/>
  <c r="DT157" i="2"/>
  <c r="DS157" i="2"/>
  <c r="DH24" i="5"/>
  <c r="H255" i="5"/>
  <c r="H251" i="5"/>
  <c r="E50" i="5"/>
  <c r="E57" i="5" s="1"/>
  <c r="DC39" i="5"/>
  <c r="DC242" i="5" s="1"/>
  <c r="AN72" i="5"/>
  <c r="AN76" i="5" s="1"/>
  <c r="AN79" i="5" s="1"/>
  <c r="AN84" i="5" s="1"/>
  <c r="AN86" i="5" s="1"/>
  <c r="AN254" i="5"/>
  <c r="AN35" i="5"/>
  <c r="AN198" i="5"/>
  <c r="AN250" i="5"/>
  <c r="T19" i="3"/>
  <c r="T21" i="3" s="1"/>
  <c r="AD251" i="5"/>
  <c r="CI46" i="5"/>
  <c r="CI56" i="5" s="1"/>
  <c r="DC202" i="5"/>
  <c r="K57" i="5"/>
  <c r="K62" i="5" s="1"/>
  <c r="K68" i="5" s="1"/>
  <c r="CX202" i="5"/>
  <c r="R251" i="5"/>
  <c r="R57" i="5"/>
  <c r="R252" i="5" s="1"/>
  <c r="Z312" i="5"/>
  <c r="CZ312" i="5" s="1"/>
  <c r="AB283" i="5"/>
  <c r="AA282" i="5"/>
  <c r="AA285" i="5" s="1"/>
  <c r="AA271" i="5" s="1"/>
  <c r="DC25" i="5"/>
  <c r="H22" i="3" s="1"/>
  <c r="Z24" i="3"/>
  <c r="DU59" i="5"/>
  <c r="CX26" i="5"/>
  <c r="AM26" i="5"/>
  <c r="AO35" i="5"/>
  <c r="DT148" i="5"/>
  <c r="DU103" i="5"/>
  <c r="DU148" i="5" s="1"/>
  <c r="AO72" i="5"/>
  <c r="AO76" i="5" s="1"/>
  <c r="AO79" i="5" s="1"/>
  <c r="AO84" i="5" s="1"/>
  <c r="AO86" i="5" s="1"/>
  <c r="R242" i="5"/>
  <c r="R265" i="5"/>
  <c r="R249" i="5"/>
  <c r="Z271" i="5"/>
  <c r="CZ285" i="5"/>
  <c r="Z319" i="5"/>
  <c r="CX39" i="5"/>
  <c r="CX266" i="5" s="1"/>
  <c r="CG266" i="5"/>
  <c r="CG249" i="5"/>
  <c r="CH242" i="5"/>
  <c r="CG265" i="5"/>
  <c r="DP145" i="5"/>
  <c r="CG227" i="5"/>
  <c r="CG203" i="5"/>
  <c r="CG204" i="5" s="1"/>
  <c r="CG182" i="5" s="1"/>
  <c r="CG181" i="5" s="1"/>
  <c r="CG226" i="5"/>
  <c r="CG46" i="5" s="1"/>
  <c r="AI46" i="5"/>
  <c r="AI56" i="5" s="1"/>
  <c r="P13" i="7"/>
  <c r="F6" i="7" s="1"/>
  <c r="Y50" i="5"/>
  <c r="AI249" i="5"/>
  <c r="AI266" i="5"/>
  <c r="AI265" i="5"/>
  <c r="CD207" i="5"/>
  <c r="CD208" i="5" s="1"/>
  <c r="CD225" i="5" s="1"/>
  <c r="CD200" i="5"/>
  <c r="CD202" i="5" s="1"/>
  <c r="CD205" i="5" s="1"/>
  <c r="DN205" i="5" s="1"/>
  <c r="CD25" i="5"/>
  <c r="CD26" i="5" s="1"/>
  <c r="AB46" i="5"/>
  <c r="AB56" i="5" s="1"/>
  <c r="AB35" i="5"/>
  <c r="AB72" i="5"/>
  <c r="AB76" i="5" s="1"/>
  <c r="AB79" i="5" s="1"/>
  <c r="AB84" i="5" s="1"/>
  <c r="AB86" i="5" s="1"/>
  <c r="AB254" i="5"/>
  <c r="AB198" i="5"/>
  <c r="AB250" i="5"/>
  <c r="AA272" i="5"/>
  <c r="BW263" i="5"/>
  <c r="BW143" i="5"/>
  <c r="BW138" i="5" s="1"/>
  <c r="BW137" i="5" s="1"/>
  <c r="AB266" i="5"/>
  <c r="AB249" i="5"/>
  <c r="AB265" i="5"/>
  <c r="Z242" i="5"/>
  <c r="Y249" i="5"/>
  <c r="Y265" i="5"/>
  <c r="BN39" i="5"/>
  <c r="BO242" i="5" s="1"/>
  <c r="AI35" i="5"/>
  <c r="AI254" i="5"/>
  <c r="AI198" i="5"/>
  <c r="AI250" i="5"/>
  <c r="AI72" i="5"/>
  <c r="AI76" i="5" s="1"/>
  <c r="AI79" i="5" s="1"/>
  <c r="BY325" i="5"/>
  <c r="BX323" i="5"/>
  <c r="BX324" i="5" s="1"/>
  <c r="Y254" i="5"/>
  <c r="Y250" i="5"/>
  <c r="Y35" i="5"/>
  <c r="Y198" i="5"/>
  <c r="Y72" i="5"/>
  <c r="Y76" i="5" s="1"/>
  <c r="Y79" i="5" s="1"/>
  <c r="Y84" i="5" s="1"/>
  <c r="Y86" i="5" s="1"/>
  <c r="CD39" i="5"/>
  <c r="CD45" i="5"/>
  <c r="BX145" i="5"/>
  <c r="BY127" i="5"/>
  <c r="BX128" i="5"/>
  <c r="BX129" i="5" s="1"/>
  <c r="CG254" i="5"/>
  <c r="CG72" i="5"/>
  <c r="CG76" i="5" s="1"/>
  <c r="CG79" i="5" s="1"/>
  <c r="CG84" i="5" s="1"/>
  <c r="CG86" i="5" s="1"/>
  <c r="CG35" i="5"/>
  <c r="CG218" i="5" s="1"/>
  <c r="CG190" i="5"/>
  <c r="CG191" i="5" s="1"/>
  <c r="E16" i="10"/>
  <c r="CG198" i="5"/>
  <c r="CG250" i="5"/>
  <c r="CH50" i="5"/>
  <c r="AZ163" i="1"/>
  <c r="CF314" i="1"/>
  <c r="CB336" i="1"/>
  <c r="BO168" i="1"/>
  <c r="BO177" i="1"/>
  <c r="BO178" i="1" s="1"/>
  <c r="BS179" i="1" s="1"/>
  <c r="BS172" i="1"/>
  <c r="BS174" i="1" s="1"/>
  <c r="BS173" i="1"/>
  <c r="BX163" i="1"/>
  <c r="BS197" i="1"/>
  <c r="BS196" i="1"/>
  <c r="BS214" i="1"/>
  <c r="BS201" i="1"/>
  <c r="BO197" i="1"/>
  <c r="BO196" i="1"/>
  <c r="BO199" i="1" s="1"/>
  <c r="BO214" i="1"/>
  <c r="BO215" i="1" s="1"/>
  <c r="BO217" i="1" s="1"/>
  <c r="BO201" i="1"/>
  <c r="BS168" i="1"/>
  <c r="BS177" i="1"/>
  <c r="BS178" i="1" s="1"/>
  <c r="BO265" i="5"/>
  <c r="BO266" i="5"/>
  <c r="BO249" i="5"/>
  <c r="DJ168" i="1"/>
  <c r="DJ177" i="1"/>
  <c r="BO227" i="5"/>
  <c r="BO226" i="5"/>
  <c r="BO46" i="5" s="1"/>
  <c r="BO56" i="5" s="1"/>
  <c r="BF45" i="5"/>
  <c r="BF39" i="5"/>
  <c r="BF242" i="5" s="1"/>
  <c r="BQ172" i="1"/>
  <c r="BQ174" i="1" s="1"/>
  <c r="BQ173" i="1"/>
  <c r="AR172" i="1"/>
  <c r="AR174" i="1" s="1"/>
  <c r="AR173" i="1"/>
  <c r="BN200" i="5"/>
  <c r="BN202" i="5" s="1"/>
  <c r="BN205" i="5" s="1"/>
  <c r="BN204" i="5" s="1"/>
  <c r="BN182" i="5" s="1"/>
  <c r="BN181" i="5" s="1"/>
  <c r="BN25" i="5"/>
  <c r="BN26" i="5" s="1"/>
  <c r="BN207" i="5"/>
  <c r="BN208" i="5" s="1"/>
  <c r="BN225" i="5" s="1"/>
  <c r="BY207" i="5"/>
  <c r="BY208" i="5" s="1"/>
  <c r="BY225" i="5" s="1"/>
  <c r="BY200" i="5"/>
  <c r="BY202" i="5" s="1"/>
  <c r="BY205" i="5" s="1"/>
  <c r="BY204" i="5" s="1"/>
  <c r="BY182" i="5" s="1"/>
  <c r="BY181" i="5" s="1"/>
  <c r="BY25" i="5"/>
  <c r="T22" i="3"/>
  <c r="T64" i="3" s="1"/>
  <c r="DF171" i="1"/>
  <c r="DF173" i="1" s="1"/>
  <c r="CE45" i="5"/>
  <c r="CE39" i="5"/>
  <c r="DO254" i="5"/>
  <c r="T69" i="3" s="1"/>
  <c r="CY39" i="5"/>
  <c r="AV10" i="2"/>
  <c r="AV47" i="2" s="1"/>
  <c r="DL325" i="1"/>
  <c r="DK345" i="1"/>
  <c r="BJ163" i="1"/>
  <c r="BN163" i="1"/>
  <c r="BQ197" i="1"/>
  <c r="BQ196" i="1"/>
  <c r="BQ199" i="1" s="1"/>
  <c r="BQ201" i="1"/>
  <c r="BQ214" i="1"/>
  <c r="BQ215" i="1" s="1"/>
  <c r="BQ217" i="1" s="1"/>
  <c r="CE177" i="1"/>
  <c r="CE178" i="1" s="1"/>
  <c r="CE168" i="1"/>
  <c r="BM173" i="1"/>
  <c r="DJ171" i="1"/>
  <c r="DJ172" i="1" s="1"/>
  <c r="BI172" i="1"/>
  <c r="AR168" i="1"/>
  <c r="AR169" i="1" s="1"/>
  <c r="AR177" i="1"/>
  <c r="AR178" i="1" s="1"/>
  <c r="AR179" i="1" s="1"/>
  <c r="BY39" i="5"/>
  <c r="BZ242" i="5" s="1"/>
  <c r="BY45" i="5"/>
  <c r="CE25" i="5"/>
  <c r="CE26" i="5" s="1"/>
  <c r="CE200" i="5"/>
  <c r="CE202" i="5" s="1"/>
  <c r="CE205" i="5" s="1"/>
  <c r="CE207" i="5"/>
  <c r="CE208" i="5" s="1"/>
  <c r="CE225" i="5" s="1"/>
  <c r="BJ172" i="1"/>
  <c r="BJ173" i="1"/>
  <c r="BN173" i="1"/>
  <c r="BQ168" i="1"/>
  <c r="BQ169" i="1" s="1"/>
  <c r="BQ177" i="1"/>
  <c r="BQ178" i="1" s="1"/>
  <c r="BQ179" i="1" s="1"/>
  <c r="CI172" i="1"/>
  <c r="CI175" i="1" s="1"/>
  <c r="CI173" i="1"/>
  <c r="BU163" i="1"/>
  <c r="N51" i="3"/>
  <c r="N52" i="3" s="1"/>
  <c r="DJ196" i="1"/>
  <c r="DJ199" i="1" s="1"/>
  <c r="DJ197" i="1"/>
  <c r="DJ201" i="1"/>
  <c r="BJ168" i="1"/>
  <c r="BJ177" i="1"/>
  <c r="BJ178" i="1" s="1"/>
  <c r="CH202" i="1"/>
  <c r="CH210" i="1"/>
  <c r="CH211" i="1" s="1"/>
  <c r="BI168" i="1"/>
  <c r="BM169" i="1" s="1"/>
  <c r="BI177" i="1"/>
  <c r="BI178" i="1" s="1"/>
  <c r="BM179" i="1" s="1"/>
  <c r="CI163" i="1"/>
  <c r="CY205" i="5"/>
  <c r="DO198" i="5"/>
  <c r="DO190" i="5"/>
  <c r="DO191" i="5" s="1"/>
  <c r="V50" i="5"/>
  <c r="V255" i="5" s="1"/>
  <c r="M266" i="5"/>
  <c r="M249" i="5"/>
  <c r="M265" i="5"/>
  <c r="M242" i="5"/>
  <c r="DH244" i="5"/>
  <c r="DH43" i="5"/>
  <c r="M17" i="3"/>
  <c r="CE196" i="1"/>
  <c r="CE199" i="1" s="1"/>
  <c r="CE197" i="1"/>
  <c r="CE201" i="1"/>
  <c r="BR346" i="1"/>
  <c r="BV326" i="1"/>
  <c r="BV347" i="1" s="1"/>
  <c r="CI168" i="1"/>
  <c r="CI177" i="1"/>
  <c r="CI178" i="1" s="1"/>
  <c r="M198" i="5"/>
  <c r="M254" i="5"/>
  <c r="M250" i="5"/>
  <c r="M72" i="5"/>
  <c r="M76" i="5" s="1"/>
  <c r="M79" i="5" s="1"/>
  <c r="M84" i="5" s="1"/>
  <c r="M86" i="5" s="1"/>
  <c r="M35" i="5"/>
  <c r="M26" i="5"/>
  <c r="M46" i="5"/>
  <c r="M56" i="5" s="1"/>
  <c r="BO250" i="5"/>
  <c r="BO190" i="5"/>
  <c r="BO191" i="5" s="1"/>
  <c r="BO35" i="5"/>
  <c r="BO218" i="5" s="1"/>
  <c r="BO72" i="5"/>
  <c r="BO76" i="5" s="1"/>
  <c r="BO79" i="5" s="1"/>
  <c r="BO84" i="5" s="1"/>
  <c r="BO86" i="5" s="1"/>
  <c r="BO254" i="5"/>
  <c r="BO198" i="5"/>
  <c r="CI201" i="1"/>
  <c r="CI197" i="1"/>
  <c r="CI196" i="1"/>
  <c r="BZ190" i="5"/>
  <c r="BZ191" i="5" s="1"/>
  <c r="BZ72" i="5"/>
  <c r="BZ76" i="5" s="1"/>
  <c r="BZ79" i="5" s="1"/>
  <c r="BZ84" i="5" s="1"/>
  <c r="BZ86" i="5" s="1"/>
  <c r="BZ35" i="5"/>
  <c r="BZ218" i="5" s="1"/>
  <c r="BZ198" i="5"/>
  <c r="BZ250" i="5"/>
  <c r="BZ254" i="5"/>
  <c r="BK266" i="5"/>
  <c r="BK265" i="5"/>
  <c r="BK249" i="5"/>
  <c r="CB168" i="1"/>
  <c r="CB177" i="1"/>
  <c r="CB178" i="1" s="1"/>
  <c r="BZ226" i="5"/>
  <c r="BZ46" i="5" s="1"/>
  <c r="BZ56" i="5" s="1"/>
  <c r="BZ227" i="5"/>
  <c r="DJ345" i="1"/>
  <c r="DK325" i="1"/>
  <c r="AA242" i="5"/>
  <c r="AB242" i="5"/>
  <c r="AA265" i="5"/>
  <c r="AA249" i="5"/>
  <c r="AA266" i="5"/>
  <c r="BT214" i="1"/>
  <c r="BT197" i="1"/>
  <c r="BT196" i="1"/>
  <c r="BT201" i="1"/>
  <c r="BP214" i="1"/>
  <c r="BP201" i="1"/>
  <c r="BP197" i="1"/>
  <c r="BP196" i="1"/>
  <c r="BP199" i="1" s="1"/>
  <c r="BU177" i="1"/>
  <c r="BU178" i="1" s="1"/>
  <c r="BU168" i="1"/>
  <c r="BZ26" i="5"/>
  <c r="AD255" i="5"/>
  <c r="CD173" i="1"/>
  <c r="CD326" i="1"/>
  <c r="CD347" i="1" s="1"/>
  <c r="BZ346" i="1"/>
  <c r="BK198" i="1"/>
  <c r="BK199" i="1"/>
  <c r="BL45" i="5"/>
  <c r="BL39" i="5"/>
  <c r="DQ326" i="1"/>
  <c r="DQ347" i="1" s="1"/>
  <c r="DP346" i="1"/>
  <c r="BK226" i="5"/>
  <c r="BK46" i="5" s="1"/>
  <c r="BK56" i="5" s="1"/>
  <c r="BK227" i="5"/>
  <c r="BA173" i="1"/>
  <c r="BA172" i="1"/>
  <c r="BZ168" i="1"/>
  <c r="BZ177" i="1"/>
  <c r="BZ178" i="1" s="1"/>
  <c r="BN346" i="1"/>
  <c r="BR326" i="1"/>
  <c r="BR347" i="1" s="1"/>
  <c r="AA46" i="5"/>
  <c r="AA56" i="5" s="1"/>
  <c r="H62" i="5"/>
  <c r="H68" i="5" s="1"/>
  <c r="H252" i="5"/>
  <c r="AS168" i="1"/>
  <c r="AS177" i="1"/>
  <c r="AS178" i="1" s="1"/>
  <c r="CA172" i="1"/>
  <c r="CA173" i="1"/>
  <c r="CE173" i="1"/>
  <c r="CJ163" i="1"/>
  <c r="P17" i="3"/>
  <c r="DK22" i="5"/>
  <c r="DK241" i="5"/>
  <c r="DK244" i="5"/>
  <c r="DK43" i="5"/>
  <c r="BK202" i="1"/>
  <c r="BK210" i="1"/>
  <c r="BK211" i="1" s="1"/>
  <c r="BL207" i="5"/>
  <c r="BL208" i="5" s="1"/>
  <c r="BL225" i="5" s="1"/>
  <c r="BL25" i="5"/>
  <c r="BL200" i="5"/>
  <c r="BL202" i="5" s="1"/>
  <c r="BL205" i="5" s="1"/>
  <c r="BL204" i="5" s="1"/>
  <c r="BC249" i="5"/>
  <c r="BC265" i="5"/>
  <c r="BC266" i="5"/>
  <c r="BK198" i="5"/>
  <c r="BK35" i="5"/>
  <c r="BK218" i="5" s="1"/>
  <c r="BK254" i="5"/>
  <c r="BK190" i="5"/>
  <c r="BK191" i="5" s="1"/>
  <c r="BK250" i="5"/>
  <c r="BK72" i="5"/>
  <c r="BK76" i="5" s="1"/>
  <c r="BK79" i="5" s="1"/>
  <c r="BK84" i="5" s="1"/>
  <c r="BK86" i="5" s="1"/>
  <c r="BO26" i="5"/>
  <c r="BX197" i="1"/>
  <c r="BX214" i="1"/>
  <c r="BX196" i="1"/>
  <c r="BX201" i="1"/>
  <c r="CE175" i="1"/>
  <c r="BO174" i="1"/>
  <c r="CE326" i="1"/>
  <c r="CE347" i="1" s="1"/>
  <c r="CA346" i="1"/>
  <c r="N89" i="3"/>
  <c r="O13" i="3"/>
  <c r="BK169" i="1"/>
  <c r="BO169" i="1"/>
  <c r="CE346" i="1"/>
  <c r="CI326" i="1"/>
  <c r="CI347" i="1" s="1"/>
  <c r="AQ43" i="5"/>
  <c r="AQ22" i="5"/>
  <c r="AQ244" i="5"/>
  <c r="AQ241" i="5"/>
  <c r="AS163" i="1"/>
  <c r="AW163" i="1"/>
  <c r="BW168" i="1"/>
  <c r="BW169" i="1" s="1"/>
  <c r="BW177" i="1"/>
  <c r="BW178" i="1" s="1"/>
  <c r="BW179" i="1" s="1"/>
  <c r="CA168" i="1"/>
  <c r="CA177" i="1"/>
  <c r="CA178" i="1" s="1"/>
  <c r="BK215" i="1"/>
  <c r="BK217" i="1" s="1"/>
  <c r="BK216" i="1"/>
  <c r="BM25" i="5"/>
  <c r="BM200" i="5"/>
  <c r="BM202" i="5" s="1"/>
  <c r="BM205" i="5" s="1"/>
  <c r="BM204" i="5" s="1"/>
  <c r="BM182" i="5" s="1"/>
  <c r="BM181" i="5" s="1"/>
  <c r="BM207" i="5"/>
  <c r="BM208" i="5" s="1"/>
  <c r="BM225" i="5" s="1"/>
  <c r="DQ346" i="1"/>
  <c r="E13" i="10"/>
  <c r="CG201" i="1"/>
  <c r="CG196" i="1"/>
  <c r="CG199" i="1" s="1"/>
  <c r="CG197" i="1"/>
  <c r="DO391" i="1"/>
  <c r="DP386" i="1"/>
  <c r="AP205" i="5"/>
  <c r="DD202" i="5"/>
  <c r="BC46" i="5"/>
  <c r="BC56" i="5" s="1"/>
  <c r="BZ196" i="1"/>
  <c r="BZ199" i="1" s="1"/>
  <c r="BZ197" i="1"/>
  <c r="BZ201" i="1"/>
  <c r="DO326" i="1"/>
  <c r="DO347" i="1" s="1"/>
  <c r="DN346" i="1"/>
  <c r="BK179" i="1"/>
  <c r="DJ336" i="1"/>
  <c r="DK314" i="1"/>
  <c r="DK337" i="1" s="1"/>
  <c r="AQ173" i="1"/>
  <c r="AQ172" i="1"/>
  <c r="AQ174" i="1" s="1"/>
  <c r="BW173" i="1"/>
  <c r="BW172" i="1"/>
  <c r="CA196" i="1"/>
  <c r="CA197" i="1"/>
  <c r="CA201" i="1"/>
  <c r="O88" i="3"/>
  <c r="O90" i="3"/>
  <c r="BO334" i="1"/>
  <c r="BS312" i="1"/>
  <c r="DE10" i="2"/>
  <c r="DE11" i="2" s="1"/>
  <c r="AP266" i="5"/>
  <c r="AP265" i="5"/>
  <c r="AP249" i="5"/>
  <c r="BC190" i="5"/>
  <c r="BC191" i="5" s="1"/>
  <c r="BC72" i="5"/>
  <c r="BC76" i="5" s="1"/>
  <c r="BC79" i="5" s="1"/>
  <c r="BC84" i="5" s="1"/>
  <c r="BC86" i="5" s="1"/>
  <c r="BC198" i="5"/>
  <c r="BC254" i="5"/>
  <c r="BC35" i="5"/>
  <c r="BC250" i="5"/>
  <c r="AA250" i="5"/>
  <c r="AA198" i="5"/>
  <c r="AA254" i="5"/>
  <c r="AA72" i="5"/>
  <c r="AA76" i="5" s="1"/>
  <c r="AA79" i="5" s="1"/>
  <c r="AA35" i="5"/>
  <c r="E9" i="10"/>
  <c r="E10" i="10" s="1"/>
  <c r="CG168" i="1"/>
  <c r="CG177" i="1"/>
  <c r="CG178" i="1" s="1"/>
  <c r="DH171" i="1"/>
  <c r="DH172" i="1" s="1"/>
  <c r="AP198" i="5"/>
  <c r="AP72" i="5"/>
  <c r="AP76" i="5" s="1"/>
  <c r="AP79" i="5" s="1"/>
  <c r="AP84" i="5" s="1"/>
  <c r="AP86" i="5" s="1"/>
  <c r="AP35" i="5"/>
  <c r="AP250" i="5"/>
  <c r="AP254" i="5"/>
  <c r="CJ25" i="5"/>
  <c r="CJ207" i="5"/>
  <c r="CJ208" i="5" s="1"/>
  <c r="CJ225" i="5" s="1"/>
  <c r="CJ200" i="5"/>
  <c r="CJ202" i="5" s="1"/>
  <c r="CJ205" i="5" s="1"/>
  <c r="CF346" i="1"/>
  <c r="CJ326" i="1"/>
  <c r="CJ347" i="1" s="1"/>
  <c r="BX168" i="1"/>
  <c r="BX177" i="1"/>
  <c r="BX178" i="1" s="1"/>
  <c r="BA168" i="1"/>
  <c r="BA169" i="1" s="1"/>
  <c r="BA177" i="1"/>
  <c r="BA178" i="1" s="1"/>
  <c r="BA179" i="1" s="1"/>
  <c r="BR22" i="5"/>
  <c r="BR43" i="5"/>
  <c r="BR244" i="5"/>
  <c r="BR241" i="5"/>
  <c r="O17" i="3"/>
  <c r="DJ22" i="5"/>
  <c r="DJ244" i="5"/>
  <c r="DJ43" i="5"/>
  <c r="DJ45" i="5" s="1"/>
  <c r="BD173" i="1"/>
  <c r="BD172" i="1"/>
  <c r="BH173" i="1"/>
  <c r="BN337" i="1"/>
  <c r="BR315" i="1"/>
  <c r="BI334" i="1"/>
  <c r="BM312" i="1"/>
  <c r="BS39" i="5"/>
  <c r="BS45" i="5"/>
  <c r="AQ168" i="1"/>
  <c r="AQ169" i="1" s="1"/>
  <c r="AQ177" i="1"/>
  <c r="AQ178" i="1" s="1"/>
  <c r="AQ179" i="1" s="1"/>
  <c r="M9" i="7"/>
  <c r="C5" i="7" s="1"/>
  <c r="M13" i="7"/>
  <c r="C6" i="7" s="1"/>
  <c r="BG26" i="5"/>
  <c r="K251" i="5"/>
  <c r="CX250" i="5"/>
  <c r="AP242" i="5"/>
  <c r="BY163" i="1"/>
  <c r="BD163" i="1"/>
  <c r="DL167" i="1"/>
  <c r="P40" i="3"/>
  <c r="DL161" i="1"/>
  <c r="DL195" i="1"/>
  <c r="BX172" i="1"/>
  <c r="BX173" i="1"/>
  <c r="BS25" i="5"/>
  <c r="BW26" i="5" s="1"/>
  <c r="BS200" i="5"/>
  <c r="BS202" i="5" s="1"/>
  <c r="BS205" i="5" s="1"/>
  <c r="BS207" i="5"/>
  <c r="BS208" i="5" s="1"/>
  <c r="BS225" i="5" s="1"/>
  <c r="DK311" i="1"/>
  <c r="DK334" i="1" s="1"/>
  <c r="DJ333" i="1"/>
  <c r="BT173" i="1"/>
  <c r="BT172" i="1"/>
  <c r="CF326" i="1"/>
  <c r="CF347" i="1" s="1"/>
  <c r="CB346" i="1"/>
  <c r="BU214" i="1"/>
  <c r="BU196" i="1"/>
  <c r="BU197" i="1"/>
  <c r="BU201" i="1"/>
  <c r="BO346" i="1"/>
  <c r="BS326" i="1"/>
  <c r="BS347" i="1" s="1"/>
  <c r="BW197" i="1"/>
  <c r="BW214" i="1"/>
  <c r="BW196" i="1"/>
  <c r="BW201" i="1"/>
  <c r="N9" i="7"/>
  <c r="D5" i="7" s="1"/>
  <c r="N13" i="7"/>
  <c r="D6" i="7" s="1"/>
  <c r="BH312" i="1"/>
  <c r="BD334" i="1"/>
  <c r="DD25" i="5"/>
  <c r="CB201" i="1"/>
  <c r="CB197" i="1"/>
  <c r="CB196" i="1"/>
  <c r="CJ39" i="5"/>
  <c r="CJ45" i="5"/>
  <c r="BZ266" i="5"/>
  <c r="BZ265" i="5"/>
  <c r="BZ249" i="5"/>
  <c r="BP172" i="1"/>
  <c r="DL171" i="1"/>
  <c r="DL172" i="1" s="1"/>
  <c r="CE163" i="1"/>
  <c r="CA163" i="1"/>
  <c r="CX198" i="5"/>
  <c r="CF163" i="1"/>
  <c r="AT47" i="2"/>
  <c r="AP46" i="5"/>
  <c r="AP56" i="5" s="1"/>
  <c r="DL241" i="5"/>
  <c r="DM241" i="5"/>
  <c r="Q17" i="3"/>
  <c r="DL43" i="5"/>
  <c r="DL244" i="5"/>
  <c r="DL22" i="5"/>
  <c r="CB173" i="1"/>
  <c r="CB172" i="1"/>
  <c r="BM45" i="5"/>
  <c r="BM39" i="5"/>
  <c r="BN334" i="1"/>
  <c r="BR312" i="1"/>
  <c r="L9" i="7"/>
  <c r="L13" i="7"/>
  <c r="BD168" i="1"/>
  <c r="BH169" i="1" s="1"/>
  <c r="BD177" i="1"/>
  <c r="BD178" i="1" s="1"/>
  <c r="BH179" i="1" s="1"/>
  <c r="BT168" i="1"/>
  <c r="BT169" i="1" s="1"/>
  <c r="BT177" i="1"/>
  <c r="BT178" i="1" s="1"/>
  <c r="BP177" i="1"/>
  <c r="BP178" i="1" s="1"/>
  <c r="BP168" i="1"/>
  <c r="BU172" i="1"/>
  <c r="BU173" i="1"/>
  <c r="DD39" i="5"/>
  <c r="DO189" i="2"/>
  <c r="DN188" i="2"/>
  <c r="DM325" i="1"/>
  <c r="DL345" i="1"/>
  <c r="AT173" i="1"/>
  <c r="BU335" i="1"/>
  <c r="BY313" i="1"/>
  <c r="BV163" i="1"/>
  <c r="BZ163" i="1"/>
  <c r="DO151" i="1"/>
  <c r="DO150" i="1"/>
  <c r="CA312" i="1"/>
  <c r="BW334" i="1"/>
  <c r="DM167" i="1"/>
  <c r="DM162" i="1"/>
  <c r="DM195" i="1"/>
  <c r="Q40" i="3"/>
  <c r="Q41" i="3" s="1"/>
  <c r="DM161" i="1"/>
  <c r="AW5" i="1"/>
  <c r="AW4" i="1"/>
  <c r="AW3" i="5"/>
  <c r="R36" i="3"/>
  <c r="R37" i="3"/>
  <c r="CJ313" i="1"/>
  <c r="CJ336" i="1" s="1"/>
  <c r="CF335" i="1"/>
  <c r="AT177" i="5"/>
  <c r="AT247" i="5"/>
  <c r="AT245" i="5"/>
  <c r="AT248" i="5"/>
  <c r="AT8" i="5"/>
  <c r="AT235" i="5"/>
  <c r="AT246" i="5"/>
  <c r="AT238" i="5"/>
  <c r="AS247" i="5"/>
  <c r="AS238" i="5"/>
  <c r="AS246" i="5"/>
  <c r="AS8" i="5"/>
  <c r="AS245" i="5"/>
  <c r="AS248" i="5"/>
  <c r="AS235" i="5"/>
  <c r="AS177" i="5"/>
  <c r="AS336" i="5"/>
  <c r="CH198" i="1"/>
  <c r="CD199" i="1"/>
  <c r="DM151" i="1"/>
  <c r="DM150" i="1"/>
  <c r="BV168" i="1"/>
  <c r="BV177" i="1"/>
  <c r="BV178" i="1" s="1"/>
  <c r="DO159" i="1"/>
  <c r="DO167" i="1"/>
  <c r="DO161" i="1"/>
  <c r="S40" i="3"/>
  <c r="DO162" i="1"/>
  <c r="DO195" i="1"/>
  <c r="DP150" i="1"/>
  <c r="DP151" i="1"/>
  <c r="AY7" i="1"/>
  <c r="DJ325" i="1"/>
  <c r="BJ346" i="1"/>
  <c r="BN326" i="1"/>
  <c r="BN347" i="1" s="1"/>
  <c r="CC168" i="1"/>
  <c r="CC177" i="1"/>
  <c r="CC178" i="1" s="1"/>
  <c r="AV4" i="5"/>
  <c r="AV6" i="5" s="1"/>
  <c r="AV16" i="1"/>
  <c r="CD202" i="1"/>
  <c r="CD210" i="1"/>
  <c r="CD211" i="1" s="1"/>
  <c r="Q36" i="3"/>
  <c r="Q37" i="3"/>
  <c r="BM215" i="1"/>
  <c r="BM217" i="1" s="1"/>
  <c r="BM216" i="1"/>
  <c r="BZ312" i="1"/>
  <c r="BV334" i="1"/>
  <c r="AZ20" i="1"/>
  <c r="BA20" i="1" s="1"/>
  <c r="BB20" i="1" s="1"/>
  <c r="AX177" i="1"/>
  <c r="AX178" i="1" s="1"/>
  <c r="AX168" i="1"/>
  <c r="BM198" i="1"/>
  <c r="BQ198" i="1"/>
  <c r="BM199" i="1"/>
  <c r="CJ168" i="1"/>
  <c r="CJ177" i="1"/>
  <c r="CJ178" i="1" s="1"/>
  <c r="DG167" i="1"/>
  <c r="DG161" i="1"/>
  <c r="DG195" i="1"/>
  <c r="DG162" i="1"/>
  <c r="BK334" i="1"/>
  <c r="BO312" i="1"/>
  <c r="BY201" i="1"/>
  <c r="BY214" i="1"/>
  <c r="BY197" i="1"/>
  <c r="BY196" i="1"/>
  <c r="DI151" i="1"/>
  <c r="M53" i="3" s="1"/>
  <c r="M54" i="3" s="1"/>
  <c r="DI150" i="1"/>
  <c r="DJ151" i="1"/>
  <c r="DJ150" i="1"/>
  <c r="BY346" i="1"/>
  <c r="CC326" i="1"/>
  <c r="CC347" i="1" s="1"/>
  <c r="AX163" i="1"/>
  <c r="BB163" i="1"/>
  <c r="CJ201" i="1"/>
  <c r="CJ196" i="1"/>
  <c r="CJ197" i="1"/>
  <c r="DM311" i="1"/>
  <c r="DL333" i="1"/>
  <c r="BL163" i="1"/>
  <c r="BP163" i="1"/>
  <c r="BY168" i="1"/>
  <c r="BY169" i="1" s="1"/>
  <c r="BY177" i="1"/>
  <c r="BY178" i="1" s="1"/>
  <c r="CC172" i="1"/>
  <c r="CG173" i="1"/>
  <c r="DO171" i="1"/>
  <c r="CC173" i="1"/>
  <c r="BE346" i="1"/>
  <c r="BI326" i="1"/>
  <c r="BI347" i="1" s="1"/>
  <c r="CX35" i="5"/>
  <c r="BO326" i="1"/>
  <c r="BO347" i="1" s="1"/>
  <c r="BK346" i="1"/>
  <c r="DN184" i="2"/>
  <c r="DO185" i="2"/>
  <c r="DN39" i="5"/>
  <c r="DN45" i="5"/>
  <c r="BV172" i="1"/>
  <c r="BZ173" i="1"/>
  <c r="BV173" i="1"/>
  <c r="DM171" i="1"/>
  <c r="R38" i="3"/>
  <c r="P36" i="3"/>
  <c r="O36" i="3"/>
  <c r="O37" i="3"/>
  <c r="AU173" i="1"/>
  <c r="AU172" i="1"/>
  <c r="DG171" i="1"/>
  <c r="CA313" i="1"/>
  <c r="BW335" i="1"/>
  <c r="CC201" i="1"/>
  <c r="CC196" i="1"/>
  <c r="CC197" i="1"/>
  <c r="AT168" i="1"/>
  <c r="AT169" i="1" s="1"/>
  <c r="AT177" i="1"/>
  <c r="AT178" i="1" s="1"/>
  <c r="AT179" i="1" s="1"/>
  <c r="CD179" i="1"/>
  <c r="CH179" i="1"/>
  <c r="AV168" i="1"/>
  <c r="AV177" i="1"/>
  <c r="AV178" i="1" s="1"/>
  <c r="AS47" i="2"/>
  <c r="CD335" i="1"/>
  <c r="CH313" i="1"/>
  <c r="DF161" i="1"/>
  <c r="J55" i="3" s="1"/>
  <c r="J56" i="3" s="1"/>
  <c r="DF162" i="1"/>
  <c r="DF195" i="1"/>
  <c r="BZ313" i="1"/>
  <c r="BV335" i="1"/>
  <c r="BJ335" i="1"/>
  <c r="DJ312" i="1"/>
  <c r="BN313" i="1"/>
  <c r="DO181" i="2"/>
  <c r="DN180" i="2"/>
  <c r="AY163" i="1"/>
  <c r="CG335" i="1"/>
  <c r="CK313" i="1"/>
  <c r="CK336" i="1" s="1"/>
  <c r="CF45" i="5"/>
  <c r="CF39" i="5"/>
  <c r="BJ326" i="1"/>
  <c r="DI325" i="1"/>
  <c r="DI346" i="1" s="1"/>
  <c r="BF346" i="1"/>
  <c r="DG157" i="2"/>
  <c r="BR203" i="1"/>
  <c r="DH197" i="1"/>
  <c r="DH196" i="1"/>
  <c r="DH201" i="1"/>
  <c r="AZ11" i="1"/>
  <c r="DI244" i="5"/>
  <c r="N17" i="3"/>
  <c r="DI43" i="5"/>
  <c r="DJ241" i="5"/>
  <c r="DI241" i="5"/>
  <c r="DI22" i="5"/>
  <c r="AY11" i="1"/>
  <c r="DP171" i="1"/>
  <c r="CF172" i="1"/>
  <c r="CF173" i="1"/>
  <c r="BC172" i="1"/>
  <c r="BG173" i="1"/>
  <c r="DI171" i="1"/>
  <c r="BC173" i="1"/>
  <c r="BQ312" i="1"/>
  <c r="BM334" i="1"/>
  <c r="BO313" i="1"/>
  <c r="BK335" i="1"/>
  <c r="CI312" i="1"/>
  <c r="CI335" i="1" s="1"/>
  <c r="CE334" i="1"/>
  <c r="BP326" i="1"/>
  <c r="BP347" i="1" s="1"/>
  <c r="BL346" i="1"/>
  <c r="AS39" i="2"/>
  <c r="CB265" i="5"/>
  <c r="CB266" i="5"/>
  <c r="CB249" i="5"/>
  <c r="CB337" i="1"/>
  <c r="CF315" i="1"/>
  <c r="CF338" i="1" s="1"/>
  <c r="I62" i="5"/>
  <c r="I68" i="5" s="1"/>
  <c r="CF168" i="1"/>
  <c r="CF177" i="1"/>
  <c r="CF178" i="1" s="1"/>
  <c r="CC163" i="1"/>
  <c r="CG163" i="1"/>
  <c r="AV173" i="1"/>
  <c r="AV172" i="1"/>
  <c r="AZ173" i="1"/>
  <c r="DE4" i="5"/>
  <c r="AL242" i="5"/>
  <c r="CZ78" i="5"/>
  <c r="DN334" i="1"/>
  <c r="DO312" i="1"/>
  <c r="BV196" i="1"/>
  <c r="BV201" i="1"/>
  <c r="BV214" i="1"/>
  <c r="BV197" i="1"/>
  <c r="CF196" i="1"/>
  <c r="CF197" i="1"/>
  <c r="CF201" i="1"/>
  <c r="AX4" i="2"/>
  <c r="AX9" i="1"/>
  <c r="AX3" i="1"/>
  <c r="AX12" i="1" s="1"/>
  <c r="AX8" i="1" s="1"/>
  <c r="AX18" i="1"/>
  <c r="DG18" i="1" s="1"/>
  <c r="BE50" i="5"/>
  <c r="DS326" i="1"/>
  <c r="DQ345" i="1"/>
  <c r="DN195" i="1"/>
  <c r="DN161" i="1"/>
  <c r="R40" i="3"/>
  <c r="DN162" i="1"/>
  <c r="DN167" i="1"/>
  <c r="DN159" i="1"/>
  <c r="BL168" i="1"/>
  <c r="BL177" i="1"/>
  <c r="BL178" i="1" s="1"/>
  <c r="CD175" i="1"/>
  <c r="CD174" i="1"/>
  <c r="CH174" i="1"/>
  <c r="CH335" i="1"/>
  <c r="CL313" i="1"/>
  <c r="CL336" i="1" s="1"/>
  <c r="DK167" i="1"/>
  <c r="DK195" i="1"/>
  <c r="DK161" i="1"/>
  <c r="DK162" i="1"/>
  <c r="O40" i="3"/>
  <c r="DL162" i="1"/>
  <c r="DP195" i="1"/>
  <c r="DP159" i="1"/>
  <c r="DP162" i="1"/>
  <c r="DP161" i="1"/>
  <c r="DP167" i="1"/>
  <c r="T40" i="3"/>
  <c r="DE151" i="2"/>
  <c r="AT150" i="2"/>
  <c r="DN172" i="2"/>
  <c r="DO173" i="2"/>
  <c r="CA326" i="1"/>
  <c r="CA347" i="1" s="1"/>
  <c r="BW346" i="1"/>
  <c r="AU274" i="1"/>
  <c r="AU275" i="1" s="1"/>
  <c r="AU284" i="1" s="1"/>
  <c r="AU278" i="1" s="1"/>
  <c r="AU279" i="1" s="1"/>
  <c r="DG7" i="1"/>
  <c r="DF16" i="1"/>
  <c r="DF22" i="1"/>
  <c r="CD169" i="1"/>
  <c r="CH169" i="1"/>
  <c r="L55" i="3"/>
  <c r="AF50" i="5"/>
  <c r="DM207" i="5"/>
  <c r="DM208" i="5" s="1"/>
  <c r="DM225" i="5" s="1"/>
  <c r="DM24" i="5"/>
  <c r="DM200" i="5"/>
  <c r="DM202" i="5" s="1"/>
  <c r="DM25" i="5"/>
  <c r="R19" i="3"/>
  <c r="R21" i="3" s="1"/>
  <c r="BM346" i="1"/>
  <c r="BQ326" i="1"/>
  <c r="BQ347" i="1" s="1"/>
  <c r="DN191" i="2"/>
  <c r="DO192" i="2"/>
  <c r="CC313" i="1"/>
  <c r="BY335" i="1"/>
  <c r="BE169" i="1"/>
  <c r="DJ311" i="1"/>
  <c r="BN312" i="1"/>
  <c r="BJ334" i="1"/>
  <c r="BR212" i="1"/>
  <c r="BZ326" i="1"/>
  <c r="BZ347" i="1" s="1"/>
  <c r="BV346" i="1"/>
  <c r="CB35" i="5"/>
  <c r="CB218" i="5" s="1"/>
  <c r="CB254" i="5"/>
  <c r="CB190" i="5"/>
  <c r="CB191" i="5" s="1"/>
  <c r="CB198" i="5"/>
  <c r="CB72" i="5"/>
  <c r="CB76" i="5" s="1"/>
  <c r="CB79" i="5" s="1"/>
  <c r="CB84" i="5" s="1"/>
  <c r="CB86" i="5" s="1"/>
  <c r="CB250" i="5"/>
  <c r="BL334" i="1"/>
  <c r="BP312" i="1"/>
  <c r="CJ173" i="1"/>
  <c r="CJ172" i="1"/>
  <c r="AW15" i="1"/>
  <c r="AW22" i="1" s="1"/>
  <c r="AU10" i="2"/>
  <c r="AU47" i="2" s="1"/>
  <c r="AT348" i="1"/>
  <c r="AT342" i="1" s="1"/>
  <c r="AT274" i="1" s="1"/>
  <c r="DF327" i="1"/>
  <c r="DF348" i="1" s="1"/>
  <c r="DF342" i="1" s="1"/>
  <c r="DM45" i="5"/>
  <c r="DM39" i="5"/>
  <c r="BL326" i="1"/>
  <c r="BL347" i="1" s="1"/>
  <c r="BH346" i="1"/>
  <c r="CK312" i="1"/>
  <c r="CK335" i="1" s="1"/>
  <c r="CG334" i="1"/>
  <c r="BP173" i="1"/>
  <c r="DK171" i="1"/>
  <c r="BL172" i="1"/>
  <c r="BL173" i="1"/>
  <c r="DN171" i="1"/>
  <c r="BY172" i="1"/>
  <c r="BY173" i="1"/>
  <c r="DI167" i="1"/>
  <c r="DI162" i="1"/>
  <c r="DI195" i="1"/>
  <c r="DI161" i="1"/>
  <c r="DJ162" i="1"/>
  <c r="CX72" i="5"/>
  <c r="CX76" i="5" s="1"/>
  <c r="S36" i="3"/>
  <c r="S38" i="3"/>
  <c r="S37" i="3"/>
  <c r="BG346" i="1"/>
  <c r="BK326" i="1"/>
  <c r="BK347" i="1" s="1"/>
  <c r="BC163" i="1"/>
  <c r="BG163" i="1"/>
  <c r="AT39" i="2"/>
  <c r="DL334" i="1"/>
  <c r="DM312" i="1"/>
  <c r="BM202" i="1"/>
  <c r="BM210" i="1"/>
  <c r="BM211" i="1" s="1"/>
  <c r="DP312" i="1"/>
  <c r="DO334" i="1"/>
  <c r="DK150" i="1"/>
  <c r="DK151" i="1"/>
  <c r="DL151" i="1"/>
  <c r="DL150" i="1"/>
  <c r="BC168" i="1"/>
  <c r="BC177" i="1"/>
  <c r="BC178" i="1" s="1"/>
  <c r="AS279" i="1"/>
  <c r="DN176" i="2"/>
  <c r="DO177" i="2"/>
  <c r="AX172" i="1"/>
  <c r="BB174" i="1" s="1"/>
  <c r="BB173" i="1"/>
  <c r="CF200" i="5"/>
  <c r="CF202" i="5" s="1"/>
  <c r="CF205" i="5" s="1"/>
  <c r="CF207" i="5"/>
  <c r="CF208" i="5" s="1"/>
  <c r="CF225" i="5" s="1"/>
  <c r="CF25" i="5"/>
  <c r="BL312" i="1"/>
  <c r="BH334" i="1"/>
  <c r="BE334" i="1"/>
  <c r="BI312" i="1"/>
  <c r="AR8" i="5"/>
  <c r="AR246" i="5"/>
  <c r="AR245" i="5"/>
  <c r="AT156" i="5"/>
  <c r="AR164" i="5"/>
  <c r="AR162" i="5"/>
  <c r="AR235" i="5"/>
  <c r="AR238" i="5"/>
  <c r="DE6" i="5"/>
  <c r="AT165" i="5"/>
  <c r="AR248" i="5"/>
  <c r="AR165" i="5"/>
  <c r="AT162" i="5"/>
  <c r="AS163" i="5"/>
  <c r="AR247" i="5"/>
  <c r="AS156" i="5"/>
  <c r="AS157" i="5"/>
  <c r="AS154" i="5" s="1"/>
  <c r="AT164" i="5"/>
  <c r="AS165" i="5"/>
  <c r="AT163" i="5"/>
  <c r="AR163" i="5"/>
  <c r="AS164" i="5"/>
  <c r="AT157" i="5"/>
  <c r="AT154" i="5" s="1"/>
  <c r="AS162" i="5"/>
  <c r="AR157" i="5"/>
  <c r="AR154" i="5" s="1"/>
  <c r="AR156" i="5"/>
  <c r="AR336" i="5"/>
  <c r="AR177" i="5"/>
  <c r="DG150" i="1"/>
  <c r="DG151" i="1"/>
  <c r="K53" i="3" s="1"/>
  <c r="K54" i="3" s="1"/>
  <c r="AX21" i="1"/>
  <c r="DG21" i="1" s="1"/>
  <c r="AX13" i="1"/>
  <c r="DG11" i="1"/>
  <c r="AX173" i="1"/>
  <c r="CY202" i="5"/>
  <c r="AE50" i="5"/>
  <c r="AE255" i="5" s="1"/>
  <c r="CC312" i="1"/>
  <c r="BY334" i="1"/>
  <c r="AV22" i="1"/>
  <c r="DN151" i="1"/>
  <c r="DN150" i="1"/>
  <c r="BL197" i="1"/>
  <c r="BL214" i="1"/>
  <c r="BL201" i="1"/>
  <c r="BL196" i="1"/>
  <c r="DN24" i="5"/>
  <c r="DN200" i="5"/>
  <c r="DN202" i="5" s="1"/>
  <c r="DN25" i="5"/>
  <c r="DN207" i="5"/>
  <c r="DN208" i="5" s="1"/>
  <c r="DN225" i="5" s="1"/>
  <c r="S19" i="3"/>
  <c r="S21" i="3" s="1"/>
  <c r="CB227" i="5"/>
  <c r="CB203" i="5"/>
  <c r="CB204" i="5" s="1"/>
  <c r="CB182" i="5" s="1"/>
  <c r="CB181" i="5" s="1"/>
  <c r="CB226" i="5"/>
  <c r="CB46" i="5" s="1"/>
  <c r="BA23" i="1"/>
  <c r="T36" i="3"/>
  <c r="T37" i="3"/>
  <c r="AU168" i="1"/>
  <c r="AU177" i="1"/>
  <c r="AU178" i="1" s="1"/>
  <c r="BE265" i="5"/>
  <c r="BE249" i="5"/>
  <c r="BE266" i="5"/>
  <c r="AV320" i="1"/>
  <c r="AV327" i="1" s="1"/>
  <c r="AV348" i="1" s="1"/>
  <c r="AV342" i="1" s="1"/>
  <c r="AW306" i="1"/>
  <c r="AV316" i="1"/>
  <c r="AV339" i="1" s="1"/>
  <c r="AV330" i="1" s="1"/>
  <c r="CB326" i="1"/>
  <c r="CB347" i="1" s="1"/>
  <c r="BX346" i="1"/>
  <c r="CB312" i="1"/>
  <c r="BX334" i="1"/>
  <c r="AU16" i="1"/>
  <c r="AU4" i="5"/>
  <c r="AU6" i="5" s="1"/>
  <c r="AU22" i="1"/>
  <c r="DH168" i="1"/>
  <c r="DH177" i="1"/>
  <c r="DH178" i="1" s="1"/>
  <c r="DE148" i="2"/>
  <c r="AT146" i="2"/>
  <c r="DE146" i="2" s="1"/>
  <c r="DN193" i="2"/>
  <c r="DO194" i="2"/>
  <c r="AW48" i="2"/>
  <c r="AW40" i="2"/>
  <c r="AW12" i="1"/>
  <c r="AW8" i="1" s="1"/>
  <c r="AJ255" i="5"/>
  <c r="AJ57" i="5"/>
  <c r="AJ251" i="5"/>
  <c r="Q56" i="5"/>
  <c r="CX56" i="5" s="1"/>
  <c r="CX46" i="5"/>
  <c r="AG50" i="5"/>
  <c r="AG251" i="5" s="1"/>
  <c r="U249" i="5"/>
  <c r="U265" i="5"/>
  <c r="U266" i="5"/>
  <c r="V242" i="5"/>
  <c r="CL307" i="5"/>
  <c r="CK308" i="5"/>
  <c r="U46" i="5"/>
  <c r="U56" i="5" s="1"/>
  <c r="BU50" i="5"/>
  <c r="BU56" i="5"/>
  <c r="AO50" i="5"/>
  <c r="S255" i="5"/>
  <c r="S251" i="5"/>
  <c r="S57" i="5"/>
  <c r="BP35" i="5"/>
  <c r="BP218" i="5" s="1"/>
  <c r="BP198" i="5"/>
  <c r="BP254" i="5"/>
  <c r="BP72" i="5"/>
  <c r="BP76" i="5" s="1"/>
  <c r="BP79" i="5" s="1"/>
  <c r="BP84" i="5" s="1"/>
  <c r="BP86" i="5" s="1"/>
  <c r="BP250" i="5"/>
  <c r="BP190" i="5"/>
  <c r="BP191" i="5" s="1"/>
  <c r="U26" i="5"/>
  <c r="U250" i="5"/>
  <c r="U72" i="5"/>
  <c r="U76" i="5" s="1"/>
  <c r="U79" i="5" s="1"/>
  <c r="U84" i="5" s="1"/>
  <c r="U86" i="5" s="1"/>
  <c r="U254" i="5"/>
  <c r="U35" i="5"/>
  <c r="U198" i="5"/>
  <c r="CY25" i="5"/>
  <c r="Y26" i="5"/>
  <c r="BT50" i="5"/>
  <c r="BT251" i="5" s="1"/>
  <c r="DD79" i="5"/>
  <c r="AM84" i="5"/>
  <c r="N35" i="5"/>
  <c r="N250" i="5"/>
  <c r="N72" i="5"/>
  <c r="N76" i="5" s="1"/>
  <c r="N79" i="5" s="1"/>
  <c r="N84" i="5" s="1"/>
  <c r="N86" i="5" s="1"/>
  <c r="N254" i="5"/>
  <c r="N198" i="5"/>
  <c r="R26" i="5"/>
  <c r="N26" i="5"/>
  <c r="W35" i="5"/>
  <c r="W254" i="5"/>
  <c r="W250" i="5"/>
  <c r="W198" i="5"/>
  <c r="W72" i="5"/>
  <c r="W76" i="5" s="1"/>
  <c r="W79" i="5" s="1"/>
  <c r="AA26" i="5"/>
  <c r="W26" i="5"/>
  <c r="BP226" i="5"/>
  <c r="BP46" i="5" s="1"/>
  <c r="BP56" i="5" s="1"/>
  <c r="BP227" i="5"/>
  <c r="W249" i="5"/>
  <c r="W266" i="5"/>
  <c r="W242" i="5"/>
  <c r="W265" i="5"/>
  <c r="BP266" i="5"/>
  <c r="BP249" i="5"/>
  <c r="BP265" i="5"/>
  <c r="BP242" i="5"/>
  <c r="AD252" i="5"/>
  <c r="AD62" i="5"/>
  <c r="AD68" i="5" s="1"/>
  <c r="W46" i="5"/>
  <c r="W56" i="5" s="1"/>
  <c r="N46" i="5"/>
  <c r="N56" i="5" s="1"/>
  <c r="AM251" i="5"/>
  <c r="AM255" i="5"/>
  <c r="N249" i="5"/>
  <c r="N265" i="5"/>
  <c r="N242" i="5"/>
  <c r="N266" i="5"/>
  <c r="AM56" i="5"/>
  <c r="Q50" i="5"/>
  <c r="CX50" i="5" s="1"/>
  <c r="AK46" i="5"/>
  <c r="AK56" i="5" s="1"/>
  <c r="BH50" i="5"/>
  <c r="G254" i="5"/>
  <c r="G198" i="5"/>
  <c r="G250" i="5"/>
  <c r="G35" i="5"/>
  <c r="G72" i="5"/>
  <c r="G76" i="5" s="1"/>
  <c r="G79" i="5" s="1"/>
  <c r="G84" i="5" s="1"/>
  <c r="G86" i="5" s="1"/>
  <c r="K26" i="5"/>
  <c r="AA307" i="5"/>
  <c r="AA312" i="5" s="1"/>
  <c r="AA315" i="5"/>
  <c r="AA314" i="5" s="1"/>
  <c r="AB308" i="5"/>
  <c r="C74" i="3"/>
  <c r="C73" i="3"/>
  <c r="BJ50" i="5"/>
  <c r="BJ57" i="5" s="1"/>
  <c r="K252" i="5"/>
  <c r="G46" i="5"/>
  <c r="G56" i="5" s="1"/>
  <c r="AP314" i="5"/>
  <c r="AQ315" i="5"/>
  <c r="O84" i="5"/>
  <c r="CX79" i="5"/>
  <c r="BD50" i="5"/>
  <c r="BD255" i="5" s="1"/>
  <c r="G249" i="5"/>
  <c r="H242" i="5"/>
  <c r="G265" i="5"/>
  <c r="G266" i="5"/>
  <c r="BX72" i="5"/>
  <c r="BX76" i="5" s="1"/>
  <c r="BX79" i="5" s="1"/>
  <c r="BX84" i="5" s="1"/>
  <c r="BX86" i="5" s="1"/>
  <c r="BX198" i="5"/>
  <c r="BX250" i="5"/>
  <c r="BX254" i="5"/>
  <c r="BX190" i="5"/>
  <c r="BX191" i="5" s="1"/>
  <c r="BX35" i="5"/>
  <c r="BX218" i="5" s="1"/>
  <c r="CB26" i="5"/>
  <c r="O57" i="5"/>
  <c r="BV50" i="5"/>
  <c r="X205" i="5"/>
  <c r="CZ202" i="5"/>
  <c r="BI46" i="5"/>
  <c r="BI56" i="5" s="1"/>
  <c r="BI265" i="5"/>
  <c r="BI249" i="5"/>
  <c r="BI266" i="5"/>
  <c r="BI242" i="5"/>
  <c r="O251" i="5"/>
  <c r="O255" i="5"/>
  <c r="BW249" i="5"/>
  <c r="BW265" i="5"/>
  <c r="BW242" i="5"/>
  <c r="BW266" i="5"/>
  <c r="J251" i="5"/>
  <c r="J255" i="5"/>
  <c r="J57" i="5"/>
  <c r="DA327" i="5"/>
  <c r="DA328" i="5" s="1"/>
  <c r="AD328" i="5"/>
  <c r="DU147" i="5"/>
  <c r="DU63" i="5"/>
  <c r="DU81" i="5" s="1"/>
  <c r="X46" i="5"/>
  <c r="X50" i="5" s="1"/>
  <c r="AB26" i="5"/>
  <c r="X35" i="5"/>
  <c r="X198" i="5"/>
  <c r="X72" i="5"/>
  <c r="X250" i="5"/>
  <c r="X254" i="5"/>
  <c r="CZ25" i="5"/>
  <c r="BX249" i="5"/>
  <c r="BX265" i="5"/>
  <c r="BX242" i="5"/>
  <c r="BX266" i="5"/>
  <c r="BW250" i="5"/>
  <c r="BW198" i="5"/>
  <c r="BW254" i="5"/>
  <c r="BW190" i="5"/>
  <c r="BW191" i="5" s="1"/>
  <c r="BW35" i="5"/>
  <c r="BW218" i="5" s="1"/>
  <c r="BW72" i="5"/>
  <c r="BW76" i="5" s="1"/>
  <c r="BW79" i="5" s="1"/>
  <c r="BW84" i="5" s="1"/>
  <c r="BW86" i="5" s="1"/>
  <c r="BX226" i="5"/>
  <c r="BX46" i="5" s="1"/>
  <c r="BX227" i="5"/>
  <c r="BG50" i="5"/>
  <c r="BG251" i="5" s="1"/>
  <c r="DB35" i="5"/>
  <c r="C4" i="12" s="1"/>
  <c r="Y242" i="5"/>
  <c r="X242" i="5"/>
  <c r="X249" i="5"/>
  <c r="X265" i="5"/>
  <c r="CZ39" i="5"/>
  <c r="BI250" i="5"/>
  <c r="BI254" i="5"/>
  <c r="BI72" i="5"/>
  <c r="BI76" i="5" s="1"/>
  <c r="BI79" i="5" s="1"/>
  <c r="BI84" i="5" s="1"/>
  <c r="BI86" i="5" s="1"/>
  <c r="BI198" i="5"/>
  <c r="BI35" i="5"/>
  <c r="BI190" i="5"/>
  <c r="BI191" i="5" s="1"/>
  <c r="BI26" i="5"/>
  <c r="AK72" i="5"/>
  <c r="AK76" i="5" s="1"/>
  <c r="AK79" i="5" s="1"/>
  <c r="AK84" i="5" s="1"/>
  <c r="AK86" i="5" s="1"/>
  <c r="AK250" i="5"/>
  <c r="AK254" i="5"/>
  <c r="AK26" i="5"/>
  <c r="AK35" i="5"/>
  <c r="AK198" i="5"/>
  <c r="AO26" i="5"/>
  <c r="CX249" i="5"/>
  <c r="C35" i="3"/>
  <c r="C37" i="3" s="1"/>
  <c r="DO50" i="5"/>
  <c r="DO251" i="5" s="1"/>
  <c r="BJ242" i="5"/>
  <c r="BW226" i="5"/>
  <c r="BW46" i="5" s="1"/>
  <c r="BW227" i="5"/>
  <c r="AK249" i="5"/>
  <c r="AK242" i="5"/>
  <c r="AK266" i="5"/>
  <c r="AK265" i="5"/>
  <c r="BQ56" i="5"/>
  <c r="BQ50" i="5"/>
  <c r="T255" i="5"/>
  <c r="T251" i="5"/>
  <c r="F57" i="5"/>
  <c r="F251" i="5"/>
  <c r="F255" i="5"/>
  <c r="AH204" i="5"/>
  <c r="DB205" i="5"/>
  <c r="AL76" i="5"/>
  <c r="AL79" i="5" s="1"/>
  <c r="AL84" i="5" s="1"/>
  <c r="AL86" i="5" s="1"/>
  <c r="C35" i="5"/>
  <c r="C198" i="5"/>
  <c r="G26" i="5"/>
  <c r="C72" i="5"/>
  <c r="C76" i="5" s="1"/>
  <c r="C79" i="5" s="1"/>
  <c r="C84" i="5" s="1"/>
  <c r="C250" i="5"/>
  <c r="DI205" i="5"/>
  <c r="AC205" i="5"/>
  <c r="DA202" i="5"/>
  <c r="AN252" i="5"/>
  <c r="AN62" i="5"/>
  <c r="AC266" i="5"/>
  <c r="AD242" i="5"/>
  <c r="DA39" i="5"/>
  <c r="DB242" i="5" s="1"/>
  <c r="AC249" i="5"/>
  <c r="AC242" i="5"/>
  <c r="AC265" i="5"/>
  <c r="AC46" i="5"/>
  <c r="AC50" i="5" s="1"/>
  <c r="AC198" i="5"/>
  <c r="AC254" i="5"/>
  <c r="AG26" i="5"/>
  <c r="AC250" i="5"/>
  <c r="AC26" i="5"/>
  <c r="DA25" i="5"/>
  <c r="AC35" i="5"/>
  <c r="AC72" i="5"/>
  <c r="C266" i="5"/>
  <c r="C249" i="5"/>
  <c r="D242" i="5"/>
  <c r="C265" i="5"/>
  <c r="AB317" i="5"/>
  <c r="AA316" i="5"/>
  <c r="C46" i="5"/>
  <c r="C56" i="5" s="1"/>
  <c r="AH255" i="5"/>
  <c r="AH251" i="5"/>
  <c r="BL182" i="5"/>
  <c r="BL181" i="5" s="1"/>
  <c r="CA226" i="5"/>
  <c r="CA46" i="5" s="1"/>
  <c r="CA56" i="5" s="1"/>
  <c r="CA227" i="5"/>
  <c r="CA203" i="5"/>
  <c r="CA204" i="5" s="1"/>
  <c r="DB46" i="5"/>
  <c r="AH56" i="5"/>
  <c r="DB56" i="5" s="1"/>
  <c r="DB249" i="5"/>
  <c r="G35" i="3"/>
  <c r="DB265" i="5"/>
  <c r="DB266" i="5"/>
  <c r="DB254" i="5"/>
  <c r="C15" i="12" s="1"/>
  <c r="G22" i="3"/>
  <c r="DB194" i="5"/>
  <c r="DB250" i="5"/>
  <c r="DB198" i="5"/>
  <c r="DB72" i="5"/>
  <c r="DB76" i="5" s="1"/>
  <c r="DB79" i="5" s="1"/>
  <c r="DB84" i="5" s="1"/>
  <c r="DB86" i="5" s="1"/>
  <c r="AL255" i="5"/>
  <c r="AL251" i="5"/>
  <c r="AD318" i="5"/>
  <c r="DC249" i="5"/>
  <c r="CD321" i="5"/>
  <c r="CC322" i="5"/>
  <c r="CA190" i="5"/>
  <c r="CA191" i="5" s="1"/>
  <c r="CA35" i="5"/>
  <c r="CA218" i="5" s="1"/>
  <c r="CA72" i="5"/>
  <c r="CA76" i="5" s="1"/>
  <c r="CA79" i="5" s="1"/>
  <c r="CA84" i="5" s="1"/>
  <c r="CA86" i="5" s="1"/>
  <c r="CA26" i="5"/>
  <c r="CA254" i="5"/>
  <c r="CA250" i="5"/>
  <c r="CA198" i="5"/>
  <c r="AL56" i="5"/>
  <c r="AL204" i="5"/>
  <c r="DC205" i="5"/>
  <c r="P4" i="12"/>
  <c r="Z62" i="5"/>
  <c r="Z252" i="5"/>
  <c r="AC310" i="5"/>
  <c r="AB330" i="5"/>
  <c r="AB329" i="5" s="1"/>
  <c r="AB332" i="5" s="1"/>
  <c r="AB309" i="5"/>
  <c r="L57" i="5"/>
  <c r="L255" i="5"/>
  <c r="L251" i="5"/>
  <c r="AA329" i="5"/>
  <c r="AA332" i="5" s="1"/>
  <c r="T56" i="5"/>
  <c r="CA265" i="5"/>
  <c r="CA249" i="5"/>
  <c r="CA242" i="5"/>
  <c r="CA266" i="5"/>
  <c r="CB242" i="5"/>
  <c r="L3" i="3"/>
  <c r="K34" i="3"/>
  <c r="K59" i="3" s="1"/>
  <c r="AP80" i="6"/>
  <c r="AP107" i="6"/>
  <c r="AP89" i="6" s="1"/>
  <c r="AQ98" i="6"/>
  <c r="BI331" i="5"/>
  <c r="BI333" i="5"/>
  <c r="AK87" i="6"/>
  <c r="AO118" i="6"/>
  <c r="AN91" i="6"/>
  <c r="BH91" i="6" s="1"/>
  <c r="AL94" i="6"/>
  <c r="AL87" i="6" s="1"/>
  <c r="AL105" i="6"/>
  <c r="AL114" i="6" s="1"/>
  <c r="AN103" i="6"/>
  <c r="AM112" i="6"/>
  <c r="AM96" i="6"/>
  <c r="AQ101" i="6"/>
  <c r="AP110" i="6"/>
  <c r="AP92" i="6" s="1"/>
  <c r="BI84" i="6"/>
  <c r="BI111" i="6"/>
  <c r="BI93" i="6" s="1"/>
  <c r="BJ102" i="6"/>
  <c r="BJ108" i="6"/>
  <c r="BK99" i="6"/>
  <c r="BM98" i="6"/>
  <c r="BL107" i="6"/>
  <c r="AP102" i="6"/>
  <c r="AO111" i="6"/>
  <c r="AO93" i="6" s="1"/>
  <c r="BH79" i="6"/>
  <c r="BH78" i="6" s="1"/>
  <c r="AN78" i="6"/>
  <c r="AQ99" i="6"/>
  <c r="AP81" i="6"/>
  <c r="AP90" i="6" s="1"/>
  <c r="AN93" i="6"/>
  <c r="BH93" i="6" s="1"/>
  <c r="BH111" i="6"/>
  <c r="AR100" i="6"/>
  <c r="AQ82" i="6"/>
  <c r="AN88" i="6"/>
  <c r="BH88" i="6" s="1"/>
  <c r="AP97" i="6"/>
  <c r="AO79" i="6"/>
  <c r="AO78" i="6" s="1"/>
  <c r="AO106" i="6"/>
  <c r="BK101" i="6"/>
  <c r="BJ110" i="6"/>
  <c r="BK109" i="6"/>
  <c r="BL100" i="6"/>
  <c r="BI97" i="6"/>
  <c r="AN182" i="5"/>
  <c r="AN181" i="5" s="1"/>
  <c r="P182" i="5"/>
  <c r="P181" i="5" s="1"/>
  <c r="CX204" i="5"/>
  <c r="AX209" i="2"/>
  <c r="AX213" i="2" s="1"/>
  <c r="AW215" i="2"/>
  <c r="AW214" i="2"/>
  <c r="BC238" i="2"/>
  <c r="BC69" i="2"/>
  <c r="BG238" i="2"/>
  <c r="DR312" i="2"/>
  <c r="DS321" i="2"/>
  <c r="BD261" i="2"/>
  <c r="BD237" i="2"/>
  <c r="DU124" i="2"/>
  <c r="DV99" i="1" s="1"/>
  <c r="DU99" i="1"/>
  <c r="AS174" i="1"/>
  <c r="AW174" i="1"/>
  <c r="BE268" i="2"/>
  <c r="BE260" i="2"/>
  <c r="BF263" i="2"/>
  <c r="BF267" i="2" s="1"/>
  <c r="BF271" i="2"/>
  <c r="AT174" i="1"/>
  <c r="DH205" i="5"/>
  <c r="DF172" i="1"/>
  <c r="DF215" i="1"/>
  <c r="DF217" i="1" s="1"/>
  <c r="DF216" i="1"/>
  <c r="DH72" i="5"/>
  <c r="DH76" i="5" s="1"/>
  <c r="DH79" i="5" s="1"/>
  <c r="DH84" i="5" s="1"/>
  <c r="DH86" i="5" s="1"/>
  <c r="DH254" i="5"/>
  <c r="I15" i="12" s="1"/>
  <c r="DH194" i="5"/>
  <c r="DH190" i="5"/>
  <c r="DH191" i="5" s="1"/>
  <c r="DH198" i="5"/>
  <c r="M22" i="3"/>
  <c r="DH35" i="5"/>
  <c r="DH250" i="5"/>
  <c r="DJ206" i="1"/>
  <c r="BD182" i="5"/>
  <c r="BD181" i="5" s="1"/>
  <c r="DG238" i="2"/>
  <c r="DG69" i="2"/>
  <c r="S182" i="5"/>
  <c r="S181" i="5" s="1"/>
  <c r="CY204" i="5"/>
  <c r="CY79" i="5"/>
  <c r="S84" i="5"/>
  <c r="BF190" i="5"/>
  <c r="BF191" i="5" s="1"/>
  <c r="BF72" i="5"/>
  <c r="BF76" i="5" s="1"/>
  <c r="BF79" i="5" s="1"/>
  <c r="BF84" i="5" s="1"/>
  <c r="BF86" i="5" s="1"/>
  <c r="DI204" i="5"/>
  <c r="BG182" i="5"/>
  <c r="BG181" i="5" s="1"/>
  <c r="BJ198" i="5"/>
  <c r="BJ250" i="5"/>
  <c r="BJ254" i="5"/>
  <c r="BJ72" i="5"/>
  <c r="BJ76" i="5" s="1"/>
  <c r="BJ79" i="5" s="1"/>
  <c r="BJ84" i="5" s="1"/>
  <c r="BJ86" i="5" s="1"/>
  <c r="BJ190" i="5"/>
  <c r="BJ191" i="5" s="1"/>
  <c r="BJ35" i="5"/>
  <c r="BP214" i="2"/>
  <c r="BP215" i="2"/>
  <c r="BQ209" i="2"/>
  <c r="BQ213" i="2" s="1"/>
  <c r="BQ219" i="2"/>
  <c r="DH206" i="1"/>
  <c r="DG216" i="1"/>
  <c r="DT197" i="2"/>
  <c r="DS196" i="2"/>
  <c r="DU94" i="2"/>
  <c r="DU72" i="2"/>
  <c r="DT91" i="2"/>
  <c r="DU90" i="2"/>
  <c r="DT89" i="2"/>
  <c r="CK160" i="1"/>
  <c r="CK150" i="1"/>
  <c r="CU148" i="1"/>
  <c r="CK149" i="1"/>
  <c r="CK78" i="5"/>
  <c r="E73" i="3"/>
  <c r="E74" i="3"/>
  <c r="N65" i="3"/>
  <c r="N62" i="3"/>
  <c r="O60" i="3"/>
  <c r="J6" i="12"/>
  <c r="F65" i="3"/>
  <c r="F62" i="3"/>
  <c r="G60" i="3"/>
  <c r="DQ284" i="5" l="1"/>
  <c r="DQ282" i="5" s="1"/>
  <c r="CM282" i="5"/>
  <c r="CP285" i="2"/>
  <c r="CP287" i="2" s="1"/>
  <c r="CP284" i="5" s="1"/>
  <c r="CP282" i="5" s="1"/>
  <c r="CP19" i="5"/>
  <c r="CN19" i="5"/>
  <c r="CN285" i="2"/>
  <c r="CN287" i="2" s="1"/>
  <c r="CN284" i="5" s="1"/>
  <c r="CN282" i="5" s="1"/>
  <c r="CO284" i="2"/>
  <c r="DQ289" i="2"/>
  <c r="V3" i="3"/>
  <c r="U34" i="3"/>
  <c r="U59" i="3" s="1"/>
  <c r="CX242" i="5"/>
  <c r="CX265" i="5"/>
  <c r="BN266" i="5"/>
  <c r="CY242" i="5"/>
  <c r="DC266" i="5"/>
  <c r="AW10" i="2"/>
  <c r="AW47" i="2" s="1"/>
  <c r="DC265" i="5"/>
  <c r="H35" i="3"/>
  <c r="I36" i="3" s="1"/>
  <c r="DD242" i="5"/>
  <c r="CP163" i="5"/>
  <c r="CP343" i="1"/>
  <c r="CP334" i="1"/>
  <c r="CP337" i="1"/>
  <c r="DT237" i="1"/>
  <c r="DU235" i="1"/>
  <c r="DT105" i="5"/>
  <c r="DS140" i="1"/>
  <c r="DR330" i="1"/>
  <c r="DT262" i="1"/>
  <c r="DS264" i="1"/>
  <c r="DR321" i="1"/>
  <c r="DR233" i="1"/>
  <c r="CO145" i="5"/>
  <c r="CP127" i="5"/>
  <c r="CP145" i="5" s="1"/>
  <c r="DT140" i="1"/>
  <c r="DS137" i="1"/>
  <c r="DU105" i="5" s="1"/>
  <c r="BH145" i="6"/>
  <c r="AN145" i="6"/>
  <c r="AL63" i="6"/>
  <c r="AK71" i="6"/>
  <c r="AK54" i="6" s="1"/>
  <c r="AP137" i="6"/>
  <c r="AO147" i="6"/>
  <c r="BU300" i="2"/>
  <c r="AE159" i="6"/>
  <c r="AE161" i="6" s="1"/>
  <c r="AK156" i="6"/>
  <c r="AK19" i="6"/>
  <c r="AT61" i="6"/>
  <c r="AS69" i="6"/>
  <c r="AS52" i="6" s="1"/>
  <c r="AM45" i="6"/>
  <c r="AL40" i="6"/>
  <c r="AO145" i="6"/>
  <c r="AI64" i="6"/>
  <c r="AH72" i="6"/>
  <c r="AH55" i="6" s="1"/>
  <c r="AH49" i="6" s="1"/>
  <c r="BF58" i="6"/>
  <c r="BF157" i="6"/>
  <c r="BF159" i="6" s="1"/>
  <c r="BF161" i="6" s="1"/>
  <c r="AP146" i="6"/>
  <c r="AQ136" i="6"/>
  <c r="BY328" i="5"/>
  <c r="DO327" i="5"/>
  <c r="DO328" i="5" s="1"/>
  <c r="AV60" i="6"/>
  <c r="AV68" i="6" s="1"/>
  <c r="AV51" i="6" s="1"/>
  <c r="AU68" i="6"/>
  <c r="AU51" i="6" s="1"/>
  <c r="AG49" i="6"/>
  <c r="AQ139" i="6"/>
  <c r="AP149" i="6"/>
  <c r="BL138" i="6"/>
  <c r="BK148" i="6"/>
  <c r="AS41" i="6"/>
  <c r="AU127" i="6"/>
  <c r="AT126" i="6"/>
  <c r="AT125" i="6" s="1"/>
  <c r="BI44" i="6"/>
  <c r="BL41" i="6"/>
  <c r="AR143" i="6"/>
  <c r="AQ153" i="6"/>
  <c r="BL142" i="6"/>
  <c r="BK152" i="6"/>
  <c r="AM62" i="6"/>
  <c r="AL70" i="6"/>
  <c r="AL53" i="6" s="1"/>
  <c r="BL136" i="6"/>
  <c r="BK146" i="6"/>
  <c r="AR142" i="6"/>
  <c r="AQ152" i="6"/>
  <c r="AP44" i="6"/>
  <c r="BG59" i="6"/>
  <c r="BG67" i="6" s="1"/>
  <c r="AK59" i="6"/>
  <c r="AJ67" i="6"/>
  <c r="AJ50" i="6" s="1"/>
  <c r="BG50" i="6" s="1"/>
  <c r="AT141" i="6"/>
  <c r="AS151" i="6"/>
  <c r="BZ327" i="5"/>
  <c r="BG19" i="6"/>
  <c r="BG20" i="6" s="1"/>
  <c r="AJ20" i="6"/>
  <c r="BL139" i="6"/>
  <c r="BK149" i="6"/>
  <c r="BV300" i="2"/>
  <c r="BV301" i="2" s="1"/>
  <c r="AF159" i="6"/>
  <c r="AF161" i="6" s="1"/>
  <c r="AQ138" i="6"/>
  <c r="AP148" i="6"/>
  <c r="BM61" i="6"/>
  <c r="BL69" i="6"/>
  <c r="BL52" i="6" s="1"/>
  <c r="BK137" i="6"/>
  <c r="BJ147" i="6"/>
  <c r="BJ145" i="6" s="1"/>
  <c r="BF250" i="5"/>
  <c r="BF35" i="5"/>
  <c r="E251" i="5"/>
  <c r="DH204" i="5"/>
  <c r="DH203" i="5" s="1"/>
  <c r="DC198" i="5"/>
  <c r="DD35" i="5"/>
  <c r="E4" i="12" s="1"/>
  <c r="BO179" i="1"/>
  <c r="DH226" i="5"/>
  <c r="BU174" i="1"/>
  <c r="CX182" i="5"/>
  <c r="CX181" i="5" s="1"/>
  <c r="AG255" i="5"/>
  <c r="CC50" i="5"/>
  <c r="CC57" i="5" s="1"/>
  <c r="DC194" i="5"/>
  <c r="BF254" i="5"/>
  <c r="DE39" i="2"/>
  <c r="DE47" i="2" s="1"/>
  <c r="DC250" i="5"/>
  <c r="CF179" i="1"/>
  <c r="M50" i="5"/>
  <c r="M251" i="5" s="1"/>
  <c r="DC254" i="5"/>
  <c r="D15" i="12" s="1"/>
  <c r="DC26" i="5"/>
  <c r="DD26" i="5"/>
  <c r="E255" i="5"/>
  <c r="BJ26" i="5"/>
  <c r="BD57" i="5"/>
  <c r="BD252" i="5" s="1"/>
  <c r="CI50" i="5"/>
  <c r="CI255" i="5" s="1"/>
  <c r="AG57" i="5"/>
  <c r="AG252" i="5" s="1"/>
  <c r="AA319" i="5"/>
  <c r="AA50" i="5"/>
  <c r="AA251" i="5" s="1"/>
  <c r="DO205" i="5"/>
  <c r="R62" i="5"/>
  <c r="R68" i="5" s="1"/>
  <c r="Z295" i="5"/>
  <c r="N50" i="5"/>
  <c r="N251" i="5" s="1"/>
  <c r="BC50" i="5"/>
  <c r="BC255" i="5" s="1"/>
  <c r="BN265" i="5"/>
  <c r="Z272" i="5"/>
  <c r="CZ271" i="5"/>
  <c r="CZ272" i="5" s="1"/>
  <c r="CZ273" i="5" s="1"/>
  <c r="AC283" i="5"/>
  <c r="AB282" i="5"/>
  <c r="AB285" i="5" s="1"/>
  <c r="AB271" i="5" s="1"/>
  <c r="AB272" i="5" s="1"/>
  <c r="CY249" i="5"/>
  <c r="DR127" i="5"/>
  <c r="BN249" i="5"/>
  <c r="AB50" i="5"/>
  <c r="Y251" i="5"/>
  <c r="Y255" i="5"/>
  <c r="Y57" i="5"/>
  <c r="BZ325" i="5"/>
  <c r="BY323" i="5"/>
  <c r="BY324" i="5" s="1"/>
  <c r="DD46" i="5"/>
  <c r="BD251" i="5"/>
  <c r="DC35" i="5"/>
  <c r="D4" i="12" s="1"/>
  <c r="DD56" i="5"/>
  <c r="CD265" i="5"/>
  <c r="CD249" i="5"/>
  <c r="CD242" i="5"/>
  <c r="CD266" i="5"/>
  <c r="AI84" i="5"/>
  <c r="DC79" i="5"/>
  <c r="CH26" i="5"/>
  <c r="CD254" i="5"/>
  <c r="CD250" i="5"/>
  <c r="CD190" i="5"/>
  <c r="CD191" i="5" s="1"/>
  <c r="CD72" i="5"/>
  <c r="CD76" i="5" s="1"/>
  <c r="CD79" i="5" s="1"/>
  <c r="CD84" i="5" s="1"/>
  <c r="CD86" i="5" s="1"/>
  <c r="CD35" i="5"/>
  <c r="CD218" i="5" s="1"/>
  <c r="CD198" i="5"/>
  <c r="AI50" i="5"/>
  <c r="CH251" i="5"/>
  <c r="CH57" i="5"/>
  <c r="CH255" i="5"/>
  <c r="BX263" i="5"/>
  <c r="BX143" i="5"/>
  <c r="BX138" i="5" s="1"/>
  <c r="BX137" i="5" s="1"/>
  <c r="DA35" i="5"/>
  <c r="DB37" i="5" s="1"/>
  <c r="BY128" i="5"/>
  <c r="BY129" i="5" s="1"/>
  <c r="BY145" i="5"/>
  <c r="BZ127" i="5"/>
  <c r="CD203" i="5"/>
  <c r="CD204" i="5" s="1"/>
  <c r="CD182" i="5" s="1"/>
  <c r="CD181" i="5" s="1"/>
  <c r="CD226" i="5"/>
  <c r="CD46" i="5" s="1"/>
  <c r="CD227" i="5"/>
  <c r="CG56" i="5"/>
  <c r="CG50" i="5"/>
  <c r="BO216" i="1"/>
  <c r="CF169" i="1"/>
  <c r="BS210" i="1"/>
  <c r="BS211" i="1" s="1"/>
  <c r="BS202" i="1"/>
  <c r="D35" i="3"/>
  <c r="H23" i="3"/>
  <c r="H67" i="3" s="1"/>
  <c r="BO198" i="1"/>
  <c r="BS215" i="1"/>
  <c r="BS217" i="1" s="1"/>
  <c r="BS216" i="1"/>
  <c r="BS169" i="1"/>
  <c r="P15" i="12"/>
  <c r="BU179" i="1"/>
  <c r="BS199" i="1"/>
  <c r="BS198" i="1"/>
  <c r="BI169" i="1"/>
  <c r="AV169" i="1"/>
  <c r="V251" i="5"/>
  <c r="CF337" i="1"/>
  <c r="CJ315" i="1"/>
  <c r="CJ338" i="1" s="1"/>
  <c r="CY266" i="5"/>
  <c r="BO210" i="1"/>
  <c r="BO211" i="1" s="1"/>
  <c r="BS212" i="1" s="1"/>
  <c r="BO202" i="1"/>
  <c r="BS203" i="1" s="1"/>
  <c r="CI199" i="1"/>
  <c r="CI198" i="1"/>
  <c r="BQ210" i="1"/>
  <c r="BQ211" i="1" s="1"/>
  <c r="BQ202" i="1"/>
  <c r="BY226" i="5"/>
  <c r="BY46" i="5" s="1"/>
  <c r="BY227" i="5"/>
  <c r="N43" i="3"/>
  <c r="DJ178" i="1"/>
  <c r="AV11" i="2"/>
  <c r="DH45" i="5"/>
  <c r="DH39" i="5"/>
  <c r="BN227" i="5"/>
  <c r="BN226" i="5"/>
  <c r="BN46" i="5" s="1"/>
  <c r="E252" i="5"/>
  <c r="E62" i="5"/>
  <c r="E68" i="5" s="1"/>
  <c r="BT179" i="1"/>
  <c r="CZ242" i="5"/>
  <c r="AV39" i="2"/>
  <c r="BQ216" i="1"/>
  <c r="AP50" i="5"/>
  <c r="AP255" i="5" s="1"/>
  <c r="BU169" i="1"/>
  <c r="CI202" i="1"/>
  <c r="CI210" i="1"/>
  <c r="CI211" i="1" s="1"/>
  <c r="BN174" i="1"/>
  <c r="BJ174" i="1"/>
  <c r="BI174" i="1"/>
  <c r="BM174" i="1"/>
  <c r="CE265" i="5"/>
  <c r="CE242" i="5"/>
  <c r="CE266" i="5"/>
  <c r="CE249" i="5"/>
  <c r="BN190" i="5"/>
  <c r="BN191" i="5" s="1"/>
  <c r="BN35" i="5"/>
  <c r="BN218" i="5" s="1"/>
  <c r="BN254" i="5"/>
  <c r="BN250" i="5"/>
  <c r="BN198" i="5"/>
  <c r="BN72" i="5"/>
  <c r="BN76" i="5" s="1"/>
  <c r="BN79" i="5" s="1"/>
  <c r="BN84" i="5" s="1"/>
  <c r="BN86" i="5" s="1"/>
  <c r="DJ39" i="5"/>
  <c r="DJ266" i="5" s="1"/>
  <c r="BN179" i="1"/>
  <c r="BJ179" i="1"/>
  <c r="CE227" i="5"/>
  <c r="CE226" i="5"/>
  <c r="CE46" i="5" s="1"/>
  <c r="CE203" i="5"/>
  <c r="CE204" i="5" s="1"/>
  <c r="CE182" i="5" s="1"/>
  <c r="CE181" i="5" s="1"/>
  <c r="BF249" i="5"/>
  <c r="BF266" i="5"/>
  <c r="BF265" i="5"/>
  <c r="BG242" i="5"/>
  <c r="BN169" i="1"/>
  <c r="BJ169" i="1"/>
  <c r="BF46" i="5"/>
  <c r="BF56" i="5" s="1"/>
  <c r="BY249" i="5"/>
  <c r="BY265" i="5"/>
  <c r="BY266" i="5"/>
  <c r="DM204" i="5"/>
  <c r="AV179" i="1"/>
  <c r="CY265" i="5"/>
  <c r="DP163" i="1"/>
  <c r="BI179" i="1"/>
  <c r="V57" i="5"/>
  <c r="V252" i="5" s="1"/>
  <c r="BT174" i="1"/>
  <c r="CE202" i="1"/>
  <c r="CI203" i="1" s="1"/>
  <c r="CE210" i="1"/>
  <c r="CE211" i="1" s="1"/>
  <c r="DJ202" i="1"/>
  <c r="DJ210" i="1"/>
  <c r="CI174" i="1"/>
  <c r="CE254" i="5"/>
  <c r="CE250" i="5"/>
  <c r="CI26" i="5"/>
  <c r="CE190" i="5"/>
  <c r="CE191" i="5" s="1"/>
  <c r="CE198" i="5"/>
  <c r="CE72" i="5"/>
  <c r="CE76" i="5" s="1"/>
  <c r="CE79" i="5" s="1"/>
  <c r="CE84" i="5" s="1"/>
  <c r="CE86" i="5" s="1"/>
  <c r="CE35" i="5"/>
  <c r="CE218" i="5" s="1"/>
  <c r="CI169" i="1"/>
  <c r="BY242" i="5"/>
  <c r="BE179" i="1"/>
  <c r="DM205" i="5"/>
  <c r="W50" i="5"/>
  <c r="CZ50" i="5" s="1"/>
  <c r="CI179" i="1"/>
  <c r="DM326" i="1"/>
  <c r="DM347" i="1" s="1"/>
  <c r="DL346" i="1"/>
  <c r="BY250" i="5"/>
  <c r="BY72" i="5"/>
  <c r="BY76" i="5" s="1"/>
  <c r="BY79" i="5" s="1"/>
  <c r="BY84" i="5" s="1"/>
  <c r="BY86" i="5" s="1"/>
  <c r="BY35" i="5"/>
  <c r="BY218" i="5" s="1"/>
  <c r="BY254" i="5"/>
  <c r="BY26" i="5"/>
  <c r="BY198" i="5"/>
  <c r="CC26" i="5"/>
  <c r="BY190" i="5"/>
  <c r="BY191" i="5" s="1"/>
  <c r="BO50" i="5"/>
  <c r="BM266" i="5"/>
  <c r="BM265" i="5"/>
  <c r="BN242" i="5"/>
  <c r="BM249" i="5"/>
  <c r="BM242" i="5"/>
  <c r="BU210" i="1"/>
  <c r="BU211" i="1" s="1"/>
  <c r="BU212" i="1" s="1"/>
  <c r="BU202" i="1"/>
  <c r="AA84" i="5"/>
  <c r="DA79" i="5"/>
  <c r="BL198" i="5"/>
  <c r="BL26" i="5"/>
  <c r="BL250" i="5"/>
  <c r="BP26" i="5"/>
  <c r="BL72" i="5"/>
  <c r="BL76" i="5" s="1"/>
  <c r="BL79" i="5" s="1"/>
  <c r="BL84" i="5" s="1"/>
  <c r="BL86" i="5" s="1"/>
  <c r="BL254" i="5"/>
  <c r="BL35" i="5"/>
  <c r="BL218" i="5" s="1"/>
  <c r="BL190" i="5"/>
  <c r="BL191" i="5" s="1"/>
  <c r="CJ179" i="1"/>
  <c r="CJ265" i="5"/>
  <c r="CJ249" i="5"/>
  <c r="CJ242" i="5"/>
  <c r="CJ266" i="5"/>
  <c r="P41" i="3"/>
  <c r="BM35" i="5"/>
  <c r="BM218" i="5" s="1"/>
  <c r="BM190" i="5"/>
  <c r="BM191" i="5" s="1"/>
  <c r="BQ26" i="5"/>
  <c r="BM250" i="5"/>
  <c r="BM72" i="5"/>
  <c r="BM76" i="5" s="1"/>
  <c r="BM79" i="5" s="1"/>
  <c r="BM84" i="5" s="1"/>
  <c r="BM86" i="5" s="1"/>
  <c r="BM254" i="5"/>
  <c r="BM198" i="5"/>
  <c r="BX202" i="1"/>
  <c r="BX210" i="1"/>
  <c r="BX211" i="1" s="1"/>
  <c r="BL226" i="5"/>
  <c r="BL46" i="5" s="1"/>
  <c r="BL227" i="5"/>
  <c r="BT216" i="1"/>
  <c r="BT215" i="1"/>
  <c r="BT217" i="1" s="1"/>
  <c r="CB174" i="1"/>
  <c r="CB175" i="1"/>
  <c r="CB198" i="1"/>
  <c r="CB199" i="1"/>
  <c r="BW202" i="1"/>
  <c r="BW203" i="1" s="1"/>
  <c r="BW210" i="1"/>
  <c r="BW211" i="1" s="1"/>
  <c r="BW212" i="1" s="1"/>
  <c r="BU198" i="1"/>
  <c r="BU199" i="1"/>
  <c r="BS227" i="5"/>
  <c r="BS226" i="5"/>
  <c r="BS46" i="5" s="1"/>
  <c r="DL168" i="1"/>
  <c r="DL177" i="1"/>
  <c r="BM26" i="5"/>
  <c r="BH174" i="1"/>
  <c r="BD174" i="1"/>
  <c r="BR45" i="5"/>
  <c r="BR39" i="5"/>
  <c r="CA202" i="1"/>
  <c r="CA210" i="1"/>
  <c r="CA211" i="1" s="1"/>
  <c r="BX199" i="1"/>
  <c r="BX198" i="1"/>
  <c r="BK212" i="1"/>
  <c r="BO212" i="1"/>
  <c r="BK50" i="5"/>
  <c r="DC46" i="5"/>
  <c r="BT57" i="5"/>
  <c r="BT62" i="5" s="1"/>
  <c r="BT68" i="5" s="1"/>
  <c r="BD179" i="1"/>
  <c r="DD249" i="5"/>
  <c r="DD265" i="5"/>
  <c r="I35" i="3"/>
  <c r="I37" i="3" s="1"/>
  <c r="DD266" i="5"/>
  <c r="BW198" i="1"/>
  <c r="BW199" i="1"/>
  <c r="BU216" i="1"/>
  <c r="BU215" i="1"/>
  <c r="BU217" i="1" s="1"/>
  <c r="BS204" i="5"/>
  <c r="DL205" i="5"/>
  <c r="BR200" i="5"/>
  <c r="BR202" i="5" s="1"/>
  <c r="BR205" i="5" s="1"/>
  <c r="BR207" i="5"/>
  <c r="BR208" i="5" s="1"/>
  <c r="BR225" i="5" s="1"/>
  <c r="BR25" i="5"/>
  <c r="CG202" i="1"/>
  <c r="CG210" i="1"/>
  <c r="CG211" i="1" s="1"/>
  <c r="BX215" i="1"/>
  <c r="BX217" i="1" s="1"/>
  <c r="CB216" i="1"/>
  <c r="BX216" i="1"/>
  <c r="BK203" i="1"/>
  <c r="BO203" i="1"/>
  <c r="CB179" i="1"/>
  <c r="CJ169" i="1"/>
  <c r="DC56" i="5"/>
  <c r="DJ204" i="5"/>
  <c r="BJ255" i="5"/>
  <c r="AU179" i="1"/>
  <c r="DD72" i="5"/>
  <c r="DD76" i="5" s="1"/>
  <c r="DJ265" i="5"/>
  <c r="DN163" i="1"/>
  <c r="DL25" i="5"/>
  <c r="Q19" i="3"/>
  <c r="Q21" i="3" s="1"/>
  <c r="DL24" i="5"/>
  <c r="DL200" i="5"/>
  <c r="DL202" i="5" s="1"/>
  <c r="DL207" i="5"/>
  <c r="DL208" i="5" s="1"/>
  <c r="DL225" i="5" s="1"/>
  <c r="CB202" i="1"/>
  <c r="CB203" i="1" s="1"/>
  <c r="CB210" i="1"/>
  <c r="CB211" i="1" s="1"/>
  <c r="BW216" i="1"/>
  <c r="CA216" i="1"/>
  <c r="BW215" i="1"/>
  <c r="BW217" i="1" s="1"/>
  <c r="BS250" i="5"/>
  <c r="BS35" i="5"/>
  <c r="BS218" i="5" s="1"/>
  <c r="BS254" i="5"/>
  <c r="BS190" i="5"/>
  <c r="BS191" i="5" s="1"/>
  <c r="BS198" i="5"/>
  <c r="BS72" i="5"/>
  <c r="BS76" i="5" s="1"/>
  <c r="BS79" i="5" s="1"/>
  <c r="BS84" i="5" s="1"/>
  <c r="BS86" i="5" s="1"/>
  <c r="BS26" i="5"/>
  <c r="BT242" i="5"/>
  <c r="BS266" i="5"/>
  <c r="BS265" i="5"/>
  <c r="BS249" i="5"/>
  <c r="BS242" i="5"/>
  <c r="CJ227" i="5"/>
  <c r="CJ226" i="5"/>
  <c r="CJ46" i="5" s="1"/>
  <c r="CJ203" i="5"/>
  <c r="CJ204" i="5" s="1"/>
  <c r="CJ182" i="5" s="1"/>
  <c r="CJ181" i="5" s="1"/>
  <c r="CA199" i="1"/>
  <c r="CA198" i="1"/>
  <c r="CE198" i="1"/>
  <c r="N88" i="3"/>
  <c r="N90" i="3"/>
  <c r="DK39" i="5"/>
  <c r="DK45" i="5"/>
  <c r="CE174" i="1"/>
  <c r="CA174" i="1"/>
  <c r="CA175" i="1"/>
  <c r="BP202" i="1"/>
  <c r="BP210" i="1"/>
  <c r="BP211" i="1" s="1"/>
  <c r="CB169" i="1"/>
  <c r="AU169" i="1"/>
  <c r="CD198" i="1"/>
  <c r="I22" i="3"/>
  <c r="I23" i="3" s="1"/>
  <c r="I67" i="3" s="1"/>
  <c r="DD254" i="5"/>
  <c r="E15" i="12" s="1"/>
  <c r="DD198" i="5"/>
  <c r="DD194" i="5"/>
  <c r="DD250" i="5"/>
  <c r="BQ313" i="1"/>
  <c r="BM335" i="1"/>
  <c r="CJ198" i="5"/>
  <c r="CJ35" i="5"/>
  <c r="CJ218" i="5" s="1"/>
  <c r="CJ254" i="5"/>
  <c r="CJ250" i="5"/>
  <c r="CJ72" i="5"/>
  <c r="CJ76" i="5" s="1"/>
  <c r="CJ79" i="5" s="1"/>
  <c r="CJ84" i="5" s="1"/>
  <c r="CJ86" i="5" s="1"/>
  <c r="BW174" i="1"/>
  <c r="BW175" i="1"/>
  <c r="AP204" i="5"/>
  <c r="DD205" i="5"/>
  <c r="CE179" i="1"/>
  <c r="CA179" i="1"/>
  <c r="AQ25" i="5"/>
  <c r="AQ200" i="5"/>
  <c r="AQ202" i="5" s="1"/>
  <c r="AQ205" i="5" s="1"/>
  <c r="AQ204" i="5" s="1"/>
  <c r="AQ182" i="5" s="1"/>
  <c r="AQ181" i="5" s="1"/>
  <c r="AQ207" i="5"/>
  <c r="AQ208" i="5" s="1"/>
  <c r="AS179" i="1"/>
  <c r="AW179" i="1"/>
  <c r="BL242" i="5"/>
  <c r="BL249" i="5"/>
  <c r="BL265" i="5"/>
  <c r="BL266" i="5"/>
  <c r="BP215" i="1"/>
  <c r="BP217" i="1" s="1"/>
  <c r="DL214" i="1"/>
  <c r="BJ251" i="5"/>
  <c r="AM57" i="5"/>
  <c r="AM252" i="5" s="1"/>
  <c r="DM163" i="1"/>
  <c r="DL312" i="1"/>
  <c r="BR335" i="1"/>
  <c r="BV313" i="1"/>
  <c r="DL39" i="5"/>
  <c r="DM242" i="5" s="1"/>
  <c r="DL45" i="5"/>
  <c r="DJ205" i="5"/>
  <c r="BX174" i="1"/>
  <c r="DJ200" i="5"/>
  <c r="DJ202" i="5" s="1"/>
  <c r="DJ207" i="5"/>
  <c r="DJ208" i="5" s="1"/>
  <c r="DJ225" i="5" s="1"/>
  <c r="DJ24" i="5"/>
  <c r="DJ46" i="5" s="1"/>
  <c r="DJ56" i="5" s="1"/>
  <c r="DJ25" i="5"/>
  <c r="O19" i="3"/>
  <c r="O21" i="3" s="1"/>
  <c r="AQ39" i="5"/>
  <c r="AQ45" i="5"/>
  <c r="AS169" i="1"/>
  <c r="AW169" i="1"/>
  <c r="BT210" i="1"/>
  <c r="BT211" i="1" s="1"/>
  <c r="BT202" i="1"/>
  <c r="BZ50" i="5"/>
  <c r="AX174" i="1"/>
  <c r="BX179" i="1"/>
  <c r="BS335" i="1"/>
  <c r="BW313" i="1"/>
  <c r="DP391" i="1"/>
  <c r="DQ386" i="1"/>
  <c r="CA169" i="1"/>
  <c r="CE169" i="1"/>
  <c r="AK50" i="5"/>
  <c r="AK251" i="5" s="1"/>
  <c r="U50" i="5"/>
  <c r="U255" i="5" s="1"/>
  <c r="BD169" i="1"/>
  <c r="BY179" i="1"/>
  <c r="BL313" i="1"/>
  <c r="BH335" i="1"/>
  <c r="DL201" i="1"/>
  <c r="P51" i="3"/>
  <c r="P52" i="3" s="1"/>
  <c r="DL196" i="1"/>
  <c r="DL199" i="1" s="1"/>
  <c r="DL197" i="1"/>
  <c r="DL315" i="1"/>
  <c r="DL338" i="1" s="1"/>
  <c r="BR338" i="1"/>
  <c r="BX169" i="1"/>
  <c r="BZ202" i="1"/>
  <c r="CD203" i="1" s="1"/>
  <c r="BZ210" i="1"/>
  <c r="BZ211" i="1" s="1"/>
  <c r="CD212" i="1" s="1"/>
  <c r="BM227" i="5"/>
  <c r="BM226" i="5"/>
  <c r="BM46" i="5" s="1"/>
  <c r="DK200" i="5"/>
  <c r="DK202" i="5" s="1"/>
  <c r="DK207" i="5"/>
  <c r="DK208" i="5" s="1"/>
  <c r="DK225" i="5" s="1"/>
  <c r="P19" i="3"/>
  <c r="P21" i="3" s="1"/>
  <c r="DK24" i="5"/>
  <c r="DK25" i="5"/>
  <c r="BA174" i="1"/>
  <c r="BE174" i="1"/>
  <c r="BT198" i="1"/>
  <c r="BT199" i="1"/>
  <c r="DK346" i="1"/>
  <c r="DL326" i="1"/>
  <c r="DL347" i="1" s="1"/>
  <c r="AU247" i="5"/>
  <c r="AU8" i="5"/>
  <c r="AU238" i="5"/>
  <c r="AU245" i="5"/>
  <c r="AU246" i="5"/>
  <c r="AU235" i="5"/>
  <c r="AU248" i="5"/>
  <c r="AU177" i="5"/>
  <c r="AV157" i="5"/>
  <c r="AV154" i="5" s="1"/>
  <c r="AU163" i="5"/>
  <c r="AV165" i="5"/>
  <c r="AV163" i="5"/>
  <c r="AU157" i="5"/>
  <c r="AU154" i="5" s="1"/>
  <c r="AU156" i="5"/>
  <c r="AU164" i="5"/>
  <c r="AV164" i="5"/>
  <c r="AV156" i="5"/>
  <c r="AU162" i="5"/>
  <c r="AV162" i="5"/>
  <c r="AU165" i="5"/>
  <c r="DF274" i="1"/>
  <c r="DF275" i="1" s="1"/>
  <c r="AT275" i="1"/>
  <c r="AT284" i="1" s="1"/>
  <c r="AT278" i="1" s="1"/>
  <c r="BB7" i="1"/>
  <c r="CB56" i="5"/>
  <c r="CB50" i="5"/>
  <c r="AF255" i="5"/>
  <c r="AF57" i="5"/>
  <c r="AF251" i="5"/>
  <c r="AX40" i="2"/>
  <c r="AX48" i="2"/>
  <c r="BC13" i="1"/>
  <c r="AY13" i="1"/>
  <c r="AY21" i="1"/>
  <c r="DG163" i="1"/>
  <c r="K55" i="3"/>
  <c r="DM334" i="1"/>
  <c r="DN312" i="1"/>
  <c r="DG168" i="1"/>
  <c r="DG169" i="1" s="1"/>
  <c r="DG177" i="1"/>
  <c r="DG178" i="1" s="1"/>
  <c r="DG179" i="1" s="1"/>
  <c r="CD313" i="1"/>
  <c r="BZ335" i="1"/>
  <c r="CH212" i="1"/>
  <c r="BV169" i="1"/>
  <c r="BZ169" i="1"/>
  <c r="DE8" i="5"/>
  <c r="AT243" i="5"/>
  <c r="AT17" i="5"/>
  <c r="CF226" i="5"/>
  <c r="CF46" i="5" s="1"/>
  <c r="CF203" i="5"/>
  <c r="CF204" i="5" s="1"/>
  <c r="CF227" i="5"/>
  <c r="CC198" i="1"/>
  <c r="CG198" i="1"/>
  <c r="CC199" i="1"/>
  <c r="CH203" i="1"/>
  <c r="DG15" i="1"/>
  <c r="DG22" i="1" s="1"/>
  <c r="BC179" i="1"/>
  <c r="BG179" i="1"/>
  <c r="DP335" i="1"/>
  <c r="DQ313" i="1"/>
  <c r="M55" i="3"/>
  <c r="DI163" i="1"/>
  <c r="DJ163" i="1"/>
  <c r="BL174" i="1"/>
  <c r="BP174" i="1"/>
  <c r="BX175" i="1"/>
  <c r="DI25" i="5"/>
  <c r="DI200" i="5"/>
  <c r="DI202" i="5" s="1"/>
  <c r="DI182" i="5" s="1"/>
  <c r="DI181" i="5" s="1"/>
  <c r="DI24" i="5"/>
  <c r="DI207" i="5"/>
  <c r="DI208" i="5" s="1"/>
  <c r="DI225" i="5" s="1"/>
  <c r="N19" i="3"/>
  <c r="N21" i="3" s="1"/>
  <c r="DF197" i="1"/>
  <c r="DF196" i="1"/>
  <c r="BY198" i="1"/>
  <c r="BY199" i="1"/>
  <c r="BB179" i="1"/>
  <c r="AX179" i="1"/>
  <c r="BC20" i="1"/>
  <c r="BG255" i="5"/>
  <c r="CZ35" i="5"/>
  <c r="DO193" i="2"/>
  <c r="DP194" i="2"/>
  <c r="CF313" i="1"/>
  <c r="CB335" i="1"/>
  <c r="BA11" i="1"/>
  <c r="DG13" i="1"/>
  <c r="AR17" i="5"/>
  <c r="AR243" i="5"/>
  <c r="BC169" i="1"/>
  <c r="BG169" i="1"/>
  <c r="DI201" i="1"/>
  <c r="DI197" i="1"/>
  <c r="DI196" i="1"/>
  <c r="DI205" i="1"/>
  <c r="DO170" i="1"/>
  <c r="DK172" i="1"/>
  <c r="DL173" i="1"/>
  <c r="DK173" i="1"/>
  <c r="DM46" i="5"/>
  <c r="DM56" i="5" s="1"/>
  <c r="DM50" i="5"/>
  <c r="AW16" i="1"/>
  <c r="AW4" i="5"/>
  <c r="AW6" i="5" s="1"/>
  <c r="AZ169" i="1"/>
  <c r="DM29" i="5"/>
  <c r="R22" i="3"/>
  <c r="DM72" i="5"/>
  <c r="DM76" i="5" s="1"/>
  <c r="DM79" i="5" s="1"/>
  <c r="DM84" i="5" s="1"/>
  <c r="DM86" i="5" s="1"/>
  <c r="DM194" i="5"/>
  <c r="E36" i="9" s="1"/>
  <c r="DM254" i="5"/>
  <c r="DM250" i="5"/>
  <c r="DM190" i="5"/>
  <c r="DM191" i="5" s="1"/>
  <c r="DM198" i="5"/>
  <c r="DM35" i="5"/>
  <c r="AT156" i="2"/>
  <c r="DE150" i="2"/>
  <c r="BC174" i="1"/>
  <c r="BG174" i="1"/>
  <c r="DH202" i="1"/>
  <c r="DH210" i="1"/>
  <c r="DH211" i="1" s="1"/>
  <c r="CF266" i="5"/>
  <c r="CF249" i="5"/>
  <c r="CF265" i="5"/>
  <c r="CG242" i="5"/>
  <c r="CF242" i="5"/>
  <c r="CJ198" i="1"/>
  <c r="CJ199" i="1"/>
  <c r="AZ7" i="1"/>
  <c r="AY3" i="1"/>
  <c r="AY12" i="1" s="1"/>
  <c r="AY8" i="1" s="1"/>
  <c r="AY18" i="1"/>
  <c r="AY4" i="2"/>
  <c r="AY9" i="1"/>
  <c r="BC9" i="1"/>
  <c r="S41" i="3"/>
  <c r="BB23" i="1"/>
  <c r="DE164" i="5"/>
  <c r="DE246" i="5"/>
  <c r="DE163" i="5"/>
  <c r="DE157" i="5"/>
  <c r="DE154" i="5" s="1"/>
  <c r="DE245" i="5"/>
  <c r="DE247" i="5"/>
  <c r="DE162" i="5"/>
  <c r="J4" i="3"/>
  <c r="DE238" i="5"/>
  <c r="DE156" i="5"/>
  <c r="DE177" i="5"/>
  <c r="DE165" i="5"/>
  <c r="DE248" i="5"/>
  <c r="BM212" i="1"/>
  <c r="BQ212" i="1"/>
  <c r="BL179" i="1"/>
  <c r="BP179" i="1"/>
  <c r="AU174" i="1"/>
  <c r="AY174" i="1"/>
  <c r="BZ179" i="1"/>
  <c r="BV179" i="1"/>
  <c r="AW39" i="2"/>
  <c r="AW11" i="2"/>
  <c r="CF26" i="5"/>
  <c r="CF190" i="5"/>
  <c r="CF191" i="5" s="1"/>
  <c r="CF250" i="5"/>
  <c r="CF35" i="5"/>
  <c r="CF218" i="5" s="1"/>
  <c r="CF254" i="5"/>
  <c r="CF72" i="5"/>
  <c r="CF76" i="5" s="1"/>
  <c r="CF79" i="5" s="1"/>
  <c r="CF84" i="5" s="1"/>
  <c r="CF86" i="5" s="1"/>
  <c r="CF198" i="5"/>
  <c r="CJ26" i="5"/>
  <c r="BL169" i="1"/>
  <c r="BP169" i="1"/>
  <c r="BZ174" i="1"/>
  <c r="BV174" i="1"/>
  <c r="DJ346" i="1"/>
  <c r="DK326" i="1"/>
  <c r="DK347" i="1" s="1"/>
  <c r="AU39" i="2"/>
  <c r="DO172" i="2"/>
  <c r="DP173" i="2"/>
  <c r="AV8" i="5"/>
  <c r="AV247" i="5"/>
  <c r="AV235" i="5"/>
  <c r="AV245" i="5"/>
  <c r="AV248" i="5"/>
  <c r="AV238" i="5"/>
  <c r="AV246" i="5"/>
  <c r="AV177" i="5"/>
  <c r="DN46" i="5"/>
  <c r="DN56" i="5" s="1"/>
  <c r="DO201" i="1"/>
  <c r="S51" i="3"/>
  <c r="S52" i="3" s="1"/>
  <c r="DO196" i="1"/>
  <c r="DO197" i="1"/>
  <c r="DO205" i="1"/>
  <c r="DP196" i="1"/>
  <c r="T51" i="3"/>
  <c r="T52" i="3" s="1"/>
  <c r="DP197" i="1"/>
  <c r="DP201" i="1"/>
  <c r="DP205" i="1"/>
  <c r="DO188" i="2"/>
  <c r="DP189" i="2"/>
  <c r="BG57" i="5"/>
  <c r="BG252" i="5" s="1"/>
  <c r="AE57" i="5"/>
  <c r="AE252" i="5" s="1"/>
  <c r="BP50" i="5"/>
  <c r="BP57" i="5" s="1"/>
  <c r="BL198" i="1"/>
  <c r="BP198" i="1"/>
  <c r="BL199" i="1"/>
  <c r="AY179" i="1"/>
  <c r="BI335" i="1"/>
  <c r="BM313" i="1"/>
  <c r="AW19" i="1"/>
  <c r="S42" i="3"/>
  <c r="O41" i="3"/>
  <c r="R42" i="3"/>
  <c r="R41" i="3"/>
  <c r="AX15" i="1"/>
  <c r="AX22" i="1" s="1"/>
  <c r="BZ216" i="1"/>
  <c r="BV215" i="1"/>
  <c r="BV217" i="1" s="1"/>
  <c r="BV216" i="1"/>
  <c r="DM214" i="1"/>
  <c r="DM205" i="1" s="1"/>
  <c r="BO336" i="1"/>
  <c r="BS314" i="1"/>
  <c r="DH199" i="1"/>
  <c r="DP181" i="2"/>
  <c r="DO180" i="2"/>
  <c r="CE314" i="1"/>
  <c r="CA336" i="1"/>
  <c r="CJ202" i="1"/>
  <c r="CJ210" i="1"/>
  <c r="CJ211" i="1" s="1"/>
  <c r="BY216" i="1"/>
  <c r="BY215" i="1"/>
  <c r="BY217" i="1" s="1"/>
  <c r="DN214" i="1"/>
  <c r="CC216" i="1"/>
  <c r="CC179" i="1"/>
  <c r="CG179" i="1"/>
  <c r="DO163" i="1"/>
  <c r="CE313" i="1"/>
  <c r="CA335" i="1"/>
  <c r="BP313" i="1"/>
  <c r="BL335" i="1"/>
  <c r="BY174" i="1"/>
  <c r="BY175" i="1"/>
  <c r="BT313" i="1"/>
  <c r="BP335" i="1"/>
  <c r="BR313" i="1"/>
  <c r="BN335" i="1"/>
  <c r="DK196" i="1"/>
  <c r="DK201" i="1"/>
  <c r="O51" i="3"/>
  <c r="DK197" i="1"/>
  <c r="DP313" i="1"/>
  <c r="DO335" i="1"/>
  <c r="BQ335" i="1"/>
  <c r="BU313" i="1"/>
  <c r="DO172" i="1"/>
  <c r="DO173" i="1"/>
  <c r="DN227" i="5"/>
  <c r="DN226" i="5"/>
  <c r="AU11" i="2"/>
  <c r="K8" i="3"/>
  <c r="K9" i="3" s="1"/>
  <c r="DG23" i="1"/>
  <c r="DM196" i="1"/>
  <c r="DM201" i="1"/>
  <c r="Q51" i="3"/>
  <c r="Q52" i="3" s="1"/>
  <c r="DM197" i="1"/>
  <c r="DB50" i="5"/>
  <c r="DB255" i="5" s="1"/>
  <c r="G70" i="3" s="1"/>
  <c r="BE57" i="5"/>
  <c r="BE251" i="5"/>
  <c r="BE255" i="5"/>
  <c r="AZ21" i="1"/>
  <c r="AZ13" i="1"/>
  <c r="BD13" i="1"/>
  <c r="CD314" i="1"/>
  <c r="BZ336" i="1"/>
  <c r="CC175" i="1"/>
  <c r="CG174" i="1"/>
  <c r="CC174" i="1"/>
  <c r="AX169" i="1"/>
  <c r="BB169" i="1"/>
  <c r="BA7" i="1"/>
  <c r="CY182" i="5"/>
  <c r="CY181" i="5" s="1"/>
  <c r="DM249" i="5"/>
  <c r="DM266" i="5"/>
  <c r="DM265" i="5"/>
  <c r="DN168" i="1"/>
  <c r="DN177" i="1"/>
  <c r="CF198" i="1"/>
  <c r="CF199" i="1"/>
  <c r="DN242" i="5"/>
  <c r="DO242" i="5"/>
  <c r="DN249" i="5"/>
  <c r="DN265" i="5"/>
  <c r="DN266" i="5"/>
  <c r="DM168" i="1"/>
  <c r="DM177" i="1"/>
  <c r="DF205" i="1"/>
  <c r="DF207" i="1" s="1"/>
  <c r="AE251" i="5"/>
  <c r="BL210" i="1"/>
  <c r="BL211" i="1" s="1"/>
  <c r="BL202" i="1"/>
  <c r="DI168" i="1"/>
  <c r="DI177" i="1"/>
  <c r="DI178" i="1" s="1"/>
  <c r="CJ175" i="1"/>
  <c r="CJ174" i="1"/>
  <c r="CG314" i="1"/>
  <c r="CC336" i="1"/>
  <c r="DG9" i="1"/>
  <c r="DF4" i="2"/>
  <c r="DG3" i="1"/>
  <c r="DG4" i="1" s="1"/>
  <c r="T42" i="3"/>
  <c r="T41" i="3"/>
  <c r="AX3" i="5"/>
  <c r="AX5" i="1"/>
  <c r="AX4" i="1"/>
  <c r="BV210" i="1"/>
  <c r="BV211" i="1" s="1"/>
  <c r="BV202" i="1"/>
  <c r="CF174" i="1"/>
  <c r="CF175" i="1"/>
  <c r="DI39" i="5"/>
  <c r="DI45" i="5"/>
  <c r="BN336" i="1"/>
  <c r="BR314" i="1"/>
  <c r="CH336" i="1"/>
  <c r="CL314" i="1"/>
  <c r="CL337" i="1" s="1"/>
  <c r="DM172" i="1"/>
  <c r="DM174" i="1" s="1"/>
  <c r="DM173" i="1"/>
  <c r="DO184" i="2"/>
  <c r="DP185" i="2"/>
  <c r="BY202" i="1"/>
  <c r="BY203" i="1" s="1"/>
  <c r="BY210" i="1"/>
  <c r="BY211" i="1" s="1"/>
  <c r="BY212" i="1" s="1"/>
  <c r="CC169" i="1"/>
  <c r="CG169" i="1"/>
  <c r="DO168" i="1"/>
  <c r="DO177" i="1"/>
  <c r="AW320" i="1"/>
  <c r="AW327" i="1" s="1"/>
  <c r="AW348" i="1" s="1"/>
  <c r="AW342" i="1" s="1"/>
  <c r="AW316" i="1"/>
  <c r="AW339" i="1" s="1"/>
  <c r="AW330" i="1" s="1"/>
  <c r="AW274" i="1" s="1"/>
  <c r="AW275" i="1" s="1"/>
  <c r="AW284" i="1" s="1"/>
  <c r="AW278" i="1" s="1"/>
  <c r="AW279" i="1" s="1"/>
  <c r="AX306" i="1"/>
  <c r="DN326" i="1"/>
  <c r="DN347" i="1" s="1"/>
  <c r="DM346" i="1"/>
  <c r="BM203" i="1"/>
  <c r="BQ203" i="1"/>
  <c r="DN173" i="1"/>
  <c r="DN170" i="1"/>
  <c r="DN172" i="1"/>
  <c r="DK312" i="1"/>
  <c r="DK335" i="1" s="1"/>
  <c r="DJ334" i="1"/>
  <c r="DH163" i="1"/>
  <c r="DK168" i="1"/>
  <c r="DK177" i="1"/>
  <c r="CF202" i="1"/>
  <c r="CF203" i="1" s="1"/>
  <c r="CF210" i="1"/>
  <c r="CF211" i="1" s="1"/>
  <c r="AS17" i="5"/>
  <c r="AS243" i="5"/>
  <c r="DN29" i="5"/>
  <c r="DN26" i="5"/>
  <c r="DN254" i="5"/>
  <c r="DN72" i="5"/>
  <c r="DN76" i="5" s="1"/>
  <c r="DN79" i="5" s="1"/>
  <c r="DN84" i="5" s="1"/>
  <c r="DN86" i="5" s="1"/>
  <c r="DN250" i="5"/>
  <c r="DN198" i="5"/>
  <c r="DN35" i="5"/>
  <c r="DN194" i="5"/>
  <c r="F36" i="9" s="1"/>
  <c r="DN190" i="5"/>
  <c r="DN191" i="5" s="1"/>
  <c r="S22" i="3"/>
  <c r="DO26" i="5"/>
  <c r="DN313" i="1"/>
  <c r="DM335" i="1"/>
  <c r="DJ173" i="1"/>
  <c r="DI172" i="1"/>
  <c r="DI173" i="1"/>
  <c r="DE85" i="2"/>
  <c r="DE86" i="2" s="1"/>
  <c r="DF85" i="2"/>
  <c r="DF86" i="2" s="1"/>
  <c r="DJ326" i="1"/>
  <c r="DJ347" i="1" s="1"/>
  <c r="BJ347" i="1"/>
  <c r="CC202" i="1"/>
  <c r="CC210" i="1"/>
  <c r="CC211" i="1" s="1"/>
  <c r="CC314" i="1"/>
  <c r="BY336" i="1"/>
  <c r="AV274" i="1"/>
  <c r="AV275" i="1" s="1"/>
  <c r="AV284" i="1" s="1"/>
  <c r="AV278" i="1" s="1"/>
  <c r="AV279" i="1" s="1"/>
  <c r="AZ179" i="1"/>
  <c r="BL216" i="1"/>
  <c r="BL215" i="1"/>
  <c r="BL217" i="1" s="1"/>
  <c r="BP216" i="1"/>
  <c r="DK214" i="1"/>
  <c r="CG313" i="1"/>
  <c r="CC335" i="1"/>
  <c r="DP177" i="2"/>
  <c r="DO176" i="2"/>
  <c r="DO191" i="2"/>
  <c r="DP192" i="2"/>
  <c r="DM226" i="5"/>
  <c r="DM227" i="5"/>
  <c r="DP168" i="1"/>
  <c r="DP177" i="1"/>
  <c r="DK163" i="1"/>
  <c r="DL163" i="1"/>
  <c r="R51" i="3"/>
  <c r="R52" i="3" s="1"/>
  <c r="DN194" i="1"/>
  <c r="DN197" i="1"/>
  <c r="DN201" i="1"/>
  <c r="DN196" i="1"/>
  <c r="BZ198" i="1"/>
  <c r="BV198" i="1"/>
  <c r="BV199" i="1"/>
  <c r="AV174" i="1"/>
  <c r="AZ174" i="1"/>
  <c r="DP172" i="1"/>
  <c r="DP173" i="1"/>
  <c r="DP170" i="1"/>
  <c r="AY169" i="1"/>
  <c r="DK313" i="1"/>
  <c r="DK336" i="1" s="1"/>
  <c r="DJ335" i="1"/>
  <c r="DG172" i="1"/>
  <c r="DH174" i="1" s="1"/>
  <c r="DH173" i="1"/>
  <c r="BS313" i="1"/>
  <c r="BO335" i="1"/>
  <c r="DG196" i="1"/>
  <c r="DG201" i="1"/>
  <c r="DG197" i="1"/>
  <c r="DG205" i="1"/>
  <c r="DG173" i="1"/>
  <c r="C50" i="5"/>
  <c r="C251" i="5" s="1"/>
  <c r="G50" i="5"/>
  <c r="G251" i="5" s="1"/>
  <c r="BU57" i="5"/>
  <c r="BU255" i="5"/>
  <c r="BU251" i="5"/>
  <c r="CY56" i="5"/>
  <c r="AJ252" i="5"/>
  <c r="AJ62" i="5"/>
  <c r="AJ68" i="5" s="1"/>
  <c r="CY46" i="5"/>
  <c r="Q255" i="5"/>
  <c r="Q251" i="5"/>
  <c r="Q57" i="5"/>
  <c r="CY198" i="5"/>
  <c r="CY250" i="5"/>
  <c r="CY26" i="5"/>
  <c r="D22" i="3"/>
  <c r="CY254" i="5"/>
  <c r="BT255" i="5"/>
  <c r="S252" i="5"/>
  <c r="S62" i="5"/>
  <c r="S68" i="5" s="1"/>
  <c r="DD84" i="5"/>
  <c r="AM86" i="5"/>
  <c r="DD86" i="5" s="1"/>
  <c r="CA50" i="5"/>
  <c r="CA255" i="5" s="1"/>
  <c r="CC251" i="5"/>
  <c r="CZ79" i="5"/>
  <c r="W84" i="5"/>
  <c r="AO255" i="5"/>
  <c r="AO251" i="5"/>
  <c r="AO57" i="5"/>
  <c r="BW56" i="5"/>
  <c r="BW50" i="5"/>
  <c r="BX56" i="5"/>
  <c r="BX50" i="5"/>
  <c r="DO57" i="5"/>
  <c r="DO62" i="5" s="1"/>
  <c r="DC72" i="5"/>
  <c r="DC76" i="5" s="1"/>
  <c r="AR315" i="5"/>
  <c r="AR314" i="5" s="1"/>
  <c r="AQ314" i="5"/>
  <c r="C72" i="3"/>
  <c r="BH255" i="5"/>
  <c r="BH251" i="5"/>
  <c r="BH57" i="5"/>
  <c r="DO255" i="5"/>
  <c r="G27" i="9" s="1"/>
  <c r="G28" i="9" s="1"/>
  <c r="CZ72" i="5"/>
  <c r="CZ76" i="5" s="1"/>
  <c r="X76" i="5"/>
  <c r="X79" i="5" s="1"/>
  <c r="X84" i="5" s="1"/>
  <c r="X86" i="5" s="1"/>
  <c r="AB315" i="5"/>
  <c r="AB314" i="5" s="1"/>
  <c r="AB307" i="5"/>
  <c r="AB312" i="5" s="1"/>
  <c r="AC308" i="5"/>
  <c r="CZ198" i="5"/>
  <c r="CZ250" i="5"/>
  <c r="CZ254" i="5"/>
  <c r="CZ26" i="5"/>
  <c r="E22" i="3"/>
  <c r="J252" i="5"/>
  <c r="J62" i="5"/>
  <c r="J68" i="5" s="1"/>
  <c r="AA295" i="5"/>
  <c r="AA296" i="5" s="1"/>
  <c r="CX84" i="5"/>
  <c r="O86" i="5"/>
  <c r="CX86" i="5" s="1"/>
  <c r="BI50" i="5"/>
  <c r="CX251" i="5"/>
  <c r="CX255" i="5"/>
  <c r="C70" i="3" s="1"/>
  <c r="X56" i="5"/>
  <c r="CZ56" i="5" s="1"/>
  <c r="CZ46" i="5"/>
  <c r="X255" i="5"/>
  <c r="X251" i="5"/>
  <c r="X204" i="5"/>
  <c r="CZ205" i="5"/>
  <c r="BT252" i="5"/>
  <c r="CZ266" i="5"/>
  <c r="CZ249" i="5"/>
  <c r="CZ265" i="5"/>
  <c r="E35" i="3"/>
  <c r="BV57" i="5"/>
  <c r="BV255" i="5"/>
  <c r="BV251" i="5"/>
  <c r="O62" i="5"/>
  <c r="O68" i="5" s="1"/>
  <c r="O252" i="5"/>
  <c r="AC251" i="5"/>
  <c r="AC255" i="5"/>
  <c r="AN68" i="5"/>
  <c r="AL182" i="5"/>
  <c r="AL181" i="5" s="1"/>
  <c r="DC204" i="5"/>
  <c r="DC182" i="5" s="1"/>
  <c r="DC181" i="5" s="1"/>
  <c r="AE318" i="5"/>
  <c r="DB26" i="5"/>
  <c r="DA26" i="5"/>
  <c r="DA198" i="5"/>
  <c r="DA250" i="5"/>
  <c r="DA254" i="5"/>
  <c r="B15" i="12" s="1"/>
  <c r="F22" i="3"/>
  <c r="DA242" i="5"/>
  <c r="F35" i="3"/>
  <c r="F72" i="3" s="1"/>
  <c r="DA249" i="5"/>
  <c r="DA265" i="5"/>
  <c r="DA266" i="5"/>
  <c r="AH182" i="5"/>
  <c r="AH181" i="5" s="1"/>
  <c r="DB204" i="5"/>
  <c r="DB182" i="5" s="1"/>
  <c r="DB181" i="5" s="1"/>
  <c r="Z68" i="5"/>
  <c r="DA46" i="5"/>
  <c r="AC56" i="5"/>
  <c r="DA56" i="5" s="1"/>
  <c r="G37" i="3"/>
  <c r="CE321" i="5"/>
  <c r="CD322" i="5"/>
  <c r="AC204" i="5"/>
  <c r="DA205" i="5"/>
  <c r="AC76" i="5"/>
  <c r="AC79" i="5" s="1"/>
  <c r="AC84" i="5" s="1"/>
  <c r="AC86" i="5" s="1"/>
  <c r="DA72" i="5"/>
  <c r="DA76" i="5" s="1"/>
  <c r="L252" i="5"/>
  <c r="L62" i="5"/>
  <c r="L68" i="5" s="1"/>
  <c r="P7" i="12"/>
  <c r="P14" i="12" s="1"/>
  <c r="AL57" i="5"/>
  <c r="AH57" i="5"/>
  <c r="T57" i="5"/>
  <c r="BQ255" i="5"/>
  <c r="BQ251" i="5"/>
  <c r="BQ57" i="5"/>
  <c r="AD310" i="5"/>
  <c r="AC330" i="5"/>
  <c r="AC329" i="5" s="1"/>
  <c r="AC309" i="5"/>
  <c r="CA182" i="5"/>
  <c r="CA181" i="5" s="1"/>
  <c r="BJ252" i="5"/>
  <c r="BJ62" i="5"/>
  <c r="BJ68" i="5" s="1"/>
  <c r="AC317" i="5"/>
  <c r="AB316" i="5"/>
  <c r="F252" i="5"/>
  <c r="F62" i="5"/>
  <c r="F68" i="5" s="1"/>
  <c r="M3" i="3"/>
  <c r="M34" i="3" s="1"/>
  <c r="M59" i="3" s="1"/>
  <c r="L34" i="3"/>
  <c r="L59" i="3" s="1"/>
  <c r="AQ80" i="6"/>
  <c r="AR98" i="6"/>
  <c r="AQ107" i="6"/>
  <c r="AQ89" i="6" s="1"/>
  <c r="BJ331" i="5"/>
  <c r="BJ333" i="5"/>
  <c r="BK331" i="5" s="1"/>
  <c r="AN112" i="6"/>
  <c r="BH112" i="6" s="1"/>
  <c r="BH105" i="6" s="1"/>
  <c r="BH114" i="6" s="1"/>
  <c r="BH103" i="6"/>
  <c r="AO103" i="6"/>
  <c r="AN96" i="6"/>
  <c r="AM94" i="6"/>
  <c r="AM87" i="6" s="1"/>
  <c r="AM105" i="6"/>
  <c r="AM114" i="6" s="1"/>
  <c r="AP118" i="6"/>
  <c r="AO91" i="6"/>
  <c r="AQ81" i="6"/>
  <c r="AQ90" i="6" s="1"/>
  <c r="AR99" i="6"/>
  <c r="AP106" i="6"/>
  <c r="AP79" i="6"/>
  <c r="AP78" i="6" s="1"/>
  <c r="AQ97" i="6"/>
  <c r="AP111" i="6"/>
  <c r="AP93" i="6" s="1"/>
  <c r="AQ102" i="6"/>
  <c r="AO88" i="6"/>
  <c r="BL99" i="6"/>
  <c r="BK108" i="6"/>
  <c r="BJ97" i="6"/>
  <c r="BI79" i="6"/>
  <c r="BI96" i="6"/>
  <c r="BM107" i="6"/>
  <c r="BN98" i="6"/>
  <c r="AR101" i="6"/>
  <c r="AQ110" i="6"/>
  <c r="AQ92" i="6" s="1"/>
  <c r="BK110" i="6"/>
  <c r="BL101" i="6"/>
  <c r="BL109" i="6"/>
  <c r="BM100" i="6"/>
  <c r="AS100" i="6"/>
  <c r="AR82" i="6"/>
  <c r="BK102" i="6"/>
  <c r="BJ111" i="6"/>
  <c r="DI203" i="5"/>
  <c r="BQ214" i="2"/>
  <c r="BR209" i="2"/>
  <c r="BR213" i="2" s="1"/>
  <c r="BQ215" i="2"/>
  <c r="BR219" i="2"/>
  <c r="BG263" i="2"/>
  <c r="BG267" i="2" s="1"/>
  <c r="DH267" i="2"/>
  <c r="BF268" i="2"/>
  <c r="BF260" i="2"/>
  <c r="BG271" i="2"/>
  <c r="DT321" i="2"/>
  <c r="DS312" i="2"/>
  <c r="AX215" i="2"/>
  <c r="DF213" i="2"/>
  <c r="AX214" i="2"/>
  <c r="AY209" i="2"/>
  <c r="AY213" i="2" s="1"/>
  <c r="AY219" i="2"/>
  <c r="I4" i="12"/>
  <c r="BD238" i="2"/>
  <c r="BD69" i="2"/>
  <c r="BH238" i="2"/>
  <c r="BE261" i="2"/>
  <c r="BE237" i="2"/>
  <c r="BE118" i="2" s="1"/>
  <c r="CY84" i="5"/>
  <c r="S86" i="5"/>
  <c r="CY86" i="5" s="1"/>
  <c r="BD118" i="2"/>
  <c r="DT196" i="2"/>
  <c r="DU197" i="2"/>
  <c r="DU196" i="2" s="1"/>
  <c r="DU89" i="2"/>
  <c r="DU91" i="2"/>
  <c r="CU160" i="1"/>
  <c r="CK195" i="1"/>
  <c r="CK161" i="1"/>
  <c r="CK162" i="1"/>
  <c r="CK151" i="1"/>
  <c r="CU149" i="1"/>
  <c r="N72" i="3"/>
  <c r="N74" i="3"/>
  <c r="N73" i="3"/>
  <c r="I6" i="12"/>
  <c r="O65" i="3"/>
  <c r="P60" i="3"/>
  <c r="O62" i="3"/>
  <c r="G62" i="3"/>
  <c r="H60" i="3"/>
  <c r="G66" i="3"/>
  <c r="G65" i="3"/>
  <c r="F74" i="3"/>
  <c r="F73" i="3"/>
  <c r="K9" i="12"/>
  <c r="CO19" i="5" l="1"/>
  <c r="CO285" i="2"/>
  <c r="CO287" i="2" s="1"/>
  <c r="CO284" i="5" s="1"/>
  <c r="CO282" i="5" s="1"/>
  <c r="DQ284" i="2"/>
  <c r="W3" i="3"/>
  <c r="V34" i="3"/>
  <c r="V59" i="3" s="1"/>
  <c r="D36" i="3"/>
  <c r="D37" i="3"/>
  <c r="D72" i="3"/>
  <c r="DQ194" i="2"/>
  <c r="DR194" i="2" s="1"/>
  <c r="DS194" i="2" s="1"/>
  <c r="DT194" i="2" s="1"/>
  <c r="DU194" i="2" s="1"/>
  <c r="H36" i="3"/>
  <c r="DR181" i="2"/>
  <c r="DS181" i="2" s="1"/>
  <c r="DT181" i="2" s="1"/>
  <c r="DU181" i="2" s="1"/>
  <c r="DQ181" i="2"/>
  <c r="H37" i="3"/>
  <c r="DQ177" i="2"/>
  <c r="DR177" i="2" s="1"/>
  <c r="DS177" i="2" s="1"/>
  <c r="DT177" i="2" s="1"/>
  <c r="DU177" i="2" s="1"/>
  <c r="DQ189" i="2"/>
  <c r="DR189" i="2" s="1"/>
  <c r="DS189" i="2" s="1"/>
  <c r="DT189" i="2" s="1"/>
  <c r="DU189" i="2" s="1"/>
  <c r="DQ185" i="2"/>
  <c r="DR185" i="2" s="1"/>
  <c r="DS185" i="2" s="1"/>
  <c r="DT185" i="2" s="1"/>
  <c r="DU185" i="2" s="1"/>
  <c r="DH182" i="5"/>
  <c r="DH181" i="5" s="1"/>
  <c r="CC255" i="5"/>
  <c r="DQ192" i="2"/>
  <c r="DR192" i="2" s="1"/>
  <c r="DS192" i="2" s="1"/>
  <c r="DT192" i="2" s="1"/>
  <c r="DU192" i="2" s="1"/>
  <c r="K56" i="3"/>
  <c r="DQ173" i="2"/>
  <c r="DR173" i="2" s="1"/>
  <c r="DS173" i="2" s="1"/>
  <c r="DT173" i="2" s="1"/>
  <c r="DU173" i="2" s="1"/>
  <c r="DU237" i="1"/>
  <c r="DV235" i="1"/>
  <c r="DV237" i="1" s="1"/>
  <c r="DT264" i="1"/>
  <c r="DU262" i="1"/>
  <c r="DR320" i="1"/>
  <c r="DR322" i="1"/>
  <c r="DU140" i="1"/>
  <c r="DT137" i="1"/>
  <c r="AL71" i="6"/>
  <c r="AL54" i="6" s="1"/>
  <c r="AM63" i="6"/>
  <c r="DP327" i="5"/>
  <c r="BZ328" i="5"/>
  <c r="AN62" i="6"/>
  <c r="AM70" i="6"/>
  <c r="AM53" i="6" s="1"/>
  <c r="AS143" i="6"/>
  <c r="AR153" i="6"/>
  <c r="AG58" i="6"/>
  <c r="AG157" i="6"/>
  <c r="AR138" i="6"/>
  <c r="AQ148" i="6"/>
  <c r="AV127" i="6"/>
  <c r="AV126" i="6" s="1"/>
  <c r="AV125" i="6" s="1"/>
  <c r="AU126" i="6"/>
  <c r="AU125" i="6" s="1"/>
  <c r="AU61" i="6"/>
  <c r="AT69" i="6"/>
  <c r="AT52" i="6" s="1"/>
  <c r="BM136" i="6"/>
  <c r="BL146" i="6"/>
  <c r="AT41" i="6"/>
  <c r="AJ64" i="6"/>
  <c r="AI72" i="6"/>
  <c r="AI55" i="6" s="1"/>
  <c r="BL137" i="6"/>
  <c r="BK147" i="6"/>
  <c r="BK145" i="6" s="1"/>
  <c r="BM138" i="6"/>
  <c r="BL148" i="6"/>
  <c r="BU301" i="2"/>
  <c r="DL300" i="2"/>
  <c r="DL301" i="2" s="1"/>
  <c r="AL59" i="6"/>
  <c r="AK67" i="6"/>
  <c r="AK50" i="6" s="1"/>
  <c r="BM139" i="6"/>
  <c r="BL149" i="6"/>
  <c r="AH58" i="6"/>
  <c r="AH157" i="6"/>
  <c r="AQ44" i="6"/>
  <c r="AT151" i="6"/>
  <c r="AU141" i="6"/>
  <c r="AS142" i="6"/>
  <c r="AR152" i="6"/>
  <c r="BM142" i="6"/>
  <c r="BL152" i="6"/>
  <c r="BJ44" i="6"/>
  <c r="AR136" i="6"/>
  <c r="AQ146" i="6"/>
  <c r="AL19" i="6"/>
  <c r="AL156" i="6"/>
  <c r="BM41" i="6"/>
  <c r="AK20" i="6"/>
  <c r="CA327" i="5"/>
  <c r="CA328" i="5" s="1"/>
  <c r="BN61" i="6"/>
  <c r="BM69" i="6"/>
  <c r="BM52" i="6" s="1"/>
  <c r="AR139" i="6"/>
  <c r="AQ149" i="6"/>
  <c r="AN45" i="6"/>
  <c r="AM40" i="6"/>
  <c r="AP147" i="6"/>
  <c r="AP145" i="6" s="1"/>
  <c r="AQ137" i="6"/>
  <c r="BD62" i="5"/>
  <c r="BD68" i="5" s="1"/>
  <c r="G255" i="5"/>
  <c r="N255" i="5"/>
  <c r="N57" i="5"/>
  <c r="N62" i="5" s="1"/>
  <c r="N68" i="5" s="1"/>
  <c r="B4" i="12"/>
  <c r="C5" i="12" s="1"/>
  <c r="CI251" i="5"/>
  <c r="M57" i="5"/>
  <c r="M252" i="5" s="1"/>
  <c r="AP251" i="5"/>
  <c r="AG62" i="5"/>
  <c r="AG68" i="5" s="1"/>
  <c r="DA37" i="5"/>
  <c r="CI57" i="5"/>
  <c r="CI252" i="5" s="1"/>
  <c r="M255" i="5"/>
  <c r="BC251" i="5"/>
  <c r="BC57" i="5"/>
  <c r="BC252" i="5" s="1"/>
  <c r="AA255" i="5"/>
  <c r="AA57" i="5"/>
  <c r="AA252" i="5" s="1"/>
  <c r="AK57" i="5"/>
  <c r="AK62" i="5" s="1"/>
  <c r="AK68" i="5" s="1"/>
  <c r="DC37" i="5"/>
  <c r="Z296" i="5"/>
  <c r="CZ295" i="5"/>
  <c r="CZ296" i="5" s="1"/>
  <c r="AK255" i="5"/>
  <c r="G57" i="5"/>
  <c r="G62" i="5" s="1"/>
  <c r="G68" i="5" s="1"/>
  <c r="CY50" i="5"/>
  <c r="U251" i="5"/>
  <c r="DJ182" i="5"/>
  <c r="DJ181" i="5" s="1"/>
  <c r="DN204" i="5"/>
  <c r="DN203" i="5" s="1"/>
  <c r="AD283" i="5"/>
  <c r="AC282" i="5"/>
  <c r="AC285" i="5" s="1"/>
  <c r="AC271" i="5" s="1"/>
  <c r="AC272" i="5" s="1"/>
  <c r="U57" i="5"/>
  <c r="U62" i="5" s="1"/>
  <c r="U68" i="5" s="1"/>
  <c r="AB319" i="5"/>
  <c r="AB295" i="5" s="1"/>
  <c r="AB296" i="5" s="1"/>
  <c r="DD37" i="5"/>
  <c r="AI251" i="5"/>
  <c r="AI57" i="5"/>
  <c r="AI255" i="5"/>
  <c r="AI86" i="5"/>
  <c r="DC86" i="5" s="1"/>
  <c r="DC84" i="5"/>
  <c r="DM203" i="5"/>
  <c r="CG255" i="5"/>
  <c r="CG251" i="5"/>
  <c r="CG57" i="5"/>
  <c r="CA127" i="5"/>
  <c r="DM127" i="5"/>
  <c r="BZ145" i="5"/>
  <c r="BZ128" i="5"/>
  <c r="BY263" i="5"/>
  <c r="BY143" i="5"/>
  <c r="BY138" i="5" s="1"/>
  <c r="BY137" i="5" s="1"/>
  <c r="BZ323" i="5"/>
  <c r="BZ324" i="5" s="1"/>
  <c r="DM324" i="5" s="1"/>
  <c r="DM323" i="5" s="1"/>
  <c r="DM325" i="5" s="1"/>
  <c r="CA325" i="5"/>
  <c r="DR145" i="5"/>
  <c r="DS127" i="5"/>
  <c r="DJ203" i="5"/>
  <c r="Y252" i="5"/>
  <c r="Y62" i="5"/>
  <c r="Y68" i="5" s="1"/>
  <c r="AB251" i="5"/>
  <c r="AB57" i="5"/>
  <c r="AB255" i="5"/>
  <c r="DA50" i="5"/>
  <c r="DA255" i="5" s="1"/>
  <c r="F70" i="3" s="1"/>
  <c r="V62" i="5"/>
  <c r="V68" i="5" s="1"/>
  <c r="CD56" i="5"/>
  <c r="CD50" i="5"/>
  <c r="DC50" i="5"/>
  <c r="BF50" i="5"/>
  <c r="BF251" i="5" s="1"/>
  <c r="CH252" i="5"/>
  <c r="CH62" i="5"/>
  <c r="CH68" i="5" s="1"/>
  <c r="DM182" i="5"/>
  <c r="DM181" i="5" s="1"/>
  <c r="W57" i="5"/>
  <c r="W252" i="5" s="1"/>
  <c r="W255" i="5"/>
  <c r="DH7" i="1"/>
  <c r="W251" i="5"/>
  <c r="BP251" i="5"/>
  <c r="DP174" i="1"/>
  <c r="DM169" i="1"/>
  <c r="BT203" i="1"/>
  <c r="DL46" i="5"/>
  <c r="DL56" i="5" s="1"/>
  <c r="DJ249" i="5"/>
  <c r="DB251" i="5"/>
  <c r="AM62" i="5"/>
  <c r="AM68" i="5" s="1"/>
  <c r="CI212" i="1"/>
  <c r="AW163" i="5"/>
  <c r="AW157" i="5"/>
  <c r="AW154" i="5" s="1"/>
  <c r="BO57" i="5"/>
  <c r="BO251" i="5"/>
  <c r="BO255" i="5"/>
  <c r="BG62" i="5"/>
  <c r="BG68" i="5" s="1"/>
  <c r="BU203" i="1"/>
  <c r="N53" i="3"/>
  <c r="N57" i="3" s="1"/>
  <c r="DJ211" i="1"/>
  <c r="N54" i="3" s="1"/>
  <c r="CE50" i="5"/>
  <c r="CE56" i="5"/>
  <c r="DH46" i="5"/>
  <c r="DH56" i="5" s="1"/>
  <c r="BY56" i="5"/>
  <c r="BY50" i="5"/>
  <c r="AE62" i="5"/>
  <c r="AE68" i="5" s="1"/>
  <c r="CB212" i="1"/>
  <c r="BN56" i="5"/>
  <c r="BN50" i="5"/>
  <c r="DG207" i="1"/>
  <c r="DD50" i="5"/>
  <c r="DD251" i="5" s="1"/>
  <c r="DH179" i="1"/>
  <c r="AP57" i="5"/>
  <c r="DD57" i="5" s="1"/>
  <c r="DD252" i="5" s="1"/>
  <c r="DF206" i="1"/>
  <c r="DF208" i="1" s="1"/>
  <c r="N44" i="3"/>
  <c r="N49" i="3"/>
  <c r="DH249" i="5"/>
  <c r="DH266" i="5"/>
  <c r="DH265" i="5"/>
  <c r="M35" i="3"/>
  <c r="T70" i="3"/>
  <c r="DG174" i="1"/>
  <c r="DN50" i="5"/>
  <c r="DN255" i="5" s="1"/>
  <c r="BM56" i="5"/>
  <c r="BM50" i="5"/>
  <c r="CF56" i="5"/>
  <c r="CF50" i="5"/>
  <c r="CF255" i="5" s="1"/>
  <c r="BZ251" i="5"/>
  <c r="BZ57" i="5"/>
  <c r="BZ255" i="5"/>
  <c r="DJ198" i="5"/>
  <c r="DJ194" i="5"/>
  <c r="DJ72" i="5"/>
  <c r="DJ76" i="5" s="1"/>
  <c r="DJ79" i="5" s="1"/>
  <c r="DJ84" i="5" s="1"/>
  <c r="DJ86" i="5" s="1"/>
  <c r="O22" i="3"/>
  <c r="DJ254" i="5"/>
  <c r="DJ250" i="5"/>
  <c r="DJ190" i="5"/>
  <c r="DJ191" i="5" s="1"/>
  <c r="DJ35" i="5"/>
  <c r="BZ314" i="1"/>
  <c r="BV336" i="1"/>
  <c r="BR227" i="5"/>
  <c r="BR226" i="5"/>
  <c r="BR46" i="5" s="1"/>
  <c r="BR56" i="5" s="1"/>
  <c r="P43" i="3"/>
  <c r="DL178" i="1"/>
  <c r="DA84" i="5"/>
  <c r="AA86" i="5"/>
  <c r="DA86" i="5" s="1"/>
  <c r="BP255" i="5"/>
  <c r="CF212" i="1"/>
  <c r="DL202" i="1"/>
  <c r="DL210" i="1"/>
  <c r="AQ26" i="5"/>
  <c r="AQ35" i="5"/>
  <c r="AQ250" i="5"/>
  <c r="AQ254" i="5"/>
  <c r="AQ72" i="5"/>
  <c r="AQ76" i="5" s="1"/>
  <c r="AQ79" i="5" s="1"/>
  <c r="AQ198" i="5"/>
  <c r="BR204" i="5"/>
  <c r="DK205" i="5"/>
  <c r="BK57" i="5"/>
  <c r="BK255" i="5"/>
  <c r="BK251" i="5"/>
  <c r="CA212" i="1"/>
  <c r="CE212" i="1"/>
  <c r="DK29" i="5"/>
  <c r="DK190" i="5"/>
  <c r="DK191" i="5" s="1"/>
  <c r="DK26" i="5"/>
  <c r="DK72" i="5"/>
  <c r="DK76" i="5" s="1"/>
  <c r="DK79" i="5" s="1"/>
  <c r="DK84" i="5" s="1"/>
  <c r="DK86" i="5" s="1"/>
  <c r="DK254" i="5"/>
  <c r="DK198" i="5"/>
  <c r="P22" i="3"/>
  <c r="P66" i="3" s="1"/>
  <c r="DK250" i="5"/>
  <c r="DK194" i="5"/>
  <c r="DK35" i="5"/>
  <c r="DQ391" i="1"/>
  <c r="BT212" i="1"/>
  <c r="DJ227" i="5"/>
  <c r="DJ226" i="5"/>
  <c r="DL335" i="1"/>
  <c r="DM313" i="1"/>
  <c r="DL227" i="5"/>
  <c r="DL226" i="5"/>
  <c r="CA203" i="1"/>
  <c r="CE203" i="1"/>
  <c r="BS56" i="5"/>
  <c r="BS50" i="5"/>
  <c r="DO169" i="1"/>
  <c r="BP314" i="1"/>
  <c r="BL336" i="1"/>
  <c r="BS182" i="5"/>
  <c r="BS181" i="5" s="1"/>
  <c r="DL204" i="5"/>
  <c r="BR242" i="5"/>
  <c r="BR249" i="5"/>
  <c r="BR265" i="5"/>
  <c r="BR266" i="5"/>
  <c r="BW336" i="1"/>
  <c r="CA314" i="1"/>
  <c r="DI46" i="5"/>
  <c r="DI56" i="5" s="1"/>
  <c r="DK226" i="5"/>
  <c r="DK227" i="5"/>
  <c r="AQ46" i="5"/>
  <c r="AQ56" i="5" s="1"/>
  <c r="AP182" i="5"/>
  <c r="AP181" i="5" s="1"/>
  <c r="DD204" i="5"/>
  <c r="DD182" i="5" s="1"/>
  <c r="DD181" i="5" s="1"/>
  <c r="DK46" i="5"/>
  <c r="DK56" i="5" s="1"/>
  <c r="CJ56" i="5"/>
  <c r="CJ50" i="5"/>
  <c r="BL50" i="5"/>
  <c r="BL56" i="5"/>
  <c r="AQ242" i="5"/>
  <c r="AQ266" i="5"/>
  <c r="AQ265" i="5"/>
  <c r="AQ249" i="5"/>
  <c r="BQ336" i="1"/>
  <c r="BU314" i="1"/>
  <c r="DK265" i="5"/>
  <c r="DK266" i="5"/>
  <c r="DK242" i="5"/>
  <c r="DK249" i="5"/>
  <c r="DL29" i="5"/>
  <c r="DL250" i="5"/>
  <c r="DL198" i="5"/>
  <c r="DL254" i="5"/>
  <c r="DL26" i="5"/>
  <c r="DL72" i="5"/>
  <c r="DL76" i="5" s="1"/>
  <c r="DL79" i="5" s="1"/>
  <c r="DL84" i="5" s="1"/>
  <c r="DL86" i="5" s="1"/>
  <c r="DM26" i="5"/>
  <c r="DL190" i="5"/>
  <c r="DL191" i="5" s="1"/>
  <c r="DL194" i="5"/>
  <c r="DL35" i="5"/>
  <c r="Q22" i="3"/>
  <c r="BX212" i="1"/>
  <c r="DL242" i="5"/>
  <c r="DL266" i="5"/>
  <c r="DL249" i="5"/>
  <c r="DL265" i="5"/>
  <c r="P55" i="3"/>
  <c r="P56" i="3" s="1"/>
  <c r="DL215" i="1"/>
  <c r="DL217" i="1" s="1"/>
  <c r="DL205" i="1"/>
  <c r="DL206" i="1" s="1"/>
  <c r="DJ50" i="5"/>
  <c r="BR250" i="5"/>
  <c r="BR198" i="5"/>
  <c r="BR26" i="5"/>
  <c r="BR72" i="5"/>
  <c r="BR76" i="5" s="1"/>
  <c r="BR79" i="5" s="1"/>
  <c r="BR84" i="5" s="1"/>
  <c r="BR86" i="5" s="1"/>
  <c r="BR35" i="5"/>
  <c r="BR218" i="5" s="1"/>
  <c r="BR190" i="5"/>
  <c r="BR191" i="5" s="1"/>
  <c r="BV26" i="5"/>
  <c r="BR254" i="5"/>
  <c r="BX203" i="1"/>
  <c r="DM206" i="1"/>
  <c r="DG12" i="1"/>
  <c r="DG8" i="1" s="1"/>
  <c r="J12" i="3"/>
  <c r="J13" i="3" s="1"/>
  <c r="DE243" i="5"/>
  <c r="AX10" i="2"/>
  <c r="AX39" i="2" s="1"/>
  <c r="O55" i="3"/>
  <c r="O56" i="3" s="1"/>
  <c r="DK215" i="1"/>
  <c r="DK217" i="1" s="1"/>
  <c r="DK216" i="1"/>
  <c r="DL216" i="1"/>
  <c r="CG315" i="1"/>
  <c r="CG338" i="1" s="1"/>
  <c r="CC337" i="1"/>
  <c r="BV203" i="1"/>
  <c r="BZ203" i="1"/>
  <c r="DG202" i="1"/>
  <c r="DG203" i="1" s="1"/>
  <c r="DG210" i="1"/>
  <c r="DG211" i="1" s="1"/>
  <c r="DG212" i="1" s="1"/>
  <c r="CK314" i="1"/>
  <c r="CK337" i="1" s="1"/>
  <c r="CG336" i="1"/>
  <c r="AY40" i="2"/>
  <c r="AY48" i="2"/>
  <c r="N15" i="12"/>
  <c r="R69" i="3"/>
  <c r="DF48" i="2"/>
  <c r="DF40" i="2"/>
  <c r="DM198" i="1"/>
  <c r="DM199" i="1"/>
  <c r="DI179" i="1"/>
  <c r="DJ179" i="1"/>
  <c r="R55" i="3"/>
  <c r="R56" i="3" s="1"/>
  <c r="DN216" i="1"/>
  <c r="DN215" i="1"/>
  <c r="DN217" i="1" s="1"/>
  <c r="DO216" i="1"/>
  <c r="DO206" i="1"/>
  <c r="BB11" i="1"/>
  <c r="BB3" i="1" s="1"/>
  <c r="BC23" i="1"/>
  <c r="DG4" i="2"/>
  <c r="DH9" i="1"/>
  <c r="DI9" i="1"/>
  <c r="DM57" i="5"/>
  <c r="DM251" i="5"/>
  <c r="DM255" i="5"/>
  <c r="BA21" i="1"/>
  <c r="BE13" i="1"/>
  <c r="BA13" i="1"/>
  <c r="DO313" i="1"/>
  <c r="DN335" i="1"/>
  <c r="DO198" i="1"/>
  <c r="DO199" i="1"/>
  <c r="AF252" i="5"/>
  <c r="AF62" i="5"/>
  <c r="AF68" i="5" s="1"/>
  <c r="CD337" i="1"/>
  <c r="CH315" i="1"/>
  <c r="CH338" i="1" s="1"/>
  <c r="DP202" i="1"/>
  <c r="DP210" i="1"/>
  <c r="CA251" i="5"/>
  <c r="DN198" i="1"/>
  <c r="DN199" i="1"/>
  <c r="T43" i="3"/>
  <c r="DP178" i="1"/>
  <c r="AX320" i="1"/>
  <c r="AX316" i="1"/>
  <c r="DG306" i="1"/>
  <c r="AY306" i="1"/>
  <c r="CK315" i="1"/>
  <c r="CK338" i="1" s="1"/>
  <c r="CG337" i="1"/>
  <c r="BL203" i="1"/>
  <c r="BP203" i="1"/>
  <c r="DM178" i="1"/>
  <c r="Q43" i="3"/>
  <c r="BA4" i="2"/>
  <c r="BA9" i="1"/>
  <c r="BE9" i="1"/>
  <c r="BA18" i="1"/>
  <c r="BA3" i="1"/>
  <c r="BA12" i="1" s="1"/>
  <c r="BA8" i="1" s="1"/>
  <c r="DK205" i="1"/>
  <c r="CJ212" i="1"/>
  <c r="BQ314" i="1"/>
  <c r="BM336" i="1"/>
  <c r="DO202" i="1"/>
  <c r="DO210" i="1"/>
  <c r="AV243" i="5"/>
  <c r="AV17" i="5"/>
  <c r="BD20" i="1"/>
  <c r="DM218" i="5"/>
  <c r="N4" i="12"/>
  <c r="N7" i="12" s="1"/>
  <c r="N14" i="12" s="1"/>
  <c r="CF336" i="1"/>
  <c r="CJ314" i="1"/>
  <c r="CJ337" i="1" s="1"/>
  <c r="DI194" i="5"/>
  <c r="DI198" i="5"/>
  <c r="DI250" i="5"/>
  <c r="DI72" i="5"/>
  <c r="DI76" i="5" s="1"/>
  <c r="DI79" i="5" s="1"/>
  <c r="DI84" i="5" s="1"/>
  <c r="DI86" i="5" s="1"/>
  <c r="DI190" i="5"/>
  <c r="DI191" i="5" s="1"/>
  <c r="DI26" i="5"/>
  <c r="N22" i="3"/>
  <c r="DI35" i="5"/>
  <c r="DI254" i="5"/>
  <c r="DJ26" i="5"/>
  <c r="AT279" i="1"/>
  <c r="DF300" i="1"/>
  <c r="AW162" i="5"/>
  <c r="DI226" i="5"/>
  <c r="DI227" i="5"/>
  <c r="O4" i="12"/>
  <c r="DO37" i="5"/>
  <c r="DN37" i="5"/>
  <c r="DN218" i="5"/>
  <c r="BW314" i="1"/>
  <c r="BS336" i="1"/>
  <c r="DN174" i="1"/>
  <c r="DL314" i="1"/>
  <c r="BR337" i="1"/>
  <c r="BV315" i="1"/>
  <c r="BV338" i="1" s="1"/>
  <c r="DQ336" i="1"/>
  <c r="DO252" i="5"/>
  <c r="CA57" i="5"/>
  <c r="CA62" i="5" s="1"/>
  <c r="CA68" i="5" s="1"/>
  <c r="C255" i="5"/>
  <c r="DN202" i="1"/>
  <c r="DN210" i="1"/>
  <c r="DP169" i="1"/>
  <c r="DN336" i="1"/>
  <c r="DO314" i="1"/>
  <c r="O43" i="3"/>
  <c r="DK178" i="1"/>
  <c r="DF3" i="5"/>
  <c r="BL212" i="1"/>
  <c r="BP212" i="1"/>
  <c r="R43" i="3"/>
  <c r="DN178" i="1"/>
  <c r="DO174" i="1"/>
  <c r="DK202" i="1"/>
  <c r="DK210" i="1"/>
  <c r="CJ203" i="1"/>
  <c r="AX16" i="1"/>
  <c r="AX4" i="5"/>
  <c r="AX6" i="5" s="1"/>
  <c r="AZ4" i="2"/>
  <c r="BD9" i="1"/>
  <c r="AZ18" i="1"/>
  <c r="AZ3" i="1"/>
  <c r="AZ9" i="1"/>
  <c r="DK174" i="1"/>
  <c r="DL174" i="1"/>
  <c r="CB255" i="5"/>
  <c r="CB251" i="5"/>
  <c r="CB57" i="5"/>
  <c r="AU17" i="5"/>
  <c r="AU243" i="5"/>
  <c r="DM202" i="1"/>
  <c r="DM210" i="1"/>
  <c r="CI315" i="1"/>
  <c r="CI338" i="1" s="1"/>
  <c r="CE337" i="1"/>
  <c r="DI198" i="1"/>
  <c r="DJ198" i="1"/>
  <c r="DI199" i="1"/>
  <c r="DG16" i="1"/>
  <c r="DG198" i="1"/>
  <c r="DG199" i="1"/>
  <c r="DI169" i="1"/>
  <c r="DJ169" i="1"/>
  <c r="DP336" i="1"/>
  <c r="DQ314" i="1"/>
  <c r="BV314" i="1"/>
  <c r="DL313" i="1"/>
  <c r="BR336" i="1"/>
  <c r="CI314" i="1"/>
  <c r="CI337" i="1" s="1"/>
  <c r="CE336" i="1"/>
  <c r="DM216" i="1"/>
  <c r="Q55" i="3"/>
  <c r="Q56" i="3" s="1"/>
  <c r="DM215" i="1"/>
  <c r="DM217" i="1" s="1"/>
  <c r="CC212" i="1"/>
  <c r="CG212" i="1"/>
  <c r="BE252" i="5"/>
  <c r="BE62" i="5"/>
  <c r="BE68" i="5" s="1"/>
  <c r="AY15" i="1"/>
  <c r="AY19" i="1" s="1"/>
  <c r="AW238" i="5"/>
  <c r="AW248" i="5"/>
  <c r="AW245" i="5"/>
  <c r="AW177" i="5"/>
  <c r="AW8" i="5"/>
  <c r="AW247" i="5"/>
  <c r="AW246" i="5"/>
  <c r="AW235" i="5"/>
  <c r="AY4" i="1"/>
  <c r="AY3" i="5"/>
  <c r="AY5" i="1"/>
  <c r="BC4" i="1"/>
  <c r="R64" i="3"/>
  <c r="C57" i="5"/>
  <c r="C252" i="5" s="1"/>
  <c r="DH207" i="1"/>
  <c r="DG206" i="1"/>
  <c r="DN205" i="1"/>
  <c r="S69" i="3"/>
  <c r="O15" i="12"/>
  <c r="DK169" i="1"/>
  <c r="DL169" i="1"/>
  <c r="DI266" i="5"/>
  <c r="DI265" i="5"/>
  <c r="DJ242" i="5"/>
  <c r="DI249" i="5"/>
  <c r="DI242" i="5"/>
  <c r="DN169" i="1"/>
  <c r="BY314" i="1"/>
  <c r="BU336" i="1"/>
  <c r="DK198" i="1"/>
  <c r="DL198" i="1"/>
  <c r="DK199" i="1"/>
  <c r="DH198" i="1"/>
  <c r="AX19" i="1"/>
  <c r="DP198" i="1"/>
  <c r="DP199" i="1"/>
  <c r="AR22" i="5"/>
  <c r="AR244" i="5"/>
  <c r="AR43" i="5"/>
  <c r="AR241" i="5"/>
  <c r="DE17" i="5"/>
  <c r="DF198" i="1"/>
  <c r="DF199" i="1"/>
  <c r="AT241" i="5"/>
  <c r="AT244" i="5"/>
  <c r="AT22" i="5"/>
  <c r="AT43" i="5"/>
  <c r="CD336" i="1"/>
  <c r="CH314" i="1"/>
  <c r="AW164" i="5"/>
  <c r="J5" i="3"/>
  <c r="J52" i="3"/>
  <c r="DI174" i="1"/>
  <c r="DJ174" i="1"/>
  <c r="AS22" i="5"/>
  <c r="AS244" i="5"/>
  <c r="AS43" i="5"/>
  <c r="AS241" i="5"/>
  <c r="BV212" i="1"/>
  <c r="BZ212" i="1"/>
  <c r="DP207" i="1"/>
  <c r="DP206" i="1"/>
  <c r="DI202" i="1"/>
  <c r="DI210" i="1"/>
  <c r="DI211" i="1" s="1"/>
  <c r="CC203" i="1"/>
  <c r="CG203" i="1"/>
  <c r="O52" i="3"/>
  <c r="BT336" i="1"/>
  <c r="BX314" i="1"/>
  <c r="AU157" i="2"/>
  <c r="DE156" i="2"/>
  <c r="AT157" i="2"/>
  <c r="CF182" i="5"/>
  <c r="CF181" i="5" s="1"/>
  <c r="DO204" i="5"/>
  <c r="AW165" i="5"/>
  <c r="T23" i="3"/>
  <c r="S64" i="3"/>
  <c r="S23" i="3"/>
  <c r="S43" i="3"/>
  <c r="DO178" i="1"/>
  <c r="DH169" i="1"/>
  <c r="BT314" i="1"/>
  <c r="BP336" i="1"/>
  <c r="BW315" i="1"/>
  <c r="BW338" i="1" s="1"/>
  <c r="BS337" i="1"/>
  <c r="DI207" i="1"/>
  <c r="DI206" i="1"/>
  <c r="DJ207" i="1"/>
  <c r="DG19" i="1"/>
  <c r="BB9" i="1"/>
  <c r="BF9" i="1"/>
  <c r="BB18" i="1"/>
  <c r="BB4" i="2"/>
  <c r="AW156" i="5"/>
  <c r="AO252" i="5"/>
  <c r="AO62" i="5"/>
  <c r="AO68" i="5" s="1"/>
  <c r="Q62" i="5"/>
  <c r="Q252" i="5"/>
  <c r="CX57" i="5"/>
  <c r="CX252" i="5" s="1"/>
  <c r="BP252" i="5"/>
  <c r="BP62" i="5"/>
  <c r="BP68" i="5" s="1"/>
  <c r="CZ84" i="5"/>
  <c r="W86" i="5"/>
  <c r="CZ86" i="5" s="1"/>
  <c r="BU62" i="5"/>
  <c r="BU68" i="5" s="1"/>
  <c r="BU252" i="5"/>
  <c r="D23" i="3"/>
  <c r="D67" i="3" s="1"/>
  <c r="D66" i="3"/>
  <c r="CC62" i="5"/>
  <c r="CC68" i="5" s="1"/>
  <c r="CC252" i="5"/>
  <c r="BH252" i="5"/>
  <c r="BH62" i="5"/>
  <c r="BH68" i="5" s="1"/>
  <c r="CZ255" i="5"/>
  <c r="E70" i="3" s="1"/>
  <c r="CZ251" i="5"/>
  <c r="E66" i="3"/>
  <c r="E23" i="3"/>
  <c r="E67" i="3" s="1"/>
  <c r="BX251" i="5"/>
  <c r="BX255" i="5"/>
  <c r="BX57" i="5"/>
  <c r="BV252" i="5"/>
  <c r="BV62" i="5"/>
  <c r="BV68" i="5" s="1"/>
  <c r="AC307" i="5"/>
  <c r="AC327" i="5" s="1"/>
  <c r="AC328" i="5" s="1"/>
  <c r="AC315" i="5"/>
  <c r="AC314" i="5" s="1"/>
  <c r="E37" i="3"/>
  <c r="E72" i="3"/>
  <c r="D5" i="12"/>
  <c r="E5" i="12"/>
  <c r="BW57" i="5"/>
  <c r="BW251" i="5"/>
  <c r="BW255" i="5"/>
  <c r="E36" i="3"/>
  <c r="X182" i="5"/>
  <c r="X181" i="5" s="1"/>
  <c r="CZ204" i="5"/>
  <c r="CZ182" i="5" s="1"/>
  <c r="CZ181" i="5" s="1"/>
  <c r="BI255" i="5"/>
  <c r="BI251" i="5"/>
  <c r="BI57" i="5"/>
  <c r="X57" i="5"/>
  <c r="BQ62" i="5"/>
  <c r="BQ68" i="5" s="1"/>
  <c r="BQ252" i="5"/>
  <c r="AE310" i="5"/>
  <c r="AD330" i="5"/>
  <c r="AD329" i="5" s="1"/>
  <c r="AD309" i="5"/>
  <c r="G36" i="3"/>
  <c r="AF318" i="5"/>
  <c r="DO68" i="5"/>
  <c r="G20" i="9"/>
  <c r="DA310" i="5"/>
  <c r="DA309" i="5" s="1"/>
  <c r="F37" i="3"/>
  <c r="F36" i="3"/>
  <c r="F23" i="3"/>
  <c r="F67" i="3" s="1"/>
  <c r="F66" i="3"/>
  <c r="G23" i="3"/>
  <c r="G67" i="3" s="1"/>
  <c r="AD317" i="5"/>
  <c r="AC316" i="5"/>
  <c r="AH62" i="5"/>
  <c r="DB57" i="5"/>
  <c r="DB252" i="5" s="1"/>
  <c r="AH252" i="5"/>
  <c r="T252" i="5"/>
  <c r="T62" i="5"/>
  <c r="AC182" i="5"/>
  <c r="AC181" i="5" s="1"/>
  <c r="DA204" i="5"/>
  <c r="DA182" i="5" s="1"/>
  <c r="DA181" i="5" s="1"/>
  <c r="CF321" i="5"/>
  <c r="CE322" i="5"/>
  <c r="AL62" i="5"/>
  <c r="AL252" i="5"/>
  <c r="AC57" i="5"/>
  <c r="AS98" i="6"/>
  <c r="AR80" i="6"/>
  <c r="AR107" i="6"/>
  <c r="AR89" i="6" s="1"/>
  <c r="AQ118" i="6"/>
  <c r="AP91" i="6"/>
  <c r="AP103" i="6"/>
  <c r="AO112" i="6"/>
  <c r="AO96" i="6"/>
  <c r="BI103" i="6"/>
  <c r="BH96" i="6"/>
  <c r="AN94" i="6"/>
  <c r="AN87" i="6" s="1"/>
  <c r="AN105" i="6"/>
  <c r="AN114" i="6" s="1"/>
  <c r="BL102" i="6"/>
  <c r="BK111" i="6"/>
  <c r="BJ96" i="6"/>
  <c r="BK97" i="6"/>
  <c r="BL110" i="6"/>
  <c r="BM101" i="6"/>
  <c r="AT100" i="6"/>
  <c r="AS82" i="6"/>
  <c r="BN100" i="6"/>
  <c r="BM109" i="6"/>
  <c r="AP88" i="6"/>
  <c r="AQ111" i="6"/>
  <c r="AQ93" i="6" s="1"/>
  <c r="AR102" i="6"/>
  <c r="BI106" i="6"/>
  <c r="AS101" i="6"/>
  <c r="AR110" i="6"/>
  <c r="AR92" i="6" s="1"/>
  <c r="AR97" i="6"/>
  <c r="AQ106" i="6"/>
  <c r="AQ79" i="6"/>
  <c r="AQ78" i="6" s="1"/>
  <c r="BO98" i="6"/>
  <c r="BN107" i="6"/>
  <c r="BM99" i="6"/>
  <c r="BL108" i="6"/>
  <c r="AS99" i="6"/>
  <c r="AR81" i="6"/>
  <c r="AR90" i="6" s="1"/>
  <c r="AY214" i="2"/>
  <c r="AZ209" i="2"/>
  <c r="AZ213" i="2" s="1"/>
  <c r="AZ219" i="2"/>
  <c r="DF215" i="2"/>
  <c r="DF214" i="2"/>
  <c r="DG209" i="2"/>
  <c r="DU321" i="2"/>
  <c r="DU312" i="2" s="1"/>
  <c r="DT312" i="2"/>
  <c r="DK213" i="2"/>
  <c r="BR214" i="2"/>
  <c r="BR215" i="2"/>
  <c r="BS209" i="2"/>
  <c r="BS213" i="2" s="1"/>
  <c r="BS219" i="2"/>
  <c r="DH260" i="2"/>
  <c r="DH261" i="2" s="1"/>
  <c r="DI263" i="2"/>
  <c r="DH268" i="2"/>
  <c r="BI238" i="2"/>
  <c r="BE238" i="2"/>
  <c r="BE69" i="2"/>
  <c r="BF118" i="2"/>
  <c r="BG268" i="2"/>
  <c r="BG260" i="2"/>
  <c r="BG261" i="2" s="1"/>
  <c r="BH263" i="2"/>
  <c r="BH267" i="2" s="1"/>
  <c r="BH271" i="2"/>
  <c r="BF261" i="2"/>
  <c r="BF237" i="2"/>
  <c r="CK163" i="1"/>
  <c r="CU161" i="1"/>
  <c r="CU195" i="1"/>
  <c r="CK197" i="1"/>
  <c r="CK196" i="1"/>
  <c r="O72" i="3"/>
  <c r="O73" i="3"/>
  <c r="O74" i="3"/>
  <c r="P62" i="3"/>
  <c r="P65" i="3"/>
  <c r="Q60" i="3"/>
  <c r="H6" i="12"/>
  <c r="I7" i="12"/>
  <c r="I14" i="12" s="1"/>
  <c r="I60" i="3"/>
  <c r="H65" i="3"/>
  <c r="H66" i="3"/>
  <c r="H62" i="3"/>
  <c r="G72" i="3"/>
  <c r="G73" i="3"/>
  <c r="G74" i="3"/>
  <c r="DQ285" i="2" l="1"/>
  <c r="DQ287" i="2" s="1"/>
  <c r="DQ19" i="5"/>
  <c r="X3" i="3"/>
  <c r="W34" i="3"/>
  <c r="W59" i="3" s="1"/>
  <c r="CI62" i="5"/>
  <c r="CI68" i="5" s="1"/>
  <c r="N252" i="5"/>
  <c r="DR343" i="1"/>
  <c r="DS323" i="1"/>
  <c r="DR327" i="1"/>
  <c r="DR348" i="1" s="1"/>
  <c r="DS268" i="1"/>
  <c r="DS226" i="1"/>
  <c r="DV262" i="1"/>
  <c r="DV264" i="1" s="1"/>
  <c r="DU264" i="1"/>
  <c r="DU137" i="1"/>
  <c r="DV140" i="1"/>
  <c r="DV137" i="1" s="1"/>
  <c r="AN63" i="6"/>
  <c r="AM71" i="6"/>
  <c r="AM54" i="6" s="1"/>
  <c r="AV141" i="6"/>
  <c r="AV151" i="6" s="1"/>
  <c r="AU151" i="6"/>
  <c r="AI49" i="6"/>
  <c r="BG64" i="6"/>
  <c r="BG72" i="6" s="1"/>
  <c r="AK64" i="6"/>
  <c r="AJ72" i="6"/>
  <c r="AJ55" i="6" s="1"/>
  <c r="AJ49" i="6" s="1"/>
  <c r="AR137" i="6"/>
  <c r="AQ147" i="6"/>
  <c r="AR44" i="6"/>
  <c r="BH62" i="6"/>
  <c r="AO62" i="6"/>
  <c r="AN70" i="6"/>
  <c r="AN53" i="6" s="1"/>
  <c r="BH53" i="6" s="1"/>
  <c r="BN41" i="6"/>
  <c r="BN142" i="6"/>
  <c r="BM152" i="6"/>
  <c r="BX300" i="2"/>
  <c r="BX301" i="2" s="1"/>
  <c r="AH159" i="6"/>
  <c r="AH161" i="6" s="1"/>
  <c r="AQ145" i="6"/>
  <c r="BN139" i="6"/>
  <c r="BM149" i="6"/>
  <c r="BM137" i="6"/>
  <c r="BL147" i="6"/>
  <c r="BL145" i="6" s="1"/>
  <c r="AU41" i="6"/>
  <c r="AM19" i="6"/>
  <c r="AM156" i="6"/>
  <c r="BN138" i="6"/>
  <c r="BM148" i="6"/>
  <c r="BN136" i="6"/>
  <c r="BM146" i="6"/>
  <c r="AR148" i="6"/>
  <c r="AS138" i="6"/>
  <c r="DR327" i="5"/>
  <c r="BO61" i="6"/>
  <c r="BO69" i="6" s="1"/>
  <c r="BO52" i="6" s="1"/>
  <c r="BN69" i="6"/>
  <c r="BN52" i="6" s="1"/>
  <c r="AS136" i="6"/>
  <c r="AR146" i="6"/>
  <c r="AV61" i="6"/>
  <c r="AV69" i="6" s="1"/>
  <c r="AV52" i="6" s="1"/>
  <c r="AU69" i="6"/>
  <c r="AU52" i="6" s="1"/>
  <c r="AS139" i="6"/>
  <c r="AR149" i="6"/>
  <c r="AM59" i="6"/>
  <c r="AL67" i="6"/>
  <c r="AL50" i="6" s="1"/>
  <c r="AT143" i="6"/>
  <c r="AS153" i="6"/>
  <c r="BK44" i="6"/>
  <c r="BH45" i="6"/>
  <c r="AO45" i="6"/>
  <c r="AN40" i="6"/>
  <c r="AL20" i="6"/>
  <c r="CB327" i="5"/>
  <c r="CB328" i="5" s="1"/>
  <c r="AT142" i="6"/>
  <c r="AS152" i="6"/>
  <c r="BW300" i="2"/>
  <c r="AG159" i="6"/>
  <c r="AG161" i="6" s="1"/>
  <c r="AA62" i="5"/>
  <c r="AA68" i="5" s="1"/>
  <c r="BC62" i="5"/>
  <c r="BC68" i="5" s="1"/>
  <c r="U252" i="5"/>
  <c r="M62" i="5"/>
  <c r="M68" i="5" s="1"/>
  <c r="CY57" i="5"/>
  <c r="CY252" i="5" s="1"/>
  <c r="G252" i="5"/>
  <c r="DM179" i="1"/>
  <c r="AX47" i="2"/>
  <c r="DC57" i="5"/>
  <c r="DC252" i="5" s="1"/>
  <c r="DN57" i="5"/>
  <c r="DN252" i="5" s="1"/>
  <c r="W62" i="5"/>
  <c r="W68" i="5" s="1"/>
  <c r="DN182" i="5"/>
  <c r="DN181" i="5" s="1"/>
  <c r="AK252" i="5"/>
  <c r="DL50" i="5"/>
  <c r="DL251" i="5" s="1"/>
  <c r="BF255" i="5"/>
  <c r="BG256" i="5" s="1"/>
  <c r="CA252" i="5"/>
  <c r="BF57" i="5"/>
  <c r="BF252" i="5" s="1"/>
  <c r="AC319" i="5"/>
  <c r="AP252" i="5"/>
  <c r="AD282" i="5"/>
  <c r="AD285" i="5" s="1"/>
  <c r="AD271" i="5" s="1"/>
  <c r="AD272" i="5" s="1"/>
  <c r="AE283" i="5"/>
  <c r="DA283" i="5"/>
  <c r="DA282" i="5" s="1"/>
  <c r="DA251" i="5"/>
  <c r="DA330" i="5"/>
  <c r="DA329" i="5" s="1"/>
  <c r="CY255" i="5"/>
  <c r="D70" i="3" s="1"/>
  <c r="CY251" i="5"/>
  <c r="C62" i="5"/>
  <c r="C68" i="5" s="1"/>
  <c r="E35" i="9"/>
  <c r="DM145" i="5"/>
  <c r="CA323" i="5"/>
  <c r="CA324" i="5" s="1"/>
  <c r="CB325" i="5"/>
  <c r="CG252" i="5"/>
  <c r="CG62" i="5"/>
  <c r="CG68" i="5" s="1"/>
  <c r="BZ143" i="5"/>
  <c r="BZ138" i="5" s="1"/>
  <c r="BZ137" i="5" s="1"/>
  <c r="BZ263" i="5"/>
  <c r="DT127" i="5"/>
  <c r="DS145" i="5"/>
  <c r="CB127" i="5"/>
  <c r="CA128" i="5"/>
  <c r="CA129" i="5" s="1"/>
  <c r="CA145" i="5"/>
  <c r="AP62" i="5"/>
  <c r="AP68" i="5" s="1"/>
  <c r="DD68" i="5" s="1"/>
  <c r="AB252" i="5"/>
  <c r="AB62" i="5"/>
  <c r="AB68" i="5" s="1"/>
  <c r="DT323" i="5"/>
  <c r="DT324" i="5" s="1"/>
  <c r="DS323" i="5"/>
  <c r="DS324" i="5" s="1"/>
  <c r="DU323" i="5"/>
  <c r="DU324" i="5" s="1"/>
  <c r="DR323" i="5"/>
  <c r="DR324" i="5" s="1"/>
  <c r="CF57" i="5"/>
  <c r="CF252" i="5" s="1"/>
  <c r="DC255" i="5"/>
  <c r="H70" i="3" s="1"/>
  <c r="DC251" i="5"/>
  <c r="AI252" i="5"/>
  <c r="AI62" i="5"/>
  <c r="AI68" i="5" s="1"/>
  <c r="CD251" i="5"/>
  <c r="CD57" i="5"/>
  <c r="CD255" i="5"/>
  <c r="BZ129" i="5"/>
  <c r="DM129" i="5" s="1"/>
  <c r="DM128" i="5"/>
  <c r="BR50" i="5"/>
  <c r="BR57" i="5" s="1"/>
  <c r="DO179" i="1"/>
  <c r="AY10" i="2"/>
  <c r="AY39" i="2" s="1"/>
  <c r="DI50" i="5"/>
  <c r="DI251" i="5" s="1"/>
  <c r="DD255" i="5"/>
  <c r="I70" i="3" s="1"/>
  <c r="DH18" i="1"/>
  <c r="CF251" i="5"/>
  <c r="AQ50" i="5"/>
  <c r="AQ57" i="5" s="1"/>
  <c r="DH50" i="5"/>
  <c r="DH251" i="5" s="1"/>
  <c r="DK50" i="5"/>
  <c r="DK255" i="5" s="1"/>
  <c r="P70" i="3" s="1"/>
  <c r="BY255" i="5"/>
  <c r="BY251" i="5"/>
  <c r="BY57" i="5"/>
  <c r="BN255" i="5"/>
  <c r="BN57" i="5"/>
  <c r="BN251" i="5"/>
  <c r="DN251" i="5"/>
  <c r="DN179" i="1"/>
  <c r="M37" i="3"/>
  <c r="N36" i="3"/>
  <c r="BO252" i="5"/>
  <c r="BO62" i="5"/>
  <c r="BO68" i="5" s="1"/>
  <c r="DP208" i="1"/>
  <c r="CE57" i="5"/>
  <c r="CE251" i="5"/>
  <c r="CE255" i="5"/>
  <c r="DH212" i="1"/>
  <c r="DM203" i="1"/>
  <c r="AQ84" i="5"/>
  <c r="DE79" i="5"/>
  <c r="DJ218" i="5"/>
  <c r="K4" i="12"/>
  <c r="K7" i="12" s="1"/>
  <c r="K14" i="12" s="1"/>
  <c r="DJ57" i="5"/>
  <c r="DJ251" i="5"/>
  <c r="DJ255" i="5"/>
  <c r="O70" i="3" s="1"/>
  <c r="Q69" i="3"/>
  <c r="M15" i="12"/>
  <c r="BU337" i="1"/>
  <c r="BY315" i="1"/>
  <c r="BY338" i="1" s="1"/>
  <c r="BL255" i="5"/>
  <c r="BL57" i="5"/>
  <c r="BL251" i="5"/>
  <c r="BP337" i="1"/>
  <c r="BT315" i="1"/>
  <c r="BT338" i="1" s="1"/>
  <c r="P69" i="3"/>
  <c r="L15" i="12"/>
  <c r="BZ252" i="5"/>
  <c r="BZ62" i="5"/>
  <c r="BZ68" i="5" s="1"/>
  <c r="DN203" i="1"/>
  <c r="Q23" i="3"/>
  <c r="R23" i="3"/>
  <c r="Q64" i="3"/>
  <c r="CJ255" i="5"/>
  <c r="CJ251" i="5"/>
  <c r="CJ57" i="5"/>
  <c r="DL37" i="5"/>
  <c r="DL218" i="5"/>
  <c r="DM37" i="5"/>
  <c r="M4" i="12"/>
  <c r="N5" i="12" s="1"/>
  <c r="DL255" i="5"/>
  <c r="Q70" i="3" s="1"/>
  <c r="BK252" i="5"/>
  <c r="BK62" i="5"/>
  <c r="BK68" i="5" s="1"/>
  <c r="P44" i="3"/>
  <c r="P49" i="3"/>
  <c r="K15" i="12"/>
  <c r="O69" i="3"/>
  <c r="BS251" i="5"/>
  <c r="BS255" i="5"/>
  <c r="BS57" i="5"/>
  <c r="P29" i="3"/>
  <c r="P23" i="3"/>
  <c r="P64" i="3"/>
  <c r="DM207" i="1"/>
  <c r="DK37" i="5"/>
  <c r="DK218" i="5"/>
  <c r="L4" i="12"/>
  <c r="P53" i="3"/>
  <c r="P57" i="3" s="1"/>
  <c r="DL211" i="1"/>
  <c r="P54" i="3" s="1"/>
  <c r="O29" i="3"/>
  <c r="O67" i="3" s="1"/>
  <c r="O64" i="3"/>
  <c r="O66" i="3"/>
  <c r="CE315" i="1"/>
  <c r="CE338" i="1" s="1"/>
  <c r="CA337" i="1"/>
  <c r="BZ337" i="1"/>
  <c r="CD315" i="1"/>
  <c r="CD338" i="1" s="1"/>
  <c r="DM208" i="1"/>
  <c r="DM336" i="1"/>
  <c r="DN314" i="1"/>
  <c r="BR182" i="5"/>
  <c r="BR181" i="5" s="1"/>
  <c r="DK204" i="5"/>
  <c r="BM251" i="5"/>
  <c r="BM255" i="5"/>
  <c r="BM57" i="5"/>
  <c r="DL182" i="5"/>
  <c r="DL181" i="5" s="1"/>
  <c r="DL203" i="5"/>
  <c r="AX247" i="5"/>
  <c r="AX177" i="5"/>
  <c r="AX235" i="5"/>
  <c r="AX246" i="5"/>
  <c r="AX245" i="5"/>
  <c r="AX248" i="5"/>
  <c r="AX8" i="5"/>
  <c r="AX238" i="5"/>
  <c r="DF6" i="5"/>
  <c r="AX163" i="5"/>
  <c r="AX164" i="5"/>
  <c r="AX156" i="5"/>
  <c r="AX165" i="5"/>
  <c r="AX157" i="5"/>
  <c r="AX154" i="5" s="1"/>
  <c r="AX162" i="5"/>
  <c r="BB5" i="1"/>
  <c r="BB4" i="1"/>
  <c r="BB3" i="5"/>
  <c r="BC5" i="1"/>
  <c r="BF4" i="1"/>
  <c r="BD4" i="1"/>
  <c r="AZ5" i="1"/>
  <c r="AZ3" i="5"/>
  <c r="AZ4" i="1"/>
  <c r="AZ12" i="1"/>
  <c r="AZ8" i="1" s="1"/>
  <c r="CC315" i="1"/>
  <c r="CC338" i="1" s="1"/>
  <c r="BY337" i="1"/>
  <c r="DS315" i="1"/>
  <c r="N66" i="3"/>
  <c r="N23" i="3"/>
  <c r="O23" i="3"/>
  <c r="N64" i="3"/>
  <c r="N29" i="3"/>
  <c r="S53" i="3"/>
  <c r="S57" i="3" s="1"/>
  <c r="S27" i="3" s="1"/>
  <c r="S29" i="3" s="1"/>
  <c r="DO211" i="1"/>
  <c r="BT337" i="1"/>
  <c r="BX315" i="1"/>
  <c r="BX338" i="1" s="1"/>
  <c r="O53" i="3"/>
  <c r="O57" i="3" s="1"/>
  <c r="DK211" i="1"/>
  <c r="AY316" i="1"/>
  <c r="AY339" i="1" s="1"/>
  <c r="AY330" i="1" s="1"/>
  <c r="AY320" i="1"/>
  <c r="AY327" i="1" s="1"/>
  <c r="AY348" i="1" s="1"/>
  <c r="AY342" i="1" s="1"/>
  <c r="AZ306" i="1"/>
  <c r="CB315" i="1"/>
  <c r="CB338" i="1" s="1"/>
  <c r="BX337" i="1"/>
  <c r="DI203" i="1"/>
  <c r="DJ203" i="1"/>
  <c r="CL315" i="1"/>
  <c r="CL338" i="1" s="1"/>
  <c r="CH337" i="1"/>
  <c r="J17" i="3"/>
  <c r="DE241" i="5"/>
  <c r="DE43" i="5"/>
  <c r="DE244" i="5"/>
  <c r="AZ48" i="2"/>
  <c r="AZ40" i="2"/>
  <c r="DK203" i="1"/>
  <c r="DL203" i="1"/>
  <c r="J10" i="3"/>
  <c r="DF283" i="1"/>
  <c r="DF301" i="1"/>
  <c r="BA48" i="2"/>
  <c r="BA40" i="2"/>
  <c r="DM62" i="5"/>
  <c r="DM68" i="5" s="1"/>
  <c r="DM252" i="5"/>
  <c r="AU43" i="5"/>
  <c r="AU244" i="5"/>
  <c r="AU241" i="5"/>
  <c r="AU22" i="5"/>
  <c r="BW337" i="1"/>
  <c r="CA315" i="1"/>
  <c r="CA338" i="1" s="1"/>
  <c r="BA15" i="1"/>
  <c r="BA19" i="1"/>
  <c r="AY16" i="1"/>
  <c r="AY4" i="5"/>
  <c r="AY6" i="5" s="1"/>
  <c r="E27" i="9"/>
  <c r="E28" i="9" s="1"/>
  <c r="R70" i="3"/>
  <c r="DI212" i="1"/>
  <c r="DJ212" i="1"/>
  <c r="DO203" i="1"/>
  <c r="BB12" i="1"/>
  <c r="BB8" i="1" s="1"/>
  <c r="BB13" i="1"/>
  <c r="BB21" i="1"/>
  <c r="BB15" i="1" s="1"/>
  <c r="BB19" i="1" s="1"/>
  <c r="BF13" i="1"/>
  <c r="DF4" i="5"/>
  <c r="DH11" i="1"/>
  <c r="AS207" i="5"/>
  <c r="AS208" i="5" s="1"/>
  <c r="AS25" i="5"/>
  <c r="AS200" i="5"/>
  <c r="AS202" i="5" s="1"/>
  <c r="AS205" i="5" s="1"/>
  <c r="AS204" i="5" s="1"/>
  <c r="AS182" i="5" s="1"/>
  <c r="AS181" i="5" s="1"/>
  <c r="DN207" i="1"/>
  <c r="DN206" i="1"/>
  <c r="DN208" i="1" s="1"/>
  <c r="AW17" i="5"/>
  <c r="AW243" i="5"/>
  <c r="DL336" i="1"/>
  <c r="DM314" i="1"/>
  <c r="DM211" i="1"/>
  <c r="Q53" i="3"/>
  <c r="Q57" i="3" s="1"/>
  <c r="Q27" i="3" s="1"/>
  <c r="Q29" i="3" s="1"/>
  <c r="Q67" i="3" s="1"/>
  <c r="DL179" i="1"/>
  <c r="DK179" i="1"/>
  <c r="BQ337" i="1"/>
  <c r="BU315" i="1"/>
  <c r="BU338" i="1" s="1"/>
  <c r="Q44" i="3"/>
  <c r="Q49" i="3"/>
  <c r="AX339" i="1"/>
  <c r="AX330" i="1" s="1"/>
  <c r="DG316" i="1"/>
  <c r="DG339" i="1" s="1"/>
  <c r="DG330" i="1" s="1"/>
  <c r="DP314" i="1"/>
  <c r="DO336" i="1"/>
  <c r="AX11" i="2"/>
  <c r="DF10" i="2"/>
  <c r="DF11" i="2" s="1"/>
  <c r="DH20" i="1"/>
  <c r="J15" i="12"/>
  <c r="N69" i="3"/>
  <c r="BD23" i="1"/>
  <c r="BE23" i="1" s="1"/>
  <c r="DI208" i="1"/>
  <c r="DJ208" i="1"/>
  <c r="DH203" i="1"/>
  <c r="DO182" i="5"/>
  <c r="DO181" i="5" s="1"/>
  <c r="DO203" i="5"/>
  <c r="AT45" i="5"/>
  <c r="AT39" i="5"/>
  <c r="AR45" i="5"/>
  <c r="AR39" i="5"/>
  <c r="DH208" i="1"/>
  <c r="DG208" i="1"/>
  <c r="BZ315" i="1"/>
  <c r="BZ338" i="1" s="1"/>
  <c r="BV337" i="1"/>
  <c r="S45" i="3"/>
  <c r="O44" i="3"/>
  <c r="N95" i="3"/>
  <c r="O49" i="3"/>
  <c r="DM315" i="1"/>
  <c r="DM338" i="1" s="1"/>
  <c r="DL337" i="1"/>
  <c r="AX327" i="1"/>
  <c r="DG320" i="1"/>
  <c r="DP211" i="1"/>
  <c r="T53" i="3"/>
  <c r="T57" i="3" s="1"/>
  <c r="T27" i="3" s="1"/>
  <c r="T29" i="3" s="1"/>
  <c r="DO207" i="1"/>
  <c r="BE20" i="1"/>
  <c r="BF20" i="1" s="1"/>
  <c r="AR25" i="5"/>
  <c r="AR207" i="5"/>
  <c r="AR208" i="5" s="1"/>
  <c r="AR200" i="5"/>
  <c r="AR202" i="5" s="1"/>
  <c r="AR205" i="5" s="1"/>
  <c r="DE22" i="5"/>
  <c r="BE4" i="1"/>
  <c r="BA5" i="1"/>
  <c r="BA3" i="5"/>
  <c r="BA4" i="1"/>
  <c r="T45" i="3"/>
  <c r="T44" i="3"/>
  <c r="O96" i="3" s="1"/>
  <c r="O95" i="3" s="1"/>
  <c r="O93" i="3" s="1"/>
  <c r="T49" i="3"/>
  <c r="DE157" i="2"/>
  <c r="DF157" i="2"/>
  <c r="J4" i="12"/>
  <c r="DJ37" i="5"/>
  <c r="DI37" i="5"/>
  <c r="CB62" i="5"/>
  <c r="CB68" i="5" s="1"/>
  <c r="CB252" i="5"/>
  <c r="AZ15" i="1"/>
  <c r="AZ19" i="1" s="1"/>
  <c r="DN211" i="1"/>
  <c r="R53" i="3"/>
  <c r="R57" i="3" s="1"/>
  <c r="R27" i="3" s="1"/>
  <c r="R29" i="3" s="1"/>
  <c r="BB40" i="2"/>
  <c r="BB48" i="2"/>
  <c r="AS39" i="5"/>
  <c r="AS45" i="5"/>
  <c r="S44" i="3"/>
  <c r="S49" i="3"/>
  <c r="AT200" i="5"/>
  <c r="AT202" i="5" s="1"/>
  <c r="AT205" i="5" s="1"/>
  <c r="AT204" i="5" s="1"/>
  <c r="AT182" i="5" s="1"/>
  <c r="AT181" i="5" s="1"/>
  <c r="AT25" i="5"/>
  <c r="AT207" i="5"/>
  <c r="AT208" i="5" s="1"/>
  <c r="DQ337" i="1"/>
  <c r="S70" i="3"/>
  <c r="F27" i="9"/>
  <c r="F28" i="9" s="1"/>
  <c r="R44" i="3"/>
  <c r="R49" i="3"/>
  <c r="R45" i="3"/>
  <c r="DP315" i="1"/>
  <c r="DP338" i="1" s="1"/>
  <c r="DO337" i="1"/>
  <c r="O5" i="12"/>
  <c r="P5" i="12"/>
  <c r="O7" i="12"/>
  <c r="O14" i="12" s="1"/>
  <c r="AV43" i="5"/>
  <c r="AV241" i="5"/>
  <c r="AV244" i="5"/>
  <c r="AV22" i="5"/>
  <c r="DK206" i="1"/>
  <c r="DK207" i="1"/>
  <c r="DL207" i="1"/>
  <c r="DP179" i="1"/>
  <c r="DP203" i="1"/>
  <c r="AY22" i="1"/>
  <c r="DG40" i="2"/>
  <c r="DG48" i="2"/>
  <c r="Q68" i="5"/>
  <c r="CX62" i="5"/>
  <c r="CX68" i="5" s="1"/>
  <c r="BJ256" i="5"/>
  <c r="BI256" i="5"/>
  <c r="BX62" i="5"/>
  <c r="BX68" i="5" s="1"/>
  <c r="BX252" i="5"/>
  <c r="BI252" i="5"/>
  <c r="BI62" i="5"/>
  <c r="BI68" i="5" s="1"/>
  <c r="AC312" i="5"/>
  <c r="AD312" i="5"/>
  <c r="AD332" i="5"/>
  <c r="X252" i="5"/>
  <c r="X62" i="5"/>
  <c r="CZ57" i="5"/>
  <c r="CZ252" i="5" s="1"/>
  <c r="AC332" i="5"/>
  <c r="BW62" i="5"/>
  <c r="BW68" i="5" s="1"/>
  <c r="BW252" i="5"/>
  <c r="BK256" i="5"/>
  <c r="AH68" i="5"/>
  <c r="DB62" i="5"/>
  <c r="DB68" i="5" s="1"/>
  <c r="AC252" i="5"/>
  <c r="AC62" i="5"/>
  <c r="DA57" i="5"/>
  <c r="DA252" i="5" s="1"/>
  <c r="AE317" i="5"/>
  <c r="AD316" i="5"/>
  <c r="AD319" i="5" s="1"/>
  <c r="CG321" i="5"/>
  <c r="CF322" i="5"/>
  <c r="T68" i="5"/>
  <c r="CY62" i="5"/>
  <c r="CY68" i="5" s="1"/>
  <c r="AL68" i="5"/>
  <c r="AE330" i="5"/>
  <c r="AF310" i="5"/>
  <c r="AE309" i="5"/>
  <c r="AE312" i="5" s="1"/>
  <c r="AG318" i="5"/>
  <c r="AT98" i="6"/>
  <c r="AS107" i="6"/>
  <c r="AS89" i="6" s="1"/>
  <c r="AS80" i="6"/>
  <c r="BH94" i="6"/>
  <c r="BH87" i="6" s="1"/>
  <c r="AO94" i="6"/>
  <c r="AO87" i="6" s="1"/>
  <c r="AO105" i="6"/>
  <c r="AO114" i="6" s="1"/>
  <c r="AP112" i="6"/>
  <c r="AQ103" i="6"/>
  <c r="AP96" i="6"/>
  <c r="BJ103" i="6"/>
  <c r="BI112" i="6"/>
  <c r="BI94" i="6" s="1"/>
  <c r="BI85" i="6"/>
  <c r="BI78" i="6" s="1"/>
  <c r="AR118" i="6"/>
  <c r="AQ91" i="6"/>
  <c r="BL97" i="6"/>
  <c r="BK96" i="6"/>
  <c r="BO100" i="6"/>
  <c r="BN109" i="6"/>
  <c r="BI88" i="6"/>
  <c r="BO107" i="6"/>
  <c r="BN101" i="6"/>
  <c r="BM110" i="6"/>
  <c r="AQ88" i="6"/>
  <c r="BM108" i="6"/>
  <c r="BN99" i="6"/>
  <c r="AU100" i="6"/>
  <c r="AT82" i="6"/>
  <c r="AS102" i="6"/>
  <c r="AR111" i="6"/>
  <c r="AR93" i="6" s="1"/>
  <c r="AR106" i="6"/>
  <c r="AR79" i="6"/>
  <c r="AR78" i="6" s="1"/>
  <c r="AS97" i="6"/>
  <c r="BL111" i="6"/>
  <c r="BM102" i="6"/>
  <c r="AT99" i="6"/>
  <c r="AS81" i="6"/>
  <c r="AS90" i="6" s="1"/>
  <c r="AS110" i="6"/>
  <c r="AS92" i="6" s="1"/>
  <c r="AT101" i="6"/>
  <c r="BS215" i="2"/>
  <c r="BS214" i="2"/>
  <c r="BT209" i="2"/>
  <c r="BT213" i="2" s="1"/>
  <c r="BT219" i="2"/>
  <c r="DL209" i="2"/>
  <c r="DK214" i="2"/>
  <c r="DK215" i="2"/>
  <c r="DL219" i="2"/>
  <c r="BF238" i="2"/>
  <c r="BG118" i="2"/>
  <c r="BJ238" i="2"/>
  <c r="DH237" i="2"/>
  <c r="BG69" i="2"/>
  <c r="BF69" i="2"/>
  <c r="BH268" i="2"/>
  <c r="BH260" i="2"/>
  <c r="BH261" i="2" s="1"/>
  <c r="BI263" i="2"/>
  <c r="BI267" i="2" s="1"/>
  <c r="BI271" i="2"/>
  <c r="AZ215" i="2"/>
  <c r="AZ214" i="2"/>
  <c r="BA209" i="2"/>
  <c r="BA213" i="2" s="1"/>
  <c r="BA219" i="2"/>
  <c r="CK199" i="1"/>
  <c r="CU196" i="1"/>
  <c r="CK198" i="1"/>
  <c r="I66" i="3"/>
  <c r="J60" i="3"/>
  <c r="I65" i="3"/>
  <c r="I62" i="3"/>
  <c r="P72" i="3"/>
  <c r="P73" i="3"/>
  <c r="P74" i="3"/>
  <c r="H72" i="3"/>
  <c r="H73" i="3"/>
  <c r="H74" i="3"/>
  <c r="Q65" i="3"/>
  <c r="Q62" i="3"/>
  <c r="R60" i="3"/>
  <c r="Q66" i="3"/>
  <c r="G6" i="12"/>
  <c r="Y3" i="3" l="1"/>
  <c r="X34" i="3"/>
  <c r="X59" i="3" s="1"/>
  <c r="AY47" i="2"/>
  <c r="DT226" i="1"/>
  <c r="DT268" i="1"/>
  <c r="DS271" i="1"/>
  <c r="DS286" i="1"/>
  <c r="DS265" i="1"/>
  <c r="DS269" i="1"/>
  <c r="DS386" i="1" s="1"/>
  <c r="DT324" i="1"/>
  <c r="DR342" i="1"/>
  <c r="BH63" i="6"/>
  <c r="AO63" i="6"/>
  <c r="AN71" i="6"/>
  <c r="AN54" i="6" s="1"/>
  <c r="BH54" i="6" s="1"/>
  <c r="AV41" i="6"/>
  <c r="AP45" i="6"/>
  <c r="AO40" i="6"/>
  <c r="AS44" i="6"/>
  <c r="BW301" i="2"/>
  <c r="DR332" i="5"/>
  <c r="DR295" i="5" s="1"/>
  <c r="DS327" i="5"/>
  <c r="BO139" i="6"/>
  <c r="BO149" i="6" s="1"/>
  <c r="BN149" i="6"/>
  <c r="BO41" i="6"/>
  <c r="AI58" i="6"/>
  <c r="AI157" i="6"/>
  <c r="AJ58" i="6"/>
  <c r="AJ157" i="6"/>
  <c r="AN156" i="6"/>
  <c r="AN19" i="6"/>
  <c r="BN137" i="6"/>
  <c r="BM147" i="6"/>
  <c r="BM145" i="6" s="1"/>
  <c r="BL44" i="6"/>
  <c r="AM20" i="6"/>
  <c r="CC327" i="5"/>
  <c r="CC328" i="5" s="1"/>
  <c r="AP62" i="6"/>
  <c r="AO70" i="6"/>
  <c r="AO53" i="6" s="1"/>
  <c r="AT136" i="6"/>
  <c r="AS146" i="6"/>
  <c r="BI62" i="6"/>
  <c r="BH70" i="6"/>
  <c r="BO142" i="6"/>
  <c r="BO152" i="6" s="1"/>
  <c r="BN152" i="6"/>
  <c r="AU142" i="6"/>
  <c r="AT152" i="6"/>
  <c r="AT138" i="6"/>
  <c r="AS148" i="6"/>
  <c r="AM67" i="6"/>
  <c r="AM50" i="6" s="1"/>
  <c r="AN59" i="6"/>
  <c r="BO136" i="6"/>
  <c r="BO146" i="6" s="1"/>
  <c r="BN146" i="6"/>
  <c r="AL64" i="6"/>
  <c r="AK72" i="6"/>
  <c r="AK55" i="6" s="1"/>
  <c r="BI45" i="6"/>
  <c r="BH40" i="6"/>
  <c r="BH156" i="6" s="1"/>
  <c r="AT139" i="6"/>
  <c r="AS149" i="6"/>
  <c r="BO138" i="6"/>
  <c r="BO148" i="6" s="1"/>
  <c r="BN148" i="6"/>
  <c r="BG55" i="6"/>
  <c r="BG49" i="6" s="1"/>
  <c r="AU143" i="6"/>
  <c r="AT153" i="6"/>
  <c r="AS137" i="6"/>
  <c r="AR147" i="6"/>
  <c r="AR145" i="6" s="1"/>
  <c r="AY11" i="2"/>
  <c r="BR255" i="5"/>
  <c r="DN62" i="5"/>
  <c r="DN68" i="5" s="1"/>
  <c r="BR251" i="5"/>
  <c r="DK251" i="5"/>
  <c r="BH256" i="5"/>
  <c r="DL57" i="5"/>
  <c r="DL62" i="5" s="1"/>
  <c r="DL68" i="5" s="1"/>
  <c r="CF62" i="5"/>
  <c r="CF68" i="5" s="1"/>
  <c r="DD62" i="5"/>
  <c r="BF256" i="5"/>
  <c r="DA285" i="5"/>
  <c r="BF62" i="5"/>
  <c r="BF68" i="5" s="1"/>
  <c r="DH57" i="5"/>
  <c r="DH252" i="5" s="1"/>
  <c r="DI255" i="5"/>
  <c r="N70" i="3" s="1"/>
  <c r="AF283" i="5"/>
  <c r="AE282" i="5"/>
  <c r="AE285" i="5" s="1"/>
  <c r="AE271" i="5" s="1"/>
  <c r="AE272" i="5" s="1"/>
  <c r="DI57" i="5"/>
  <c r="DI62" i="5" s="1"/>
  <c r="DI68" i="5" s="1"/>
  <c r="DC62" i="5"/>
  <c r="DC68" i="5" s="1"/>
  <c r="DH255" i="5"/>
  <c r="DA271" i="5"/>
  <c r="DA272" i="5" s="1"/>
  <c r="DA273" i="5" s="1"/>
  <c r="CC325" i="5"/>
  <c r="CB323" i="5"/>
  <c r="CB324" i="5" s="1"/>
  <c r="CC127" i="5"/>
  <c r="CB145" i="5"/>
  <c r="CB128" i="5"/>
  <c r="CB129" i="5" s="1"/>
  <c r="DM263" i="5"/>
  <c r="DM143" i="5"/>
  <c r="DM138" i="5" s="1"/>
  <c r="CD252" i="5"/>
  <c r="CD62" i="5"/>
  <c r="CD68" i="5" s="1"/>
  <c r="DK57" i="5"/>
  <c r="DK252" i="5" s="1"/>
  <c r="DT145" i="5"/>
  <c r="DU127" i="5"/>
  <c r="DU145" i="5" s="1"/>
  <c r="CA143" i="5"/>
  <c r="CA138" i="5" s="1"/>
  <c r="CA137" i="5" s="1"/>
  <c r="CA263" i="5"/>
  <c r="AQ255" i="5"/>
  <c r="AQ251" i="5"/>
  <c r="CE62" i="5"/>
  <c r="CE68" i="5" s="1"/>
  <c r="CE252" i="5"/>
  <c r="BY62" i="5"/>
  <c r="BY68" i="5" s="1"/>
  <c r="BY252" i="5"/>
  <c r="BN252" i="5"/>
  <c r="BN62" i="5"/>
  <c r="BN68" i="5" s="1"/>
  <c r="DO208" i="1"/>
  <c r="BS62" i="5"/>
  <c r="BS68" i="5" s="1"/>
  <c r="BS252" i="5"/>
  <c r="CJ62" i="5"/>
  <c r="CJ68" i="5" s="1"/>
  <c r="CJ252" i="5"/>
  <c r="P30" i="3"/>
  <c r="P67" i="3"/>
  <c r="DF39" i="2"/>
  <c r="DF47" i="2" s="1"/>
  <c r="DN337" i="1"/>
  <c r="DO315" i="1"/>
  <c r="DO338" i="1" s="1"/>
  <c r="AQ252" i="5"/>
  <c r="AQ62" i="5"/>
  <c r="AQ68" i="5" s="1"/>
  <c r="DK203" i="5"/>
  <c r="DK182" i="5"/>
  <c r="DK181" i="5" s="1"/>
  <c r="S30" i="3"/>
  <c r="BR252" i="5"/>
  <c r="BR62" i="5"/>
  <c r="BR68" i="5" s="1"/>
  <c r="M5" i="12"/>
  <c r="M7" i="12"/>
  <c r="M14" i="12" s="1"/>
  <c r="BL252" i="5"/>
  <c r="BL62" i="5"/>
  <c r="BL68" i="5" s="1"/>
  <c r="BM252" i="5"/>
  <c r="BM62" i="5"/>
  <c r="BM68" i="5" s="1"/>
  <c r="DJ62" i="5"/>
  <c r="DJ68" i="5" s="1"/>
  <c r="DJ252" i="5"/>
  <c r="L5" i="12"/>
  <c r="L7" i="12"/>
  <c r="L14" i="12" s="1"/>
  <c r="AQ86" i="5"/>
  <c r="DE86" i="5" s="1"/>
  <c r="DE84" i="5"/>
  <c r="AT72" i="5"/>
  <c r="AT76" i="5" s="1"/>
  <c r="AT79" i="5" s="1"/>
  <c r="AT84" i="5" s="1"/>
  <c r="AT86" i="5" s="1"/>
  <c r="AT254" i="5"/>
  <c r="AT250" i="5"/>
  <c r="AT26" i="5"/>
  <c r="AT198" i="5"/>
  <c r="AT35" i="5"/>
  <c r="DH13" i="1"/>
  <c r="DI13" i="1"/>
  <c r="DH3" i="1"/>
  <c r="BA10" i="2"/>
  <c r="BA11" i="2" s="1"/>
  <c r="DQ315" i="1"/>
  <c r="DQ338" i="1" s="1"/>
  <c r="DP337" i="1"/>
  <c r="R54" i="3"/>
  <c r="DN212" i="1"/>
  <c r="AW22" i="5"/>
  <c r="AW43" i="5"/>
  <c r="AW244" i="5"/>
  <c r="AW241" i="5"/>
  <c r="AU45" i="5"/>
  <c r="AU39" i="5"/>
  <c r="AY274" i="1"/>
  <c r="AY275" i="1" s="1"/>
  <c r="AY284" i="1" s="1"/>
  <c r="AY278" i="1" s="1"/>
  <c r="AY157" i="5"/>
  <c r="AY154" i="5" s="1"/>
  <c r="DE207" i="5"/>
  <c r="DE208" i="5" s="1"/>
  <c r="DE225" i="5" s="1"/>
  <c r="DE24" i="5"/>
  <c r="DE25" i="5"/>
  <c r="DE200" i="5"/>
  <c r="DE202" i="5" s="1"/>
  <c r="N96" i="3"/>
  <c r="N93" i="3"/>
  <c r="AR266" i="5"/>
  <c r="AR265" i="5"/>
  <c r="AR249" i="5"/>
  <c r="AR242" i="5"/>
  <c r="BB4" i="5"/>
  <c r="BB6" i="5" s="1"/>
  <c r="BB16" i="1"/>
  <c r="AZ10" i="2"/>
  <c r="AZ47" i="2" s="1"/>
  <c r="O54" i="3"/>
  <c r="DK212" i="1"/>
  <c r="DL212" i="1"/>
  <c r="AZ316" i="1"/>
  <c r="AZ339" i="1" s="1"/>
  <c r="AZ330" i="1" s="1"/>
  <c r="BA306" i="1"/>
  <c r="AZ320" i="1"/>
  <c r="AZ327" i="1" s="1"/>
  <c r="AZ348" i="1" s="1"/>
  <c r="AZ342" i="1" s="1"/>
  <c r="O30" i="3"/>
  <c r="N67" i="3"/>
  <c r="N30" i="3"/>
  <c r="AX243" i="5"/>
  <c r="AX17" i="5"/>
  <c r="DF17" i="5" s="1"/>
  <c r="AS46" i="5"/>
  <c r="AS56" i="5" s="1"/>
  <c r="DF284" i="1"/>
  <c r="DF278" i="1" s="1"/>
  <c r="DF279" i="1" s="1"/>
  <c r="DK208" i="1"/>
  <c r="DL208" i="1"/>
  <c r="AS242" i="5"/>
  <c r="AS266" i="5"/>
  <c r="AS249" i="5"/>
  <c r="AS265" i="5"/>
  <c r="O102" i="3"/>
  <c r="O105" i="3" s="1"/>
  <c r="O91" i="3"/>
  <c r="O94" i="3"/>
  <c r="T54" i="3"/>
  <c r="DP212" i="1"/>
  <c r="AT265" i="5"/>
  <c r="AT266" i="5"/>
  <c r="AT249" i="5"/>
  <c r="AT242" i="5"/>
  <c r="R30" i="3"/>
  <c r="Q30" i="3"/>
  <c r="BF23" i="1"/>
  <c r="AY162" i="5"/>
  <c r="AY248" i="5"/>
  <c r="AY246" i="5"/>
  <c r="AY8" i="5"/>
  <c r="AY235" i="5"/>
  <c r="AY238" i="5"/>
  <c r="AY177" i="5"/>
  <c r="AY247" i="5"/>
  <c r="AY245" i="5"/>
  <c r="AY164" i="5"/>
  <c r="J7" i="12"/>
  <c r="J14" i="12" s="1"/>
  <c r="K5" i="12"/>
  <c r="J5" i="12"/>
  <c r="DF164" i="5"/>
  <c r="K4" i="3"/>
  <c r="DF238" i="5"/>
  <c r="DF245" i="5"/>
  <c r="DF246" i="5"/>
  <c r="DF165" i="5"/>
  <c r="DF162" i="5"/>
  <c r="DF163" i="5"/>
  <c r="DF156" i="5"/>
  <c r="DF177" i="5"/>
  <c r="DF157" i="5"/>
  <c r="DF154" i="5" s="1"/>
  <c r="DF248" i="5"/>
  <c r="DF247" i="5"/>
  <c r="BA16" i="1"/>
  <c r="BA4" i="5"/>
  <c r="BA6" i="5" s="1"/>
  <c r="AZ4" i="5"/>
  <c r="AZ16" i="1"/>
  <c r="AZ22" i="1"/>
  <c r="AR204" i="5"/>
  <c r="DE205" i="5"/>
  <c r="AV25" i="5"/>
  <c r="AV200" i="5"/>
  <c r="AV202" i="5" s="1"/>
  <c r="AV205" i="5" s="1"/>
  <c r="AV204" i="5" s="1"/>
  <c r="AV182" i="5" s="1"/>
  <c r="AV181" i="5" s="1"/>
  <c r="AV207" i="5"/>
  <c r="AV208" i="5" s="1"/>
  <c r="AR198" i="5"/>
  <c r="AR35" i="5"/>
  <c r="AR250" i="5"/>
  <c r="AR254" i="5"/>
  <c r="AR72" i="5"/>
  <c r="AR26" i="5"/>
  <c r="AT46" i="5"/>
  <c r="AT56" i="5" s="1"/>
  <c r="DM212" i="1"/>
  <c r="Q54" i="3"/>
  <c r="AS254" i="5"/>
  <c r="AS250" i="5"/>
  <c r="AS26" i="5"/>
  <c r="AS35" i="5"/>
  <c r="AS198" i="5"/>
  <c r="AS72" i="5"/>
  <c r="AS76" i="5" s="1"/>
  <c r="AS79" i="5" s="1"/>
  <c r="AS84" i="5" s="1"/>
  <c r="AS86" i="5" s="1"/>
  <c r="BB22" i="1"/>
  <c r="DH21" i="1"/>
  <c r="DE39" i="5"/>
  <c r="AY165" i="5"/>
  <c r="AV45" i="5"/>
  <c r="AV39" i="5"/>
  <c r="DF8" i="5"/>
  <c r="T30" i="3"/>
  <c r="AR46" i="5"/>
  <c r="AR56" i="5" s="1"/>
  <c r="BB10" i="2"/>
  <c r="BB11" i="2" s="1"/>
  <c r="AX348" i="1"/>
  <c r="AX342" i="1" s="1"/>
  <c r="AX274" i="1" s="1"/>
  <c r="DG327" i="1"/>
  <c r="DG348" i="1" s="1"/>
  <c r="DG342" i="1" s="1"/>
  <c r="BA22" i="1"/>
  <c r="DN315" i="1"/>
  <c r="DN338" i="1" s="1"/>
  <c r="DM337" i="1"/>
  <c r="AU25" i="5"/>
  <c r="AU200" i="5"/>
  <c r="AU202" i="5" s="1"/>
  <c r="AU205" i="5" s="1"/>
  <c r="AU207" i="5"/>
  <c r="AU208" i="5" s="1"/>
  <c r="S54" i="3"/>
  <c r="DO212" i="1"/>
  <c r="AY163" i="5"/>
  <c r="AY156" i="5"/>
  <c r="AC295" i="5"/>
  <c r="AC296" i="5" s="1"/>
  <c r="DA312" i="5"/>
  <c r="X68" i="5"/>
  <c r="CZ62" i="5"/>
  <c r="CZ68" i="5" s="1"/>
  <c r="DA332" i="5"/>
  <c r="AD295" i="5"/>
  <c r="AD296" i="5" s="1"/>
  <c r="AH318" i="5"/>
  <c r="AF317" i="5"/>
  <c r="AE316" i="5"/>
  <c r="AE319" i="5" s="1"/>
  <c r="AE329" i="5"/>
  <c r="AE332" i="5" s="1"/>
  <c r="AC68" i="5"/>
  <c r="DA62" i="5"/>
  <c r="DA68" i="5" s="1"/>
  <c r="AF330" i="5"/>
  <c r="AF329" i="5" s="1"/>
  <c r="AF332" i="5" s="1"/>
  <c r="AG310" i="5"/>
  <c r="AF309" i="5"/>
  <c r="AF312" i="5" s="1"/>
  <c r="CG322" i="5"/>
  <c r="CH321" i="5"/>
  <c r="CH324" i="5" s="1"/>
  <c r="AU98" i="6"/>
  <c r="AT107" i="6"/>
  <c r="AT89" i="6" s="1"/>
  <c r="AT80" i="6"/>
  <c r="BI87" i="6"/>
  <c r="BI105" i="6"/>
  <c r="BI114" i="6" s="1"/>
  <c r="BJ112" i="6"/>
  <c r="BK103" i="6"/>
  <c r="AP94" i="6"/>
  <c r="AP87" i="6" s="1"/>
  <c r="AP105" i="6"/>
  <c r="AP114" i="6" s="1"/>
  <c r="AS118" i="6"/>
  <c r="AR91" i="6"/>
  <c r="AQ112" i="6"/>
  <c r="AR103" i="6"/>
  <c r="AQ96" i="6"/>
  <c r="AT97" i="6"/>
  <c r="AS106" i="6"/>
  <c r="AS79" i="6"/>
  <c r="AS78" i="6" s="1"/>
  <c r="AR88" i="6"/>
  <c r="AU101" i="6"/>
  <c r="AT110" i="6"/>
  <c r="AT92" i="6" s="1"/>
  <c r="BO109" i="6"/>
  <c r="BN108" i="6"/>
  <c r="BO99" i="6"/>
  <c r="AT81" i="6"/>
  <c r="AT90" i="6" s="1"/>
  <c r="AU99" i="6"/>
  <c r="AV100" i="6"/>
  <c r="AV82" i="6" s="1"/>
  <c r="AU82" i="6"/>
  <c r="BM97" i="6"/>
  <c r="BL96" i="6"/>
  <c r="AT102" i="6"/>
  <c r="AS111" i="6"/>
  <c r="AS93" i="6" s="1"/>
  <c r="BN110" i="6"/>
  <c r="BO101" i="6"/>
  <c r="BN102" i="6"/>
  <c r="BM111" i="6"/>
  <c r="BA214" i="2"/>
  <c r="BB209" i="2"/>
  <c r="BB213" i="2" s="1"/>
  <c r="BB219" i="2"/>
  <c r="DH238" i="2"/>
  <c r="DI238" i="2"/>
  <c r="DI69" i="2"/>
  <c r="DH69" i="2"/>
  <c r="BI260" i="2"/>
  <c r="BI261" i="2" s="1"/>
  <c r="BJ263" i="2"/>
  <c r="BJ267" i="2" s="1"/>
  <c r="BI268" i="2"/>
  <c r="BJ271" i="2"/>
  <c r="BT214" i="2"/>
  <c r="BU209" i="2"/>
  <c r="BU213" i="2" s="1"/>
  <c r="BT215" i="2"/>
  <c r="BU219" i="2"/>
  <c r="Q72" i="3"/>
  <c r="Q74" i="3"/>
  <c r="Q73" i="3"/>
  <c r="I73" i="3"/>
  <c r="I74" i="3"/>
  <c r="I72" i="3"/>
  <c r="J65" i="3"/>
  <c r="J62" i="3"/>
  <c r="F6" i="12"/>
  <c r="R66" i="3"/>
  <c r="S60" i="3"/>
  <c r="R65" i="3"/>
  <c r="R67" i="3"/>
  <c r="R62" i="3"/>
  <c r="Y34" i="3" l="1"/>
  <c r="Y59" i="3" s="1"/>
  <c r="Z3" i="3"/>
  <c r="Z34" i="3" s="1"/>
  <c r="Z59" i="3" s="1"/>
  <c r="DG4" i="5"/>
  <c r="AZ39" i="2"/>
  <c r="DS274" i="1"/>
  <c r="DS275" i="1" s="1"/>
  <c r="DS333" i="1"/>
  <c r="DS334" i="1"/>
  <c r="DS346" i="1"/>
  <c r="DS336" i="1"/>
  <c r="DS335" i="1"/>
  <c r="DS266" i="1"/>
  <c r="DS343" i="1"/>
  <c r="DS331" i="1"/>
  <c r="DS347" i="1"/>
  <c r="DS337" i="1"/>
  <c r="DS345" i="1"/>
  <c r="DS332" i="1"/>
  <c r="DS344" i="1"/>
  <c r="DT271" i="1"/>
  <c r="DT265" i="1"/>
  <c r="DT286" i="1"/>
  <c r="DT269" i="1"/>
  <c r="DT386" i="1" s="1"/>
  <c r="DT274" i="1"/>
  <c r="DT275" i="1" s="1"/>
  <c r="DU325" i="1"/>
  <c r="DT345" i="1"/>
  <c r="DS338" i="1"/>
  <c r="DU268" i="1"/>
  <c r="DU226" i="1"/>
  <c r="AP63" i="6"/>
  <c r="AO71" i="6"/>
  <c r="AO54" i="6" s="1"/>
  <c r="BI63" i="6"/>
  <c r="BH71" i="6"/>
  <c r="BO137" i="6"/>
  <c r="BO147" i="6" s="1"/>
  <c r="BO145" i="6" s="1"/>
  <c r="BN147" i="6"/>
  <c r="BN145" i="6" s="1"/>
  <c r="AM64" i="6"/>
  <c r="AL72" i="6"/>
  <c r="AL55" i="6" s="1"/>
  <c r="AL49" i="6" s="1"/>
  <c r="AO19" i="6"/>
  <c r="AO20" i="6" s="1"/>
  <c r="AO156" i="6"/>
  <c r="BZ300" i="2"/>
  <c r="BZ301" i="2" s="1"/>
  <c r="AJ159" i="6"/>
  <c r="AJ161" i="6" s="1"/>
  <c r="AO59" i="6"/>
  <c r="BH59" i="6"/>
  <c r="AN67" i="6"/>
  <c r="AN50" i="6" s="1"/>
  <c r="BH50" i="6" s="1"/>
  <c r="AV142" i="6"/>
  <c r="AV152" i="6" s="1"/>
  <c r="AU152" i="6"/>
  <c r="DS332" i="5"/>
  <c r="DS295" i="5" s="1"/>
  <c r="DT327" i="5"/>
  <c r="BG58" i="6"/>
  <c r="BG157" i="6"/>
  <c r="BG159" i="6" s="1"/>
  <c r="BG161" i="6" s="1"/>
  <c r="AT137" i="6"/>
  <c r="AS147" i="6"/>
  <c r="AS145" i="6" s="1"/>
  <c r="AU139" i="6"/>
  <c r="AT149" i="6"/>
  <c r="AP70" i="6"/>
  <c r="AP53" i="6" s="1"/>
  <c r="AQ62" i="6"/>
  <c r="BM44" i="6"/>
  <c r="AI159" i="6"/>
  <c r="AI161" i="6" s="1"/>
  <c r="BY300" i="2"/>
  <c r="AK49" i="6"/>
  <c r="BJ62" i="6"/>
  <c r="BI70" i="6"/>
  <c r="BI53" i="6" s="1"/>
  <c r="AT44" i="6"/>
  <c r="AN20" i="6"/>
  <c r="BH19" i="6"/>
  <c r="BH20" i="6" s="1"/>
  <c r="CD327" i="5"/>
  <c r="AU138" i="6"/>
  <c r="AT148" i="6"/>
  <c r="AU136" i="6"/>
  <c r="AT146" i="6"/>
  <c r="AQ45" i="6"/>
  <c r="AP40" i="6"/>
  <c r="AV143" i="6"/>
  <c r="AV153" i="6" s="1"/>
  <c r="AU153" i="6"/>
  <c r="BJ45" i="6"/>
  <c r="BI40" i="6"/>
  <c r="DL252" i="5"/>
  <c r="AS50" i="5"/>
  <c r="AS57" i="5" s="1"/>
  <c r="DI252" i="5"/>
  <c r="AE295" i="5"/>
  <c r="DK62" i="5"/>
  <c r="DK68" i="5" s="1"/>
  <c r="DH62" i="5"/>
  <c r="DH68" i="5" s="1"/>
  <c r="AT50" i="5"/>
  <c r="AT255" i="5" s="1"/>
  <c r="AF282" i="5"/>
  <c r="AF285" i="5" s="1"/>
  <c r="AF271" i="5" s="1"/>
  <c r="AF272" i="5" s="1"/>
  <c r="AG283" i="5"/>
  <c r="CB143" i="5"/>
  <c r="CB138" i="5" s="1"/>
  <c r="CB137" i="5" s="1"/>
  <c r="CB263" i="5"/>
  <c r="CC128" i="5"/>
  <c r="CC129" i="5" s="1"/>
  <c r="CD127" i="5"/>
  <c r="CC145" i="5"/>
  <c r="DM137" i="5"/>
  <c r="DM290" i="2" s="1"/>
  <c r="DM292" i="2" s="1"/>
  <c r="E33" i="9"/>
  <c r="E34" i="9"/>
  <c r="DA295" i="5"/>
  <c r="DA300" i="2" s="1"/>
  <c r="CD325" i="5"/>
  <c r="CC323" i="5"/>
  <c r="CC324" i="5" s="1"/>
  <c r="AR50" i="5"/>
  <c r="AR57" i="5" s="1"/>
  <c r="AZ6" i="5"/>
  <c r="AZ164" i="5" s="1"/>
  <c r="DG274" i="1"/>
  <c r="DG275" i="1" s="1"/>
  <c r="DG284" i="1" s="1"/>
  <c r="DG278" i="1" s="1"/>
  <c r="DG279" i="1" s="1"/>
  <c r="AX275" i="1"/>
  <c r="AX284" i="1" s="1"/>
  <c r="AX278" i="1" s="1"/>
  <c r="AX279" i="1" s="1"/>
  <c r="AX43" i="5"/>
  <c r="AX244" i="5"/>
  <c r="AX22" i="5"/>
  <c r="AZ11" i="2"/>
  <c r="DG10" i="2"/>
  <c r="AY279" i="1"/>
  <c r="AT57" i="5"/>
  <c r="BB47" i="2"/>
  <c r="AZ157" i="5"/>
  <c r="AZ154" i="5" s="1"/>
  <c r="AU266" i="5"/>
  <c r="AU265" i="5"/>
  <c r="AU249" i="5"/>
  <c r="AU242" i="5"/>
  <c r="DG3" i="5"/>
  <c r="DI4" i="1"/>
  <c r="DH4" i="1"/>
  <c r="AW45" i="5"/>
  <c r="AW39" i="5"/>
  <c r="AR182" i="5"/>
  <c r="AR181" i="5" s="1"/>
  <c r="DE204" i="5"/>
  <c r="AX241" i="5"/>
  <c r="BB164" i="5"/>
  <c r="BA165" i="5"/>
  <c r="DF243" i="5"/>
  <c r="K12" i="3"/>
  <c r="K13" i="3" s="1"/>
  <c r="DE249" i="5"/>
  <c r="DE242" i="5"/>
  <c r="J35" i="3"/>
  <c r="J72" i="3" s="1"/>
  <c r="DE266" i="5"/>
  <c r="DE265" i="5"/>
  <c r="BB162" i="5"/>
  <c r="BB8" i="5"/>
  <c r="BE164" i="5"/>
  <c r="BC238" i="5"/>
  <c r="BB247" i="5"/>
  <c r="BB245" i="5"/>
  <c r="BE157" i="5"/>
  <c r="BE154" i="5" s="1"/>
  <c r="BB248" i="5"/>
  <c r="BE156" i="5"/>
  <c r="BE162" i="5"/>
  <c r="BE165" i="5"/>
  <c r="BE163" i="5"/>
  <c r="BB235" i="5"/>
  <c r="BB246" i="5"/>
  <c r="BB238" i="5"/>
  <c r="BB177" i="5"/>
  <c r="DE194" i="5"/>
  <c r="J22" i="3"/>
  <c r="DE190" i="5"/>
  <c r="DE191" i="5" s="1"/>
  <c r="DE250" i="5"/>
  <c r="DE35" i="5"/>
  <c r="DE198" i="5"/>
  <c r="DE254" i="5"/>
  <c r="F15" i="12" s="1"/>
  <c r="AU46" i="5"/>
  <c r="AU56" i="5" s="1"/>
  <c r="DH12" i="1"/>
  <c r="DH8" i="1" s="1"/>
  <c r="AV46" i="5"/>
  <c r="AV56" i="5" s="1"/>
  <c r="BC162" i="5"/>
  <c r="BC165" i="5"/>
  <c r="BC163" i="5"/>
  <c r="AZ235" i="5"/>
  <c r="BC157" i="5"/>
  <c r="BC154" i="5" s="1"/>
  <c r="AZ8" i="5"/>
  <c r="BC156" i="5"/>
  <c r="BD165" i="5"/>
  <c r="BA248" i="5"/>
  <c r="BA177" i="5"/>
  <c r="BA8" i="5"/>
  <c r="BA246" i="5"/>
  <c r="BA235" i="5"/>
  <c r="BA238" i="5"/>
  <c r="BD157" i="5"/>
  <c r="BD154" i="5" s="1"/>
  <c r="BD162" i="5"/>
  <c r="BA247" i="5"/>
  <c r="BA245" i="5"/>
  <c r="BD164" i="5"/>
  <c r="BD156" i="5"/>
  <c r="BD163" i="5"/>
  <c r="AW25" i="5"/>
  <c r="AW207" i="5"/>
  <c r="AW208" i="5" s="1"/>
  <c r="AW200" i="5"/>
  <c r="AW202" i="5" s="1"/>
  <c r="AW205" i="5" s="1"/>
  <c r="AW204" i="5" s="1"/>
  <c r="AW182" i="5" s="1"/>
  <c r="AW181" i="5" s="1"/>
  <c r="DH23" i="1"/>
  <c r="L8" i="3"/>
  <c r="DH15" i="1"/>
  <c r="AZ274" i="1"/>
  <c r="AZ275" i="1" s="1"/>
  <c r="AZ284" i="1" s="1"/>
  <c r="AZ278" i="1" s="1"/>
  <c r="AZ279" i="1" s="1"/>
  <c r="N94" i="3"/>
  <c r="N102" i="3"/>
  <c r="N105" i="3" s="1"/>
  <c r="N91" i="3"/>
  <c r="AZ165" i="5"/>
  <c r="BA39" i="2"/>
  <c r="BB39" i="2"/>
  <c r="AZ156" i="5"/>
  <c r="DG6" i="5"/>
  <c r="AY17" i="5"/>
  <c r="AY241" i="5" s="1"/>
  <c r="AY243" i="5"/>
  <c r="BA47" i="2"/>
  <c r="BA157" i="5"/>
  <c r="BA154" i="5" s="1"/>
  <c r="AU190" i="5"/>
  <c r="AU191" i="5" s="1"/>
  <c r="AU35" i="5"/>
  <c r="AU198" i="5"/>
  <c r="AU72" i="5"/>
  <c r="AU76" i="5" s="1"/>
  <c r="AU79" i="5" s="1"/>
  <c r="AU84" i="5" s="1"/>
  <c r="AU86" i="5" s="1"/>
  <c r="AU254" i="5"/>
  <c r="AU250" i="5"/>
  <c r="DF43" i="5"/>
  <c r="DF241" i="5"/>
  <c r="DF244" i="5"/>
  <c r="K17" i="3"/>
  <c r="BB156" i="5"/>
  <c r="AZ162" i="5"/>
  <c r="BA162" i="5"/>
  <c r="BA316" i="1"/>
  <c r="BA339" i="1" s="1"/>
  <c r="BA330" i="1" s="1"/>
  <c r="BB306" i="1"/>
  <c r="BA320" i="1"/>
  <c r="BA327" i="1" s="1"/>
  <c r="BA348" i="1" s="1"/>
  <c r="BA342" i="1" s="1"/>
  <c r="K5" i="3"/>
  <c r="K52" i="3"/>
  <c r="AU204" i="5"/>
  <c r="AV265" i="5"/>
  <c r="AV249" i="5"/>
  <c r="AV242" i="5"/>
  <c r="AV266" i="5"/>
  <c r="AR76" i="5"/>
  <c r="AR79" i="5" s="1"/>
  <c r="AR84" i="5" s="1"/>
  <c r="AR86" i="5" s="1"/>
  <c r="DE72" i="5"/>
  <c r="DE76" i="5" s="1"/>
  <c r="AV35" i="5"/>
  <c r="AV190" i="5"/>
  <c r="AV191" i="5" s="1"/>
  <c r="AV250" i="5"/>
  <c r="AV198" i="5"/>
  <c r="AV72" i="5"/>
  <c r="AV76" i="5" s="1"/>
  <c r="AV79" i="5" s="1"/>
  <c r="AV84" i="5" s="1"/>
  <c r="AV86" i="5" s="1"/>
  <c r="AV254" i="5"/>
  <c r="BB163" i="5"/>
  <c r="O112" i="3"/>
  <c r="O115" i="3"/>
  <c r="O108" i="3"/>
  <c r="O117" i="3"/>
  <c r="BA164" i="5"/>
  <c r="DE226" i="5"/>
  <c r="DE227" i="5"/>
  <c r="AE296" i="5"/>
  <c r="AH310" i="5"/>
  <c r="AG330" i="5"/>
  <c r="AG329" i="5" s="1"/>
  <c r="AG332" i="5" s="1"/>
  <c r="AG309" i="5"/>
  <c r="AG312" i="5" s="1"/>
  <c r="AI318" i="5"/>
  <c r="CI321" i="5"/>
  <c r="CI324" i="5" s="1"/>
  <c r="CH322" i="5"/>
  <c r="AG317" i="5"/>
  <c r="AF316" i="5"/>
  <c r="AF319" i="5" s="1"/>
  <c r="AF295" i="5" s="1"/>
  <c r="AU80" i="6"/>
  <c r="AV98" i="6"/>
  <c r="AU107" i="6"/>
  <c r="AU89" i="6" s="1"/>
  <c r="AT118" i="6"/>
  <c r="AS91" i="6"/>
  <c r="AS103" i="6"/>
  <c r="AR112" i="6"/>
  <c r="AR96" i="6"/>
  <c r="AQ94" i="6"/>
  <c r="AQ87" i="6" s="1"/>
  <c r="AQ105" i="6"/>
  <c r="AQ114" i="6" s="1"/>
  <c r="BK112" i="6"/>
  <c r="BL103" i="6"/>
  <c r="BO110" i="6"/>
  <c r="BN97" i="6"/>
  <c r="BM96" i="6"/>
  <c r="AT106" i="6"/>
  <c r="AU97" i="6"/>
  <c r="AT79" i="6"/>
  <c r="AT78" i="6" s="1"/>
  <c r="AV101" i="6"/>
  <c r="AV110" i="6" s="1"/>
  <c r="AV92" i="6" s="1"/>
  <c r="AU110" i="6"/>
  <c r="AU92" i="6" s="1"/>
  <c r="AT111" i="6"/>
  <c r="AT93" i="6" s="1"/>
  <c r="AU102" i="6"/>
  <c r="BO102" i="6"/>
  <c r="BN111" i="6"/>
  <c r="AV99" i="6"/>
  <c r="AV81" i="6" s="1"/>
  <c r="AV90" i="6" s="1"/>
  <c r="AU81" i="6"/>
  <c r="AU90" i="6" s="1"/>
  <c r="BO108" i="6"/>
  <c r="AS88" i="6"/>
  <c r="DI267" i="2"/>
  <c r="BJ260" i="2"/>
  <c r="BJ261" i="2" s="1"/>
  <c r="BK263" i="2"/>
  <c r="BK267" i="2" s="1"/>
  <c r="BJ268" i="2"/>
  <c r="BK271" i="2"/>
  <c r="BU214" i="2"/>
  <c r="BV209" i="2"/>
  <c r="BV213" i="2" s="1"/>
  <c r="BU215" i="2"/>
  <c r="BV219" i="2"/>
  <c r="BC209" i="2"/>
  <c r="BC213" i="2" s="1"/>
  <c r="DG213" i="2"/>
  <c r="BB214" i="2"/>
  <c r="BB215" i="2"/>
  <c r="BC219" i="2"/>
  <c r="E6" i="12"/>
  <c r="J73" i="3"/>
  <c r="J74" i="3"/>
  <c r="R72" i="3"/>
  <c r="R73" i="3"/>
  <c r="R74" i="3"/>
  <c r="T60" i="3"/>
  <c r="S62" i="3"/>
  <c r="S66" i="3"/>
  <c r="S65" i="3"/>
  <c r="S67" i="3"/>
  <c r="CX10" i="8" l="1"/>
  <c r="AT251" i="5"/>
  <c r="AS251" i="5"/>
  <c r="AS255" i="5"/>
  <c r="DV326" i="1"/>
  <c r="DV226" i="1"/>
  <c r="DV268" i="1"/>
  <c r="DT336" i="1"/>
  <c r="DT337" i="1"/>
  <c r="DT344" i="1"/>
  <c r="DT343" i="1"/>
  <c r="DT338" i="1"/>
  <c r="DT266" i="1"/>
  <c r="DT333" i="1"/>
  <c r="DT347" i="1"/>
  <c r="DT331" i="1"/>
  <c r="DT346" i="1"/>
  <c r="DT332" i="1"/>
  <c r="DT334" i="1"/>
  <c r="DT335" i="1"/>
  <c r="DU265" i="1"/>
  <c r="DU269" i="1"/>
  <c r="DU386" i="1" s="1"/>
  <c r="DU286" i="1"/>
  <c r="DU271" i="1"/>
  <c r="DU274" i="1"/>
  <c r="DU275" i="1" s="1"/>
  <c r="BJ63" i="6"/>
  <c r="BI71" i="6"/>
  <c r="BI54" i="6" s="1"/>
  <c r="AP71" i="6"/>
  <c r="AP54" i="6" s="1"/>
  <c r="AQ63" i="6"/>
  <c r="AU137" i="6"/>
  <c r="AT147" i="6"/>
  <c r="AT145" i="6" s="1"/>
  <c r="AP19" i="6"/>
  <c r="AP20" i="6" s="1"/>
  <c r="AP156" i="6"/>
  <c r="AR62" i="6"/>
  <c r="AQ70" i="6"/>
  <c r="AQ53" i="6" s="1"/>
  <c r="AK58" i="6"/>
  <c r="AK157" i="6"/>
  <c r="AL58" i="6"/>
  <c r="AL157" i="6"/>
  <c r="BN44" i="6"/>
  <c r="AR45" i="6"/>
  <c r="AQ40" i="6"/>
  <c r="BK62" i="6"/>
  <c r="BJ70" i="6"/>
  <c r="BJ53" i="6" s="1"/>
  <c r="BI156" i="6"/>
  <c r="BI19" i="6"/>
  <c r="BI20" i="6" s="1"/>
  <c r="AV136" i="6"/>
  <c r="AV146" i="6" s="1"/>
  <c r="AU146" i="6"/>
  <c r="AU44" i="6"/>
  <c r="BI59" i="6"/>
  <c r="BH67" i="6"/>
  <c r="AN64" i="6"/>
  <c r="AM72" i="6"/>
  <c r="AM55" i="6" s="1"/>
  <c r="DT332" i="5"/>
  <c r="DT295" i="5" s="1"/>
  <c r="DU327" i="5"/>
  <c r="DU332" i="5" s="1"/>
  <c r="DU295" i="5" s="1"/>
  <c r="BK45" i="6"/>
  <c r="BJ40" i="6"/>
  <c r="BY301" i="2"/>
  <c r="DM300" i="2"/>
  <c r="DM301" i="2" s="1"/>
  <c r="AV139" i="6"/>
  <c r="AV149" i="6" s="1"/>
  <c r="AU149" i="6"/>
  <c r="AP59" i="6"/>
  <c r="AO67" i="6"/>
  <c r="AO50" i="6" s="1"/>
  <c r="CD328" i="5"/>
  <c r="CE327" i="5"/>
  <c r="AV138" i="6"/>
  <c r="AV148" i="6" s="1"/>
  <c r="AU148" i="6"/>
  <c r="AZ248" i="5"/>
  <c r="BC164" i="5"/>
  <c r="AZ247" i="5"/>
  <c r="BB165" i="5"/>
  <c r="DA296" i="5"/>
  <c r="AZ177" i="5"/>
  <c r="AZ238" i="5"/>
  <c r="AH283" i="5"/>
  <c r="AG282" i="5"/>
  <c r="AG285" i="5" s="1"/>
  <c r="AG271" i="5" s="1"/>
  <c r="AG272" i="5" s="1"/>
  <c r="BA156" i="5"/>
  <c r="AZ246" i="5"/>
  <c r="AZ245" i="5"/>
  <c r="AR251" i="5"/>
  <c r="CC143" i="5"/>
  <c r="CC138" i="5" s="1"/>
  <c r="CC137" i="5" s="1"/>
  <c r="CC263" i="5"/>
  <c r="AR255" i="5"/>
  <c r="CE325" i="5"/>
  <c r="CD323" i="5"/>
  <c r="CD324" i="5" s="1"/>
  <c r="DN324" i="5" s="1"/>
  <c r="DN323" i="5" s="1"/>
  <c r="DN325" i="5" s="1"/>
  <c r="CE127" i="5"/>
  <c r="DN127" i="5"/>
  <c r="CD145" i="5"/>
  <c r="CD128" i="5"/>
  <c r="DG8" i="5"/>
  <c r="DG243" i="5" s="1"/>
  <c r="AZ163" i="5"/>
  <c r="AU50" i="5"/>
  <c r="AU57" i="5" s="1"/>
  <c r="BA163" i="5"/>
  <c r="BB157" i="5"/>
  <c r="BB154" i="5" s="1"/>
  <c r="AZ243" i="5"/>
  <c r="AZ17" i="5"/>
  <c r="AR252" i="5"/>
  <c r="AR62" i="5"/>
  <c r="AR68" i="5" s="1"/>
  <c r="N106" i="3"/>
  <c r="N119" i="3" s="1"/>
  <c r="N112" i="3"/>
  <c r="N108" i="3"/>
  <c r="N115" i="3"/>
  <c r="N117" i="3"/>
  <c r="BC306" i="1"/>
  <c r="BB316" i="1"/>
  <c r="BB320" i="1"/>
  <c r="DH306" i="1"/>
  <c r="AU182" i="5"/>
  <c r="AU181" i="5" s="1"/>
  <c r="AT62" i="5"/>
  <c r="AT68" i="5" s="1"/>
  <c r="AT252" i="5"/>
  <c r="AV50" i="5"/>
  <c r="AW46" i="5"/>
  <c r="AW56" i="5" s="1"/>
  <c r="BA274" i="1"/>
  <c r="BA275" i="1" s="1"/>
  <c r="BA284" i="1" s="1"/>
  <c r="BA278" i="1" s="1"/>
  <c r="DH16" i="1"/>
  <c r="DH19" i="1"/>
  <c r="AX25" i="5"/>
  <c r="AX207" i="5"/>
  <c r="AX208" i="5" s="1"/>
  <c r="AX200" i="5"/>
  <c r="AX202" i="5" s="1"/>
  <c r="AX205" i="5" s="1"/>
  <c r="AX204" i="5" s="1"/>
  <c r="AX182" i="5" s="1"/>
  <c r="AX181" i="5" s="1"/>
  <c r="AS252" i="5"/>
  <c r="AS62" i="5"/>
  <c r="AS68" i="5" s="1"/>
  <c r="O107" i="3"/>
  <c r="O106" i="3" s="1"/>
  <c r="O119" i="3" s="1"/>
  <c r="AY43" i="5"/>
  <c r="AY22" i="5"/>
  <c r="AY244" i="5"/>
  <c r="J23" i="3"/>
  <c r="J67" i="3" s="1"/>
  <c r="J66" i="3"/>
  <c r="BB17" i="5"/>
  <c r="BB243" i="5"/>
  <c r="AW265" i="5"/>
  <c r="AW242" i="5"/>
  <c r="AW266" i="5"/>
  <c r="AW249" i="5"/>
  <c r="AW254" i="5"/>
  <c r="AW198" i="5"/>
  <c r="AW250" i="5"/>
  <c r="AW72" i="5"/>
  <c r="AW76" i="5" s="1"/>
  <c r="AW79" i="5" s="1"/>
  <c r="AW84" i="5" s="1"/>
  <c r="AW86" i="5" s="1"/>
  <c r="AW35" i="5"/>
  <c r="AW190" i="5"/>
  <c r="AW191" i="5" s="1"/>
  <c r="AU255" i="5"/>
  <c r="DG11" i="2"/>
  <c r="DG39" i="2"/>
  <c r="DG47" i="2" s="1"/>
  <c r="L9" i="3"/>
  <c r="L56" i="3" s="1"/>
  <c r="M9" i="3"/>
  <c r="M56" i="3" s="1"/>
  <c r="BA243" i="5"/>
  <c r="BA17" i="5"/>
  <c r="J36" i="3"/>
  <c r="J37" i="3"/>
  <c r="S93" i="3"/>
  <c r="S87" i="3"/>
  <c r="DG177" i="5"/>
  <c r="DG164" i="5"/>
  <c r="DG162" i="5"/>
  <c r="DG245" i="5"/>
  <c r="DG157" i="5"/>
  <c r="DG154" i="5" s="1"/>
  <c r="DG165" i="5"/>
  <c r="DG163" i="5"/>
  <c r="DH238" i="5"/>
  <c r="DG247" i="5"/>
  <c r="L4" i="3"/>
  <c r="DG248" i="5"/>
  <c r="DG238" i="5"/>
  <c r="DG246" i="5"/>
  <c r="DG156" i="5"/>
  <c r="DF45" i="5"/>
  <c r="DF39" i="5"/>
  <c r="DH22" i="1"/>
  <c r="DE37" i="5"/>
  <c r="F4" i="12"/>
  <c r="DE203" i="5"/>
  <c r="DE182" i="5"/>
  <c r="DE181" i="5" s="1"/>
  <c r="DE46" i="5" s="1"/>
  <c r="AX45" i="5"/>
  <c r="AX39" i="5"/>
  <c r="AX242" i="5" s="1"/>
  <c r="DF22" i="5"/>
  <c r="AF296" i="5"/>
  <c r="AH317" i="5"/>
  <c r="AG316" i="5"/>
  <c r="AG319" i="5" s="1"/>
  <c r="AG295" i="5"/>
  <c r="AG296" i="5" s="1"/>
  <c r="AI310" i="5"/>
  <c r="AH330" i="5"/>
  <c r="AH329" i="5" s="1"/>
  <c r="AH332" i="5" s="1"/>
  <c r="DB332" i="5" s="1"/>
  <c r="AH309" i="5"/>
  <c r="AH312" i="5" s="1"/>
  <c r="CJ321" i="5"/>
  <c r="CI322" i="5"/>
  <c r="DB310" i="5"/>
  <c r="DB309" i="5" s="1"/>
  <c r="AJ318" i="5"/>
  <c r="AV80" i="6"/>
  <c r="AV107" i="6"/>
  <c r="AV89" i="6" s="1"/>
  <c r="AR94" i="6"/>
  <c r="AR87" i="6" s="1"/>
  <c r="AR105" i="6"/>
  <c r="AR114" i="6" s="1"/>
  <c r="AT103" i="6"/>
  <c r="AS112" i="6"/>
  <c r="AS96" i="6"/>
  <c r="AU118" i="6"/>
  <c r="AT91" i="6"/>
  <c r="BM103" i="6"/>
  <c r="BL112" i="6"/>
  <c r="BN96" i="6"/>
  <c r="BO97" i="6"/>
  <c r="BO111" i="6"/>
  <c r="AU111" i="6"/>
  <c r="AU93" i="6" s="1"/>
  <c r="AV102" i="6"/>
  <c r="AV111" i="6" s="1"/>
  <c r="AV93" i="6" s="1"/>
  <c r="AV97" i="6"/>
  <c r="AU106" i="6"/>
  <c r="AU79" i="6"/>
  <c r="AU78" i="6" s="1"/>
  <c r="AT88" i="6"/>
  <c r="DG214" i="2"/>
  <c r="DG215" i="2"/>
  <c r="DH209" i="2"/>
  <c r="BV214" i="2"/>
  <c r="BW209" i="2"/>
  <c r="BW213" i="2" s="1"/>
  <c r="DL213" i="2"/>
  <c r="BV215" i="2"/>
  <c r="BW219" i="2"/>
  <c r="BL263" i="2"/>
  <c r="BL267" i="2" s="1"/>
  <c r="BK268" i="2"/>
  <c r="BL271" i="2"/>
  <c r="BD209" i="2"/>
  <c r="BD213" i="2" s="1"/>
  <c r="BC215" i="2"/>
  <c r="BC214" i="2"/>
  <c r="BD219" i="2"/>
  <c r="DI260" i="2"/>
  <c r="DI261" i="2" s="1"/>
  <c r="DI268" i="2"/>
  <c r="DJ263" i="2"/>
  <c r="T66" i="3"/>
  <c r="T62" i="3"/>
  <c r="U60" i="3"/>
  <c r="T65" i="3"/>
  <c r="T67" i="3"/>
  <c r="S74" i="3"/>
  <c r="S72" i="3"/>
  <c r="E7" i="12"/>
  <c r="E14" i="12" s="1"/>
  <c r="D6" i="12"/>
  <c r="CY10" i="8" l="1"/>
  <c r="EJ7" i="8"/>
  <c r="EI10" i="8"/>
  <c r="EL8" i="8"/>
  <c r="AU251" i="5"/>
  <c r="DV269" i="1"/>
  <c r="DV386" i="1" s="1"/>
  <c r="DV265" i="1"/>
  <c r="DV286" i="1"/>
  <c r="DV271" i="1"/>
  <c r="DV274" i="1"/>
  <c r="DV275" i="1" s="1"/>
  <c r="DV347" i="1"/>
  <c r="DU333" i="1"/>
  <c r="DU336" i="1"/>
  <c r="DU334" i="1"/>
  <c r="DU332" i="1"/>
  <c r="DU337" i="1"/>
  <c r="DU344" i="1"/>
  <c r="DU335" i="1"/>
  <c r="DU347" i="1"/>
  <c r="DU331" i="1"/>
  <c r="DU343" i="1"/>
  <c r="DU266" i="1"/>
  <c r="DU345" i="1"/>
  <c r="DU338" i="1"/>
  <c r="DU346" i="1"/>
  <c r="AR63" i="6"/>
  <c r="AQ71" i="6"/>
  <c r="AQ54" i="6" s="1"/>
  <c r="BK63" i="6"/>
  <c r="BJ71" i="6"/>
  <c r="BJ54" i="6" s="1"/>
  <c r="AN72" i="6"/>
  <c r="AN55" i="6" s="1"/>
  <c r="AN49" i="6" s="1"/>
  <c r="AO64" i="6"/>
  <c r="BH64" i="6"/>
  <c r="AL159" i="6"/>
  <c r="AL161" i="6" s="1"/>
  <c r="CB300" i="2"/>
  <c r="CB301" i="2" s="1"/>
  <c r="AP67" i="6"/>
  <c r="AP50" i="6" s="1"/>
  <c r="AQ59" i="6"/>
  <c r="BL45" i="6"/>
  <c r="BK40" i="6"/>
  <c r="BJ59" i="6"/>
  <c r="BI67" i="6"/>
  <c r="BI50" i="6" s="1"/>
  <c r="BL62" i="6"/>
  <c r="BK70" i="6"/>
  <c r="BK53" i="6" s="1"/>
  <c r="AM49" i="6"/>
  <c r="AS62" i="6"/>
  <c r="AR70" i="6"/>
  <c r="AR53" i="6" s="1"/>
  <c r="AQ19" i="6"/>
  <c r="AQ20" i="6" s="1"/>
  <c r="AQ156" i="6"/>
  <c r="AK159" i="6"/>
  <c r="AK161" i="6" s="1"/>
  <c r="CA300" i="2"/>
  <c r="AV137" i="6"/>
  <c r="AV147" i="6" s="1"/>
  <c r="AV145" i="6" s="1"/>
  <c r="AU147" i="6"/>
  <c r="AU145" i="6" s="1"/>
  <c r="BO44" i="6"/>
  <c r="AV44" i="6"/>
  <c r="AS45" i="6"/>
  <c r="AR40" i="6"/>
  <c r="CE328" i="5"/>
  <c r="CF327" i="5"/>
  <c r="DF205" i="5"/>
  <c r="AI283" i="5"/>
  <c r="AH282" i="5"/>
  <c r="AH285" i="5" s="1"/>
  <c r="AH271" i="5" s="1"/>
  <c r="AH272" i="5" s="1"/>
  <c r="DB283" i="5"/>
  <c r="DB282" i="5" s="1"/>
  <c r="L12" i="3"/>
  <c r="L13" i="3" s="1"/>
  <c r="CD129" i="5"/>
  <c r="DN129" i="5" s="1"/>
  <c r="DN128" i="5"/>
  <c r="CE323" i="5"/>
  <c r="CE324" i="5" s="1"/>
  <c r="CF325" i="5"/>
  <c r="CD263" i="5"/>
  <c r="CD143" i="5"/>
  <c r="CD138" i="5" s="1"/>
  <c r="CD137" i="5" s="1"/>
  <c r="DN145" i="5"/>
  <c r="F35" i="9"/>
  <c r="AU256" i="5"/>
  <c r="CF127" i="5"/>
  <c r="CE145" i="5"/>
  <c r="CE128" i="5"/>
  <c r="CE129" i="5" s="1"/>
  <c r="DF204" i="5"/>
  <c r="DF203" i="5" s="1"/>
  <c r="AY207" i="5"/>
  <c r="AY208" i="5" s="1"/>
  <c r="AY200" i="5"/>
  <c r="AY202" i="5" s="1"/>
  <c r="AY205" i="5" s="1"/>
  <c r="AY25" i="5"/>
  <c r="AY39" i="5"/>
  <c r="AY242" i="5" s="1"/>
  <c r="AY45" i="5"/>
  <c r="F5" i="12"/>
  <c r="F7" i="12"/>
  <c r="F14" i="12" s="1"/>
  <c r="BB244" i="5"/>
  <c r="BB43" i="5"/>
  <c r="BC241" i="5"/>
  <c r="BB22" i="5"/>
  <c r="BB241" i="5"/>
  <c r="O123" i="3"/>
  <c r="S91" i="3"/>
  <c r="O120" i="3"/>
  <c r="S85" i="3" s="1"/>
  <c r="O121" i="3"/>
  <c r="BA279" i="1"/>
  <c r="N123" i="3"/>
  <c r="N120" i="3"/>
  <c r="N121" i="3"/>
  <c r="BB327" i="1"/>
  <c r="DH320" i="1"/>
  <c r="DE56" i="5"/>
  <c r="DE50" i="5"/>
  <c r="AW50" i="5"/>
  <c r="BB339" i="1"/>
  <c r="BB330" i="1" s="1"/>
  <c r="DH316" i="1"/>
  <c r="DH339" i="1" s="1"/>
  <c r="DH330" i="1" s="1"/>
  <c r="M5" i="3"/>
  <c r="L5" i="3"/>
  <c r="L52" i="3"/>
  <c r="DF207" i="5"/>
  <c r="DF208" i="5" s="1"/>
  <c r="DF225" i="5" s="1"/>
  <c r="DF25" i="5"/>
  <c r="DF200" i="5"/>
  <c r="DF202" i="5" s="1"/>
  <c r="DF24" i="5"/>
  <c r="DF46" i="5" s="1"/>
  <c r="DF266" i="5"/>
  <c r="K35" i="3"/>
  <c r="DF242" i="5"/>
  <c r="DF249" i="5"/>
  <c r="DF265" i="5"/>
  <c r="BA241" i="5"/>
  <c r="BA22" i="5"/>
  <c r="BA43" i="5"/>
  <c r="BA244" i="5"/>
  <c r="AU62" i="5"/>
  <c r="AU68" i="5" s="1"/>
  <c r="AU252" i="5"/>
  <c r="DG17" i="5"/>
  <c r="AV251" i="5"/>
  <c r="AV57" i="5"/>
  <c r="AV255" i="5"/>
  <c r="AV256" i="5" s="1"/>
  <c r="BC316" i="1"/>
  <c r="BC339" i="1" s="1"/>
  <c r="BC330" i="1" s="1"/>
  <c r="BD306" i="1"/>
  <c r="BC320" i="1"/>
  <c r="BC327" i="1" s="1"/>
  <c r="BC348" i="1" s="1"/>
  <c r="BC342" i="1" s="1"/>
  <c r="AZ22" i="5"/>
  <c r="AZ244" i="5"/>
  <c r="AZ43" i="5"/>
  <c r="AZ241" i="5"/>
  <c r="AX46" i="5"/>
  <c r="AX56" i="5" s="1"/>
  <c r="AX254" i="5"/>
  <c r="AX250" i="5"/>
  <c r="AX198" i="5"/>
  <c r="AX72" i="5"/>
  <c r="AX76" i="5" s="1"/>
  <c r="AX79" i="5" s="1"/>
  <c r="AX84" i="5" s="1"/>
  <c r="AX86" i="5" s="1"/>
  <c r="AX35" i="5"/>
  <c r="AX190" i="5"/>
  <c r="AX191" i="5" s="1"/>
  <c r="AX249" i="5"/>
  <c r="AX266" i="5"/>
  <c r="AX265" i="5"/>
  <c r="CK321" i="5"/>
  <c r="CK324" i="5" s="1"/>
  <c r="CJ322" i="5"/>
  <c r="AK318" i="5"/>
  <c r="AI317" i="5"/>
  <c r="AH316" i="5"/>
  <c r="AH319" i="5" s="1"/>
  <c r="AH295" i="5" s="1"/>
  <c r="DB312" i="5"/>
  <c r="DB330" i="5"/>
  <c r="DB329" i="5" s="1"/>
  <c r="CJ324" i="5"/>
  <c r="AJ310" i="5"/>
  <c r="AI309" i="5"/>
  <c r="AI312" i="5" s="1"/>
  <c r="AI330" i="5"/>
  <c r="AV118" i="6"/>
  <c r="AV91" i="6" s="1"/>
  <c r="AU91" i="6"/>
  <c r="AS94" i="6"/>
  <c r="AS87" i="6" s="1"/>
  <c r="AS105" i="6"/>
  <c r="AS114" i="6" s="1"/>
  <c r="AU103" i="6"/>
  <c r="AT112" i="6"/>
  <c r="AT96" i="6"/>
  <c r="BN103" i="6"/>
  <c r="BM112" i="6"/>
  <c r="AU88" i="6"/>
  <c r="AV106" i="6"/>
  <c r="AV79" i="6"/>
  <c r="AV78" i="6" s="1"/>
  <c r="BO96" i="6"/>
  <c r="BE209" i="2"/>
  <c r="BE213" i="2" s="1"/>
  <c r="BD215" i="2"/>
  <c r="BE219" i="2"/>
  <c r="BM263" i="2"/>
  <c r="BM267" i="2" s="1"/>
  <c r="BL268" i="2"/>
  <c r="BM271" i="2"/>
  <c r="DM209" i="2"/>
  <c r="DL214" i="2"/>
  <c r="DL215" i="2"/>
  <c r="DM219" i="2"/>
  <c r="BX219" i="2"/>
  <c r="BW215" i="2"/>
  <c r="BX209" i="2"/>
  <c r="BX213" i="2" s="1"/>
  <c r="BW214" i="2"/>
  <c r="D7" i="12"/>
  <c r="D14" i="12" s="1"/>
  <c r="C6" i="12"/>
  <c r="V60" i="3"/>
  <c r="U76" i="3"/>
  <c r="U77" i="3" s="1"/>
  <c r="T73" i="3"/>
  <c r="T72" i="3"/>
  <c r="T74" i="3"/>
  <c r="CZ10" i="8" l="1"/>
  <c r="EK7" i="8"/>
  <c r="DA10" i="8"/>
  <c r="EH10" i="8"/>
  <c r="L12" i="9"/>
  <c r="L9" i="9" s="1"/>
  <c r="L24" i="9" s="1"/>
  <c r="DU354" i="1"/>
  <c r="DU385" i="1" s="1"/>
  <c r="DU2" i="1"/>
  <c r="DV338" i="1"/>
  <c r="DV343" i="1"/>
  <c r="DV331" i="1"/>
  <c r="DV337" i="1"/>
  <c r="DV344" i="1"/>
  <c r="DV333" i="1"/>
  <c r="DV336" i="1"/>
  <c r="DV335" i="1"/>
  <c r="DV345" i="1"/>
  <c r="DV346" i="1"/>
  <c r="DV266" i="1"/>
  <c r="DV332" i="1"/>
  <c r="DV334" i="1"/>
  <c r="BK71" i="6"/>
  <c r="BK54" i="6" s="1"/>
  <c r="BL63" i="6"/>
  <c r="AS63" i="6"/>
  <c r="AR71" i="6"/>
  <c r="AR54" i="6" s="1"/>
  <c r="BM62" i="6"/>
  <c r="BL70" i="6"/>
  <c r="BL53" i="6" s="1"/>
  <c r="AR19" i="6"/>
  <c r="AR20" i="6" s="1"/>
  <c r="AR156" i="6"/>
  <c r="AT45" i="6"/>
  <c r="AS40" i="6"/>
  <c r="AT62" i="6"/>
  <c r="AS70" i="6"/>
  <c r="AS53" i="6" s="1"/>
  <c r="BK59" i="6"/>
  <c r="BJ67" i="6"/>
  <c r="BJ50" i="6" s="1"/>
  <c r="BH72" i="6"/>
  <c r="BI64" i="6"/>
  <c r="CA301" i="2"/>
  <c r="CF328" i="5"/>
  <c r="CG327" i="5"/>
  <c r="AP64" i="6"/>
  <c r="AO72" i="6"/>
  <c r="AO55" i="6" s="1"/>
  <c r="AO49" i="6" s="1"/>
  <c r="AM58" i="6"/>
  <c r="AM157" i="6"/>
  <c r="BM45" i="6"/>
  <c r="BL40" i="6"/>
  <c r="AN58" i="6"/>
  <c r="AN157" i="6"/>
  <c r="BH55" i="6"/>
  <c r="BH49" i="6" s="1"/>
  <c r="AQ67" i="6"/>
  <c r="AQ50" i="6" s="1"/>
  <c r="AR59" i="6"/>
  <c r="DB285" i="5"/>
  <c r="DB271" i="5" s="1"/>
  <c r="DB272" i="5" s="1"/>
  <c r="DB273" i="5" s="1"/>
  <c r="AX50" i="5"/>
  <c r="AI282" i="5"/>
  <c r="AI285" i="5" s="1"/>
  <c r="AI271" i="5" s="1"/>
  <c r="AI272" i="5" s="1"/>
  <c r="AJ283" i="5"/>
  <c r="DF182" i="5"/>
  <c r="DF181" i="5" s="1"/>
  <c r="CG325" i="5"/>
  <c r="CF323" i="5"/>
  <c r="CF324" i="5" s="1"/>
  <c r="CE263" i="5"/>
  <c r="CE143" i="5"/>
  <c r="CE138" i="5" s="1"/>
  <c r="CE137" i="5" s="1"/>
  <c r="CF128" i="5"/>
  <c r="CF129" i="5" s="1"/>
  <c r="CF145" i="5"/>
  <c r="DN143" i="5"/>
  <c r="DN138" i="5" s="1"/>
  <c r="DN263" i="5"/>
  <c r="BC274" i="1"/>
  <c r="BC275" i="1" s="1"/>
  <c r="BC284" i="1" s="1"/>
  <c r="BC278" i="1" s="1"/>
  <c r="DF56" i="5"/>
  <c r="DF50" i="5"/>
  <c r="BE306" i="1"/>
  <c r="BD320" i="1"/>
  <c r="BD327" i="1" s="1"/>
  <c r="BD348" i="1" s="1"/>
  <c r="BD342" i="1" s="1"/>
  <c r="BD316" i="1"/>
  <c r="BD339" i="1" s="1"/>
  <c r="BD330" i="1" s="1"/>
  <c r="BD274" i="1" s="1"/>
  <c r="BD275" i="1" s="1"/>
  <c r="BD284" i="1" s="1"/>
  <c r="BD278" i="1" s="1"/>
  <c r="BD279" i="1" s="1"/>
  <c r="BA39" i="5"/>
  <c r="BA45" i="5"/>
  <c r="BB348" i="1"/>
  <c r="BB342" i="1" s="1"/>
  <c r="BB274" i="1" s="1"/>
  <c r="DH327" i="1"/>
  <c r="DH348" i="1" s="1"/>
  <c r="DH342" i="1" s="1"/>
  <c r="BA200" i="5"/>
  <c r="BA202" i="5" s="1"/>
  <c r="BA205" i="5" s="1"/>
  <c r="BA204" i="5" s="1"/>
  <c r="BA182" i="5" s="1"/>
  <c r="BA181" i="5" s="1"/>
  <c r="BA25" i="5"/>
  <c r="BA207" i="5"/>
  <c r="BA208" i="5" s="1"/>
  <c r="AY46" i="5"/>
  <c r="AY56" i="5" s="1"/>
  <c r="AV62" i="5"/>
  <c r="AV68" i="5" s="1"/>
  <c r="AV252" i="5"/>
  <c r="DF35" i="5"/>
  <c r="DF72" i="5"/>
  <c r="DF76" i="5" s="1"/>
  <c r="DF79" i="5" s="1"/>
  <c r="DF84" i="5" s="1"/>
  <c r="DF86" i="5" s="1"/>
  <c r="DF198" i="5"/>
  <c r="DF250" i="5"/>
  <c r="DF194" i="5"/>
  <c r="DF26" i="5"/>
  <c r="K22" i="3"/>
  <c r="K23" i="3" s="1"/>
  <c r="DF190" i="5"/>
  <c r="DF191" i="5" s="1"/>
  <c r="DF254" i="5"/>
  <c r="G15" i="12" s="1"/>
  <c r="AW57" i="5"/>
  <c r="AW255" i="5"/>
  <c r="AW251" i="5"/>
  <c r="AY266" i="5"/>
  <c r="AY249" i="5"/>
  <c r="AY265" i="5"/>
  <c r="AX57" i="5"/>
  <c r="AX251" i="5"/>
  <c r="AX255" i="5"/>
  <c r="BB25" i="5"/>
  <c r="BB207" i="5"/>
  <c r="BB208" i="5" s="1"/>
  <c r="BB200" i="5"/>
  <c r="BB202" i="5" s="1"/>
  <c r="BB205" i="5" s="1"/>
  <c r="BB204" i="5" s="1"/>
  <c r="BB182" i="5" s="1"/>
  <c r="BB181" i="5" s="1"/>
  <c r="DG22" i="5"/>
  <c r="DH241" i="5"/>
  <c r="DG241" i="5"/>
  <c r="DG43" i="5"/>
  <c r="L17" i="3"/>
  <c r="DG244" i="5"/>
  <c r="BC26" i="5"/>
  <c r="AY198" i="5"/>
  <c r="AY254" i="5"/>
  <c r="AY35" i="5"/>
  <c r="AY72" i="5"/>
  <c r="AY76" i="5" s="1"/>
  <c r="AY79" i="5" s="1"/>
  <c r="AY84" i="5" s="1"/>
  <c r="AY86" i="5" s="1"/>
  <c r="AY190" i="5"/>
  <c r="AY191" i="5" s="1"/>
  <c r="AY250" i="5"/>
  <c r="AY26" i="5"/>
  <c r="BC279" i="1"/>
  <c r="AZ45" i="5"/>
  <c r="AZ39" i="5"/>
  <c r="DF227" i="5"/>
  <c r="DF226" i="5"/>
  <c r="AZ200" i="5"/>
  <c r="AZ202" i="5" s="1"/>
  <c r="AZ205" i="5" s="1"/>
  <c r="AZ204" i="5" s="1"/>
  <c r="AZ182" i="5" s="1"/>
  <c r="AZ181" i="5" s="1"/>
  <c r="AZ207" i="5"/>
  <c r="AZ208" i="5" s="1"/>
  <c r="AZ25" i="5"/>
  <c r="DE57" i="5"/>
  <c r="DE255" i="5"/>
  <c r="J70" i="3" s="1"/>
  <c r="DE251" i="5"/>
  <c r="BB45" i="5"/>
  <c r="BB39" i="5"/>
  <c r="AY204" i="5"/>
  <c r="K36" i="3"/>
  <c r="K37" i="3"/>
  <c r="AH296" i="5"/>
  <c r="DB295" i="5"/>
  <c r="DB296" i="5" s="1"/>
  <c r="AJ317" i="5"/>
  <c r="AI316" i="5"/>
  <c r="AI319" i="5" s="1"/>
  <c r="AK310" i="5"/>
  <c r="AJ309" i="5"/>
  <c r="AJ312" i="5" s="1"/>
  <c r="AJ330" i="5"/>
  <c r="AJ329" i="5" s="1"/>
  <c r="AJ332" i="5" s="1"/>
  <c r="AL318" i="5"/>
  <c r="AI329" i="5"/>
  <c r="AI332" i="5" s="1"/>
  <c r="CL321" i="5"/>
  <c r="CK322" i="5"/>
  <c r="AV103" i="6"/>
  <c r="AU112" i="6"/>
  <c r="AU96" i="6"/>
  <c r="AT94" i="6"/>
  <c r="AT87" i="6" s="1"/>
  <c r="AT105" i="6"/>
  <c r="AT114" i="6" s="1"/>
  <c r="BO103" i="6"/>
  <c r="BN112" i="6"/>
  <c r="AV88" i="6"/>
  <c r="BM268" i="2"/>
  <c r="BN263" i="2"/>
  <c r="BN267" i="2" s="1"/>
  <c r="BN271" i="2"/>
  <c r="BX215" i="2"/>
  <c r="BY209" i="2"/>
  <c r="BY213" i="2" s="1"/>
  <c r="BX214" i="2"/>
  <c r="BY219" i="2"/>
  <c r="BE215" i="2"/>
  <c r="BE214" i="2"/>
  <c r="BF209" i="2"/>
  <c r="BF213" i="2" s="1"/>
  <c r="BF219" i="2"/>
  <c r="V76" i="3"/>
  <c r="V77" i="3" s="1"/>
  <c r="W60" i="3"/>
  <c r="B6" i="12"/>
  <c r="B7" i="12" s="1"/>
  <c r="B14" i="12" s="1"/>
  <c r="K18" i="12" s="1"/>
  <c r="C7" i="12"/>
  <c r="C14" i="12" s="1"/>
  <c r="EL7" i="8" l="1"/>
  <c r="DB10" i="8"/>
  <c r="L25" i="9"/>
  <c r="DU405" i="1"/>
  <c r="DT2" i="2"/>
  <c r="DU300" i="1"/>
  <c r="Y10" i="3" s="1"/>
  <c r="EJ10" i="8"/>
  <c r="EM8" i="8"/>
  <c r="AT63" i="6"/>
  <c r="AS71" i="6"/>
  <c r="AS54" i="6" s="1"/>
  <c r="BL71" i="6"/>
  <c r="BL54" i="6" s="1"/>
  <c r="BM63" i="6"/>
  <c r="AU62" i="6"/>
  <c r="AT70" i="6"/>
  <c r="AT53" i="6" s="1"/>
  <c r="BH58" i="6"/>
  <c r="BH157" i="6"/>
  <c r="BH159" i="6" s="1"/>
  <c r="BH161" i="6" s="1"/>
  <c r="BN45" i="6"/>
  <c r="BM40" i="6"/>
  <c r="AS156" i="6"/>
  <c r="AS19" i="6"/>
  <c r="AS20" i="6" s="1"/>
  <c r="AM159" i="6"/>
  <c r="AM161" i="6" s="1"/>
  <c r="CC300" i="2"/>
  <c r="AU45" i="6"/>
  <c r="AT40" i="6"/>
  <c r="BJ64" i="6"/>
  <c r="BI72" i="6"/>
  <c r="BI55" i="6" s="1"/>
  <c r="BI49" i="6" s="1"/>
  <c r="CD300" i="2"/>
  <c r="CD301" i="2" s="1"/>
  <c r="AN159" i="6"/>
  <c r="AN161" i="6" s="1"/>
  <c r="BL59" i="6"/>
  <c r="BK67" i="6"/>
  <c r="BK50" i="6" s="1"/>
  <c r="AO58" i="6"/>
  <c r="AO157" i="6"/>
  <c r="AQ64" i="6"/>
  <c r="AP72" i="6"/>
  <c r="AP55" i="6" s="1"/>
  <c r="AP49" i="6" s="1"/>
  <c r="AS59" i="6"/>
  <c r="AR67" i="6"/>
  <c r="AR50" i="6" s="1"/>
  <c r="CG328" i="5"/>
  <c r="CH327" i="5"/>
  <c r="BN62" i="6"/>
  <c r="BM70" i="6"/>
  <c r="BM53" i="6" s="1"/>
  <c r="AK283" i="5"/>
  <c r="AJ282" i="5"/>
  <c r="AJ285" i="5" s="1"/>
  <c r="AJ271" i="5" s="1"/>
  <c r="AJ272" i="5" s="1"/>
  <c r="AI295" i="5"/>
  <c r="AI296" i="5" s="1"/>
  <c r="DB300" i="2"/>
  <c r="DN137" i="5"/>
  <c r="F34" i="9"/>
  <c r="F33" i="9"/>
  <c r="S73" i="3"/>
  <c r="CF143" i="5"/>
  <c r="CF138" i="5" s="1"/>
  <c r="CF137" i="5" s="1"/>
  <c r="CF263" i="5"/>
  <c r="CG323" i="5"/>
  <c r="CG324" i="5" s="1"/>
  <c r="DO324" i="5" s="1"/>
  <c r="DO323" i="5" s="1"/>
  <c r="DO325" i="5" s="1"/>
  <c r="CH325" i="5"/>
  <c r="CI325" i="5" s="1"/>
  <c r="CJ325" i="5" s="1"/>
  <c r="CK325" i="5" s="1"/>
  <c r="CL325" i="5" s="1"/>
  <c r="CL323" i="5" s="1"/>
  <c r="CL324" i="5" s="1"/>
  <c r="DP324" i="5" s="1"/>
  <c r="DP323" i="5" s="1"/>
  <c r="DP325" i="5" s="1"/>
  <c r="DR325" i="5" s="1"/>
  <c r="DS325" i="5" s="1"/>
  <c r="DT325" i="5" s="1"/>
  <c r="DU325" i="5" s="1"/>
  <c r="AY50" i="5"/>
  <c r="AY251" i="5" s="1"/>
  <c r="BB275" i="1"/>
  <c r="BB284" i="1" s="1"/>
  <c r="BB278" i="1" s="1"/>
  <c r="DH274" i="1"/>
  <c r="DH275" i="1" s="1"/>
  <c r="BD26" i="5"/>
  <c r="AZ250" i="5"/>
  <c r="AZ254" i="5"/>
  <c r="AZ72" i="5"/>
  <c r="AZ76" i="5" s="1"/>
  <c r="AZ79" i="5" s="1"/>
  <c r="AZ84" i="5" s="1"/>
  <c r="AZ86" i="5" s="1"/>
  <c r="AZ26" i="5"/>
  <c r="AZ35" i="5"/>
  <c r="AZ190" i="5"/>
  <c r="AZ191" i="5" s="1"/>
  <c r="AZ198" i="5"/>
  <c r="BA242" i="5"/>
  <c r="BA266" i="5"/>
  <c r="BA265" i="5"/>
  <c r="BA249" i="5"/>
  <c r="AY182" i="5"/>
  <c r="AY181" i="5" s="1"/>
  <c r="DG204" i="5"/>
  <c r="BB254" i="5"/>
  <c r="BB72" i="5"/>
  <c r="BB76" i="5" s="1"/>
  <c r="BB79" i="5" s="1"/>
  <c r="BB84" i="5" s="1"/>
  <c r="BB86" i="5" s="1"/>
  <c r="BB250" i="5"/>
  <c r="BB35" i="5"/>
  <c r="BB198" i="5"/>
  <c r="BB190" i="5"/>
  <c r="BB191" i="5" s="1"/>
  <c r="BB26" i="5"/>
  <c r="BF26" i="5"/>
  <c r="AW256" i="5"/>
  <c r="AX256" i="5"/>
  <c r="DG205" i="5"/>
  <c r="BB266" i="5"/>
  <c r="BB249" i="5"/>
  <c r="BC242" i="5"/>
  <c r="BB265" i="5"/>
  <c r="BB242" i="5"/>
  <c r="AW62" i="5"/>
  <c r="AW68" i="5" s="1"/>
  <c r="AW252" i="5"/>
  <c r="BA72" i="5"/>
  <c r="BA76" i="5" s="1"/>
  <c r="BA79" i="5" s="1"/>
  <c r="BA84" i="5" s="1"/>
  <c r="BA86" i="5" s="1"/>
  <c r="BA198" i="5"/>
  <c r="BA190" i="5"/>
  <c r="BA191" i="5" s="1"/>
  <c r="BA254" i="5"/>
  <c r="BA250" i="5"/>
  <c r="BA35" i="5"/>
  <c r="BA26" i="5"/>
  <c r="BE26" i="5"/>
  <c r="BE316" i="1"/>
  <c r="BE339" i="1" s="1"/>
  <c r="BE330" i="1" s="1"/>
  <c r="BE320" i="1"/>
  <c r="BE327" i="1" s="1"/>
  <c r="BE348" i="1" s="1"/>
  <c r="BE342" i="1" s="1"/>
  <c r="BF306" i="1"/>
  <c r="AZ46" i="5"/>
  <c r="AZ56" i="5" s="1"/>
  <c r="DE252" i="5"/>
  <c r="DE62" i="5"/>
  <c r="DE68" i="5" s="1"/>
  <c r="DG200" i="5"/>
  <c r="DG202" i="5" s="1"/>
  <c r="DG207" i="5"/>
  <c r="DG208" i="5" s="1"/>
  <c r="DG225" i="5" s="1"/>
  <c r="DG25" i="5"/>
  <c r="DG24" i="5"/>
  <c r="BA46" i="5"/>
  <c r="BA56" i="5" s="1"/>
  <c r="BB46" i="5"/>
  <c r="BB56" i="5" s="1"/>
  <c r="DG39" i="5"/>
  <c r="DG45" i="5"/>
  <c r="G4" i="12"/>
  <c r="DF37" i="5"/>
  <c r="DF251" i="5"/>
  <c r="DF57" i="5"/>
  <c r="DF255" i="5"/>
  <c r="AZ265" i="5"/>
  <c r="AZ266" i="5"/>
  <c r="AZ242" i="5"/>
  <c r="AZ249" i="5"/>
  <c r="AX252" i="5"/>
  <c r="AX62" i="5"/>
  <c r="AX68" i="5" s="1"/>
  <c r="AM318" i="5"/>
  <c r="AK330" i="5"/>
  <c r="AK329" i="5" s="1"/>
  <c r="AK332" i="5" s="1"/>
  <c r="AL310" i="5"/>
  <c r="DC310" i="5" s="1"/>
  <c r="DC309" i="5" s="1"/>
  <c r="AK309" i="5"/>
  <c r="AK312" i="5" s="1"/>
  <c r="AK317" i="5"/>
  <c r="AJ316" i="5"/>
  <c r="AJ319" i="5" s="1"/>
  <c r="AJ295" i="5" s="1"/>
  <c r="AJ296" i="5" s="1"/>
  <c r="BO112" i="6"/>
  <c r="AU94" i="6"/>
  <c r="AU87" i="6" s="1"/>
  <c r="AU105" i="6"/>
  <c r="AU114" i="6" s="1"/>
  <c r="AV112" i="6"/>
  <c r="AV96" i="6"/>
  <c r="BG209" i="2"/>
  <c r="BG213" i="2" s="1"/>
  <c r="BF214" i="2"/>
  <c r="BF215" i="2"/>
  <c r="DH213" i="2"/>
  <c r="BG219" i="2"/>
  <c r="BZ209" i="2"/>
  <c r="BZ213" i="2" s="1"/>
  <c r="BY215" i="2"/>
  <c r="BY214" i="2"/>
  <c r="BZ219" i="2"/>
  <c r="BN268" i="2"/>
  <c r="BO263" i="2"/>
  <c r="BO267" i="2" s="1"/>
  <c r="DJ267" i="2"/>
  <c r="BO271" i="2"/>
  <c r="W76" i="3"/>
  <c r="W77" i="3" s="1"/>
  <c r="X60" i="3"/>
  <c r="EM7" i="8" l="1"/>
  <c r="DC10" i="8"/>
  <c r="EK10" i="8"/>
  <c r="DV2" i="1"/>
  <c r="DV354" i="1"/>
  <c r="DV385" i="1" s="1"/>
  <c r="M12" i="9"/>
  <c r="M9" i="9" s="1"/>
  <c r="M24" i="9" s="1"/>
  <c r="M25" i="9" s="1"/>
  <c r="CV12" i="8"/>
  <c r="BM71" i="6"/>
  <c r="BM54" i="6" s="1"/>
  <c r="BN63" i="6"/>
  <c r="AT71" i="6"/>
  <c r="AT54" i="6" s="1"/>
  <c r="AU63" i="6"/>
  <c r="CC301" i="2"/>
  <c r="DN300" i="2"/>
  <c r="DN301" i="2" s="1"/>
  <c r="BM59" i="6"/>
  <c r="BL67" i="6"/>
  <c r="BL50" i="6" s="1"/>
  <c r="BO62" i="6"/>
  <c r="BO70" i="6" s="1"/>
  <c r="BO53" i="6" s="1"/>
  <c r="BN70" i="6"/>
  <c r="BN53" i="6" s="1"/>
  <c r="CI327" i="5"/>
  <c r="CH328" i="5"/>
  <c r="BK64" i="6"/>
  <c r="BJ72" i="6"/>
  <c r="BJ55" i="6" s="1"/>
  <c r="BJ49" i="6" s="1"/>
  <c r="AT59" i="6"/>
  <c r="AS67" i="6"/>
  <c r="AS50" i="6" s="1"/>
  <c r="AV62" i="6"/>
  <c r="AV70" i="6" s="1"/>
  <c r="AV53" i="6" s="1"/>
  <c r="AU70" i="6"/>
  <c r="AU53" i="6" s="1"/>
  <c r="AP58" i="6"/>
  <c r="AP157" i="6"/>
  <c r="AT156" i="6"/>
  <c r="AT19" i="6"/>
  <c r="AT20" i="6" s="1"/>
  <c r="AO159" i="6"/>
  <c r="AO161" i="6" s="1"/>
  <c r="CE300" i="2"/>
  <c r="BI58" i="6"/>
  <c r="BI157" i="6"/>
  <c r="BI159" i="6" s="1"/>
  <c r="BI161" i="6" s="1"/>
  <c r="AR64" i="6"/>
  <c r="AQ72" i="6"/>
  <c r="AQ55" i="6" s="1"/>
  <c r="AQ49" i="6" s="1"/>
  <c r="AV45" i="6"/>
  <c r="AV40" i="6" s="1"/>
  <c r="AV156" i="6" s="1"/>
  <c r="AU40" i="6"/>
  <c r="AU156" i="6" s="1"/>
  <c r="BO45" i="6"/>
  <c r="BO40" i="6" s="1"/>
  <c r="BN40" i="6"/>
  <c r="AK282" i="5"/>
  <c r="AK285" i="5" s="1"/>
  <c r="AK271" i="5" s="1"/>
  <c r="AK272" i="5" s="1"/>
  <c r="AL283" i="5"/>
  <c r="DC283" i="5"/>
  <c r="DC282" i="5" s="1"/>
  <c r="DO290" i="2"/>
  <c r="DO292" i="2" s="1"/>
  <c r="DN290" i="2"/>
  <c r="DN292" i="2" s="1"/>
  <c r="AY255" i="5"/>
  <c r="AY256" i="5" s="1"/>
  <c r="AY57" i="5"/>
  <c r="AY62" i="5" s="1"/>
  <c r="AY68" i="5" s="1"/>
  <c r="BB50" i="5"/>
  <c r="BB255" i="5" s="1"/>
  <c r="BE256" i="5" s="1"/>
  <c r="AZ50" i="5"/>
  <c r="AZ251" i="5" s="1"/>
  <c r="BE274" i="1"/>
  <c r="BE275" i="1" s="1"/>
  <c r="BE284" i="1" s="1"/>
  <c r="BE278" i="1" s="1"/>
  <c r="DF62" i="5"/>
  <c r="DF68" i="5" s="1"/>
  <c r="DF252" i="5"/>
  <c r="BA50" i="5"/>
  <c r="DG203" i="5"/>
  <c r="DG182" i="5"/>
  <c r="DG181" i="5" s="1"/>
  <c r="DG46" i="5"/>
  <c r="DG56" i="5" s="1"/>
  <c r="DG227" i="5"/>
  <c r="DG226" i="5"/>
  <c r="DI306" i="1"/>
  <c r="BF316" i="1"/>
  <c r="BF320" i="1"/>
  <c r="BG306" i="1"/>
  <c r="BE279" i="1"/>
  <c r="DH242" i="5"/>
  <c r="L35" i="3"/>
  <c r="DG249" i="5"/>
  <c r="DG266" i="5"/>
  <c r="DG242" i="5"/>
  <c r="DG265" i="5"/>
  <c r="G5" i="12"/>
  <c r="G7" i="12"/>
  <c r="G14" i="12" s="1"/>
  <c r="DH26" i="5"/>
  <c r="L22" i="3"/>
  <c r="DG254" i="5"/>
  <c r="H15" i="12" s="1"/>
  <c r="DG35" i="5"/>
  <c r="DG72" i="5"/>
  <c r="DG76" i="5" s="1"/>
  <c r="DG79" i="5" s="1"/>
  <c r="DG84" i="5" s="1"/>
  <c r="DG86" i="5" s="1"/>
  <c r="DG190" i="5"/>
  <c r="DG191" i="5" s="1"/>
  <c r="DG250" i="5"/>
  <c r="DG26" i="5"/>
  <c r="DG198" i="5"/>
  <c r="DG194" i="5"/>
  <c r="BB279" i="1"/>
  <c r="DH300" i="1"/>
  <c r="AL330" i="5"/>
  <c r="AL329" i="5" s="1"/>
  <c r="AL332" i="5" s="1"/>
  <c r="DC332" i="5" s="1"/>
  <c r="AM310" i="5"/>
  <c r="AL309" i="5"/>
  <c r="AL312" i="5" s="1"/>
  <c r="AL317" i="5"/>
  <c r="AK316" i="5"/>
  <c r="AK319" i="5" s="1"/>
  <c r="AK295" i="5" s="1"/>
  <c r="AN318" i="5"/>
  <c r="AV94" i="6"/>
  <c r="AV87" i="6" s="1"/>
  <c r="AV105" i="6"/>
  <c r="AV114" i="6" s="1"/>
  <c r="DJ268" i="2"/>
  <c r="DK263" i="2"/>
  <c r="BO268" i="2"/>
  <c r="BO260" i="2"/>
  <c r="BP263" i="2"/>
  <c r="BP267" i="2" s="1"/>
  <c r="BP271" i="2"/>
  <c r="BZ214" i="2"/>
  <c r="CA209" i="2"/>
  <c r="CA213" i="2" s="1"/>
  <c r="BZ215" i="2"/>
  <c r="DM213" i="2"/>
  <c r="CA219" i="2"/>
  <c r="DH214" i="2"/>
  <c r="DI209" i="2"/>
  <c r="DH215" i="2"/>
  <c r="BG215" i="2"/>
  <c r="BH209" i="2"/>
  <c r="BH213" i="2" s="1"/>
  <c r="BH219" i="2"/>
  <c r="Y60" i="3"/>
  <c r="EL10" i="8" l="1"/>
  <c r="DU2" i="2"/>
  <c r="DV405" i="1"/>
  <c r="DV300" i="1"/>
  <c r="Z10" i="3" s="1"/>
  <c r="CW12" i="8"/>
  <c r="AU71" i="6"/>
  <c r="AU54" i="6" s="1"/>
  <c r="AV63" i="6"/>
  <c r="AV71" i="6" s="1"/>
  <c r="AV54" i="6" s="1"/>
  <c r="BO63" i="6"/>
  <c r="BO71" i="6" s="1"/>
  <c r="BO54" i="6" s="1"/>
  <c r="BN71" i="6"/>
  <c r="BN54" i="6" s="1"/>
  <c r="AS64" i="6"/>
  <c r="AR72" i="6"/>
  <c r="AR55" i="6" s="1"/>
  <c r="AR49" i="6" s="1"/>
  <c r="AU59" i="6"/>
  <c r="AT67" i="6"/>
  <c r="AT50" i="6" s="1"/>
  <c r="CE301" i="2"/>
  <c r="CE291" i="5"/>
  <c r="CE292" i="5" s="1"/>
  <c r="BJ58" i="6"/>
  <c r="BL64" i="6"/>
  <c r="BK72" i="6"/>
  <c r="BK55" i="6" s="1"/>
  <c r="BK49" i="6" s="1"/>
  <c r="AP159" i="6"/>
  <c r="AP161" i="6" s="1"/>
  <c r="CF300" i="2"/>
  <c r="BN59" i="6"/>
  <c r="BM67" i="6"/>
  <c r="BM50" i="6" s="1"/>
  <c r="AQ58" i="6"/>
  <c r="AQ157" i="6"/>
  <c r="CJ327" i="5"/>
  <c r="CI328" i="5"/>
  <c r="DC330" i="5"/>
  <c r="DC329" i="5" s="1"/>
  <c r="AY252" i="5"/>
  <c r="AM283" i="5"/>
  <c r="AL282" i="5"/>
  <c r="AL285" i="5" s="1"/>
  <c r="AZ255" i="5"/>
  <c r="AZ256" i="5" s="1"/>
  <c r="BB57" i="5"/>
  <c r="BB62" i="5" s="1"/>
  <c r="BB68" i="5" s="1"/>
  <c r="AZ57" i="5"/>
  <c r="AZ252" i="5" s="1"/>
  <c r="BB251" i="5"/>
  <c r="DG50" i="5"/>
  <c r="DG255" i="5" s="1"/>
  <c r="BF339" i="1"/>
  <c r="BF330" i="1" s="1"/>
  <c r="DI316" i="1"/>
  <c r="DI339" i="1" s="1"/>
  <c r="DI330" i="1" s="1"/>
  <c r="L37" i="3"/>
  <c r="M36" i="3"/>
  <c r="L36" i="3"/>
  <c r="DH283" i="1"/>
  <c r="L10" i="3"/>
  <c r="DH301" i="1"/>
  <c r="DH37" i="5"/>
  <c r="DG37" i="5"/>
  <c r="H4" i="12"/>
  <c r="BG320" i="1"/>
  <c r="BG327" i="1" s="1"/>
  <c r="BG348" i="1" s="1"/>
  <c r="BG342" i="1" s="1"/>
  <c r="BG316" i="1"/>
  <c r="BG339" i="1" s="1"/>
  <c r="BG330" i="1" s="1"/>
  <c r="BG274" i="1" s="1"/>
  <c r="BG275" i="1" s="1"/>
  <c r="BG284" i="1" s="1"/>
  <c r="BG278" i="1" s="1"/>
  <c r="BH306" i="1"/>
  <c r="BA251" i="5"/>
  <c r="BA255" i="5"/>
  <c r="BD256" i="5" s="1"/>
  <c r="BA57" i="5"/>
  <c r="M23" i="3"/>
  <c r="L23" i="3"/>
  <c r="DI320" i="1"/>
  <c r="BF327" i="1"/>
  <c r="AK296" i="5"/>
  <c r="AM317" i="5"/>
  <c r="AL316" i="5"/>
  <c r="AL319" i="5" s="1"/>
  <c r="AL295" i="5" s="1"/>
  <c r="AL296" i="5" s="1"/>
  <c r="AM330" i="5"/>
  <c r="AM309" i="5"/>
  <c r="AM312" i="5" s="1"/>
  <c r="AN310" i="5"/>
  <c r="AO318" i="5"/>
  <c r="DC312" i="5"/>
  <c r="DN209" i="2"/>
  <c r="DM215" i="2"/>
  <c r="DM214" i="2"/>
  <c r="DN219" i="2"/>
  <c r="CA215" i="2"/>
  <c r="CA214" i="2"/>
  <c r="CB209" i="2"/>
  <c r="CB213" i="2" s="1"/>
  <c r="CB219" i="2"/>
  <c r="BP268" i="2"/>
  <c r="BP260" i="2"/>
  <c r="BQ263" i="2"/>
  <c r="BQ267" i="2" s="1"/>
  <c r="BQ271" i="2"/>
  <c r="BH214" i="2"/>
  <c r="BH215" i="2"/>
  <c r="BI209" i="2"/>
  <c r="BI213" i="2" s="1"/>
  <c r="BI219" i="2"/>
  <c r="BO261" i="2"/>
  <c r="BO237" i="2"/>
  <c r="Z60" i="3"/>
  <c r="EM10" i="8" l="1"/>
  <c r="CX12" i="8"/>
  <c r="CG300" i="2"/>
  <c r="AQ159" i="6"/>
  <c r="AQ161" i="6" s="1"/>
  <c r="BK58" i="6"/>
  <c r="BM64" i="6"/>
  <c r="BL72" i="6"/>
  <c r="BL55" i="6" s="1"/>
  <c r="BL49" i="6" s="1"/>
  <c r="AR58" i="6"/>
  <c r="AR157" i="6"/>
  <c r="CF291" i="5"/>
  <c r="CF292" i="5" s="1"/>
  <c r="CF301" i="2"/>
  <c r="AV59" i="6"/>
  <c r="AV67" i="6" s="1"/>
  <c r="AV50" i="6" s="1"/>
  <c r="AU67" i="6"/>
  <c r="AU50" i="6" s="1"/>
  <c r="CK327" i="5"/>
  <c r="CJ328" i="5"/>
  <c r="AT64" i="6"/>
  <c r="AS72" i="6"/>
  <c r="AS55" i="6" s="1"/>
  <c r="AS49" i="6" s="1"/>
  <c r="BO59" i="6"/>
  <c r="BO67" i="6" s="1"/>
  <c r="BO50" i="6" s="1"/>
  <c r="BN67" i="6"/>
  <c r="BN50" i="6" s="1"/>
  <c r="AZ62" i="5"/>
  <c r="AZ68" i="5" s="1"/>
  <c r="BB252" i="5"/>
  <c r="AL271" i="5"/>
  <c r="AL272" i="5" s="1"/>
  <c r="DC285" i="5"/>
  <c r="DC271" i="5" s="1"/>
  <c r="DC272" i="5" s="1"/>
  <c r="DC273" i="5" s="1"/>
  <c r="AM282" i="5"/>
  <c r="AM285" i="5" s="1"/>
  <c r="AM271" i="5" s="1"/>
  <c r="AM272" i="5" s="1"/>
  <c r="AN283" i="5"/>
  <c r="DG57" i="5"/>
  <c r="DG62" i="5" s="1"/>
  <c r="DG68" i="5" s="1"/>
  <c r="DG251" i="5"/>
  <c r="DI327" i="1"/>
  <c r="DI348" i="1" s="1"/>
  <c r="DI342" i="1" s="1"/>
  <c r="BF348" i="1"/>
  <c r="BF342" i="1" s="1"/>
  <c r="DH284" i="1"/>
  <c r="DH278" i="1" s="1"/>
  <c r="DH279" i="1" s="1"/>
  <c r="I5" i="12"/>
  <c r="H5" i="12"/>
  <c r="H7" i="12"/>
  <c r="H14" i="12" s="1"/>
  <c r="BA256" i="5"/>
  <c r="BG279" i="1"/>
  <c r="BC256" i="5"/>
  <c r="BA62" i="5"/>
  <c r="BA68" i="5" s="1"/>
  <c r="BA252" i="5"/>
  <c r="BH320" i="1"/>
  <c r="BH327" i="1" s="1"/>
  <c r="BH348" i="1" s="1"/>
  <c r="BH342" i="1" s="1"/>
  <c r="BI306" i="1"/>
  <c r="BH316" i="1"/>
  <c r="BH339" i="1" s="1"/>
  <c r="BH330" i="1" s="1"/>
  <c r="BB256" i="5"/>
  <c r="BF274" i="1"/>
  <c r="AN317" i="5"/>
  <c r="AM316" i="5"/>
  <c r="AM319" i="5" s="1"/>
  <c r="AN309" i="5"/>
  <c r="AN312" i="5" s="1"/>
  <c r="AN330" i="5"/>
  <c r="AN329" i="5" s="1"/>
  <c r="AN332" i="5" s="1"/>
  <c r="AO310" i="5"/>
  <c r="DC295" i="5"/>
  <c r="AP318" i="5"/>
  <c r="AM329" i="5"/>
  <c r="AM332" i="5" s="1"/>
  <c r="BQ268" i="2"/>
  <c r="BR263" i="2"/>
  <c r="BR267" i="2" s="1"/>
  <c r="BQ260" i="2"/>
  <c r="BR271" i="2"/>
  <c r="BP261" i="2"/>
  <c r="BP237" i="2"/>
  <c r="CB215" i="2"/>
  <c r="CC209" i="2"/>
  <c r="CC213" i="2" s="1"/>
  <c r="CB214" i="2"/>
  <c r="CC219" i="2"/>
  <c r="BP118" i="2"/>
  <c r="BO69" i="2"/>
  <c r="BO238" i="2"/>
  <c r="BO118" i="2"/>
  <c r="BI214" i="2"/>
  <c r="BI215" i="2"/>
  <c r="BJ209" i="2"/>
  <c r="BJ219" i="2"/>
  <c r="CY12" i="8" l="1"/>
  <c r="BL58" i="6"/>
  <c r="BN64" i="6"/>
  <c r="BM72" i="6"/>
  <c r="BM55" i="6" s="1"/>
  <c r="BM49" i="6" s="1"/>
  <c r="AS58" i="6"/>
  <c r="AS157" i="6"/>
  <c r="AR159" i="6"/>
  <c r="AR161" i="6" s="1"/>
  <c r="CH300" i="2"/>
  <c r="CL327" i="5"/>
  <c r="CK328" i="5"/>
  <c r="AU64" i="6"/>
  <c r="AT72" i="6"/>
  <c r="AT55" i="6" s="1"/>
  <c r="AT49" i="6" s="1"/>
  <c r="CG291" i="5"/>
  <c r="CG292" i="5" s="1"/>
  <c r="CG301" i="2"/>
  <c r="AN282" i="5"/>
  <c r="AN285" i="5" s="1"/>
  <c r="AN271" i="5" s="1"/>
  <c r="AN272" i="5" s="1"/>
  <c r="AO283" i="5"/>
  <c r="AM295" i="5"/>
  <c r="DG252" i="5"/>
  <c r="BH274" i="1"/>
  <c r="BH275" i="1" s="1"/>
  <c r="BH284" i="1" s="1"/>
  <c r="BH278" i="1" s="1"/>
  <c r="DI274" i="1"/>
  <c r="DI275" i="1" s="1"/>
  <c r="BF275" i="1"/>
  <c r="BF284" i="1" s="1"/>
  <c r="BF278" i="1" s="1"/>
  <c r="BJ306" i="1"/>
  <c r="BI320" i="1"/>
  <c r="BI327" i="1" s="1"/>
  <c r="BI348" i="1" s="1"/>
  <c r="BI342" i="1" s="1"/>
  <c r="BI316" i="1"/>
  <c r="BI339" i="1" s="1"/>
  <c r="BI330" i="1" s="1"/>
  <c r="AM296" i="5"/>
  <c r="AQ318" i="5"/>
  <c r="DC300" i="2"/>
  <c r="DC296" i="5"/>
  <c r="AP310" i="5"/>
  <c r="AO330" i="5"/>
  <c r="AO329" i="5" s="1"/>
  <c r="AO332" i="5" s="1"/>
  <c r="AO309" i="5"/>
  <c r="AO312" i="5" s="1"/>
  <c r="AO317" i="5"/>
  <c r="AN316" i="5"/>
  <c r="AN319" i="5" s="1"/>
  <c r="AN295" i="5" s="1"/>
  <c r="CD209" i="2"/>
  <c r="CD213" i="2" s="1"/>
  <c r="CC215" i="2"/>
  <c r="CC214" i="2"/>
  <c r="CD219" i="2"/>
  <c r="BP238" i="2"/>
  <c r="BP69" i="2"/>
  <c r="BQ261" i="2"/>
  <c r="BQ237" i="2"/>
  <c r="BQ118" i="2" s="1"/>
  <c r="BR260" i="2"/>
  <c r="DK267" i="2"/>
  <c r="BR268" i="2"/>
  <c r="BS263" i="2"/>
  <c r="BS267" i="2" s="1"/>
  <c r="BS271" i="2"/>
  <c r="CZ12" i="8" l="1"/>
  <c r="BM58" i="6"/>
  <c r="BO64" i="6"/>
  <c r="BO72" i="6" s="1"/>
  <c r="BO55" i="6" s="1"/>
  <c r="BO49" i="6" s="1"/>
  <c r="BN72" i="6"/>
  <c r="BN55" i="6" s="1"/>
  <c r="BN49" i="6" s="1"/>
  <c r="CH301" i="2"/>
  <c r="DO300" i="2"/>
  <c r="DO301" i="2" s="1"/>
  <c r="AS159" i="6"/>
  <c r="AS161" i="6" s="1"/>
  <c r="CI300" i="2"/>
  <c r="AT58" i="6"/>
  <c r="AT157" i="6"/>
  <c r="AV64" i="6"/>
  <c r="AV72" i="6" s="1"/>
  <c r="AV55" i="6" s="1"/>
  <c r="AV49" i="6" s="1"/>
  <c r="AU72" i="6"/>
  <c r="AU55" i="6" s="1"/>
  <c r="AU49" i="6" s="1"/>
  <c r="AO282" i="5"/>
  <c r="AO285" i="5" s="1"/>
  <c r="AO271" i="5" s="1"/>
  <c r="AO272" i="5" s="1"/>
  <c r="AP283" i="5"/>
  <c r="BI274" i="1"/>
  <c r="BI275" i="1" s="1"/>
  <c r="BI284" i="1" s="1"/>
  <c r="BI278" i="1" s="1"/>
  <c r="BI279" i="1" s="1"/>
  <c r="BJ316" i="1"/>
  <c r="BK306" i="1"/>
  <c r="DJ306" i="1"/>
  <c r="BJ320" i="1"/>
  <c r="BF279" i="1"/>
  <c r="DI300" i="1"/>
  <c r="BH279" i="1"/>
  <c r="AN296" i="5"/>
  <c r="AP309" i="5"/>
  <c r="AP312" i="5" s="1"/>
  <c r="AQ310" i="5"/>
  <c r="AP330" i="5"/>
  <c r="DD310" i="5"/>
  <c r="DD309" i="5" s="1"/>
  <c r="AP317" i="5"/>
  <c r="AO316" i="5"/>
  <c r="AO319" i="5" s="1"/>
  <c r="AO295" i="5" s="1"/>
  <c r="AO296" i="5" s="1"/>
  <c r="AR318" i="5"/>
  <c r="DK268" i="2"/>
  <c r="DL263" i="2"/>
  <c r="BR261" i="2"/>
  <c r="DK260" i="2"/>
  <c r="DK261" i="2" s="1"/>
  <c r="BR237" i="2"/>
  <c r="BR118" i="2" s="1"/>
  <c r="BQ238" i="2"/>
  <c r="BQ69" i="2"/>
  <c r="BS260" i="2"/>
  <c r="BS268" i="2"/>
  <c r="BT263" i="2"/>
  <c r="BT267" i="2" s="1"/>
  <c r="BT271" i="2"/>
  <c r="CD215" i="2"/>
  <c r="DN213" i="2"/>
  <c r="CD214" i="2"/>
  <c r="CE209" i="2"/>
  <c r="CE213" i="2" s="1"/>
  <c r="CE219" i="2"/>
  <c r="DA12" i="8" l="1"/>
  <c r="AU58" i="6"/>
  <c r="AU157" i="6"/>
  <c r="AT159" i="6"/>
  <c r="AT161" i="6" s="1"/>
  <c r="CJ300" i="2"/>
  <c r="CJ301" i="2" s="1"/>
  <c r="BO58" i="6"/>
  <c r="AV58" i="6"/>
  <c r="AV157" i="6"/>
  <c r="CI301" i="2"/>
  <c r="BN58" i="6"/>
  <c r="DD283" i="5"/>
  <c r="DD282" i="5" s="1"/>
  <c r="AQ283" i="5"/>
  <c r="AP282" i="5"/>
  <c r="AP285" i="5" s="1"/>
  <c r="BJ327" i="1"/>
  <c r="DJ320" i="1"/>
  <c r="M10" i="3"/>
  <c r="DI283" i="1"/>
  <c r="DI301" i="1"/>
  <c r="BL306" i="1"/>
  <c r="BK316" i="1"/>
  <c r="BK339" i="1" s="1"/>
  <c r="BK330" i="1" s="1"/>
  <c r="BK320" i="1"/>
  <c r="BK327" i="1" s="1"/>
  <c r="BK348" i="1" s="1"/>
  <c r="BK342" i="1" s="1"/>
  <c r="DJ316" i="1"/>
  <c r="DJ339" i="1" s="1"/>
  <c r="DJ330" i="1" s="1"/>
  <c r="BJ339" i="1"/>
  <c r="BJ330" i="1" s="1"/>
  <c r="AQ317" i="5"/>
  <c r="AP316" i="5"/>
  <c r="AP319" i="5" s="1"/>
  <c r="AP329" i="5"/>
  <c r="AP332" i="5" s="1"/>
  <c r="DD332" i="5" s="1"/>
  <c r="DD330" i="5"/>
  <c r="DD329" i="5" s="1"/>
  <c r="AQ330" i="5"/>
  <c r="AQ309" i="5"/>
  <c r="AQ312" i="5" s="1"/>
  <c r="AR310" i="5"/>
  <c r="DD312" i="5"/>
  <c r="BR69" i="2"/>
  <c r="BR238" i="2"/>
  <c r="DK237" i="2"/>
  <c r="BT260" i="2"/>
  <c r="BU263" i="2"/>
  <c r="BU267" i="2" s="1"/>
  <c r="BT268" i="2"/>
  <c r="BU271" i="2"/>
  <c r="BS261" i="2"/>
  <c r="BS237" i="2"/>
  <c r="CE215" i="2"/>
  <c r="CE214" i="2"/>
  <c r="CF209" i="2"/>
  <c r="CF213" i="2" s="1"/>
  <c r="CF219" i="2"/>
  <c r="DN215" i="2"/>
  <c r="DO209" i="2"/>
  <c r="DN214" i="2"/>
  <c r="DO219" i="2"/>
  <c r="DB12" i="8" l="1"/>
  <c r="EJ12" i="8"/>
  <c r="J14" i="9" s="1"/>
  <c r="AU159" i="6"/>
  <c r="AU161" i="6" s="1"/>
  <c r="CK300" i="2"/>
  <c r="CK301" i="2" s="1"/>
  <c r="CL300" i="2"/>
  <c r="AV159" i="6"/>
  <c r="AV161" i="6" s="1"/>
  <c r="AP271" i="5"/>
  <c r="AP272" i="5" s="1"/>
  <c r="DD285" i="5"/>
  <c r="DD271" i="5" s="1"/>
  <c r="DD272" i="5" s="1"/>
  <c r="DD273" i="5" s="1"/>
  <c r="AQ282" i="5"/>
  <c r="AQ285" i="5" s="1"/>
  <c r="AQ271" i="5" s="1"/>
  <c r="AQ272" i="5" s="1"/>
  <c r="AR283" i="5"/>
  <c r="BL316" i="1"/>
  <c r="BL339" i="1" s="1"/>
  <c r="BL330" i="1" s="1"/>
  <c r="BM306" i="1"/>
  <c r="BL320" i="1"/>
  <c r="BL327" i="1" s="1"/>
  <c r="BL348" i="1" s="1"/>
  <c r="BL342" i="1" s="1"/>
  <c r="BK274" i="1"/>
  <c r="BK275" i="1" s="1"/>
  <c r="BK284" i="1" s="1"/>
  <c r="BK278" i="1" s="1"/>
  <c r="DI284" i="1"/>
  <c r="DI278" i="1"/>
  <c r="DI279" i="1" s="1"/>
  <c r="BJ348" i="1"/>
  <c r="BJ342" i="1" s="1"/>
  <c r="BJ274" i="1" s="1"/>
  <c r="DJ327" i="1"/>
  <c r="DJ348" i="1" s="1"/>
  <c r="DJ342" i="1" s="1"/>
  <c r="AQ329" i="5"/>
  <c r="AQ332" i="5" s="1"/>
  <c r="AR317" i="5"/>
  <c r="AR316" i="5" s="1"/>
  <c r="AR319" i="5" s="1"/>
  <c r="AQ316" i="5"/>
  <c r="AQ319" i="5" s="1"/>
  <c r="AP295" i="5"/>
  <c r="AR330" i="5"/>
  <c r="AR329" i="5" s="1"/>
  <c r="AR332" i="5" s="1"/>
  <c r="AS310" i="5"/>
  <c r="AR309" i="5"/>
  <c r="AR312" i="5" s="1"/>
  <c r="BU268" i="2"/>
  <c r="BV263" i="2"/>
  <c r="BV267" i="2" s="1"/>
  <c r="BU260" i="2"/>
  <c r="BV271" i="2"/>
  <c r="BT261" i="2"/>
  <c r="BT237" i="2"/>
  <c r="BT118" i="2"/>
  <c r="BS238" i="2"/>
  <c r="BS69" i="2"/>
  <c r="DK238" i="2"/>
  <c r="DK69" i="2"/>
  <c r="BS118" i="2"/>
  <c r="CG219" i="2"/>
  <c r="CF214" i="2"/>
  <c r="CG209" i="2"/>
  <c r="CG213" i="2" s="1"/>
  <c r="CF215" i="2"/>
  <c r="DC12" i="8" l="1"/>
  <c r="CL291" i="5"/>
  <c r="CL299" i="2"/>
  <c r="DP299" i="2" s="1"/>
  <c r="DP300" i="2"/>
  <c r="AQ295" i="5"/>
  <c r="AS283" i="5"/>
  <c r="AR282" i="5"/>
  <c r="AR285" i="5" s="1"/>
  <c r="AR271" i="5" s="1"/>
  <c r="AR272" i="5" s="1"/>
  <c r="BJ275" i="1"/>
  <c r="BJ284" i="1" s="1"/>
  <c r="BJ278" i="1" s="1"/>
  <c r="DJ274" i="1"/>
  <c r="DJ275" i="1" s="1"/>
  <c r="BK279" i="1"/>
  <c r="BM320" i="1"/>
  <c r="BM327" i="1" s="1"/>
  <c r="BM348" i="1" s="1"/>
  <c r="BM342" i="1" s="1"/>
  <c r="BM316" i="1"/>
  <c r="BM339" i="1" s="1"/>
  <c r="BM330" i="1" s="1"/>
  <c r="BM274" i="1" s="1"/>
  <c r="BM275" i="1" s="1"/>
  <c r="BM284" i="1" s="1"/>
  <c r="BM278" i="1" s="1"/>
  <c r="BM279" i="1" s="1"/>
  <c r="BN306" i="1"/>
  <c r="BL274" i="1"/>
  <c r="BL275" i="1" s="1"/>
  <c r="BL284" i="1" s="1"/>
  <c r="BL278" i="1" s="1"/>
  <c r="AQ300" i="2"/>
  <c r="AQ296" i="5"/>
  <c r="AS309" i="5"/>
  <c r="AS312" i="5" s="1"/>
  <c r="AS330" i="5"/>
  <c r="AS329" i="5" s="1"/>
  <c r="AS332" i="5" s="1"/>
  <c r="AT310" i="5"/>
  <c r="AP296" i="5"/>
  <c r="DD295" i="5"/>
  <c r="AR295" i="5"/>
  <c r="CG214" i="2"/>
  <c r="CH209" i="2"/>
  <c r="CH213" i="2" s="1"/>
  <c r="CG215" i="2"/>
  <c r="CH219" i="2"/>
  <c r="CL219" i="2" s="1"/>
  <c r="BU261" i="2"/>
  <c r="BU237" i="2"/>
  <c r="BU118" i="2" s="1"/>
  <c r="BT238" i="2"/>
  <c r="BT69" i="2"/>
  <c r="BV260" i="2"/>
  <c r="BW263" i="2"/>
  <c r="BW267" i="2" s="1"/>
  <c r="BV268" i="2"/>
  <c r="DL267" i="2"/>
  <c r="BW271" i="2"/>
  <c r="EK12" i="8" l="1"/>
  <c r="K14" i="9" s="1"/>
  <c r="DP301" i="2"/>
  <c r="AT283" i="5"/>
  <c r="AS282" i="5"/>
  <c r="AS285" i="5" s="1"/>
  <c r="AS271" i="5" s="1"/>
  <c r="AS272" i="5" s="1"/>
  <c r="DE283" i="5"/>
  <c r="DE282" i="5" s="1"/>
  <c r="BN320" i="1"/>
  <c r="BN316" i="1"/>
  <c r="BN339" i="1" s="1"/>
  <c r="BN330" i="1" s="1"/>
  <c r="BO306" i="1"/>
  <c r="DK306" i="1"/>
  <c r="DK316" i="1" s="1"/>
  <c r="DK339" i="1" s="1"/>
  <c r="DK330" i="1" s="1"/>
  <c r="BL279" i="1"/>
  <c r="BJ279" i="1"/>
  <c r="DJ300" i="1"/>
  <c r="AR300" i="2"/>
  <c r="AR301" i="2" s="1"/>
  <c r="AR296" i="5"/>
  <c r="AS295" i="5"/>
  <c r="AQ301" i="2"/>
  <c r="DD296" i="5"/>
  <c r="DD300" i="2"/>
  <c r="AT330" i="5"/>
  <c r="AU310" i="5"/>
  <c r="AT309" i="5"/>
  <c r="AT312" i="5" s="1"/>
  <c r="DE310" i="5"/>
  <c r="DE309" i="5" s="1"/>
  <c r="CH214" i="2"/>
  <c r="CH215" i="2"/>
  <c r="DO213" i="2"/>
  <c r="CI209" i="2"/>
  <c r="CI213" i="2" s="1"/>
  <c r="CI219" i="2"/>
  <c r="BX263" i="2"/>
  <c r="BX267" i="2" s="1"/>
  <c r="BW260" i="2"/>
  <c r="BW268" i="2"/>
  <c r="BX271" i="2"/>
  <c r="BV261" i="2"/>
  <c r="DL260" i="2"/>
  <c r="DL261" i="2" s="1"/>
  <c r="BV237" i="2"/>
  <c r="BV118" i="2" s="1"/>
  <c r="BU238" i="2"/>
  <c r="BU69" i="2"/>
  <c r="DL268" i="2"/>
  <c r="DM263" i="2"/>
  <c r="EL12" i="8" l="1"/>
  <c r="L14" i="9" s="1"/>
  <c r="AU283" i="5"/>
  <c r="AT282" i="5"/>
  <c r="AT285" i="5" s="1"/>
  <c r="BO316" i="1"/>
  <c r="BO339" i="1" s="1"/>
  <c r="BO330" i="1" s="1"/>
  <c r="BP306" i="1"/>
  <c r="BO320" i="1"/>
  <c r="BO327" i="1" s="1"/>
  <c r="BO348" i="1" s="1"/>
  <c r="BO342" i="1" s="1"/>
  <c r="DJ283" i="1"/>
  <c r="N10" i="3"/>
  <c r="DJ301" i="1"/>
  <c r="BN327" i="1"/>
  <c r="BN348" i="1" s="1"/>
  <c r="BN342" i="1" s="1"/>
  <c r="BN274" i="1" s="1"/>
  <c r="DK320" i="1"/>
  <c r="DK327" i="1" s="1"/>
  <c r="DK348" i="1" s="1"/>
  <c r="DK342" i="1" s="1"/>
  <c r="AS296" i="5"/>
  <c r="AS300" i="2"/>
  <c r="DE312" i="5"/>
  <c r="AV310" i="5"/>
  <c r="AU330" i="5"/>
  <c r="AU309" i="5"/>
  <c r="AU312" i="5" s="1"/>
  <c r="AT329" i="5"/>
  <c r="AT332" i="5" s="1"/>
  <c r="DE332" i="5" s="1"/>
  <c r="DE330" i="5"/>
  <c r="DE329" i="5" s="1"/>
  <c r="BY263" i="2"/>
  <c r="BY267" i="2" s="1"/>
  <c r="BX268" i="2"/>
  <c r="BX260" i="2"/>
  <c r="BY271" i="2"/>
  <c r="BW261" i="2"/>
  <c r="BW237" i="2"/>
  <c r="CI214" i="2"/>
  <c r="CI215" i="2"/>
  <c r="CJ209" i="2"/>
  <c r="CJ213" i="2" s="1"/>
  <c r="CJ219" i="2"/>
  <c r="DO215" i="2"/>
  <c r="DP209" i="2"/>
  <c r="DO214" i="2"/>
  <c r="BV238" i="2"/>
  <c r="DL237" i="2"/>
  <c r="BV69" i="2"/>
  <c r="EM12" i="8" l="1"/>
  <c r="M14" i="9" s="1"/>
  <c r="AT271" i="5"/>
  <c r="AT272" i="5" s="1"/>
  <c r="DE285" i="5"/>
  <c r="DE271" i="5" s="1"/>
  <c r="DE272" i="5" s="1"/>
  <c r="DE273" i="5" s="1"/>
  <c r="AU282" i="5"/>
  <c r="AU285" i="5" s="1"/>
  <c r="AU271" i="5" s="1"/>
  <c r="AU272" i="5" s="1"/>
  <c r="AV283" i="5"/>
  <c r="BN275" i="1"/>
  <c r="BN284" i="1" s="1"/>
  <c r="BN278" i="1" s="1"/>
  <c r="DK274" i="1"/>
  <c r="DK275" i="1" s="1"/>
  <c r="BP316" i="1"/>
  <c r="BP339" i="1" s="1"/>
  <c r="BP330" i="1" s="1"/>
  <c r="BQ306" i="1"/>
  <c r="BP320" i="1"/>
  <c r="BP327" i="1" s="1"/>
  <c r="BP348" i="1" s="1"/>
  <c r="BP342" i="1" s="1"/>
  <c r="DJ284" i="1"/>
  <c r="DJ278" i="1"/>
  <c r="DJ279" i="1" s="1"/>
  <c r="BO274" i="1"/>
  <c r="BO275" i="1" s="1"/>
  <c r="BO284" i="1" s="1"/>
  <c r="BO278" i="1" s="1"/>
  <c r="BO279" i="1" s="1"/>
  <c r="AT295" i="5"/>
  <c r="AW310" i="5"/>
  <c r="AV330" i="5"/>
  <c r="AV329" i="5" s="1"/>
  <c r="AV332" i="5" s="1"/>
  <c r="AV309" i="5"/>
  <c r="AV312" i="5" s="1"/>
  <c r="AU329" i="5"/>
  <c r="AU332" i="5" s="1"/>
  <c r="AS301" i="2"/>
  <c r="CJ215" i="2"/>
  <c r="CK209" i="2"/>
  <c r="CK213" i="2" s="1"/>
  <c r="CJ214" i="2"/>
  <c r="CK219" i="2"/>
  <c r="BW69" i="2"/>
  <c r="BW238" i="2"/>
  <c r="BW118" i="2"/>
  <c r="DL238" i="2"/>
  <c r="DL69" i="2"/>
  <c r="BX261" i="2"/>
  <c r="BX237" i="2"/>
  <c r="BX118" i="2" s="1"/>
  <c r="BY260" i="2"/>
  <c r="BY268" i="2"/>
  <c r="BZ263" i="2"/>
  <c r="BZ267" i="2" s="1"/>
  <c r="BZ271" i="2"/>
  <c r="AW283" i="5" l="1"/>
  <c r="AV282" i="5"/>
  <c r="AV285" i="5" s="1"/>
  <c r="AV271" i="5" s="1"/>
  <c r="AV272" i="5" s="1"/>
  <c r="BR306" i="1"/>
  <c r="BQ320" i="1"/>
  <c r="BQ327" i="1" s="1"/>
  <c r="BQ348" i="1" s="1"/>
  <c r="BQ342" i="1" s="1"/>
  <c r="BQ316" i="1"/>
  <c r="BQ339" i="1" s="1"/>
  <c r="BQ330" i="1" s="1"/>
  <c r="BQ274" i="1" s="1"/>
  <c r="BQ275" i="1" s="1"/>
  <c r="BQ284" i="1" s="1"/>
  <c r="BQ278" i="1" s="1"/>
  <c r="BQ279" i="1" s="1"/>
  <c r="BP274" i="1"/>
  <c r="BP275" i="1" s="1"/>
  <c r="BP284" i="1" s="1"/>
  <c r="BP278" i="1" s="1"/>
  <c r="BP279" i="1" s="1"/>
  <c r="BN279" i="1"/>
  <c r="DK300" i="1"/>
  <c r="DL300" i="1"/>
  <c r="AT296" i="5"/>
  <c r="AT300" i="2"/>
  <c r="DE295" i="5"/>
  <c r="DE296" i="5" s="1"/>
  <c r="AV295" i="5"/>
  <c r="AW330" i="5"/>
  <c r="AX310" i="5"/>
  <c r="AW309" i="5"/>
  <c r="AW312" i="5" s="1"/>
  <c r="AU295" i="5"/>
  <c r="BZ260" i="2"/>
  <c r="CA263" i="2"/>
  <c r="CA267" i="2" s="1"/>
  <c r="DM267" i="2"/>
  <c r="BZ268" i="2"/>
  <c r="CA271" i="2"/>
  <c r="BX69" i="2"/>
  <c r="BX238" i="2"/>
  <c r="CL209" i="2"/>
  <c r="CL213" i="2" s="1"/>
  <c r="CK214" i="2"/>
  <c r="CL218" i="2"/>
  <c r="CL217" i="2" s="1"/>
  <c r="CL114" i="2" s="1"/>
  <c r="BY261" i="2"/>
  <c r="BY237" i="2"/>
  <c r="BY118" i="2" s="1"/>
  <c r="CM209" i="2" l="1"/>
  <c r="CM218" i="2"/>
  <c r="AX283" i="5"/>
  <c r="DF283" i="5" s="1"/>
  <c r="DF282" i="5" s="1"/>
  <c r="AW282" i="5"/>
  <c r="AW285" i="5" s="1"/>
  <c r="AW271" i="5" s="1"/>
  <c r="AW272" i="5" s="1"/>
  <c r="O10" i="3"/>
  <c r="DK301" i="1"/>
  <c r="DK283" i="1"/>
  <c r="DL283" i="1"/>
  <c r="DL301" i="1"/>
  <c r="P10" i="3"/>
  <c r="BR320" i="1"/>
  <c r="DL306" i="1"/>
  <c r="DM306" i="1" s="1"/>
  <c r="BR316" i="1"/>
  <c r="BS306" i="1"/>
  <c r="AV296" i="5"/>
  <c r="AV300" i="2"/>
  <c r="AV301" i="2" s="1"/>
  <c r="AU300" i="2"/>
  <c r="AU296" i="5"/>
  <c r="AT301" i="2"/>
  <c r="DE300" i="2"/>
  <c r="DE301" i="2" s="1"/>
  <c r="AY310" i="5"/>
  <c r="AX330" i="5"/>
  <c r="AX329" i="5" s="1"/>
  <c r="AX332" i="5" s="1"/>
  <c r="AX309" i="5"/>
  <c r="AX312" i="5" s="1"/>
  <c r="DF310" i="5"/>
  <c r="DF309" i="5" s="1"/>
  <c r="AW329" i="5"/>
  <c r="AW332" i="5" s="1"/>
  <c r="CL115" i="2"/>
  <c r="DP114" i="2"/>
  <c r="CL105" i="2"/>
  <c r="CL214" i="2"/>
  <c r="DP213" i="2"/>
  <c r="DQ209" i="2" s="1"/>
  <c r="DM268" i="2"/>
  <c r="DN263" i="2"/>
  <c r="CB271" i="2"/>
  <c r="CB263" i="2"/>
  <c r="CB267" i="2" s="1"/>
  <c r="CA260" i="2"/>
  <c r="CA268" i="2"/>
  <c r="BY238" i="2"/>
  <c r="BY69" i="2"/>
  <c r="BZ261" i="2"/>
  <c r="BZ237" i="2"/>
  <c r="DM260" i="2"/>
  <c r="DM261" i="2" s="1"/>
  <c r="AX282" i="5" l="1"/>
  <c r="AX285" i="5" s="1"/>
  <c r="AY283" i="5"/>
  <c r="AX295" i="5"/>
  <c r="AX296" i="5" s="1"/>
  <c r="DN306" i="1"/>
  <c r="DM316" i="1"/>
  <c r="DM339" i="1" s="1"/>
  <c r="DM330" i="1" s="1"/>
  <c r="DK284" i="1"/>
  <c r="DK278" i="1"/>
  <c r="DK279" i="1" s="1"/>
  <c r="BT306" i="1"/>
  <c r="BS316" i="1"/>
  <c r="BS339" i="1" s="1"/>
  <c r="BS330" i="1" s="1"/>
  <c r="BS320" i="1"/>
  <c r="BS327" i="1" s="1"/>
  <c r="BS348" i="1" s="1"/>
  <c r="BS342" i="1" s="1"/>
  <c r="BR327" i="1"/>
  <c r="BR348" i="1" s="1"/>
  <c r="BR342" i="1" s="1"/>
  <c r="DL320" i="1"/>
  <c r="BR339" i="1"/>
  <c r="BR330" i="1" s="1"/>
  <c r="DL316" i="1"/>
  <c r="DL339" i="1" s="1"/>
  <c r="DL330" i="1" s="1"/>
  <c r="DF332" i="5"/>
  <c r="DF312" i="5"/>
  <c r="DF330" i="5"/>
  <c r="DF329" i="5" s="1"/>
  <c r="AY330" i="5"/>
  <c r="AY309" i="5"/>
  <c r="AY312" i="5" s="1"/>
  <c r="AZ310" i="5"/>
  <c r="AU301" i="2"/>
  <c r="AX300" i="2"/>
  <c r="AX301" i="2" s="1"/>
  <c r="AW295" i="5"/>
  <c r="CA261" i="2"/>
  <c r="CA237" i="2"/>
  <c r="DP214" i="2"/>
  <c r="BZ238" i="2"/>
  <c r="BZ69" i="2"/>
  <c r="DM237" i="2"/>
  <c r="CA118" i="2"/>
  <c r="DP115" i="2"/>
  <c r="DP217" i="2"/>
  <c r="DP218" i="2" s="1"/>
  <c r="DP219" i="2" s="1"/>
  <c r="CC263" i="2"/>
  <c r="CC267" i="2" s="1"/>
  <c r="CB260" i="2"/>
  <c r="CB268" i="2"/>
  <c r="CC271" i="2"/>
  <c r="BZ118" i="2"/>
  <c r="AY282" i="5" l="1"/>
  <c r="AY285" i="5" s="1"/>
  <c r="AY271" i="5" s="1"/>
  <c r="AY272" i="5" s="1"/>
  <c r="AZ283" i="5"/>
  <c r="AX271" i="5"/>
  <c r="AX272" i="5" s="1"/>
  <c r="DF285" i="5"/>
  <c r="DF271" i="5" s="1"/>
  <c r="DF272" i="5" s="1"/>
  <c r="DF273" i="5" s="1"/>
  <c r="BS274" i="1"/>
  <c r="BS275" i="1" s="1"/>
  <c r="BS284" i="1" s="1"/>
  <c r="BS278" i="1" s="1"/>
  <c r="BS279" i="1" s="1"/>
  <c r="BR274" i="1"/>
  <c r="DL274" i="1"/>
  <c r="DL275" i="1" s="1"/>
  <c r="DL284" i="1" s="1"/>
  <c r="DL278" i="1" s="1"/>
  <c r="DL279" i="1" s="1"/>
  <c r="BR275" i="1"/>
  <c r="BR284" i="1" s="1"/>
  <c r="BR278" i="1" s="1"/>
  <c r="BR279" i="1" s="1"/>
  <c r="BT320" i="1"/>
  <c r="BT327" i="1" s="1"/>
  <c r="BT348" i="1" s="1"/>
  <c r="BT342" i="1" s="1"/>
  <c r="BT316" i="1"/>
  <c r="BT339" i="1" s="1"/>
  <c r="BT330" i="1" s="1"/>
  <c r="BT274" i="1" s="1"/>
  <c r="BT275" i="1" s="1"/>
  <c r="BT284" i="1" s="1"/>
  <c r="BT278" i="1" s="1"/>
  <c r="BT279" i="1" s="1"/>
  <c r="BU306" i="1"/>
  <c r="DM320" i="1"/>
  <c r="DL327" i="1"/>
  <c r="DL348" i="1" s="1"/>
  <c r="DL342" i="1" s="1"/>
  <c r="DN316" i="1"/>
  <c r="DN339" i="1" s="1"/>
  <c r="DN330" i="1" s="1"/>
  <c r="DO306" i="1"/>
  <c r="AW296" i="5"/>
  <c r="AW300" i="2"/>
  <c r="DF295" i="5"/>
  <c r="DF296" i="5" s="1"/>
  <c r="BA310" i="5"/>
  <c r="AZ330" i="5"/>
  <c r="AZ329" i="5" s="1"/>
  <c r="AZ332" i="5" s="1"/>
  <c r="AZ309" i="5"/>
  <c r="AZ312" i="5" s="1"/>
  <c r="AZ295" i="5" s="1"/>
  <c r="AY329" i="5"/>
  <c r="AY332" i="5" s="1"/>
  <c r="AY295" i="5" s="1"/>
  <c r="CC268" i="2"/>
  <c r="CD263" i="2"/>
  <c r="CD267" i="2" s="1"/>
  <c r="CC260" i="2"/>
  <c r="CD271" i="2"/>
  <c r="DM238" i="2"/>
  <c r="DM69" i="2"/>
  <c r="CA238" i="2"/>
  <c r="CA69" i="2"/>
  <c r="CB261" i="2"/>
  <c r="CB237" i="2"/>
  <c r="BA283" i="5" l="1"/>
  <c r="AZ282" i="5"/>
  <c r="AZ285" i="5" s="1"/>
  <c r="AZ271" i="5" s="1"/>
  <c r="AZ272" i="5" s="1"/>
  <c r="BV306" i="1"/>
  <c r="BU320" i="1"/>
  <c r="BU327" i="1" s="1"/>
  <c r="BU348" i="1" s="1"/>
  <c r="BU342" i="1" s="1"/>
  <c r="BU316" i="1"/>
  <c r="BU339" i="1" s="1"/>
  <c r="BU330" i="1" s="1"/>
  <c r="DO316" i="1"/>
  <c r="DO339" i="1" s="1"/>
  <c r="DO330" i="1" s="1"/>
  <c r="DP306" i="1"/>
  <c r="DM327" i="1"/>
  <c r="DM348" i="1" s="1"/>
  <c r="DM342" i="1" s="1"/>
  <c r="DN320" i="1"/>
  <c r="AY296" i="5"/>
  <c r="AY300" i="2"/>
  <c r="AZ300" i="2"/>
  <c r="AZ301" i="2" s="1"/>
  <c r="AZ296" i="5"/>
  <c r="BA330" i="5"/>
  <c r="BA329" i="5" s="1"/>
  <c r="BA332" i="5" s="1"/>
  <c r="BA309" i="5"/>
  <c r="BA312" i="5" s="1"/>
  <c r="BB310" i="5"/>
  <c r="AW301" i="2"/>
  <c r="DF300" i="2"/>
  <c r="DF301" i="2" s="1"/>
  <c r="CB69" i="2"/>
  <c r="CB238" i="2"/>
  <c r="CB118" i="2"/>
  <c r="CC261" i="2"/>
  <c r="CC237" i="2"/>
  <c r="CE271" i="2"/>
  <c r="CD260" i="2"/>
  <c r="CD268" i="2"/>
  <c r="CE263" i="2"/>
  <c r="CE267" i="2" s="1"/>
  <c r="DN267" i="2"/>
  <c r="BB283" i="5" l="1"/>
  <c r="BA282" i="5"/>
  <c r="BA285" i="5" s="1"/>
  <c r="BA271" i="5" s="1"/>
  <c r="BA272" i="5" s="1"/>
  <c r="BU274" i="1"/>
  <c r="BU275" i="1" s="1"/>
  <c r="BU284" i="1" s="1"/>
  <c r="BU278" i="1" s="1"/>
  <c r="BU279" i="1" s="1"/>
  <c r="DQ306" i="1"/>
  <c r="DP316" i="1"/>
  <c r="DP339" i="1" s="1"/>
  <c r="DP330" i="1" s="1"/>
  <c r="DN327" i="1"/>
  <c r="DN348" i="1" s="1"/>
  <c r="DN342" i="1" s="1"/>
  <c r="DO320" i="1"/>
  <c r="BV316" i="1"/>
  <c r="BV339" i="1" s="1"/>
  <c r="BV330" i="1" s="1"/>
  <c r="BV320" i="1"/>
  <c r="BV327" i="1" s="1"/>
  <c r="BV348" i="1" s="1"/>
  <c r="BV342" i="1" s="1"/>
  <c r="BW306" i="1"/>
  <c r="BA295" i="5"/>
  <c r="BB330" i="5"/>
  <c r="BC310" i="5"/>
  <c r="BB309" i="5"/>
  <c r="BB312" i="5" s="1"/>
  <c r="DG310" i="5"/>
  <c r="DG309" i="5" s="1"/>
  <c r="AY301" i="2"/>
  <c r="CF263" i="2"/>
  <c r="CF267" i="2" s="1"/>
  <c r="CE260" i="2"/>
  <c r="CE268" i="2"/>
  <c r="CF271" i="2"/>
  <c r="CD261" i="2"/>
  <c r="CD237" i="2"/>
  <c r="CD118" i="2" s="1"/>
  <c r="DN260" i="2"/>
  <c r="DN261" i="2" s="1"/>
  <c r="DN268" i="2"/>
  <c r="DO263" i="2"/>
  <c r="CC238" i="2"/>
  <c r="CC69" i="2"/>
  <c r="CC118" i="2"/>
  <c r="BC283" i="5" l="1"/>
  <c r="BB282" i="5"/>
  <c r="BB285" i="5" s="1"/>
  <c r="BB271" i="5" s="1"/>
  <c r="BB272" i="5" s="1"/>
  <c r="DG283" i="5"/>
  <c r="DG282" i="5" s="1"/>
  <c r="DG285" i="5" s="1"/>
  <c r="DG271" i="5" s="1"/>
  <c r="DG272" i="5" s="1"/>
  <c r="DG273" i="5" s="1"/>
  <c r="BW316" i="1"/>
  <c r="BW339" i="1" s="1"/>
  <c r="BW330" i="1" s="1"/>
  <c r="BW320" i="1"/>
  <c r="BW327" i="1" s="1"/>
  <c r="BW348" i="1" s="1"/>
  <c r="BW342" i="1" s="1"/>
  <c r="BX306" i="1"/>
  <c r="BV274" i="1"/>
  <c r="DP320" i="1"/>
  <c r="DO327" i="1"/>
  <c r="DO348" i="1" s="1"/>
  <c r="DO342" i="1" s="1"/>
  <c r="DQ316" i="1"/>
  <c r="DQ339" i="1" s="1"/>
  <c r="DQ330" i="1" s="1"/>
  <c r="BA300" i="2"/>
  <c r="BA296" i="5"/>
  <c r="DG312" i="5"/>
  <c r="BC330" i="5"/>
  <c r="BD310" i="5"/>
  <c r="BC309" i="5"/>
  <c r="BC312" i="5" s="1"/>
  <c r="BB329" i="5"/>
  <c r="BB332" i="5" s="1"/>
  <c r="DG332" i="5" s="1"/>
  <c r="DG330" i="5"/>
  <c r="DG329" i="5" s="1"/>
  <c r="DN237" i="2"/>
  <c r="CD238" i="2"/>
  <c r="CD69" i="2"/>
  <c r="CE261" i="2"/>
  <c r="CE237" i="2"/>
  <c r="CE118" i="2" s="1"/>
  <c r="CF268" i="2"/>
  <c r="CG263" i="2"/>
  <c r="CG267" i="2" s="1"/>
  <c r="CF260" i="2"/>
  <c r="CG271" i="2"/>
  <c r="BD283" i="5" l="1"/>
  <c r="BC282" i="5"/>
  <c r="BC285" i="5" s="1"/>
  <c r="BC271" i="5" s="1"/>
  <c r="BC272" i="5" s="1"/>
  <c r="DS306" i="1"/>
  <c r="DP327" i="1"/>
  <c r="DP348" i="1" s="1"/>
  <c r="DP342" i="1" s="1"/>
  <c r="DQ320" i="1"/>
  <c r="BX320" i="1"/>
  <c r="BX327" i="1" s="1"/>
  <c r="BX348" i="1" s="1"/>
  <c r="BX342" i="1" s="1"/>
  <c r="BY306" i="1"/>
  <c r="BX316" i="1"/>
  <c r="BX339" i="1" s="1"/>
  <c r="BX330" i="1" s="1"/>
  <c r="BX274" i="1" s="1"/>
  <c r="BX275" i="1" s="1"/>
  <c r="BX284" i="1" s="1"/>
  <c r="BX278" i="1" s="1"/>
  <c r="BX279" i="1" s="1"/>
  <c r="BV275" i="1"/>
  <c r="BV284" i="1" s="1"/>
  <c r="BV278" i="1" s="1"/>
  <c r="DM274" i="1"/>
  <c r="DM275" i="1" s="1"/>
  <c r="BW274" i="1"/>
  <c r="BW275" i="1" s="1"/>
  <c r="BW284" i="1" s="1"/>
  <c r="BW278" i="1" s="1"/>
  <c r="BD330" i="5"/>
  <c r="BD329" i="5" s="1"/>
  <c r="BD332" i="5" s="1"/>
  <c r="BE310" i="5"/>
  <c r="BD309" i="5"/>
  <c r="BD312" i="5" s="1"/>
  <c r="BC329" i="5"/>
  <c r="BC332" i="5" s="1"/>
  <c r="DG295" i="5"/>
  <c r="DG296" i="5" s="1"/>
  <c r="BB295" i="5"/>
  <c r="BA301" i="2"/>
  <c r="CG268" i="2"/>
  <c r="CG260" i="2"/>
  <c r="CH263" i="2"/>
  <c r="CH267" i="2" s="1"/>
  <c r="CH271" i="2"/>
  <c r="CF261" i="2"/>
  <c r="CF237" i="2"/>
  <c r="CE238" i="2"/>
  <c r="CF118" i="2"/>
  <c r="CE69" i="2"/>
  <c r="DN238" i="2"/>
  <c r="DN69" i="2"/>
  <c r="CZ4" i="8" l="1"/>
  <c r="CY3" i="8"/>
  <c r="EH4" i="8"/>
  <c r="BD282" i="5"/>
  <c r="BD285" i="5" s="1"/>
  <c r="BD271" i="5" s="1"/>
  <c r="BD272" i="5" s="1"/>
  <c r="BE283" i="5"/>
  <c r="BV279" i="1"/>
  <c r="DM278" i="1"/>
  <c r="DM279" i="1" s="1"/>
  <c r="DM300" i="1"/>
  <c r="BW279" i="1"/>
  <c r="BY316" i="1"/>
  <c r="BY339" i="1" s="1"/>
  <c r="BY330" i="1" s="1"/>
  <c r="BY320" i="1"/>
  <c r="BY327" i="1" s="1"/>
  <c r="BY348" i="1" s="1"/>
  <c r="BY342" i="1" s="1"/>
  <c r="BZ306" i="1"/>
  <c r="DQ327" i="1"/>
  <c r="DQ348" i="1" s="1"/>
  <c r="DQ342" i="1" s="1"/>
  <c r="DT306" i="1"/>
  <c r="DS316" i="1"/>
  <c r="DS339" i="1" s="1"/>
  <c r="DS330" i="1" s="1"/>
  <c r="BD295" i="5"/>
  <c r="BD300" i="2" s="1"/>
  <c r="BD301" i="2" s="1"/>
  <c r="BF310" i="5"/>
  <c r="BE330" i="5"/>
  <c r="BE309" i="5"/>
  <c r="BE312" i="5" s="1"/>
  <c r="BB300" i="2"/>
  <c r="BB296" i="5"/>
  <c r="BC295" i="5"/>
  <c r="CF69" i="2"/>
  <c r="CF238" i="2"/>
  <c r="CI263" i="2"/>
  <c r="CI267" i="2" s="1"/>
  <c r="CH260" i="2"/>
  <c r="CH268" i="2"/>
  <c r="DO267" i="2"/>
  <c r="CI271" i="2"/>
  <c r="CG261" i="2"/>
  <c r="CG237" i="2"/>
  <c r="AW89" i="6" l="1"/>
  <c r="AW79" i="6"/>
  <c r="AW82" i="6"/>
  <c r="AW91" i="6" s="1"/>
  <c r="AW81" i="6"/>
  <c r="AW90" i="6" s="1"/>
  <c r="AW94" i="6"/>
  <c r="AW88" i="6"/>
  <c r="AW80" i="6"/>
  <c r="AW92" i="6"/>
  <c r="AW93" i="6"/>
  <c r="BJ94" i="6"/>
  <c r="BJ85" i="6"/>
  <c r="BJ79" i="6"/>
  <c r="BJ106" i="6" s="1"/>
  <c r="BJ93" i="6"/>
  <c r="BJ84" i="6"/>
  <c r="BJ92" i="6"/>
  <c r="BJ83" i="6"/>
  <c r="BJ81" i="6"/>
  <c r="BJ90" i="6"/>
  <c r="BJ82" i="6"/>
  <c r="BJ80" i="6"/>
  <c r="BJ91" i="6"/>
  <c r="BJ89" i="6"/>
  <c r="DA4" i="8"/>
  <c r="CZ3" i="8"/>
  <c r="EH3" i="8"/>
  <c r="BF283" i="5"/>
  <c r="BE282" i="5"/>
  <c r="BE285" i="5" s="1"/>
  <c r="BE271" i="5" s="1"/>
  <c r="BE272" i="5" s="1"/>
  <c r="DH283" i="5"/>
  <c r="DH282" i="5" s="1"/>
  <c r="DH285" i="5" s="1"/>
  <c r="DH271" i="5" s="1"/>
  <c r="DH272" i="5" s="1"/>
  <c r="DH273" i="5" s="1"/>
  <c r="BD296" i="5"/>
  <c r="BY274" i="1"/>
  <c r="BY275" i="1" s="1"/>
  <c r="BY284" i="1" s="1"/>
  <c r="BY278" i="1" s="1"/>
  <c r="BY279" i="1" s="1"/>
  <c r="DU306" i="1"/>
  <c r="DT316" i="1"/>
  <c r="DT339" i="1" s="1"/>
  <c r="DT330" i="1" s="1"/>
  <c r="Q10" i="3"/>
  <c r="DM283" i="1"/>
  <c r="DM284" i="1" s="1"/>
  <c r="DM301" i="1"/>
  <c r="DS320" i="1"/>
  <c r="CA306" i="1"/>
  <c r="BZ316" i="1"/>
  <c r="BZ339" i="1" s="1"/>
  <c r="BZ330" i="1" s="1"/>
  <c r="BZ320" i="1"/>
  <c r="BZ327" i="1" s="1"/>
  <c r="BZ348" i="1" s="1"/>
  <c r="BZ342" i="1" s="1"/>
  <c r="BC296" i="5"/>
  <c r="BC300" i="2"/>
  <c r="BB301" i="2"/>
  <c r="DG300" i="2"/>
  <c r="DG301" i="2" s="1"/>
  <c r="BE329" i="5"/>
  <c r="BE332" i="5" s="1"/>
  <c r="BG310" i="5"/>
  <c r="BF330" i="5"/>
  <c r="BF329" i="5" s="1"/>
  <c r="BF332" i="5" s="1"/>
  <c r="BF309" i="5"/>
  <c r="BF312" i="5" s="1"/>
  <c r="DH312" i="5" s="1"/>
  <c r="DH310" i="5"/>
  <c r="DH309" i="5" s="1"/>
  <c r="DO268" i="2"/>
  <c r="DP263" i="2"/>
  <c r="CG238" i="2"/>
  <c r="CG69" i="2"/>
  <c r="CH261" i="2"/>
  <c r="CH237" i="2"/>
  <c r="CH118" i="2" s="1"/>
  <c r="DO260" i="2"/>
  <c r="DO261" i="2" s="1"/>
  <c r="CJ263" i="2"/>
  <c r="CJ267" i="2" s="1"/>
  <c r="CI268" i="2"/>
  <c r="CI260" i="2"/>
  <c r="CJ271" i="2"/>
  <c r="CG118" i="2"/>
  <c r="BJ105" i="6" l="1"/>
  <c r="BJ88" i="6"/>
  <c r="BJ87" i="6" s="1"/>
  <c r="BJ157" i="6" s="1"/>
  <c r="AX81" i="6"/>
  <c r="AX90" i="6" s="1"/>
  <c r="AX89" i="6"/>
  <c r="AX93" i="6"/>
  <c r="AX88" i="6"/>
  <c r="AX92" i="6"/>
  <c r="AX80" i="6"/>
  <c r="AX79" i="6"/>
  <c r="AX94" i="6"/>
  <c r="AX82" i="6"/>
  <c r="AX91" i="6" s="1"/>
  <c r="AW87" i="6"/>
  <c r="AW157" i="6" s="1"/>
  <c r="CM300" i="2" s="1"/>
  <c r="AW78" i="6"/>
  <c r="BJ78" i="6"/>
  <c r="DB4" i="8"/>
  <c r="DA3" i="8"/>
  <c r="BF282" i="5"/>
  <c r="BF285" i="5" s="1"/>
  <c r="BF271" i="5" s="1"/>
  <c r="BF272" i="5" s="1"/>
  <c r="BG283" i="5"/>
  <c r="DI283" i="5"/>
  <c r="DI282" i="5" s="1"/>
  <c r="DI285" i="5" s="1"/>
  <c r="DI271" i="5" s="1"/>
  <c r="DI272" i="5" s="1"/>
  <c r="DI273" i="5" s="1"/>
  <c r="BZ274" i="1"/>
  <c r="CA316" i="1"/>
  <c r="CA339" i="1" s="1"/>
  <c r="CA330" i="1" s="1"/>
  <c r="CA320" i="1"/>
  <c r="CA327" i="1" s="1"/>
  <c r="CA348" i="1" s="1"/>
  <c r="CA342" i="1" s="1"/>
  <c r="CB306" i="1"/>
  <c r="DU316" i="1"/>
  <c r="DU339" i="1" s="1"/>
  <c r="DU330" i="1" s="1"/>
  <c r="DV306" i="1"/>
  <c r="DV316" i="1" s="1"/>
  <c r="DV339" i="1" s="1"/>
  <c r="DV330" i="1" s="1"/>
  <c r="DS327" i="1"/>
  <c r="DS348" i="1" s="1"/>
  <c r="DS342" i="1" s="1"/>
  <c r="DT320" i="1"/>
  <c r="DH332" i="5"/>
  <c r="DH295" i="5" s="1"/>
  <c r="DH296" i="5" s="1"/>
  <c r="BF295" i="5"/>
  <c r="BH310" i="5"/>
  <c r="BG330" i="5"/>
  <c r="BG309" i="5"/>
  <c r="BG312" i="5" s="1"/>
  <c r="DH330" i="5"/>
  <c r="DH329" i="5" s="1"/>
  <c r="BE295" i="5"/>
  <c r="BC301" i="2"/>
  <c r="CJ268" i="2"/>
  <c r="CJ260" i="2"/>
  <c r="CK263" i="2"/>
  <c r="CI237" i="2"/>
  <c r="CI118" i="2" s="1"/>
  <c r="CI261" i="2"/>
  <c r="CH69" i="2"/>
  <c r="DO237" i="2"/>
  <c r="CH238" i="2"/>
  <c r="BJ114" i="6" l="1"/>
  <c r="CM291" i="5"/>
  <c r="CM299" i="2"/>
  <c r="AW19" i="6"/>
  <c r="AW156" i="6"/>
  <c r="AW159" i="6" s="1"/>
  <c r="AW161" i="6" s="1"/>
  <c r="AW114" i="6"/>
  <c r="BJ19" i="6"/>
  <c r="BJ20" i="6" s="1"/>
  <c r="BJ156" i="6"/>
  <c r="BJ159" i="6" s="1"/>
  <c r="BJ161" i="6" s="1"/>
  <c r="AY93" i="6"/>
  <c r="AY80" i="6"/>
  <c r="AY88" i="6"/>
  <c r="AY94" i="6"/>
  <c r="AY89" i="6"/>
  <c r="AY81" i="6"/>
  <c r="AY90" i="6" s="1"/>
  <c r="AY79" i="6"/>
  <c r="AY92" i="6"/>
  <c r="AY82" i="6"/>
  <c r="AY91" i="6" s="1"/>
  <c r="AX87" i="6"/>
  <c r="AX157" i="6" s="1"/>
  <c r="AX78" i="6"/>
  <c r="DC4" i="8"/>
  <c r="DB3" i="8"/>
  <c r="EI4" i="8"/>
  <c r="BH283" i="5"/>
  <c r="BG282" i="5"/>
  <c r="BG285" i="5" s="1"/>
  <c r="BG271" i="5" s="1"/>
  <c r="BG272" i="5" s="1"/>
  <c r="DT327" i="1"/>
  <c r="DT348" i="1" s="1"/>
  <c r="DT342" i="1" s="1"/>
  <c r="DU320" i="1"/>
  <c r="CA274" i="1"/>
  <c r="CA275" i="1" s="1"/>
  <c r="CA284" i="1" s="1"/>
  <c r="CA278" i="1" s="1"/>
  <c r="CC306" i="1"/>
  <c r="CB316" i="1"/>
  <c r="CB339" i="1" s="1"/>
  <c r="CB330" i="1" s="1"/>
  <c r="CB320" i="1"/>
  <c r="CB327" i="1" s="1"/>
  <c r="CB348" i="1" s="1"/>
  <c r="CB342" i="1" s="1"/>
  <c r="DN274" i="1"/>
  <c r="DN275" i="1" s="1"/>
  <c r="BZ275" i="1"/>
  <c r="BZ284" i="1" s="1"/>
  <c r="BZ278" i="1" s="1"/>
  <c r="BE296" i="5"/>
  <c r="BE300" i="2"/>
  <c r="BG329" i="5"/>
  <c r="BG332" i="5" s="1"/>
  <c r="BG295" i="5" s="1"/>
  <c r="BI310" i="5"/>
  <c r="BH330" i="5"/>
  <c r="BH329" i="5" s="1"/>
  <c r="BH332" i="5" s="1"/>
  <c r="BH309" i="5"/>
  <c r="BH312" i="5" s="1"/>
  <c r="BF300" i="2"/>
  <c r="BF301" i="2" s="1"/>
  <c r="BF296" i="5"/>
  <c r="CI238" i="2"/>
  <c r="CT237" i="2"/>
  <c r="CI69" i="2"/>
  <c r="DO238" i="2"/>
  <c r="DO69" i="2"/>
  <c r="CJ237" i="2"/>
  <c r="CJ261" i="2"/>
  <c r="AY87" i="6" l="1"/>
  <c r="AY157" i="6" s="1"/>
  <c r="CO300" i="2" s="1"/>
  <c r="CN300" i="2"/>
  <c r="AX156" i="6"/>
  <c r="AX159" i="6" s="1"/>
  <c r="AX161" i="6" s="1"/>
  <c r="AX114" i="6"/>
  <c r="AX19" i="6"/>
  <c r="AX20" i="6" s="1"/>
  <c r="AZ79" i="6"/>
  <c r="AZ89" i="6"/>
  <c r="AZ92" i="6"/>
  <c r="AZ82" i="6"/>
  <c r="AZ91" i="6" s="1"/>
  <c r="AZ94" i="6"/>
  <c r="AZ88" i="6"/>
  <c r="AZ80" i="6"/>
  <c r="AZ93" i="6"/>
  <c r="AZ81" i="6"/>
  <c r="AZ90" i="6" s="1"/>
  <c r="AY78" i="6"/>
  <c r="DC3" i="8"/>
  <c r="BK85" i="6"/>
  <c r="BK94" i="6"/>
  <c r="BK79" i="6"/>
  <c r="BK106" i="6" s="1"/>
  <c r="BK93" i="6"/>
  <c r="BK84" i="6"/>
  <c r="BK83" i="6"/>
  <c r="BK81" i="6"/>
  <c r="BK92" i="6"/>
  <c r="BK90" i="6"/>
  <c r="BK89" i="6"/>
  <c r="BK82" i="6"/>
  <c r="BK91" i="6"/>
  <c r="BK80" i="6"/>
  <c r="EJ4" i="8"/>
  <c r="EI3" i="8"/>
  <c r="EJ3" i="8"/>
  <c r="EK4" i="8"/>
  <c r="BI283" i="5"/>
  <c r="BH282" i="5"/>
  <c r="BH285" i="5" s="1"/>
  <c r="BH271" i="5" s="1"/>
  <c r="BH272" i="5" s="1"/>
  <c r="BZ279" i="1"/>
  <c r="DN300" i="1"/>
  <c r="DN278" i="1"/>
  <c r="DN279" i="1" s="1"/>
  <c r="CA279" i="1"/>
  <c r="DU327" i="1"/>
  <c r="DU348" i="1" s="1"/>
  <c r="DU342" i="1" s="1"/>
  <c r="DV320" i="1"/>
  <c r="DV327" i="1" s="1"/>
  <c r="DV348" i="1" s="1"/>
  <c r="DV342" i="1" s="1"/>
  <c r="CB274" i="1"/>
  <c r="CB275" i="1" s="1"/>
  <c r="CB284" i="1" s="1"/>
  <c r="CB278" i="1" s="1"/>
  <c r="CB279" i="1" s="1"/>
  <c r="CC316" i="1"/>
  <c r="CC339" i="1" s="1"/>
  <c r="CC330" i="1" s="1"/>
  <c r="CD306" i="1"/>
  <c r="CC320" i="1"/>
  <c r="CC327" i="1" s="1"/>
  <c r="CC348" i="1" s="1"/>
  <c r="CC342" i="1" s="1"/>
  <c r="BH295" i="5"/>
  <c r="BH300" i="2" s="1"/>
  <c r="BH301" i="2" s="1"/>
  <c r="BG300" i="2"/>
  <c r="BG296" i="5"/>
  <c r="BE301" i="2"/>
  <c r="DH300" i="2"/>
  <c r="DH301" i="2" s="1"/>
  <c r="BI330" i="5"/>
  <c r="BI329" i="5" s="1"/>
  <c r="BI332" i="5" s="1"/>
  <c r="BJ310" i="5"/>
  <c r="BI309" i="5"/>
  <c r="BI312" i="5" s="1"/>
  <c r="CJ238" i="2"/>
  <c r="CJ69" i="2"/>
  <c r="CJ118" i="2"/>
  <c r="CO299" i="2" l="1"/>
  <c r="CO291" i="5"/>
  <c r="AZ87" i="6"/>
  <c r="AZ157" i="6" s="1"/>
  <c r="CP300" i="2" s="1"/>
  <c r="CP291" i="5" s="1"/>
  <c r="CN299" i="2"/>
  <c r="CN291" i="5"/>
  <c r="AY156" i="6"/>
  <c r="AY159" i="6" s="1"/>
  <c r="AY161" i="6" s="1"/>
  <c r="AY114" i="6"/>
  <c r="AY19" i="6"/>
  <c r="AY20" i="6" s="1"/>
  <c r="BK105" i="6"/>
  <c r="BK88" i="6"/>
  <c r="BK87" i="6" s="1"/>
  <c r="BK157" i="6" s="1"/>
  <c r="AZ78" i="6"/>
  <c r="BK78" i="6"/>
  <c r="BL94" i="6"/>
  <c r="BL85" i="6"/>
  <c r="BL79" i="6"/>
  <c r="BL106" i="6" s="1"/>
  <c r="BL84" i="6"/>
  <c r="BL93" i="6"/>
  <c r="BL83" i="6"/>
  <c r="BL81" i="6"/>
  <c r="BL90" i="6"/>
  <c r="BL92" i="6"/>
  <c r="BL82" i="6"/>
  <c r="BL91" i="6"/>
  <c r="BL89" i="6"/>
  <c r="BL80" i="6"/>
  <c r="BM85" i="6"/>
  <c r="BM94" i="6"/>
  <c r="BM79" i="6"/>
  <c r="BM106" i="6" s="1"/>
  <c r="BM93" i="6"/>
  <c r="BM84" i="6"/>
  <c r="BM90" i="6"/>
  <c r="BM81" i="6"/>
  <c r="BM92" i="6"/>
  <c r="BM83" i="6"/>
  <c r="BM91" i="6"/>
  <c r="BM82" i="6"/>
  <c r="BM80" i="6"/>
  <c r="BM89" i="6"/>
  <c r="EK3" i="8"/>
  <c r="EL4" i="8"/>
  <c r="BJ283" i="5"/>
  <c r="BI282" i="5"/>
  <c r="BI285" i="5" s="1"/>
  <c r="BI271" i="5" s="1"/>
  <c r="BI272" i="5" s="1"/>
  <c r="CC274" i="1"/>
  <c r="CC275" i="1" s="1"/>
  <c r="CC284" i="1" s="1"/>
  <c r="CC278" i="1" s="1"/>
  <c r="DN301" i="1"/>
  <c r="R10" i="3"/>
  <c r="DN283" i="1"/>
  <c r="DN284" i="1" s="1"/>
  <c r="CE306" i="1"/>
  <c r="CD320" i="1"/>
  <c r="CD327" i="1" s="1"/>
  <c r="CD348" i="1" s="1"/>
  <c r="CD342" i="1" s="1"/>
  <c r="CD316" i="1"/>
  <c r="CD339" i="1" s="1"/>
  <c r="CD330" i="1" s="1"/>
  <c r="BI295" i="5"/>
  <c r="BI296" i="5" s="1"/>
  <c r="BH296" i="5"/>
  <c r="BI300" i="2"/>
  <c r="BI301" i="2" s="1"/>
  <c r="BK310" i="5"/>
  <c r="BJ330" i="5"/>
  <c r="BJ329" i="5" s="1"/>
  <c r="BJ332" i="5" s="1"/>
  <c r="DI332" i="5" s="1"/>
  <c r="BJ309" i="5"/>
  <c r="BJ312" i="5" s="1"/>
  <c r="DI312" i="5" s="1"/>
  <c r="BG301" i="2"/>
  <c r="CK132" i="1"/>
  <c r="DQ300" i="2" l="1"/>
  <c r="CP299" i="2"/>
  <c r="DQ299" i="2" s="1"/>
  <c r="AZ19" i="6"/>
  <c r="AZ20" i="6" s="1"/>
  <c r="AZ156" i="6"/>
  <c r="AZ159" i="6" s="1"/>
  <c r="AZ161" i="6" s="1"/>
  <c r="AZ114" i="6"/>
  <c r="BK156" i="6"/>
  <c r="BK159" i="6" s="1"/>
  <c r="BK161" i="6" s="1"/>
  <c r="BK19" i="6"/>
  <c r="BK20" i="6" s="1"/>
  <c r="BL105" i="6"/>
  <c r="BL88" i="6"/>
  <c r="BL87" i="6" s="1"/>
  <c r="BL157" i="6" s="1"/>
  <c r="BM105" i="6"/>
  <c r="BM88" i="6"/>
  <c r="BM87" i="6" s="1"/>
  <c r="BM157" i="6" s="1"/>
  <c r="BK114" i="6"/>
  <c r="BL78" i="6"/>
  <c r="BM78" i="6"/>
  <c r="BN94" i="6"/>
  <c r="BN85" i="6"/>
  <c r="BN79" i="6"/>
  <c r="BN106" i="6" s="1"/>
  <c r="BN93" i="6"/>
  <c r="BN84" i="6"/>
  <c r="BN92" i="6"/>
  <c r="BN90" i="6"/>
  <c r="BN83" i="6"/>
  <c r="BN81" i="6"/>
  <c r="BN91" i="6"/>
  <c r="BN82" i="6"/>
  <c r="BN89" i="6"/>
  <c r="BN80" i="6"/>
  <c r="EL3" i="8"/>
  <c r="EM4" i="8"/>
  <c r="DI295" i="5"/>
  <c r="DI296" i="5" s="1"/>
  <c r="BJ282" i="5"/>
  <c r="BJ285" i="5" s="1"/>
  <c r="BJ271" i="5" s="1"/>
  <c r="BJ272" i="5" s="1"/>
  <c r="BK283" i="5"/>
  <c r="CD274" i="1"/>
  <c r="CD275" i="1" s="1"/>
  <c r="CD284" i="1" s="1"/>
  <c r="CD278" i="1" s="1"/>
  <c r="CE320" i="1"/>
  <c r="CE327" i="1" s="1"/>
  <c r="CE348" i="1" s="1"/>
  <c r="CE342" i="1" s="1"/>
  <c r="CE316" i="1"/>
  <c r="CE339" i="1" s="1"/>
  <c r="CE330" i="1" s="1"/>
  <c r="CE274" i="1" s="1"/>
  <c r="CF306" i="1"/>
  <c r="CK134" i="1"/>
  <c r="CL134" i="1" s="1"/>
  <c r="CK41" i="5"/>
  <c r="CK171" i="5" s="1"/>
  <c r="CC279" i="1"/>
  <c r="BJ295" i="5"/>
  <c r="BK330" i="5"/>
  <c r="BL310" i="5"/>
  <c r="BK309" i="5"/>
  <c r="BK312" i="5" s="1"/>
  <c r="DI330" i="5"/>
  <c r="DI329" i="5" s="1"/>
  <c r="CK185" i="1"/>
  <c r="CK133" i="2"/>
  <c r="DR300" i="2" l="1"/>
  <c r="DS300" i="2"/>
  <c r="DQ303" i="2"/>
  <c r="DQ305" i="2" s="1"/>
  <c r="DQ301" i="2"/>
  <c r="DR301" i="2" s="1"/>
  <c r="DS301" i="2" s="1"/>
  <c r="DT301" i="2" s="1"/>
  <c r="DU301" i="2" s="1"/>
  <c r="BL156" i="6"/>
  <c r="BL159" i="6" s="1"/>
  <c r="BL161" i="6" s="1"/>
  <c r="BL19" i="6"/>
  <c r="BL20" i="6" s="1"/>
  <c r="BM19" i="6"/>
  <c r="BM156" i="6"/>
  <c r="BM159" i="6" s="1"/>
  <c r="BM161" i="6" s="1"/>
  <c r="BN105" i="6"/>
  <c r="BN88" i="6"/>
  <c r="BN87" i="6" s="1"/>
  <c r="BN157" i="6" s="1"/>
  <c r="BM114" i="6"/>
  <c r="BL114" i="6"/>
  <c r="BN78" i="6"/>
  <c r="BO85" i="6"/>
  <c r="BO94" i="6"/>
  <c r="BO79" i="6"/>
  <c r="BO106" i="6" s="1"/>
  <c r="BO93" i="6"/>
  <c r="BO84" i="6"/>
  <c r="BO81" i="6"/>
  <c r="BO92" i="6"/>
  <c r="BO83" i="6"/>
  <c r="BO90" i="6"/>
  <c r="BO82" i="6"/>
  <c r="BO91" i="6"/>
  <c r="BO89" i="6"/>
  <c r="BO80" i="6"/>
  <c r="EM3" i="8"/>
  <c r="BL283" i="5"/>
  <c r="BK282" i="5"/>
  <c r="BK285" i="5" s="1"/>
  <c r="BK271" i="5" s="1"/>
  <c r="BK272" i="5" s="1"/>
  <c r="CD279" i="1"/>
  <c r="DO278" i="1"/>
  <c r="DO279" i="1" s="1"/>
  <c r="DO300" i="1"/>
  <c r="DO283" i="1" s="1"/>
  <c r="DO274" i="1"/>
  <c r="DO275" i="1" s="1"/>
  <c r="CK51" i="5"/>
  <c r="CK75" i="5" s="1"/>
  <c r="CK40" i="5"/>
  <c r="CK39" i="5" s="1"/>
  <c r="CK242" i="5" s="1"/>
  <c r="CF316" i="1"/>
  <c r="CF339" i="1" s="1"/>
  <c r="CF330" i="1" s="1"/>
  <c r="CG306" i="1"/>
  <c r="CF320" i="1"/>
  <c r="CF327" i="1" s="1"/>
  <c r="CF348" i="1" s="1"/>
  <c r="CF342" i="1" s="1"/>
  <c r="DO301" i="1"/>
  <c r="CK168" i="5"/>
  <c r="CE275" i="1"/>
  <c r="CE284" i="1" s="1"/>
  <c r="CE278" i="1" s="1"/>
  <c r="DP274" i="1"/>
  <c r="DP275" i="1" s="1"/>
  <c r="BL330" i="5"/>
  <c r="BM310" i="5"/>
  <c r="BL309" i="5"/>
  <c r="BL312" i="5" s="1"/>
  <c r="BK329" i="5"/>
  <c r="BK332" i="5" s="1"/>
  <c r="BJ296" i="5"/>
  <c r="BJ300" i="2"/>
  <c r="CK167" i="1"/>
  <c r="CU167" i="1" s="1"/>
  <c r="CK171" i="1"/>
  <c r="CU171" i="1" s="1"/>
  <c r="CK133" i="1"/>
  <c r="CL132" i="1" s="1"/>
  <c r="BM20" i="6" l="1"/>
  <c r="DT300" i="2"/>
  <c r="DT299" i="2" s="1"/>
  <c r="BN19" i="6"/>
  <c r="BN20" i="6" s="1"/>
  <c r="BN156" i="6"/>
  <c r="BN159" i="6" s="1"/>
  <c r="BN161" i="6" s="1"/>
  <c r="BO105" i="6"/>
  <c r="BO88" i="6"/>
  <c r="BO87" i="6" s="1"/>
  <c r="BO157" i="6" s="1"/>
  <c r="DR299" i="2"/>
  <c r="DS299" i="2"/>
  <c r="BN114" i="6"/>
  <c r="BO78" i="6"/>
  <c r="CK249" i="5"/>
  <c r="BL282" i="5"/>
  <c r="BL285" i="5" s="1"/>
  <c r="BL271" i="5" s="1"/>
  <c r="BL272" i="5" s="1"/>
  <c r="BM283" i="5"/>
  <c r="S10" i="3"/>
  <c r="DO284" i="1"/>
  <c r="CH306" i="1"/>
  <c r="CG316" i="1"/>
  <c r="CG339" i="1" s="1"/>
  <c r="CG330" i="1" s="1"/>
  <c r="CG320" i="1"/>
  <c r="CG327" i="1" s="1"/>
  <c r="CG348" i="1" s="1"/>
  <c r="CG342" i="1" s="1"/>
  <c r="CE279" i="1"/>
  <c r="CF274" i="1"/>
  <c r="CF275" i="1" s="1"/>
  <c r="CF284" i="1" s="1"/>
  <c r="CF278" i="1" s="1"/>
  <c r="CF279" i="1" s="1"/>
  <c r="BJ301" i="2"/>
  <c r="DI300" i="2"/>
  <c r="DI301" i="2" s="1"/>
  <c r="BN310" i="5"/>
  <c r="BM330" i="5"/>
  <c r="BM309" i="5"/>
  <c r="BM312" i="5" s="1"/>
  <c r="BL329" i="5"/>
  <c r="BL332" i="5" s="1"/>
  <c r="BK295" i="5"/>
  <c r="CK173" i="1"/>
  <c r="CK172" i="1"/>
  <c r="CU172" i="1" s="1"/>
  <c r="CK168" i="1"/>
  <c r="CK177" i="1"/>
  <c r="CL41" i="5"/>
  <c r="DQ132" i="1"/>
  <c r="CK201" i="1"/>
  <c r="DU300" i="2" l="1"/>
  <c r="DU299" i="2" s="1"/>
  <c r="BO156" i="6"/>
  <c r="BO159" i="6" s="1"/>
  <c r="BO161" i="6" s="1"/>
  <c r="BO19" i="6"/>
  <c r="BO20" i="6" s="1"/>
  <c r="BO114" i="6"/>
  <c r="BN283" i="5"/>
  <c r="DJ283" i="5"/>
  <c r="DJ282" i="5" s="1"/>
  <c r="DJ285" i="5" s="1"/>
  <c r="DJ271" i="5" s="1"/>
  <c r="DJ272" i="5" s="1"/>
  <c r="DJ273" i="5" s="1"/>
  <c r="BM282" i="5"/>
  <c r="BM285" i="5" s="1"/>
  <c r="BM271" i="5" s="1"/>
  <c r="BM272" i="5" s="1"/>
  <c r="CG274" i="1"/>
  <c r="CG275" i="1" s="1"/>
  <c r="CG284" i="1" s="1"/>
  <c r="CG278" i="1" s="1"/>
  <c r="CG279" i="1" s="1"/>
  <c r="CI306" i="1"/>
  <c r="CH316" i="1"/>
  <c r="CH339" i="1" s="1"/>
  <c r="CH330" i="1" s="1"/>
  <c r="CH320" i="1"/>
  <c r="CH327" i="1" s="1"/>
  <c r="CH348" i="1" s="1"/>
  <c r="CH342" i="1" s="1"/>
  <c r="BM329" i="5"/>
  <c r="BM332" i="5" s="1"/>
  <c r="BM295" i="5" s="1"/>
  <c r="BL295" i="5"/>
  <c r="BO310" i="5"/>
  <c r="BN330" i="5"/>
  <c r="BN309" i="5"/>
  <c r="BN312" i="5" s="1"/>
  <c r="DJ312" i="5" s="1"/>
  <c r="BK300" i="2"/>
  <c r="BK296" i="5"/>
  <c r="CK178" i="1"/>
  <c r="CU177" i="1"/>
  <c r="CK169" i="1"/>
  <c r="CU168" i="1"/>
  <c r="CL168" i="5"/>
  <c r="CL51" i="5"/>
  <c r="CL75" i="5" s="1"/>
  <c r="CK210" i="1"/>
  <c r="CK211" i="1" s="1"/>
  <c r="CK202" i="1"/>
  <c r="CK175" i="1"/>
  <c r="CK174" i="1"/>
  <c r="DQ134" i="1"/>
  <c r="DP41" i="5"/>
  <c r="CK207" i="1"/>
  <c r="CK206" i="1"/>
  <c r="CK208" i="1" s="1"/>
  <c r="BO283" i="5" l="1"/>
  <c r="BN282" i="5"/>
  <c r="BN285" i="5" s="1"/>
  <c r="BN271" i="5" s="1"/>
  <c r="BN272" i="5" s="1"/>
  <c r="CI316" i="1"/>
  <c r="CI339" i="1" s="1"/>
  <c r="CI330" i="1" s="1"/>
  <c r="CJ306" i="1"/>
  <c r="CI320" i="1"/>
  <c r="CI327" i="1" s="1"/>
  <c r="CI348" i="1" s="1"/>
  <c r="CI342" i="1" s="1"/>
  <c r="CH274" i="1"/>
  <c r="CH275" i="1" s="1"/>
  <c r="CH284" i="1" s="1"/>
  <c r="CH278" i="1" s="1"/>
  <c r="BP310" i="5"/>
  <c r="BO330" i="5"/>
  <c r="BO309" i="5"/>
  <c r="BO312" i="5" s="1"/>
  <c r="BK301" i="2"/>
  <c r="BM300" i="2"/>
  <c r="BM301" i="2" s="1"/>
  <c r="BM296" i="5"/>
  <c r="BN329" i="5"/>
  <c r="BN332" i="5" s="1"/>
  <c r="DJ332" i="5" s="1"/>
  <c r="DJ295" i="5" s="1"/>
  <c r="DJ296" i="5" s="1"/>
  <c r="BL300" i="2"/>
  <c r="BL301" i="2" s="1"/>
  <c r="BL296" i="5"/>
  <c r="DJ330" i="5"/>
  <c r="DJ329" i="5" s="1"/>
  <c r="CK203" i="1"/>
  <c r="CU202" i="1"/>
  <c r="CK212" i="1"/>
  <c r="CU211" i="1"/>
  <c r="CK179" i="1"/>
  <c r="CU178" i="1"/>
  <c r="DP168" i="5"/>
  <c r="DP51" i="5"/>
  <c r="DP75" i="5" s="1"/>
  <c r="BO282" i="5" l="1"/>
  <c r="BO285" i="5" s="1"/>
  <c r="BO271" i="5" s="1"/>
  <c r="BO272" i="5" s="1"/>
  <c r="BP283" i="5"/>
  <c r="CH279" i="1"/>
  <c r="DP278" i="1"/>
  <c r="DP279" i="1" s="1"/>
  <c r="DP300" i="1"/>
  <c r="CJ320" i="1"/>
  <c r="CJ327" i="1" s="1"/>
  <c r="CJ348" i="1" s="1"/>
  <c r="CJ342" i="1" s="1"/>
  <c r="CJ316" i="1"/>
  <c r="CJ339" i="1" s="1"/>
  <c r="CJ330" i="1" s="1"/>
  <c r="CJ274" i="1" s="1"/>
  <c r="CJ275" i="1" s="1"/>
  <c r="CJ284" i="1" s="1"/>
  <c r="CJ278" i="1" s="1"/>
  <c r="CJ279" i="1" s="1"/>
  <c r="CK306" i="1"/>
  <c r="CI274" i="1"/>
  <c r="BN295" i="5"/>
  <c r="BN296" i="5"/>
  <c r="BN300" i="2"/>
  <c r="BN301" i="2" s="1"/>
  <c r="BO329" i="5"/>
  <c r="BO332" i="5" s="1"/>
  <c r="BP330" i="5"/>
  <c r="BQ310" i="5"/>
  <c r="BP309" i="5"/>
  <c r="BP312" i="5" s="1"/>
  <c r="DK330" i="5"/>
  <c r="DK329" i="5" s="1"/>
  <c r="CK22" i="5"/>
  <c r="CK200" i="5" s="1"/>
  <c r="CK202" i="5" s="1"/>
  <c r="CK205" i="5" s="1"/>
  <c r="BQ283" i="5" l="1"/>
  <c r="BP282" i="5"/>
  <c r="BP285" i="5" s="1"/>
  <c r="BP271" i="5" s="1"/>
  <c r="BP272" i="5" s="1"/>
  <c r="CL306" i="1"/>
  <c r="CM306" i="1" s="1"/>
  <c r="CK320" i="1"/>
  <c r="CK327" i="1" s="1"/>
  <c r="CK348" i="1" s="1"/>
  <c r="CK342" i="1" s="1"/>
  <c r="CK316" i="1"/>
  <c r="CK339" i="1" s="1"/>
  <c r="CK330" i="1" s="1"/>
  <c r="CK274" i="1" s="1"/>
  <c r="CK275" i="1" s="1"/>
  <c r="CK284" i="1" s="1"/>
  <c r="CK278" i="1" s="1"/>
  <c r="CK279" i="1" s="1"/>
  <c r="CL279" i="1" s="1"/>
  <c r="DQ274" i="1"/>
  <c r="DQ275" i="1" s="1"/>
  <c r="CI275" i="1"/>
  <c r="CI284" i="1" s="1"/>
  <c r="CI278" i="1" s="1"/>
  <c r="T10" i="3"/>
  <c r="DP283" i="1"/>
  <c r="DP284" i="1" s="1"/>
  <c r="DP301" i="1"/>
  <c r="BP329" i="5"/>
  <c r="BP332" i="5" s="1"/>
  <c r="DL330" i="5"/>
  <c r="DL329" i="5" s="1"/>
  <c r="BP295" i="5"/>
  <c r="BO295" i="5"/>
  <c r="BR310" i="5"/>
  <c r="BQ330" i="5"/>
  <c r="BQ309" i="5"/>
  <c r="BQ312" i="5" s="1"/>
  <c r="DJ300" i="2"/>
  <c r="DJ301" i="2" s="1"/>
  <c r="CK207" i="5"/>
  <c r="CK208" i="5" s="1"/>
  <c r="CK225" i="5" s="1"/>
  <c r="CK226" i="5" s="1"/>
  <c r="CN306" i="1" l="1"/>
  <c r="CM316" i="1"/>
  <c r="CM339" i="1" s="1"/>
  <c r="CM330" i="1" s="1"/>
  <c r="CM320" i="1"/>
  <c r="CM327" i="1" s="1"/>
  <c r="CM348" i="1" s="1"/>
  <c r="CM342" i="1" s="1"/>
  <c r="BQ282" i="5"/>
  <c r="BQ285" i="5" s="1"/>
  <c r="BQ271" i="5" s="1"/>
  <c r="BQ272" i="5" s="1"/>
  <c r="BR283" i="5"/>
  <c r="DK283" i="5"/>
  <c r="DK282" i="5" s="1"/>
  <c r="DK285" i="5" s="1"/>
  <c r="DK271" i="5" s="1"/>
  <c r="DK272" i="5" s="1"/>
  <c r="DK273" i="5" s="1"/>
  <c r="CI279" i="1"/>
  <c r="CL316" i="1"/>
  <c r="CL339" i="1" s="1"/>
  <c r="CL330" i="1" s="1"/>
  <c r="CL320" i="1"/>
  <c r="CL327" i="1" s="1"/>
  <c r="CL348" i="1" s="1"/>
  <c r="CL342" i="1" s="1"/>
  <c r="BQ329" i="5"/>
  <c r="BQ332" i="5" s="1"/>
  <c r="BQ295" i="5" s="1"/>
  <c r="BQ296" i="5" s="1"/>
  <c r="BP300" i="2"/>
  <c r="BP301" i="2" s="1"/>
  <c r="BP296" i="5"/>
  <c r="BS310" i="5"/>
  <c r="BR330" i="5"/>
  <c r="BR329" i="5" s="1"/>
  <c r="BR332" i="5" s="1"/>
  <c r="BR309" i="5"/>
  <c r="BR312" i="5" s="1"/>
  <c r="BO300" i="2"/>
  <c r="BO296" i="5"/>
  <c r="DM330" i="5"/>
  <c r="DM329" i="5" s="1"/>
  <c r="CK203" i="5"/>
  <c r="CK204" i="5" s="1"/>
  <c r="CK182" i="5" s="1"/>
  <c r="CK181" i="5" s="1"/>
  <c r="CK25" i="5"/>
  <c r="CK191" i="5" s="1"/>
  <c r="CK227" i="5"/>
  <c r="CM274" i="1" l="1"/>
  <c r="CO306" i="1"/>
  <c r="CN316" i="1"/>
  <c r="CN339" i="1" s="1"/>
  <c r="CN330" i="1" s="1"/>
  <c r="CN320" i="1"/>
  <c r="CN327" i="1" s="1"/>
  <c r="CN348" i="1" s="1"/>
  <c r="CN342" i="1" s="1"/>
  <c r="BR295" i="5"/>
  <c r="BR296" i="5" s="1"/>
  <c r="BS283" i="5"/>
  <c r="BR282" i="5"/>
  <c r="BR285" i="5" s="1"/>
  <c r="BR271" i="5" s="1"/>
  <c r="BR272" i="5" s="1"/>
  <c r="CL274" i="1"/>
  <c r="CL275" i="1" s="1"/>
  <c r="CL284" i="1" s="1"/>
  <c r="CL278" i="1" s="1"/>
  <c r="DK312" i="5"/>
  <c r="DN330" i="5"/>
  <c r="DN329" i="5" s="1"/>
  <c r="BO301" i="2"/>
  <c r="DK300" i="2"/>
  <c r="DK301" i="2" s="1"/>
  <c r="DK332" i="5"/>
  <c r="BS330" i="5"/>
  <c r="BS329" i="5" s="1"/>
  <c r="BS332" i="5" s="1"/>
  <c r="BT310" i="5"/>
  <c r="BS309" i="5"/>
  <c r="BS312" i="5" s="1"/>
  <c r="CK35" i="5"/>
  <c r="CK218" i="5" s="1"/>
  <c r="CK72" i="5"/>
  <c r="CK76" i="5" s="1"/>
  <c r="CK79" i="5" s="1"/>
  <c r="CK84" i="5" s="1"/>
  <c r="CK26" i="5"/>
  <c r="CK198" i="5"/>
  <c r="CK250" i="5"/>
  <c r="CN274" i="1" l="1"/>
  <c r="CN275" i="1" s="1"/>
  <c r="CN284" i="1" s="1"/>
  <c r="CN278" i="1" s="1"/>
  <c r="CM275" i="1"/>
  <c r="CM284" i="1" s="1"/>
  <c r="CM278" i="1" s="1"/>
  <c r="CM30" i="1" s="1"/>
  <c r="DR274" i="1"/>
  <c r="DR275" i="1" s="1"/>
  <c r="CP306" i="1"/>
  <c r="CO316" i="1"/>
  <c r="CO339" i="1" s="1"/>
  <c r="CO330" i="1" s="1"/>
  <c r="CO320" i="1"/>
  <c r="CO327" i="1" s="1"/>
  <c r="CO348" i="1" s="1"/>
  <c r="CO342" i="1" s="1"/>
  <c r="BS282" i="5"/>
  <c r="BS285" i="5" s="1"/>
  <c r="BS271" i="5" s="1"/>
  <c r="BS272" i="5" s="1"/>
  <c r="BT283" i="5"/>
  <c r="CL227" i="1"/>
  <c r="CL239" i="1"/>
  <c r="CL249" i="1"/>
  <c r="CL277" i="1"/>
  <c r="CL281" i="1" s="1"/>
  <c r="DQ300" i="1"/>
  <c r="DQ278" i="1"/>
  <c r="BU310" i="5"/>
  <c r="BT309" i="5"/>
  <c r="BT312" i="5" s="1"/>
  <c r="BT330" i="5"/>
  <c r="BT329" i="5" s="1"/>
  <c r="BT332" i="5" s="1"/>
  <c r="DO330" i="5"/>
  <c r="DO329" i="5" s="1"/>
  <c r="BS295" i="5"/>
  <c r="BS296" i="5" s="1"/>
  <c r="DK295" i="5"/>
  <c r="DK296" i="5" s="1"/>
  <c r="CL188" i="5"/>
  <c r="CK254" i="5"/>
  <c r="CK69" i="5"/>
  <c r="CK279" i="5"/>
  <c r="CK280" i="5" s="1"/>
  <c r="CK89" i="5"/>
  <c r="CL277" i="5"/>
  <c r="CL269" i="5" s="1"/>
  <c r="CK259" i="5"/>
  <c r="CK102" i="5"/>
  <c r="CK137" i="1"/>
  <c r="CK140" i="1" s="1"/>
  <c r="CK141" i="1" s="1"/>
  <c r="CN277" i="1" l="1"/>
  <c r="CN281" i="1" s="1"/>
  <c r="CN282" i="1" s="1"/>
  <c r="CN30" i="1"/>
  <c r="CN13" i="2" s="1"/>
  <c r="CM249" i="1"/>
  <c r="CN249" i="1" s="1"/>
  <c r="CM13" i="2"/>
  <c r="CN36" i="2"/>
  <c r="CN41" i="2"/>
  <c r="CN42" i="2" s="1"/>
  <c r="CN16" i="2"/>
  <c r="CN49" i="2"/>
  <c r="CM277" i="1"/>
  <c r="CM281" i="1" s="1"/>
  <c r="CM282" i="1" s="1"/>
  <c r="CM41" i="2"/>
  <c r="CM49" i="2"/>
  <c r="CL240" i="1"/>
  <c r="CM239" i="1"/>
  <c r="CO274" i="1"/>
  <c r="CO275" i="1" s="1"/>
  <c r="CO284" i="1" s="1"/>
  <c r="CO278" i="1" s="1"/>
  <c r="CL282" i="1"/>
  <c r="CP283" i="1"/>
  <c r="CP316" i="1"/>
  <c r="CP339" i="1" s="1"/>
  <c r="CP330" i="1" s="1"/>
  <c r="CP320" i="1"/>
  <c r="CP327" i="1" s="1"/>
  <c r="CP348" i="1" s="1"/>
  <c r="CP342" i="1" s="1"/>
  <c r="CM7" i="1"/>
  <c r="CM350" i="1"/>
  <c r="CM351" i="1" s="1"/>
  <c r="CM384" i="1"/>
  <c r="CM32" i="1"/>
  <c r="CM87" i="1" s="1"/>
  <c r="CM288" i="1"/>
  <c r="CM84" i="1"/>
  <c r="CM190" i="1"/>
  <c r="CM250" i="1"/>
  <c r="CL228" i="1"/>
  <c r="CM227" i="1"/>
  <c r="CN350" i="1"/>
  <c r="CN351" i="1" s="1"/>
  <c r="CN384" i="1"/>
  <c r="CN32" i="1"/>
  <c r="CN87" i="1" s="1"/>
  <c r="CN288" i="1"/>
  <c r="CN7" i="1"/>
  <c r="CN4" i="2" s="1"/>
  <c r="CN190" i="1"/>
  <c r="CN188" i="1" s="1"/>
  <c r="CN84" i="1"/>
  <c r="BT282" i="5"/>
  <c r="BT285" i="5" s="1"/>
  <c r="BT271" i="5" s="1"/>
  <c r="BT272" i="5" s="1"/>
  <c r="BU283" i="5"/>
  <c r="CK107" i="5"/>
  <c r="DP330" i="5"/>
  <c r="DP329" i="5" s="1"/>
  <c r="DQ283" i="1"/>
  <c r="DQ284" i="1" s="1"/>
  <c r="U10" i="3"/>
  <c r="DQ301" i="1"/>
  <c r="CL250" i="1"/>
  <c r="CL258" i="1"/>
  <c r="CL53" i="1" s="1"/>
  <c r="CL13" i="2"/>
  <c r="CL32" i="1"/>
  <c r="CL87" i="1" s="1"/>
  <c r="CL288" i="1"/>
  <c r="CL190" i="1"/>
  <c r="DQ190" i="1" s="1"/>
  <c r="DQ30" i="1"/>
  <c r="CL384" i="1"/>
  <c r="CL7" i="1"/>
  <c r="CL84" i="1"/>
  <c r="CL350" i="1"/>
  <c r="CL351" i="1" s="1"/>
  <c r="BT295" i="5"/>
  <c r="BT296" i="5" s="1"/>
  <c r="BU330" i="5"/>
  <c r="BU329" i="5" s="1"/>
  <c r="BU332" i="5" s="1"/>
  <c r="BV310" i="5"/>
  <c r="BU309" i="5"/>
  <c r="BU312" i="5" s="1"/>
  <c r="CL136" i="1"/>
  <c r="DQ136" i="1" s="1"/>
  <c r="DP42" i="5" s="1"/>
  <c r="DP40" i="5" s="1"/>
  <c r="CL130" i="1"/>
  <c r="CM16" i="2" l="1"/>
  <c r="CM36" i="2"/>
  <c r="CM4" i="2"/>
  <c r="CM40" i="2" s="1"/>
  <c r="CM188" i="1"/>
  <c r="CN40" i="2"/>
  <c r="CN48" i="2"/>
  <c r="CN18" i="1"/>
  <c r="CN50" i="2"/>
  <c r="CN9" i="2"/>
  <c r="CM48" i="2"/>
  <c r="CN153" i="2"/>
  <c r="CM42" i="2"/>
  <c r="CN43" i="2"/>
  <c r="CM9" i="2"/>
  <c r="CM50" i="2"/>
  <c r="CN148" i="2"/>
  <c r="CN51" i="2"/>
  <c r="CM228" i="1"/>
  <c r="CN227" i="1"/>
  <c r="CP274" i="1"/>
  <c r="CP275" i="1" s="1"/>
  <c r="CP284" i="1" s="1"/>
  <c r="CP278" i="1" s="1"/>
  <c r="CN290" i="1"/>
  <c r="CN289" i="1"/>
  <c r="CM295" i="1"/>
  <c r="CM296" i="1" s="1"/>
  <c r="CN292" i="1"/>
  <c r="CN293" i="1" s="1"/>
  <c r="CM292" i="1"/>
  <c r="CM293" i="1" s="1"/>
  <c r="CM9" i="1"/>
  <c r="CN9" i="1"/>
  <c r="CN239" i="1"/>
  <c r="CM240" i="1"/>
  <c r="CM290" i="1"/>
  <c r="CM289" i="1"/>
  <c r="CN295" i="1"/>
  <c r="CN296" i="1" s="1"/>
  <c r="CM258" i="1"/>
  <c r="CO277" i="1"/>
  <c r="CO281" i="1" s="1"/>
  <c r="CO282" i="1" s="1"/>
  <c r="CO30" i="1"/>
  <c r="CO249" i="1"/>
  <c r="CN250" i="1"/>
  <c r="CM18" i="1"/>
  <c r="BV283" i="5"/>
  <c r="BU282" i="5"/>
  <c r="BU285" i="5" s="1"/>
  <c r="BU271" i="5" s="1"/>
  <c r="BU272" i="5" s="1"/>
  <c r="CL41" i="2"/>
  <c r="CL36" i="2"/>
  <c r="DP13" i="2"/>
  <c r="DP61" i="2" s="1"/>
  <c r="DP62" i="2" s="1"/>
  <c r="CL16" i="2"/>
  <c r="CL49" i="2"/>
  <c r="CL259" i="1"/>
  <c r="CL260" i="1" s="1"/>
  <c r="DQ191" i="1"/>
  <c r="DQ384" i="1"/>
  <c r="DQ288" i="1"/>
  <c r="DQ289" i="1" s="1"/>
  <c r="DQ32" i="1"/>
  <c r="DQ87" i="1" s="1"/>
  <c r="U6" i="3"/>
  <c r="DQ350" i="1"/>
  <c r="DQ351" i="1" s="1"/>
  <c r="DQ277" i="1"/>
  <c r="DQ279" i="1" s="1"/>
  <c r="DQ29" i="1"/>
  <c r="DQ281" i="1"/>
  <c r="DQ84" i="1"/>
  <c r="CL295" i="1"/>
  <c r="CL296" i="1" s="1"/>
  <c r="CL290" i="1"/>
  <c r="CL289" i="1"/>
  <c r="CL292" i="1"/>
  <c r="CL293" i="1" s="1"/>
  <c r="CL18" i="1"/>
  <c r="DQ18" i="1" s="1"/>
  <c r="CL9" i="1"/>
  <c r="DQ7" i="1"/>
  <c r="CL4" i="2"/>
  <c r="CL42" i="5"/>
  <c r="CL40" i="5" s="1"/>
  <c r="CL189" i="1"/>
  <c r="CL188" i="1" s="1"/>
  <c r="DQ138" i="1"/>
  <c r="BU295" i="5"/>
  <c r="BU296" i="5" s="1"/>
  <c r="BV330" i="5"/>
  <c r="BV329" i="5" s="1"/>
  <c r="BV332" i="5" s="1"/>
  <c r="DL332" i="5" s="1"/>
  <c r="BW310" i="5"/>
  <c r="BV309" i="5"/>
  <c r="BV312" i="5" s="1"/>
  <c r="DQ130" i="1"/>
  <c r="CL89" i="1"/>
  <c r="DR300" i="1" l="1"/>
  <c r="DR278" i="1"/>
  <c r="CN10" i="2"/>
  <c r="CN11" i="2" s="1"/>
  <c r="CN39" i="2"/>
  <c r="CO13" i="2"/>
  <c r="CM10" i="2"/>
  <c r="CM39" i="2" s="1"/>
  <c r="CN152" i="2"/>
  <c r="CN151" i="2"/>
  <c r="CM152" i="2"/>
  <c r="CM151" i="2"/>
  <c r="CM43" i="2"/>
  <c r="CM153" i="2"/>
  <c r="CM148" i="2"/>
  <c r="CM51" i="2"/>
  <c r="CM147" i="2"/>
  <c r="CN147" i="2"/>
  <c r="CN146" i="2" s="1"/>
  <c r="CO239" i="1"/>
  <c r="CN240" i="1"/>
  <c r="CP277" i="1"/>
  <c r="CP281" i="1" s="1"/>
  <c r="CP282" i="1" s="1"/>
  <c r="CP30" i="1"/>
  <c r="CP13" i="2" s="1"/>
  <c r="CM259" i="1"/>
  <c r="CM260" i="1" s="1"/>
  <c r="CM53" i="1"/>
  <c r="CM54" i="1" s="1"/>
  <c r="CN258" i="1"/>
  <c r="CN228" i="1"/>
  <c r="CO227" i="1"/>
  <c r="CO250" i="1"/>
  <c r="CP249" i="1"/>
  <c r="CO350" i="1"/>
  <c r="CO351" i="1" s="1"/>
  <c r="CO288" i="1"/>
  <c r="CO7" i="1"/>
  <c r="CO190" i="1"/>
  <c r="CO384" i="1"/>
  <c r="CO32" i="1"/>
  <c r="CO87" i="1" s="1"/>
  <c r="CO84" i="1"/>
  <c r="BV295" i="5"/>
  <c r="BV296" i="5" s="1"/>
  <c r="BW283" i="5"/>
  <c r="BV282" i="5"/>
  <c r="BV285" i="5" s="1"/>
  <c r="BV271" i="5" s="1"/>
  <c r="BV272" i="5" s="1"/>
  <c r="DL283" i="5"/>
  <c r="DL282" i="5" s="1"/>
  <c r="DL285" i="5" s="1"/>
  <c r="DL271" i="5" s="1"/>
  <c r="DL272" i="5" s="1"/>
  <c r="DL273" i="5" s="1"/>
  <c r="DS138" i="1"/>
  <c r="DS136" i="1" s="1"/>
  <c r="DQ189" i="1"/>
  <c r="DQ188" i="1" s="1"/>
  <c r="DQ20" i="1"/>
  <c r="U7" i="3"/>
  <c r="P86" i="3"/>
  <c r="AE6" i="3"/>
  <c r="DQ282" i="1"/>
  <c r="CL41" i="1"/>
  <c r="CL54" i="1"/>
  <c r="CL55" i="1" s="1"/>
  <c r="CL257" i="1"/>
  <c r="DP49" i="2"/>
  <c r="CL147" i="2"/>
  <c r="CL148" i="2"/>
  <c r="CL51" i="2"/>
  <c r="CL9" i="2"/>
  <c r="DP9" i="2" s="1"/>
  <c r="CL50" i="2"/>
  <c r="CL48" i="2"/>
  <c r="CL40" i="2"/>
  <c r="DP4" i="2"/>
  <c r="DQ9" i="1"/>
  <c r="DP41" i="2"/>
  <c r="CL42" i="2"/>
  <c r="CL153" i="2"/>
  <c r="CL152" i="2"/>
  <c r="CL43" i="2"/>
  <c r="CL151" i="2"/>
  <c r="BW330" i="5"/>
  <c r="BW329" i="5" s="1"/>
  <c r="BW332" i="5" s="1"/>
  <c r="BX310" i="5"/>
  <c r="BW309" i="5"/>
  <c r="BW312" i="5" s="1"/>
  <c r="DL312" i="5"/>
  <c r="DL295" i="5" s="1"/>
  <c r="DL296" i="5" s="1"/>
  <c r="DQ89" i="1"/>
  <c r="CL13" i="5"/>
  <c r="CL91" i="1"/>
  <c r="CL92" i="1"/>
  <c r="DQ13" i="2" l="1"/>
  <c r="DQ61" i="2" s="1"/>
  <c r="DQ62" i="2" s="1"/>
  <c r="DR30" i="1"/>
  <c r="CO49" i="2"/>
  <c r="CO16" i="2"/>
  <c r="CO36" i="2"/>
  <c r="CO4" i="2"/>
  <c r="CO40" i="2" s="1"/>
  <c r="DR32" i="1"/>
  <c r="DR87" i="1" s="1"/>
  <c r="DR84" i="1"/>
  <c r="CM11" i="2"/>
  <c r="CO41" i="2"/>
  <c r="CO188" i="1"/>
  <c r="CM146" i="2"/>
  <c r="CN150" i="2"/>
  <c r="CN156" i="2" s="1"/>
  <c r="CN47" i="2"/>
  <c r="DR283" i="1"/>
  <c r="DR284" i="1" s="1"/>
  <c r="DR301" i="1"/>
  <c r="V10" i="3"/>
  <c r="DT138" i="1"/>
  <c r="DU138" i="1" s="1"/>
  <c r="CO258" i="1"/>
  <c r="CO259" i="1" s="1"/>
  <c r="CO260" i="1" s="1"/>
  <c r="CM47" i="2"/>
  <c r="CP36" i="2"/>
  <c r="CP41" i="2"/>
  <c r="CP16" i="2"/>
  <c r="CP49" i="2"/>
  <c r="CM150" i="2"/>
  <c r="CO228" i="1"/>
  <c r="CP227" i="1"/>
  <c r="CP228" i="1" s="1"/>
  <c r="CN53" i="1"/>
  <c r="CN259" i="1"/>
  <c r="CN260" i="1" s="1"/>
  <c r="CO9" i="1"/>
  <c r="CO18" i="1"/>
  <c r="CO290" i="1"/>
  <c r="CO289" i="1"/>
  <c r="CO292" i="1"/>
  <c r="CO293" i="1" s="1"/>
  <c r="CO295" i="1"/>
  <c r="CO296" i="1" s="1"/>
  <c r="CM257" i="1"/>
  <c r="CM55" i="1"/>
  <c r="CM41" i="1"/>
  <c r="CP250" i="1"/>
  <c r="CP350" i="1"/>
  <c r="CP351" i="1" s="1"/>
  <c r="CP288" i="1"/>
  <c r="CP292" i="1" s="1"/>
  <c r="CP293" i="1" s="1"/>
  <c r="CP190" i="1"/>
  <c r="CP188" i="1" s="1"/>
  <c r="CP384" i="1"/>
  <c r="CP32" i="1"/>
  <c r="CP87" i="1" s="1"/>
  <c r="CP7" i="1"/>
  <c r="CP4" i="2" s="1"/>
  <c r="CP84" i="1"/>
  <c r="CO240" i="1"/>
  <c r="CP239" i="1"/>
  <c r="CP240" i="1" s="1"/>
  <c r="BX283" i="5"/>
  <c r="BW282" i="5"/>
  <c r="BW285" i="5" s="1"/>
  <c r="BW271" i="5" s="1"/>
  <c r="BW272" i="5" s="1"/>
  <c r="DM283" i="5"/>
  <c r="DM282" i="5" s="1"/>
  <c r="DM285" i="5" s="1"/>
  <c r="DM271" i="5" s="1"/>
  <c r="DM272" i="5" s="1"/>
  <c r="DM273" i="5" s="1"/>
  <c r="CL150" i="2"/>
  <c r="CL10" i="2"/>
  <c r="CL47" i="2" s="1"/>
  <c r="CL146" i="2"/>
  <c r="DP50" i="2"/>
  <c r="DP46" i="2"/>
  <c r="DP48" i="2" s="1"/>
  <c r="CL43" i="1"/>
  <c r="CL42" i="1"/>
  <c r="DQ41" i="1"/>
  <c r="DP193" i="2"/>
  <c r="DP42" i="2"/>
  <c r="DP191" i="2"/>
  <c r="DP172" i="2"/>
  <c r="DP188" i="2"/>
  <c r="DP38" i="2"/>
  <c r="DP184" i="2"/>
  <c r="DP180" i="2"/>
  <c r="DP176" i="2"/>
  <c r="BW295" i="5"/>
  <c r="BW296" i="5" s="1"/>
  <c r="BY310" i="5"/>
  <c r="BX330" i="5"/>
  <c r="BX329" i="5" s="1"/>
  <c r="BX332" i="5" s="1"/>
  <c r="BX309" i="5"/>
  <c r="BX312" i="5" s="1"/>
  <c r="BX295" i="5" s="1"/>
  <c r="BX296" i="5" s="1"/>
  <c r="DQ91" i="1"/>
  <c r="DP13" i="5"/>
  <c r="DR42" i="5"/>
  <c r="DS189" i="1"/>
  <c r="DR384" i="1" l="1"/>
  <c r="DS384" i="1" s="1"/>
  <c r="DT384" i="1" s="1"/>
  <c r="DU384" i="1" s="1"/>
  <c r="V6" i="3"/>
  <c r="CO148" i="2"/>
  <c r="CO50" i="2"/>
  <c r="CO51" i="2"/>
  <c r="CO147" i="2"/>
  <c r="CM156" i="2"/>
  <c r="CN157" i="2" s="1"/>
  <c r="CO152" i="2"/>
  <c r="CO153" i="2"/>
  <c r="CO43" i="2"/>
  <c r="DR277" i="1"/>
  <c r="DR279" i="1" s="1"/>
  <c r="DR350" i="1"/>
  <c r="DR351" i="1" s="1"/>
  <c r="DR29" i="1"/>
  <c r="DR281" i="1"/>
  <c r="DR288" i="1"/>
  <c r="DR289" i="1" s="1"/>
  <c r="CO9" i="2"/>
  <c r="CO48" i="2"/>
  <c r="CO10" i="2" s="1"/>
  <c r="DR190" i="1"/>
  <c r="CO53" i="1"/>
  <c r="CO257" i="1" s="1"/>
  <c r="DT136" i="1"/>
  <c r="DS42" i="5" s="1"/>
  <c r="DR7" i="1"/>
  <c r="DQ41" i="2"/>
  <c r="CO151" i="2"/>
  <c r="CO42" i="2"/>
  <c r="DQ49" i="2"/>
  <c r="CP18" i="1"/>
  <c r="DR18" i="1" s="1"/>
  <c r="CP51" i="2"/>
  <c r="CP147" i="2"/>
  <c r="CP9" i="2"/>
  <c r="DQ9" i="2" s="1"/>
  <c r="CP148" i="2"/>
  <c r="CP50" i="2"/>
  <c r="CP153" i="2"/>
  <c r="CP151" i="2"/>
  <c r="CP43" i="2"/>
  <c r="CP152" i="2"/>
  <c r="CP42" i="2"/>
  <c r="CP40" i="2"/>
  <c r="CP48" i="2"/>
  <c r="CP258" i="1"/>
  <c r="CP53" i="1" s="1"/>
  <c r="CP9" i="1"/>
  <c r="CP290" i="1"/>
  <c r="CP289" i="1"/>
  <c r="CP295" i="1"/>
  <c r="CP296" i="1" s="1"/>
  <c r="CL156" i="2"/>
  <c r="CL157" i="2" s="1"/>
  <c r="CM42" i="1"/>
  <c r="CM43" i="1"/>
  <c r="CN257" i="1"/>
  <c r="CN41" i="1"/>
  <c r="CN54" i="1"/>
  <c r="CN55" i="1" s="1"/>
  <c r="BY283" i="5"/>
  <c r="BX282" i="5"/>
  <c r="BX285" i="5" s="1"/>
  <c r="BX271" i="5" s="1"/>
  <c r="BX272" i="5" s="1"/>
  <c r="DQ43" i="1"/>
  <c r="DQ53" i="1"/>
  <c r="DQ54" i="1" s="1"/>
  <c r="DP40" i="2"/>
  <c r="CL39" i="2"/>
  <c r="DP10" i="2"/>
  <c r="DP11" i="2" s="1"/>
  <c r="CL11" i="2"/>
  <c r="BZ310" i="5"/>
  <c r="BY330" i="5"/>
  <c r="BY329" i="5" s="1"/>
  <c r="BY332" i="5" s="1"/>
  <c r="BY309" i="5"/>
  <c r="BY312" i="5" s="1"/>
  <c r="DU136" i="1"/>
  <c r="DV138" i="1"/>
  <c r="DV136" i="1" s="1"/>
  <c r="P100" i="3"/>
  <c r="DR20" i="1" l="1"/>
  <c r="CO146" i="2"/>
  <c r="V7" i="3"/>
  <c r="AF6" i="3"/>
  <c r="CO150" i="2"/>
  <c r="CO156" i="2" s="1"/>
  <c r="CO157" i="2" s="1"/>
  <c r="DR282" i="1"/>
  <c r="DS283" i="1"/>
  <c r="DS284" i="1" s="1"/>
  <c r="DS278" i="1" s="1"/>
  <c r="DS30" i="1" s="1"/>
  <c r="DR188" i="1"/>
  <c r="DR191" i="1"/>
  <c r="DT189" i="1"/>
  <c r="CO54" i="1"/>
  <c r="CO55" i="1" s="1"/>
  <c r="CO41" i="1"/>
  <c r="DS20" i="1"/>
  <c r="DQ180" i="2"/>
  <c r="DQ176" i="2"/>
  <c r="DQ191" i="2"/>
  <c r="DQ188" i="2"/>
  <c r="DQ193" i="2"/>
  <c r="DQ172" i="2"/>
  <c r="DQ42" i="2"/>
  <c r="DQ184" i="2"/>
  <c r="DQ38" i="2"/>
  <c r="CO11" i="2"/>
  <c r="DQ46" i="2"/>
  <c r="DQ50" i="2"/>
  <c r="DR9" i="1"/>
  <c r="DQ4" i="2"/>
  <c r="CP259" i="1"/>
  <c r="CP260" i="1" s="1"/>
  <c r="CP150" i="2"/>
  <c r="CO39" i="2"/>
  <c r="CO47" i="2"/>
  <c r="CP10" i="2"/>
  <c r="CP11" i="2" s="1"/>
  <c r="CP146" i="2"/>
  <c r="CM157" i="2"/>
  <c r="CN42" i="1"/>
  <c r="CN43" i="1"/>
  <c r="CP257" i="1"/>
  <c r="CP41" i="1"/>
  <c r="CP54" i="1"/>
  <c r="CP55" i="1" s="1"/>
  <c r="BY282" i="5"/>
  <c r="BY285" i="5" s="1"/>
  <c r="BY271" i="5" s="1"/>
  <c r="BY272" i="5" s="1"/>
  <c r="BZ283" i="5"/>
  <c r="DP39" i="2"/>
  <c r="DP47" i="2" s="1"/>
  <c r="DV384" i="1"/>
  <c r="DQ56" i="1"/>
  <c r="DQ55" i="1"/>
  <c r="U14" i="3"/>
  <c r="BY295" i="5"/>
  <c r="BY296" i="5" s="1"/>
  <c r="BZ330" i="5"/>
  <c r="BZ329" i="5" s="1"/>
  <c r="BZ332" i="5" s="1"/>
  <c r="DM332" i="5" s="1"/>
  <c r="CA310" i="5"/>
  <c r="BZ309" i="5"/>
  <c r="BZ312" i="5" s="1"/>
  <c r="DU42" i="5"/>
  <c r="DV189" i="1"/>
  <c r="DT42" i="5"/>
  <c r="DU189" i="1"/>
  <c r="DS288" i="1" l="1"/>
  <c r="DS289" i="1" s="1"/>
  <c r="DS350" i="1"/>
  <c r="DS351" i="1" s="1"/>
  <c r="DS32" i="1"/>
  <c r="DS84" i="1"/>
  <c r="DS281" i="1"/>
  <c r="DS277" i="1"/>
  <c r="W6" i="3"/>
  <c r="W7" i="3" s="1"/>
  <c r="DR13" i="2"/>
  <c r="DS383" i="1"/>
  <c r="DS191" i="1"/>
  <c r="CO42" i="1"/>
  <c r="CO43" i="1"/>
  <c r="DS7" i="1"/>
  <c r="DT20" i="1"/>
  <c r="DU20" i="1" s="1"/>
  <c r="DV20" i="1" s="1"/>
  <c r="DR41" i="1"/>
  <c r="DQ40" i="2"/>
  <c r="DQ48" i="2"/>
  <c r="DQ10" i="2"/>
  <c r="DQ11" i="2" s="1"/>
  <c r="DR38" i="2"/>
  <c r="DR46" i="2" s="1"/>
  <c r="CP47" i="2"/>
  <c r="CP156" i="2"/>
  <c r="CP157" i="2" s="1"/>
  <c r="CP39" i="2"/>
  <c r="CP43" i="1"/>
  <c r="CP42" i="1"/>
  <c r="BZ282" i="5"/>
  <c r="BZ285" i="5" s="1"/>
  <c r="BZ271" i="5" s="1"/>
  <c r="BZ272" i="5" s="1"/>
  <c r="CA283" i="5"/>
  <c r="CA330" i="5"/>
  <c r="CA329" i="5" s="1"/>
  <c r="CA332" i="5" s="1"/>
  <c r="CB310" i="5"/>
  <c r="CA309" i="5"/>
  <c r="CA312" i="5" s="1"/>
  <c r="BZ295" i="5"/>
  <c r="BZ296" i="5" s="1"/>
  <c r="DM312" i="5"/>
  <c r="DM295" i="5" s="1"/>
  <c r="DM296" i="5" s="1"/>
  <c r="AU12" i="6"/>
  <c r="AU19" i="6" s="1"/>
  <c r="AU20" i="6" s="1"/>
  <c r="CK108" i="5"/>
  <c r="CK266" i="5"/>
  <c r="CK64" i="5"/>
  <c r="CL111" i="5"/>
  <c r="CM111" i="5" s="1"/>
  <c r="CK145" i="1"/>
  <c r="DS9" i="1" l="1"/>
  <c r="DR4" i="2"/>
  <c r="DS18" i="1"/>
  <c r="DQ39" i="2"/>
  <c r="DQ47" i="2" s="1"/>
  <c r="DS190" i="1"/>
  <c r="DS188" i="1" s="1"/>
  <c r="DT191" i="1"/>
  <c r="DU191" i="1" s="1"/>
  <c r="DV191" i="1" s="1"/>
  <c r="DR43" i="1"/>
  <c r="DR53" i="1"/>
  <c r="DR54" i="1" s="1"/>
  <c r="DR55" i="1" s="1"/>
  <c r="DS282" i="1"/>
  <c r="DT283" i="1"/>
  <c r="DT284" i="1" s="1"/>
  <c r="DT278" i="1" s="1"/>
  <c r="DT30" i="1" s="1"/>
  <c r="DS388" i="1"/>
  <c r="DS391" i="1"/>
  <c r="DS38" i="2"/>
  <c r="DR41" i="2"/>
  <c r="CM298" i="5"/>
  <c r="CN111" i="5"/>
  <c r="CB283" i="5"/>
  <c r="CA282" i="5"/>
  <c r="CA285" i="5" s="1"/>
  <c r="CA271" i="5" s="1"/>
  <c r="CA272" i="5" s="1"/>
  <c r="DR49" i="2"/>
  <c r="CB330" i="5"/>
  <c r="CB329" i="5" s="1"/>
  <c r="CB332" i="5" s="1"/>
  <c r="CC310" i="5"/>
  <c r="CB309" i="5"/>
  <c r="CB312" i="5" s="1"/>
  <c r="CA295" i="5"/>
  <c r="CA296" i="5" s="1"/>
  <c r="CL298" i="5"/>
  <c r="AV12" i="6" s="1"/>
  <c r="AV19" i="6" s="1"/>
  <c r="DP111" i="5"/>
  <c r="V14" i="3" l="1"/>
  <c r="DS54" i="1"/>
  <c r="W14" i="3" s="1"/>
  <c r="DR56" i="1"/>
  <c r="DR11" i="2"/>
  <c r="DR48" i="2"/>
  <c r="DT7" i="1"/>
  <c r="DT277" i="1"/>
  <c r="X6" i="3"/>
  <c r="X7" i="3" s="1"/>
  <c r="DS13" i="2"/>
  <c r="DS41" i="2" s="1"/>
  <c r="DT32" i="1"/>
  <c r="DT288" i="1"/>
  <c r="DT289" i="1" s="1"/>
  <c r="DT84" i="1"/>
  <c r="DT281" i="1"/>
  <c r="DT350" i="1"/>
  <c r="DT351" i="1" s="1"/>
  <c r="DT383" i="1"/>
  <c r="DT190" i="1"/>
  <c r="DT188" i="1" s="1"/>
  <c r="DS46" i="2"/>
  <c r="DT38" i="2"/>
  <c r="DR188" i="2"/>
  <c r="DR193" i="2"/>
  <c r="DR42" i="2"/>
  <c r="DR172" i="2"/>
  <c r="DR176" i="2"/>
  <c r="DR191" i="2"/>
  <c r="DR180" i="2"/>
  <c r="DR184" i="2"/>
  <c r="AV20" i="6"/>
  <c r="AW20" i="6"/>
  <c r="CO111" i="5"/>
  <c r="CN298" i="5"/>
  <c r="CB282" i="5"/>
  <c r="CB285" i="5" s="1"/>
  <c r="CB271" i="5" s="1"/>
  <c r="CB272" i="5" s="1"/>
  <c r="CC283" i="5"/>
  <c r="DR9" i="2"/>
  <c r="DR50" i="2"/>
  <c r="CB295" i="5"/>
  <c r="CB296" i="5" s="1"/>
  <c r="CC330" i="5"/>
  <c r="CC329" i="5" s="1"/>
  <c r="CC332" i="5" s="1"/>
  <c r="CD310" i="5"/>
  <c r="CC309" i="5"/>
  <c r="CC312" i="5" s="1"/>
  <c r="DP298" i="5"/>
  <c r="DP64" i="5"/>
  <c r="DS53" i="1" l="1"/>
  <c r="DS41" i="1" s="1"/>
  <c r="DS43" i="1" s="1"/>
  <c r="DT54" i="1"/>
  <c r="DS49" i="2"/>
  <c r="DU54" i="1"/>
  <c r="X14" i="3"/>
  <c r="DT53" i="1"/>
  <c r="DT41" i="1" s="1"/>
  <c r="DT18" i="1"/>
  <c r="DS4" i="2"/>
  <c r="DT9" i="1"/>
  <c r="DS176" i="2"/>
  <c r="DS193" i="2"/>
  <c r="DS188" i="2"/>
  <c r="DS172" i="2"/>
  <c r="DS42" i="2"/>
  <c r="DS180" i="2"/>
  <c r="DS184" i="2"/>
  <c r="DS191" i="2"/>
  <c r="DU283" i="1"/>
  <c r="DU284" i="1" s="1"/>
  <c r="DU278" i="1" s="1"/>
  <c r="DU30" i="1" s="1"/>
  <c r="DT282" i="1"/>
  <c r="DT388" i="1"/>
  <c r="DT391" i="1"/>
  <c r="DU38" i="2"/>
  <c r="DU46" i="2" s="1"/>
  <c r="DT46" i="2"/>
  <c r="CO298" i="5"/>
  <c r="CP111" i="5"/>
  <c r="CD283" i="5"/>
  <c r="CC282" i="5"/>
  <c r="CC285" i="5" s="1"/>
  <c r="CC271" i="5" s="1"/>
  <c r="CC272" i="5" s="1"/>
  <c r="CC295" i="5"/>
  <c r="CC296" i="5" s="1"/>
  <c r="CD330" i="5"/>
  <c r="CD329" i="5" s="1"/>
  <c r="CD332" i="5" s="1"/>
  <c r="DN332" i="5" s="1"/>
  <c r="CE310" i="5"/>
  <c r="CD309" i="5"/>
  <c r="CD312" i="5" s="1"/>
  <c r="DR111" i="5"/>
  <c r="DS42" i="1" l="1"/>
  <c r="DS50" i="2"/>
  <c r="DS9" i="2"/>
  <c r="DV54" i="1"/>
  <c r="Z14" i="3" s="1"/>
  <c r="Y14" i="3"/>
  <c r="DU53" i="1"/>
  <c r="DU41" i="1" s="1"/>
  <c r="DS11" i="2"/>
  <c r="DS48" i="2"/>
  <c r="DT42" i="1"/>
  <c r="DT43" i="1"/>
  <c r="DU281" i="1"/>
  <c r="Y6" i="3"/>
  <c r="Y7" i="3" s="1"/>
  <c r="DU288" i="1"/>
  <c r="DU289" i="1" s="1"/>
  <c r="DU350" i="1"/>
  <c r="DU351" i="1" s="1"/>
  <c r="DT13" i="2"/>
  <c r="DU7" i="1"/>
  <c r="DU32" i="1"/>
  <c r="DU84" i="1"/>
  <c r="DU277" i="1"/>
  <c r="DU383" i="1"/>
  <c r="DU190" i="1"/>
  <c r="DU188" i="1" s="1"/>
  <c r="CP298" i="5"/>
  <c r="CD282" i="5"/>
  <c r="CD285" i="5" s="1"/>
  <c r="CD271" i="5" s="1"/>
  <c r="CD272" i="5" s="1"/>
  <c r="CE283" i="5"/>
  <c r="DN283" i="5"/>
  <c r="DN282" i="5" s="1"/>
  <c r="DN285" i="5" s="1"/>
  <c r="DN271" i="5" s="1"/>
  <c r="DN272" i="5" s="1"/>
  <c r="DN273" i="5" s="1"/>
  <c r="CD295" i="5"/>
  <c r="CD296" i="5" s="1"/>
  <c r="CF310" i="5"/>
  <c r="CE330" i="5"/>
  <c r="CE329" i="5" s="1"/>
  <c r="CE332" i="5" s="1"/>
  <c r="CE309" i="5"/>
  <c r="CE312" i="5" s="1"/>
  <c r="DN312" i="5"/>
  <c r="DN295" i="5" s="1"/>
  <c r="DN296" i="5" s="1"/>
  <c r="DR298" i="5"/>
  <c r="DS111" i="5"/>
  <c r="DU43" i="1" l="1"/>
  <c r="DU42" i="1"/>
  <c r="DU282" i="1"/>
  <c r="DV283" i="1"/>
  <c r="DV284" i="1" s="1"/>
  <c r="DV278" i="1" s="1"/>
  <c r="DV30" i="1" s="1"/>
  <c r="DT41" i="2"/>
  <c r="DT49" i="2"/>
  <c r="DU9" i="1"/>
  <c r="DT4" i="2"/>
  <c r="DU18" i="1"/>
  <c r="DU388" i="1"/>
  <c r="DU391" i="1"/>
  <c r="CE282" i="5"/>
  <c r="CE285" i="5" s="1"/>
  <c r="CE271" i="5" s="1"/>
  <c r="CE272" i="5" s="1"/>
  <c r="DO283" i="5"/>
  <c r="DO282" i="5" s="1"/>
  <c r="DO285" i="5" s="1"/>
  <c r="DO271" i="5" s="1"/>
  <c r="DO272" i="5" s="1"/>
  <c r="DO273" i="5" s="1"/>
  <c r="CF283" i="5"/>
  <c r="CE295" i="5"/>
  <c r="CE296" i="5" s="1"/>
  <c r="CF330" i="5"/>
  <c r="CF329" i="5" s="1"/>
  <c r="CF332" i="5" s="1"/>
  <c r="CG310" i="5"/>
  <c r="CF309" i="5"/>
  <c r="CF312" i="5" s="1"/>
  <c r="DS298" i="5"/>
  <c r="DT111" i="5"/>
  <c r="DV53" i="1" l="1"/>
  <c r="DV41" i="1" s="1"/>
  <c r="DV350" i="1"/>
  <c r="DV351" i="1" s="1"/>
  <c r="DV288" i="1"/>
  <c r="DV289" i="1" s="1"/>
  <c r="Z6" i="3"/>
  <c r="Z7" i="3" s="1"/>
  <c r="DV281" i="1"/>
  <c r="DV282" i="1" s="1"/>
  <c r="DV7" i="1"/>
  <c r="DV32" i="1"/>
  <c r="DU13" i="2"/>
  <c r="DV84" i="1"/>
  <c r="DV277" i="1"/>
  <c r="DV383" i="1"/>
  <c r="DV190" i="1"/>
  <c r="DV188" i="1" s="1"/>
  <c r="DT11" i="2"/>
  <c r="DT48" i="2"/>
  <c r="DT9" i="2"/>
  <c r="DT50" i="2"/>
  <c r="DT180" i="2"/>
  <c r="DT184" i="2"/>
  <c r="DT193" i="2"/>
  <c r="DT191" i="2"/>
  <c r="DT176" i="2"/>
  <c r="DT42" i="2"/>
  <c r="DT188" i="2"/>
  <c r="DT172" i="2"/>
  <c r="CG283" i="5"/>
  <c r="CF282" i="5"/>
  <c r="CF285" i="5" s="1"/>
  <c r="CF271" i="5" s="1"/>
  <c r="CF272" i="5" s="1"/>
  <c r="CG330" i="5"/>
  <c r="CG329" i="5" s="1"/>
  <c r="CG332" i="5" s="1"/>
  <c r="CH310" i="5"/>
  <c r="CG309" i="5"/>
  <c r="CG312" i="5" s="1"/>
  <c r="CG295" i="5" s="1"/>
  <c r="CG296" i="5" s="1"/>
  <c r="CF295" i="5"/>
  <c r="CF296" i="5" s="1"/>
  <c r="DT298" i="5"/>
  <c r="DU111" i="5"/>
  <c r="DV18" i="1" l="1"/>
  <c r="DV9" i="1"/>
  <c r="DU4" i="2"/>
  <c r="DU48" i="2" s="1"/>
  <c r="DU49" i="2"/>
  <c r="DU50" i="2" s="1"/>
  <c r="DU41" i="2"/>
  <c r="DU176" i="2" s="1"/>
  <c r="DV388" i="1"/>
  <c r="DV391" i="1"/>
  <c r="DV42" i="1"/>
  <c r="DV43" i="1"/>
  <c r="CG282" i="5"/>
  <c r="CG285" i="5" s="1"/>
  <c r="CG271" i="5" s="1"/>
  <c r="CG272" i="5" s="1"/>
  <c r="CH283" i="5"/>
  <c r="DU184" i="2"/>
  <c r="CH309" i="5"/>
  <c r="CH312" i="5" s="1"/>
  <c r="DO312" i="5" s="1"/>
  <c r="CH330" i="5"/>
  <c r="CH329" i="5" s="1"/>
  <c r="CH332" i="5" s="1"/>
  <c r="CI310" i="5"/>
  <c r="DU298" i="5"/>
  <c r="CK119" i="5"/>
  <c r="CK128" i="5" s="1"/>
  <c r="CK129" i="5" s="1"/>
  <c r="CK265" i="5"/>
  <c r="CK85" i="5"/>
  <c r="CK86" i="5" s="1"/>
  <c r="CK65" i="5"/>
  <c r="CL120" i="5"/>
  <c r="CK146" i="1"/>
  <c r="CK144" i="1" s="1"/>
  <c r="CK143" i="1" s="1"/>
  <c r="CL143" i="1" s="1"/>
  <c r="CL144" i="1" s="1"/>
  <c r="DU11" i="2" l="1"/>
  <c r="DU193" i="2"/>
  <c r="DU172" i="2"/>
  <c r="DU42" i="2"/>
  <c r="DU191" i="2"/>
  <c r="DU9" i="2"/>
  <c r="DU188" i="2"/>
  <c r="DU180" i="2"/>
  <c r="CL142" i="5"/>
  <c r="CM120" i="5"/>
  <c r="CH282" i="5"/>
  <c r="CH285" i="5" s="1"/>
  <c r="CH271" i="5" s="1"/>
  <c r="CH272" i="5" s="1"/>
  <c r="CI283" i="5"/>
  <c r="DP283" i="5"/>
  <c r="CJ310" i="5"/>
  <c r="CI309" i="5"/>
  <c r="CI312" i="5" s="1"/>
  <c r="CI330" i="5"/>
  <c r="CI329" i="5" s="1"/>
  <c r="CI332" i="5" s="1"/>
  <c r="CH295" i="5"/>
  <c r="CH296" i="5" s="1"/>
  <c r="DO332" i="5"/>
  <c r="DO295" i="5" s="1"/>
  <c r="DO296" i="5" s="1"/>
  <c r="CL145" i="1"/>
  <c r="CL299" i="5"/>
  <c r="CL300" i="5" s="1"/>
  <c r="DP120" i="5"/>
  <c r="DP142" i="5" s="1"/>
  <c r="CK263" i="5"/>
  <c r="CK264" i="5"/>
  <c r="CK261" i="5"/>
  <c r="CL301" i="5" l="1"/>
  <c r="CN120" i="5"/>
  <c r="CM299" i="5"/>
  <c r="CM300" i="5" s="1"/>
  <c r="CM301" i="5" s="1"/>
  <c r="CM142" i="5"/>
  <c r="CL112" i="5"/>
  <c r="DP112" i="5" s="1"/>
  <c r="CM145" i="1"/>
  <c r="CM112" i="5" s="1"/>
  <c r="DP282" i="5"/>
  <c r="DP285" i="5" s="1"/>
  <c r="DP271" i="5" s="1"/>
  <c r="DP272" i="5" s="1"/>
  <c r="DP273" i="5" s="1"/>
  <c r="CJ283" i="5"/>
  <c r="CI282" i="5"/>
  <c r="CI285" i="5" s="1"/>
  <c r="CI271" i="5" s="1"/>
  <c r="CI272" i="5" s="1"/>
  <c r="CI295" i="5"/>
  <c r="CI296" i="5" s="1"/>
  <c r="CK310" i="5"/>
  <c r="CJ330" i="5"/>
  <c r="CJ329" i="5" s="1"/>
  <c r="CJ332" i="5" s="1"/>
  <c r="CJ309" i="5"/>
  <c r="CJ312" i="5" s="1"/>
  <c r="CK297" i="2"/>
  <c r="CK44" i="5"/>
  <c r="CK45" i="5" s="1"/>
  <c r="CL85" i="5"/>
  <c r="DP299" i="5"/>
  <c r="DP300" i="5" s="1"/>
  <c r="DP65" i="5"/>
  <c r="CL308" i="5"/>
  <c r="CL322" i="5"/>
  <c r="CL328" i="5"/>
  <c r="CL146" i="1"/>
  <c r="CL122" i="5" s="1"/>
  <c r="CL292" i="5"/>
  <c r="CL308" i="2" l="1"/>
  <c r="CL307" i="2" s="1"/>
  <c r="DP307" i="2" s="1"/>
  <c r="CM292" i="5"/>
  <c r="CM296" i="5"/>
  <c r="CN299" i="5"/>
  <c r="CN300" i="5" s="1"/>
  <c r="CO120" i="5"/>
  <c r="CN142" i="5"/>
  <c r="CM85" i="5"/>
  <c r="CM328" i="5"/>
  <c r="CM322" i="5"/>
  <c r="CM308" i="5"/>
  <c r="CN145" i="1"/>
  <c r="CN112" i="5" s="1"/>
  <c r="CM146" i="1"/>
  <c r="CM122" i="5" s="1"/>
  <c r="CM149" i="5" s="1"/>
  <c r="CK283" i="5"/>
  <c r="CJ282" i="5"/>
  <c r="CJ285" i="5" s="1"/>
  <c r="CJ271" i="5" s="1"/>
  <c r="CJ272" i="5" s="1"/>
  <c r="DR283" i="5"/>
  <c r="CJ295" i="5"/>
  <c r="CJ296" i="5" s="1"/>
  <c r="CK309" i="5"/>
  <c r="CK312" i="5" s="1"/>
  <c r="CL310" i="5"/>
  <c r="CK330" i="5"/>
  <c r="CK329" i="5" s="1"/>
  <c r="CK332" i="5" s="1"/>
  <c r="DP44" i="5"/>
  <c r="DP85" i="5"/>
  <c r="DP303" i="2"/>
  <c r="DP305" i="2" s="1"/>
  <c r="DP122" i="5"/>
  <c r="DP308" i="2" s="1"/>
  <c r="DP309" i="2" s="1"/>
  <c r="CL149" i="5"/>
  <c r="DP308" i="5"/>
  <c r="DP301" i="5"/>
  <c r="DP328" i="5"/>
  <c r="DP322" i="5"/>
  <c r="DR120" i="5"/>
  <c r="DR142" i="5" s="1"/>
  <c r="DQ145" i="1"/>
  <c r="CL44" i="5"/>
  <c r="CL297" i="2"/>
  <c r="CK46" i="5"/>
  <c r="CK56" i="5" s="1"/>
  <c r="CK20" i="5"/>
  <c r="CK260" i="5" s="1"/>
  <c r="CK281" i="2"/>
  <c r="CK282" i="2" s="1"/>
  <c r="CM308" i="2" l="1"/>
  <c r="CN322" i="5"/>
  <c r="CN328" i="5"/>
  <c r="CN308" i="5"/>
  <c r="CN301" i="5"/>
  <c r="CN85" i="5"/>
  <c r="CP120" i="5"/>
  <c r="CO299" i="5"/>
  <c r="CO300" i="5" s="1"/>
  <c r="CO142" i="5"/>
  <c r="CO145" i="1"/>
  <c r="CO112" i="5" s="1"/>
  <c r="CN146" i="1"/>
  <c r="CN122" i="5" s="1"/>
  <c r="CN149" i="5" s="1"/>
  <c r="DS283" i="5"/>
  <c r="DR282" i="5"/>
  <c r="CK282" i="5"/>
  <c r="CK285" i="5" s="1"/>
  <c r="CK271" i="5" s="1"/>
  <c r="CK272" i="5" s="1"/>
  <c r="CL283" i="5"/>
  <c r="CL282" i="5" s="1"/>
  <c r="CL285" i="5" s="1"/>
  <c r="CL271" i="5" s="1"/>
  <c r="CL272" i="5" s="1"/>
  <c r="CK295" i="5"/>
  <c r="CK296" i="5" s="1"/>
  <c r="CL309" i="5"/>
  <c r="CL312" i="5" s="1"/>
  <c r="CL330" i="5"/>
  <c r="CL329" i="5" s="1"/>
  <c r="CL332" i="5" s="1"/>
  <c r="DP332" i="5" s="1"/>
  <c r="DS112" i="5"/>
  <c r="DP149" i="5"/>
  <c r="DQ146" i="1"/>
  <c r="DS122" i="5" s="1"/>
  <c r="CK50" i="5"/>
  <c r="CL20" i="5"/>
  <c r="CL281" i="2"/>
  <c r="C7" i="4"/>
  <c r="DR299" i="5"/>
  <c r="DR300" i="5" s="1"/>
  <c r="DS120" i="5"/>
  <c r="DS142" i="5" s="1"/>
  <c r="DP297" i="2"/>
  <c r="CM307" i="2" l="1"/>
  <c r="CN308" i="2"/>
  <c r="CN307" i="2" s="1"/>
  <c r="CO85" i="5"/>
  <c r="CO322" i="5"/>
  <c r="CO308" i="5"/>
  <c r="CO328" i="5"/>
  <c r="CP299" i="5"/>
  <c r="CP300" i="5" s="1"/>
  <c r="CP301" i="5" s="1"/>
  <c r="CP142" i="5"/>
  <c r="CN292" i="5"/>
  <c r="CN296" i="5"/>
  <c r="CO301" i="5"/>
  <c r="CP145" i="1"/>
  <c r="CO146" i="1"/>
  <c r="CO122" i="5" s="1"/>
  <c r="CO149" i="5" s="1"/>
  <c r="DT283" i="5"/>
  <c r="DS282" i="5"/>
  <c r="DS149" i="5"/>
  <c r="DP312" i="5"/>
  <c r="DP295" i="5" s="1"/>
  <c r="DP296" i="5" s="1"/>
  <c r="CL295" i="5"/>
  <c r="CL296" i="5" s="1"/>
  <c r="CL260" i="5"/>
  <c r="CL18" i="5"/>
  <c r="DR328" i="5"/>
  <c r="DR322" i="5"/>
  <c r="DR308" i="5"/>
  <c r="DQ144" i="1"/>
  <c r="DQ143" i="1" s="1"/>
  <c r="CK57" i="5"/>
  <c r="CK251" i="5"/>
  <c r="CK255" i="5"/>
  <c r="DT120" i="5"/>
  <c r="DT142" i="5" s="1"/>
  <c r="DS299" i="5"/>
  <c r="DS300" i="5" s="1"/>
  <c r="DS301" i="5" s="1"/>
  <c r="DS296" i="5" s="1"/>
  <c r="DS308" i="2"/>
  <c r="DR303" i="2"/>
  <c r="DR305" i="2" s="1"/>
  <c r="DR85" i="5"/>
  <c r="DR301" i="5"/>
  <c r="DR296" i="5" s="1"/>
  <c r="DP281" i="2"/>
  <c r="DP20" i="5"/>
  <c r="DP260" i="5" s="1"/>
  <c r="CP146" i="1" l="1"/>
  <c r="CP122" i="5" s="1"/>
  <c r="CP112" i="5"/>
  <c r="CM44" i="5"/>
  <c r="CM297" i="2"/>
  <c r="CN44" i="5"/>
  <c r="CN297" i="2"/>
  <c r="CO308" i="2"/>
  <c r="CO307" i="2" s="1"/>
  <c r="CP292" i="5"/>
  <c r="CP296" i="5"/>
  <c r="CO292" i="5"/>
  <c r="CO296" i="5"/>
  <c r="CP322" i="5"/>
  <c r="CP328" i="5"/>
  <c r="CP308" i="5"/>
  <c r="CP85" i="5"/>
  <c r="DU283" i="5"/>
  <c r="DU282" i="5" s="1"/>
  <c r="DT282" i="5"/>
  <c r="DT299" i="5"/>
  <c r="DT300" i="5" s="1"/>
  <c r="DT301" i="5" s="1"/>
  <c r="DT296" i="5" s="1"/>
  <c r="DU120" i="5"/>
  <c r="DU142" i="5" s="1"/>
  <c r="CK62" i="5"/>
  <c r="CK68" i="5" s="1"/>
  <c r="CK252" i="5"/>
  <c r="DS322" i="5"/>
  <c r="DS328" i="5"/>
  <c r="DS308" i="5"/>
  <c r="DP18" i="5"/>
  <c r="CL60" i="5"/>
  <c r="DS303" i="2"/>
  <c r="DS305" i="2" s="1"/>
  <c r="DS85" i="5"/>
  <c r="CP308" i="2" l="1"/>
  <c r="DQ112" i="5"/>
  <c r="CN20" i="5"/>
  <c r="CN281" i="2"/>
  <c r="CM20" i="5"/>
  <c r="CM281" i="2"/>
  <c r="CO44" i="5"/>
  <c r="CO297" i="2"/>
  <c r="CP307" i="2"/>
  <c r="DQ122" i="5"/>
  <c r="CP149" i="5"/>
  <c r="DP60" i="5"/>
  <c r="U18" i="3"/>
  <c r="P103" i="3" s="1"/>
  <c r="DU299" i="5"/>
  <c r="DU300" i="5" s="1"/>
  <c r="DU301" i="5" s="1"/>
  <c r="DU296" i="5" s="1"/>
  <c r="DT303" i="2"/>
  <c r="DT305" i="2" s="1"/>
  <c r="DT85" i="5"/>
  <c r="DT328" i="5"/>
  <c r="DT322" i="5"/>
  <c r="DT308" i="5"/>
  <c r="DQ149" i="5" l="1"/>
  <c r="DR146" i="1"/>
  <c r="CM18" i="5"/>
  <c r="CM260" i="5"/>
  <c r="CN18" i="5"/>
  <c r="CN60" i="5" s="1"/>
  <c r="CN260" i="5"/>
  <c r="DQ308" i="2"/>
  <c r="DR145" i="1"/>
  <c r="DR144" i="1" s="1"/>
  <c r="DR143" i="1" s="1"/>
  <c r="DS143" i="1" s="1"/>
  <c r="CP44" i="5"/>
  <c r="CP297" i="2"/>
  <c r="DQ307" i="2"/>
  <c r="CO20" i="5"/>
  <c r="CO281" i="2"/>
  <c r="DT122" i="5"/>
  <c r="DU303" i="2"/>
  <c r="DU305" i="2" s="1"/>
  <c r="DU85" i="5"/>
  <c r="DU322" i="5"/>
  <c r="DU308" i="5"/>
  <c r="DU328" i="5"/>
  <c r="DS144" i="1" l="1"/>
  <c r="DT143" i="1"/>
  <c r="DT112" i="5"/>
  <c r="DT149" i="5" s="1"/>
  <c r="CP20" i="5"/>
  <c r="CP281" i="2"/>
  <c r="DQ297" i="2"/>
  <c r="DS145" i="1"/>
  <c r="DS146" i="1" s="1"/>
  <c r="DU122" i="5" s="1"/>
  <c r="CO18" i="5"/>
  <c r="CO60" i="5" s="1"/>
  <c r="CO260" i="5"/>
  <c r="DQ309" i="2"/>
  <c r="DR309" i="2" s="1"/>
  <c r="DQ44" i="5"/>
  <c r="CM60" i="5"/>
  <c r="DT308" i="2"/>
  <c r="DQ281" i="2" l="1"/>
  <c r="DQ20" i="5"/>
  <c r="DQ260" i="5" s="1"/>
  <c r="DR307" i="2"/>
  <c r="DS309" i="2"/>
  <c r="DT144" i="1"/>
  <c r="DT145" i="1" s="1"/>
  <c r="DU143" i="1"/>
  <c r="DU112" i="5"/>
  <c r="DU149" i="5" s="1"/>
  <c r="CP18" i="5"/>
  <c r="CP260" i="5"/>
  <c r="CP60" i="5" l="1"/>
  <c r="DQ18" i="5"/>
  <c r="DU308" i="2"/>
  <c r="DU144" i="1"/>
  <c r="DV143" i="1"/>
  <c r="DV144" i="1" s="1"/>
  <c r="DR44" i="5"/>
  <c r="DR297" i="2"/>
  <c r="DS307" i="2"/>
  <c r="DT309" i="2"/>
  <c r="DT146" i="1"/>
  <c r="DQ60" i="5" l="1"/>
  <c r="V18" i="3"/>
  <c r="DR281" i="2"/>
  <c r="DR20" i="5"/>
  <c r="DU309" i="2"/>
  <c r="DU307" i="2" s="1"/>
  <c r="DT307" i="2"/>
  <c r="DS297" i="2"/>
  <c r="DS44" i="5"/>
  <c r="DU145" i="1"/>
  <c r="DV145" i="1" s="1"/>
  <c r="DV146" i="1" s="1"/>
  <c r="DU146" i="1" l="1"/>
  <c r="DS20" i="5"/>
  <c r="DS281" i="2"/>
  <c r="DU297" i="2"/>
  <c r="DU44" i="5"/>
  <c r="DT44" i="5"/>
  <c r="DT297" i="2"/>
  <c r="DR18" i="5"/>
  <c r="DR260" i="5"/>
  <c r="DR60" i="5" l="1"/>
  <c r="W18" i="3"/>
  <c r="DT20" i="5"/>
  <c r="DT281" i="2"/>
  <c r="DU281" i="2"/>
  <c r="DU20" i="5"/>
  <c r="DS260" i="5"/>
  <c r="DS18" i="5"/>
  <c r="DP266" i="2"/>
  <c r="CK279" i="2"/>
  <c r="CK267" i="2"/>
  <c r="CK270" i="2"/>
  <c r="DU260" i="5" l="1"/>
  <c r="DU18" i="5"/>
  <c r="DS60" i="5"/>
  <c r="X18" i="3"/>
  <c r="DT18" i="5"/>
  <c r="DT260" i="5"/>
  <c r="CK268" i="2"/>
  <c r="CK260" i="2"/>
  <c r="CK261" i="2" s="1"/>
  <c r="CK237" i="2"/>
  <c r="CL263" i="2"/>
  <c r="CK271" i="2"/>
  <c r="CL271" i="2" s="1"/>
  <c r="CL270" i="2" s="1"/>
  <c r="CL117" i="2" s="1"/>
  <c r="CK69" i="2"/>
  <c r="CK118" i="2"/>
  <c r="CK238" i="2"/>
  <c r="DU60" i="5" l="1"/>
  <c r="Z18" i="3"/>
  <c r="Y18" i="3"/>
  <c r="DT60" i="5"/>
  <c r="DP270" i="2"/>
  <c r="DP117" i="2"/>
  <c r="CL99" i="2"/>
  <c r="CL279" i="2"/>
  <c r="DP279" i="2" l="1"/>
  <c r="DP118" i="2"/>
  <c r="DP99" i="2"/>
  <c r="CL100" i="2"/>
  <c r="CL102" i="2" s="1"/>
  <c r="CL94" i="1"/>
  <c r="CL101" i="2"/>
  <c r="DQ94" i="1" l="1"/>
  <c r="CL14" i="5"/>
  <c r="DP100" i="2"/>
  <c r="DP101" i="2"/>
  <c r="DP14" i="5" l="1"/>
  <c r="CL26" i="2" l="1"/>
  <c r="CL27" i="2" s="1"/>
  <c r="CL267" i="2"/>
  <c r="DP264" i="2"/>
  <c r="CM263" i="2" l="1"/>
  <c r="CM270" i="2"/>
  <c r="DP265" i="2"/>
  <c r="DP271" i="2"/>
  <c r="CL268" i="2"/>
  <c r="DP267" i="2"/>
  <c r="DQ263" i="2" s="1"/>
  <c r="CL260" i="2"/>
  <c r="DP260" i="2" l="1"/>
  <c r="DP268" i="2"/>
  <c r="CK276" i="2" l="1"/>
  <c r="CK250" i="2"/>
  <c r="CK249" i="2"/>
  <c r="CL249" i="2" s="1"/>
  <c r="CL248" i="2" s="1"/>
  <c r="CM276" i="2" s="1"/>
  <c r="CL276" i="2" l="1"/>
  <c r="DP248" i="2"/>
  <c r="DP249" i="2" s="1"/>
  <c r="DR249" i="2" l="1"/>
  <c r="DS249" i="2" l="1"/>
  <c r="DR248" i="2"/>
  <c r="DT249" i="2" l="1"/>
  <c r="DS248" i="2"/>
  <c r="DT248" i="2" l="1"/>
  <c r="DU249" i="2"/>
  <c r="DU248" i="2" s="1"/>
  <c r="CL258" i="2"/>
  <c r="CK273" i="2"/>
  <c r="CL261" i="2" l="1"/>
  <c r="CL251" i="2"/>
  <c r="CK274" i="2"/>
  <c r="CK277" i="2"/>
  <c r="DP273" i="2"/>
  <c r="CK278" i="2"/>
  <c r="DP251" i="2" l="1"/>
  <c r="DP252" i="2" s="1"/>
  <c r="CL254" i="2"/>
  <c r="CL252" i="2"/>
  <c r="CL245" i="2"/>
  <c r="DP254" i="2"/>
  <c r="CL255" i="2"/>
  <c r="DP278" i="2"/>
  <c r="DP274" i="2"/>
  <c r="CM264" i="2" l="1"/>
  <c r="CL253" i="2"/>
  <c r="DP245" i="2"/>
  <c r="DP246" i="2" s="1"/>
  <c r="CL246" i="2"/>
  <c r="CL250" i="2"/>
  <c r="CL244" i="2"/>
  <c r="CM273" i="2" s="1"/>
  <c r="CL256" i="2"/>
  <c r="DP255" i="2"/>
  <c r="DP258" i="2"/>
  <c r="CM266" i="2" l="1"/>
  <c r="CM267" i="2" s="1"/>
  <c r="CM258" i="2"/>
  <c r="CL237" i="2"/>
  <c r="DP237" i="2" s="1"/>
  <c r="DP244" i="2"/>
  <c r="DP261" i="2"/>
  <c r="CL118" i="2" l="1"/>
  <c r="CM117" i="2"/>
  <c r="CM279" i="2" s="1"/>
  <c r="CM260" i="2"/>
  <c r="CM261" i="2" s="1"/>
  <c r="CM268" i="2"/>
  <c r="CN263" i="2"/>
  <c r="CN270" i="2"/>
  <c r="CL238" i="2"/>
  <c r="CM251" i="2"/>
  <c r="CM254" i="2" s="1"/>
  <c r="DP238" i="2"/>
  <c r="CN264" i="2" l="1"/>
  <c r="CM255" i="2"/>
  <c r="CM252" i="2"/>
  <c r="CM245" i="2"/>
  <c r="CM244" i="2" l="1"/>
  <c r="CM246" i="2"/>
  <c r="CM250" i="2"/>
  <c r="CM253" i="2"/>
  <c r="CM256" i="2"/>
  <c r="CM237" i="2" l="1"/>
  <c r="CN273" i="2"/>
  <c r="CN266" i="2" l="1"/>
  <c r="CN258" i="2"/>
  <c r="CM238" i="2"/>
  <c r="CM118" i="2"/>
  <c r="CN251" i="2" l="1"/>
  <c r="CN117" i="2"/>
  <c r="CN267" i="2"/>
  <c r="CN260" i="2" l="1"/>
  <c r="CN261" i="2" s="1"/>
  <c r="CN268" i="2"/>
  <c r="CO263" i="2"/>
  <c r="CO270" i="2"/>
  <c r="CN252" i="2"/>
  <c r="CN245" i="2"/>
  <c r="CN253" i="2" s="1"/>
  <c r="CN279" i="2"/>
  <c r="CN254" i="2"/>
  <c r="CO264" i="2" l="1"/>
  <c r="CN246" i="2"/>
  <c r="CN244" i="2"/>
  <c r="CN250" i="2"/>
  <c r="CN255" i="2"/>
  <c r="CN256" i="2"/>
  <c r="CN237" i="2" l="1"/>
  <c r="CO273" i="2"/>
  <c r="CK215" i="2"/>
  <c r="CK221" i="2"/>
  <c r="CL207" i="2"/>
  <c r="CO266" i="2" l="1"/>
  <c r="CO258" i="2"/>
  <c r="CL199" i="2"/>
  <c r="CL200" i="2" s="1"/>
  <c r="CN238" i="2"/>
  <c r="CN118" i="2"/>
  <c r="DP199" i="2"/>
  <c r="CL215" i="2"/>
  <c r="CL202" i="2"/>
  <c r="CM210" i="2" s="1"/>
  <c r="CK224" i="2"/>
  <c r="CK222" i="2"/>
  <c r="DP221" i="2"/>
  <c r="CM207" i="2" l="1"/>
  <c r="CM199" i="2" s="1"/>
  <c r="CO251" i="2"/>
  <c r="CO254" i="2" s="1"/>
  <c r="CP264" i="2" s="1"/>
  <c r="CM212" i="2"/>
  <c r="CM213" i="2" s="1"/>
  <c r="CM26" i="2"/>
  <c r="CM27" i="2" s="1"/>
  <c r="CL163" i="2"/>
  <c r="CL201" i="2"/>
  <c r="CO117" i="2"/>
  <c r="CO267" i="2"/>
  <c r="DP224" i="2"/>
  <c r="DP222" i="2"/>
  <c r="CL203" i="2"/>
  <c r="CL204" i="2"/>
  <c r="DP202" i="2"/>
  <c r="DP201" i="2"/>
  <c r="DP200" i="2"/>
  <c r="DP163" i="2"/>
  <c r="DP164" i="2" s="1"/>
  <c r="CO255" i="2" l="1"/>
  <c r="CN209" i="2"/>
  <c r="CN218" i="2"/>
  <c r="CM215" i="2"/>
  <c r="CM214" i="2"/>
  <c r="CM217" i="2"/>
  <c r="CM114" i="2" s="1"/>
  <c r="CM104" i="2"/>
  <c r="CO260" i="2"/>
  <c r="CO261" i="2" s="1"/>
  <c r="CO268" i="2"/>
  <c r="CP263" i="2"/>
  <c r="CP270" i="2"/>
  <c r="DQ270" i="2" s="1"/>
  <c r="CO279" i="2"/>
  <c r="CM200" i="2"/>
  <c r="CM163" i="2"/>
  <c r="CO252" i="2"/>
  <c r="CO245" i="2"/>
  <c r="CL164" i="2"/>
  <c r="CL160" i="2"/>
  <c r="CM202" i="2"/>
  <c r="DR222" i="2"/>
  <c r="DP203" i="2"/>
  <c r="DP204" i="2"/>
  <c r="DP207" i="2"/>
  <c r="CM99" i="2" l="1"/>
  <c r="CM105" i="2"/>
  <c r="CM115" i="2"/>
  <c r="CM198" i="2"/>
  <c r="CL84" i="2"/>
  <c r="DP160" i="2"/>
  <c r="DQ198" i="2" s="1"/>
  <c r="CL161" i="2"/>
  <c r="CL29" i="2"/>
  <c r="CO246" i="2"/>
  <c r="CO244" i="2"/>
  <c r="CO250" i="2"/>
  <c r="DQ264" i="2"/>
  <c r="DQ265" i="2" s="1"/>
  <c r="DR265" i="2" s="1"/>
  <c r="CM164" i="2"/>
  <c r="CM160" i="2"/>
  <c r="CO256" i="2"/>
  <c r="CO253" i="2"/>
  <c r="CM203" i="2"/>
  <c r="CN210" i="2"/>
  <c r="CM204" i="2"/>
  <c r="CM201" i="2"/>
  <c r="DP215" i="2"/>
  <c r="DS222" i="2"/>
  <c r="DR221" i="2"/>
  <c r="DR212" i="2" s="1"/>
  <c r="DS265" i="2" l="1"/>
  <c r="DQ271" i="2"/>
  <c r="DR271" i="2" s="1"/>
  <c r="DP161" i="2"/>
  <c r="DP84" i="2"/>
  <c r="CL64" i="2"/>
  <c r="CN34" i="2"/>
  <c r="CL31" i="2"/>
  <c r="CL30" i="2"/>
  <c r="CL33" i="2"/>
  <c r="CL35" i="2" s="1"/>
  <c r="CM161" i="2"/>
  <c r="CM29" i="2"/>
  <c r="CM84" i="2"/>
  <c r="CN198" i="2"/>
  <c r="CN212" i="2"/>
  <c r="CN26" i="2"/>
  <c r="CN27" i="2" s="1"/>
  <c r="CN207" i="2"/>
  <c r="CO237" i="2"/>
  <c r="CP273" i="2"/>
  <c r="DQ273" i="2" s="1"/>
  <c r="DQ274" i="2" s="1"/>
  <c r="DR274" i="2" s="1"/>
  <c r="CM94" i="1"/>
  <c r="CM101" i="2"/>
  <c r="CM100" i="2"/>
  <c r="CM102" i="2" s="1"/>
  <c r="DT222" i="2"/>
  <c r="DS221" i="2"/>
  <c r="DS212" i="2" s="1"/>
  <c r="DS271" i="2" l="1"/>
  <c r="DR273" i="2"/>
  <c r="DR266" i="2" s="1"/>
  <c r="DS274" i="2"/>
  <c r="DT265" i="2"/>
  <c r="CM64" i="2"/>
  <c r="CM130" i="2" s="1"/>
  <c r="CM14" i="5"/>
  <c r="CN217" i="2"/>
  <c r="CN114" i="2" s="1"/>
  <c r="CN104" i="2"/>
  <c r="CN213" i="2"/>
  <c r="CP266" i="2"/>
  <c r="DQ266" i="2" s="1"/>
  <c r="CP258" i="2"/>
  <c r="CL125" i="2"/>
  <c r="CL65" i="2"/>
  <c r="CL69" i="2"/>
  <c r="CL130" i="2"/>
  <c r="CL66" i="2"/>
  <c r="CL34" i="1"/>
  <c r="CO34" i="2"/>
  <c r="CM30" i="2"/>
  <c r="CM31" i="2"/>
  <c r="CM33" i="2"/>
  <c r="CM35" i="2" s="1"/>
  <c r="CO238" i="2"/>
  <c r="CO118" i="2"/>
  <c r="CM65" i="2"/>
  <c r="DP64" i="2"/>
  <c r="DP85" i="2"/>
  <c r="DP86" i="2" s="1"/>
  <c r="CN199" i="2"/>
  <c r="DT221" i="2"/>
  <c r="DT212" i="2" s="1"/>
  <c r="DU222" i="2"/>
  <c r="DU221" i="2" s="1"/>
  <c r="DU212" i="2" s="1"/>
  <c r="CM34" i="1" l="1"/>
  <c r="CM11" i="1" s="1"/>
  <c r="CM125" i="2"/>
  <c r="CM66" i="2"/>
  <c r="CM69" i="2"/>
  <c r="DU265" i="2"/>
  <c r="DQ278" i="2"/>
  <c r="DT274" i="2"/>
  <c r="DS273" i="2"/>
  <c r="DS266" i="2" s="1"/>
  <c r="DT271" i="2"/>
  <c r="CN200" i="2"/>
  <c r="CN201" i="2"/>
  <c r="CN163" i="2"/>
  <c r="CP117" i="2"/>
  <c r="DQ117" i="2" s="1"/>
  <c r="DQ118" i="2" s="1"/>
  <c r="CP267" i="2"/>
  <c r="DQ267" i="2" s="1"/>
  <c r="CM181" i="1"/>
  <c r="CM132" i="2"/>
  <c r="CM131" i="2"/>
  <c r="DQ34" i="1"/>
  <c r="CL11" i="1"/>
  <c r="CL100" i="1"/>
  <c r="CL44" i="1"/>
  <c r="CL26" i="1"/>
  <c r="CL36" i="1"/>
  <c r="CO209" i="2"/>
  <c r="CN214" i="2"/>
  <c r="CN215" i="2"/>
  <c r="CO218" i="2"/>
  <c r="DP130" i="2"/>
  <c r="DP125" i="2"/>
  <c r="DP69" i="2"/>
  <c r="DP65" i="2"/>
  <c r="CP251" i="2"/>
  <c r="DQ251" i="2" s="1"/>
  <c r="CN202" i="2"/>
  <c r="CM44" i="1"/>
  <c r="CM100" i="1"/>
  <c r="CM26" i="1"/>
  <c r="CM35" i="1" s="1"/>
  <c r="CL131" i="2"/>
  <c r="CL132" i="2"/>
  <c r="CL181" i="1"/>
  <c r="CN115" i="2"/>
  <c r="CN105" i="2"/>
  <c r="CN99" i="2"/>
  <c r="CM36" i="1" l="1"/>
  <c r="DQ252" i="2"/>
  <c r="DU271" i="2"/>
  <c r="DQ279" i="2"/>
  <c r="DQ268" i="2"/>
  <c r="DR263" i="2"/>
  <c r="DU274" i="2"/>
  <c r="DU273" i="2" s="1"/>
  <c r="DU266" i="2" s="1"/>
  <c r="DT273" i="2"/>
  <c r="DT266" i="2" s="1"/>
  <c r="CM182" i="1"/>
  <c r="CM184" i="1" s="1"/>
  <c r="CM183" i="1"/>
  <c r="CM214" i="1"/>
  <c r="DQ181" i="1"/>
  <c r="CL182" i="1"/>
  <c r="CL184" i="1" s="1"/>
  <c r="CL214" i="1"/>
  <c r="CL183" i="1"/>
  <c r="CM46" i="1"/>
  <c r="CM38" i="1"/>
  <c r="CM13" i="1"/>
  <c r="CM3" i="1"/>
  <c r="CM12" i="1" s="1"/>
  <c r="CM8" i="1" s="1"/>
  <c r="DQ11" i="1"/>
  <c r="CL3" i="1"/>
  <c r="CL21" i="1"/>
  <c r="CL13" i="1"/>
  <c r="CP279" i="2"/>
  <c r="CN204" i="2"/>
  <c r="CN203" i="2"/>
  <c r="CO210" i="2"/>
  <c r="DQ36" i="1"/>
  <c r="DQ100" i="1"/>
  <c r="DQ26" i="1"/>
  <c r="U8" i="3"/>
  <c r="CN164" i="2"/>
  <c r="CN160" i="2"/>
  <c r="CM73" i="1"/>
  <c r="CM394" i="1"/>
  <c r="CM114" i="1"/>
  <c r="CM108" i="1"/>
  <c r="CM27" i="1"/>
  <c r="CM400" i="1"/>
  <c r="CM117" i="1"/>
  <c r="CM111" i="1"/>
  <c r="CM120" i="1"/>
  <c r="CM83" i="1"/>
  <c r="CM31" i="1"/>
  <c r="CM357" i="1"/>
  <c r="CM28" i="1"/>
  <c r="CP252" i="2"/>
  <c r="CP245" i="2"/>
  <c r="DQ245" i="2" s="1"/>
  <c r="DQ246" i="2" s="1"/>
  <c r="CL90" i="1"/>
  <c r="CL83" i="1"/>
  <c r="CL400" i="1"/>
  <c r="CL73" i="1"/>
  <c r="CL31" i="1"/>
  <c r="CL111" i="1"/>
  <c r="CL114" i="1"/>
  <c r="CL357" i="1"/>
  <c r="CL394" i="1"/>
  <c r="CL28" i="1"/>
  <c r="CL108" i="1"/>
  <c r="DQ108" i="1" s="1"/>
  <c r="DP28" i="5" s="1"/>
  <c r="CL27" i="1"/>
  <c r="CL120" i="1"/>
  <c r="CL117" i="1"/>
  <c r="CL35" i="1"/>
  <c r="DQ44" i="1"/>
  <c r="CL57" i="1"/>
  <c r="CL46" i="1"/>
  <c r="CL38" i="1"/>
  <c r="DP131" i="2"/>
  <c r="DP132" i="2"/>
  <c r="CN100" i="2"/>
  <c r="CN102" i="2" s="1"/>
  <c r="CN94" i="1"/>
  <c r="CN101" i="2"/>
  <c r="CM57" i="1"/>
  <c r="CP254" i="2"/>
  <c r="DQ254" i="2" s="1"/>
  <c r="CP260" i="2"/>
  <c r="CP268" i="2"/>
  <c r="CM21" i="1"/>
  <c r="CP261" i="2" l="1"/>
  <c r="DQ260" i="2"/>
  <c r="DQ258" i="2"/>
  <c r="DQ255" i="2"/>
  <c r="CM157" i="1"/>
  <c r="CM156" i="1"/>
  <c r="CM165" i="1"/>
  <c r="CN14" i="5"/>
  <c r="DQ109" i="1"/>
  <c r="CM49" i="1"/>
  <c r="CM50" i="1" s="1"/>
  <c r="CM51" i="1" s="1"/>
  <c r="CO212" i="2"/>
  <c r="CO213" i="2" s="1"/>
  <c r="CO26" i="2"/>
  <c r="CO27" i="2" s="1"/>
  <c r="CO207" i="2"/>
  <c r="CP246" i="2"/>
  <c r="CP250" i="2"/>
  <c r="CP244" i="2"/>
  <c r="DQ114" i="1"/>
  <c r="CL157" i="1"/>
  <c r="CN161" i="2"/>
  <c r="CN29" i="2"/>
  <c r="CN84" i="2"/>
  <c r="CO198" i="2"/>
  <c r="DQ175" i="1"/>
  <c r="DQ183" i="1"/>
  <c r="DQ214" i="1"/>
  <c r="U46" i="3"/>
  <c r="DQ182" i="1"/>
  <c r="DQ184" i="1" s="1"/>
  <c r="CL155" i="1"/>
  <c r="CL96" i="1"/>
  <c r="DQ117" i="1"/>
  <c r="CM96" i="1"/>
  <c r="CM155" i="1"/>
  <c r="CM3" i="5"/>
  <c r="CM4" i="1"/>
  <c r="CM5" i="1"/>
  <c r="DQ120" i="1"/>
  <c r="CL156" i="1"/>
  <c r="CM403" i="1"/>
  <c r="CM404" i="1"/>
  <c r="P87" i="3"/>
  <c r="P85" i="3" s="1"/>
  <c r="P111" i="3" s="1"/>
  <c r="U9" i="3"/>
  <c r="CM62" i="1"/>
  <c r="CM58" i="1"/>
  <c r="CM59" i="1" s="1"/>
  <c r="CL58" i="1"/>
  <c r="CL59" i="1" s="1"/>
  <c r="CL62" i="1"/>
  <c r="CL4" i="1"/>
  <c r="CL5" i="1"/>
  <c r="CL3" i="5"/>
  <c r="CL123" i="5" s="1"/>
  <c r="CL12" i="1"/>
  <c r="CL8" i="1" s="1"/>
  <c r="CL175" i="5"/>
  <c r="CL173" i="5" s="1"/>
  <c r="CL54" i="5" s="1"/>
  <c r="CL378" i="1"/>
  <c r="DQ394" i="1"/>
  <c r="CL398" i="1"/>
  <c r="CL397" i="1"/>
  <c r="CL216" i="1"/>
  <c r="CL215" i="1"/>
  <c r="CL217" i="1" s="1"/>
  <c r="CL358" i="1"/>
  <c r="CL359" i="1"/>
  <c r="CM11" i="5"/>
  <c r="CM75" i="1"/>
  <c r="CM76" i="1"/>
  <c r="CM78" i="1" s="1"/>
  <c r="CM72" i="1"/>
  <c r="CM77" i="1"/>
  <c r="CP253" i="2"/>
  <c r="CL7" i="5"/>
  <c r="CL39" i="1"/>
  <c r="DQ38" i="1"/>
  <c r="CL72" i="1"/>
  <c r="DQ73" i="1"/>
  <c r="CL76" i="1"/>
  <c r="CL78" i="1" s="1"/>
  <c r="CL75" i="1"/>
  <c r="CL11" i="5"/>
  <c r="CL77" i="1"/>
  <c r="DQ83" i="1"/>
  <c r="DQ90" i="1"/>
  <c r="DQ35" i="1"/>
  <c r="DQ31" i="1"/>
  <c r="DQ357" i="1"/>
  <c r="DQ358" i="1" s="1"/>
  <c r="DQ27" i="1"/>
  <c r="CM7" i="5"/>
  <c r="CM39" i="1"/>
  <c r="DQ46" i="1"/>
  <c r="DQ57" i="1"/>
  <c r="CM175" i="5"/>
  <c r="CM378" i="1"/>
  <c r="CM397" i="1"/>
  <c r="CM398" i="1"/>
  <c r="DQ13" i="1"/>
  <c r="DQ3" i="1"/>
  <c r="CM15" i="1"/>
  <c r="CM22" i="1" s="1"/>
  <c r="CL165" i="1"/>
  <c r="DQ165" i="1" s="1"/>
  <c r="DQ111" i="1"/>
  <c r="DQ112" i="1" s="1"/>
  <c r="CM215" i="1"/>
  <c r="CM217" i="1" s="1"/>
  <c r="CM216" i="1"/>
  <c r="CP255" i="2"/>
  <c r="CP256" i="2"/>
  <c r="CL402" i="1"/>
  <c r="CL403" i="1"/>
  <c r="CL404" i="1"/>
  <c r="DQ400" i="1"/>
  <c r="CM358" i="1"/>
  <c r="CM359" i="1"/>
  <c r="CL15" i="1"/>
  <c r="DQ21" i="1"/>
  <c r="CL49" i="1"/>
  <c r="CL50" i="1" s="1"/>
  <c r="CL51" i="1" s="1"/>
  <c r="CL171" i="5"/>
  <c r="CM123" i="5" l="1"/>
  <c r="CM153" i="1"/>
  <c r="CM154" i="1" s="1"/>
  <c r="DR264" i="2"/>
  <c r="DQ261" i="2"/>
  <c r="CP237" i="2"/>
  <c r="DQ237" i="2" s="1"/>
  <c r="DQ238" i="2" s="1"/>
  <c r="DQ244" i="2"/>
  <c r="CN64" i="2"/>
  <c r="CN65" i="2" s="1"/>
  <c r="CL172" i="5"/>
  <c r="DP123" i="5"/>
  <c r="DP146" i="5" s="1"/>
  <c r="DP52" i="5" s="1"/>
  <c r="DQ401" i="1"/>
  <c r="DQ403" i="1"/>
  <c r="DQ402" i="1"/>
  <c r="DQ405" i="1"/>
  <c r="U55" i="3"/>
  <c r="U56" i="3" s="1"/>
  <c r="DQ215" i="1"/>
  <c r="DQ217" i="1" s="1"/>
  <c r="DQ216" i="1"/>
  <c r="CL146" i="5"/>
  <c r="CL52" i="5" s="1"/>
  <c r="CL73" i="5" s="1"/>
  <c r="CM146" i="5"/>
  <c r="CM52" i="5" s="1"/>
  <c r="CM380" i="1"/>
  <c r="CM381" i="1" s="1"/>
  <c r="DQ75" i="1"/>
  <c r="DP11" i="5"/>
  <c r="DQ74" i="1"/>
  <c r="DQ76" i="1"/>
  <c r="DQ78" i="1" s="1"/>
  <c r="CM97" i="1"/>
  <c r="CM15" i="5"/>
  <c r="DQ62" i="1"/>
  <c r="DQ58" i="1"/>
  <c r="DQ49" i="1"/>
  <c r="DQ50" i="1" s="1"/>
  <c r="DQ51" i="1" s="1"/>
  <c r="DP7" i="5"/>
  <c r="DQ39" i="1"/>
  <c r="CL64" i="1"/>
  <c r="CL15" i="5"/>
  <c r="CL97" i="1"/>
  <c r="CL22" i="1"/>
  <c r="CL4" i="5"/>
  <c r="CL6" i="5" s="1"/>
  <c r="CL177" i="5" s="1"/>
  <c r="CL16" i="1"/>
  <c r="CL19" i="1"/>
  <c r="CM109" i="5"/>
  <c r="CM93" i="5"/>
  <c r="CL109" i="5"/>
  <c r="DP109" i="5" s="1"/>
  <c r="CL239" i="5"/>
  <c r="CL93" i="5"/>
  <c r="DP93" i="5" s="1"/>
  <c r="CL380" i="1"/>
  <c r="CL381" i="1" s="1"/>
  <c r="DQ378" i="1"/>
  <c r="DQ380" i="1" s="1"/>
  <c r="DQ381" i="1" s="1"/>
  <c r="CL363" i="1"/>
  <c r="DQ156" i="1"/>
  <c r="DQ121" i="1"/>
  <c r="CL153" i="1"/>
  <c r="CL154" i="1" s="1"/>
  <c r="CN33" i="2"/>
  <c r="CN35" i="2" s="1"/>
  <c r="CN30" i="2"/>
  <c r="CN31" i="2"/>
  <c r="CP34" i="2"/>
  <c r="DQ115" i="1"/>
  <c r="DQ157" i="1"/>
  <c r="CP238" i="2"/>
  <c r="CP118" i="2"/>
  <c r="CM4" i="5"/>
  <c r="CM6" i="5" s="1"/>
  <c r="CM16" i="1"/>
  <c r="CM19" i="1"/>
  <c r="DQ118" i="1"/>
  <c r="DQ96" i="1"/>
  <c r="DQ155" i="1"/>
  <c r="DQ23" i="1"/>
  <c r="DQ15" i="1"/>
  <c r="DQ4" i="1"/>
  <c r="DP3" i="5"/>
  <c r="DP175" i="5"/>
  <c r="DP173" i="5" s="1"/>
  <c r="DQ395" i="1"/>
  <c r="DQ397" i="1"/>
  <c r="CO199" i="2"/>
  <c r="CM239" i="5"/>
  <c r="CP209" i="2"/>
  <c r="CO214" i="2"/>
  <c r="CP218" i="2"/>
  <c r="CO215" i="2"/>
  <c r="CO217" i="2"/>
  <c r="CO114" i="2" s="1"/>
  <c r="CO104" i="2"/>
  <c r="U47" i="3"/>
  <c r="U48" i="3"/>
  <c r="P97" i="3"/>
  <c r="P98" i="3" s="1"/>
  <c r="DQ12" i="1"/>
  <c r="DQ8" i="1" s="1"/>
  <c r="CL170" i="5"/>
  <c r="CL77" i="5"/>
  <c r="CL104" i="5"/>
  <c r="DQ153" i="1" l="1"/>
  <c r="CN34" i="1"/>
  <c r="CN125" i="2"/>
  <c r="CN69" i="2"/>
  <c r="CN66" i="2"/>
  <c r="CN130" i="2"/>
  <c r="CN131" i="2" s="1"/>
  <c r="DR270" i="2"/>
  <c r="DR117" i="2" s="1"/>
  <c r="DR267" i="2"/>
  <c r="DR258" i="2"/>
  <c r="CM248" i="5"/>
  <c r="CO200" i="2"/>
  <c r="CO201" i="2"/>
  <c r="CO163" i="2"/>
  <c r="DQ22" i="1"/>
  <c r="DQ16" i="1"/>
  <c r="DQ19" i="1"/>
  <c r="DP4" i="5"/>
  <c r="DP6" i="5" s="1"/>
  <c r="DP158" i="5"/>
  <c r="U11" i="3"/>
  <c r="DP239" i="5"/>
  <c r="CO202" i="2"/>
  <c r="CN132" i="2"/>
  <c r="DQ59" i="1"/>
  <c r="DQ97" i="1"/>
  <c r="DP15" i="5"/>
  <c r="DP159" i="5"/>
  <c r="CM114" i="5"/>
  <c r="CL101" i="5"/>
  <c r="CL210" i="5"/>
  <c r="DP210" i="5" s="1"/>
  <c r="CM92" i="5"/>
  <c r="CL114" i="5"/>
  <c r="DP114" i="5" s="1"/>
  <c r="CL8" i="5"/>
  <c r="CL245" i="5"/>
  <c r="CM94" i="5"/>
  <c r="CL238" i="5"/>
  <c r="CL95" i="5"/>
  <c r="CL246" i="5"/>
  <c r="CL92" i="5"/>
  <c r="CM117" i="5"/>
  <c r="CL247" i="5"/>
  <c r="CL234" i="5"/>
  <c r="CL232" i="5" s="1"/>
  <c r="CL94" i="5"/>
  <c r="DP94" i="5" s="1"/>
  <c r="CM95" i="5"/>
  <c r="CL214" i="5"/>
  <c r="DP214" i="5" s="1"/>
  <c r="CL117" i="5"/>
  <c r="DP117" i="5" s="1"/>
  <c r="CL125" i="5"/>
  <c r="CL248" i="5"/>
  <c r="CL10" i="5"/>
  <c r="CL240" i="5" s="1"/>
  <c r="CO115" i="2"/>
  <c r="CO105" i="2"/>
  <c r="CO99" i="2"/>
  <c r="DP171" i="5"/>
  <c r="DP54" i="5"/>
  <c r="CN44" i="1"/>
  <c r="CN57" i="1" s="1"/>
  <c r="CN36" i="1"/>
  <c r="CN100" i="1"/>
  <c r="CN11" i="1"/>
  <c r="CN21" i="1" s="1"/>
  <c r="CN26" i="1"/>
  <c r="CN35" i="1" s="1"/>
  <c r="CL69" i="1"/>
  <c r="CL66" i="1"/>
  <c r="CL65" i="1"/>
  <c r="CL67" i="1"/>
  <c r="CL124" i="1"/>
  <c r="CM8" i="5"/>
  <c r="CM243" i="5" s="1"/>
  <c r="CM246" i="5"/>
  <c r="CM214" i="5"/>
  <c r="CM234" i="5"/>
  <c r="CM232" i="5" s="1"/>
  <c r="CM210" i="5"/>
  <c r="CM238" i="5"/>
  <c r="CL364" i="1"/>
  <c r="CL365" i="1"/>
  <c r="CL379" i="1"/>
  <c r="CL396" i="1"/>
  <c r="CL371" i="1"/>
  <c r="DQ363" i="1"/>
  <c r="CM245" i="5"/>
  <c r="DQ64" i="1"/>
  <c r="CM73" i="5"/>
  <c r="CL102" i="5"/>
  <c r="CL135" i="5"/>
  <c r="CL133" i="1"/>
  <c r="CM132" i="1" s="1"/>
  <c r="DP104" i="5"/>
  <c r="DP73" i="5"/>
  <c r="P101" i="3" l="1"/>
  <c r="DQ154" i="1"/>
  <c r="CN181" i="1"/>
  <c r="CN182" i="1" s="1"/>
  <c r="CN184" i="1" s="1"/>
  <c r="DP215" i="5"/>
  <c r="DS264" i="2"/>
  <c r="DR251" i="2"/>
  <c r="DR268" i="2"/>
  <c r="DR260" i="2"/>
  <c r="DR261" i="2" s="1"/>
  <c r="DS263" i="2"/>
  <c r="DS267" i="2" s="1"/>
  <c r="DR118" i="2"/>
  <c r="DR279" i="2"/>
  <c r="CM134" i="5"/>
  <c r="CM132" i="5" s="1"/>
  <c r="CM156" i="5" s="1"/>
  <c r="DP163" i="5"/>
  <c r="CM133" i="5"/>
  <c r="CM108" i="5"/>
  <c r="DP165" i="5"/>
  <c r="CL71" i="1"/>
  <c r="CL70" i="1"/>
  <c r="CN15" i="1"/>
  <c r="CN22" i="1" s="1"/>
  <c r="CL233" i="5"/>
  <c r="CL216" i="5"/>
  <c r="DQ364" i="1"/>
  <c r="DQ371" i="1"/>
  <c r="DQ365" i="1"/>
  <c r="DQ387" i="1"/>
  <c r="DQ396" i="1"/>
  <c r="DP170" i="5"/>
  <c r="DP77" i="5"/>
  <c r="DP177" i="5"/>
  <c r="P116" i="3"/>
  <c r="DP211" i="5"/>
  <c r="DQ124" i="1"/>
  <c r="CL125" i="1"/>
  <c r="CL148" i="1"/>
  <c r="CL126" i="1"/>
  <c r="CN31" i="1"/>
  <c r="CN83" i="1"/>
  <c r="CN111" i="1"/>
  <c r="CN120" i="1"/>
  <c r="CN117" i="1"/>
  <c r="CN108" i="1"/>
  <c r="CN400" i="1"/>
  <c r="CN357" i="1"/>
  <c r="CN28" i="1"/>
  <c r="CN394" i="1"/>
  <c r="CN27" i="1"/>
  <c r="CN73" i="1"/>
  <c r="CN114" i="1"/>
  <c r="DP134" i="5"/>
  <c r="CM101" i="5"/>
  <c r="DP101" i="5"/>
  <c r="CL96" i="5"/>
  <c r="DP96" i="5" s="1"/>
  <c r="CO164" i="2"/>
  <c r="CO160" i="2"/>
  <c r="CL134" i="5"/>
  <c r="CN13" i="1"/>
  <c r="CN3" i="1"/>
  <c r="CN12" i="1" s="1"/>
  <c r="CN8" i="1" s="1"/>
  <c r="CO100" i="2"/>
  <c r="CO102" i="2" s="1"/>
  <c r="CO101" i="2"/>
  <c r="CO94" i="1"/>
  <c r="CN58" i="1"/>
  <c r="CN59" i="1" s="1"/>
  <c r="CN62" i="1"/>
  <c r="DP92" i="5"/>
  <c r="CL133" i="5"/>
  <c r="CN183" i="1"/>
  <c r="CN214" i="1"/>
  <c r="CM233" i="5"/>
  <c r="CM216" i="5"/>
  <c r="CL243" i="5"/>
  <c r="CL17" i="5"/>
  <c r="DQ65" i="1"/>
  <c r="DQ67" i="1"/>
  <c r="CL108" i="5"/>
  <c r="DP108" i="5" s="1"/>
  <c r="DP10" i="5"/>
  <c r="DP248" i="5"/>
  <c r="CO204" i="2"/>
  <c r="CO203" i="2"/>
  <c r="CP210" i="2"/>
  <c r="DQ210" i="2" s="1"/>
  <c r="DQ211" i="2" s="1"/>
  <c r="DR211" i="2" s="1"/>
  <c r="U4" i="3"/>
  <c r="DP8" i="5"/>
  <c r="DP246" i="5"/>
  <c r="DP238" i="5"/>
  <c r="DP247" i="5"/>
  <c r="DP162" i="5"/>
  <c r="CN46" i="1"/>
  <c r="CN38" i="1"/>
  <c r="DP125" i="5"/>
  <c r="CM125" i="5"/>
  <c r="CL119" i="5"/>
  <c r="DP119" i="5" s="1"/>
  <c r="DP95" i="5"/>
  <c r="CL150" i="5"/>
  <c r="CL58" i="5" s="1"/>
  <c r="CL80" i="5" s="1"/>
  <c r="DP245" i="5"/>
  <c r="CM130" i="1"/>
  <c r="CM89" i="1" s="1"/>
  <c r="CM41" i="5"/>
  <c r="DP102" i="5"/>
  <c r="DP135" i="5"/>
  <c r="DQ133" i="1"/>
  <c r="DR252" i="2" l="1"/>
  <c r="DR245" i="2"/>
  <c r="DS260" i="2"/>
  <c r="DT263" i="2"/>
  <c r="DS268" i="2"/>
  <c r="DS258" i="2"/>
  <c r="DS251" i="2" s="1"/>
  <c r="DS270" i="2"/>
  <c r="DS117" i="2" s="1"/>
  <c r="DR254" i="2"/>
  <c r="DR255" i="2" s="1"/>
  <c r="CM217" i="5"/>
  <c r="CN165" i="1"/>
  <c r="CM90" i="1"/>
  <c r="CO14" i="5"/>
  <c r="DS211" i="2"/>
  <c r="CL132" i="5"/>
  <c r="CL131" i="5" s="1"/>
  <c r="CN156" i="1"/>
  <c r="CN157" i="1"/>
  <c r="CM119" i="5"/>
  <c r="CN175" i="5"/>
  <c r="CN398" i="1"/>
  <c r="CN378" i="1"/>
  <c r="CN397" i="1"/>
  <c r="CL217" i="5"/>
  <c r="DP216" i="5"/>
  <c r="DP243" i="5"/>
  <c r="U12" i="3"/>
  <c r="DP17" i="5"/>
  <c r="CN216" i="1"/>
  <c r="CN215" i="1"/>
  <c r="CN217" i="1" s="1"/>
  <c r="U5" i="3"/>
  <c r="AE4" i="3"/>
  <c r="CM96" i="5"/>
  <c r="CN358" i="1"/>
  <c r="CN359" i="1"/>
  <c r="CN7" i="5"/>
  <c r="CN39" i="1"/>
  <c r="CP212" i="2"/>
  <c r="CP26" i="2"/>
  <c r="CP27" i="2" s="1"/>
  <c r="CP207" i="2"/>
  <c r="CN3" i="5"/>
  <c r="CN4" i="1"/>
  <c r="CN5" i="1"/>
  <c r="CN403" i="1"/>
  <c r="CN402" i="1"/>
  <c r="CN404" i="1"/>
  <c r="CL185" i="1"/>
  <c r="CL160" i="1"/>
  <c r="CL150" i="1"/>
  <c r="CL149" i="1"/>
  <c r="CL151" i="1" s="1"/>
  <c r="CL133" i="2"/>
  <c r="CN4" i="5"/>
  <c r="CN16" i="1"/>
  <c r="CN19" i="1"/>
  <c r="CL241" i="5"/>
  <c r="CL244" i="5"/>
  <c r="CL43" i="5"/>
  <c r="CL22" i="5"/>
  <c r="DP133" i="5"/>
  <c r="DP132" i="5" s="1"/>
  <c r="DP157" i="5"/>
  <c r="CN49" i="1"/>
  <c r="CN50" i="1" s="1"/>
  <c r="CN51" i="1" s="1"/>
  <c r="CN96" i="1"/>
  <c r="CN155" i="1"/>
  <c r="DQ126" i="1"/>
  <c r="DQ125" i="1"/>
  <c r="DQ148" i="1"/>
  <c r="DP164" i="5"/>
  <c r="DP150" i="5"/>
  <c r="DP58" i="5" s="1"/>
  <c r="DP80" i="5" s="1"/>
  <c r="CO161" i="2"/>
  <c r="CO29" i="2"/>
  <c r="CO84" i="2"/>
  <c r="CP198" i="2"/>
  <c r="CN11" i="5"/>
  <c r="CN75" i="1"/>
  <c r="CN76" i="1"/>
  <c r="CN78" i="1" s="1"/>
  <c r="CN77" i="1"/>
  <c r="CN72" i="1"/>
  <c r="U15" i="3"/>
  <c r="DP240" i="5"/>
  <c r="CM150" i="5"/>
  <c r="CM58" i="5" s="1"/>
  <c r="CM80" i="5" s="1"/>
  <c r="CM168" i="5"/>
  <c r="CM51" i="5"/>
  <c r="CM75" i="5" s="1"/>
  <c r="CM40" i="5"/>
  <c r="CM64" i="1" l="1"/>
  <c r="CM69" i="1" s="1"/>
  <c r="DS252" i="2"/>
  <c r="DS245" i="2"/>
  <c r="DS254" i="2"/>
  <c r="DS255" i="2" s="1"/>
  <c r="DT264" i="2"/>
  <c r="DT267" i="2" s="1"/>
  <c r="DR244" i="2"/>
  <c r="DR237" i="2" s="1"/>
  <c r="DR238" i="2" s="1"/>
  <c r="DR246" i="2"/>
  <c r="DS261" i="2"/>
  <c r="DS118" i="2"/>
  <c r="DS279" i="2"/>
  <c r="CM53" i="5"/>
  <c r="CM78" i="5" s="1"/>
  <c r="CM91" i="1"/>
  <c r="CL156" i="5"/>
  <c r="CP217" i="2"/>
  <c r="CP114" i="2" s="1"/>
  <c r="DQ114" i="2" s="1"/>
  <c r="DQ212" i="2"/>
  <c r="DQ224" i="2" s="1"/>
  <c r="CO64" i="2"/>
  <c r="CO125" i="2" s="1"/>
  <c r="CN153" i="1"/>
  <c r="CN154" i="1" s="1"/>
  <c r="CL53" i="5"/>
  <c r="CL78" i="5" s="1"/>
  <c r="DT211" i="2"/>
  <c r="CM13" i="5"/>
  <c r="CM92" i="1"/>
  <c r="CP213" i="2"/>
  <c r="DQ213" i="2" s="1"/>
  <c r="CL45" i="5"/>
  <c r="CL39" i="5"/>
  <c r="CN380" i="1"/>
  <c r="CN381" i="1" s="1"/>
  <c r="CN363" i="1"/>
  <c r="CN379" i="1" s="1"/>
  <c r="CN97" i="1"/>
  <c r="CN15" i="5"/>
  <c r="U13" i="3"/>
  <c r="AE12" i="3"/>
  <c r="P89" i="3"/>
  <c r="DP53" i="5"/>
  <c r="DP78" i="5" s="1"/>
  <c r="DP156" i="5"/>
  <c r="CP104" i="2"/>
  <c r="U28" i="3"/>
  <c r="P113" i="3"/>
  <c r="P114" i="3" s="1"/>
  <c r="DP217" i="5"/>
  <c r="DP232" i="5"/>
  <c r="CN6" i="5"/>
  <c r="CN123" i="5"/>
  <c r="CN239" i="5"/>
  <c r="CN93" i="5"/>
  <c r="CN109" i="5"/>
  <c r="CL167" i="1"/>
  <c r="CL171" i="1"/>
  <c r="CL161" i="1"/>
  <c r="CL163" i="1" s="1"/>
  <c r="CL195" i="1"/>
  <c r="CL162" i="1"/>
  <c r="CO66" i="2"/>
  <c r="U16" i="3"/>
  <c r="AE15" i="3"/>
  <c r="CO33" i="2"/>
  <c r="CO35" i="2" s="1"/>
  <c r="CO30" i="2"/>
  <c r="CO31" i="2"/>
  <c r="CP214" i="2"/>
  <c r="CP215" i="2"/>
  <c r="DP241" i="5"/>
  <c r="DP244" i="5"/>
  <c r="U17" i="3"/>
  <c r="AE17" i="3" s="1"/>
  <c r="DP43" i="5"/>
  <c r="DP22" i="5"/>
  <c r="CP199" i="2"/>
  <c r="DQ199" i="2" s="1"/>
  <c r="CN173" i="5"/>
  <c r="CN54" i="5" s="1"/>
  <c r="DP154" i="5"/>
  <c r="DP133" i="2"/>
  <c r="U35" i="3"/>
  <c r="DQ160" i="1"/>
  <c r="DQ149" i="1"/>
  <c r="CL200" i="5"/>
  <c r="CL202" i="5" s="1"/>
  <c r="CL205" i="5" s="1"/>
  <c r="DP205" i="5" s="1"/>
  <c r="CL207" i="5"/>
  <c r="CL208" i="5" s="1"/>
  <c r="CL225" i="5" s="1"/>
  <c r="DP131" i="5"/>
  <c r="CM66" i="1"/>
  <c r="CM67" i="1"/>
  <c r="CM65" i="1"/>
  <c r="CM124" i="1"/>
  <c r="DT260" i="2" l="1"/>
  <c r="DU263" i="2"/>
  <c r="DT268" i="2"/>
  <c r="DS246" i="2"/>
  <c r="DS244" i="2"/>
  <c r="DS237" i="2" s="1"/>
  <c r="DS238" i="2" s="1"/>
  <c r="DT258" i="2"/>
  <c r="DT270" i="2"/>
  <c r="DT117" i="2" s="1"/>
  <c r="CN248" i="5"/>
  <c r="CO69" i="2"/>
  <c r="CO65" i="2"/>
  <c r="DQ99" i="2"/>
  <c r="DQ115" i="2"/>
  <c r="DQ217" i="2"/>
  <c r="DQ218" i="2" s="1"/>
  <c r="DQ219" i="2" s="1"/>
  <c r="DR219" i="2" s="1"/>
  <c r="DQ201" i="2"/>
  <c r="DQ163" i="2"/>
  <c r="DQ164" i="2" s="1"/>
  <c r="DQ200" i="2"/>
  <c r="CO34" i="1"/>
  <c r="CO100" i="1" s="1"/>
  <c r="DU211" i="2"/>
  <c r="CO130" i="2"/>
  <c r="CO181" i="1" s="1"/>
  <c r="CM247" i="5"/>
  <c r="CM10" i="5"/>
  <c r="DQ214" i="2"/>
  <c r="DR209" i="2"/>
  <c r="CL205" i="1"/>
  <c r="CL197" i="1"/>
  <c r="CL196" i="1"/>
  <c r="CL201" i="1"/>
  <c r="CL23" i="5"/>
  <c r="CL203" i="5"/>
  <c r="CL204" i="5" s="1"/>
  <c r="CL226" i="5"/>
  <c r="CL46" i="5" s="1"/>
  <c r="CN77" i="5"/>
  <c r="CN177" i="5"/>
  <c r="CN172" i="5"/>
  <c r="DQ171" i="1"/>
  <c r="CL173" i="1"/>
  <c r="CL172" i="1"/>
  <c r="CP115" i="2"/>
  <c r="CP105" i="2"/>
  <c r="CP99" i="2"/>
  <c r="DQ150" i="1"/>
  <c r="DQ151" i="1"/>
  <c r="CP200" i="2"/>
  <c r="CP201" i="2"/>
  <c r="CP163" i="2"/>
  <c r="CL177" i="1"/>
  <c r="CL178" i="1" s="1"/>
  <c r="CL179" i="1" s="1"/>
  <c r="CL168" i="1"/>
  <c r="CL169" i="1" s="1"/>
  <c r="CN146" i="5"/>
  <c r="CN52" i="5" s="1"/>
  <c r="CN73" i="5" s="1"/>
  <c r="CN371" i="1"/>
  <c r="CN364" i="1"/>
  <c r="CN396" i="1"/>
  <c r="DQ159" i="1"/>
  <c r="U40" i="3"/>
  <c r="DQ162" i="1"/>
  <c r="DQ195" i="1"/>
  <c r="DQ161" i="1"/>
  <c r="DQ163" i="1" s="1"/>
  <c r="DQ167" i="1"/>
  <c r="CP202" i="2"/>
  <c r="DQ202" i="2" s="1"/>
  <c r="CN8" i="5"/>
  <c r="CN243" i="5" s="1"/>
  <c r="CN234" i="5"/>
  <c r="CN232" i="5" s="1"/>
  <c r="CN214" i="5"/>
  <c r="CN238" i="5"/>
  <c r="CN246" i="5"/>
  <c r="CN210" i="5"/>
  <c r="CN117" i="5"/>
  <c r="CN114" i="5"/>
  <c r="CN92" i="5"/>
  <c r="CN95" i="5"/>
  <c r="CN94" i="5"/>
  <c r="CN101" i="5"/>
  <c r="CN125" i="5"/>
  <c r="U36" i="3"/>
  <c r="U37" i="3"/>
  <c r="DP200" i="5"/>
  <c r="DP202" i="5" s="1"/>
  <c r="U19" i="3"/>
  <c r="AE19" i="3" s="1"/>
  <c r="DP207" i="5"/>
  <c r="DP208" i="5" s="1"/>
  <c r="DP225" i="5" s="1"/>
  <c r="DP226" i="5" s="1"/>
  <c r="DP234" i="5"/>
  <c r="DP235" i="5" s="1"/>
  <c r="DP233" i="5"/>
  <c r="P88" i="3"/>
  <c r="P90" i="3"/>
  <c r="CL266" i="5"/>
  <c r="CL242" i="5"/>
  <c r="CL249" i="5"/>
  <c r="DP45" i="5"/>
  <c r="DP39" i="5"/>
  <c r="CN245" i="5"/>
  <c r="CM70" i="1"/>
  <c r="CM71" i="1"/>
  <c r="CM148" i="1"/>
  <c r="CM133" i="2" s="1"/>
  <c r="CM126" i="1"/>
  <c r="CM125" i="1"/>
  <c r="CO26" i="1" l="1"/>
  <c r="CO31" i="1" s="1"/>
  <c r="CO36" i="1"/>
  <c r="CO44" i="1"/>
  <c r="CO38" i="1" s="1"/>
  <c r="CO49" i="1" s="1"/>
  <c r="CO50" i="1" s="1"/>
  <c r="CO51" i="1" s="1"/>
  <c r="DT118" i="2"/>
  <c r="DT279" i="2"/>
  <c r="DU264" i="2"/>
  <c r="DU267" i="2" s="1"/>
  <c r="DT251" i="2"/>
  <c r="DT261" i="2"/>
  <c r="CO131" i="2"/>
  <c r="CO132" i="2"/>
  <c r="DQ101" i="2"/>
  <c r="DQ100" i="2"/>
  <c r="CM240" i="5"/>
  <c r="CM17" i="5"/>
  <c r="CO11" i="1"/>
  <c r="CO13" i="1" s="1"/>
  <c r="DQ207" i="2"/>
  <c r="DQ204" i="2"/>
  <c r="DQ203" i="2"/>
  <c r="DS219" i="2"/>
  <c r="DR218" i="2"/>
  <c r="DR217" i="2" s="1"/>
  <c r="CN134" i="5"/>
  <c r="CN133" i="5"/>
  <c r="CP164" i="2"/>
  <c r="CP160" i="2"/>
  <c r="DQ160" i="2" s="1"/>
  <c r="CL174" i="1"/>
  <c r="CL175" i="1"/>
  <c r="CL182" i="5"/>
  <c r="CL181" i="5" s="1"/>
  <c r="DP204" i="5"/>
  <c r="CP204" i="2"/>
  <c r="CP203" i="2"/>
  <c r="DP23" i="5"/>
  <c r="CL227" i="5"/>
  <c r="CL25" i="5"/>
  <c r="CO214" i="1"/>
  <c r="CO183" i="1"/>
  <c r="CO182" i="1"/>
  <c r="CO184" i="1" s="1"/>
  <c r="DQ168" i="1"/>
  <c r="DQ169" i="1" s="1"/>
  <c r="DQ177" i="1"/>
  <c r="DQ172" i="1"/>
  <c r="DQ174" i="1" s="1"/>
  <c r="DQ170" i="1"/>
  <c r="DQ173" i="1"/>
  <c r="CL202" i="1"/>
  <c r="CL203" i="1" s="1"/>
  <c r="CL210" i="1"/>
  <c r="CL211" i="1" s="1"/>
  <c r="CL212" i="1" s="1"/>
  <c r="CN96" i="5"/>
  <c r="CN119" i="5"/>
  <c r="CL198" i="1"/>
  <c r="CL199" i="1"/>
  <c r="DP266" i="5"/>
  <c r="DP249" i="5"/>
  <c r="DP242" i="5"/>
  <c r="CN150" i="5"/>
  <c r="CN58" i="5" s="1"/>
  <c r="CN80" i="5" s="1"/>
  <c r="DQ205" i="1"/>
  <c r="DQ196" i="1"/>
  <c r="DQ201" i="1"/>
  <c r="U51" i="3"/>
  <c r="U52" i="3" s="1"/>
  <c r="DQ197" i="1"/>
  <c r="CP100" i="2"/>
  <c r="CP102" i="2" s="1"/>
  <c r="CP101" i="2"/>
  <c r="CP94" i="1"/>
  <c r="CO394" i="1"/>
  <c r="CO114" i="1"/>
  <c r="CO111" i="1"/>
  <c r="CO108" i="1"/>
  <c r="CO73" i="1"/>
  <c r="CO28" i="1"/>
  <c r="CO400" i="1"/>
  <c r="CO357" i="1"/>
  <c r="CL206" i="1"/>
  <c r="CL208" i="1" s="1"/>
  <c r="CL207" i="1"/>
  <c r="CN108" i="5"/>
  <c r="U41" i="3"/>
  <c r="U42" i="3"/>
  <c r="CN233" i="5"/>
  <c r="CN216" i="5"/>
  <c r="CO46" i="1"/>
  <c r="CL56" i="5"/>
  <c r="CL50" i="5"/>
  <c r="CM160" i="1"/>
  <c r="CM150" i="1"/>
  <c r="CM149" i="1"/>
  <c r="CM185" i="1"/>
  <c r="CO35" i="1" l="1"/>
  <c r="CO83" i="1"/>
  <c r="CO117" i="1"/>
  <c r="CO120" i="1"/>
  <c r="CO27" i="1"/>
  <c r="CN132" i="5"/>
  <c r="CO57" i="1"/>
  <c r="CO62" i="1" s="1"/>
  <c r="DU260" i="2"/>
  <c r="DU268" i="2"/>
  <c r="DT252" i="2"/>
  <c r="DT245" i="2"/>
  <c r="DU258" i="2"/>
  <c r="DU251" i="2" s="1"/>
  <c r="DU270" i="2"/>
  <c r="DU117" i="2" s="1"/>
  <c r="DT254" i="2"/>
  <c r="DT255" i="2" s="1"/>
  <c r="CO21" i="1"/>
  <c r="CO15" i="1" s="1"/>
  <c r="CO22" i="1" s="1"/>
  <c r="CO3" i="1"/>
  <c r="CO165" i="1"/>
  <c r="DR210" i="2"/>
  <c r="DR213" i="2" s="1"/>
  <c r="DS218" i="2" s="1"/>
  <c r="DS217" i="2" s="1"/>
  <c r="DS114" i="2" s="1"/>
  <c r="DQ215" i="2"/>
  <c r="CN217" i="5"/>
  <c r="CP14" i="5"/>
  <c r="DR94" i="1"/>
  <c r="DQ14" i="5" s="1"/>
  <c r="DR115" i="2"/>
  <c r="DR99" i="2"/>
  <c r="CM244" i="5"/>
  <c r="CM241" i="5"/>
  <c r="CM43" i="5"/>
  <c r="CM22" i="5"/>
  <c r="CO157" i="1"/>
  <c r="DQ161" i="2"/>
  <c r="DR198" i="2"/>
  <c r="DT219" i="2"/>
  <c r="CL35" i="5"/>
  <c r="CL218" i="5" s="1"/>
  <c r="CL250" i="5"/>
  <c r="CL126" i="5"/>
  <c r="CL198" i="5"/>
  <c r="CL72" i="5"/>
  <c r="CL76" i="5" s="1"/>
  <c r="CL79" i="5" s="1"/>
  <c r="CL84" i="5" s="1"/>
  <c r="CL86" i="5" s="1"/>
  <c r="CL26" i="5"/>
  <c r="CL251" i="5"/>
  <c r="CL57" i="5"/>
  <c r="CL255" i="5"/>
  <c r="CO11" i="5"/>
  <c r="CO76" i="1"/>
  <c r="CO78" i="1" s="1"/>
  <c r="CO77" i="1"/>
  <c r="CO75" i="1"/>
  <c r="CO72" i="1"/>
  <c r="CO155" i="1"/>
  <c r="DQ178" i="1"/>
  <c r="DQ179" i="1" s="1"/>
  <c r="U43" i="3"/>
  <c r="DP25" i="5"/>
  <c r="DP227" i="5"/>
  <c r="U20" i="3"/>
  <c r="DP24" i="5"/>
  <c r="DP46" i="5" s="1"/>
  <c r="CO7" i="5"/>
  <c r="CO39" i="1"/>
  <c r="DQ202" i="1"/>
  <c r="DQ203" i="1" s="1"/>
  <c r="DQ210" i="1"/>
  <c r="DQ199" i="1"/>
  <c r="DQ198" i="1"/>
  <c r="CO358" i="1"/>
  <c r="CO359" i="1"/>
  <c r="CO175" i="5"/>
  <c r="CO397" i="1"/>
  <c r="CO378" i="1"/>
  <c r="CO398" i="1"/>
  <c r="DQ206" i="1"/>
  <c r="DQ208" i="1" s="1"/>
  <c r="DQ207" i="1"/>
  <c r="CP161" i="2"/>
  <c r="CP29" i="2"/>
  <c r="CP84" i="2"/>
  <c r="CO403" i="1"/>
  <c r="CO404" i="1"/>
  <c r="CO402" i="1"/>
  <c r="CO216" i="1"/>
  <c r="CO215" i="1"/>
  <c r="CO217" i="1" s="1"/>
  <c r="DP182" i="5"/>
  <c r="DP181" i="5" s="1"/>
  <c r="DP203" i="5"/>
  <c r="CM151" i="1"/>
  <c r="CM161" i="1"/>
  <c r="CM163" i="1" s="1"/>
  <c r="CM195" i="1"/>
  <c r="CM167" i="1"/>
  <c r="CM171" i="1"/>
  <c r="CM162" i="1"/>
  <c r="CO96" i="1" l="1"/>
  <c r="CO97" i="1" s="1"/>
  <c r="CO156" i="1"/>
  <c r="CO153" i="1" s="1"/>
  <c r="CO154" i="1" s="1"/>
  <c r="CO12" i="1"/>
  <c r="CO8" i="1" s="1"/>
  <c r="CO5" i="1"/>
  <c r="CO4" i="1"/>
  <c r="CN156" i="5"/>
  <c r="CN53" i="5"/>
  <c r="CN78" i="5" s="1"/>
  <c r="CO3" i="5"/>
  <c r="CO123" i="5" s="1"/>
  <c r="CO58" i="1"/>
  <c r="CO59" i="1" s="1"/>
  <c r="DU254" i="2"/>
  <c r="DU255" i="2" s="1"/>
  <c r="DU252" i="2"/>
  <c r="DU245" i="2"/>
  <c r="DU118" i="2"/>
  <c r="DU279" i="2"/>
  <c r="DT244" i="2"/>
  <c r="DT237" i="2" s="1"/>
  <c r="DT238" i="2" s="1"/>
  <c r="DT246" i="2"/>
  <c r="DU261" i="2"/>
  <c r="DR207" i="2"/>
  <c r="DU219" i="2"/>
  <c r="DS94" i="1"/>
  <c r="DR14" i="5" s="1"/>
  <c r="DR100" i="2"/>
  <c r="DR101" i="2"/>
  <c r="CM207" i="5"/>
  <c r="CM208" i="5" s="1"/>
  <c r="CM225" i="5" s="1"/>
  <c r="CM200" i="5"/>
  <c r="CM202" i="5" s="1"/>
  <c r="CM205" i="5" s="1"/>
  <c r="DS209" i="2"/>
  <c r="DR214" i="2"/>
  <c r="DR215" i="2"/>
  <c r="CP64" i="2"/>
  <c r="CP65" i="2" s="1"/>
  <c r="DQ84" i="2"/>
  <c r="DS99" i="2"/>
  <c r="DS115" i="2"/>
  <c r="CM45" i="5"/>
  <c r="CM39" i="5"/>
  <c r="DS210" i="2"/>
  <c r="DS207" i="2" s="1"/>
  <c r="DR199" i="2"/>
  <c r="AE20" i="3"/>
  <c r="U21" i="3"/>
  <c r="CO173" i="5"/>
  <c r="CO54" i="5" s="1"/>
  <c r="CO4" i="5"/>
  <c r="CO6" i="5" s="1"/>
  <c r="CO19" i="1"/>
  <c r="CO16" i="1"/>
  <c r="DP29" i="5"/>
  <c r="DP72" i="5"/>
  <c r="DP76" i="5" s="1"/>
  <c r="DP250" i="5"/>
  <c r="DP198" i="5"/>
  <c r="U22" i="3"/>
  <c r="DP26" i="5"/>
  <c r="DP35" i="5"/>
  <c r="DP194" i="5"/>
  <c r="H36" i="9" s="1"/>
  <c r="CO239" i="5"/>
  <c r="CO109" i="5"/>
  <c r="CO93" i="5"/>
  <c r="U45" i="3"/>
  <c r="U44" i="3"/>
  <c r="P96" i="3" s="1"/>
  <c r="P95" i="3" s="1"/>
  <c r="P93" i="3" s="1"/>
  <c r="U49" i="3"/>
  <c r="DP126" i="5"/>
  <c r="CL128" i="5"/>
  <c r="CM188" i="5"/>
  <c r="CL144" i="5"/>
  <c r="CL143" i="5" s="1"/>
  <c r="CL190" i="5"/>
  <c r="CL186" i="5" s="1"/>
  <c r="CL187" i="5" s="1"/>
  <c r="CO15" i="5"/>
  <c r="CL62" i="5"/>
  <c r="CL252" i="5"/>
  <c r="DQ211" i="1"/>
  <c r="U53" i="3"/>
  <c r="U57" i="3" s="1"/>
  <c r="U27" i="3" s="1"/>
  <c r="CP33" i="2"/>
  <c r="CP35" i="2" s="1"/>
  <c r="CP30" i="2"/>
  <c r="CP31" i="2"/>
  <c r="CO363" i="1"/>
  <c r="CO379" i="1" s="1"/>
  <c r="CO380" i="1"/>
  <c r="CO381" i="1" s="1"/>
  <c r="DP56" i="5"/>
  <c r="DP50" i="5"/>
  <c r="CL254" i="5"/>
  <c r="CM173" i="1"/>
  <c r="CM172" i="1"/>
  <c r="CM177" i="1"/>
  <c r="CM178" i="1" s="1"/>
  <c r="CM179" i="1" s="1"/>
  <c r="CM168" i="1"/>
  <c r="CM169" i="1" s="1"/>
  <c r="CM197" i="1"/>
  <c r="CM205" i="1"/>
  <c r="CM196" i="1"/>
  <c r="CM201" i="1"/>
  <c r="DU244" i="2" l="1"/>
  <c r="DU237" i="2" s="1"/>
  <c r="DU238" i="2" s="1"/>
  <c r="DU246" i="2"/>
  <c r="CP69" i="2"/>
  <c r="CP66" i="2"/>
  <c r="DP79" i="5"/>
  <c r="DP84" i="5" s="1"/>
  <c r="DP86" i="5" s="1"/>
  <c r="DR201" i="2"/>
  <c r="DS199" i="2"/>
  <c r="DR163" i="2"/>
  <c r="DR200" i="2"/>
  <c r="CM249" i="5"/>
  <c r="CM242" i="5"/>
  <c r="CP125" i="2"/>
  <c r="DS213" i="2"/>
  <c r="DQ64" i="2"/>
  <c r="DQ85" i="2"/>
  <c r="DT210" i="2"/>
  <c r="DT207" i="2" s="1"/>
  <c r="CP130" i="2"/>
  <c r="CP181" i="1" s="1"/>
  <c r="DR181" i="1" s="1"/>
  <c r="DR202" i="2"/>
  <c r="DP254" i="5"/>
  <c r="Q15" i="12" s="1"/>
  <c r="DQ188" i="5"/>
  <c r="CP34" i="1"/>
  <c r="DR34" i="1" s="1"/>
  <c r="DT94" i="1"/>
  <c r="DS14" i="5" s="1"/>
  <c r="DS100" i="2"/>
  <c r="DS101" i="2"/>
  <c r="CM23" i="5"/>
  <c r="CM203" i="5"/>
  <c r="CM204" i="5" s="1"/>
  <c r="CM226" i="5"/>
  <c r="CM46" i="5" s="1"/>
  <c r="CO172" i="5"/>
  <c r="P102" i="3"/>
  <c r="P105" i="3" s="1"/>
  <c r="P91" i="3"/>
  <c r="P94" i="3"/>
  <c r="DP255" i="5"/>
  <c r="DP57" i="5"/>
  <c r="DP251" i="5"/>
  <c r="CO146" i="5"/>
  <c r="CO52" i="5" s="1"/>
  <c r="CO73" i="5" s="1"/>
  <c r="Q4" i="12"/>
  <c r="DP37" i="5"/>
  <c r="CO8" i="5"/>
  <c r="CO243" i="5" s="1"/>
  <c r="CO238" i="5"/>
  <c r="CO214" i="5"/>
  <c r="CO234" i="5"/>
  <c r="CO232" i="5" s="1"/>
  <c r="CO246" i="5"/>
  <c r="CO210" i="5"/>
  <c r="CO95" i="5"/>
  <c r="CO92" i="5"/>
  <c r="CO94" i="5"/>
  <c r="CO114" i="5"/>
  <c r="CO117" i="5"/>
  <c r="CO101" i="5"/>
  <c r="CO125" i="5"/>
  <c r="U78" i="3"/>
  <c r="U79" i="3" s="1"/>
  <c r="U66" i="3"/>
  <c r="U64" i="3"/>
  <c r="U23" i="3"/>
  <c r="AE22" i="3"/>
  <c r="U29" i="3"/>
  <c r="DQ212" i="1"/>
  <c r="U54" i="3"/>
  <c r="DP128" i="5"/>
  <c r="CL90" i="5"/>
  <c r="CO177" i="5"/>
  <c r="CO77" i="5"/>
  <c r="CO170" i="5"/>
  <c r="CO364" i="1"/>
  <c r="CO371" i="1"/>
  <c r="CO396" i="1"/>
  <c r="CO248" i="5"/>
  <c r="DP190" i="5"/>
  <c r="DP191" i="5" s="1"/>
  <c r="DP144" i="5"/>
  <c r="DP143" i="5" s="1"/>
  <c r="U65" i="3"/>
  <c r="CP26" i="1"/>
  <c r="CP35" i="1" s="1"/>
  <c r="CO245" i="5"/>
  <c r="CM207" i="1"/>
  <c r="CM206" i="1"/>
  <c r="CM208" i="1" s="1"/>
  <c r="CM202" i="1"/>
  <c r="CM203" i="1" s="1"/>
  <c r="CM210" i="1"/>
  <c r="CM211" i="1" s="1"/>
  <c r="CM212" i="1" s="1"/>
  <c r="CM198" i="1"/>
  <c r="CM199" i="1"/>
  <c r="CM175" i="1"/>
  <c r="CM174" i="1"/>
  <c r="CP132" i="2" l="1"/>
  <c r="U69" i="3"/>
  <c r="DR100" i="1"/>
  <c r="DR36" i="1"/>
  <c r="DR26" i="1"/>
  <c r="DR35" i="1" s="1"/>
  <c r="V8" i="3"/>
  <c r="V9" i="3" s="1"/>
  <c r="CM56" i="5"/>
  <c r="CM50" i="5"/>
  <c r="DR214" i="1"/>
  <c r="DR183" i="1"/>
  <c r="DR175" i="1"/>
  <c r="DR182" i="1"/>
  <c r="DR184" i="1" s="1"/>
  <c r="V46" i="3"/>
  <c r="DS215" i="2"/>
  <c r="DT209" i="2"/>
  <c r="DT213" i="2" s="1"/>
  <c r="DS214" i="2"/>
  <c r="DT218" i="2"/>
  <c r="DT217" i="2" s="1"/>
  <c r="DT114" i="2" s="1"/>
  <c r="CP44" i="1"/>
  <c r="DR44" i="1" s="1"/>
  <c r="DR46" i="1" s="1"/>
  <c r="CM227" i="5"/>
  <c r="CM25" i="5"/>
  <c r="DR203" i="2"/>
  <c r="DR204" i="2"/>
  <c r="DS200" i="2"/>
  <c r="DT199" i="2"/>
  <c r="DS163" i="2"/>
  <c r="DQ86" i="2"/>
  <c r="DR85" i="2"/>
  <c r="DU210" i="2"/>
  <c r="DU207" i="2" s="1"/>
  <c r="CP100" i="1"/>
  <c r="DQ65" i="2"/>
  <c r="DQ69" i="2"/>
  <c r="DQ125" i="2"/>
  <c r="DQ130" i="2"/>
  <c r="CP11" i="1"/>
  <c r="DR11" i="1" s="1"/>
  <c r="CP131" i="2"/>
  <c r="CM182" i="5"/>
  <c r="CM181" i="5" s="1"/>
  <c r="DR160" i="2"/>
  <c r="DS201" i="2" s="1"/>
  <c r="DR164" i="2"/>
  <c r="CP36" i="1"/>
  <c r="CO108" i="5"/>
  <c r="DS202" i="2"/>
  <c r="CO134" i="5"/>
  <c r="CO133" i="5"/>
  <c r="DP62" i="5"/>
  <c r="DP252" i="5"/>
  <c r="H27" i="9"/>
  <c r="H28" i="9" s="1"/>
  <c r="U70" i="3"/>
  <c r="CO150" i="5"/>
  <c r="CO58" i="5" s="1"/>
  <c r="CO80" i="5" s="1"/>
  <c r="U30" i="3"/>
  <c r="U67" i="3"/>
  <c r="Q7" i="12"/>
  <c r="Q14" i="12" s="1"/>
  <c r="Q5" i="12"/>
  <c r="CO119" i="5"/>
  <c r="CM277" i="5"/>
  <c r="CL69" i="5"/>
  <c r="CL68" i="5" s="1"/>
  <c r="CL140" i="5"/>
  <c r="DP90" i="5"/>
  <c r="DQ277" i="5" s="1"/>
  <c r="CL279" i="5"/>
  <c r="CL280" i="5" s="1"/>
  <c r="CL89" i="5"/>
  <c r="CL107" i="5" s="1"/>
  <c r="CO96" i="5"/>
  <c r="CP38" i="1"/>
  <c r="CP46" i="1"/>
  <c r="CP28" i="1"/>
  <c r="CP120" i="1"/>
  <c r="CP83" i="1"/>
  <c r="CP357" i="1"/>
  <c r="CP117" i="1"/>
  <c r="DR117" i="1" s="1"/>
  <c r="CP73" i="1"/>
  <c r="DR73" i="1" s="1"/>
  <c r="CP394" i="1"/>
  <c r="DR394" i="1" s="1"/>
  <c r="CP111" i="1"/>
  <c r="CP114" i="1"/>
  <c r="CP108" i="1"/>
  <c r="DR108" i="1" s="1"/>
  <c r="CP400" i="1"/>
  <c r="DR400" i="1" s="1"/>
  <c r="CP31" i="1"/>
  <c r="CP27" i="1"/>
  <c r="CP214" i="1"/>
  <c r="CP183" i="1"/>
  <c r="CP182" i="1"/>
  <c r="CP184" i="1" s="1"/>
  <c r="CO216" i="5"/>
  <c r="CO233" i="5"/>
  <c r="P112" i="3"/>
  <c r="P108" i="3"/>
  <c r="P117" i="3"/>
  <c r="P115" i="3"/>
  <c r="CO132" i="5" l="1"/>
  <c r="CP3" i="1"/>
  <c r="CP157" i="1"/>
  <c r="DR114" i="1"/>
  <c r="DQ131" i="2"/>
  <c r="DQ132" i="2"/>
  <c r="DR155" i="1"/>
  <c r="DR118" i="1"/>
  <c r="DS118" i="1" s="1"/>
  <c r="CP21" i="1"/>
  <c r="DR21" i="1" s="1"/>
  <c r="DT163" i="2"/>
  <c r="DT200" i="2"/>
  <c r="DU199" i="2"/>
  <c r="DR57" i="1"/>
  <c r="CO217" i="5"/>
  <c r="DR3" i="1"/>
  <c r="DR12" i="1" s="1"/>
  <c r="DR8" i="1" s="1"/>
  <c r="DR13" i="1"/>
  <c r="DS85" i="2"/>
  <c r="DR86" i="2"/>
  <c r="DR84" i="2"/>
  <c r="DR64" i="2" s="1"/>
  <c r="CM251" i="5"/>
  <c r="CP165" i="1"/>
  <c r="DR165" i="1" s="1"/>
  <c r="DR111" i="1"/>
  <c r="DR112" i="1" s="1"/>
  <c r="DS112" i="1" s="1"/>
  <c r="CM250" i="5"/>
  <c r="CM72" i="5"/>
  <c r="CM76" i="5" s="1"/>
  <c r="CM35" i="5"/>
  <c r="CM218" i="5" s="1"/>
  <c r="CM198" i="5"/>
  <c r="CM26" i="5"/>
  <c r="CM126" i="5"/>
  <c r="CM190" i="5" s="1"/>
  <c r="CM186" i="5" s="1"/>
  <c r="CM187" i="5" s="1"/>
  <c r="DR397" i="1"/>
  <c r="DQ175" i="5"/>
  <c r="DR395" i="1"/>
  <c r="DS395" i="1" s="1"/>
  <c r="DQ269" i="5"/>
  <c r="DQ285" i="5"/>
  <c r="DQ271" i="5" s="1"/>
  <c r="CP49" i="1"/>
  <c r="CP50" i="1" s="1"/>
  <c r="CP51" i="1" s="1"/>
  <c r="DR38" i="1"/>
  <c r="DR49" i="1" s="1"/>
  <c r="DR50" i="1" s="1"/>
  <c r="DR51" i="1" s="1"/>
  <c r="DR357" i="1"/>
  <c r="DR358" i="1" s="1"/>
  <c r="DR83" i="1"/>
  <c r="DR31" i="1"/>
  <c r="DR27" i="1"/>
  <c r="DR403" i="1"/>
  <c r="DR405" i="1"/>
  <c r="DR401" i="1"/>
  <c r="DS401" i="1" s="1"/>
  <c r="CP13" i="1"/>
  <c r="DU202" i="2"/>
  <c r="DT99" i="2"/>
  <c r="DT115" i="2"/>
  <c r="DR216" i="1"/>
  <c r="DR215" i="1"/>
  <c r="DR217" i="1" s="1"/>
  <c r="V55" i="3"/>
  <c r="V56" i="3" s="1"/>
  <c r="DT214" i="2"/>
  <c r="DT215" i="2"/>
  <c r="DU209" i="2"/>
  <c r="DU213" i="2" s="1"/>
  <c r="DU218" i="2"/>
  <c r="DU217" i="2" s="1"/>
  <c r="DU114" i="2" s="1"/>
  <c r="V47" i="3"/>
  <c r="V48" i="3"/>
  <c r="DR76" i="1"/>
  <c r="DR78" i="1" s="1"/>
  <c r="DQ11" i="5"/>
  <c r="DR75" i="1"/>
  <c r="DR74" i="1"/>
  <c r="DS74" i="1" s="1"/>
  <c r="DT74" i="1" s="1"/>
  <c r="DU74" i="1" s="1"/>
  <c r="DV74" i="1" s="1"/>
  <c r="DS198" i="2"/>
  <c r="DR161" i="2"/>
  <c r="DS160" i="2"/>
  <c r="DT201" i="2" s="1"/>
  <c r="DS164" i="2"/>
  <c r="DQ28" i="5"/>
  <c r="DR109" i="1"/>
  <c r="DS109" i="1" s="1"/>
  <c r="CP156" i="1"/>
  <c r="DR120" i="1"/>
  <c r="DS203" i="2"/>
  <c r="DS204" i="2"/>
  <c r="DT202" i="2"/>
  <c r="CP57" i="1"/>
  <c r="CP404" i="1"/>
  <c r="CP402" i="1"/>
  <c r="CP403" i="1"/>
  <c r="DP107" i="5"/>
  <c r="CL129" i="5"/>
  <c r="DP129" i="5" s="1"/>
  <c r="CP175" i="5"/>
  <c r="CP398" i="1"/>
  <c r="CP378" i="1"/>
  <c r="DR378" i="1" s="1"/>
  <c r="DR380" i="1" s="1"/>
  <c r="DR381" i="1" s="1"/>
  <c r="CP397" i="1"/>
  <c r="CP11" i="5"/>
  <c r="CP75" i="1"/>
  <c r="CP77" i="1"/>
  <c r="CP76" i="1"/>
  <c r="CP78" i="1" s="1"/>
  <c r="CP72" i="1"/>
  <c r="DP89" i="5"/>
  <c r="DP279" i="5"/>
  <c r="DP280" i="5" s="1"/>
  <c r="DP140" i="5"/>
  <c r="DP69" i="5"/>
  <c r="DP68" i="5" s="1"/>
  <c r="H31" i="9"/>
  <c r="CP96" i="1"/>
  <c r="CP155" i="1"/>
  <c r="CL259" i="5"/>
  <c r="CL139" i="5"/>
  <c r="CM285" i="5"/>
  <c r="CM271" i="5" s="1"/>
  <c r="CM269" i="5"/>
  <c r="S105" i="3"/>
  <c r="S99" i="3"/>
  <c r="CP215" i="1"/>
  <c r="CP217" i="1" s="1"/>
  <c r="CP216" i="1"/>
  <c r="CP7" i="5"/>
  <c r="CP39" i="1"/>
  <c r="P107" i="3"/>
  <c r="P106" i="3" s="1"/>
  <c r="P119" i="3" s="1"/>
  <c r="CP359" i="1"/>
  <c r="CP358" i="1"/>
  <c r="CO156" i="5" l="1"/>
  <c r="CO53" i="5"/>
  <c r="CO78" i="5" s="1"/>
  <c r="CP5" i="1"/>
  <c r="CP12" i="1"/>
  <c r="CP8" i="1" s="1"/>
  <c r="CP3" i="5"/>
  <c r="CP123" i="5" s="1"/>
  <c r="CP4" i="1"/>
  <c r="DQ272" i="5"/>
  <c r="DQ273" i="5" s="1"/>
  <c r="CP15" i="1"/>
  <c r="DR156" i="1"/>
  <c r="DR121" i="1"/>
  <c r="DS121" i="1" s="1"/>
  <c r="DU115" i="2"/>
  <c r="DU99" i="2"/>
  <c r="DT109" i="1"/>
  <c r="DU214" i="2"/>
  <c r="DU215" i="2"/>
  <c r="DU203" i="2"/>
  <c r="DT395" i="1"/>
  <c r="DU163" i="2"/>
  <c r="DU200" i="2"/>
  <c r="DT198" i="2"/>
  <c r="DS161" i="2"/>
  <c r="DT401" i="1"/>
  <c r="DT112" i="1"/>
  <c r="DT101" i="2"/>
  <c r="DT100" i="2"/>
  <c r="DU94" i="1"/>
  <c r="DT14" i="5" s="1"/>
  <c r="DR96" i="1"/>
  <c r="DR58" i="1"/>
  <c r="DR62" i="1"/>
  <c r="DT85" i="2"/>
  <c r="DS86" i="2"/>
  <c r="DS84" i="2"/>
  <c r="DS64" i="2" s="1"/>
  <c r="DQ7" i="5"/>
  <c r="DR39" i="1"/>
  <c r="CM254" i="5"/>
  <c r="CM144" i="5"/>
  <c r="CM143" i="5" s="1"/>
  <c r="CM128" i="5"/>
  <c r="CN188" i="5"/>
  <c r="DT160" i="2"/>
  <c r="DT164" i="2"/>
  <c r="DR157" i="1"/>
  <c r="DR115" i="1"/>
  <c r="DS115" i="1" s="1"/>
  <c r="DT118" i="1"/>
  <c r="DR125" i="2"/>
  <c r="DR65" i="2"/>
  <c r="DS34" i="1"/>
  <c r="DR69" i="2"/>
  <c r="DR130" i="2"/>
  <c r="CP58" i="1"/>
  <c r="CP59" i="1" s="1"/>
  <c r="CP62" i="1"/>
  <c r="CP153" i="1"/>
  <c r="CP154" i="1" s="1"/>
  <c r="DT204" i="2"/>
  <c r="DT203" i="2"/>
  <c r="DR4" i="1"/>
  <c r="DQ3" i="5"/>
  <c r="DR23" i="1"/>
  <c r="DS23" i="1" s="1"/>
  <c r="DR15" i="1"/>
  <c r="CP380" i="1"/>
  <c r="CP381" i="1" s="1"/>
  <c r="CP363" i="1"/>
  <c r="CP173" i="5"/>
  <c r="CP54" i="5" s="1"/>
  <c r="CM272" i="5"/>
  <c r="P121" i="3"/>
  <c r="S103" i="3"/>
  <c r="P123" i="3"/>
  <c r="P120" i="3"/>
  <c r="S97" i="3" s="1"/>
  <c r="CP239" i="5"/>
  <c r="CP93" i="5"/>
  <c r="DQ93" i="5" s="1"/>
  <c r="CP109" i="5"/>
  <c r="DQ109" i="5" s="1"/>
  <c r="CP97" i="1"/>
  <c r="CP15" i="5"/>
  <c r="H35" i="9"/>
  <c r="H37" i="9"/>
  <c r="CL263" i="5"/>
  <c r="CL261" i="5"/>
  <c r="CL264" i="5"/>
  <c r="CL138" i="5"/>
  <c r="CL137" i="5" s="1"/>
  <c r="CL265" i="5"/>
  <c r="DP139" i="5"/>
  <c r="DP259" i="5"/>
  <c r="DR153" i="1" l="1"/>
  <c r="DR154" i="1" s="1"/>
  <c r="CP22" i="1"/>
  <c r="CP19" i="1"/>
  <c r="CP4" i="5"/>
  <c r="CP6" i="5" s="1"/>
  <c r="CP16" i="1"/>
  <c r="DQ158" i="5"/>
  <c r="DR158" i="5" s="1"/>
  <c r="DS158" i="5" s="1"/>
  <c r="DT158" i="5" s="1"/>
  <c r="DU158" i="5" s="1"/>
  <c r="DQ159" i="5"/>
  <c r="DR159" i="5" s="1"/>
  <c r="DS159" i="5" s="1"/>
  <c r="DT159" i="5" s="1"/>
  <c r="DU159" i="5" s="1"/>
  <c r="DQ239" i="5"/>
  <c r="V11" i="3"/>
  <c r="DS125" i="2"/>
  <c r="DS69" i="2"/>
  <c r="DS130" i="2"/>
  <c r="DS65" i="2"/>
  <c r="DT34" i="1"/>
  <c r="DT161" i="2"/>
  <c r="DU198" i="2"/>
  <c r="DR132" i="2"/>
  <c r="DR131" i="2"/>
  <c r="DS181" i="1"/>
  <c r="DU112" i="1"/>
  <c r="DU201" i="2"/>
  <c r="DU395" i="1"/>
  <c r="DT86" i="2"/>
  <c r="DU85" i="2"/>
  <c r="DT84" i="2"/>
  <c r="DT64" i="2" s="1"/>
  <c r="DR59" i="1"/>
  <c r="DS58" i="1"/>
  <c r="DU204" i="2"/>
  <c r="DT121" i="1"/>
  <c r="DR16" i="1"/>
  <c r="DQ4" i="5"/>
  <c r="DQ6" i="5" s="1"/>
  <c r="DR19" i="1"/>
  <c r="DT115" i="1"/>
  <c r="CP146" i="5"/>
  <c r="CP52" i="5" s="1"/>
  <c r="CP73" i="5" s="1"/>
  <c r="DQ123" i="5"/>
  <c r="DT23" i="1"/>
  <c r="DU23" i="1" s="1"/>
  <c r="DV23" i="1" s="1"/>
  <c r="DR22" i="1"/>
  <c r="DU109" i="1"/>
  <c r="DV94" i="1"/>
  <c r="DU14" i="5" s="1"/>
  <c r="DU100" i="2"/>
  <c r="DU101" i="2"/>
  <c r="W8" i="3"/>
  <c r="W9" i="3" s="1"/>
  <c r="DS11" i="1"/>
  <c r="DS36" i="1"/>
  <c r="DS100" i="1"/>
  <c r="DS26" i="1"/>
  <c r="DS114" i="1" s="1"/>
  <c r="DS157" i="1" s="1"/>
  <c r="DS21" i="1"/>
  <c r="DS15" i="1" s="1"/>
  <c r="DU118" i="1"/>
  <c r="DQ15" i="5"/>
  <c r="DR97" i="1"/>
  <c r="DU401" i="1"/>
  <c r="DU160" i="2"/>
  <c r="DU161" i="2" s="1"/>
  <c r="DU164" i="2"/>
  <c r="CP246" i="5"/>
  <c r="CP238" i="5"/>
  <c r="CP8" i="5"/>
  <c r="CP243" i="5" s="1"/>
  <c r="CP117" i="5"/>
  <c r="DQ117" i="5" s="1"/>
  <c r="CP114" i="5"/>
  <c r="CP92" i="5"/>
  <c r="DQ92" i="5" s="1"/>
  <c r="CP125" i="5"/>
  <c r="CP101" i="5"/>
  <c r="CP245" i="5"/>
  <c r="CP77" i="5"/>
  <c r="CP170" i="5"/>
  <c r="CP177" i="5"/>
  <c r="DP264" i="5"/>
  <c r="DP263" i="5"/>
  <c r="DP138" i="5"/>
  <c r="DP261" i="5"/>
  <c r="U61" i="3"/>
  <c r="U62" i="3" s="1"/>
  <c r="DP265" i="5"/>
  <c r="CP172" i="5"/>
  <c r="CP364" i="1"/>
  <c r="CP371" i="1"/>
  <c r="CP396" i="1"/>
  <c r="CP379" i="1"/>
  <c r="CP248" i="5" l="1"/>
  <c r="CP234" i="5"/>
  <c r="CP232" i="5" s="1"/>
  <c r="CP214" i="5"/>
  <c r="DQ214" i="5" s="1"/>
  <c r="DQ215" i="5" s="1"/>
  <c r="DR215" i="5" s="1"/>
  <c r="CP210" i="5"/>
  <c r="DQ210" i="5" s="1"/>
  <c r="CP95" i="5"/>
  <c r="DQ95" i="5" s="1"/>
  <c r="DQ164" i="5" s="1"/>
  <c r="DR164" i="5" s="1"/>
  <c r="DS164" i="5" s="1"/>
  <c r="DT164" i="5" s="1"/>
  <c r="DU164" i="5" s="1"/>
  <c r="CP94" i="5"/>
  <c r="DQ94" i="5" s="1"/>
  <c r="CP108" i="5"/>
  <c r="DQ108" i="5" s="1"/>
  <c r="DQ157" i="5"/>
  <c r="DQ246" i="5"/>
  <c r="DQ8" i="5"/>
  <c r="DQ238" i="5"/>
  <c r="V4" i="3"/>
  <c r="DQ245" i="5"/>
  <c r="DQ248" i="5"/>
  <c r="DU86" i="2"/>
  <c r="DU84" i="2"/>
  <c r="DU64" i="2" s="1"/>
  <c r="DV109" i="1"/>
  <c r="DS35" i="1"/>
  <c r="DS83" i="1"/>
  <c r="DS73" i="1"/>
  <c r="DS27" i="1"/>
  <c r="DS31" i="1"/>
  <c r="DS357" i="1"/>
  <c r="DS358" i="1" s="1"/>
  <c r="DS400" i="1"/>
  <c r="DS117" i="1"/>
  <c r="DS394" i="1"/>
  <c r="DS111" i="1"/>
  <c r="DS165" i="1" s="1"/>
  <c r="DS108" i="1"/>
  <c r="DR28" i="5" s="1"/>
  <c r="DV395" i="1"/>
  <c r="DT26" i="1"/>
  <c r="DT11" i="1"/>
  <c r="X8" i="3"/>
  <c r="X9" i="3" s="1"/>
  <c r="DT100" i="1"/>
  <c r="DT36" i="1"/>
  <c r="CP96" i="5"/>
  <c r="DQ96" i="5" s="1"/>
  <c r="DQ101" i="5"/>
  <c r="DT130" i="2"/>
  <c r="DU34" i="1"/>
  <c r="DT125" i="2"/>
  <c r="DT69" i="2"/>
  <c r="DT65" i="2"/>
  <c r="DQ163" i="5"/>
  <c r="DR163" i="5" s="1"/>
  <c r="DS163" i="5" s="1"/>
  <c r="DT163" i="5" s="1"/>
  <c r="DU163" i="5" s="1"/>
  <c r="DT58" i="1"/>
  <c r="DS57" i="1"/>
  <c r="DS22" i="1"/>
  <c r="DS19" i="1"/>
  <c r="DR4" i="5"/>
  <c r="CP119" i="5"/>
  <c r="DQ119" i="5" s="1"/>
  <c r="DQ125" i="5"/>
  <c r="DV401" i="1"/>
  <c r="W46" i="3"/>
  <c r="DS182" i="1"/>
  <c r="DS184" i="1" s="1"/>
  <c r="DS183" i="1"/>
  <c r="DS214" i="1"/>
  <c r="DT181" i="1"/>
  <c r="DS131" i="2"/>
  <c r="DS132" i="2"/>
  <c r="CP134" i="5"/>
  <c r="DQ114" i="5"/>
  <c r="DQ134" i="5" s="1"/>
  <c r="DU121" i="1"/>
  <c r="DQ165" i="5"/>
  <c r="DR165" i="5" s="1"/>
  <c r="DS165" i="5" s="1"/>
  <c r="DT165" i="5" s="1"/>
  <c r="DU165" i="5" s="1"/>
  <c r="DV118" i="1"/>
  <c r="DU115" i="1"/>
  <c r="DQ211" i="5"/>
  <c r="DR211" i="5" s="1"/>
  <c r="DQ133" i="5"/>
  <c r="DS13" i="1"/>
  <c r="DS3" i="1"/>
  <c r="DS12" i="1" s="1"/>
  <c r="DS8" i="1" s="1"/>
  <c r="DQ146" i="5"/>
  <c r="DQ52" i="5" s="1"/>
  <c r="DS120" i="1"/>
  <c r="DS156" i="1" s="1"/>
  <c r="DV112" i="1"/>
  <c r="U72" i="3"/>
  <c r="U74" i="3"/>
  <c r="U73" i="3"/>
  <c r="H33" i="9"/>
  <c r="DP137" i="5"/>
  <c r="DP290" i="2" s="1"/>
  <c r="DP292" i="2" s="1"/>
  <c r="H34" i="9"/>
  <c r="CP233" i="5"/>
  <c r="CP216" i="5"/>
  <c r="CP133" i="5" l="1"/>
  <c r="CP150" i="5"/>
  <c r="CP58" i="5" s="1"/>
  <c r="CP80" i="5" s="1"/>
  <c r="DT35" i="1"/>
  <c r="DT120" i="1"/>
  <c r="DT156" i="1" s="1"/>
  <c r="DQ132" i="5"/>
  <c r="DT114" i="1"/>
  <c r="DT157" i="1" s="1"/>
  <c r="CP132" i="5"/>
  <c r="DS76" i="1"/>
  <c r="DS78" i="1" s="1"/>
  <c r="DS75" i="1"/>
  <c r="DR11" i="5"/>
  <c r="DU130" i="2"/>
  <c r="DU125" i="2"/>
  <c r="DU69" i="2"/>
  <c r="DU65" i="2"/>
  <c r="DV34" i="1"/>
  <c r="DS4" i="1"/>
  <c r="DR3" i="5"/>
  <c r="DR123" i="5" s="1"/>
  <c r="DV115" i="1"/>
  <c r="DT132" i="2"/>
  <c r="DT131" i="2"/>
  <c r="DU181" i="1"/>
  <c r="DT21" i="1"/>
  <c r="DT15" i="1" s="1"/>
  <c r="DT3" i="1"/>
  <c r="DT13" i="1"/>
  <c r="DS403" i="1"/>
  <c r="DS216" i="1"/>
  <c r="DS215" i="1"/>
  <c r="DS217" i="1" s="1"/>
  <c r="W55" i="3"/>
  <c r="W56" i="3" s="1"/>
  <c r="DQ150" i="5"/>
  <c r="DQ58" i="5" s="1"/>
  <c r="DQ80" i="5" s="1"/>
  <c r="CP217" i="5"/>
  <c r="DQ216" i="5"/>
  <c r="W47" i="3"/>
  <c r="W48" i="3"/>
  <c r="DS397" i="1"/>
  <c r="DS378" i="1"/>
  <c r="DR175" i="5"/>
  <c r="DS16" i="1"/>
  <c r="DU100" i="1"/>
  <c r="DU11" i="1"/>
  <c r="DU36" i="1"/>
  <c r="Y8" i="3"/>
  <c r="Y9" i="3" s="1"/>
  <c r="DU26" i="1"/>
  <c r="DU120" i="1" s="1"/>
  <c r="DU156" i="1" s="1"/>
  <c r="DS96" i="1"/>
  <c r="DS155" i="1"/>
  <c r="DS153" i="1" s="1"/>
  <c r="DS154" i="1" s="1"/>
  <c r="DQ243" i="5"/>
  <c r="V12" i="3"/>
  <c r="DS44" i="1"/>
  <c r="DS62" i="1"/>
  <c r="DS215" i="5"/>
  <c r="DT27" i="1"/>
  <c r="DT83" i="1"/>
  <c r="DT31" i="1"/>
  <c r="DT73" i="1"/>
  <c r="DT357" i="1"/>
  <c r="DT358" i="1" s="1"/>
  <c r="DT117" i="1"/>
  <c r="DT111" i="1"/>
  <c r="DT165" i="1" s="1"/>
  <c r="DT394" i="1"/>
  <c r="DT400" i="1"/>
  <c r="DT108" i="1"/>
  <c r="DS28" i="5" s="1"/>
  <c r="DQ162" i="5"/>
  <c r="DR162" i="5" s="1"/>
  <c r="DS162" i="5" s="1"/>
  <c r="DT162" i="5" s="1"/>
  <c r="DU162" i="5" s="1"/>
  <c r="DQ73" i="5"/>
  <c r="DV121" i="1"/>
  <c r="AF4" i="3"/>
  <c r="V5" i="3"/>
  <c r="DS211" i="5"/>
  <c r="DT214" i="1"/>
  <c r="X46" i="3"/>
  <c r="DT183" i="1"/>
  <c r="DT182" i="1"/>
  <c r="DT184" i="1" s="1"/>
  <c r="DU58" i="1"/>
  <c r="DT57" i="1"/>
  <c r="DQ154" i="5"/>
  <c r="DR157" i="5"/>
  <c r="DQ53" i="5" l="1"/>
  <c r="DQ78" i="5" s="1"/>
  <c r="DQ156" i="5"/>
  <c r="CP156" i="5"/>
  <c r="CP53" i="5"/>
  <c r="CP78" i="5" s="1"/>
  <c r="DU35" i="1"/>
  <c r="DU114" i="1"/>
  <c r="DU157" i="1" s="1"/>
  <c r="DR6" i="5"/>
  <c r="DR15" i="5"/>
  <c r="DS97" i="1"/>
  <c r="DT62" i="1"/>
  <c r="DT44" i="1"/>
  <c r="DT211" i="5"/>
  <c r="DS380" i="1"/>
  <c r="DS381" i="1" s="1"/>
  <c r="DT12" i="1"/>
  <c r="DT8" i="1" s="1"/>
  <c r="DT4" i="1"/>
  <c r="DS3" i="5"/>
  <c r="DU132" i="2"/>
  <c r="DV181" i="1"/>
  <c r="DU131" i="2"/>
  <c r="DT403" i="1"/>
  <c r="V13" i="3"/>
  <c r="AF12" i="3"/>
  <c r="DT22" i="1"/>
  <c r="DS4" i="5"/>
  <c r="DT16" i="1"/>
  <c r="DT19" i="1"/>
  <c r="DT378" i="1"/>
  <c r="DS175" i="5"/>
  <c r="DT397" i="1"/>
  <c r="DU21" i="1"/>
  <c r="DU3" i="1"/>
  <c r="DU12" i="1" s="1"/>
  <c r="DU8" i="1" s="1"/>
  <c r="DU13" i="1"/>
  <c r="Y46" i="3"/>
  <c r="DU214" i="1"/>
  <c r="DU182" i="1"/>
  <c r="DU184" i="1" s="1"/>
  <c r="DU183" i="1"/>
  <c r="DR146" i="5"/>
  <c r="DR52" i="5" s="1"/>
  <c r="X47" i="3"/>
  <c r="X48" i="3"/>
  <c r="DT215" i="5"/>
  <c r="DQ232" i="5"/>
  <c r="DQ217" i="5"/>
  <c r="V28" i="3"/>
  <c r="DS46" i="1"/>
  <c r="DS38" i="1"/>
  <c r="DT76" i="1"/>
  <c r="DT78" i="1" s="1"/>
  <c r="DS11" i="5"/>
  <c r="DT75" i="1"/>
  <c r="DV58" i="1"/>
  <c r="DV57" i="1" s="1"/>
  <c r="DU57" i="1"/>
  <c r="DU73" i="1"/>
  <c r="DU83" i="1"/>
  <c r="DU31" i="1"/>
  <c r="DU27" i="1"/>
  <c r="DU357" i="1"/>
  <c r="DU358" i="1" s="1"/>
  <c r="DU394" i="1"/>
  <c r="DU400" i="1"/>
  <c r="DU117" i="1"/>
  <c r="DU111" i="1"/>
  <c r="DU165" i="1" s="1"/>
  <c r="DU108" i="1"/>
  <c r="DT28" i="5" s="1"/>
  <c r="DS157" i="5"/>
  <c r="DR154" i="5"/>
  <c r="DT215" i="1"/>
  <c r="DT217" i="1" s="1"/>
  <c r="DT216" i="1"/>
  <c r="X55" i="3"/>
  <c r="X56" i="3" s="1"/>
  <c r="DT96" i="1"/>
  <c r="DT155" i="1"/>
  <c r="DT153" i="1" s="1"/>
  <c r="DT154" i="1" s="1"/>
  <c r="DV26" i="1"/>
  <c r="DV114" i="1" s="1"/>
  <c r="DV157" i="1" s="1"/>
  <c r="DV100" i="1"/>
  <c r="DV11" i="1"/>
  <c r="DV21" i="1" s="1"/>
  <c r="DV36" i="1"/>
  <c r="Z8" i="3"/>
  <c r="Z9" i="3" s="1"/>
  <c r="DR114" i="5" l="1"/>
  <c r="DR101" i="5"/>
  <c r="DR96" i="5" s="1"/>
  <c r="DR210" i="5"/>
  <c r="DR214" i="5"/>
  <c r="W4" i="3"/>
  <c r="W5" i="3" s="1"/>
  <c r="DR248" i="5"/>
  <c r="DR117" i="5"/>
  <c r="DR92" i="5"/>
  <c r="DR95" i="5"/>
  <c r="DR246" i="5"/>
  <c r="DR94" i="5"/>
  <c r="DR125" i="5"/>
  <c r="DR119" i="5" s="1"/>
  <c r="DR245" i="5"/>
  <c r="DR238" i="5"/>
  <c r="DV35" i="1"/>
  <c r="DS6" i="5"/>
  <c r="DR73" i="5"/>
  <c r="DS15" i="5"/>
  <c r="DT97" i="1"/>
  <c r="DT38" i="1"/>
  <c r="DT46" i="1"/>
  <c r="DV44" i="1"/>
  <c r="DV62" i="1"/>
  <c r="DU397" i="1"/>
  <c r="DU378" i="1"/>
  <c r="DT175" i="5"/>
  <c r="DV13" i="1"/>
  <c r="DV3" i="1"/>
  <c r="DQ233" i="5"/>
  <c r="DR233" i="5" s="1"/>
  <c r="DQ234" i="5"/>
  <c r="DQ235" i="5" s="1"/>
  <c r="DV15" i="1"/>
  <c r="DV22" i="1" s="1"/>
  <c r="DU15" i="1"/>
  <c r="DU22" i="1" s="1"/>
  <c r="DU155" i="1"/>
  <c r="DU153" i="1" s="1"/>
  <c r="DU154" i="1" s="1"/>
  <c r="DU96" i="1"/>
  <c r="DS39" i="1"/>
  <c r="DR7" i="5"/>
  <c r="DS49" i="1"/>
  <c r="DU215" i="5"/>
  <c r="DU403" i="1"/>
  <c r="DT380" i="1"/>
  <c r="DT381" i="1" s="1"/>
  <c r="Y48" i="3"/>
  <c r="Y47" i="3"/>
  <c r="DU211" i="5"/>
  <c r="DT157" i="5"/>
  <c r="DS154" i="5"/>
  <c r="Z46" i="3"/>
  <c r="DV214" i="1"/>
  <c r="DV183" i="1"/>
  <c r="DV182" i="1"/>
  <c r="DV184" i="1" s="1"/>
  <c r="DU4" i="1"/>
  <c r="DT3" i="5"/>
  <c r="DU76" i="1"/>
  <c r="DU78" i="1" s="1"/>
  <c r="DU75" i="1"/>
  <c r="DT11" i="5"/>
  <c r="DU44" i="1"/>
  <c r="DU62" i="1"/>
  <c r="DU216" i="1"/>
  <c r="DU215" i="1"/>
  <c r="DU217" i="1" s="1"/>
  <c r="Y55" i="3"/>
  <c r="Y56" i="3" s="1"/>
  <c r="DV31" i="1"/>
  <c r="DV357" i="1"/>
  <c r="DV358" i="1" s="1"/>
  <c r="DV83" i="1"/>
  <c r="DV27" i="1"/>
  <c r="DV73" i="1"/>
  <c r="DV400" i="1"/>
  <c r="DV394" i="1"/>
  <c r="DV117" i="1"/>
  <c r="DV111" i="1"/>
  <c r="DV165" i="1" s="1"/>
  <c r="DV108" i="1"/>
  <c r="DU28" i="5" s="1"/>
  <c r="DV120" i="1"/>
  <c r="DV156" i="1" s="1"/>
  <c r="DS123" i="5"/>
  <c r="DR150" i="5" l="1"/>
  <c r="DR58" i="5" s="1"/>
  <c r="DR80" i="5" s="1"/>
  <c r="DS214" i="5"/>
  <c r="DS245" i="5"/>
  <c r="DS248" i="5"/>
  <c r="X4" i="3"/>
  <c r="X5" i="3" s="1"/>
  <c r="DS238" i="5"/>
  <c r="DS117" i="5"/>
  <c r="DS210" i="5"/>
  <c r="DS92" i="5"/>
  <c r="DS114" i="5"/>
  <c r="DS95" i="5"/>
  <c r="DS246" i="5"/>
  <c r="DS101" i="5"/>
  <c r="DS96" i="5" s="1"/>
  <c r="DS94" i="5"/>
  <c r="DS125" i="5"/>
  <c r="DS119" i="5" s="1"/>
  <c r="DU157" i="5"/>
  <c r="DU154" i="5" s="1"/>
  <c r="DT154" i="5"/>
  <c r="DS50" i="1"/>
  <c r="DV96" i="1"/>
  <c r="DV155" i="1"/>
  <c r="DV153" i="1" s="1"/>
  <c r="DV154" i="1" s="1"/>
  <c r="DU380" i="1"/>
  <c r="DU381" i="1" s="1"/>
  <c r="DU19" i="1"/>
  <c r="DT4" i="5"/>
  <c r="DT6" i="5" s="1"/>
  <c r="DU16" i="1"/>
  <c r="DV403" i="1"/>
  <c r="DU38" i="1"/>
  <c r="DU46" i="1"/>
  <c r="Z48" i="3"/>
  <c r="Z47" i="3"/>
  <c r="DU97" i="1"/>
  <c r="DT15" i="5"/>
  <c r="DV16" i="1"/>
  <c r="DV19" i="1"/>
  <c r="DU4" i="5"/>
  <c r="DV38" i="1"/>
  <c r="DV46" i="1"/>
  <c r="DR109" i="5"/>
  <c r="W11" i="3"/>
  <c r="DR93" i="5"/>
  <c r="DR133" i="5" s="1"/>
  <c r="DR239" i="5"/>
  <c r="DR8" i="5"/>
  <c r="DV397" i="1"/>
  <c r="DU175" i="5"/>
  <c r="DV378" i="1"/>
  <c r="Z55" i="3"/>
  <c r="Z56" i="3" s="1"/>
  <c r="DV216" i="1"/>
  <c r="DV215" i="1"/>
  <c r="DV217" i="1" s="1"/>
  <c r="DS146" i="5"/>
  <c r="DS52" i="5" s="1"/>
  <c r="DT123" i="5"/>
  <c r="DV76" i="1"/>
  <c r="DV78" i="1" s="1"/>
  <c r="DU11" i="5"/>
  <c r="DV75" i="1"/>
  <c r="DV12" i="1"/>
  <c r="DV8" i="1" s="1"/>
  <c r="DV4" i="1"/>
  <c r="DU3" i="5"/>
  <c r="DS233" i="5"/>
  <c r="DR232" i="5"/>
  <c r="DT49" i="1"/>
  <c r="DS7" i="5"/>
  <c r="DT39" i="1"/>
  <c r="DS150" i="5" l="1"/>
  <c r="DS58" i="5" s="1"/>
  <c r="DS80" i="5" s="1"/>
  <c r="DT245" i="5"/>
  <c r="Y4" i="3"/>
  <c r="Y5" i="3" s="1"/>
  <c r="DT92" i="5"/>
  <c r="DT117" i="5"/>
  <c r="DT95" i="5"/>
  <c r="DT238" i="5"/>
  <c r="DT246" i="5"/>
  <c r="DT94" i="5"/>
  <c r="DT114" i="5"/>
  <c r="DT125" i="5"/>
  <c r="DT210" i="5"/>
  <c r="DT214" i="5"/>
  <c r="DT101" i="5"/>
  <c r="DU49" i="1"/>
  <c r="DU39" i="1"/>
  <c r="DT7" i="5"/>
  <c r="DT146" i="5"/>
  <c r="DT52" i="5" s="1"/>
  <c r="DT73" i="5" s="1"/>
  <c r="DU123" i="5"/>
  <c r="DU146" i="5" s="1"/>
  <c r="DS73" i="5"/>
  <c r="DR243" i="5"/>
  <c r="W12" i="3"/>
  <c r="W13" i="3" s="1"/>
  <c r="DT233" i="5"/>
  <c r="DS232" i="5"/>
  <c r="DR134" i="5"/>
  <c r="DR132" i="5" s="1"/>
  <c r="DR108" i="5"/>
  <c r="DS239" i="5"/>
  <c r="DS93" i="5"/>
  <c r="DS133" i="5" s="1"/>
  <c r="X11" i="3"/>
  <c r="DS109" i="5"/>
  <c r="DS8" i="5"/>
  <c r="DT50" i="1"/>
  <c r="DV49" i="1"/>
  <c r="DV50" i="1" s="1"/>
  <c r="DU7" i="5"/>
  <c r="DV39" i="1"/>
  <c r="DV97" i="1"/>
  <c r="DU15" i="5"/>
  <c r="DV380" i="1"/>
  <c r="DV381" i="1" s="1"/>
  <c r="DT248" i="5"/>
  <c r="DR234" i="5"/>
  <c r="DR235" i="5" s="1"/>
  <c r="DR216" i="5"/>
  <c r="DU6" i="5"/>
  <c r="DU245" i="5" s="1"/>
  <c r="DU248" i="5" l="1"/>
  <c r="DR53" i="5"/>
  <c r="DR156" i="5"/>
  <c r="DS234" i="5"/>
  <c r="DS235" i="5" s="1"/>
  <c r="DS216" i="5"/>
  <c r="DT150" i="5"/>
  <c r="DT58" i="5" s="1"/>
  <c r="DT80" i="5" s="1"/>
  <c r="DU233" i="5"/>
  <c r="DU232" i="5" s="1"/>
  <c r="DT232" i="5"/>
  <c r="DT119" i="5"/>
  <c r="DU125" i="5"/>
  <c r="DU119" i="5" s="1"/>
  <c r="DU101" i="5"/>
  <c r="DU96" i="5" s="1"/>
  <c r="DT96" i="5"/>
  <c r="DU94" i="5"/>
  <c r="DU238" i="5"/>
  <c r="DU114" i="5"/>
  <c r="DU246" i="5"/>
  <c r="DU95" i="5"/>
  <c r="Z4" i="3"/>
  <c r="Z5" i="3" s="1"/>
  <c r="DU92" i="5"/>
  <c r="DU117" i="5"/>
  <c r="DU8" i="5"/>
  <c r="DU214" i="5"/>
  <c r="DU210" i="5"/>
  <c r="DU109" i="5"/>
  <c r="Z11" i="3"/>
  <c r="DU239" i="5"/>
  <c r="DU93" i="5"/>
  <c r="DR217" i="5"/>
  <c r="W28" i="3"/>
  <c r="X12" i="3"/>
  <c r="X13" i="3" s="1"/>
  <c r="DS243" i="5"/>
  <c r="DU50" i="1"/>
  <c r="DS134" i="5"/>
  <c r="DS132" i="5" s="1"/>
  <c r="DS108" i="5"/>
  <c r="DU52" i="5"/>
  <c r="DU73" i="5" s="1"/>
  <c r="DT93" i="5"/>
  <c r="DT133" i="5" s="1"/>
  <c r="DT109" i="5"/>
  <c r="Y11" i="3"/>
  <c r="DT239" i="5"/>
  <c r="DT8" i="5"/>
  <c r="DU150" i="5" l="1"/>
  <c r="DU58" i="5" s="1"/>
  <c r="DU80" i="5" s="1"/>
  <c r="DS156" i="5"/>
  <c r="DS53" i="5"/>
  <c r="DT216" i="5"/>
  <c r="DT234" i="5"/>
  <c r="DT235" i="5" s="1"/>
  <c r="DU216" i="5"/>
  <c r="DU234" i="5"/>
  <c r="DU235" i="5" s="1"/>
  <c r="DU243" i="5"/>
  <c r="Z12" i="3"/>
  <c r="Z13" i="3" s="1"/>
  <c r="DU133" i="5"/>
  <c r="DT108" i="5"/>
  <c r="DT134" i="5"/>
  <c r="DT132" i="5" s="1"/>
  <c r="DU134" i="5"/>
  <c r="DU108" i="5"/>
  <c r="X28" i="3"/>
  <c r="DS217" i="5"/>
  <c r="Y12" i="3"/>
  <c r="Y13" i="3" s="1"/>
  <c r="DT243" i="5"/>
  <c r="DR78" i="5"/>
  <c r="DU132" i="5" l="1"/>
  <c r="DT156" i="5"/>
  <c r="DT53" i="5"/>
  <c r="Y28" i="3"/>
  <c r="DT217" i="5"/>
  <c r="DS78" i="5"/>
  <c r="Z28" i="3"/>
  <c r="DU217" i="5"/>
  <c r="DU53" i="5" l="1"/>
  <c r="DU78" i="5" s="1"/>
  <c r="DU156" i="5"/>
  <c r="DT78" i="5"/>
  <c r="DR368" i="1" l="1"/>
  <c r="CM174" i="5"/>
  <c r="CM173" i="5"/>
  <c r="CM171" i="5" s="1"/>
  <c r="CP375" i="1"/>
  <c r="CM373" i="1"/>
  <c r="CM363" i="1"/>
  <c r="CM371" i="1" s="1"/>
  <c r="CN375" i="1"/>
  <c r="CO375" i="1"/>
  <c r="DR375" i="1"/>
  <c r="DR376" i="1" s="1"/>
  <c r="CM402" i="1"/>
  <c r="CM372" i="1"/>
  <c r="CM375" i="1"/>
  <c r="CN373" i="1"/>
  <c r="DR369" i="1" l="1"/>
  <c r="DQ174" i="5"/>
  <c r="DQ173" i="5" s="1"/>
  <c r="DQ54" i="5" s="1"/>
  <c r="DR372" i="1"/>
  <c r="CM172" i="5"/>
  <c r="CM54" i="5"/>
  <c r="DQ177" i="5"/>
  <c r="DQ77" i="5"/>
  <c r="DQ170" i="5"/>
  <c r="CM364" i="1"/>
  <c r="DR363" i="1"/>
  <c r="CM396" i="1"/>
  <c r="CM365" i="1"/>
  <c r="CM379" i="1"/>
  <c r="DR402" i="1" l="1"/>
  <c r="DS369" i="1"/>
  <c r="CM266" i="5"/>
  <c r="CM170" i="5"/>
  <c r="CN170" i="5"/>
  <c r="CM57" i="5"/>
  <c r="CM77" i="5"/>
  <c r="CM79" i="5" s="1"/>
  <c r="CM84" i="5" s="1"/>
  <c r="CM86" i="5" s="1"/>
  <c r="CM104" i="5"/>
  <c r="CM177" i="5"/>
  <c r="DR371" i="1"/>
  <c r="DR396" i="1"/>
  <c r="DR364" i="1"/>
  <c r="DR387" i="1"/>
  <c r="DS368" i="1" l="1"/>
  <c r="DS402" i="1"/>
  <c r="DT369" i="1"/>
  <c r="CM62" i="5"/>
  <c r="CM252" i="5"/>
  <c r="CM135" i="5"/>
  <c r="CM131" i="5" s="1"/>
  <c r="CM255" i="5" s="1"/>
  <c r="CM102" i="5"/>
  <c r="CM90" i="5" s="1"/>
  <c r="CM133" i="1"/>
  <c r="CN132" i="1" s="1"/>
  <c r="DS363" i="1" l="1"/>
  <c r="DS371" i="1" s="1"/>
  <c r="DS375" i="1"/>
  <c r="DS376" i="1" s="1"/>
  <c r="DS372" i="1"/>
  <c r="DR174" i="5"/>
  <c r="DR173" i="5" s="1"/>
  <c r="DR54" i="5" s="1"/>
  <c r="DT368" i="1"/>
  <c r="DU369" i="1"/>
  <c r="DT402" i="1"/>
  <c r="CM69" i="5"/>
  <c r="CM68" i="5" s="1"/>
  <c r="CM279" i="5"/>
  <c r="CM280" i="5" s="1"/>
  <c r="CN277" i="5"/>
  <c r="CM89" i="5"/>
  <c r="CM107" i="5" s="1"/>
  <c r="CM129" i="5" s="1"/>
  <c r="CM140" i="5"/>
  <c r="CN41" i="5"/>
  <c r="CN130" i="1"/>
  <c r="DS364" i="1" l="1"/>
  <c r="DS387" i="1"/>
  <c r="DS396" i="1"/>
  <c r="DR77" i="5"/>
  <c r="DR177" i="5"/>
  <c r="DR170" i="5"/>
  <c r="DS174" i="5"/>
  <c r="DS173" i="5" s="1"/>
  <c r="DS54" i="5" s="1"/>
  <c r="DT363" i="1"/>
  <c r="DT371" i="1" s="1"/>
  <c r="DT375" i="1"/>
  <c r="DT376" i="1" s="1"/>
  <c r="DT372" i="1"/>
  <c r="DU402" i="1"/>
  <c r="DU368" i="1"/>
  <c r="DV369" i="1"/>
  <c r="CN285" i="5"/>
  <c r="CN271" i="5" s="1"/>
  <c r="CN269" i="5"/>
  <c r="CM139" i="5"/>
  <c r="CM259" i="5"/>
  <c r="CN40" i="5"/>
  <c r="CN168" i="5"/>
  <c r="CN51" i="5"/>
  <c r="CN75" i="5" s="1"/>
  <c r="CN171" i="5"/>
  <c r="CN104" i="5"/>
  <c r="CN89" i="1"/>
  <c r="CN365" i="1"/>
  <c r="CN272" i="5" l="1"/>
  <c r="DS77" i="5"/>
  <c r="DS177" i="5"/>
  <c r="DS170" i="5"/>
  <c r="DT364" i="1"/>
  <c r="DT387" i="1"/>
  <c r="DT396" i="1"/>
  <c r="DU372" i="1"/>
  <c r="DT174" i="5"/>
  <c r="DT173" i="5" s="1"/>
  <c r="DT54" i="5" s="1"/>
  <c r="DU375" i="1"/>
  <c r="DU376" i="1" s="1"/>
  <c r="DU363" i="1"/>
  <c r="DU371" i="1" s="1"/>
  <c r="DV402" i="1"/>
  <c r="DV368" i="1"/>
  <c r="CM265" i="5"/>
  <c r="CM263" i="5"/>
  <c r="CM261" i="5"/>
  <c r="CM138" i="5"/>
  <c r="CM137" i="5" s="1"/>
  <c r="CM264" i="5"/>
  <c r="CN133" i="1"/>
  <c r="CO132" i="1" s="1"/>
  <c r="CN135" i="5"/>
  <c r="CN131" i="5" s="1"/>
  <c r="CN102" i="5"/>
  <c r="CN91" i="1"/>
  <c r="CN92" i="1"/>
  <c r="CN90" i="1"/>
  <c r="CN64" i="1"/>
  <c r="CN13" i="5"/>
  <c r="DT170" i="5" l="1"/>
  <c r="DT77" i="5"/>
  <c r="DT177" i="5"/>
  <c r="DU396" i="1"/>
  <c r="DU387" i="1"/>
  <c r="DU364" i="1"/>
  <c r="DV372" i="1"/>
  <c r="DV375" i="1"/>
  <c r="DV376" i="1" s="1"/>
  <c r="DU174" i="5"/>
  <c r="DU173" i="5" s="1"/>
  <c r="DU54" i="5" s="1"/>
  <c r="DV363" i="1"/>
  <c r="DV371" i="1" s="1"/>
  <c r="CO41" i="5"/>
  <c r="CO130" i="1"/>
  <c r="CN66" i="1"/>
  <c r="CN65" i="1"/>
  <c r="CN67" i="1"/>
  <c r="CN69" i="1"/>
  <c r="CN124" i="1"/>
  <c r="CN10" i="5"/>
  <c r="CN247" i="5"/>
  <c r="DU170" i="5" l="1"/>
  <c r="DU77" i="5"/>
  <c r="DU177" i="5"/>
  <c r="DV396" i="1"/>
  <c r="DV387" i="1"/>
  <c r="DV364" i="1"/>
  <c r="CO104" i="5"/>
  <c r="CO40" i="5"/>
  <c r="CO51" i="5"/>
  <c r="CO75" i="5" s="1"/>
  <c r="CO171" i="5"/>
  <c r="CO168" i="5"/>
  <c r="CO89" i="1"/>
  <c r="CO365" i="1"/>
  <c r="CN71" i="1"/>
  <c r="CN70" i="1"/>
  <c r="CN126" i="1"/>
  <c r="CN148" i="1"/>
  <c r="CN125" i="1"/>
  <c r="CN240" i="5"/>
  <c r="CN17" i="5"/>
  <c r="CO133" i="1" l="1"/>
  <c r="CP132" i="1" s="1"/>
  <c r="CO102" i="5"/>
  <c r="CO135" i="5"/>
  <c r="CO131" i="5" s="1"/>
  <c r="CO91" i="1"/>
  <c r="CO90" i="1"/>
  <c r="CO64" i="1"/>
  <c r="CO92" i="1"/>
  <c r="CO13" i="5"/>
  <c r="CN150" i="1"/>
  <c r="CN133" i="2"/>
  <c r="CN160" i="1"/>
  <c r="CN149" i="1"/>
  <c r="CN185" i="1"/>
  <c r="CN244" i="5"/>
  <c r="CN241" i="5"/>
  <c r="CN43" i="5"/>
  <c r="CN22" i="5"/>
  <c r="DR132" i="1" l="1"/>
  <c r="CP130" i="1"/>
  <c r="CP41" i="5"/>
  <c r="CO124" i="1"/>
  <c r="CO69" i="1"/>
  <c r="CO67" i="1"/>
  <c r="CO66" i="1"/>
  <c r="CO65" i="1"/>
  <c r="CO10" i="5"/>
  <c r="CO247" i="5"/>
  <c r="CN195" i="1"/>
  <c r="CN171" i="1"/>
  <c r="CN162" i="1"/>
  <c r="CN161" i="1"/>
  <c r="CN163" i="1" s="1"/>
  <c r="CN167" i="1"/>
  <c r="CN151" i="1"/>
  <c r="CN39" i="5"/>
  <c r="CN45" i="5"/>
  <c r="CN200" i="5"/>
  <c r="CN202" i="5" s="1"/>
  <c r="CN205" i="5" s="1"/>
  <c r="CN207" i="5"/>
  <c r="CN208" i="5" s="1"/>
  <c r="CN225" i="5" s="1"/>
  <c r="DR134" i="1" l="1"/>
  <c r="DS134" i="1" s="1"/>
  <c r="DT134" i="1" s="1"/>
  <c r="DU134" i="1" s="1"/>
  <c r="DV134" i="1" s="1"/>
  <c r="DQ41" i="5"/>
  <c r="DR130" i="1"/>
  <c r="DR365" i="1" s="1"/>
  <c r="CP89" i="1"/>
  <c r="CP365" i="1"/>
  <c r="CP104" i="5"/>
  <c r="CP51" i="5"/>
  <c r="CP75" i="5" s="1"/>
  <c r="CP171" i="5"/>
  <c r="CP40" i="5"/>
  <c r="CP168" i="5"/>
  <c r="CO126" i="1"/>
  <c r="CO148" i="1"/>
  <c r="CO125" i="1"/>
  <c r="CO71" i="1"/>
  <c r="CO70" i="1"/>
  <c r="CO17" i="5"/>
  <c r="CO240" i="5"/>
  <c r="CN205" i="1"/>
  <c r="CN197" i="1"/>
  <c r="CN201" i="1"/>
  <c r="CN196" i="1"/>
  <c r="CN172" i="1"/>
  <c r="CN173" i="1"/>
  <c r="CN177" i="1"/>
  <c r="CN178" i="1" s="1"/>
  <c r="CN179" i="1" s="1"/>
  <c r="CN168" i="1"/>
  <c r="CN169" i="1" s="1"/>
  <c r="CN249" i="5"/>
  <c r="CN266" i="5"/>
  <c r="CN242" i="5"/>
  <c r="CN23" i="5"/>
  <c r="CN226" i="5"/>
  <c r="CN46" i="5" s="1"/>
  <c r="CN203" i="5"/>
  <c r="CN204" i="5" s="1"/>
  <c r="CN182" i="5" s="1"/>
  <c r="CN181" i="5" s="1"/>
  <c r="DQ51" i="5" l="1"/>
  <c r="DQ75" i="5" s="1"/>
  <c r="DQ168" i="5"/>
  <c r="DQ40" i="5"/>
  <c r="DQ171" i="5"/>
  <c r="DR89" i="1"/>
  <c r="CP64" i="1"/>
  <c r="CP91" i="1"/>
  <c r="CP92" i="1"/>
  <c r="CP13" i="5"/>
  <c r="CP90" i="1"/>
  <c r="DQ104" i="5"/>
  <c r="CP135" i="5"/>
  <c r="CP131" i="5" s="1"/>
  <c r="CP133" i="1"/>
  <c r="CP102" i="5"/>
  <c r="CO133" i="2"/>
  <c r="CO160" i="1"/>
  <c r="CO150" i="1"/>
  <c r="CO185" i="1"/>
  <c r="CO149" i="1"/>
  <c r="CO244" i="5"/>
  <c r="CO22" i="5"/>
  <c r="CO43" i="5"/>
  <c r="CO241" i="5"/>
  <c r="CN206" i="1"/>
  <c r="CN208" i="1" s="1"/>
  <c r="CN207" i="1"/>
  <c r="CN210" i="1"/>
  <c r="CN211" i="1" s="1"/>
  <c r="CN212" i="1" s="1"/>
  <c r="CN202" i="1"/>
  <c r="CN203" i="1" s="1"/>
  <c r="CN199" i="1"/>
  <c r="CN198" i="1"/>
  <c r="CN175" i="1"/>
  <c r="CN174" i="1"/>
  <c r="CN25" i="5"/>
  <c r="CN227" i="5"/>
  <c r="CN50" i="5"/>
  <c r="CN56" i="5"/>
  <c r="DQ13" i="5" l="1"/>
  <c r="DR90" i="1"/>
  <c r="DR91" i="1"/>
  <c r="DR64" i="1"/>
  <c r="CP65" i="1"/>
  <c r="CP67" i="1"/>
  <c r="CP124" i="1"/>
  <c r="CP66" i="1"/>
  <c r="CP69" i="1"/>
  <c r="CP10" i="5"/>
  <c r="CP247" i="5"/>
  <c r="DR133" i="1"/>
  <c r="DS132" i="1" s="1"/>
  <c r="DQ102" i="5"/>
  <c r="DQ135" i="5"/>
  <c r="DQ131" i="5" s="1"/>
  <c r="CO161" i="1"/>
  <c r="CO163" i="1" s="1"/>
  <c r="CO195" i="1"/>
  <c r="CO162" i="1"/>
  <c r="CO167" i="1"/>
  <c r="CO171" i="1"/>
  <c r="CO151" i="1"/>
  <c r="CO200" i="5"/>
  <c r="CO202" i="5" s="1"/>
  <c r="CO205" i="5" s="1"/>
  <c r="CO207" i="5"/>
  <c r="CO208" i="5" s="1"/>
  <c r="CO225" i="5" s="1"/>
  <c r="CO45" i="5"/>
  <c r="CO39" i="5"/>
  <c r="CN250" i="5"/>
  <c r="CN126" i="5"/>
  <c r="CN198" i="5"/>
  <c r="CN35" i="5"/>
  <c r="CN218" i="5" s="1"/>
  <c r="CN26" i="5"/>
  <c r="CN72" i="5"/>
  <c r="CN76" i="5" s="1"/>
  <c r="CN79" i="5" s="1"/>
  <c r="CN84" i="5" s="1"/>
  <c r="CN86" i="5" s="1"/>
  <c r="CN255" i="5"/>
  <c r="CN251" i="5"/>
  <c r="CN57" i="5"/>
  <c r="CN254" i="5" l="1"/>
  <c r="CN190" i="5"/>
  <c r="CN186" i="5" s="1"/>
  <c r="CN187" i="5" s="1"/>
  <c r="DQ247" i="5"/>
  <c r="DQ10" i="5"/>
  <c r="DR65" i="1"/>
  <c r="DR67" i="1"/>
  <c r="DR124" i="1"/>
  <c r="CP148" i="1"/>
  <c r="CP126" i="1"/>
  <c r="CP125" i="1"/>
  <c r="CP71" i="1"/>
  <c r="CP70" i="1"/>
  <c r="CP17" i="5"/>
  <c r="CP240" i="5"/>
  <c r="DS130" i="1"/>
  <c r="DR41" i="5"/>
  <c r="CO196" i="1"/>
  <c r="CO205" i="1"/>
  <c r="CO201" i="1"/>
  <c r="CO197" i="1"/>
  <c r="CO168" i="1"/>
  <c r="CO169" i="1" s="1"/>
  <c r="CO177" i="1"/>
  <c r="CO178" i="1" s="1"/>
  <c r="CO179" i="1" s="1"/>
  <c r="CO172" i="1"/>
  <c r="CO173" i="1"/>
  <c r="CO23" i="5"/>
  <c r="CO226" i="5"/>
  <c r="CO46" i="5" s="1"/>
  <c r="CO203" i="5"/>
  <c r="CO204" i="5" s="1"/>
  <c r="CO266" i="5"/>
  <c r="CO249" i="5"/>
  <c r="CO242" i="5"/>
  <c r="CN128" i="5"/>
  <c r="CN90" i="5" s="1"/>
  <c r="CN144" i="5"/>
  <c r="CN143" i="5" s="1"/>
  <c r="CO188" i="5"/>
  <c r="CN62" i="5"/>
  <c r="CN252" i="5"/>
  <c r="V15" i="3" l="1"/>
  <c r="DQ17" i="5"/>
  <c r="DQ240" i="5"/>
  <c r="DR148" i="1"/>
  <c r="DR126" i="1"/>
  <c r="DR125" i="1"/>
  <c r="CP133" i="2"/>
  <c r="CP185" i="1"/>
  <c r="CP150" i="1"/>
  <c r="CP160" i="1"/>
  <c r="CP149" i="1"/>
  <c r="CP22" i="5"/>
  <c r="CP43" i="5"/>
  <c r="CP244" i="5"/>
  <c r="CP241" i="5"/>
  <c r="DS89" i="1"/>
  <c r="DS365" i="1"/>
  <c r="DR104" i="5"/>
  <c r="DR40" i="5"/>
  <c r="DR168" i="5"/>
  <c r="DR51" i="5"/>
  <c r="DR75" i="5" s="1"/>
  <c r="DR171" i="5"/>
  <c r="CO199" i="1"/>
  <c r="CO198" i="1"/>
  <c r="CO206" i="1"/>
  <c r="CO208" i="1" s="1"/>
  <c r="CO207" i="1"/>
  <c r="CO202" i="1"/>
  <c r="CO203" i="1" s="1"/>
  <c r="CO210" i="1"/>
  <c r="CO211" i="1" s="1"/>
  <c r="CO212" i="1" s="1"/>
  <c r="CO174" i="1"/>
  <c r="CO175" i="1"/>
  <c r="CO25" i="5"/>
  <c r="CO227" i="5"/>
  <c r="CO182" i="5"/>
  <c r="CO181" i="5" s="1"/>
  <c r="CN69" i="5"/>
  <c r="CN68" i="5" s="1"/>
  <c r="CO277" i="5"/>
  <c r="CN279" i="5"/>
  <c r="CN280" i="5" s="1"/>
  <c r="CN140" i="5"/>
  <c r="CN89" i="5"/>
  <c r="CN107" i="5" s="1"/>
  <c r="CN129" i="5" s="1"/>
  <c r="CO50" i="5"/>
  <c r="CO56" i="5"/>
  <c r="AF15" i="3" l="1"/>
  <c r="V16" i="3"/>
  <c r="DQ241" i="5"/>
  <c r="DQ244" i="5"/>
  <c r="DQ43" i="5"/>
  <c r="DQ22" i="5"/>
  <c r="V17" i="3"/>
  <c r="AF17" i="3" s="1"/>
  <c r="DR149" i="1"/>
  <c r="DR160" i="1"/>
  <c r="DQ133" i="2"/>
  <c r="V35" i="3"/>
  <c r="CP162" i="1"/>
  <c r="CP195" i="1"/>
  <c r="CP161" i="1"/>
  <c r="CP163" i="1" s="1"/>
  <c r="CP167" i="1"/>
  <c r="CP171" i="1"/>
  <c r="CP151" i="1"/>
  <c r="CP207" i="5"/>
  <c r="CP208" i="5" s="1"/>
  <c r="CP225" i="5" s="1"/>
  <c r="CP200" i="5"/>
  <c r="CP202" i="5" s="1"/>
  <c r="CP205" i="5" s="1"/>
  <c r="DQ205" i="5" s="1"/>
  <c r="CP45" i="5"/>
  <c r="CP39" i="5"/>
  <c r="DS91" i="1"/>
  <c r="DR13" i="5"/>
  <c r="DS64" i="1"/>
  <c r="DS90" i="1"/>
  <c r="DR102" i="5"/>
  <c r="DS133" i="1"/>
  <c r="DT132" i="1" s="1"/>
  <c r="DR135" i="5"/>
  <c r="DR131" i="5" s="1"/>
  <c r="CO126" i="5"/>
  <c r="CO35" i="5"/>
  <c r="CO218" i="5" s="1"/>
  <c r="CO72" i="5"/>
  <c r="CO76" i="5" s="1"/>
  <c r="CO79" i="5" s="1"/>
  <c r="CO84" i="5" s="1"/>
  <c r="CO86" i="5" s="1"/>
  <c r="CO250" i="5"/>
  <c r="CO198" i="5"/>
  <c r="CO26" i="5"/>
  <c r="CO285" i="5"/>
  <c r="CO271" i="5" s="1"/>
  <c r="CO269" i="5"/>
  <c r="CN139" i="5"/>
  <c r="CN259" i="5"/>
  <c r="CO57" i="5"/>
  <c r="CO255" i="5"/>
  <c r="CO251" i="5"/>
  <c r="CO254" i="5" l="1"/>
  <c r="CO190" i="5"/>
  <c r="CO186" i="5" s="1"/>
  <c r="CO187" i="5" s="1"/>
  <c r="DQ45" i="5"/>
  <c r="DQ39" i="5"/>
  <c r="DQ207" i="5"/>
  <c r="DQ208" i="5" s="1"/>
  <c r="DQ225" i="5" s="1"/>
  <c r="DQ226" i="5" s="1"/>
  <c r="V19" i="3"/>
  <c r="AF19" i="3" s="1"/>
  <c r="DQ200" i="5"/>
  <c r="DQ202" i="5" s="1"/>
  <c r="DR151" i="1"/>
  <c r="DR150" i="1"/>
  <c r="DR195" i="1"/>
  <c r="DR167" i="1"/>
  <c r="V40" i="3"/>
  <c r="DR161" i="1"/>
  <c r="DR163" i="1" s="1"/>
  <c r="DR162" i="1"/>
  <c r="DR159" i="1"/>
  <c r="V36" i="3"/>
  <c r="V37" i="3"/>
  <c r="CP205" i="1"/>
  <c r="CP201" i="1"/>
  <c r="CP197" i="1"/>
  <c r="CP196" i="1"/>
  <c r="CP168" i="1"/>
  <c r="CP169" i="1" s="1"/>
  <c r="CP177" i="1"/>
  <c r="CP178" i="1" s="1"/>
  <c r="CP179" i="1" s="1"/>
  <c r="DR171" i="1"/>
  <c r="CP172" i="1"/>
  <c r="CP173" i="1"/>
  <c r="CP203" i="5"/>
  <c r="CP204" i="5" s="1"/>
  <c r="CP226" i="5"/>
  <c r="CP46" i="5" s="1"/>
  <c r="CP23" i="5"/>
  <c r="CP242" i="5"/>
  <c r="CP266" i="5"/>
  <c r="CP249" i="5"/>
  <c r="DR247" i="5"/>
  <c r="DR10" i="5"/>
  <c r="DS124" i="1"/>
  <c r="DS65" i="1"/>
  <c r="DS67" i="1"/>
  <c r="DT130" i="1"/>
  <c r="DS41" i="5"/>
  <c r="CO128" i="5"/>
  <c r="CO90" i="5" s="1"/>
  <c r="CO144" i="5"/>
  <c r="CO143" i="5" s="1"/>
  <c r="CP188" i="5"/>
  <c r="CN138" i="5"/>
  <c r="CN137" i="5" s="1"/>
  <c r="CN264" i="5"/>
  <c r="CN265" i="5"/>
  <c r="CN263" i="5"/>
  <c r="CN261" i="5"/>
  <c r="CO252" i="5"/>
  <c r="CO62" i="5"/>
  <c r="CO272" i="5"/>
  <c r="DQ266" i="5" l="1"/>
  <c r="DQ249" i="5"/>
  <c r="DQ242" i="5"/>
  <c r="V51" i="3"/>
  <c r="V52" i="3" s="1"/>
  <c r="DR197" i="1"/>
  <c r="DR201" i="1"/>
  <c r="DR196" i="1"/>
  <c r="DR205" i="1"/>
  <c r="DR168" i="1"/>
  <c r="DR169" i="1" s="1"/>
  <c r="DR177" i="1"/>
  <c r="V41" i="3"/>
  <c r="V42" i="3"/>
  <c r="CP207" i="1"/>
  <c r="CP206" i="1"/>
  <c r="CP208" i="1" s="1"/>
  <c r="CP210" i="1"/>
  <c r="CP211" i="1" s="1"/>
  <c r="CP212" i="1" s="1"/>
  <c r="CP202" i="1"/>
  <c r="CP203" i="1" s="1"/>
  <c r="CP199" i="1"/>
  <c r="CP198" i="1"/>
  <c r="DR172" i="1"/>
  <c r="DR174" i="1" s="1"/>
  <c r="DR173" i="1"/>
  <c r="DR170" i="1"/>
  <c r="CP175" i="1"/>
  <c r="CP174" i="1"/>
  <c r="DQ204" i="5"/>
  <c r="CP182" i="5"/>
  <c r="CP181" i="5" s="1"/>
  <c r="CP50" i="5"/>
  <c r="CP56" i="5"/>
  <c r="CP25" i="5"/>
  <c r="DQ23" i="5"/>
  <c r="CP227" i="5"/>
  <c r="DR17" i="5"/>
  <c r="W15" i="3"/>
  <c r="W16" i="3" s="1"/>
  <c r="DR240" i="5"/>
  <c r="DS148" i="1"/>
  <c r="DS125" i="1"/>
  <c r="DS126" i="1"/>
  <c r="DT89" i="1"/>
  <c r="DT365" i="1"/>
  <c r="DS104" i="5"/>
  <c r="DS40" i="5"/>
  <c r="DS51" i="5"/>
  <c r="DS75" i="5" s="1"/>
  <c r="DS168" i="5"/>
  <c r="DS171" i="5"/>
  <c r="CO69" i="5"/>
  <c r="CO68" i="5" s="1"/>
  <c r="CO89" i="5"/>
  <c r="CO107" i="5" s="1"/>
  <c r="CO129" i="5" s="1"/>
  <c r="CO279" i="5"/>
  <c r="CO280" i="5" s="1"/>
  <c r="CP277" i="5"/>
  <c r="CO140" i="5"/>
  <c r="DR202" i="1" l="1"/>
  <c r="DR203" i="1" s="1"/>
  <c r="DR210" i="1"/>
  <c r="DR199" i="1"/>
  <c r="DR198" i="1"/>
  <c r="DR207" i="1"/>
  <c r="DR206" i="1"/>
  <c r="DR208" i="1" s="1"/>
  <c r="DR178" i="1"/>
  <c r="DR179" i="1" s="1"/>
  <c r="V43" i="3"/>
  <c r="DQ203" i="5"/>
  <c r="DQ182" i="5"/>
  <c r="DQ181" i="5" s="1"/>
  <c r="I7" i="9" s="1"/>
  <c r="I5" i="9" s="1"/>
  <c r="I3" i="9" s="1"/>
  <c r="B2" i="4" s="1"/>
  <c r="CP251" i="5"/>
  <c r="CP57" i="5"/>
  <c r="CP255" i="5"/>
  <c r="CP126" i="5"/>
  <c r="CP190" i="5" s="1"/>
  <c r="CP186" i="5" s="1"/>
  <c r="CP187" i="5" s="1"/>
  <c r="CP72" i="5"/>
  <c r="CP76" i="5" s="1"/>
  <c r="CP79" i="5" s="1"/>
  <c r="CP84" i="5" s="1"/>
  <c r="CP86" i="5" s="1"/>
  <c r="CP198" i="5"/>
  <c r="CP35" i="5"/>
  <c r="CP218" i="5" s="1"/>
  <c r="CP250" i="5"/>
  <c r="CP26" i="5"/>
  <c r="DQ25" i="5"/>
  <c r="DQ24" i="5"/>
  <c r="DQ46" i="5" s="1"/>
  <c r="V20" i="3"/>
  <c r="DQ227" i="5"/>
  <c r="DR22" i="5"/>
  <c r="DR43" i="5"/>
  <c r="DR244" i="5"/>
  <c r="W17" i="3"/>
  <c r="DR241" i="5"/>
  <c r="DS160" i="1"/>
  <c r="W35" i="3"/>
  <c r="DS149" i="1"/>
  <c r="DR133" i="2"/>
  <c r="DS13" i="5"/>
  <c r="DT64" i="1"/>
  <c r="DT90" i="1"/>
  <c r="DT91" i="1"/>
  <c r="DT133" i="1"/>
  <c r="DU132" i="1" s="1"/>
  <c r="DS102" i="5"/>
  <c r="DS135" i="5"/>
  <c r="DS131" i="5" s="1"/>
  <c r="CP285" i="5"/>
  <c r="CP271" i="5" s="1"/>
  <c r="CP269" i="5"/>
  <c r="CO259" i="5"/>
  <c r="CO139" i="5"/>
  <c r="V53" i="3" l="1"/>
  <c r="V57" i="3" s="1"/>
  <c r="V27" i="3" s="1"/>
  <c r="DR211" i="1"/>
  <c r="V49" i="3"/>
  <c r="V44" i="3"/>
  <c r="V45" i="3"/>
  <c r="CP252" i="5"/>
  <c r="CP62" i="5"/>
  <c r="CP254" i="5"/>
  <c r="DQ126" i="5"/>
  <c r="CP128" i="5"/>
  <c r="CP144" i="5"/>
  <c r="CP143" i="5" s="1"/>
  <c r="V22" i="3"/>
  <c r="DQ29" i="5"/>
  <c r="DQ198" i="5"/>
  <c r="DQ194" i="5"/>
  <c r="I36" i="9" s="1"/>
  <c r="DQ35" i="5"/>
  <c r="DQ26" i="5"/>
  <c r="DQ250" i="5"/>
  <c r="DQ72" i="5"/>
  <c r="DQ76" i="5" s="1"/>
  <c r="DQ79" i="5" s="1"/>
  <c r="DQ84" i="5" s="1"/>
  <c r="DQ86" i="5" s="1"/>
  <c r="DQ50" i="5"/>
  <c r="DQ56" i="5"/>
  <c r="V21" i="3"/>
  <c r="AF20" i="3"/>
  <c r="DR207" i="5"/>
  <c r="DR208" i="5" s="1"/>
  <c r="DR225" i="5" s="1"/>
  <c r="DR200" i="5"/>
  <c r="DR202" i="5" s="1"/>
  <c r="DR205" i="5" s="1"/>
  <c r="W19" i="3"/>
  <c r="DR45" i="5"/>
  <c r="DR39" i="5"/>
  <c r="W40" i="3"/>
  <c r="DS171" i="1"/>
  <c r="DS167" i="1"/>
  <c r="DS195" i="1"/>
  <c r="DS161" i="1"/>
  <c r="DS163" i="1" s="1"/>
  <c r="DS162" i="1"/>
  <c r="W37" i="3"/>
  <c r="W36" i="3"/>
  <c r="DS150" i="1"/>
  <c r="DS151" i="1"/>
  <c r="DS10" i="5"/>
  <c r="DS247" i="5"/>
  <c r="DT67" i="1"/>
  <c r="DT124" i="1"/>
  <c r="DT65" i="1"/>
  <c r="DT41" i="5"/>
  <c r="DU130" i="1"/>
  <c r="CO261" i="5"/>
  <c r="CO138" i="5"/>
  <c r="CO137" i="5" s="1"/>
  <c r="CO263" i="5"/>
  <c r="CO265" i="5"/>
  <c r="CO264" i="5"/>
  <c r="CP272" i="5"/>
  <c r="V54" i="3" l="1"/>
  <c r="DR212" i="1"/>
  <c r="DR188" i="5"/>
  <c r="V65" i="3"/>
  <c r="DQ144" i="5"/>
  <c r="DQ143" i="5" s="1"/>
  <c r="CP90" i="5"/>
  <c r="DQ128" i="5"/>
  <c r="V29" i="3"/>
  <c r="V78" i="3"/>
  <c r="V79" i="3" s="1"/>
  <c r="V66" i="3"/>
  <c r="V64" i="3"/>
  <c r="V23" i="3"/>
  <c r="N3" i="4"/>
  <c r="N4" i="4" s="1"/>
  <c r="AF22" i="3"/>
  <c r="DQ37" i="5"/>
  <c r="R4" i="12"/>
  <c r="DQ57" i="5"/>
  <c r="DQ255" i="5"/>
  <c r="DQ251" i="5"/>
  <c r="DR203" i="5"/>
  <c r="DR204" i="5" s="1"/>
  <c r="DR182" i="5" s="1"/>
  <c r="DR181" i="5" s="1"/>
  <c r="J7" i="9" s="1"/>
  <c r="J5" i="9" s="1"/>
  <c r="J3" i="9" s="1"/>
  <c r="J17" i="9" s="1"/>
  <c r="DR226" i="5"/>
  <c r="DR23" i="5"/>
  <c r="DR266" i="5"/>
  <c r="DR249" i="5"/>
  <c r="DR242" i="5"/>
  <c r="W42" i="3"/>
  <c r="W41" i="3"/>
  <c r="DS172" i="1"/>
  <c r="DS174" i="1" s="1"/>
  <c r="DS173" i="1"/>
  <c r="DS177" i="1"/>
  <c r="DS168" i="1"/>
  <c r="DS169" i="1" s="1"/>
  <c r="W51" i="3"/>
  <c r="W52" i="3" s="1"/>
  <c r="DS205" i="1"/>
  <c r="DS196" i="1"/>
  <c r="DS197" i="1"/>
  <c r="DS201" i="1"/>
  <c r="DS17" i="5"/>
  <c r="X15" i="3"/>
  <c r="X16" i="3" s="1"/>
  <c r="DS240" i="5"/>
  <c r="DT148" i="1"/>
  <c r="DT126" i="1"/>
  <c r="DT125" i="1"/>
  <c r="DT104" i="5"/>
  <c r="DT168" i="5"/>
  <c r="DT51" i="5"/>
  <c r="DT75" i="5" s="1"/>
  <c r="DT40" i="5"/>
  <c r="DT171" i="5"/>
  <c r="DU89" i="1"/>
  <c r="DU365" i="1"/>
  <c r="DQ254" i="5"/>
  <c r="DQ190" i="5"/>
  <c r="DQ191" i="5" s="1"/>
  <c r="DQ90" i="5" l="1"/>
  <c r="CP89" i="5"/>
  <c r="CP107" i="5" s="1"/>
  <c r="CP140" i="5"/>
  <c r="CP279" i="5"/>
  <c r="CP280" i="5" s="1"/>
  <c r="CP69" i="5"/>
  <c r="CP68" i="5" s="1"/>
  <c r="V30" i="3"/>
  <c r="V67" i="3"/>
  <c r="R7" i="12"/>
  <c r="R14" i="12" s="1"/>
  <c r="R5" i="12"/>
  <c r="DQ62" i="5"/>
  <c r="I20" i="9" s="1"/>
  <c r="I16" i="9"/>
  <c r="I18" i="9" s="1"/>
  <c r="DQ252" i="5"/>
  <c r="V70" i="3"/>
  <c r="I27" i="9"/>
  <c r="I28" i="9" s="1"/>
  <c r="DR25" i="5"/>
  <c r="DR24" i="5"/>
  <c r="DR46" i="5" s="1"/>
  <c r="DR227" i="5"/>
  <c r="W20" i="3"/>
  <c r="W21" i="3" s="1"/>
  <c r="W43" i="3"/>
  <c r="DS178" i="1"/>
  <c r="DS179" i="1" s="1"/>
  <c r="DS206" i="1"/>
  <c r="DS208" i="1" s="1"/>
  <c r="DS207" i="1"/>
  <c r="DS199" i="1"/>
  <c r="DS198" i="1"/>
  <c r="DS210" i="1"/>
  <c r="DS202" i="1"/>
  <c r="DS203" i="1" s="1"/>
  <c r="DS43" i="5"/>
  <c r="DS22" i="5"/>
  <c r="DS241" i="5"/>
  <c r="DS244" i="5"/>
  <c r="X17" i="3"/>
  <c r="DT149" i="1"/>
  <c r="DT160" i="1"/>
  <c r="DS133" i="2"/>
  <c r="X35" i="3"/>
  <c r="DT135" i="5"/>
  <c r="DT131" i="5" s="1"/>
  <c r="DU133" i="1"/>
  <c r="DV132" i="1" s="1"/>
  <c r="DT102" i="5"/>
  <c r="DT13" i="5"/>
  <c r="DU91" i="1"/>
  <c r="DU64" i="1"/>
  <c r="DU90" i="1"/>
  <c r="V69" i="3"/>
  <c r="R15" i="12"/>
  <c r="DQ140" i="5" l="1"/>
  <c r="DQ89" i="5"/>
  <c r="I31" i="9"/>
  <c r="DQ279" i="5"/>
  <c r="DQ280" i="5" s="1"/>
  <c r="DR277" i="5"/>
  <c r="DQ69" i="5"/>
  <c r="DQ68" i="5" s="1"/>
  <c r="DQ107" i="5"/>
  <c r="CP129" i="5"/>
  <c r="DQ129" i="5" s="1"/>
  <c r="CP259" i="5"/>
  <c r="CP139" i="5"/>
  <c r="DR126" i="5"/>
  <c r="DR190" i="5" s="1"/>
  <c r="DR186" i="5" s="1"/>
  <c r="DR187" i="5" s="1"/>
  <c r="DR35" i="5"/>
  <c r="DR250" i="5"/>
  <c r="DR72" i="5"/>
  <c r="DR76" i="5" s="1"/>
  <c r="DR79" i="5" s="1"/>
  <c r="DR84" i="5" s="1"/>
  <c r="DR86" i="5" s="1"/>
  <c r="W22" i="3"/>
  <c r="DR194" i="5"/>
  <c r="J36" i="9" s="1"/>
  <c r="DR198" i="5"/>
  <c r="DR26" i="5"/>
  <c r="DR29" i="5"/>
  <c r="DR50" i="5"/>
  <c r="DR56" i="5"/>
  <c r="W49" i="3"/>
  <c r="W44" i="3"/>
  <c r="W45" i="3"/>
  <c r="DS211" i="1"/>
  <c r="W53" i="3"/>
  <c r="W57" i="3" s="1"/>
  <c r="W27" i="3" s="1"/>
  <c r="DS45" i="5"/>
  <c r="DS39" i="5"/>
  <c r="X19" i="3"/>
  <c r="DS200" i="5"/>
  <c r="DS202" i="5" s="1"/>
  <c r="DS205" i="5" s="1"/>
  <c r="DS207" i="5"/>
  <c r="DS208" i="5" s="1"/>
  <c r="DS225" i="5" s="1"/>
  <c r="DT150" i="1"/>
  <c r="DT151" i="1"/>
  <c r="DT171" i="1"/>
  <c r="X40" i="3"/>
  <c r="DT195" i="1"/>
  <c r="DT161" i="1"/>
  <c r="DT163" i="1" s="1"/>
  <c r="DT162" i="1"/>
  <c r="DT167" i="1"/>
  <c r="X37" i="3"/>
  <c r="X36" i="3"/>
  <c r="DV130" i="1"/>
  <c r="DU41" i="5"/>
  <c r="DT247" i="5"/>
  <c r="DT10" i="5"/>
  <c r="DU124" i="1"/>
  <c r="DU67" i="1"/>
  <c r="DU65" i="1"/>
  <c r="DR254" i="5" l="1"/>
  <c r="DQ259" i="5"/>
  <c r="DQ139" i="5"/>
  <c r="C8" i="4"/>
  <c r="D8" i="4" s="1"/>
  <c r="I37" i="9"/>
  <c r="I35" i="9"/>
  <c r="DR269" i="5"/>
  <c r="DR285" i="5"/>
  <c r="DR271" i="5" s="1"/>
  <c r="CP138" i="5"/>
  <c r="CP137" i="5" s="1"/>
  <c r="CP265" i="5"/>
  <c r="CP264" i="5"/>
  <c r="CP261" i="5"/>
  <c r="CP263" i="5"/>
  <c r="DR144" i="5"/>
  <c r="DR143" i="5" s="1"/>
  <c r="DS188" i="5"/>
  <c r="DR128" i="5"/>
  <c r="DR90" i="5" s="1"/>
  <c r="W65" i="3"/>
  <c r="DR37" i="5"/>
  <c r="S4" i="12"/>
  <c r="S15" i="12"/>
  <c r="S19" i="12" s="1"/>
  <c r="W69" i="3"/>
  <c r="W29" i="3"/>
  <c r="W66" i="3"/>
  <c r="W64" i="3"/>
  <c r="W78" i="3"/>
  <c r="W79" i="3" s="1"/>
  <c r="W23" i="3"/>
  <c r="DR57" i="5"/>
  <c r="DR251" i="5"/>
  <c r="DR255" i="5"/>
  <c r="DS212" i="1"/>
  <c r="W54" i="3"/>
  <c r="DS266" i="5"/>
  <c r="DS242" i="5"/>
  <c r="DS249" i="5"/>
  <c r="DS203" i="5"/>
  <c r="DS204" i="5" s="1"/>
  <c r="DS182" i="5" s="1"/>
  <c r="DS181" i="5" s="1"/>
  <c r="K7" i="9" s="1"/>
  <c r="K5" i="9" s="1"/>
  <c r="K3" i="9" s="1"/>
  <c r="K17" i="9" s="1"/>
  <c r="DS23" i="5"/>
  <c r="DS226" i="5"/>
  <c r="DT172" i="1"/>
  <c r="DT174" i="1" s="1"/>
  <c r="DT173" i="1"/>
  <c r="X42" i="3"/>
  <c r="X41" i="3"/>
  <c r="DT205" i="1"/>
  <c r="DT197" i="1"/>
  <c r="DT196" i="1"/>
  <c r="DT201" i="1"/>
  <c r="X51" i="3"/>
  <c r="X52" i="3" s="1"/>
  <c r="DT168" i="1"/>
  <c r="DT169" i="1" s="1"/>
  <c r="DT177" i="1"/>
  <c r="DV89" i="1"/>
  <c r="DV365" i="1"/>
  <c r="DU104" i="5"/>
  <c r="DU40" i="5"/>
  <c r="DU51" i="5"/>
  <c r="DU75" i="5" s="1"/>
  <c r="DU168" i="5"/>
  <c r="DU171" i="5"/>
  <c r="DT17" i="5"/>
  <c r="Y15" i="3"/>
  <c r="Y16" i="3" s="1"/>
  <c r="DT240" i="5"/>
  <c r="DU148" i="1"/>
  <c r="DU126" i="1"/>
  <c r="DU125" i="1"/>
  <c r="DR272" i="5" l="1"/>
  <c r="DR273" i="5" s="1"/>
  <c r="DQ138" i="5"/>
  <c r="V61" i="3"/>
  <c r="V62" i="3" s="1"/>
  <c r="DQ263" i="5"/>
  <c r="DQ264" i="5"/>
  <c r="DQ265" i="5"/>
  <c r="DQ261" i="5"/>
  <c r="DR279" i="5"/>
  <c r="DR280" i="5" s="1"/>
  <c r="DR89" i="5"/>
  <c r="DR107" i="5" s="1"/>
  <c r="DR129" i="5" s="1"/>
  <c r="DR140" i="5"/>
  <c r="DR69" i="5"/>
  <c r="J31" i="9"/>
  <c r="DS277" i="5"/>
  <c r="S5" i="12"/>
  <c r="S7" i="12"/>
  <c r="S14" i="12" s="1"/>
  <c r="S18" i="12" s="1"/>
  <c r="W30" i="3"/>
  <c r="W67" i="3"/>
  <c r="DR252" i="5"/>
  <c r="J16" i="9"/>
  <c r="J18" i="9" s="1"/>
  <c r="DR62" i="5"/>
  <c r="J20" i="9" s="1"/>
  <c r="J27" i="9"/>
  <c r="J28" i="9" s="1"/>
  <c r="W70" i="3"/>
  <c r="DS25" i="5"/>
  <c r="DS24" i="5"/>
  <c r="DS46" i="5" s="1"/>
  <c r="X20" i="3"/>
  <c r="X21" i="3" s="1"/>
  <c r="DS227" i="5"/>
  <c r="DT207" i="1"/>
  <c r="DT206" i="1"/>
  <c r="DT208" i="1" s="1"/>
  <c r="DT199" i="1"/>
  <c r="DT198" i="1"/>
  <c r="DT210" i="1"/>
  <c r="DT202" i="1"/>
  <c r="DT203" i="1" s="1"/>
  <c r="DT178" i="1"/>
  <c r="DT179" i="1" s="1"/>
  <c r="X43" i="3"/>
  <c r="DU13" i="5"/>
  <c r="DV64" i="1"/>
  <c r="DV90" i="1"/>
  <c r="DV91" i="1"/>
  <c r="DU135" i="5"/>
  <c r="DU131" i="5" s="1"/>
  <c r="DV133" i="1"/>
  <c r="DU102" i="5"/>
  <c r="DT22" i="5"/>
  <c r="DT43" i="5"/>
  <c r="Y17" i="3"/>
  <c r="DT241" i="5"/>
  <c r="DT244" i="5"/>
  <c r="DU160" i="1"/>
  <c r="DU149" i="1"/>
  <c r="DT133" i="2"/>
  <c r="Y35" i="3"/>
  <c r="DR68" i="5" l="1"/>
  <c r="I33" i="9"/>
  <c r="I34" i="9"/>
  <c r="DQ137" i="5"/>
  <c r="DQ290" i="2" s="1"/>
  <c r="DQ292" i="2" s="1"/>
  <c r="V73" i="3"/>
  <c r="V72" i="3"/>
  <c r="V74" i="3"/>
  <c r="DR259" i="5"/>
  <c r="DR139" i="5"/>
  <c r="J37" i="9"/>
  <c r="J35" i="9"/>
  <c r="DS269" i="5"/>
  <c r="DS285" i="5"/>
  <c r="DS271" i="5" s="1"/>
  <c r="DS126" i="5"/>
  <c r="DS254" i="5" s="1"/>
  <c r="X69" i="3" s="1"/>
  <c r="DS198" i="5"/>
  <c r="DS250" i="5"/>
  <c r="DS72" i="5"/>
  <c r="DS76" i="5" s="1"/>
  <c r="DS79" i="5" s="1"/>
  <c r="DS84" i="5" s="1"/>
  <c r="DS86" i="5" s="1"/>
  <c r="DS194" i="5"/>
  <c r="K36" i="9" s="1"/>
  <c r="DS29" i="5"/>
  <c r="X22" i="3"/>
  <c r="DS26" i="5"/>
  <c r="DS35" i="5"/>
  <c r="DS37" i="5" s="1"/>
  <c r="DS50" i="5"/>
  <c r="DS56" i="5"/>
  <c r="DT211" i="1"/>
  <c r="X53" i="3"/>
  <c r="X57" i="3" s="1"/>
  <c r="X27" i="3" s="1"/>
  <c r="X49" i="3"/>
  <c r="X45" i="3"/>
  <c r="X44" i="3"/>
  <c r="DU10" i="5"/>
  <c r="DU247" i="5"/>
  <c r="DV124" i="1"/>
  <c r="DV67" i="1"/>
  <c r="DV65" i="1"/>
  <c r="DT207" i="5"/>
  <c r="DT208" i="5" s="1"/>
  <c r="DT225" i="5" s="1"/>
  <c r="Y19" i="3"/>
  <c r="DT200" i="5"/>
  <c r="DT202" i="5" s="1"/>
  <c r="DT205" i="5" s="1"/>
  <c r="DT39" i="5"/>
  <c r="DT45" i="5"/>
  <c r="Y40" i="3"/>
  <c r="DU171" i="1"/>
  <c r="DU195" i="1"/>
  <c r="DU167" i="1"/>
  <c r="DU162" i="1"/>
  <c r="DU161" i="1"/>
  <c r="DU163" i="1" s="1"/>
  <c r="DU150" i="1"/>
  <c r="DU151" i="1"/>
  <c r="Y36" i="3"/>
  <c r="Y37" i="3"/>
  <c r="DS190" i="5" l="1"/>
  <c r="DS186" i="5" s="1"/>
  <c r="DS187" i="5" s="1"/>
  <c r="DS272" i="5"/>
  <c r="DS273" i="5" s="1"/>
  <c r="DR261" i="5"/>
  <c r="DR138" i="5"/>
  <c r="DR265" i="5"/>
  <c r="DR263" i="5"/>
  <c r="W61" i="3"/>
  <c r="W62" i="3" s="1"/>
  <c r="DR264" i="5"/>
  <c r="DS144" i="5"/>
  <c r="DS143" i="5" s="1"/>
  <c r="DT188" i="5"/>
  <c r="X65" i="3"/>
  <c r="DS128" i="5"/>
  <c r="DS90" i="5" s="1"/>
  <c r="X29" i="3"/>
  <c r="X66" i="3"/>
  <c r="X64" i="3"/>
  <c r="X23" i="3"/>
  <c r="DS251" i="5"/>
  <c r="DS57" i="5"/>
  <c r="DS255" i="5"/>
  <c r="X54" i="3"/>
  <c r="DT212" i="1"/>
  <c r="DU17" i="5"/>
  <c r="Z15" i="3"/>
  <c r="Z16" i="3" s="1"/>
  <c r="DU240" i="5"/>
  <c r="DV148" i="1"/>
  <c r="DV125" i="1"/>
  <c r="DV126" i="1"/>
  <c r="DT23" i="5"/>
  <c r="DT226" i="5"/>
  <c r="DT203" i="5"/>
  <c r="DT204" i="5" s="1"/>
  <c r="DT182" i="5" s="1"/>
  <c r="DT181" i="5" s="1"/>
  <c r="L7" i="9" s="1"/>
  <c r="L5" i="9" s="1"/>
  <c r="L3" i="9" s="1"/>
  <c r="L17" i="9" s="1"/>
  <c r="DT242" i="5"/>
  <c r="DT266" i="5"/>
  <c r="DT249" i="5"/>
  <c r="Y42" i="3"/>
  <c r="Y41" i="3"/>
  <c r="DU173" i="1"/>
  <c r="DU172" i="1"/>
  <c r="DU174" i="1" s="1"/>
  <c r="DU205" i="1"/>
  <c r="DU196" i="1"/>
  <c r="DU201" i="1"/>
  <c r="DU197" i="1"/>
  <c r="Y51" i="3"/>
  <c r="Y52" i="3" s="1"/>
  <c r="DU177" i="1"/>
  <c r="DU168" i="1"/>
  <c r="DU169" i="1" s="1"/>
  <c r="J33" i="9" l="1"/>
  <c r="J34" i="9"/>
  <c r="DR137" i="5"/>
  <c r="W74" i="3"/>
  <c r="W72" i="3"/>
  <c r="W73" i="3"/>
  <c r="DT277" i="5"/>
  <c r="DS69" i="5"/>
  <c r="DS279" i="5"/>
  <c r="DS280" i="5" s="1"/>
  <c r="DS140" i="5"/>
  <c r="DS89" i="5"/>
  <c r="DS107" i="5" s="1"/>
  <c r="DS129" i="5" s="1"/>
  <c r="K31" i="9"/>
  <c r="X30" i="3"/>
  <c r="X67" i="3"/>
  <c r="K16" i="9"/>
  <c r="K18" i="9" s="1"/>
  <c r="DS252" i="5"/>
  <c r="DS62" i="5"/>
  <c r="K20" i="9" s="1"/>
  <c r="X70" i="3"/>
  <c r="K27" i="9"/>
  <c r="K28" i="9" s="1"/>
  <c r="DU22" i="5"/>
  <c r="DU43" i="5"/>
  <c r="DU241" i="5"/>
  <c r="Z17" i="3"/>
  <c r="DU244" i="5"/>
  <c r="DV160" i="1"/>
  <c r="DV149" i="1"/>
  <c r="DU133" i="2"/>
  <c r="Z35" i="3"/>
  <c r="DT25" i="5"/>
  <c r="DT24" i="5"/>
  <c r="DT46" i="5" s="1"/>
  <c r="DT227" i="5"/>
  <c r="Y20" i="3"/>
  <c r="Y21" i="3" s="1"/>
  <c r="DU207" i="1"/>
  <c r="DU206" i="1"/>
  <c r="DU208" i="1" s="1"/>
  <c r="DU199" i="1"/>
  <c r="DU198" i="1"/>
  <c r="DU210" i="1"/>
  <c r="DU202" i="1"/>
  <c r="DU203" i="1" s="1"/>
  <c r="DU178" i="1"/>
  <c r="DU179" i="1" s="1"/>
  <c r="Y43" i="3"/>
  <c r="DT269" i="5" l="1"/>
  <c r="DT285" i="5"/>
  <c r="DT271" i="5" s="1"/>
  <c r="DS259" i="5"/>
  <c r="DS139" i="5"/>
  <c r="K37" i="9"/>
  <c r="K35" i="9"/>
  <c r="DU207" i="5"/>
  <c r="DU208" i="5" s="1"/>
  <c r="DU225" i="5" s="1"/>
  <c r="DU200" i="5"/>
  <c r="DU202" i="5" s="1"/>
  <c r="DU205" i="5" s="1"/>
  <c r="Z19" i="3"/>
  <c r="DU39" i="5"/>
  <c r="DU45" i="5"/>
  <c r="Z40" i="3"/>
  <c r="DV195" i="1"/>
  <c r="DV171" i="1"/>
  <c r="DV162" i="1"/>
  <c r="DV161" i="1"/>
  <c r="DV163" i="1" s="1"/>
  <c r="DV167" i="1"/>
  <c r="DV150" i="1"/>
  <c r="DV151" i="1"/>
  <c r="Z37" i="3"/>
  <c r="Z36" i="3"/>
  <c r="DT126" i="5"/>
  <c r="DT254" i="5" s="1"/>
  <c r="Y69" i="3" s="1"/>
  <c r="DT72" i="5"/>
  <c r="DT76" i="5" s="1"/>
  <c r="DT79" i="5" s="1"/>
  <c r="DT84" i="5" s="1"/>
  <c r="DT86" i="5" s="1"/>
  <c r="DT35" i="5"/>
  <c r="DT37" i="5" s="1"/>
  <c r="Y22" i="3"/>
  <c r="DT198" i="5"/>
  <c r="DT26" i="5"/>
  <c r="DT250" i="5"/>
  <c r="DT29" i="5"/>
  <c r="DT194" i="5"/>
  <c r="L36" i="9" s="1"/>
  <c r="DT50" i="5"/>
  <c r="DT56" i="5"/>
  <c r="DU211" i="1"/>
  <c r="Y53" i="3"/>
  <c r="Y57" i="3" s="1"/>
  <c r="Y27" i="3" s="1"/>
  <c r="Y49" i="3"/>
  <c r="Y44" i="3"/>
  <c r="Y45" i="3"/>
  <c r="DS68" i="5"/>
  <c r="DT272" i="5" l="1"/>
  <c r="DT273" i="5" s="1"/>
  <c r="DT190" i="5"/>
  <c r="DT186" i="5" s="1"/>
  <c r="DT187" i="5" s="1"/>
  <c r="DS138" i="5"/>
  <c r="DS261" i="5"/>
  <c r="X61" i="3"/>
  <c r="X62" i="3" s="1"/>
  <c r="DS263" i="5"/>
  <c r="DS264" i="5"/>
  <c r="DS265" i="5"/>
  <c r="DU226" i="5"/>
  <c r="DU203" i="5"/>
  <c r="DU204" i="5" s="1"/>
  <c r="DU182" i="5" s="1"/>
  <c r="DU181" i="5" s="1"/>
  <c r="M7" i="9" s="1"/>
  <c r="M5" i="9" s="1"/>
  <c r="M3" i="9" s="1"/>
  <c r="DU23" i="5"/>
  <c r="DU249" i="5"/>
  <c r="DU242" i="5"/>
  <c r="DU266" i="5"/>
  <c r="Z42" i="3"/>
  <c r="Z41" i="3"/>
  <c r="DV201" i="1"/>
  <c r="DV196" i="1"/>
  <c r="Z51" i="3"/>
  <c r="Z52" i="3" s="1"/>
  <c r="DV205" i="1"/>
  <c r="DV197" i="1"/>
  <c r="DV173" i="1"/>
  <c r="DV172" i="1"/>
  <c r="DV174" i="1" s="1"/>
  <c r="DV177" i="1"/>
  <c r="DV168" i="1"/>
  <c r="DV169" i="1" s="1"/>
  <c r="DT128" i="5"/>
  <c r="DT90" i="5" s="1"/>
  <c r="DT144" i="5"/>
  <c r="DT143" i="5" s="1"/>
  <c r="Y65" i="3"/>
  <c r="DU188" i="5"/>
  <c r="Y29" i="3"/>
  <c r="Y66" i="3"/>
  <c r="Y23" i="3"/>
  <c r="Y64" i="3"/>
  <c r="DT57" i="5"/>
  <c r="DT251" i="5"/>
  <c r="DT255" i="5"/>
  <c r="Y54" i="3"/>
  <c r="DU212" i="1"/>
  <c r="K33" i="9" l="1"/>
  <c r="K34" i="9"/>
  <c r="DS137" i="5"/>
  <c r="X74" i="3"/>
  <c r="X72" i="3"/>
  <c r="X73" i="3"/>
  <c r="M17" i="9"/>
  <c r="P17" i="9" s="1"/>
  <c r="C29" i="4"/>
  <c r="DU25" i="5"/>
  <c r="Z20" i="3"/>
  <c r="Z21" i="3" s="1"/>
  <c r="DU227" i="5"/>
  <c r="DU24" i="5"/>
  <c r="DU46" i="5" s="1"/>
  <c r="DV210" i="1"/>
  <c r="DV202" i="1"/>
  <c r="DV203" i="1" s="1"/>
  <c r="DV199" i="1"/>
  <c r="DV198" i="1"/>
  <c r="DV206" i="1"/>
  <c r="DV208" i="1" s="1"/>
  <c r="DV207" i="1"/>
  <c r="Z43" i="3"/>
  <c r="DV178" i="1"/>
  <c r="DV179" i="1" s="1"/>
  <c r="DT69" i="5"/>
  <c r="DT279" i="5"/>
  <c r="DT280" i="5" s="1"/>
  <c r="DU277" i="5"/>
  <c r="DT140" i="5"/>
  <c r="L31" i="9"/>
  <c r="DT89" i="5"/>
  <c r="DT107" i="5" s="1"/>
  <c r="DT129" i="5" s="1"/>
  <c r="Y67" i="3"/>
  <c r="Y30" i="3"/>
  <c r="L16" i="9"/>
  <c r="L18" i="9" s="1"/>
  <c r="DT62" i="5"/>
  <c r="L20" i="9" s="1"/>
  <c r="DT252" i="5"/>
  <c r="Y70" i="3"/>
  <c r="L27" i="9"/>
  <c r="L28" i="9" s="1"/>
  <c r="DU126" i="5" l="1"/>
  <c r="DU190" i="5" s="1"/>
  <c r="DU186" i="5" s="1"/>
  <c r="DU187" i="5" s="1"/>
  <c r="Z22" i="3"/>
  <c r="DU198" i="5"/>
  <c r="DU35" i="5"/>
  <c r="DU37" i="5" s="1"/>
  <c r="DU72" i="5"/>
  <c r="DU76" i="5" s="1"/>
  <c r="DU79" i="5" s="1"/>
  <c r="DU84" i="5" s="1"/>
  <c r="DU86" i="5" s="1"/>
  <c r="DU194" i="5"/>
  <c r="M36" i="9" s="1"/>
  <c r="DU26" i="5"/>
  <c r="DU29" i="5"/>
  <c r="DU250" i="5"/>
  <c r="DU50" i="5"/>
  <c r="DU56" i="5"/>
  <c r="DV211" i="1"/>
  <c r="Z53" i="3"/>
  <c r="Z57" i="3" s="1"/>
  <c r="Z27" i="3" s="1"/>
  <c r="Z49" i="3"/>
  <c r="Z45" i="3"/>
  <c r="Z44" i="3"/>
  <c r="DU285" i="5"/>
  <c r="DU271" i="5" s="1"/>
  <c r="DU269" i="5"/>
  <c r="DT259" i="5"/>
  <c r="DT139" i="5"/>
  <c r="L35" i="9"/>
  <c r="L37" i="9"/>
  <c r="DT68" i="5"/>
  <c r="DU254" i="5" l="1"/>
  <c r="Z69" i="3" s="1"/>
  <c r="Z65" i="3"/>
  <c r="DU144" i="5"/>
  <c r="DU143" i="5" s="1"/>
  <c r="DU128" i="5"/>
  <c r="DU90" i="5" s="1"/>
  <c r="Z29" i="3"/>
  <c r="Q1" i="4"/>
  <c r="N14" i="4" s="1"/>
  <c r="AA22" i="3"/>
  <c r="I9" i="4" s="1"/>
  <c r="I21" i="4" s="1"/>
  <c r="I22" i="4" s="1"/>
  <c r="Z64" i="3"/>
  <c r="Z66" i="3"/>
  <c r="Z23" i="3"/>
  <c r="DU57" i="5"/>
  <c r="C26" i="4"/>
  <c r="C30" i="4" s="1"/>
  <c r="C5" i="4" s="1"/>
  <c r="DU255" i="5"/>
  <c r="DU251" i="5"/>
  <c r="Z54" i="3"/>
  <c r="DV212" i="1"/>
  <c r="DT138" i="5"/>
  <c r="DT261" i="5"/>
  <c r="DT264" i="5"/>
  <c r="DT265" i="5"/>
  <c r="DT263" i="5"/>
  <c r="Y61" i="3"/>
  <c r="Y62" i="3" s="1"/>
  <c r="DU272" i="5"/>
  <c r="DU273" i="5" s="1"/>
  <c r="DU89" i="5" l="1"/>
  <c r="DU107" i="5" s="1"/>
  <c r="DU129" i="5" s="1"/>
  <c r="M31" i="9"/>
  <c r="DU279" i="5"/>
  <c r="DU280" i="5" s="1"/>
  <c r="DU69" i="5"/>
  <c r="DU140" i="5"/>
  <c r="Z30" i="3"/>
  <c r="Z67" i="3"/>
  <c r="N27" i="4"/>
  <c r="Q14" i="4"/>
  <c r="Q27" i="4" s="1"/>
  <c r="Q28" i="4" s="1"/>
  <c r="DU62" i="5"/>
  <c r="M20" i="9" s="1"/>
  <c r="P20" i="9" s="1"/>
  <c r="M16" i="9"/>
  <c r="DU252" i="5"/>
  <c r="Z70" i="3"/>
  <c r="M27" i="9"/>
  <c r="M28" i="9" s="1"/>
  <c r="L33" i="9"/>
  <c r="L34" i="9"/>
  <c r="DT137" i="5"/>
  <c r="Y74" i="3"/>
  <c r="Y72" i="3"/>
  <c r="Y73" i="3"/>
  <c r="DU68" i="5" l="1"/>
  <c r="M35" i="9"/>
  <c r="M37" i="9"/>
  <c r="DU259" i="5"/>
  <c r="DU139" i="5"/>
  <c r="P16" i="9"/>
  <c r="M18" i="9"/>
  <c r="C4" i="4" s="1"/>
  <c r="C6" i="4" s="1"/>
  <c r="C15" i="4" s="1"/>
  <c r="C17" i="4" s="1"/>
  <c r="C18" i="4" s="1"/>
  <c r="N7" i="4"/>
  <c r="N5" i="4" s="1"/>
  <c r="P18" i="9" l="1"/>
  <c r="F21" i="9"/>
  <c r="DU261" i="5"/>
  <c r="DU138" i="5"/>
  <c r="Z61" i="3"/>
  <c r="Z62" i="3" s="1"/>
  <c r="DU263" i="5"/>
  <c r="DU264" i="5"/>
  <c r="DU265" i="5"/>
  <c r="C19" i="4"/>
  <c r="C21" i="4"/>
  <c r="M33" i="9" l="1"/>
  <c r="M34" i="9"/>
  <c r="DU137" i="5"/>
  <c r="Z74" i="3"/>
  <c r="Z72" i="3"/>
  <c r="Z7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Leonardo Linhares</author>
  </authors>
  <commentList>
    <comment ref="D2" authorId="0" shapeId="0" xr:uid="{00000000-0006-0000-0000-000001000000}">
      <text>
        <r>
          <rPr>
            <b/>
            <sz val="8"/>
            <color indexed="81"/>
            <rFont val="Tahoma"/>
            <family val="2"/>
          </rPr>
          <t xml:space="preserve">Colocar sempre a proj como o final do primeiro ano fiscal e depois trazer a cot aos valores de hoje; </t>
        </r>
        <r>
          <rPr>
            <sz val="8"/>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marcelamorais</author>
    <author>Bruna Silveira</author>
    <author>bruna.silveira</author>
    <author>NICOLAS</author>
    <author>usuario</author>
    <author>camil</author>
    <author>Camila Rivilli</author>
    <author>Marcela Morais</author>
    <author>brunasilveira</author>
  </authors>
  <commentList>
    <comment ref="W1" authorId="0" shapeId="0" xr:uid="{00000000-0006-0000-0300-000001000000}">
      <text>
        <r>
          <rPr>
            <b/>
            <sz val="8"/>
            <color indexed="81"/>
            <rFont val="Tahoma"/>
            <family val="2"/>
          </rPr>
          <t>marcelamorais:</t>
        </r>
        <r>
          <rPr>
            <sz val="8"/>
            <color indexed="81"/>
            <rFont val="Tahoma"/>
            <family val="2"/>
          </rPr>
          <t xml:space="preserve">
coloquei em IFRS a partir daqui</t>
        </r>
      </text>
    </comment>
    <comment ref="AE38" authorId="0" shapeId="0" xr:uid="{00000000-0006-0000-0300-000002000000}">
      <text>
        <r>
          <rPr>
            <b/>
            <sz val="8"/>
            <color indexed="81"/>
            <rFont val="Tahoma"/>
            <family val="2"/>
          </rPr>
          <t>marcelamorais:</t>
        </r>
        <r>
          <rPr>
            <sz val="8"/>
            <color indexed="81"/>
            <rFont val="Tahoma"/>
            <family val="2"/>
          </rPr>
          <t xml:space="preserve">
i) Verba de propaganda e descontos com antecipação de pagamentos de fornecedores: Conforme CPC30/IAS18, a receita deve ser avaliada a valor justo levando em consideração o valor
correspondente a descontos comerciais ou por volume. A administração entende que os valores recebidos dos ornecedores devem ser deduzidos do custo dos estoques, pois estão diretamente relacionados com a compra das mercadorias.</t>
        </r>
      </text>
    </comment>
    <comment ref="AE39" authorId="0" shapeId="0" xr:uid="{00000000-0006-0000-0300-000003000000}">
      <text>
        <r>
          <rPr>
            <b/>
            <sz val="8"/>
            <color indexed="81"/>
            <rFont val="Tahoma"/>
            <family val="2"/>
          </rPr>
          <t>marcelamorais:</t>
        </r>
        <r>
          <rPr>
            <sz val="8"/>
            <color indexed="81"/>
            <rFont val="Tahoma"/>
            <family val="2"/>
          </rPr>
          <t xml:space="preserve">
pressão do algodão. Renner acha que perde no máx 50bps</t>
        </r>
      </text>
    </comment>
    <comment ref="AE42" authorId="0" shapeId="0" xr:uid="{00000000-0006-0000-0300-000004000000}">
      <text>
        <r>
          <rPr>
            <b/>
            <sz val="8"/>
            <color indexed="81"/>
            <rFont val="Tahoma"/>
            <family val="2"/>
          </rPr>
          <t>marcelamorais:</t>
        </r>
        <r>
          <rPr>
            <sz val="8"/>
            <color indexed="81"/>
            <rFont val="Tahoma"/>
            <family val="2"/>
          </rPr>
          <t xml:space="preserve">
pressão do algodão. Renner acha que perde no máx 50bps</t>
        </r>
      </text>
    </comment>
    <comment ref="AF42" authorId="0" shapeId="0" xr:uid="{00000000-0006-0000-0300-000005000000}">
      <text>
        <r>
          <rPr>
            <b/>
            <sz val="8"/>
            <color indexed="81"/>
            <rFont val="Tahoma"/>
            <family val="2"/>
          </rPr>
          <t>marcelamorais:</t>
        </r>
        <r>
          <rPr>
            <sz val="8"/>
            <color indexed="81"/>
            <rFont val="Tahoma"/>
            <family val="2"/>
          </rPr>
          <t xml:space="preserve">
pressão do algodão. Renner acha que perde no máx 50bps</t>
        </r>
      </text>
    </comment>
    <comment ref="AH42" authorId="1" shapeId="0" xr:uid="{00000000-0006-0000-0300-000006000000}">
      <text>
        <r>
          <rPr>
            <b/>
            <sz val="8"/>
            <color indexed="81"/>
            <rFont val="Tahoma"/>
            <family val="2"/>
          </rPr>
          <t>Bruna Silveira:</t>
        </r>
        <r>
          <rPr>
            <sz val="8"/>
            <color indexed="81"/>
            <rFont val="Tahoma"/>
            <family val="2"/>
          </rPr>
          <t xml:space="preserve">
Aumento da importação e base fraca por causa do algodão.</t>
        </r>
      </text>
    </comment>
    <comment ref="AN42" authorId="2" shapeId="0" xr:uid="{00000000-0006-0000-0300-000007000000}">
      <text>
        <r>
          <rPr>
            <b/>
            <sz val="9"/>
            <color indexed="81"/>
            <rFont val="Tahoma"/>
            <family val="2"/>
          </rPr>
          <t>bruna.silveira:</t>
        </r>
        <r>
          <rPr>
            <sz val="9"/>
            <color indexed="81"/>
            <rFont val="Tahoma"/>
            <family val="2"/>
          </rPr>
          <t xml:space="preserve">
80bps de impacto de desoneração da folha.</t>
        </r>
      </text>
    </comment>
    <comment ref="AP42" authorId="2" shapeId="0" xr:uid="{00000000-0006-0000-0300-000008000000}">
      <text>
        <r>
          <rPr>
            <b/>
            <sz val="9"/>
            <color indexed="81"/>
            <rFont val="Tahoma"/>
            <family val="2"/>
          </rPr>
          <t>bruna.silveira:</t>
        </r>
        <r>
          <rPr>
            <sz val="9"/>
            <color indexed="81"/>
            <rFont val="Tahoma"/>
            <family val="2"/>
          </rPr>
          <t xml:space="preserve">
mg bruta flat</t>
        </r>
      </text>
    </comment>
    <comment ref="BL42" authorId="3" shapeId="0" xr:uid="{00000000-0006-0000-0300-000009000000}">
      <text>
        <r>
          <rPr>
            <b/>
            <sz val="9"/>
            <color indexed="81"/>
            <rFont val="Tahoma"/>
            <family val="2"/>
          </rPr>
          <t>NICOLAS:</t>
        </r>
        <r>
          <rPr>
            <sz val="9"/>
            <color indexed="81"/>
            <rFont val="Tahoma"/>
            <family val="2"/>
          </rPr>
          <t xml:space="preserve">
greve em 2018</t>
        </r>
      </text>
    </comment>
    <comment ref="DD42" authorId="1" shapeId="0" xr:uid="{00000000-0006-0000-0300-00000A000000}">
      <text>
        <r>
          <rPr>
            <b/>
            <sz val="8"/>
            <color indexed="81"/>
            <rFont val="Tahoma"/>
            <family val="2"/>
          </rPr>
          <t>Bruna Silveira:</t>
        </r>
        <r>
          <rPr>
            <sz val="8"/>
            <color indexed="81"/>
            <rFont val="Tahoma"/>
            <family val="2"/>
          </rPr>
          <t xml:space="preserve">
Ganho de 60bps de mg bruta por causa do algodão maism barato, novo CD e + importação.</t>
        </r>
      </text>
    </comment>
    <comment ref="DF42" authorId="2" shapeId="0" xr:uid="{00000000-0006-0000-0300-00000B000000}">
      <text>
        <r>
          <rPr>
            <b/>
            <sz val="9"/>
            <color indexed="81"/>
            <rFont val="Tahoma"/>
            <family val="2"/>
          </rPr>
          <t>bruna.silveira:</t>
        </r>
        <r>
          <rPr>
            <sz val="9"/>
            <color indexed="81"/>
            <rFont val="Tahoma"/>
            <family val="2"/>
          </rPr>
          <t xml:space="preserve">
Acha que a mg bruta fica flat ou levemente acima mesmo com o dólar mais alto</t>
        </r>
      </text>
    </comment>
    <comment ref="DA50" authorId="0" shapeId="0" xr:uid="{00000000-0006-0000-0300-00000C000000}">
      <text>
        <r>
          <rPr>
            <b/>
            <sz val="8"/>
            <color indexed="81"/>
            <rFont val="Tahoma"/>
            <family val="2"/>
          </rPr>
          <t>marcelamorais:</t>
        </r>
        <r>
          <rPr>
            <sz val="8"/>
            <color indexed="81"/>
            <rFont val="Tahoma"/>
            <family val="2"/>
          </rPr>
          <t xml:space="preserve">
querem manter a mg de 2008</t>
        </r>
      </text>
    </comment>
    <comment ref="AB54" authorId="0" shapeId="0" xr:uid="{00000000-0006-0000-0300-00000D000000}">
      <text>
        <r>
          <rPr>
            <b/>
            <sz val="8"/>
            <color indexed="81"/>
            <rFont val="Tahoma"/>
            <family val="2"/>
          </rPr>
          <t>marcelamorais:</t>
        </r>
        <r>
          <rPr>
            <sz val="8"/>
            <color indexed="81"/>
            <rFont val="Tahoma"/>
            <family val="2"/>
          </rPr>
          <t xml:space="preserve">
este ano teve principalmente no 2ºtri ganho gde do importado (teve mais esse ano 15% em 2009 e 20% em 2010). Além disso a negociação com o fornecedor estrangeiro foi melhor além do dólar que ficou melhor tb este ano. </t>
        </r>
      </text>
    </comment>
    <comment ref="AC54" authorId="0" shapeId="0" xr:uid="{00000000-0006-0000-0300-00000E000000}">
      <text>
        <r>
          <rPr>
            <b/>
            <sz val="8"/>
            <color indexed="81"/>
            <rFont val="Tahoma"/>
            <family val="2"/>
          </rPr>
          <t>marcelamorais:</t>
        </r>
        <r>
          <rPr>
            <sz val="8"/>
            <color indexed="81"/>
            <rFont val="Tahoma"/>
            <family val="2"/>
          </rPr>
          <t xml:space="preserve">
na 2a quinzena de setembro entra maior parte dos importados no trimestre.
Não é um crescimento de 300-400bps porque no 2S09 eles já estavam com um estoque mais ajustado</t>
        </r>
      </text>
    </comment>
    <comment ref="DA54" authorId="0" shapeId="0" xr:uid="{00000000-0006-0000-0300-00000F000000}">
      <text>
        <r>
          <rPr>
            <b/>
            <sz val="8"/>
            <color indexed="81"/>
            <rFont val="Tahoma"/>
            <family val="2"/>
          </rPr>
          <t>marcelamorais:</t>
        </r>
        <r>
          <rPr>
            <sz val="8"/>
            <color indexed="81"/>
            <rFont val="Tahoma"/>
            <family val="2"/>
          </rPr>
          <t xml:space="preserve">
segundo RI: será a mesma de 2008</t>
        </r>
      </text>
    </comment>
    <comment ref="DB54" authorId="0" shapeId="0" xr:uid="{00000000-0006-0000-0300-000010000000}">
      <text>
        <r>
          <rPr>
            <b/>
            <sz val="8"/>
            <color indexed="81"/>
            <rFont val="Tahoma"/>
            <family val="2"/>
          </rPr>
          <t>marcelamorais:</t>
        </r>
        <r>
          <rPr>
            <sz val="8"/>
            <color indexed="81"/>
            <rFont val="Tahoma"/>
            <family val="2"/>
          </rPr>
          <t xml:space="preserve">
RI falou em 04/08 que vai ficar mto próximo de 50%</t>
        </r>
      </text>
    </comment>
    <comment ref="DF54" authorId="2" shapeId="0" xr:uid="{00000000-0006-0000-0300-000011000000}">
      <text>
        <r>
          <rPr>
            <b/>
            <sz val="9"/>
            <color indexed="81"/>
            <rFont val="Tahoma"/>
            <family val="2"/>
          </rPr>
          <t>bruna.silveira:</t>
        </r>
        <r>
          <rPr>
            <sz val="9"/>
            <color indexed="81"/>
            <rFont val="Tahoma"/>
            <family val="2"/>
          </rPr>
          <t xml:space="preserve">
Até aqui só tem o CD novo do RJ, ganho pequeno de mg.</t>
        </r>
      </text>
    </comment>
    <comment ref="AB58" authorId="0" shapeId="0" xr:uid="{00000000-0006-0000-0300-000012000000}">
      <text>
        <r>
          <rPr>
            <b/>
            <sz val="8"/>
            <color indexed="81"/>
            <rFont val="Tahoma"/>
            <family val="2"/>
          </rPr>
          <t>marcelamorais:</t>
        </r>
        <r>
          <rPr>
            <sz val="8"/>
            <color indexed="81"/>
            <rFont val="Tahoma"/>
            <family val="2"/>
          </rPr>
          <t xml:space="preserve">
este ano teve principalmente no 2ºtri ganho gde do importado (teve mais esse ano 15% em 2009 e 20% em 2010). Além disso a negociação com o fornecedor estrangeiro foi melhor além do dólar que ficou melhor tb este ano. </t>
        </r>
      </text>
    </comment>
    <comment ref="AC58" authorId="0" shapeId="0" xr:uid="{00000000-0006-0000-0300-000013000000}">
      <text>
        <r>
          <rPr>
            <b/>
            <sz val="8"/>
            <color indexed="81"/>
            <rFont val="Tahoma"/>
            <family val="2"/>
          </rPr>
          <t>marcelamorais:</t>
        </r>
        <r>
          <rPr>
            <sz val="8"/>
            <color indexed="81"/>
            <rFont val="Tahoma"/>
            <family val="2"/>
          </rPr>
          <t xml:space="preserve">
na 2a quinzena de setembro entra maior parte dos importados no trimestre.
Não é um crescimento de 300-400bps porque no 2S09 eles já estavam com um estoque mais ajustado</t>
        </r>
      </text>
    </comment>
    <comment ref="DA58" authorId="0" shapeId="0" xr:uid="{00000000-0006-0000-0300-000014000000}">
      <text>
        <r>
          <rPr>
            <b/>
            <sz val="8"/>
            <color indexed="81"/>
            <rFont val="Tahoma"/>
            <family val="2"/>
          </rPr>
          <t>marcelamorais:</t>
        </r>
        <r>
          <rPr>
            <sz val="8"/>
            <color indexed="81"/>
            <rFont val="Tahoma"/>
            <family val="2"/>
          </rPr>
          <t xml:space="preserve">
segundo RI: será a mesma de 2008</t>
        </r>
      </text>
    </comment>
    <comment ref="DB58" authorId="0" shapeId="0" xr:uid="{00000000-0006-0000-0300-000015000000}">
      <text>
        <r>
          <rPr>
            <b/>
            <sz val="8"/>
            <color indexed="81"/>
            <rFont val="Tahoma"/>
            <family val="2"/>
          </rPr>
          <t>marcelamorais:</t>
        </r>
        <r>
          <rPr>
            <sz val="8"/>
            <color indexed="81"/>
            <rFont val="Tahoma"/>
            <family val="2"/>
          </rPr>
          <t xml:space="preserve">
RI falou em 04/08 que vai ficar mto próximo de 50%</t>
        </r>
      </text>
    </comment>
    <comment ref="DF58" authorId="2" shapeId="0" xr:uid="{00000000-0006-0000-0300-000016000000}">
      <text>
        <r>
          <rPr>
            <b/>
            <sz val="9"/>
            <color indexed="81"/>
            <rFont val="Tahoma"/>
            <family val="2"/>
          </rPr>
          <t>bruna.silveira:</t>
        </r>
        <r>
          <rPr>
            <sz val="9"/>
            <color indexed="81"/>
            <rFont val="Tahoma"/>
            <family val="2"/>
          </rPr>
          <t xml:space="preserve">
Até aqui só tem o CD novo do RJ, ganho pequeno de mg.</t>
        </r>
      </text>
    </comment>
    <comment ref="AC74" authorId="0" shapeId="0" xr:uid="{00000000-0006-0000-0300-000017000000}">
      <text>
        <r>
          <rPr>
            <b/>
            <sz val="8"/>
            <color indexed="81"/>
            <rFont val="Tahoma"/>
            <family val="2"/>
          </rPr>
          <t>marcelamorais:</t>
        </r>
        <r>
          <rPr>
            <sz val="8"/>
            <color indexed="81"/>
            <rFont val="Tahoma"/>
            <family val="2"/>
          </rPr>
          <t xml:space="preserve">
falou que não vai ter diluição de despesas</t>
        </r>
      </text>
    </comment>
    <comment ref="Y76" authorId="0" shapeId="0" xr:uid="{00000000-0006-0000-0300-000018000000}">
      <text>
        <r>
          <rPr>
            <b/>
            <sz val="8"/>
            <color indexed="81"/>
            <rFont val="Tahoma"/>
            <family val="2"/>
          </rPr>
          <t>marcelamorais:</t>
        </r>
        <r>
          <rPr>
            <sz val="8"/>
            <color indexed="81"/>
            <rFont val="Tahoma"/>
            <family val="2"/>
          </rPr>
          <t xml:space="preserve">
tem aqui tb as despesas das lojas que eles abriram tb em outubro.</t>
        </r>
      </text>
    </comment>
    <comment ref="CJ82" authorId="4" shapeId="0" xr:uid="{B4D356C9-33B6-4E22-813D-01996E7A8CFE}">
      <text>
        <r>
          <rPr>
            <b/>
            <sz val="9"/>
            <color indexed="81"/>
            <rFont val="Tahoma"/>
            <family val="2"/>
          </rPr>
          <t>usuario:</t>
        </r>
        <r>
          <rPr>
            <sz val="9"/>
            <color indexed="81"/>
            <rFont val="Tahoma"/>
            <family val="2"/>
          </rPr>
          <t xml:space="preserve">
tivemos duas linhas fora da curva.
ILP de acoes restritas. Teve que ajustar provisoes
Provisao judicial.
Tirando isso tivesse crescido so 6%.
</t>
        </r>
      </text>
    </comment>
    <comment ref="DQ82" authorId="4" shapeId="0" xr:uid="{34E54F7E-7FB4-47D1-BC97-65F7E229BC7F}">
      <text>
        <r>
          <rPr>
            <b/>
            <sz val="9"/>
            <color indexed="81"/>
            <rFont val="Tahoma"/>
            <family val="2"/>
          </rPr>
          <t>usuario:</t>
        </r>
        <r>
          <rPr>
            <sz val="9"/>
            <color indexed="81"/>
            <rFont val="Tahoma"/>
            <family val="2"/>
          </rPr>
          <t xml:space="preserve">
no crece porque tenes 90mln del CD Craveuva que reducis</t>
        </r>
      </text>
    </comment>
    <comment ref="AQ87" authorId="2" shapeId="0" xr:uid="{00000000-0006-0000-0300-000019000000}">
      <text>
        <r>
          <rPr>
            <b/>
            <sz val="9"/>
            <color indexed="81"/>
            <rFont val="Tahoma"/>
            <family val="2"/>
          </rPr>
          <t>bruna.silveira:</t>
        </r>
        <r>
          <rPr>
            <sz val="9"/>
            <color indexed="81"/>
            <rFont val="Tahoma"/>
            <family val="2"/>
          </rPr>
          <t xml:space="preserve">
coloco ele mantendo parte dos ganhos de corte de custos que ele teve no 4T</t>
        </r>
      </text>
    </comment>
    <comment ref="A108" authorId="2" shapeId="0" xr:uid="{00000000-0006-0000-0300-00001E000000}">
      <text>
        <r>
          <rPr>
            <b/>
            <sz val="9"/>
            <color indexed="81"/>
            <rFont val="Tahoma"/>
            <family val="2"/>
          </rPr>
          <t>bruna.silveira:</t>
        </r>
        <r>
          <rPr>
            <sz val="9"/>
            <color indexed="81"/>
            <rFont val="Tahoma"/>
            <family val="2"/>
          </rPr>
          <t xml:space="preserve">
PPR</t>
        </r>
      </text>
    </comment>
    <comment ref="AC111" authorId="1" shapeId="0" xr:uid="{00000000-0006-0000-0300-00001F000000}">
      <text>
        <r>
          <rPr>
            <b/>
            <sz val="8"/>
            <color indexed="81"/>
            <rFont val="Tahoma"/>
            <family val="2"/>
          </rPr>
          <t>Bruna Silveira:</t>
        </r>
        <r>
          <rPr>
            <sz val="8"/>
            <color indexed="81"/>
            <rFont val="Tahoma"/>
            <family val="2"/>
          </rPr>
          <t xml:space="preserve">
6098 de recuperação de créditos fiscais de processos adm e judiciais.</t>
        </r>
      </text>
    </comment>
    <comment ref="AG111" authorId="1" shapeId="0" xr:uid="{00000000-0006-0000-0300-000020000000}">
      <text>
        <r>
          <rPr>
            <b/>
            <sz val="8"/>
            <color indexed="81"/>
            <rFont val="Tahoma"/>
            <family val="2"/>
          </rPr>
          <t>Bruna Silveira:</t>
        </r>
        <r>
          <rPr>
            <sz val="8"/>
            <color indexed="81"/>
            <rFont val="Tahoma"/>
            <family val="2"/>
          </rPr>
          <t xml:space="preserve">
Recuperação de créditos fiscais no valor de 4775.</t>
        </r>
      </text>
    </comment>
    <comment ref="AH111" authorId="1" shapeId="0" xr:uid="{00000000-0006-0000-0300-000021000000}">
      <text>
        <r>
          <rPr>
            <b/>
            <sz val="8"/>
            <color indexed="81"/>
            <rFont val="Tahoma"/>
            <family val="2"/>
          </rPr>
          <t>Bruna Silveira:</t>
        </r>
        <r>
          <rPr>
            <sz val="8"/>
            <color indexed="81"/>
            <rFont val="Tahoma"/>
            <family val="2"/>
          </rPr>
          <t xml:space="preserve">
6082 de recuperação de créditos fiscais.</t>
        </r>
      </text>
    </comment>
    <comment ref="AP111" authorId="2" shapeId="0" xr:uid="{00000000-0006-0000-0300-000022000000}">
      <text>
        <r>
          <rPr>
            <b/>
            <sz val="9"/>
            <color indexed="81"/>
            <rFont val="Tahoma"/>
            <family val="2"/>
          </rPr>
          <t>bruna.silveira:</t>
        </r>
        <r>
          <rPr>
            <sz val="9"/>
            <color indexed="81"/>
            <rFont val="Tahoma"/>
            <family val="2"/>
          </rPr>
          <t xml:space="preserve">
tem 20,7mn de reversão de provisão vs -13,4mn no 4T12</t>
        </r>
      </text>
    </comment>
    <comment ref="BP111" authorId="5" shapeId="0" xr:uid="{00000000-0006-0000-0300-000023000000}">
      <text>
        <r>
          <rPr>
            <b/>
            <sz val="9"/>
            <color indexed="81"/>
            <rFont val="Tahoma"/>
            <family val="2"/>
          </rPr>
          <t>camil:</t>
        </r>
        <r>
          <rPr>
            <sz val="9"/>
            <color indexed="81"/>
            <rFont val="Tahoma"/>
            <family val="2"/>
          </rPr>
          <t xml:space="preserve">
tax credit</t>
        </r>
      </text>
    </comment>
    <comment ref="BT111" authorId="5" shapeId="0" xr:uid="{00000000-0006-0000-0300-000024000000}">
      <text>
        <r>
          <rPr>
            <b/>
            <sz val="9"/>
            <color indexed="81"/>
            <rFont val="Tahoma"/>
            <family val="2"/>
          </rPr>
          <t>camil:</t>
        </r>
        <r>
          <rPr>
            <sz val="9"/>
            <color indexed="81"/>
            <rFont val="Tahoma"/>
            <family val="2"/>
          </rPr>
          <t xml:space="preserve">
Tax Credit x $59,000</t>
        </r>
      </text>
    </comment>
    <comment ref="BY111" authorId="5" shapeId="0" xr:uid="{3CE1E7EF-170F-4300-81F9-A4079BA93B56}">
      <text>
        <r>
          <rPr>
            <b/>
            <sz val="9"/>
            <color indexed="81"/>
            <rFont val="Tahoma"/>
            <family val="2"/>
          </rPr>
          <t>camil:</t>
        </r>
        <r>
          <rPr>
            <sz val="9"/>
            <color indexed="81"/>
            <rFont val="Tahoma"/>
            <family val="2"/>
          </rPr>
          <t xml:space="preserve">
Tax Credit x $43800</t>
        </r>
      </text>
    </comment>
    <comment ref="BZ111" authorId="6" shapeId="0" xr:uid="{971B7F8A-B03C-4F42-8A2A-307D157EC88C}">
      <text>
        <r>
          <rPr>
            <sz val="11"/>
            <color theme="1"/>
            <rFont val="Calibri"/>
            <family val="2"/>
            <scheme val="minor"/>
          </rPr>
          <t>Camila Rivilli:
tax credit</t>
        </r>
      </text>
    </comment>
    <comment ref="CA111" authorId="5" shapeId="0" xr:uid="{F6F1EB18-E24A-4515-8278-3FE74CB04ABA}">
      <text>
        <r>
          <rPr>
            <b/>
            <sz val="9"/>
            <color indexed="81"/>
            <rFont val="Tahoma"/>
            <family val="2"/>
          </rPr>
          <t>camil:</t>
        </r>
        <r>
          <rPr>
            <sz val="9"/>
            <color indexed="81"/>
            <rFont val="Tahoma"/>
            <family val="2"/>
          </rPr>
          <t xml:space="preserve">
tax credit</t>
        </r>
      </text>
    </comment>
    <comment ref="CC111" authorId="5" shapeId="0" xr:uid="{B302454C-08FC-4CA8-A1B6-B42E95889D35}">
      <text>
        <r>
          <rPr>
            <b/>
            <sz val="9"/>
            <color indexed="81"/>
            <rFont val="Tahoma"/>
            <family val="2"/>
          </rPr>
          <t>camil:</t>
        </r>
        <r>
          <rPr>
            <sz val="9"/>
            <color indexed="81"/>
            <rFont val="Tahoma"/>
            <family val="2"/>
          </rPr>
          <t xml:space="preserve">
tax recovery x 20mln</t>
        </r>
      </text>
    </comment>
    <comment ref="AB114" authorId="0" shapeId="0" xr:uid="{5442EEBA-3CCD-4865-A6B1-3F77E0FF929C}">
      <text>
        <r>
          <rPr>
            <b/>
            <sz val="8"/>
            <color indexed="81"/>
            <rFont val="Tahoma"/>
            <family val="2"/>
          </rPr>
          <t>marcelamorais:</t>
        </r>
        <r>
          <rPr>
            <sz val="8"/>
            <color indexed="81"/>
            <rFont val="Tahoma"/>
            <family val="2"/>
          </rPr>
          <t xml:space="preserve">
stock options</t>
        </r>
      </text>
    </comment>
    <comment ref="AH114" authorId="1" shapeId="0" xr:uid="{F153EB35-D394-4FE2-BD05-9752A76BD014}">
      <text>
        <r>
          <rPr>
            <b/>
            <sz val="8"/>
            <color indexed="81"/>
            <rFont val="Tahoma"/>
            <family val="2"/>
          </rPr>
          <t>Bruna Silveira:</t>
        </r>
        <r>
          <rPr>
            <sz val="8"/>
            <color indexed="81"/>
            <rFont val="Tahoma"/>
            <family val="2"/>
          </rPr>
          <t xml:space="preserve">
Foi mais baixo pq não atingiram as metas, fizeram reversão.</t>
        </r>
      </text>
    </comment>
    <comment ref="AS114" authorId="2" shapeId="0" xr:uid="{734D69A6-3884-4611-8506-684625B1A133}">
      <text>
        <r>
          <rPr>
            <b/>
            <sz val="9"/>
            <color indexed="81"/>
            <rFont val="Tahoma"/>
            <family val="2"/>
          </rPr>
          <t>bruna.silveira:</t>
        </r>
        <r>
          <rPr>
            <sz val="9"/>
            <color indexed="81"/>
            <rFont val="Tahoma"/>
            <family val="2"/>
          </rPr>
          <t xml:space="preserve">
vai ser 7mn</t>
        </r>
      </text>
    </comment>
    <comment ref="AT114" authorId="2" shapeId="0" xr:uid="{D14637FD-9B40-4E71-B337-7F0E45A932B8}">
      <text>
        <r>
          <rPr>
            <b/>
            <sz val="9"/>
            <color indexed="81"/>
            <rFont val="Tahoma"/>
            <family val="2"/>
          </rPr>
          <t>bruna.silveira:</t>
        </r>
        <r>
          <rPr>
            <sz val="9"/>
            <color indexed="81"/>
            <rFont val="Tahoma"/>
            <family val="2"/>
          </rPr>
          <t xml:space="preserve">
um pouco maior que o 3T</t>
        </r>
      </text>
    </comment>
    <comment ref="AB117" authorId="0" shapeId="0" xr:uid="{00000000-0006-0000-0300-00001A000000}">
      <text>
        <r>
          <rPr>
            <b/>
            <sz val="8"/>
            <color indexed="81"/>
            <rFont val="Tahoma"/>
            <family val="2"/>
          </rPr>
          <t>marcelamorais:</t>
        </r>
        <r>
          <rPr>
            <sz val="8"/>
            <color indexed="81"/>
            <rFont val="Tahoma"/>
            <family val="2"/>
          </rPr>
          <t xml:space="preserve">
stock options</t>
        </r>
      </text>
    </comment>
    <comment ref="AH117" authorId="1" shapeId="0" xr:uid="{00000000-0006-0000-0300-00001B000000}">
      <text>
        <r>
          <rPr>
            <b/>
            <sz val="8"/>
            <color indexed="81"/>
            <rFont val="Tahoma"/>
            <family val="2"/>
          </rPr>
          <t>Bruna Silveira:</t>
        </r>
        <r>
          <rPr>
            <sz val="8"/>
            <color indexed="81"/>
            <rFont val="Tahoma"/>
            <family val="2"/>
          </rPr>
          <t xml:space="preserve">
Foi mais baixo pq não atingiram as metas, fizeram reversão.</t>
        </r>
      </text>
    </comment>
    <comment ref="AS117" authorId="2" shapeId="0" xr:uid="{00000000-0006-0000-0300-00001C000000}">
      <text>
        <r>
          <rPr>
            <b/>
            <sz val="9"/>
            <color indexed="81"/>
            <rFont val="Tahoma"/>
            <family val="2"/>
          </rPr>
          <t>bruna.silveira:</t>
        </r>
        <r>
          <rPr>
            <sz val="9"/>
            <color indexed="81"/>
            <rFont val="Tahoma"/>
            <family val="2"/>
          </rPr>
          <t xml:space="preserve">
vai ser 7mn</t>
        </r>
      </text>
    </comment>
    <comment ref="AT117" authorId="2" shapeId="0" xr:uid="{00000000-0006-0000-0300-00001D000000}">
      <text>
        <r>
          <rPr>
            <b/>
            <sz val="9"/>
            <color indexed="81"/>
            <rFont val="Tahoma"/>
            <family val="2"/>
          </rPr>
          <t>bruna.silveira:</t>
        </r>
        <r>
          <rPr>
            <sz val="9"/>
            <color indexed="81"/>
            <rFont val="Tahoma"/>
            <family val="2"/>
          </rPr>
          <t xml:space="preserve">
um pouco maior que o 3T</t>
        </r>
      </text>
    </comment>
    <comment ref="AB120" authorId="0" shapeId="0" xr:uid="{A2B646BC-4470-4C2F-98BB-9AE2B1EC59FC}">
      <text>
        <r>
          <rPr>
            <b/>
            <sz val="8"/>
            <color indexed="81"/>
            <rFont val="Tahoma"/>
            <family val="2"/>
          </rPr>
          <t>marcelamorais:</t>
        </r>
        <r>
          <rPr>
            <sz val="8"/>
            <color indexed="81"/>
            <rFont val="Tahoma"/>
            <family val="2"/>
          </rPr>
          <t xml:space="preserve">
stock options</t>
        </r>
      </text>
    </comment>
    <comment ref="AH120" authorId="1" shapeId="0" xr:uid="{2EE2C6FB-BF7F-43B0-BE93-02A500C388DA}">
      <text>
        <r>
          <rPr>
            <b/>
            <sz val="8"/>
            <color indexed="81"/>
            <rFont val="Tahoma"/>
            <family val="2"/>
          </rPr>
          <t>Bruna Silveira:</t>
        </r>
        <r>
          <rPr>
            <sz val="8"/>
            <color indexed="81"/>
            <rFont val="Tahoma"/>
            <family val="2"/>
          </rPr>
          <t xml:space="preserve">
Foi mais baixo pq não atingiram as metas, fizeram reversão.</t>
        </r>
      </text>
    </comment>
    <comment ref="AS120" authorId="2" shapeId="0" xr:uid="{6D76D3F8-172D-4E44-803F-C16F8790AACA}">
      <text>
        <r>
          <rPr>
            <b/>
            <sz val="9"/>
            <color indexed="81"/>
            <rFont val="Tahoma"/>
            <family val="2"/>
          </rPr>
          <t>bruna.silveira:</t>
        </r>
        <r>
          <rPr>
            <sz val="9"/>
            <color indexed="81"/>
            <rFont val="Tahoma"/>
            <family val="2"/>
          </rPr>
          <t xml:space="preserve">
vai ser 7mn</t>
        </r>
      </text>
    </comment>
    <comment ref="AT120" authorId="2" shapeId="0" xr:uid="{CF530777-19FD-4861-8102-62F485DCF2F0}">
      <text>
        <r>
          <rPr>
            <b/>
            <sz val="9"/>
            <color indexed="81"/>
            <rFont val="Tahoma"/>
            <family val="2"/>
          </rPr>
          <t>bruna.silveira:</t>
        </r>
        <r>
          <rPr>
            <sz val="9"/>
            <color indexed="81"/>
            <rFont val="Tahoma"/>
            <family val="2"/>
          </rPr>
          <t xml:space="preserve">
um pouco maior que o 3T</t>
        </r>
      </text>
    </comment>
    <comment ref="BY148" authorId="5" shapeId="0" xr:uid="{A9B92842-459B-44AA-85FD-388CACE6BEC3}">
      <text>
        <r>
          <rPr>
            <b/>
            <sz val="9"/>
            <color indexed="81"/>
            <rFont val="Tahoma"/>
            <family val="2"/>
          </rPr>
          <t>camil:</t>
        </r>
        <r>
          <rPr>
            <sz val="9"/>
            <color indexed="81"/>
            <rFont val="Tahoma"/>
            <family val="2"/>
          </rPr>
          <t xml:space="preserve">
tax credit de $43800</t>
        </r>
      </text>
    </comment>
    <comment ref="Q149" authorId="0" shapeId="0" xr:uid="{00000000-0006-0000-0300-000025000000}">
      <text>
        <r>
          <rPr>
            <b/>
            <sz val="8"/>
            <color indexed="81"/>
            <rFont val="Tahoma"/>
            <family val="2"/>
          </rPr>
          <t>marcelamorais:</t>
        </r>
        <r>
          <rPr>
            <sz val="8"/>
            <color indexed="81"/>
            <rFont val="Tahoma"/>
            <family val="2"/>
          </rPr>
          <t xml:space="preserve">
aqui tiveram uma reversão não recorrente tributária de 9.4mn positiva</t>
        </r>
      </text>
    </comment>
    <comment ref="T149" authorId="0" shapeId="0" xr:uid="{00000000-0006-0000-0300-000026000000}">
      <text>
        <r>
          <rPr>
            <b/>
            <sz val="8"/>
            <color indexed="81"/>
            <rFont val="Tahoma"/>
            <family val="2"/>
          </rPr>
          <t>marcelamorais:</t>
        </r>
        <r>
          <rPr>
            <sz val="8"/>
            <color indexed="81"/>
            <rFont val="Tahoma"/>
            <family val="2"/>
          </rPr>
          <t xml:space="preserve">
deve ter uma mg ebitda como no ano passado por causa da const. Das lojas.</t>
        </r>
      </text>
    </comment>
    <comment ref="U149" authorId="0" shapeId="0" xr:uid="{00000000-0006-0000-0300-000027000000}">
      <text>
        <r>
          <rPr>
            <b/>
            <sz val="8"/>
            <color indexed="81"/>
            <rFont val="Tahoma"/>
            <family val="2"/>
          </rPr>
          <t>marcelamorais:</t>
        </r>
        <r>
          <rPr>
            <sz val="8"/>
            <color indexed="81"/>
            <rFont val="Tahoma"/>
            <family val="2"/>
          </rPr>
          <t xml:space="preserve">
essa margem já é a ajustada por não recorrentes...</t>
        </r>
      </text>
    </comment>
    <comment ref="Y149" authorId="0" shapeId="0" xr:uid="{00000000-0006-0000-0300-000028000000}">
      <text>
        <r>
          <rPr>
            <b/>
            <sz val="8"/>
            <color indexed="81"/>
            <rFont val="Tahoma"/>
            <family val="2"/>
          </rPr>
          <t>marcelamorais:</t>
        </r>
        <r>
          <rPr>
            <sz val="8"/>
            <color indexed="81"/>
            <rFont val="Tahoma"/>
            <family val="2"/>
          </rPr>
          <t xml:space="preserve">
mg +/- de 15% mesmo...segundo o RI deve ter tido alguma pressão nas despesas mesmo neste trim...</t>
        </r>
      </text>
    </comment>
    <comment ref="AM149" authorId="2" shapeId="0" xr:uid="{00000000-0006-0000-0300-000029000000}">
      <text>
        <r>
          <rPr>
            <b/>
            <sz val="9"/>
            <color indexed="81"/>
            <rFont val="Tahoma"/>
            <family val="2"/>
          </rPr>
          <t>bruna.silveira:</t>
        </r>
        <r>
          <rPr>
            <sz val="9"/>
            <color indexed="81"/>
            <rFont val="Tahoma"/>
            <family val="2"/>
          </rPr>
          <t xml:space="preserve">
mg deve ficar levemente pressionada.</t>
        </r>
      </text>
    </comment>
    <comment ref="AN149" authorId="2" shapeId="0" xr:uid="{00000000-0006-0000-0300-00002A000000}">
      <text>
        <r>
          <rPr>
            <b/>
            <sz val="9"/>
            <color indexed="81"/>
            <rFont val="Tahoma"/>
            <family val="2"/>
          </rPr>
          <t>bruna.silveira:</t>
        </r>
        <r>
          <rPr>
            <sz val="9"/>
            <color indexed="81"/>
            <rFont val="Tahoma"/>
            <family val="2"/>
          </rPr>
          <t xml:space="preserve">
Quase 100bps de queda</t>
        </r>
      </text>
    </comment>
    <comment ref="AO149" authorId="2" shapeId="0" xr:uid="{00000000-0006-0000-0300-00002B000000}">
      <text>
        <r>
          <rPr>
            <b/>
            <sz val="9"/>
            <color indexed="81"/>
            <rFont val="Tahoma"/>
            <family val="2"/>
          </rPr>
          <t>bruna.silveira:</t>
        </r>
        <r>
          <rPr>
            <sz val="9"/>
            <color indexed="81"/>
            <rFont val="Tahoma"/>
            <family val="2"/>
          </rPr>
          <t xml:space="preserve">
Mg deve ter uma leve queda</t>
        </r>
      </text>
    </comment>
    <comment ref="DE149" authorId="2" shapeId="0" xr:uid="{00000000-0006-0000-0300-00002C000000}">
      <text>
        <r>
          <rPr>
            <b/>
            <sz val="9"/>
            <color indexed="81"/>
            <rFont val="Tahoma"/>
            <family val="2"/>
          </rPr>
          <t>bruna.silveira:</t>
        </r>
        <r>
          <rPr>
            <sz val="9"/>
            <color indexed="81"/>
            <rFont val="Tahoma"/>
            <family val="2"/>
          </rPr>
          <t xml:space="preserve">
Mg fica flat</t>
        </r>
      </text>
    </comment>
    <comment ref="AR151" authorId="2" shapeId="0" xr:uid="{00000000-0006-0000-0300-00002D000000}">
      <text>
        <r>
          <rPr>
            <b/>
            <sz val="9"/>
            <color indexed="81"/>
            <rFont val="Tahoma"/>
            <family val="2"/>
          </rPr>
          <t>bruna.silveira:</t>
        </r>
        <r>
          <rPr>
            <sz val="9"/>
            <color indexed="81"/>
            <rFont val="Tahoma"/>
            <family val="2"/>
          </rPr>
          <t xml:space="preserve">
alguma leve expansão de mg</t>
        </r>
      </text>
    </comment>
    <comment ref="AH161" authorId="0" shapeId="0" xr:uid="{00000000-0006-0000-0300-00002E000000}">
      <text>
        <r>
          <rPr>
            <b/>
            <sz val="8"/>
            <color indexed="81"/>
            <rFont val="Tahoma"/>
            <family val="2"/>
          </rPr>
          <t>marcelamorais:</t>
        </r>
        <r>
          <rPr>
            <sz val="8"/>
            <color indexed="81"/>
            <rFont val="Tahoma"/>
            <family val="2"/>
          </rPr>
          <t xml:space="preserve">
mg ebitda melhor</t>
        </r>
      </text>
    </comment>
    <comment ref="AH168" authorId="0" shapeId="0" xr:uid="{CFF48928-94E5-425D-8099-493FCEB803E1}">
      <text>
        <r>
          <rPr>
            <b/>
            <sz val="8"/>
            <color indexed="81"/>
            <rFont val="Tahoma"/>
            <family val="2"/>
          </rPr>
          <t>marcelamorais:</t>
        </r>
        <r>
          <rPr>
            <sz val="8"/>
            <color indexed="81"/>
            <rFont val="Tahoma"/>
            <family val="2"/>
          </rPr>
          <t xml:space="preserve">
mg ebitda melhor</t>
        </r>
      </text>
    </comment>
    <comment ref="AH172" authorId="0" shapeId="0" xr:uid="{00000000-0006-0000-0300-000030000000}">
      <text>
        <r>
          <rPr>
            <b/>
            <sz val="8"/>
            <color indexed="81"/>
            <rFont val="Tahoma"/>
            <family val="2"/>
          </rPr>
          <t>marcelamorais:</t>
        </r>
        <r>
          <rPr>
            <sz val="8"/>
            <color indexed="81"/>
            <rFont val="Tahoma"/>
            <family val="2"/>
          </rPr>
          <t xml:space="preserve">
mg ebitda melhor</t>
        </r>
      </text>
    </comment>
    <comment ref="AH202" authorId="0" shapeId="0" xr:uid="{6FF8B123-A0F2-4D1A-8831-388F8FCC40E5}">
      <text>
        <r>
          <rPr>
            <b/>
            <sz val="8"/>
            <color indexed="81"/>
            <rFont val="Tahoma"/>
            <family val="2"/>
          </rPr>
          <t>marcelamorais:</t>
        </r>
        <r>
          <rPr>
            <sz val="8"/>
            <color indexed="81"/>
            <rFont val="Tahoma"/>
            <family val="2"/>
          </rPr>
          <t xml:space="preserve">
mg ebitda melhor</t>
        </r>
      </text>
    </comment>
    <comment ref="AH206" authorId="0" shapeId="0" xr:uid="{5A910E37-AEB2-4D0B-A862-DD9C9A516C47}">
      <text>
        <r>
          <rPr>
            <b/>
            <sz val="8"/>
            <color indexed="81"/>
            <rFont val="Tahoma"/>
            <family val="2"/>
          </rPr>
          <t>marcelamorais:</t>
        </r>
        <r>
          <rPr>
            <sz val="8"/>
            <color indexed="81"/>
            <rFont val="Tahoma"/>
            <family val="2"/>
          </rPr>
          <t xml:space="preserve">
mg ebitda melhor</t>
        </r>
      </text>
    </comment>
    <comment ref="AI214" authorId="1" shapeId="0" xr:uid="{46AE5873-BE44-4120-9330-23D7CBF495C9}">
      <text>
        <r>
          <rPr>
            <b/>
            <sz val="8"/>
            <color indexed="81"/>
            <rFont val="Tahoma"/>
            <family val="2"/>
          </rPr>
          <t>Bruna Silveira:</t>
        </r>
        <r>
          <rPr>
            <sz val="8"/>
            <color indexed="81"/>
            <rFont val="Tahoma"/>
            <family val="2"/>
          </rPr>
          <t xml:space="preserve">
EBITDA deve vir flat</t>
        </r>
      </text>
    </comment>
    <comment ref="BN223" authorId="3" shapeId="0" xr:uid="{00000000-0006-0000-0300-000035000000}">
      <text>
        <r>
          <rPr>
            <b/>
            <sz val="9"/>
            <color indexed="81"/>
            <rFont val="Tahoma"/>
            <family val="2"/>
          </rPr>
          <t>NICOLAS:</t>
        </r>
        <r>
          <rPr>
            <sz val="9"/>
            <color indexed="81"/>
            <rFont val="Tahoma"/>
            <family val="2"/>
          </rPr>
          <t xml:space="preserve">
9 Uruguay
4 Argentina.
8 ashua
367 bz</t>
        </r>
      </text>
    </comment>
    <comment ref="AL224" authorId="2" shapeId="0" xr:uid="{00000000-0006-0000-0300-000036000000}">
      <text>
        <r>
          <rPr>
            <b/>
            <sz val="9"/>
            <color indexed="81"/>
            <rFont val="Tahoma"/>
            <family val="2"/>
          </rPr>
          <t>bruna.silveira:</t>
        </r>
        <r>
          <rPr>
            <sz val="9"/>
            <color indexed="81"/>
            <rFont val="Tahoma"/>
            <family val="2"/>
          </rPr>
          <t xml:space="preserve">
Campinas - SP  Shop. Parque das Bandeiras  28 de nov.   2.470,4 m² 
Cuiabá - MT  Goiabeiras Shop.Center  29 de nov.  2.547,9 m² 
Rio de Janeiro - RJ  ParkShoppingCampoGrande  29 de nov.  3.029,9 m² 
São Bernardo / SP  São Bernardo Plaza Shopping 13 de novembro 2.360,9 m² 
São José - SC  Continent Park Shopping  27 de outubro 2.709,9 m² 
Recife - PE  Riomar Shopping  30 de outubro 3.949,7 m² 
Rio de Janeiro - RJ   Shopping Nova America  30 de outubro 3.294,9 m² 
Santo André - SP Grand Plaza Shopping 25 de outubro 3.322 m²
Jundiaí - SP JundiaíShopping 2.143 m²
Goiânia / GO  Portal Shopping  14 de novembro  Compacta  2.199,3 m² 
Curitiba / PR  Shopping Jardim das Américas 14 de novembro Compacta  1.696,7 m² </t>
        </r>
      </text>
    </comment>
    <comment ref="AN224" authorId="2" shapeId="0" xr:uid="{00000000-0006-0000-0300-000037000000}">
      <text>
        <r>
          <rPr>
            <b/>
            <sz val="9"/>
            <color indexed="81"/>
            <rFont val="Tahoma"/>
            <family val="2"/>
          </rPr>
          <t>bruna.silveira:</t>
        </r>
        <r>
          <rPr>
            <sz val="9"/>
            <color indexed="81"/>
            <rFont val="Tahoma"/>
            <family val="2"/>
          </rPr>
          <t xml:space="preserve">
Presidente Prudente - SP PRUDENSHOPPING 06 de junho 2.014,3 m²
Teresina - PI Teresina Shopping 06 de junho 3.111,7 m²
Renner Marabá – PA Shopping Center Pátio Marabá 07 de maio 2.530,0 m²
Renner São Paulo- SP Shopping Metrô Tucuruvi 18 de abril 1.907,6 m²
Renner Pouso Alegre - MG Serrasul Shopping 03 de maio 2.716,9 m²
Renner Londrina - PR Boulevard Londrina Shopping 03 de maio 2.612,3 m²</t>
        </r>
      </text>
    </comment>
    <comment ref="AO224" authorId="2" shapeId="0" xr:uid="{00000000-0006-0000-0300-000038000000}">
      <text>
        <r>
          <rPr>
            <b/>
            <sz val="9"/>
            <color indexed="81"/>
            <rFont val="Tahoma"/>
            <family val="2"/>
          </rPr>
          <t>bruna.silveira:</t>
        </r>
        <r>
          <rPr>
            <sz val="9"/>
            <color indexed="81"/>
            <rFont val="Tahoma"/>
            <family val="2"/>
          </rPr>
          <t xml:space="preserve">
Sorocaba - SP Shopping Cidade - Sorocaba 27 de setembro 3.027,9 m²
Manaus - AM Shopping Ponta Negra 08 de agosto 3.199,4 m²
Renner Campo Grande - MS Shopping Bosque dos Ipês 15 de Agosto 2.611,0 m²
Betim - Minas Gerais Metropolitan Shopping Betim 23 de julho 2.826,8 m²
Macapá - AP Amapá Garden Shopping 30 de julho 2.353,1 m²</t>
        </r>
      </text>
    </comment>
    <comment ref="AP224" authorId="2" shapeId="0" xr:uid="{00000000-0006-0000-0300-000039000000}">
      <text>
        <r>
          <rPr>
            <b/>
            <sz val="9"/>
            <color indexed="81"/>
            <rFont val="Tahoma"/>
            <family val="2"/>
          </rPr>
          <t>bruna.silveira:</t>
        </r>
        <r>
          <rPr>
            <sz val="9"/>
            <color indexed="81"/>
            <rFont val="Tahoma"/>
            <family val="2"/>
          </rPr>
          <t xml:space="preserve">
Renner Pelotas - RS Shopping Pelotas 03 de outubro 2.732,3 m²
Renner São Paulo - SP Tietê Plaza Shopping 18 de dezembro 2.552,1m²
Renner Pindamonhangaba - SP Patio Pinda Shopping 30 de novembro 1.913,9m²
Renner Rio de Janeiro - RJ Shopping Metropolitano Barra 05 de dezembro 3.435,6m²
Renner Sorocaba - SP Shopping Pátio Cianê 21 de novembro 3.159,4m²
Renner Gravataí - RS Shopping Gravataí 22 de novembro 1.854,4m²
Renner Maceió - AL Shopping Pátio Maceió 26 de novembro 1.870,3m²
Renner Contagem - MG Shopping Contagem 26 de novembro 1.871,0m²
Renner Fortaleza - CE Shopping Parangaba 26 de novembro 2.417,6m²
Renner Natal - RN Natal Shopping 27 de novembro 2.341,0m²
Renner São Bernardo do Campo - SP Golden Square Shopping 28 de novembro 1.689,0m²
Renner Rio de Janeiro - RJ Parque Shopping Sulcap 28 de novembro 1.999,0m²
Renner Maceió - AL Parque Shopping Maceió 07 de novembro 3.075,3m²
Renner Fortaleza - CE North Shopping Jóquei 12 de novembro 2.213,9m²
Renner Goiânia - GO Shopping Passeio das Águas 30 de outubro 2.951,0 m²
Renner São Luis - MA Rio Anil Shopping 31 de outubro 3.403,0 m²
Renner Taguatinga - DF Shopping JK 16 de novembro 1.974,3m²</t>
        </r>
      </text>
    </comment>
    <comment ref="DE224" authorId="2" shapeId="0" xr:uid="{00000000-0006-0000-0300-00003A000000}">
      <text>
        <r>
          <rPr>
            <b/>
            <sz val="9"/>
            <color indexed="81"/>
            <rFont val="Tahoma"/>
            <family val="2"/>
          </rPr>
          <t>bruna.silveira:</t>
        </r>
        <r>
          <rPr>
            <sz val="9"/>
            <color indexed="81"/>
            <rFont val="Tahoma"/>
            <family val="2"/>
          </rPr>
          <t xml:space="preserve">
Guidance de 29 lojas</t>
        </r>
      </text>
    </comment>
    <comment ref="AL236" authorId="2" shapeId="0" xr:uid="{00000000-0006-0000-0300-00003B000000}">
      <text>
        <r>
          <rPr>
            <b/>
            <sz val="9"/>
            <color indexed="81"/>
            <rFont val="Tahoma"/>
            <family val="2"/>
          </rPr>
          <t>bruna.silveira:</t>
        </r>
        <r>
          <rPr>
            <sz val="9"/>
            <color indexed="81"/>
            <rFont val="Tahoma"/>
            <family val="2"/>
          </rPr>
          <t xml:space="preserve">
 Blue Steel São Paulo - SP  Bourbon Shop. São Paulo  30 de nov.  -  188 m² </t>
        </r>
      </text>
    </comment>
    <comment ref="AN236" authorId="2" shapeId="0" xr:uid="{00000000-0006-0000-0300-00003C000000}">
      <text>
        <r>
          <rPr>
            <b/>
            <sz val="9"/>
            <color indexed="81"/>
            <rFont val="Tahoma"/>
            <family val="2"/>
          </rPr>
          <t>bruna.silveira:</t>
        </r>
        <r>
          <rPr>
            <sz val="9"/>
            <color indexed="81"/>
            <rFont val="Tahoma"/>
            <family val="2"/>
          </rPr>
          <t xml:space="preserve">
Barueri - SP SHOPPING TAMBORÉ 14 de junho 165,62 m²
Campinas - SP Shopping Center Iguatemi Campinas 21 de maio 184,8 m²
Blue Steel Porto Alegre - RS Bourbon Shopping Wallig 19 de abril 148,4 m²</t>
        </r>
      </text>
    </comment>
    <comment ref="AO236" authorId="2" shapeId="0" xr:uid="{00000000-0006-0000-0300-00003D000000}">
      <text>
        <r>
          <rPr>
            <b/>
            <sz val="9"/>
            <color indexed="81"/>
            <rFont val="Tahoma"/>
            <family val="2"/>
          </rPr>
          <t>bruna.silveira:</t>
        </r>
        <r>
          <rPr>
            <sz val="9"/>
            <color indexed="81"/>
            <rFont val="Tahoma"/>
            <family val="2"/>
          </rPr>
          <t xml:space="preserve">
YOUCOM São Paulo - SP Shopping Center Norte 29 de Agosto 171,0 m²
YOUCOM São Paulo - SP Shopping Ibirapuera 22 de Agosto 270,0 m²
</t>
        </r>
      </text>
    </comment>
    <comment ref="AP236" authorId="2" shapeId="0" xr:uid="{00000000-0006-0000-0300-00003E000000}">
      <text>
        <r>
          <rPr>
            <b/>
            <sz val="9"/>
            <color indexed="81"/>
            <rFont val="Tahoma"/>
            <family val="2"/>
          </rPr>
          <t>bruna.silveira:</t>
        </r>
        <r>
          <rPr>
            <sz val="9"/>
            <color indexed="81"/>
            <rFont val="Tahoma"/>
            <family val="2"/>
          </rPr>
          <t xml:space="preserve">
YouCom Votorantin - SP Shopping Center Iguatemi Esplanada 06 de dezembro 175,0m²
YouCom Contagem - MG Shopping Contagem 19 de novembro 162,6m²
YouCom Porto Alegre - RS Shopping Praia de Belas 25 de novembro 141,3m²
YOUCOM São José dos Campos - SP Shopping Center Vale 17 de outubro 188,5 m²
YouCom São Bernardo do Campo - SP Golden Square Shopping 14 de novembro 115,1m²</t>
        </r>
      </text>
    </comment>
    <comment ref="DE236" authorId="2" shapeId="0" xr:uid="{00000000-0006-0000-0300-00003F000000}">
      <text>
        <r>
          <rPr>
            <b/>
            <sz val="9"/>
            <color indexed="81"/>
            <rFont val="Tahoma"/>
            <family val="2"/>
          </rPr>
          <t>bruna.silveira:</t>
        </r>
        <r>
          <rPr>
            <sz val="9"/>
            <color indexed="81"/>
            <rFont val="Tahoma"/>
            <family val="2"/>
          </rPr>
          <t xml:space="preserve">
Guidance de 12 lojas</t>
        </r>
      </text>
    </comment>
    <comment ref="AM246" authorId="2" shapeId="0" xr:uid="{00000000-0006-0000-0300-000040000000}">
      <text>
        <r>
          <rPr>
            <b/>
            <sz val="9"/>
            <color indexed="81"/>
            <rFont val="Tahoma"/>
            <family val="2"/>
          </rPr>
          <t>bruna.silveira:</t>
        </r>
        <r>
          <rPr>
            <sz val="9"/>
            <color indexed="81"/>
            <rFont val="Tahoma"/>
            <family val="2"/>
          </rPr>
          <t xml:space="preserve">
Camicado Santos- SP Praiamar Shopping Center 10 de janeiro 446,6 m²</t>
        </r>
      </text>
    </comment>
    <comment ref="AP246" authorId="2" shapeId="0" xr:uid="{00000000-0006-0000-0300-000041000000}">
      <text>
        <r>
          <rPr>
            <b/>
            <sz val="9"/>
            <color indexed="81"/>
            <rFont val="Tahoma"/>
            <family val="2"/>
          </rPr>
          <t>bruna.silveira:</t>
        </r>
        <r>
          <rPr>
            <sz val="9"/>
            <color indexed="81"/>
            <rFont val="Tahoma"/>
            <family val="2"/>
          </rPr>
          <t xml:space="preserve">
Camicado Ribeirão Preto - SP RibeirãoShopping 04 de dezembro 370,0m²
Camicado Curitiba - PR Palladium Shopping Center 10 de dezembro 374,0m²
Camicado Votorantin – SP Iguatemi Esplanada 14 de novembro 508,0m²
Camicado São Bernardo do Campo - SP Golden Square Shopping Center 22 de outubro 580,0m²</t>
        </r>
      </text>
    </comment>
    <comment ref="DE246" authorId="2" shapeId="0" xr:uid="{00000000-0006-0000-0300-000042000000}">
      <text>
        <r>
          <rPr>
            <b/>
            <sz val="9"/>
            <color indexed="81"/>
            <rFont val="Tahoma"/>
            <family val="2"/>
          </rPr>
          <t>bruna.silveira:</t>
        </r>
        <r>
          <rPr>
            <sz val="9"/>
            <color indexed="81"/>
            <rFont val="Tahoma"/>
            <family val="2"/>
          </rPr>
          <t xml:space="preserve">
Guidance de 6 lojas</t>
        </r>
      </text>
    </comment>
    <comment ref="AS249" authorId="2" shapeId="0" xr:uid="{00000000-0006-0000-0300-000043000000}">
      <text>
        <r>
          <rPr>
            <b/>
            <sz val="9"/>
            <color indexed="81"/>
            <rFont val="Tahoma"/>
            <family val="2"/>
          </rPr>
          <t>bruna.silveira:</t>
        </r>
        <r>
          <rPr>
            <sz val="9"/>
            <color indexed="81"/>
            <rFont val="Tahoma"/>
            <family val="2"/>
          </rPr>
          <t xml:space="preserve">
aqui eles trocaram o sistema de reposição de estoques das lojas, perderam entre 15%-20% das vendas</t>
        </r>
      </text>
    </comment>
    <comment ref="S263" authorId="0" shapeId="0" xr:uid="{00000000-0006-0000-0300-000044000000}">
      <text>
        <r>
          <rPr>
            <b/>
            <sz val="8"/>
            <color indexed="81"/>
            <rFont val="Tahoma"/>
            <family val="2"/>
          </rPr>
          <t>marcelamorais:</t>
        </r>
        <r>
          <rPr>
            <sz val="8"/>
            <color indexed="81"/>
            <rFont val="Tahoma"/>
            <family val="2"/>
          </rPr>
          <t xml:space="preserve">
já inaugurou no shopping bourbon em SP uma loja de 2663m2, vai inaugurar mais 5 no 1S08:uma em Juiz de Fora – MG, Maringá – PR, Taboão da Serra – SP, Curitiba – PR, São João do Meriti - RJ</t>
        </r>
      </text>
    </comment>
    <comment ref="T263" authorId="0" shapeId="0" xr:uid="{00000000-0006-0000-0300-000045000000}">
      <text>
        <r>
          <rPr>
            <b/>
            <sz val="8"/>
            <color indexed="81"/>
            <rFont val="Tahoma"/>
            <family val="2"/>
          </rPr>
          <t>marcelamorais:</t>
        </r>
        <r>
          <rPr>
            <sz val="8"/>
            <color indexed="81"/>
            <rFont val="Tahoma"/>
            <family val="2"/>
          </rPr>
          <t xml:space="preserve">
Já inaugurou uma em Juiz de Fora (MG), uma em Taboão da Serra (MG), uma em Maringá (PR), uma em sj de Miriti (RJ - 3071m2), uma em Curitiba (SC - 2958m2)</t>
        </r>
      </text>
    </comment>
    <comment ref="U263" authorId="0" shapeId="0" xr:uid="{00000000-0006-0000-0300-000046000000}">
      <text>
        <r>
          <rPr>
            <b/>
            <sz val="8"/>
            <color indexed="81"/>
            <rFont val="Tahoma"/>
            <family val="2"/>
          </rPr>
          <t>marcelamorais:</t>
        </r>
        <r>
          <rPr>
            <sz val="8"/>
            <color indexed="81"/>
            <rFont val="Tahoma"/>
            <family val="2"/>
          </rPr>
          <t xml:space="preserve">
já inaugurou 1 em taubaté SP com 2977m2, 1 em São José dos Pinhais – PR com 2216m2</t>
        </r>
      </text>
    </comment>
    <comment ref="V263" authorId="0" shapeId="0" xr:uid="{00000000-0006-0000-0300-000047000000}">
      <text>
        <r>
          <rPr>
            <b/>
            <sz val="8"/>
            <color indexed="81"/>
            <rFont val="Tahoma"/>
            <family val="2"/>
          </rPr>
          <t>marcelamorais:</t>
        </r>
        <r>
          <rPr>
            <sz val="8"/>
            <color indexed="81"/>
            <rFont val="Tahoma"/>
            <family val="2"/>
          </rPr>
          <t xml:space="preserve">
 </t>
        </r>
        <r>
          <rPr>
            <b/>
            <sz val="8"/>
            <color indexed="81"/>
            <rFont val="Tahoma"/>
            <family val="2"/>
          </rPr>
          <t xml:space="preserve">GO </t>
        </r>
        <r>
          <rPr>
            <sz val="8"/>
            <color indexed="81"/>
            <rFont val="Tahoma"/>
            <family val="2"/>
          </rPr>
          <t xml:space="preserve"> no Buriti Shopping, e tem área total de </t>
        </r>
        <r>
          <rPr>
            <b/>
            <sz val="8"/>
            <color indexed="81"/>
            <rFont val="Tahoma"/>
            <family val="2"/>
          </rPr>
          <t>3.074,7</t>
        </r>
        <r>
          <rPr>
            <sz val="8"/>
            <color indexed="81"/>
            <rFont val="Tahoma"/>
            <family val="2"/>
          </rPr>
          <t xml:space="preserve"> 
 </t>
        </r>
        <r>
          <rPr>
            <b/>
            <sz val="8"/>
            <color indexed="81"/>
            <rFont val="Tahoma"/>
            <family val="2"/>
          </rPr>
          <t>SP</t>
        </r>
        <r>
          <rPr>
            <sz val="8"/>
            <color indexed="81"/>
            <rFont val="Tahoma"/>
            <family val="2"/>
          </rPr>
          <t>, no Campinas Shopping Center, e tem área total de</t>
        </r>
        <r>
          <rPr>
            <b/>
            <sz val="8"/>
            <color indexed="81"/>
            <rFont val="Tahoma"/>
            <family val="2"/>
          </rPr>
          <t xml:space="preserve"> 2.842,9</t>
        </r>
        <r>
          <rPr>
            <sz val="8"/>
            <color indexed="81"/>
            <rFont val="Tahoma"/>
            <family val="2"/>
          </rPr>
          <t xml:space="preserve"> 
 </t>
        </r>
        <r>
          <rPr>
            <b/>
            <sz val="8"/>
            <color indexed="81"/>
            <rFont val="Tahoma"/>
            <family val="2"/>
          </rPr>
          <t>RO</t>
        </r>
        <r>
          <rPr>
            <sz val="8"/>
            <color indexed="81"/>
            <rFont val="Tahoma"/>
            <family val="2"/>
          </rPr>
          <t xml:space="preserve">, no Porto Velho Shopping, e tem área total de </t>
        </r>
        <r>
          <rPr>
            <b/>
            <sz val="8"/>
            <color indexed="81"/>
            <rFont val="Tahoma"/>
            <family val="2"/>
          </rPr>
          <t>3.098
 RJ</t>
        </r>
        <r>
          <rPr>
            <sz val="8"/>
            <color indexed="81"/>
            <rFont val="Tahoma"/>
            <family val="2"/>
          </rPr>
          <t xml:space="preserve">, no Caxias Shopping, e tem área total de </t>
        </r>
        <r>
          <rPr>
            <b/>
            <sz val="8"/>
            <color indexed="81"/>
            <rFont val="Tahoma"/>
            <family val="2"/>
          </rPr>
          <t>2.875</t>
        </r>
        <r>
          <rPr>
            <sz val="8"/>
            <color indexed="81"/>
            <rFont val="Tahoma"/>
            <family val="2"/>
          </rPr>
          <t xml:space="preserve"> metros 
 </t>
        </r>
        <r>
          <rPr>
            <b/>
            <sz val="8"/>
            <color indexed="81"/>
            <rFont val="Tahoma"/>
            <family val="2"/>
          </rPr>
          <t>RS</t>
        </r>
        <r>
          <rPr>
            <sz val="8"/>
            <color indexed="81"/>
            <rFont val="Tahoma"/>
            <family val="2"/>
          </rPr>
          <t xml:space="preserve"> no Barra Shopping Sul, e tem área total de </t>
        </r>
        <r>
          <rPr>
            <b/>
            <sz val="8"/>
            <color indexed="81"/>
            <rFont val="Tahoma"/>
            <family val="2"/>
          </rPr>
          <t>5.060,0</t>
        </r>
        <r>
          <rPr>
            <sz val="8"/>
            <color indexed="81"/>
            <rFont val="Tahoma"/>
            <family val="2"/>
          </rPr>
          <t xml:space="preserve"> metros  
 </t>
        </r>
        <r>
          <rPr>
            <b/>
            <sz val="8"/>
            <color indexed="81"/>
            <rFont val="Tahoma"/>
            <family val="2"/>
          </rPr>
          <t xml:space="preserve">GO </t>
        </r>
        <r>
          <rPr>
            <sz val="8"/>
            <color indexed="81"/>
            <rFont val="Tahoma"/>
            <family val="2"/>
          </rPr>
          <t xml:space="preserve">no Brasil Park Shopping, e tem área total de </t>
        </r>
        <r>
          <rPr>
            <b/>
            <sz val="8"/>
            <color indexed="81"/>
            <rFont val="Tahoma"/>
            <family val="2"/>
          </rPr>
          <t>3.051</t>
        </r>
        <r>
          <rPr>
            <sz val="8"/>
            <color indexed="81"/>
            <rFont val="Tahoma"/>
            <family val="2"/>
          </rPr>
          <t xml:space="preserve"> metros 
 </t>
        </r>
        <r>
          <rPr>
            <b/>
            <sz val="8"/>
            <color indexed="81"/>
            <rFont val="Tahoma"/>
            <family val="2"/>
          </rPr>
          <t>ES</t>
        </r>
        <r>
          <rPr>
            <sz val="8"/>
            <color indexed="81"/>
            <rFont val="Tahoma"/>
            <family val="2"/>
          </rPr>
          <t xml:space="preserve"> no Shopping Praia da Costa e tem área total de</t>
        </r>
        <r>
          <rPr>
            <b/>
            <sz val="8"/>
            <color indexed="81"/>
            <rFont val="Tahoma"/>
            <family val="2"/>
          </rPr>
          <t xml:space="preserve"> 2.745</t>
        </r>
        <r>
          <rPr>
            <sz val="8"/>
            <color indexed="81"/>
            <rFont val="Tahoma"/>
            <family val="2"/>
          </rPr>
          <t xml:space="preserve"> metros quadrados.</t>
        </r>
      </text>
    </comment>
    <comment ref="X263" authorId="0" shapeId="0" xr:uid="{00000000-0006-0000-0300-000048000000}">
      <text>
        <r>
          <rPr>
            <b/>
            <sz val="8"/>
            <color indexed="81"/>
            <rFont val="Tahoma"/>
            <family val="2"/>
          </rPr>
          <t>marcelamorais:</t>
        </r>
        <r>
          <rPr>
            <sz val="8"/>
            <color indexed="81"/>
            <rFont val="Tahoma"/>
            <family val="2"/>
          </rPr>
          <t xml:space="preserve">
já abriu 1 lj de 3635m2 em Manaus, outra 3.404 m2 em Natal, outra 2.872m2 em SP, uma em goiânia - GO no c 2.461 m2, outra Brasília - DF  2.338 m2
</t>
        </r>
      </text>
    </comment>
    <comment ref="Y263" authorId="0" shapeId="0" xr:uid="{00000000-0006-0000-0300-000049000000}">
      <text>
        <r>
          <rPr>
            <b/>
            <sz val="8"/>
            <color indexed="81"/>
            <rFont val="Tahoma"/>
            <family val="2"/>
          </rPr>
          <t>marcelamorais:</t>
        </r>
        <r>
          <rPr>
            <sz val="8"/>
            <color indexed="81"/>
            <rFont val="Tahoma"/>
            <family val="2"/>
          </rPr>
          <t xml:space="preserve">
1 loja Passo Fundo - RS de 3.027m2
</t>
        </r>
      </text>
    </comment>
    <comment ref="Z263" authorId="0" shapeId="0" xr:uid="{00000000-0006-0000-0300-00004A000000}">
      <text>
        <r>
          <rPr>
            <b/>
            <sz val="8"/>
            <color indexed="81"/>
            <rFont val="Tahoma"/>
            <family val="2"/>
          </rPr>
          <t>marcelamorais:</t>
        </r>
        <r>
          <rPr>
            <sz val="8"/>
            <color indexed="81"/>
            <rFont val="Tahoma"/>
            <family val="2"/>
          </rPr>
          <t xml:space="preserve">
1 loja Suzano - SP de 2.852m2
1 loja Osasco - SP de 3.310m2
1 loja Belém - PA de 2.681 m2
1 loja Porto Alegre - RS de 2228m2</t>
        </r>
      </text>
    </comment>
    <comment ref="AA263" authorId="0" shapeId="0" xr:uid="{00000000-0006-0000-0300-00004B000000}">
      <text>
        <r>
          <rPr>
            <b/>
            <sz val="8"/>
            <color indexed="81"/>
            <rFont val="Tahoma"/>
            <family val="2"/>
          </rPr>
          <t>marcelamorais:</t>
        </r>
        <r>
          <rPr>
            <sz val="8"/>
            <color indexed="81"/>
            <rFont val="Tahoma"/>
            <family val="2"/>
          </rPr>
          <t xml:space="preserve">
1 loja em Maceió - AL de 3.765m2
</t>
        </r>
      </text>
    </comment>
    <comment ref="AB263" authorId="0" shapeId="0" xr:uid="{00000000-0006-0000-0300-00004C000000}">
      <text>
        <r>
          <rPr>
            <b/>
            <sz val="8"/>
            <color indexed="81"/>
            <rFont val="Tahoma"/>
            <family val="2"/>
          </rPr>
          <t>marcelamorais:</t>
        </r>
        <r>
          <rPr>
            <sz val="8"/>
            <color indexed="81"/>
            <rFont val="Tahoma"/>
            <family val="2"/>
          </rPr>
          <t xml:space="preserve">
1 loja Joinville – SC, no Joinville Garten Shopping 3.096 m2
1 loja em São Paulo - SP, na Avenida Paulista 3.200 m2
1 loja em São Paulo - SP, no Shopping Raposo Tavares de 2.717 m2.
</t>
        </r>
      </text>
    </comment>
    <comment ref="AF263" authorId="0" shapeId="0" xr:uid="{00000000-0006-0000-0300-00004D000000}">
      <text>
        <r>
          <rPr>
            <b/>
            <sz val="8"/>
            <color indexed="81"/>
            <rFont val="Tahoma"/>
            <family val="2"/>
          </rPr>
          <t>marcelamorais: 9 no total</t>
        </r>
        <r>
          <rPr>
            <sz val="8"/>
            <color indexed="81"/>
            <rFont val="Tahoma"/>
            <family val="2"/>
          </rPr>
          <t xml:space="preserve">
Barueri - SP Shopping Tamboré </t>
        </r>
        <r>
          <rPr>
            <b/>
            <sz val="8"/>
            <color indexed="81"/>
            <rFont val="Tahoma"/>
            <family val="2"/>
          </rPr>
          <t>Tradicional</t>
        </r>
        <r>
          <rPr>
            <sz val="8"/>
            <color indexed="81"/>
            <rFont val="Tahoma"/>
            <family val="2"/>
          </rPr>
          <t xml:space="preserve"> Abril 3100m2
Indaiatuba - SP Polo Shopping Indaiatuba </t>
        </r>
        <r>
          <rPr>
            <b/>
            <sz val="8"/>
            <color indexed="81"/>
            <rFont val="Tahoma"/>
            <family val="2"/>
          </rPr>
          <t>Compacta</t>
        </r>
        <r>
          <rPr>
            <sz val="8"/>
            <color indexed="81"/>
            <rFont val="Tahoma"/>
            <family val="2"/>
          </rPr>
          <t xml:space="preserve"> Abril 2300m2
Ribeirão Preto - SP Novo Shopping Center </t>
        </r>
        <r>
          <rPr>
            <b/>
            <sz val="8"/>
            <color indexed="81"/>
            <rFont val="Tahoma"/>
            <family val="2"/>
          </rPr>
          <t xml:space="preserve">Tradicional </t>
        </r>
        <r>
          <rPr>
            <sz val="8"/>
            <color indexed="81"/>
            <rFont val="Tahoma"/>
            <family val="2"/>
          </rPr>
          <t xml:space="preserve">Maio
Blumenau - SC Blumenau Norte Shopping </t>
        </r>
        <r>
          <rPr>
            <b/>
            <sz val="8"/>
            <color indexed="81"/>
            <rFont val="Tahoma"/>
            <family val="2"/>
          </rPr>
          <t>Compacta</t>
        </r>
        <r>
          <rPr>
            <sz val="8"/>
            <color indexed="81"/>
            <rFont val="Tahoma"/>
            <family val="2"/>
          </rPr>
          <t xml:space="preserve"> Maio
Campo Grande - MS Norte Sul </t>
        </r>
        <r>
          <rPr>
            <b/>
            <sz val="8"/>
            <color indexed="81"/>
            <rFont val="Tahoma"/>
            <family val="2"/>
          </rPr>
          <t xml:space="preserve">Tradicional </t>
        </r>
        <r>
          <rPr>
            <sz val="8"/>
            <color indexed="81"/>
            <rFont val="Tahoma"/>
            <family val="2"/>
          </rPr>
          <t xml:space="preserve">Maio
Aracaju - SE Shopping Riomar </t>
        </r>
        <r>
          <rPr>
            <b/>
            <sz val="8"/>
            <color indexed="81"/>
            <rFont val="Tahoma"/>
            <family val="2"/>
          </rPr>
          <t>Tradicional</t>
        </r>
        <r>
          <rPr>
            <sz val="8"/>
            <color indexed="81"/>
            <rFont val="Tahoma"/>
            <family val="2"/>
          </rPr>
          <t xml:space="preserve"> Maio
Brasília - DF Shopping Center Iguatemi Brasília</t>
        </r>
        <r>
          <rPr>
            <b/>
            <sz val="8"/>
            <color indexed="81"/>
            <rFont val="Tahoma"/>
            <family val="2"/>
          </rPr>
          <t xml:space="preserve"> Compacta</t>
        </r>
        <r>
          <rPr>
            <sz val="8"/>
            <color indexed="81"/>
            <rFont val="Tahoma"/>
            <family val="2"/>
          </rPr>
          <t xml:space="preserve"> Junho
Campos dos  Goytacazes - RJ Boulevard Shopping Campos </t>
        </r>
        <r>
          <rPr>
            <b/>
            <sz val="8"/>
            <color indexed="81"/>
            <rFont val="Tahoma"/>
            <family val="2"/>
          </rPr>
          <t>Tradicional</t>
        </r>
        <r>
          <rPr>
            <sz val="8"/>
            <color indexed="81"/>
            <rFont val="Tahoma"/>
            <family val="2"/>
          </rPr>
          <t xml:space="preserve"> Junho
Resende - RJ Shopping Center Patiomix Resende </t>
        </r>
        <r>
          <rPr>
            <b/>
            <sz val="8"/>
            <color indexed="81"/>
            <rFont val="Tahoma"/>
            <family val="2"/>
          </rPr>
          <t>Compacta</t>
        </r>
        <r>
          <rPr>
            <sz val="8"/>
            <color indexed="81"/>
            <rFont val="Tahoma"/>
            <family val="2"/>
          </rPr>
          <t xml:space="preserve"> Junho</t>
        </r>
      </text>
    </comment>
    <comment ref="AG263" authorId="0" shapeId="0" xr:uid="{00000000-0006-0000-0300-00004E000000}">
      <text>
        <r>
          <rPr>
            <b/>
            <sz val="8"/>
            <color indexed="81"/>
            <rFont val="Tahoma"/>
            <family val="2"/>
          </rPr>
          <t>marcelamorais:</t>
        </r>
        <r>
          <rPr>
            <sz val="8"/>
            <color indexed="81"/>
            <rFont val="Tahoma"/>
            <family val="2"/>
          </rPr>
          <t xml:space="preserve">
1 segunda loja Blue Steel, em Belo Horizonte –  228m2.
1 lj em Feira de Santana - BA,c 1.492m2
</t>
        </r>
      </text>
    </comment>
    <comment ref="AH263" authorId="0" shapeId="0" xr:uid="{00000000-0006-0000-0300-00004F000000}">
      <text>
        <r>
          <rPr>
            <b/>
            <sz val="8"/>
            <color indexed="81"/>
            <rFont val="Tahoma"/>
            <family val="2"/>
          </rPr>
          <t>marcelamorais:</t>
        </r>
        <r>
          <rPr>
            <sz val="8"/>
            <color indexed="81"/>
            <rFont val="Tahoma"/>
            <family val="2"/>
          </rPr>
          <t xml:space="preserve">
1em Uberaba - MG, 2.170 m2
1em Chapecó - SC. 2.660m2
1em Natal – RN 2.510m2
1em Erechim – RS 1.900 m2.
1em Porto Alegre- Shopping Bourbon Ipiranga-3aBlueSteel 287m2
1em Marília – SP 1.739m2
1em SP - Shopping Center Mooca Tradicional 2.333m2
1em Barueri-Parque Shopping Baruerí Tradicional 2.788m2
1em Ponta Grossa - Palladium Shopping Center Compacta
 2.592m2 
1em Recife - Shopping Boa Vista Tradicional 2.959m2 
1em Montes Claros - MG - Montes Claros Shopping Center
 Compacta  1.698m2
Vitória da Conquista - BA  Shopping Conquista Sul   Compacta  1.991 
1 em Serra - ES  Shopping Mestre Álvaro  Tradicional  2.582 
1 em Diadema - SP  Shopping Praça da Moça  Compacta  2.351 
1 em Jacareí - SP  Jacareí Shopping Center  Compacta  1.597 
1 em Foz do Iguaçú - PR  Cataratas JL Shopping  Compacta   1.931  
1 em Limeira - SP  Pátio Limeira Shopping  Compacta 1.968 
1 em São Luís - MA  Shopping da Ilha  Tradicional 3.546 
</t>
        </r>
      </text>
    </comment>
    <comment ref="V268" authorId="0" shapeId="0" xr:uid="{00000000-0006-0000-0300-000050000000}">
      <text>
        <r>
          <rPr>
            <b/>
            <sz val="8"/>
            <color indexed="81"/>
            <rFont val="Tahoma"/>
            <family val="2"/>
          </rPr>
          <t>marcelamorais:</t>
        </r>
        <r>
          <rPr>
            <sz val="8"/>
            <color indexed="81"/>
            <rFont val="Tahoma"/>
            <family val="2"/>
          </rPr>
          <t xml:space="preserve">
só leva em consideração a área de vendas...</t>
        </r>
      </text>
    </comment>
    <comment ref="DC268" authorId="0" shapeId="0" xr:uid="{00000000-0006-0000-0300-000051000000}">
      <text>
        <r>
          <rPr>
            <b/>
            <sz val="8"/>
            <color indexed="81"/>
            <rFont val="Tahoma"/>
            <family val="2"/>
          </rPr>
          <t>marcelamorais:</t>
        </r>
        <r>
          <rPr>
            <sz val="8"/>
            <color indexed="81"/>
            <rFont val="Tahoma"/>
            <family val="2"/>
          </rPr>
          <t xml:space="preserve">
MS 31/05: 326,7</t>
        </r>
      </text>
    </comment>
    <comment ref="DD268" authorId="0" shapeId="0" xr:uid="{00000000-0006-0000-0300-000052000000}">
      <text>
        <r>
          <rPr>
            <b/>
            <sz val="8"/>
            <color indexed="81"/>
            <rFont val="Tahoma"/>
            <family val="2"/>
          </rPr>
          <t>marcelamorais:</t>
        </r>
        <r>
          <rPr>
            <sz val="8"/>
            <color indexed="81"/>
            <rFont val="Tahoma"/>
            <family val="2"/>
          </rPr>
          <t xml:space="preserve">
MS 31/05: 372,3</t>
        </r>
      </text>
    </comment>
    <comment ref="CZ269" authorId="0" shapeId="0" xr:uid="{00000000-0006-0000-0300-000053000000}">
      <text>
        <r>
          <rPr>
            <b/>
            <sz val="8"/>
            <color indexed="81"/>
            <rFont val="Tahoma"/>
            <family val="2"/>
          </rPr>
          <t>marcelamorais:</t>
        </r>
        <r>
          <rPr>
            <sz val="8"/>
            <color indexed="81"/>
            <rFont val="Tahoma"/>
            <family val="2"/>
          </rPr>
          <t xml:space="preserve">
JPM:14%</t>
        </r>
      </text>
    </comment>
    <comment ref="DA269" authorId="0" shapeId="0" xr:uid="{00000000-0006-0000-0300-000054000000}">
      <text>
        <r>
          <rPr>
            <b/>
            <sz val="8"/>
            <color indexed="81"/>
            <rFont val="Tahoma"/>
            <family val="2"/>
          </rPr>
          <t>marcelamorais:</t>
        </r>
        <r>
          <rPr>
            <sz val="8"/>
            <color indexed="81"/>
            <rFont val="Tahoma"/>
            <family val="2"/>
          </rPr>
          <t xml:space="preserve">
JPM:11.5%</t>
        </r>
      </text>
    </comment>
    <comment ref="A300" authorId="2" shapeId="0" xr:uid="{00000000-0006-0000-0300-000055000000}">
      <text>
        <r>
          <rPr>
            <b/>
            <sz val="9"/>
            <color indexed="81"/>
            <rFont val="Tahoma"/>
            <family val="2"/>
          </rPr>
          <t>bruna.silveira:</t>
        </r>
        <r>
          <rPr>
            <sz val="9"/>
            <color indexed="81"/>
            <rFont val="Tahoma"/>
            <family val="2"/>
          </rPr>
          <t xml:space="preserve">
Empresa espera crescer 1%-2% acima de inflação</t>
        </r>
      </text>
    </comment>
    <comment ref="S300" authorId="0" shapeId="0" xr:uid="{00000000-0006-0000-0300-000056000000}">
      <text>
        <r>
          <rPr>
            <b/>
            <sz val="8"/>
            <color indexed="81"/>
            <rFont val="Tahoma"/>
            <family val="2"/>
          </rPr>
          <t>marcelamorais:</t>
        </r>
        <r>
          <rPr>
            <sz val="8"/>
            <color indexed="81"/>
            <rFont val="Tahoma"/>
            <family val="2"/>
          </rPr>
          <t xml:space="preserve">
consenso do mercado: +9% nominal</t>
        </r>
      </text>
    </comment>
    <comment ref="T300" authorId="0" shapeId="0" xr:uid="{00000000-0006-0000-0300-000057000000}">
      <text>
        <r>
          <rPr>
            <b/>
            <sz val="8"/>
            <color indexed="81"/>
            <rFont val="Tahoma"/>
            <family val="2"/>
          </rPr>
          <t>marcelamorais:</t>
        </r>
        <r>
          <rPr>
            <sz val="8"/>
            <color indexed="81"/>
            <rFont val="Tahoma"/>
            <family val="2"/>
          </rPr>
          <t xml:space="preserve">
JPM:8.1%
falei com a empresa e as vendas estão como estavam prevendo mas o SSS não virá forte como foi no 1º tri.</t>
        </r>
      </text>
    </comment>
    <comment ref="Y300" authorId="0" shapeId="0" xr:uid="{00000000-0006-0000-0300-000058000000}">
      <text>
        <r>
          <rPr>
            <b/>
            <sz val="8"/>
            <color indexed="81"/>
            <rFont val="Tahoma"/>
            <family val="2"/>
          </rPr>
          <t>marcelamorais:</t>
        </r>
        <r>
          <rPr>
            <sz val="8"/>
            <color indexed="81"/>
            <rFont val="Tahoma"/>
            <family val="2"/>
          </rPr>
          <t xml:space="preserve">
RI 01/10 vai ficar em linha com o 2T</t>
        </r>
      </text>
    </comment>
    <comment ref="AA300" authorId="0" shapeId="0" xr:uid="{00000000-0006-0000-0300-000059000000}">
      <text>
        <r>
          <rPr>
            <b/>
            <sz val="8"/>
            <color indexed="81"/>
            <rFont val="Tahoma"/>
            <family val="2"/>
          </rPr>
          <t>marcelamorais:</t>
        </r>
        <r>
          <rPr>
            <sz val="8"/>
            <color indexed="81"/>
            <rFont val="Tahoma"/>
            <family val="2"/>
          </rPr>
          <t xml:space="preserve">
falei em 17/03 e RI falou que está entre 12-15%
Citi: 12%
BTG: 15%
Itaú: 15%
JPM: 12.6%
Bradesco: 14%
MS: 15%</t>
        </r>
      </text>
    </comment>
    <comment ref="AC300" authorId="0" shapeId="0" xr:uid="{00000000-0006-0000-0300-00005A000000}">
      <text>
        <r>
          <rPr>
            <b/>
            <sz val="8"/>
            <color indexed="81"/>
            <rFont val="Tahoma"/>
            <family val="2"/>
          </rPr>
          <t>marcelamorais:</t>
        </r>
        <r>
          <rPr>
            <sz val="8"/>
            <color indexed="81"/>
            <rFont val="Tahoma"/>
            <family val="2"/>
          </rPr>
          <t xml:space="preserve">
julho veio mto bom
ago entrou primav/verão e tá tendo boa aceitação.</t>
        </r>
      </text>
    </comment>
    <comment ref="AI300" authorId="1" shapeId="0" xr:uid="{00000000-0006-0000-0300-00005B000000}">
      <text>
        <r>
          <rPr>
            <b/>
            <sz val="8"/>
            <color indexed="81"/>
            <rFont val="Tahoma"/>
            <family val="2"/>
          </rPr>
          <t>Bruna Silveira:</t>
        </r>
        <r>
          <rPr>
            <sz val="8"/>
            <color indexed="81"/>
            <rFont val="Tahoma"/>
            <family val="2"/>
          </rPr>
          <t xml:space="preserve">
Impacto de 1,5% negativo da reforma de 4 lojas.</t>
        </r>
      </text>
    </comment>
    <comment ref="AL300" authorId="1" shapeId="0" xr:uid="{00000000-0006-0000-0300-00005C000000}">
      <text>
        <r>
          <rPr>
            <b/>
            <sz val="8"/>
            <color indexed="81"/>
            <rFont val="Tahoma"/>
            <family val="2"/>
          </rPr>
          <t>Bruna Silveira:</t>
        </r>
        <r>
          <rPr>
            <sz val="8"/>
            <color indexed="81"/>
            <rFont val="Tahoma"/>
            <family val="2"/>
          </rPr>
          <t xml:space="preserve">
Vai ter efeito quase nulo de reforma de loja.</t>
        </r>
      </text>
    </comment>
    <comment ref="AN300" authorId="2" shapeId="0" xr:uid="{00000000-0006-0000-0300-00005D000000}">
      <text>
        <r>
          <rPr>
            <b/>
            <sz val="9"/>
            <color indexed="81"/>
            <rFont val="Tahoma"/>
            <family val="2"/>
          </rPr>
          <t>bruna.silveira:</t>
        </r>
        <r>
          <rPr>
            <sz val="9"/>
            <color indexed="81"/>
            <rFont val="Tahoma"/>
            <family val="2"/>
          </rPr>
          <t xml:space="preserve">
SSS entre 4%-5%
</t>
        </r>
      </text>
    </comment>
    <comment ref="CD300" authorId="7" shapeId="0" xr:uid="{FC82BC30-423B-460E-92B2-58642238C2B9}">
      <text>
        <r>
          <rPr>
            <b/>
            <sz val="9"/>
            <color indexed="81"/>
            <rFont val="Tahoma"/>
            <family val="2"/>
          </rPr>
          <t>Marcela Morais:</t>
        </r>
        <r>
          <rPr>
            <sz val="9"/>
            <color indexed="81"/>
            <rFont val="Tahoma"/>
            <family val="2"/>
          </rPr>
          <t xml:space="preserve">
Brasil foi 8.3%</t>
        </r>
      </text>
    </comment>
    <comment ref="CE300" authorId="7" shapeId="0" xr:uid="{F0FE1AB2-500C-4647-8220-E27C63CF3392}">
      <text>
        <r>
          <rPr>
            <b/>
            <sz val="9"/>
            <color indexed="81"/>
            <rFont val="Tahoma"/>
            <family val="2"/>
          </rPr>
          <t>Marcela Morais:</t>
        </r>
        <r>
          <rPr>
            <sz val="9"/>
            <color indexed="81"/>
            <rFont val="Tahoma"/>
            <family val="2"/>
          </rPr>
          <t xml:space="preserve">
03/04: Argentina atrapalha mas Mauricio nao soube dizer qual é ("deve tirar um pouquinho ainda") e o SSS total não será "menos do que os 6,35% do 4T23"</t>
        </r>
      </text>
    </comment>
    <comment ref="DA300" authorId="0" shapeId="0" xr:uid="{00000000-0006-0000-0300-00005E000000}">
      <text>
        <r>
          <rPr>
            <b/>
            <sz val="8"/>
            <color indexed="81"/>
            <rFont val="Tahoma"/>
            <family val="2"/>
          </rPr>
          <t>marcelamorais:</t>
        </r>
        <r>
          <rPr>
            <sz val="8"/>
            <color indexed="81"/>
            <rFont val="Tahoma"/>
            <family val="2"/>
          </rPr>
          <t xml:space="preserve">
Citi:3.8%
Itaú: -1%</t>
        </r>
      </text>
    </comment>
    <comment ref="DB300" authorId="0" shapeId="0" xr:uid="{00000000-0006-0000-0300-00005F000000}">
      <text>
        <r>
          <rPr>
            <b/>
            <sz val="8"/>
            <color indexed="81"/>
            <rFont val="Tahoma"/>
            <family val="2"/>
          </rPr>
          <t>marcelamorais:</t>
        </r>
        <r>
          <rPr>
            <sz val="8"/>
            <color indexed="81"/>
            <rFont val="Tahoma"/>
            <family val="2"/>
          </rPr>
          <t xml:space="preserve">
CS 24/08: 8.3%
GS 05/11: 9%
Santander: 8%
Itaú 15/04: 10%
Citi 17/03: 10%
BTG 17/03: 9%
JPM 17/03: 6.8%
MS 04/05: 7.6%
UBS 30/07: 9.9%
ML 30/07: 7.9%</t>
        </r>
      </text>
    </comment>
    <comment ref="DC300" authorId="0" shapeId="0" xr:uid="{00000000-0006-0000-0300-000060000000}">
      <text>
        <r>
          <rPr>
            <b/>
            <sz val="8"/>
            <color indexed="81"/>
            <rFont val="Tahoma"/>
            <family val="2"/>
          </rPr>
          <t>marcelamorais:</t>
        </r>
        <r>
          <rPr>
            <sz val="8"/>
            <color indexed="81"/>
            <rFont val="Tahoma"/>
            <family val="2"/>
          </rPr>
          <t xml:space="preserve">
GS 05/11: 8%
Itaú 15/04: 9.6%
MLX 30/07: 7.5%
UBS 30/07: 8.5%
CS 24/08: 8%
Santander 24/02/11 8.5%</t>
        </r>
      </text>
    </comment>
    <comment ref="DD300" authorId="0" shapeId="0" xr:uid="{00000000-0006-0000-0300-000061000000}">
      <text>
        <r>
          <rPr>
            <b/>
            <sz val="8"/>
            <color indexed="81"/>
            <rFont val="Tahoma"/>
            <family val="2"/>
          </rPr>
          <t>marcelamorais:</t>
        </r>
        <r>
          <rPr>
            <sz val="8"/>
            <color indexed="81"/>
            <rFont val="Tahoma"/>
            <family val="2"/>
          </rPr>
          <t xml:space="preserve">
MLX 30/07: 7.5%
UBS 30/07: 8.0%
CS 24/08: 6.5%
Empresa está falando de SSS igual a 2011 (05/07)</t>
        </r>
      </text>
    </comment>
    <comment ref="AJ307" authorId="2" shapeId="0" xr:uid="{00000000-0006-0000-0300-000062000000}">
      <text>
        <r>
          <rPr>
            <b/>
            <sz val="9"/>
            <color indexed="81"/>
            <rFont val="Tahoma"/>
            <family val="2"/>
          </rPr>
          <t>bruna.silveira:</t>
        </r>
        <r>
          <rPr>
            <sz val="9"/>
            <color indexed="81"/>
            <rFont val="Tahoma"/>
            <family val="2"/>
          </rPr>
          <t xml:space="preserve">
Porto Alegre RS Bourbon Shopping Wallig 26-04-2012 Tradicional 3.520 m²
Belo Horizonte MG Shopping Estação BH 23-05-2012 Tradicional 2.975 m²
São José dos Campos SP Shopping Vale Sul 04-06-2012 Tradicional 2.714 m²
Rio de Janeiro RJ Loja Nossa Senhora de Copacabana 20-06-2012 Compacta 2.030 m²</t>
        </r>
      </text>
    </comment>
    <comment ref="AK307" authorId="2" shapeId="0" xr:uid="{00000000-0006-0000-0300-000063000000}">
      <text>
        <r>
          <rPr>
            <b/>
            <sz val="9"/>
            <color indexed="81"/>
            <rFont val="Tahoma"/>
            <family val="2"/>
          </rPr>
          <t>bruna.silveira:</t>
        </r>
        <r>
          <rPr>
            <sz val="9"/>
            <color indexed="81"/>
            <rFont val="Tahoma"/>
            <family val="2"/>
          </rPr>
          <t xml:space="preserve">
Ribeirão Preto / SP Shopping Santa Úrsula Tradicional 2.940 m²</t>
        </r>
      </text>
    </comment>
    <comment ref="DD307" authorId="1" shapeId="0" xr:uid="{00000000-0006-0000-0300-000064000000}">
      <text>
        <r>
          <rPr>
            <b/>
            <sz val="9"/>
            <color indexed="81"/>
            <rFont val="Tahoma"/>
            <family val="2"/>
          </rPr>
          <t>Bruna Silveira:</t>
        </r>
        <r>
          <rPr>
            <sz val="9"/>
            <color indexed="81"/>
            <rFont val="Tahoma"/>
            <family val="2"/>
          </rPr>
          <t xml:space="preserve">
Guidance de 25-30ljs no ano.</t>
        </r>
      </text>
    </comment>
    <comment ref="A308" authorId="0" shapeId="0" xr:uid="{00000000-0006-0000-0300-000065000000}">
      <text>
        <r>
          <rPr>
            <b/>
            <sz val="8"/>
            <color indexed="81"/>
            <rFont val="Tahoma"/>
            <family val="2"/>
          </rPr>
          <t>marcelamorais:</t>
        </r>
        <r>
          <rPr>
            <sz val="8"/>
            <color indexed="81"/>
            <rFont val="Tahoma"/>
            <family val="2"/>
          </rPr>
          <t xml:space="preserve">
vende 60%</t>
        </r>
      </text>
    </comment>
    <comment ref="A309" authorId="0" shapeId="0" xr:uid="{00000000-0006-0000-0300-000066000000}">
      <text>
        <r>
          <rPr>
            <b/>
            <sz val="8"/>
            <color indexed="81"/>
            <rFont val="Tahoma"/>
            <family val="2"/>
          </rPr>
          <t>marcelamorais:</t>
        </r>
        <r>
          <rPr>
            <sz val="8"/>
            <color indexed="81"/>
            <rFont val="Tahoma"/>
            <family val="2"/>
          </rPr>
          <t xml:space="preserve">
vende 63%</t>
        </r>
      </text>
    </comment>
    <comment ref="A310" authorId="0" shapeId="0" xr:uid="{00000000-0006-0000-0300-000067000000}">
      <text>
        <r>
          <rPr>
            <b/>
            <sz val="8"/>
            <color indexed="81"/>
            <rFont val="Tahoma"/>
            <family val="2"/>
          </rPr>
          <t>marcelamorais:</t>
        </r>
        <r>
          <rPr>
            <sz val="8"/>
            <color indexed="81"/>
            <rFont val="Tahoma"/>
            <family val="2"/>
          </rPr>
          <t xml:space="preserve">
vende 65%</t>
        </r>
      </text>
    </comment>
    <comment ref="A311" authorId="0" shapeId="0" xr:uid="{00000000-0006-0000-0300-000068000000}">
      <text>
        <r>
          <rPr>
            <b/>
            <sz val="8"/>
            <color indexed="81"/>
            <rFont val="Tahoma"/>
            <family val="2"/>
          </rPr>
          <t>marcelamorais:</t>
        </r>
        <r>
          <rPr>
            <sz val="8"/>
            <color indexed="81"/>
            <rFont val="Tahoma"/>
            <family val="2"/>
          </rPr>
          <t xml:space="preserve">
vende 68%</t>
        </r>
      </text>
    </comment>
    <comment ref="A312" authorId="0" shapeId="0" xr:uid="{00000000-0006-0000-0300-000069000000}">
      <text>
        <r>
          <rPr>
            <b/>
            <sz val="8"/>
            <color indexed="81"/>
            <rFont val="Tahoma"/>
            <family val="2"/>
          </rPr>
          <t>marcelamorais:</t>
        </r>
        <r>
          <rPr>
            <sz val="8"/>
            <color indexed="81"/>
            <rFont val="Tahoma"/>
            <family val="2"/>
          </rPr>
          <t xml:space="preserve">
vende 70%</t>
        </r>
      </text>
    </comment>
    <comment ref="A313" authorId="0" shapeId="0" xr:uid="{00000000-0006-0000-0300-00006A000000}">
      <text>
        <r>
          <rPr>
            <b/>
            <sz val="8"/>
            <color indexed="81"/>
            <rFont val="Tahoma"/>
            <family val="2"/>
          </rPr>
          <t>marcelamorais:</t>
        </r>
        <r>
          <rPr>
            <sz val="8"/>
            <color indexed="81"/>
            <rFont val="Tahoma"/>
            <family val="2"/>
          </rPr>
          <t xml:space="preserve">
vende 75%</t>
        </r>
      </text>
    </comment>
    <comment ref="A314" authorId="0" shapeId="0" xr:uid="{00000000-0006-0000-0300-00006B000000}">
      <text>
        <r>
          <rPr>
            <b/>
            <sz val="8"/>
            <color indexed="81"/>
            <rFont val="Tahoma"/>
            <family val="2"/>
          </rPr>
          <t>marcelamorais:</t>
        </r>
        <r>
          <rPr>
            <sz val="8"/>
            <color indexed="81"/>
            <rFont val="Tahoma"/>
            <family val="2"/>
          </rPr>
          <t xml:space="preserve">
vende 80%</t>
        </r>
      </text>
    </comment>
    <comment ref="A315" authorId="0" shapeId="0" xr:uid="{00000000-0006-0000-0300-00006C000000}">
      <text>
        <r>
          <rPr>
            <b/>
            <sz val="8"/>
            <color indexed="81"/>
            <rFont val="Tahoma"/>
            <family val="2"/>
          </rPr>
          <t>marcelamorais:</t>
        </r>
        <r>
          <rPr>
            <sz val="8"/>
            <color indexed="81"/>
            <rFont val="Tahoma"/>
            <family val="2"/>
          </rPr>
          <t xml:space="preserve">
vende 90%</t>
        </r>
      </text>
    </comment>
    <comment ref="AJ321" authorId="2" shapeId="0" xr:uid="{00000000-0006-0000-0300-00006D000000}">
      <text>
        <r>
          <rPr>
            <b/>
            <sz val="9"/>
            <color indexed="81"/>
            <rFont val="Tahoma"/>
            <family val="2"/>
          </rPr>
          <t>bruna.silveira:</t>
        </r>
        <r>
          <rPr>
            <sz val="9"/>
            <color indexed="81"/>
            <rFont val="Tahoma"/>
            <family val="2"/>
          </rPr>
          <t xml:space="preserve">
Belém PA Parque Shopping Belém 30-05-2012 Tradicional 3.098 m²</t>
        </r>
      </text>
    </comment>
    <comment ref="AK321" authorId="2" shapeId="0" xr:uid="{00000000-0006-0000-0300-00006E000000}">
      <text>
        <r>
          <rPr>
            <b/>
            <sz val="9"/>
            <color indexed="81"/>
            <rFont val="Tahoma"/>
            <family val="2"/>
          </rPr>
          <t>bruna.silveira:</t>
        </r>
        <r>
          <rPr>
            <sz val="9"/>
            <color indexed="81"/>
            <rFont val="Tahoma"/>
            <family val="2"/>
          </rPr>
          <t xml:space="preserve">
Salvador Bahia - Tradicional - 3.118m²</t>
        </r>
      </text>
    </comment>
    <comment ref="A322" authorId="0" shapeId="0" xr:uid="{00000000-0006-0000-0300-00006F000000}">
      <text>
        <r>
          <rPr>
            <b/>
            <sz val="8"/>
            <color indexed="81"/>
            <rFont val="Tahoma"/>
            <family val="2"/>
          </rPr>
          <t>marcelamorais:</t>
        </r>
        <r>
          <rPr>
            <sz val="8"/>
            <color indexed="81"/>
            <rFont val="Tahoma"/>
            <family val="2"/>
          </rPr>
          <t xml:space="preserve">
vende 60%</t>
        </r>
      </text>
    </comment>
    <comment ref="A323" authorId="0" shapeId="0" xr:uid="{00000000-0006-0000-0300-000070000000}">
      <text>
        <r>
          <rPr>
            <b/>
            <sz val="8"/>
            <color indexed="81"/>
            <rFont val="Tahoma"/>
            <family val="2"/>
          </rPr>
          <t>marcelamorais:</t>
        </r>
        <r>
          <rPr>
            <sz val="8"/>
            <color indexed="81"/>
            <rFont val="Tahoma"/>
            <family val="2"/>
          </rPr>
          <t xml:space="preserve">
vende 65%</t>
        </r>
      </text>
    </comment>
    <comment ref="A324" authorId="0" shapeId="0" xr:uid="{00000000-0006-0000-0300-000071000000}">
      <text>
        <r>
          <rPr>
            <b/>
            <sz val="8"/>
            <color indexed="81"/>
            <rFont val="Tahoma"/>
            <family val="2"/>
          </rPr>
          <t>marcelamorais:</t>
        </r>
        <r>
          <rPr>
            <sz val="8"/>
            <color indexed="81"/>
            <rFont val="Tahoma"/>
            <family val="2"/>
          </rPr>
          <t xml:space="preserve">
vende 70%</t>
        </r>
      </text>
    </comment>
    <comment ref="A325" authorId="0" shapeId="0" xr:uid="{00000000-0006-0000-0300-000072000000}">
      <text>
        <r>
          <rPr>
            <b/>
            <sz val="8"/>
            <color indexed="81"/>
            <rFont val="Tahoma"/>
            <family val="2"/>
          </rPr>
          <t>marcelamorais:</t>
        </r>
        <r>
          <rPr>
            <sz val="8"/>
            <color indexed="81"/>
            <rFont val="Tahoma"/>
            <family val="2"/>
          </rPr>
          <t xml:space="preserve">
vende 80%</t>
        </r>
      </text>
    </comment>
    <comment ref="A326" authorId="0" shapeId="0" xr:uid="{00000000-0006-0000-0300-000073000000}">
      <text>
        <r>
          <rPr>
            <b/>
            <sz val="8"/>
            <color indexed="81"/>
            <rFont val="Tahoma"/>
            <family val="2"/>
          </rPr>
          <t>marcelamorais:</t>
        </r>
        <r>
          <rPr>
            <sz val="8"/>
            <color indexed="81"/>
            <rFont val="Tahoma"/>
            <family val="2"/>
          </rPr>
          <t xml:space="preserve">
vende 90%</t>
        </r>
      </text>
    </comment>
    <comment ref="CZ363" authorId="0" shapeId="0" xr:uid="{00000000-0006-0000-0300-000074000000}">
      <text>
        <r>
          <rPr>
            <b/>
            <sz val="8"/>
            <color indexed="81"/>
            <rFont val="Tahoma"/>
            <family val="2"/>
          </rPr>
          <t>marcelamorais:</t>
        </r>
        <r>
          <rPr>
            <sz val="8"/>
            <color indexed="81"/>
            <rFont val="Tahoma"/>
            <family val="2"/>
          </rPr>
          <t xml:space="preserve">
guidance: deve ficar em R$150mn</t>
        </r>
      </text>
    </comment>
    <comment ref="DA363" authorId="0" shapeId="0" xr:uid="{00000000-0006-0000-0300-000075000000}">
      <text>
        <r>
          <rPr>
            <b/>
            <sz val="8"/>
            <color indexed="81"/>
            <rFont val="Tahoma"/>
            <family val="2"/>
          </rPr>
          <t>marcelamorais:</t>
        </r>
        <r>
          <rPr>
            <sz val="8"/>
            <color indexed="81"/>
            <rFont val="Tahoma"/>
            <family val="2"/>
          </rPr>
          <t xml:space="preserve">
No worst case (abrindo 8 lojas) deve ter um capex de 78mn</t>
        </r>
      </text>
    </comment>
    <comment ref="DB363" authorId="0" shapeId="0" xr:uid="{00000000-0006-0000-0300-000076000000}">
      <text>
        <r>
          <rPr>
            <b/>
            <sz val="8"/>
            <color indexed="81"/>
            <rFont val="Tahoma"/>
            <family val="2"/>
          </rPr>
          <t>marcelamorais:</t>
        </r>
        <r>
          <rPr>
            <sz val="8"/>
            <color indexed="81"/>
            <rFont val="Tahoma"/>
            <family val="2"/>
          </rPr>
          <t xml:space="preserve">
guidance em fev 2010 de 140mn</t>
        </r>
      </text>
    </comment>
    <comment ref="DC363" authorId="0" shapeId="0" xr:uid="{00000000-0006-0000-0300-000077000000}">
      <text>
        <r>
          <rPr>
            <b/>
            <sz val="8"/>
            <color indexed="81"/>
            <rFont val="Tahoma"/>
            <family val="2"/>
          </rPr>
          <t>marcelamorais:</t>
        </r>
        <r>
          <rPr>
            <sz val="8"/>
            <color indexed="81"/>
            <rFont val="Tahoma"/>
            <family val="2"/>
          </rPr>
          <t xml:space="preserve">
capex de +/- R$280-300mn</t>
        </r>
      </text>
    </comment>
    <comment ref="DD363" authorId="8" shapeId="0" xr:uid="{00000000-0006-0000-0300-000078000000}">
      <text>
        <r>
          <rPr>
            <b/>
            <sz val="8"/>
            <color indexed="81"/>
            <rFont val="Tahoma"/>
            <family val="2"/>
          </rPr>
          <t>brunasilveira:</t>
        </r>
        <r>
          <rPr>
            <sz val="8"/>
            <color indexed="81"/>
            <rFont val="Tahoma"/>
            <family val="2"/>
          </rPr>
          <t xml:space="preserve">
Deve ficar em 400mn nos próximos 3 anos.</t>
        </r>
      </text>
    </comment>
    <comment ref="DE363" authorId="2" shapeId="0" xr:uid="{00000000-0006-0000-0300-000079000000}">
      <text>
        <r>
          <rPr>
            <b/>
            <sz val="9"/>
            <color indexed="81"/>
            <rFont val="Tahoma"/>
            <family val="2"/>
          </rPr>
          <t>bruna.silveira:</t>
        </r>
        <r>
          <rPr>
            <sz val="9"/>
            <color indexed="81"/>
            <rFont val="Tahoma"/>
            <family val="2"/>
          </rPr>
          <t xml:space="preserve">
CAPEX de 450mn
</t>
        </r>
      </text>
    </comment>
    <comment ref="A368" authorId="0" shapeId="0" xr:uid="{00000000-0006-0000-0300-00007A000000}">
      <text>
        <r>
          <rPr>
            <b/>
            <sz val="8"/>
            <color indexed="81"/>
            <rFont val="Tahoma"/>
            <family val="2"/>
          </rPr>
          <t>marcelamorais:</t>
        </r>
        <r>
          <rPr>
            <sz val="8"/>
            <color indexed="81"/>
            <rFont val="Tahoma"/>
            <family val="2"/>
          </rPr>
          <t xml:space="preserve">
custo por nova loja = 5.5MM</t>
        </r>
      </text>
    </comment>
    <comment ref="AE369" authorId="0" shapeId="0" xr:uid="{00000000-0006-0000-0300-00007B000000}">
      <text>
        <r>
          <rPr>
            <b/>
            <sz val="8"/>
            <color indexed="81"/>
            <rFont val="Tahoma"/>
            <family val="2"/>
          </rPr>
          <t>marcelamorais:</t>
        </r>
        <r>
          <rPr>
            <sz val="8"/>
            <color indexed="81"/>
            <rFont val="Tahoma"/>
            <family val="2"/>
          </rPr>
          <t xml:space="preserve">
falou que abriu 10 lojas neste tri</t>
        </r>
      </text>
    </comment>
    <comment ref="AI375" authorId="1" shapeId="0" xr:uid="{00000000-0006-0000-0300-00007C000000}">
      <text>
        <r>
          <rPr>
            <b/>
            <sz val="8"/>
            <color indexed="81"/>
            <rFont val="Tahoma"/>
            <family val="2"/>
          </rPr>
          <t>Bruna Silveira:</t>
        </r>
        <r>
          <rPr>
            <sz val="8"/>
            <color indexed="81"/>
            <rFont val="Tahoma"/>
            <family val="2"/>
          </rPr>
          <t xml:space="preserve">
Novo capex/loja de 6-8mn</t>
        </r>
      </text>
    </comment>
    <comment ref="DB375" authorId="0" shapeId="0" xr:uid="{00000000-0006-0000-0300-00007D000000}">
      <text>
        <r>
          <rPr>
            <b/>
            <sz val="8"/>
            <color indexed="81"/>
            <rFont val="Tahoma"/>
            <family val="2"/>
          </rPr>
          <t>marcelamorais:</t>
        </r>
        <r>
          <rPr>
            <sz val="8"/>
            <color indexed="81"/>
            <rFont val="Tahoma"/>
            <family val="2"/>
          </rPr>
          <t xml:space="preserve">
no CC do 4T09 o RI falou que é entre 5-6mn/lj</t>
        </r>
      </text>
    </comment>
    <comment ref="DD375" authorId="0" shapeId="0" xr:uid="{00000000-0006-0000-0300-00007E000000}">
      <text>
        <r>
          <rPr>
            <b/>
            <sz val="8"/>
            <color indexed="81"/>
            <rFont val="Tahoma"/>
            <family val="2"/>
          </rPr>
          <t>marcelamorais:</t>
        </r>
        <r>
          <rPr>
            <sz val="8"/>
            <color indexed="81"/>
            <rFont val="Tahoma"/>
            <family val="2"/>
          </rPr>
          <t xml:space="preserve">
Empresa falou que o capex vai ser 8mn p/ ljs tradicionais e 6mn p/ ljs compactas.</t>
        </r>
      </text>
    </comment>
    <comment ref="R382" authorId="0" shapeId="0" xr:uid="{00000000-0006-0000-0300-00007F000000}">
      <text>
        <r>
          <rPr>
            <b/>
            <sz val="8"/>
            <color indexed="81"/>
            <rFont val="Tahoma"/>
            <family val="2"/>
          </rPr>
          <t>marcelamorais:</t>
        </r>
        <r>
          <rPr>
            <sz val="8"/>
            <color indexed="81"/>
            <rFont val="Tahoma"/>
            <family val="2"/>
          </rPr>
          <t xml:space="preserve">
manutenção</t>
        </r>
      </text>
    </comment>
    <comment ref="DD385" authorId="1" shapeId="0" xr:uid="{00000000-0006-0000-0300-000080000000}">
      <text>
        <r>
          <rPr>
            <b/>
            <sz val="8"/>
            <color indexed="81"/>
            <rFont val="Tahoma"/>
            <family val="2"/>
          </rPr>
          <t>Bruna Silveira:</t>
        </r>
        <r>
          <rPr>
            <sz val="8"/>
            <color indexed="81"/>
            <rFont val="Tahoma"/>
            <family val="2"/>
          </rPr>
          <t xml:space="preserve">
As reformas grandes vao custar 7mn e as pequenas 1,3mn.</t>
        </r>
      </text>
    </comment>
    <comment ref="AI386" authorId="1" shapeId="0" xr:uid="{00000000-0006-0000-0300-000081000000}">
      <text>
        <r>
          <rPr>
            <b/>
            <sz val="8"/>
            <color indexed="81"/>
            <rFont val="Tahoma"/>
            <family val="2"/>
          </rPr>
          <t>Bruna Silveira:</t>
        </r>
        <r>
          <rPr>
            <sz val="8"/>
            <color indexed="81"/>
            <rFont val="Tahoma"/>
            <family val="2"/>
          </rPr>
          <t xml:space="preserve">
Guidance de 5 ljs remodeladas.</t>
        </r>
      </text>
    </comment>
    <comment ref="AJ386" authorId="1" shapeId="0" xr:uid="{00000000-0006-0000-0300-000082000000}">
      <text>
        <r>
          <rPr>
            <b/>
            <sz val="8"/>
            <color indexed="81"/>
            <rFont val="Tahoma"/>
            <family val="2"/>
          </rPr>
          <t>Bruna Silveira:</t>
        </r>
        <r>
          <rPr>
            <sz val="8"/>
            <color indexed="81"/>
            <rFont val="Tahoma"/>
            <family val="2"/>
          </rPr>
          <t xml:space="preserve">
Guidance de 5 ljs remodeladas.</t>
        </r>
      </text>
    </comment>
    <comment ref="AL386" authorId="1" shapeId="0" xr:uid="{00000000-0006-0000-0300-000083000000}">
      <text>
        <r>
          <rPr>
            <b/>
            <sz val="8"/>
            <color indexed="81"/>
            <rFont val="Tahoma"/>
            <family val="2"/>
          </rPr>
          <t>Bruna Silveira:</t>
        </r>
        <r>
          <rPr>
            <sz val="8"/>
            <color indexed="81"/>
            <rFont val="Tahoma"/>
            <family val="2"/>
          </rPr>
          <t xml:space="preserve">
Guidance de 15 ljs remodeladas no 2S.</t>
        </r>
      </text>
    </comment>
    <comment ref="AD400" authorId="0" shapeId="0" xr:uid="{00000000-0006-0000-0300-000084000000}">
      <text>
        <r>
          <rPr>
            <b/>
            <sz val="8"/>
            <color indexed="81"/>
            <rFont val="Tahoma"/>
            <family val="2"/>
          </rPr>
          <t>marcelamorais:</t>
        </r>
        <r>
          <rPr>
            <sz val="8"/>
            <color indexed="81"/>
            <rFont val="Tahoma"/>
            <family val="2"/>
          </rPr>
          <t xml:space="preserve">
logística e prod de serviços financeiros</t>
        </r>
      </text>
    </comment>
    <comment ref="AH400" authorId="1" shapeId="0" xr:uid="{00000000-0006-0000-0300-000085000000}">
      <text>
        <r>
          <rPr>
            <b/>
            <sz val="8"/>
            <color indexed="81"/>
            <rFont val="Tahoma"/>
            <family val="2"/>
          </rPr>
          <t>Bruna Silveira:</t>
        </r>
        <r>
          <rPr>
            <sz val="8"/>
            <color indexed="81"/>
            <rFont val="Tahoma"/>
            <family val="2"/>
          </rPr>
          <t xml:space="preserve">
11,7mn vem da construção do CD.</t>
        </r>
      </text>
    </comment>
    <comment ref="AK400" authorId="2" shapeId="0" xr:uid="{00000000-0006-0000-0300-000086000000}">
      <text>
        <r>
          <rPr>
            <b/>
            <sz val="9"/>
            <color indexed="81"/>
            <rFont val="Tahoma"/>
            <family val="2"/>
          </rPr>
          <t>bruna.silveira:</t>
        </r>
        <r>
          <rPr>
            <sz val="9"/>
            <color indexed="81"/>
            <rFont val="Tahoma"/>
            <family val="2"/>
          </rPr>
          <t xml:space="preserve">
Tem 19,2 do CD</t>
        </r>
      </text>
    </comment>
    <comment ref="AR400" authorId="2" shapeId="0" xr:uid="{00000000-0006-0000-0300-000087000000}">
      <text>
        <r>
          <rPr>
            <b/>
            <sz val="9"/>
            <color indexed="81"/>
            <rFont val="Tahoma"/>
            <family val="2"/>
          </rPr>
          <t>bruna.silveira:</t>
        </r>
        <r>
          <rPr>
            <sz val="9"/>
            <color indexed="81"/>
            <rFont val="Tahoma"/>
            <family val="2"/>
          </rPr>
          <t xml:space="preserve">
foram revertidos 25,5mn referentes a adiantamentos que tinham feito a fornecedores</t>
        </r>
      </text>
    </comment>
    <comment ref="AT400" authorId="2" shapeId="0" xr:uid="{00000000-0006-0000-0300-000088000000}">
      <text>
        <r>
          <rPr>
            <b/>
            <sz val="9"/>
            <color indexed="81"/>
            <rFont val="Tahoma"/>
            <family val="2"/>
          </rPr>
          <t>bruna.silveira:</t>
        </r>
        <r>
          <rPr>
            <sz val="9"/>
            <color indexed="81"/>
            <rFont val="Tahoma"/>
            <family val="2"/>
          </rPr>
          <t xml:space="preserve">
27,4mn do CD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bruna.silveira</author>
    <author>marcelamorais</author>
    <author>Camila Rivilli</author>
    <author>brunasilveira</author>
    <author>GUILHERME DE ANDRADE LINHARES</author>
    <author>camil</author>
    <author>usuario</author>
    <author>Bruna Silveira</author>
  </authors>
  <commentList>
    <comment ref="DE25" authorId="0" shapeId="0" xr:uid="{00000000-0006-0000-0400-000006000000}">
      <text>
        <r>
          <rPr>
            <b/>
            <sz val="9"/>
            <color indexed="81"/>
            <rFont val="Tahoma"/>
            <family val="2"/>
          </rPr>
          <t>bruna.silveira:</t>
        </r>
        <r>
          <rPr>
            <sz val="9"/>
            <color indexed="81"/>
            <rFont val="Tahoma"/>
            <family val="2"/>
          </rPr>
          <t xml:space="preserve">
Falou que faz sentido uns 7% de cresc de lucro</t>
        </r>
      </text>
    </comment>
    <comment ref="AQ26" authorId="0" shapeId="0" xr:uid="{00000000-0006-0000-0400-000007000000}">
      <text>
        <r>
          <rPr>
            <b/>
            <sz val="9"/>
            <color indexed="81"/>
            <rFont val="Tahoma"/>
            <family val="2"/>
          </rPr>
          <t>bruna.silveira:</t>
        </r>
        <r>
          <rPr>
            <sz val="9"/>
            <color indexed="81"/>
            <rFont val="Tahoma"/>
            <family val="2"/>
          </rPr>
          <t xml:space="preserve">
LL cresce uns 10%</t>
        </r>
      </text>
    </comment>
    <comment ref="V31" authorId="1" shapeId="0" xr:uid="{00000000-0006-0000-0400-000001000000}">
      <text>
        <r>
          <rPr>
            <b/>
            <sz val="8"/>
            <color indexed="81"/>
            <rFont val="Tahoma"/>
            <family val="2"/>
          </rPr>
          <t>marcelamorais:</t>
        </r>
        <r>
          <rPr>
            <sz val="8"/>
            <color indexed="81"/>
            <rFont val="Tahoma"/>
            <family val="2"/>
          </rPr>
          <t xml:space="preserve">
plano de opções de ações, q entra a partir da lei 11638</t>
        </r>
      </text>
    </comment>
    <comment ref="W31" authorId="1" shapeId="0" xr:uid="{00000000-0006-0000-0400-000002000000}">
      <text>
        <r>
          <rPr>
            <b/>
            <sz val="8"/>
            <color indexed="81"/>
            <rFont val="Tahoma"/>
            <family val="2"/>
          </rPr>
          <t>marcelamorais:</t>
        </r>
        <r>
          <rPr>
            <sz val="8"/>
            <color indexed="81"/>
            <rFont val="Tahoma"/>
            <family val="2"/>
          </rPr>
          <t xml:space="preserve">
plano de opção de compra de ações</t>
        </r>
      </text>
    </comment>
    <comment ref="Z31" authorId="1" shapeId="0" xr:uid="{00000000-0006-0000-0400-000003000000}">
      <text>
        <r>
          <rPr>
            <b/>
            <sz val="8"/>
            <color indexed="81"/>
            <rFont val="Tahoma"/>
            <family val="2"/>
          </rPr>
          <t>marcelamorais:</t>
        </r>
        <r>
          <rPr>
            <sz val="8"/>
            <color indexed="81"/>
            <rFont val="Tahoma"/>
            <family val="2"/>
          </rPr>
          <t xml:space="preserve">
a partir daqui eu coloco os stock options dentro de despesas operacionais porque a renner passou a reconhecer assim.</t>
        </r>
      </text>
    </comment>
    <comment ref="DE35" authorId="0" shapeId="0" xr:uid="{4586AE4C-BC84-407D-9521-EDF37E6A6AC4}">
      <text>
        <r>
          <rPr>
            <b/>
            <sz val="9"/>
            <color indexed="81"/>
            <rFont val="Tahoma"/>
            <family val="2"/>
          </rPr>
          <t>bruna.silveira:</t>
        </r>
        <r>
          <rPr>
            <sz val="9"/>
            <color indexed="81"/>
            <rFont val="Tahoma"/>
            <family val="2"/>
          </rPr>
          <t xml:space="preserve">
Falou que faz sentido uns 7% de cresc de lucro</t>
        </r>
      </text>
    </comment>
    <comment ref="BT66" authorId="2" shapeId="0" xr:uid="{C65BDA6F-130A-466D-9BC6-B0B15B210658}">
      <text>
        <r>
          <rPr>
            <sz val="11"/>
            <color theme="1"/>
            <rFont val="Calibri"/>
            <family val="2"/>
            <scheme val="minor"/>
          </rPr>
          <t>Camila Rivilli:
Follow on</t>
        </r>
      </text>
    </comment>
    <comment ref="AF106" authorId="1" shapeId="0" xr:uid="{00000000-0006-0000-0400-000009000000}">
      <text>
        <r>
          <rPr>
            <b/>
            <sz val="8"/>
            <color indexed="81"/>
            <rFont val="Tahoma"/>
            <family val="2"/>
          </rPr>
          <t>marcelamorais:</t>
        </r>
        <r>
          <rPr>
            <sz val="8"/>
            <color indexed="81"/>
            <rFont val="Tahoma"/>
            <family val="2"/>
          </rPr>
          <t xml:space="preserve">
CAMICADO</t>
        </r>
      </text>
    </comment>
    <comment ref="V111" authorId="1" shapeId="0" xr:uid="{00000000-0006-0000-0400-00000A000000}">
      <text>
        <r>
          <rPr>
            <b/>
            <sz val="8"/>
            <color indexed="81"/>
            <rFont val="Tahoma"/>
            <family val="2"/>
          </rPr>
          <t>marcelamorais:</t>
        </r>
        <r>
          <rPr>
            <sz val="8"/>
            <color indexed="81"/>
            <rFont val="Tahoma"/>
            <family val="2"/>
          </rPr>
          <t xml:space="preserve">
entra aqui a operação CDCI de clientes, e compensa no ativo aumentando a conta clientes. Antes entrava líquido disso a conta clientes.</t>
        </r>
      </text>
    </comment>
    <comment ref="W111" authorId="1" shapeId="0" xr:uid="{00000000-0006-0000-0400-00000B000000}">
      <text>
        <r>
          <rPr>
            <b/>
            <sz val="8"/>
            <color indexed="81"/>
            <rFont val="Tahoma"/>
            <family val="2"/>
          </rPr>
          <t>marcelamorais:</t>
        </r>
        <r>
          <rPr>
            <sz val="8"/>
            <color indexed="81"/>
            <rFont val="Tahoma"/>
            <family val="2"/>
          </rPr>
          <t xml:space="preserve">
138407 é CDCI</t>
        </r>
      </text>
    </comment>
    <comment ref="AF116" authorId="3" shapeId="0" xr:uid="{00000000-0006-0000-0400-00000C000000}">
      <text>
        <r>
          <rPr>
            <b/>
            <sz val="8"/>
            <color indexed="81"/>
            <rFont val="Tahoma"/>
            <family val="2"/>
          </rPr>
          <t>brunasilveira:</t>
        </r>
        <r>
          <rPr>
            <sz val="8"/>
            <color indexed="81"/>
            <rFont val="Tahoma"/>
            <family val="2"/>
          </rPr>
          <t xml:space="preserve">
pagou 70mn a mais do que a gente tinha de div</t>
        </r>
      </text>
    </comment>
    <comment ref="AD120" authorId="1" shapeId="0" xr:uid="{00000000-0006-0000-0400-00000D000000}">
      <text>
        <r>
          <rPr>
            <b/>
            <sz val="8"/>
            <color indexed="81"/>
            <rFont val="Tahoma"/>
            <family val="2"/>
          </rPr>
          <t>marcelamorais:</t>
        </r>
        <r>
          <rPr>
            <sz val="8"/>
            <color indexed="81"/>
            <rFont val="Tahoma"/>
            <family val="2"/>
          </rPr>
          <t xml:space="preserve">
Fidic</t>
        </r>
      </text>
    </comment>
    <comment ref="Y158" authorId="1" shapeId="0" xr:uid="{00000000-0006-0000-0400-00000E000000}">
      <text>
        <r>
          <rPr>
            <b/>
            <sz val="8"/>
            <color indexed="81"/>
            <rFont val="Tahoma"/>
            <family val="2"/>
          </rPr>
          <t>marcelamorais:</t>
        </r>
        <r>
          <rPr>
            <sz val="8"/>
            <color indexed="81"/>
            <rFont val="Tahoma"/>
            <family val="2"/>
          </rPr>
          <t xml:space="preserve">
aqui o nível de importações será menor...</t>
        </r>
      </text>
    </comment>
    <comment ref="AQ158" authorId="0" shapeId="0" xr:uid="{00000000-0006-0000-0400-00000F000000}">
      <text>
        <r>
          <rPr>
            <b/>
            <sz val="9"/>
            <color indexed="81"/>
            <rFont val="Tahoma"/>
            <family val="2"/>
          </rPr>
          <t>bruna.silveira:</t>
        </r>
        <r>
          <rPr>
            <sz val="9"/>
            <color indexed="81"/>
            <rFont val="Tahoma"/>
            <family val="2"/>
          </rPr>
          <t xml:space="preserve">
foi alto pq o meu cartão está crescendo forte</t>
        </r>
      </text>
    </comment>
    <comment ref="B181" authorId="4" shapeId="0" xr:uid="{00000000-0006-0000-0400-000011000000}">
      <text>
        <r>
          <rPr>
            <b/>
            <sz val="8"/>
            <color indexed="81"/>
            <rFont val="Tahoma"/>
            <family val="2"/>
          </rPr>
          <t>O IR &amp; CS UTILIZADOS SÃO O MARGINAL; O BENEFÍCIO DO JCP SERÁ MAIOR QUANTO MAIOR FOR A ALAVANCAGEM, POIS IRÁ DIMINUIR A ALÍQUOTA EFETIVA;</t>
        </r>
        <r>
          <rPr>
            <sz val="8"/>
            <color indexed="81"/>
            <rFont val="Tahoma"/>
            <family val="2"/>
          </rPr>
          <t xml:space="preserve">
</t>
        </r>
      </text>
    </comment>
    <comment ref="AE185" authorId="1" shapeId="0" xr:uid="{00000000-0006-0000-0400-000012000000}">
      <text>
        <r>
          <rPr>
            <b/>
            <sz val="8"/>
            <color indexed="81"/>
            <rFont val="Tahoma"/>
            <family val="2"/>
          </rPr>
          <t>marcelamorais:</t>
        </r>
        <r>
          <rPr>
            <sz val="8"/>
            <color indexed="81"/>
            <rFont val="Tahoma"/>
            <family val="2"/>
          </rPr>
          <t xml:space="preserve">
a partir de 2011 ele começou a pagar trimestralmente</t>
        </r>
      </text>
    </comment>
    <comment ref="DD198" authorId="0" shapeId="0" xr:uid="{00000000-0006-0000-0400-000013000000}">
      <text>
        <r>
          <rPr>
            <b/>
            <sz val="9"/>
            <color indexed="81"/>
            <rFont val="Tahoma"/>
            <family val="2"/>
          </rPr>
          <t>bruna.silveira:</t>
        </r>
        <r>
          <rPr>
            <sz val="9"/>
            <color indexed="81"/>
            <rFont val="Tahoma"/>
            <family val="2"/>
          </rPr>
          <t xml:space="preserve">
Reduziu o payout de 75% para 40%
Motivos: CAPEX elevado (exp de area e inv em logistica) e macro mais desafiador</t>
        </r>
      </text>
    </comment>
    <comment ref="AT204" authorId="0" shapeId="0" xr:uid="{00000000-0006-0000-0400-000014000000}">
      <text>
        <r>
          <rPr>
            <b/>
            <sz val="9"/>
            <color indexed="81"/>
            <rFont val="Tahoma"/>
            <family val="2"/>
          </rPr>
          <t>bruna.silveira:</t>
        </r>
        <r>
          <rPr>
            <sz val="9"/>
            <color indexed="81"/>
            <rFont val="Tahoma"/>
            <family val="2"/>
          </rPr>
          <t xml:space="preserve">
tem uns 17mn não recorrentes</t>
        </r>
      </text>
    </comment>
    <comment ref="CE216" authorId="5" shapeId="0" xr:uid="{9A2BBDDD-25A1-4966-A066-9F45965C43D8}">
      <text>
        <r>
          <rPr>
            <b/>
            <sz val="9"/>
            <color indexed="81"/>
            <rFont val="Tahoma"/>
            <family val="2"/>
          </rPr>
          <t>camil:</t>
        </r>
        <r>
          <rPr>
            <sz val="9"/>
            <color indexed="81"/>
            <rFont val="Tahoma"/>
            <family val="2"/>
          </rPr>
          <t xml:space="preserve">
empieza a recuperar solo el 25% por la MP. Consiguio liminar solo por credito presumido que representa 25% del total de las subvencoes. El resto 75% va a pagar ICMS</t>
        </r>
      </text>
    </comment>
    <comment ref="BM223" authorId="5" shapeId="0" xr:uid="{DC79C686-0950-4937-8B18-157589BD2770}">
      <text>
        <r>
          <rPr>
            <b/>
            <sz val="9"/>
            <color indexed="81"/>
            <rFont val="Tahoma"/>
            <family val="2"/>
          </rPr>
          <t>camil:</t>
        </r>
        <r>
          <rPr>
            <sz val="9"/>
            <color indexed="81"/>
            <rFont val="Tahoma"/>
            <family val="2"/>
          </rPr>
          <t xml:space="preserve">
incentivo de inovacao tecnologica</t>
        </r>
      </text>
    </comment>
    <comment ref="BP223" authorId="5" shapeId="0" xr:uid="{40589DC7-7D73-4573-93C0-C4E862985F10}">
      <text>
        <r>
          <rPr>
            <b/>
            <sz val="9"/>
            <color indexed="81"/>
            <rFont val="Tahoma"/>
            <family val="2"/>
          </rPr>
          <t>camil:</t>
        </r>
        <r>
          <rPr>
            <sz val="9"/>
            <color indexed="81"/>
            <rFont val="Tahoma"/>
            <family val="2"/>
          </rPr>
          <t xml:space="preserve">
credito fiscal PIS e COFINS</t>
        </r>
      </text>
    </comment>
    <comment ref="BU223" authorId="5" shapeId="0" xr:uid="{49312E08-D6E9-472A-B2D8-83986D64F0A6}">
      <text>
        <r>
          <rPr>
            <b/>
            <sz val="9"/>
            <color indexed="81"/>
            <rFont val="Tahoma"/>
            <family val="2"/>
          </rPr>
          <t>camil:</t>
        </r>
        <r>
          <rPr>
            <sz val="9"/>
            <color indexed="81"/>
            <rFont val="Tahoma"/>
            <family val="2"/>
          </rPr>
          <t xml:space="preserve">
icentivo de inovacao tecnologica</t>
        </r>
      </text>
    </comment>
    <comment ref="CK223" authorId="6" shapeId="0" xr:uid="{C43FDB6C-53BE-4457-B984-AD388A763936}">
      <text>
        <r>
          <rPr>
            <b/>
            <sz val="9"/>
            <color indexed="81"/>
            <rFont val="Tahoma"/>
            <family val="2"/>
          </rPr>
          <t>usuario:</t>
        </r>
        <r>
          <rPr>
            <sz val="9"/>
            <color indexed="81"/>
            <rFont val="Tahoma"/>
            <family val="2"/>
          </rPr>
          <t xml:space="preserve">
R$22,606 Refere-se à complementação da exclusão dos juros Selic na devolução de tributos pagos indevidamente (repetição de indébito), conforme decisão do
Supremo Tribunal Federal (STF) no julgamento do Recurso Extraordinário (RE) nº 1.063.187, com repercussão geral reconhecida.
</t>
        </r>
      </text>
    </comment>
    <comment ref="V307" authorId="1" shapeId="0" xr:uid="{00000000-0006-0000-0400-000015000000}">
      <text>
        <r>
          <rPr>
            <b/>
            <sz val="8"/>
            <color indexed="81"/>
            <rFont val="Tahoma"/>
            <family val="2"/>
          </rPr>
          <t>marcelamorais:</t>
        </r>
        <r>
          <rPr>
            <sz val="8"/>
            <color indexed="81"/>
            <rFont val="Tahoma"/>
            <family val="2"/>
          </rPr>
          <t xml:space="preserve">
tiro daqui a operação de CDCI</t>
        </r>
      </text>
    </comment>
    <comment ref="B321" authorId="7" shapeId="0" xr:uid="{00000000-0006-0000-0400-000016000000}">
      <text>
        <r>
          <rPr>
            <b/>
            <sz val="8"/>
            <color indexed="81"/>
            <rFont val="Tahoma"/>
            <family val="2"/>
          </rPr>
          <t>Bruna Silveira:</t>
        </r>
        <r>
          <rPr>
            <sz val="8"/>
            <color indexed="81"/>
            <rFont val="Tahoma"/>
            <family val="2"/>
          </rPr>
          <t xml:space="preserve">
Crédito ao consumidor</t>
        </r>
      </text>
    </comment>
    <comment ref="U321" authorId="1" shapeId="0" xr:uid="{00000000-0006-0000-0400-000017000000}">
      <text>
        <r>
          <rPr>
            <b/>
            <sz val="8"/>
            <color indexed="81"/>
            <rFont val="Tahoma"/>
            <family val="2"/>
          </rPr>
          <t>marcelamorais:</t>
        </r>
        <r>
          <rPr>
            <sz val="8"/>
            <color indexed="81"/>
            <rFont val="Tahoma"/>
            <family val="2"/>
          </rPr>
          <t xml:space="preserve">
Adiquiriu com o banco do Nordeste através do FNE a 10%aa</t>
        </r>
      </text>
    </comment>
    <comment ref="AI321" authorId="0" shapeId="0" xr:uid="{00000000-0006-0000-0400-000018000000}">
      <text>
        <r>
          <rPr>
            <b/>
            <sz val="9"/>
            <color indexed="81"/>
            <rFont val="Tahoma"/>
            <family val="2"/>
          </rPr>
          <t>bruna.silveira:</t>
        </r>
        <r>
          <rPr>
            <sz val="9"/>
            <color indexed="81"/>
            <rFont val="Tahoma"/>
            <family val="2"/>
          </rPr>
          <t xml:space="preserve">
colocar o FIDC</t>
        </r>
      </text>
    </comment>
    <comment ref="AR321" authorId="0" shapeId="0" xr:uid="{00000000-0006-0000-0400-000019000000}">
      <text>
        <r>
          <rPr>
            <b/>
            <sz val="9"/>
            <color indexed="81"/>
            <rFont val="Tahoma"/>
            <family val="2"/>
          </rPr>
          <t>bruna.silveira:</t>
        </r>
        <r>
          <rPr>
            <sz val="9"/>
            <color indexed="81"/>
            <rFont val="Tahoma"/>
            <family val="2"/>
          </rPr>
          <t xml:space="preserve">
CDC + FIDC</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camil</author>
    <author>marcelamorais</author>
    <author>bruna.silveira</author>
    <author>NicolasPoletti</author>
    <author>anaclara.biolchini</author>
    <author>usuario</author>
  </authors>
  <commentList>
    <comment ref="A38" authorId="0" shapeId="0" xr:uid="{12BEA1EE-2B99-451A-A2DB-977670EB81AF}">
      <text>
        <r>
          <rPr>
            <b/>
            <sz val="9"/>
            <color indexed="81"/>
            <rFont val="Tahoma"/>
            <family val="2"/>
          </rPr>
          <t>camil:</t>
        </r>
        <r>
          <rPr>
            <sz val="9"/>
            <color indexed="81"/>
            <rFont val="Tahoma"/>
            <family val="2"/>
          </rPr>
          <t xml:space="preserve">
int bearing</t>
        </r>
      </text>
    </comment>
    <comment ref="V38" authorId="1" shapeId="0" xr:uid="{00000000-0006-0000-0500-000002000000}">
      <text>
        <r>
          <rPr>
            <b/>
            <sz val="8"/>
            <color indexed="81"/>
            <rFont val="Tahoma"/>
            <family val="2"/>
          </rPr>
          <t>marcelamorais:</t>
        </r>
        <r>
          <rPr>
            <sz val="8"/>
            <color indexed="81"/>
            <rFont val="Tahoma"/>
            <family val="2"/>
          </rPr>
          <t xml:space="preserve">
a taxa estava alta e com o prazo a mais de 60 dias s/ juros que eles dão não atraiu o consumidor</t>
        </r>
      </text>
    </comment>
    <comment ref="X38" authorId="1" shapeId="0" xr:uid="{00000000-0006-0000-0500-000003000000}">
      <text>
        <r>
          <rPr>
            <b/>
            <sz val="8"/>
            <color indexed="81"/>
            <rFont val="Tahoma"/>
            <family val="2"/>
          </rPr>
          <t>marcelamorais:</t>
        </r>
        <r>
          <rPr>
            <sz val="8"/>
            <color indexed="81"/>
            <rFont val="Tahoma"/>
            <family val="2"/>
          </rPr>
          <t xml:space="preserve">
no CC 1t09 falaram q estava indo melhor mas não chega a 12%</t>
        </r>
      </text>
    </comment>
    <comment ref="A46" authorId="0" shapeId="0" xr:uid="{F87B62FD-093C-4DC5-9294-EB110AB9CB5B}">
      <text>
        <r>
          <rPr>
            <b/>
            <sz val="9"/>
            <color indexed="81"/>
            <rFont val="Tahoma"/>
            <family val="2"/>
          </rPr>
          <t>camil:</t>
        </r>
        <r>
          <rPr>
            <sz val="9"/>
            <color indexed="81"/>
            <rFont val="Tahoma"/>
            <family val="2"/>
          </rPr>
          <t xml:space="preserve">
int free</t>
        </r>
      </text>
    </comment>
    <comment ref="A64" authorId="1" shapeId="0" xr:uid="{00000000-0006-0000-0500-000004000000}">
      <text>
        <r>
          <rPr>
            <b/>
            <sz val="8"/>
            <color indexed="81"/>
            <rFont val="Tahoma"/>
            <family val="2"/>
          </rPr>
          <t>bruna.silveira:</t>
        </r>
        <r>
          <rPr>
            <sz val="8"/>
            <color indexed="81"/>
            <rFont val="Tahoma"/>
            <family val="2"/>
          </rPr>
          <t xml:space="preserve">
</t>
        </r>
        <r>
          <rPr>
            <b/>
            <sz val="8"/>
            <color indexed="10"/>
            <rFont val="Tahoma"/>
            <family val="2"/>
          </rPr>
          <t>cond em 0+8 parcelas com encargos</t>
        </r>
        <r>
          <rPr>
            <sz val="8"/>
            <color indexed="10"/>
            <rFont val="Tahoma"/>
            <family val="2"/>
          </rPr>
          <t>:</t>
        </r>
        <r>
          <rPr>
            <sz val="8"/>
            <color indexed="81"/>
            <rFont val="Tahoma"/>
            <family val="2"/>
          </rPr>
          <t xml:space="preserve">  são
contabilizadas as receitas de serviço pela intermediação do crédito direto ao consumidor deduzidos dos impostos incidentes sobre estas receitas etambém, da provisão de perda adicional em crédito que esta condição traz, em função do aumento
do prazo de financiamento ao consumidor. A condição de pagamento em 0+8 parcelas com
encargos, apresenta níveis mais altos de inadimplência, que chegam ao dobro do apresentado
pelas condições sem encargos.</t>
        </r>
        <r>
          <rPr>
            <b/>
            <sz val="8"/>
            <color indexed="10"/>
            <rFont val="Tahoma"/>
            <family val="2"/>
          </rPr>
          <t xml:space="preserve">
No IFRS está líquido do custo de funding do 0+8 (operação de CDCI)</t>
        </r>
      </text>
    </comment>
    <comment ref="A72" authorId="1" shapeId="0" xr:uid="{00000000-0006-0000-0500-000005000000}">
      <text>
        <r>
          <rPr>
            <b/>
            <sz val="8"/>
            <color indexed="81"/>
            <rFont val="Tahoma"/>
            <family val="2"/>
          </rPr>
          <t>marcelamorais:</t>
        </r>
        <r>
          <rPr>
            <sz val="8"/>
            <color indexed="81"/>
            <rFont val="Tahoma"/>
            <family val="2"/>
          </rPr>
          <t xml:space="preserve">
são as</t>
        </r>
        <r>
          <rPr>
            <b/>
            <sz val="8"/>
            <color indexed="81"/>
            <rFont val="Tahoma"/>
            <family val="2"/>
          </rPr>
          <t xml:space="preserve"> receitas</t>
        </r>
        <r>
          <rPr>
            <sz val="8"/>
            <color indexed="81"/>
            <rFont val="Tahoma"/>
            <family val="2"/>
          </rPr>
          <t xml:space="preserve"> geradas com a intermediação das vendas financiadas na
condição de </t>
        </r>
        <r>
          <rPr>
            <b/>
            <sz val="8"/>
            <color indexed="81"/>
            <rFont val="Tahoma"/>
            <family val="2"/>
          </rPr>
          <t>pagamento de 0+8 parcelas (valor da merc + juros- sem os juros devido ao atraso), de Empréstimos Pessoais e de Títulos de Capitalização</t>
        </r>
      </text>
    </comment>
    <comment ref="A75" authorId="2" shapeId="0" xr:uid="{00000000-0006-0000-0500-000006000000}">
      <text>
        <r>
          <rPr>
            <b/>
            <sz val="9"/>
            <color indexed="81"/>
            <rFont val="Tahoma"/>
            <family val="2"/>
          </rPr>
          <t>bruna.silveira:</t>
        </r>
        <r>
          <rPr>
            <sz val="9"/>
            <color indexed="81"/>
            <rFont val="Tahoma"/>
            <family val="2"/>
          </rPr>
          <t xml:space="preserve">
Aqui entra os atrasados do 0+5</t>
        </r>
      </text>
    </comment>
    <comment ref="S76" authorId="3" shapeId="0" xr:uid="{00000000-0006-0000-0500-000007000000}">
      <text>
        <r>
          <rPr>
            <b/>
            <sz val="8"/>
            <color indexed="81"/>
            <rFont val="Tahoma"/>
            <family val="2"/>
          </rPr>
          <t xml:space="preserve">Cai o % porque aumenta o PDD </t>
        </r>
      </text>
    </comment>
    <comment ref="DC77" authorId="1" shapeId="0" xr:uid="{00000000-0006-0000-0500-000008000000}">
      <text>
        <r>
          <rPr>
            <b/>
            <sz val="8"/>
            <color indexed="81"/>
            <rFont val="Tahoma"/>
            <family val="2"/>
          </rPr>
          <t>marcelamorais:</t>
        </r>
        <r>
          <rPr>
            <sz val="8"/>
            <color indexed="81"/>
            <rFont val="Tahoma"/>
            <family val="2"/>
          </rPr>
          <t xml:space="preserve">
razoável cair </t>
        </r>
      </text>
    </comment>
    <comment ref="A80" authorId="2" shapeId="0" xr:uid="{00000000-0006-0000-0500-000009000000}">
      <text>
        <r>
          <rPr>
            <b/>
            <sz val="9"/>
            <color indexed="81"/>
            <rFont val="Tahoma"/>
            <family val="2"/>
          </rPr>
          <t>bruna.silveira:</t>
        </r>
        <r>
          <rPr>
            <sz val="9"/>
            <color indexed="81"/>
            <rFont val="Tahoma"/>
            <family val="2"/>
          </rPr>
          <t xml:space="preserve">
Aqui entram os juros e os atrasados do 0+8
Receita já está liq de funding e impostos</t>
        </r>
      </text>
    </comment>
    <comment ref="S80" authorId="3" shapeId="0" xr:uid="{00000000-0006-0000-0500-00000A000000}">
      <text>
        <r>
          <rPr>
            <b/>
            <sz val="8"/>
            <color indexed="81"/>
            <rFont val="Tahoma"/>
            <family val="2"/>
          </rPr>
          <t>CARTEIRA * SPREAD * IMPOSTOS INDIRETOS * MESES</t>
        </r>
      </text>
    </comment>
    <comment ref="AK80" authorId="2" shapeId="0" xr:uid="{00000000-0006-0000-0500-00000B000000}">
      <text>
        <r>
          <rPr>
            <b/>
            <sz val="9"/>
            <color indexed="81"/>
            <rFont val="Tahoma"/>
            <family val="2"/>
          </rPr>
          <t>bruna.silveira:</t>
        </r>
        <r>
          <rPr>
            <sz val="9"/>
            <color indexed="81"/>
            <rFont val="Tahoma"/>
            <family val="2"/>
          </rPr>
          <t xml:space="preserve">
Aqui ele começou a abrir o co-branded. Foram 10mn de receita.</t>
        </r>
      </text>
    </comment>
    <comment ref="AS80" authorId="2" shapeId="0" xr:uid="{00000000-0006-0000-0500-00000C000000}">
      <text>
        <r>
          <rPr>
            <b/>
            <sz val="9"/>
            <color indexed="81"/>
            <rFont val="Tahoma"/>
            <family val="2"/>
          </rPr>
          <t>bruna.silveira:</t>
        </r>
        <r>
          <rPr>
            <sz val="9"/>
            <color indexed="81"/>
            <rFont val="Tahoma"/>
            <family val="2"/>
          </rPr>
          <t xml:space="preserve">
aqui teve receita de multa e juros dos atrasoa do tri passado</t>
        </r>
      </text>
    </comment>
    <comment ref="DE84" authorId="2" shapeId="0" xr:uid="{00000000-0006-0000-0500-00000D000000}">
      <text>
        <r>
          <rPr>
            <b/>
            <sz val="9"/>
            <color indexed="81"/>
            <rFont val="Tahoma"/>
            <family val="2"/>
          </rPr>
          <t>bruna.silveira:</t>
        </r>
        <r>
          <rPr>
            <sz val="9"/>
            <color indexed="81"/>
            <rFont val="Tahoma"/>
            <family val="2"/>
          </rPr>
          <t xml:space="preserve">
mais prox de 90mn</t>
        </r>
      </text>
    </comment>
    <comment ref="DE93" authorId="2" shapeId="0" xr:uid="{00000000-0006-0000-0500-00000E000000}">
      <text>
        <r>
          <rPr>
            <b/>
            <sz val="9"/>
            <color indexed="81"/>
            <rFont val="Tahoma"/>
            <family val="2"/>
          </rPr>
          <t>bruna.silveira:</t>
        </r>
        <r>
          <rPr>
            <sz val="9"/>
            <color indexed="81"/>
            <rFont val="Tahoma"/>
            <family val="2"/>
          </rPr>
          <t xml:space="preserve">
próximo de 85mn de novo</t>
        </r>
      </text>
    </comment>
    <comment ref="A99" authorId="1" shapeId="0" xr:uid="{00000000-0006-0000-0500-00000F000000}">
      <text>
        <r>
          <rPr>
            <b/>
            <sz val="8"/>
            <color indexed="81"/>
            <rFont val="Tahoma"/>
            <family val="2"/>
          </rPr>
          <t>marcelamorais:</t>
        </r>
        <r>
          <rPr>
            <sz val="8"/>
            <color indexed="81"/>
            <rFont val="Tahoma"/>
            <family val="2"/>
          </rPr>
          <t xml:space="preserve">
são as perdas geradas na intermediação de Empréstimos
Pessoais e as perdas adicionais geradas na condição de pagamento de 0+8 parcelas (entra o valor da mercadoria + juros sobre a merc - não entra o atrasado), deduzidas das
recuperações de perdas baixadas em períodos anteriores</t>
        </r>
      </text>
    </comment>
    <comment ref="W99" authorId="1" shapeId="0" xr:uid="{00000000-0006-0000-0500-000010000000}">
      <text>
        <r>
          <rPr>
            <b/>
            <sz val="8"/>
            <color indexed="81"/>
            <rFont val="Tahoma"/>
            <family val="2"/>
          </rPr>
          <t>marcelamorais:</t>
        </r>
        <r>
          <rPr>
            <sz val="8"/>
            <color indexed="81"/>
            <rFont val="Tahoma"/>
            <family val="2"/>
          </rPr>
          <t xml:space="preserve">
a partir daqui ele soma tudo nessa linha</t>
        </r>
      </text>
    </comment>
    <comment ref="AC99" authorId="1" shapeId="0" xr:uid="{00000000-0006-0000-0500-000011000000}">
      <text>
        <r>
          <rPr>
            <b/>
            <sz val="8"/>
            <color indexed="81"/>
            <rFont val="Tahoma"/>
            <family val="2"/>
          </rPr>
          <t>marcelamorais:</t>
        </r>
        <r>
          <rPr>
            <sz val="8"/>
            <color indexed="81"/>
            <rFont val="Tahoma"/>
            <family val="2"/>
          </rPr>
          <t xml:space="preserve">
até aqui eles faziam um PDD do 0+8 reconhecendo um PDD bruto e um PDD diferido (recuperação). A partir do 4T10, quando entra o FIDC eles começam a reconhecer apenas o total (já incluindo o diferido)</t>
        </r>
      </text>
    </comment>
    <comment ref="AD99" authorId="1" shapeId="0" xr:uid="{00000000-0006-0000-0500-000012000000}">
      <text>
        <r>
          <rPr>
            <b/>
            <sz val="8"/>
            <color indexed="81"/>
            <rFont val="Tahoma"/>
            <family val="2"/>
          </rPr>
          <t>marcelamorais:</t>
        </r>
        <r>
          <rPr>
            <sz val="8"/>
            <color indexed="81"/>
            <rFont val="Tahoma"/>
            <family val="2"/>
          </rPr>
          <t xml:space="preserve">
a partir daqui ele soma tudo nessa linha</t>
        </r>
      </text>
    </comment>
    <comment ref="AH99" authorId="1" shapeId="0" xr:uid="{00000000-0006-0000-0500-000013000000}">
      <text>
        <r>
          <rPr>
            <b/>
            <sz val="8"/>
            <color indexed="81"/>
            <rFont val="Tahoma"/>
            <family val="2"/>
          </rPr>
          <t>marcelamorais:</t>
        </r>
        <r>
          <rPr>
            <sz val="8"/>
            <color indexed="81"/>
            <rFont val="Tahoma"/>
            <family val="2"/>
          </rPr>
          <t xml:space="preserve">
deve ficar em +/- 30mn...parecido com o 4T10 mas ajustando com a reversão</t>
        </r>
      </text>
    </comment>
    <comment ref="AC106" authorId="1" shapeId="0" xr:uid="{00000000-0006-0000-0500-000014000000}">
      <text>
        <r>
          <rPr>
            <b/>
            <sz val="8"/>
            <color indexed="81"/>
            <rFont val="Tahoma"/>
            <family val="2"/>
          </rPr>
          <t>marcelamorais:</t>
        </r>
        <r>
          <rPr>
            <sz val="8"/>
            <color indexed="81"/>
            <rFont val="Tahoma"/>
            <family val="2"/>
          </rPr>
          <t xml:space="preserve">
não recorrente: viram q estavam sendo mto conservadores c o pdd e resolveram diminuir
reversão positiva +/- 6mn</t>
        </r>
      </text>
    </comment>
    <comment ref="AD106" authorId="1" shapeId="0" xr:uid="{00000000-0006-0000-0500-000015000000}">
      <text>
        <r>
          <rPr>
            <b/>
            <sz val="8"/>
            <color indexed="81"/>
            <rFont val="Tahoma"/>
            <family val="2"/>
          </rPr>
          <t>marcelamorais:</t>
        </r>
        <r>
          <rPr>
            <sz val="8"/>
            <color indexed="81"/>
            <rFont val="Tahoma"/>
            <family val="2"/>
          </rPr>
          <t xml:space="preserve">
Aqui teve reversão de +/-10mn</t>
        </r>
      </text>
    </comment>
    <comment ref="A121" authorId="1" shapeId="0" xr:uid="{00000000-0006-0000-0500-000016000000}">
      <text>
        <r>
          <rPr>
            <b/>
            <sz val="8"/>
            <color indexed="81"/>
            <rFont val="Tahoma"/>
            <family val="2"/>
          </rPr>
          <t>bruna.silveira:</t>
        </r>
        <r>
          <rPr>
            <sz val="8"/>
            <color indexed="81"/>
            <rFont val="Tahoma"/>
            <family val="2"/>
          </rPr>
          <t xml:space="preserve">
personnal loans tem 1/3 da carteira de PDD</t>
        </r>
      </text>
    </comment>
    <comment ref="A124" authorId="1" shapeId="0" xr:uid="{00000000-0006-0000-0500-000017000000}">
      <text>
        <r>
          <rPr>
            <b/>
            <sz val="8"/>
            <color indexed="81"/>
            <rFont val="Tahoma"/>
            <family val="2"/>
          </rPr>
          <t>bruna.silveira:</t>
        </r>
        <r>
          <rPr>
            <sz val="8"/>
            <color indexed="81"/>
            <rFont val="Tahoma"/>
            <family val="2"/>
          </rPr>
          <t xml:space="preserve">
são as despesas relacionadas à operacionalização dos serviços
financeiros, incluindo todos os gastos adicionais gerados com este negócio</t>
        </r>
      </text>
    </comment>
    <comment ref="AE124" authorId="1" shapeId="0" xr:uid="{00000000-0006-0000-0500-000018000000}">
      <text>
        <r>
          <rPr>
            <b/>
            <sz val="8"/>
            <color indexed="81"/>
            <rFont val="Tahoma"/>
            <family val="2"/>
          </rPr>
          <t>marcelamorais:</t>
        </r>
        <r>
          <rPr>
            <sz val="8"/>
            <color indexed="81"/>
            <rFont val="Tahoma"/>
            <family val="2"/>
          </rPr>
          <t xml:space="preserve">
aqui já começaram a entrar algumas desp de co-branded. Além disso fizeram um ajuste pq tinham funcionários da operação de cartão que eram alocados em varejo e agora começaram a entrar aqui.</t>
        </r>
      </text>
    </comment>
    <comment ref="AH130" authorId="1" shapeId="0" xr:uid="{00000000-0006-0000-0500-000019000000}">
      <text>
        <r>
          <rPr>
            <b/>
            <sz val="8"/>
            <color indexed="81"/>
            <rFont val="Tahoma"/>
            <family val="2"/>
          </rPr>
          <t>marcelamorais:</t>
        </r>
        <r>
          <rPr>
            <sz val="8"/>
            <color indexed="81"/>
            <rFont val="Tahoma"/>
            <family val="2"/>
          </rPr>
          <t xml:space="preserve">
acha que vai ter um resultado parecido com o 4t10 ajustado pelo não recorrente de 10mn do 4t10</t>
        </r>
      </text>
    </comment>
    <comment ref="AS130" authorId="4" shapeId="0" xr:uid="{00000000-0006-0000-0500-00001A000000}">
      <text>
        <r>
          <rPr>
            <b/>
            <sz val="9"/>
            <color indexed="81"/>
            <rFont val="Tahoma"/>
            <family val="2"/>
          </rPr>
          <t>anaclara.biolchini:</t>
        </r>
        <r>
          <rPr>
            <sz val="9"/>
            <color indexed="81"/>
            <rFont val="Tahoma"/>
            <family val="2"/>
          </rPr>
          <t xml:space="preserve">
falou p safra que em termos nominais cresc em linha c a receita do varejo</t>
        </r>
      </text>
    </comment>
    <comment ref="CI130" authorId="5" shapeId="0" xr:uid="{E9F2CDBE-4EBD-4760-AB8B-5ABD781361F0}">
      <text>
        <r>
          <rPr>
            <b/>
            <sz val="9"/>
            <color indexed="81"/>
            <rFont val="Tahoma"/>
            <family val="2"/>
          </rPr>
          <t>usuario:</t>
        </r>
        <r>
          <rPr>
            <sz val="9"/>
            <color indexed="81"/>
            <rFont val="Tahoma"/>
            <family val="2"/>
          </rPr>
          <t xml:space="preserve">
Nao Recorrentes por cambio em contabilidade por R$95mln</t>
        </r>
      </text>
    </comment>
    <comment ref="CJ130" authorId="5" shapeId="0" xr:uid="{BDE7E5CA-E9D4-49AF-B749-F1F1DBE193BB}">
      <text>
        <r>
          <rPr>
            <b/>
            <sz val="9"/>
            <color indexed="81"/>
            <rFont val="Tahoma"/>
            <family val="2"/>
          </rPr>
          <t>usuario:</t>
        </r>
        <r>
          <rPr>
            <sz val="9"/>
            <color indexed="81"/>
            <rFont val="Tahoma"/>
            <family val="2"/>
          </rPr>
          <t xml:space="preserve">
Nao Recorrentes por cambio em contabilidade por R$60mln</t>
        </r>
      </text>
    </comment>
    <comment ref="A140" authorId="2" shapeId="0" xr:uid="{00000000-0006-0000-0500-00001B000000}">
      <text>
        <r>
          <rPr>
            <b/>
            <sz val="9"/>
            <color indexed="81"/>
            <rFont val="Tahoma"/>
            <family val="2"/>
          </rPr>
          <t>bruna.silveira:</t>
        </r>
        <r>
          <rPr>
            <sz val="9"/>
            <color indexed="81"/>
            <rFont val="Tahoma"/>
            <family val="2"/>
          </rPr>
          <t xml:space="preserve">
aprox 65% da carteira</t>
        </r>
      </text>
    </comment>
    <comment ref="A143" authorId="2" shapeId="0" xr:uid="{00000000-0006-0000-0500-00001C000000}">
      <text>
        <r>
          <rPr>
            <b/>
            <sz val="9"/>
            <color indexed="81"/>
            <rFont val="Tahoma"/>
            <family val="2"/>
          </rPr>
          <t>bruna.silveira:</t>
        </r>
        <r>
          <rPr>
            <sz val="9"/>
            <color indexed="81"/>
            <rFont val="Tahoma"/>
            <family val="2"/>
          </rPr>
          <t xml:space="preserve">
aprox 35% da carteira</t>
        </r>
      </text>
    </comment>
    <comment ref="CJ299" authorId="5" shapeId="0" xr:uid="{0D3B0423-5BDC-4B8F-B90B-119D2DFA0E91}">
      <text>
        <r>
          <rPr>
            <b/>
            <sz val="9"/>
            <color indexed="81"/>
            <rFont val="Tahoma"/>
            <family val="2"/>
          </rPr>
          <t>usuario:</t>
        </r>
        <r>
          <rPr>
            <sz val="9"/>
            <color indexed="81"/>
            <rFont val="Tahoma"/>
            <family val="2"/>
          </rPr>
          <t xml:space="preserve">
Valor apresentado líquido dos impostos de PIS e COFINS, que nos três e seis meses findos em 30 de junho de 2025 correspondem a R$ 3.163 e R$ 5.455 no Consolidado (R$ 2.101 e R$ 4.623 no Consolidado em 2024)</t>
        </r>
      </text>
    </comment>
    <comment ref="W314" authorId="1" shapeId="0" xr:uid="{00000000-0006-0000-0500-000020000000}">
      <text>
        <r>
          <rPr>
            <b/>
            <sz val="8"/>
            <color indexed="81"/>
            <rFont val="Tahoma"/>
            <family val="2"/>
          </rPr>
          <t>marcelamorais:</t>
        </r>
        <r>
          <rPr>
            <sz val="8"/>
            <color indexed="81"/>
            <rFont val="Tahoma"/>
            <family val="2"/>
          </rPr>
          <t xml:space="preserve">
aqui entrou -0,5 do VP dos imp LP</t>
        </r>
      </text>
    </comment>
    <comment ref="A316" authorId="1" shapeId="0" xr:uid="{00000000-0006-0000-0500-000021000000}">
      <text>
        <r>
          <rPr>
            <b/>
            <sz val="8"/>
            <color indexed="81"/>
            <rFont val="Tahoma"/>
            <family val="2"/>
          </rPr>
          <t>marcelamorais:</t>
        </r>
        <r>
          <rPr>
            <sz val="8"/>
            <color indexed="81"/>
            <rFont val="Tahoma"/>
            <family val="2"/>
          </rPr>
          <t xml:space="preserve">
dív com o Santander</t>
        </r>
      </text>
    </comment>
    <comment ref="AD316" authorId="1" shapeId="0" xr:uid="{00000000-0006-0000-0500-000022000000}">
      <text>
        <r>
          <rPr>
            <b/>
            <sz val="8"/>
            <color indexed="81"/>
            <rFont val="Tahoma"/>
            <family val="2"/>
          </rPr>
          <t>marcelamorais:</t>
        </r>
        <r>
          <rPr>
            <sz val="8"/>
            <color indexed="81"/>
            <rFont val="Tahoma"/>
            <family val="2"/>
          </rPr>
          <t xml:space="preserve">
a partir daqui fica zerado porque entra no resultado do cartão</t>
        </r>
      </text>
    </comment>
    <comment ref="AT321" authorId="2" shapeId="0" xr:uid="{00000000-0006-0000-0500-000023000000}">
      <text>
        <r>
          <rPr>
            <b/>
            <sz val="9"/>
            <color indexed="81"/>
            <rFont val="Tahoma"/>
            <family val="2"/>
          </rPr>
          <t>bruna.silveira:</t>
        </r>
        <r>
          <rPr>
            <sz val="9"/>
            <color indexed="81"/>
            <rFont val="Tahoma"/>
            <family val="2"/>
          </rPr>
          <t xml:space="preserve">
tem 13,3</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camil</author>
  </authors>
  <commentList>
    <comment ref="M11" authorId="0" shapeId="0" xr:uid="{F684DB47-5D46-4565-955A-732F15BE4612}">
      <text>
        <r>
          <rPr>
            <sz val="11"/>
            <color theme="1"/>
            <rFont val="Calibri"/>
            <family val="2"/>
            <scheme val="minor"/>
          </rPr>
          <t>camil:
ebitda ajustado ex ifrs"</t>
        </r>
      </text>
    </comment>
    <comment ref="M14" authorId="0" shapeId="0" xr:uid="{F8DAAB3C-C836-4F1D-9BA4-2DE643704919}">
      <text>
        <r>
          <rPr>
            <b/>
            <sz val="9"/>
            <color indexed="81"/>
            <rFont val="Tahoma"/>
            <family val="2"/>
          </rPr>
          <t>camil:</t>
        </r>
        <r>
          <rPr>
            <sz val="9"/>
            <color indexed="81"/>
            <rFont val="Tahoma"/>
            <family val="2"/>
          </rPr>
          <t xml:space="preserve">
ebitda ajustado ex ifrs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Marcela Morais</author>
  </authors>
  <commentList>
    <comment ref="L4" authorId="0" shapeId="0" xr:uid="{A16CB218-6149-426C-88E4-85683CA41FBC}">
      <text>
        <r>
          <rPr>
            <b/>
            <sz val="9"/>
            <color indexed="81"/>
            <rFont val="Tahoma"/>
            <family val="2"/>
          </rPr>
          <t>Marcela Morais:</t>
        </r>
        <r>
          <rPr>
            <sz val="9"/>
            <color indexed="81"/>
            <rFont val="Tahoma"/>
            <family val="2"/>
          </rPr>
          <t xml:space="preserve">
ajuste pelo tax credit</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<sst xmlns="http://schemas.openxmlformats.org/spreadsheetml/2006/main" count="1590" uniqueCount="983">
  <si>
    <t>FATOR</t>
  </si>
  <si>
    <t>HOJE</t>
  </si>
  <si>
    <t>PROJ</t>
  </si>
  <si>
    <t>DIAS</t>
  </si>
  <si>
    <t>Preço Gmat3</t>
  </si>
  <si>
    <t>Cagr</t>
  </si>
  <si>
    <t>CARLA SSFEIR</t>
  </si>
  <si>
    <t>55 51 2121 7006</t>
  </si>
  <si>
    <t>Mkt Cap</t>
  </si>
  <si>
    <t>FCF</t>
  </si>
  <si>
    <t>LL 26</t>
  </si>
  <si>
    <t>Soma dos FCF</t>
  </si>
  <si>
    <t>GR%</t>
  </si>
  <si>
    <t>P/E 2026 hj</t>
  </si>
  <si>
    <t>(+) Perpetuidade</t>
  </si>
  <si>
    <t>Upside</t>
  </si>
  <si>
    <t>EV</t>
  </si>
  <si>
    <t>LREN</t>
  </si>
  <si>
    <t>(-) Total Debt</t>
  </si>
  <si>
    <t>ROE1</t>
  </si>
  <si>
    <t xml:space="preserve">P/E tgt </t>
  </si>
  <si>
    <t>(+) Caixa</t>
  </si>
  <si>
    <t>ROE2</t>
  </si>
  <si>
    <t>(+) VP Outros Ativos Fin Líquidos</t>
  </si>
  <si>
    <t>G1</t>
  </si>
  <si>
    <t>Lula</t>
  </si>
  <si>
    <t>Tarcísio</t>
  </si>
  <si>
    <t>(+) Investimentos</t>
  </si>
  <si>
    <t>G2</t>
  </si>
  <si>
    <t>(+) Outros Ativos Não Oper.</t>
  </si>
  <si>
    <t>Ke</t>
  </si>
  <si>
    <t>Gmat3</t>
  </si>
  <si>
    <t>(-) Opções</t>
  </si>
  <si>
    <t>N (moat)</t>
  </si>
  <si>
    <t>(+) Ajuste Dividendos</t>
  </si>
  <si>
    <t>(-) Minoritários</t>
  </si>
  <si>
    <t>INFL</t>
  </si>
  <si>
    <t>Valor de Mercado Proj</t>
  </si>
  <si>
    <t>GDP Perp</t>
  </si>
  <si>
    <t>Num Ações</t>
  </si>
  <si>
    <t>Aj. G2</t>
  </si>
  <si>
    <t>Cot R$ DEZ/2026PROJ</t>
  </si>
  <si>
    <t>BNTNB</t>
  </si>
  <si>
    <t>Cot R$ HOJE PROJ</t>
  </si>
  <si>
    <t>ERP</t>
  </si>
  <si>
    <t>Cot R$ 12m</t>
  </si>
  <si>
    <t>Beta</t>
  </si>
  <si>
    <t>Cot R$ HJ</t>
  </si>
  <si>
    <t>var% 12m</t>
  </si>
  <si>
    <t>P/E Target</t>
  </si>
  <si>
    <t>vs 2025</t>
  </si>
  <si>
    <t>Valor de Mercado hj</t>
  </si>
  <si>
    <t>Noplat 2030</t>
  </si>
  <si>
    <t>ROIC</t>
  </si>
  <si>
    <t>P/E Target 2026</t>
  </si>
  <si>
    <t>G</t>
  </si>
  <si>
    <t>Wacc</t>
  </si>
  <si>
    <t>Perp</t>
  </si>
  <si>
    <t>DRE</t>
  </si>
  <si>
    <t>WACC %</t>
  </si>
  <si>
    <t>Alavancagem</t>
  </si>
  <si>
    <t>Rdebt %</t>
  </si>
  <si>
    <t xml:space="preserve">  Debt Bruto %</t>
  </si>
  <si>
    <t xml:space="preserve">  IR %</t>
  </si>
  <si>
    <t xml:space="preserve">  US$ %</t>
  </si>
  <si>
    <t>Requity %</t>
  </si>
  <si>
    <t>Juros Real</t>
  </si>
  <si>
    <t xml:space="preserve">Equity risk premium </t>
  </si>
  <si>
    <t>IPCA</t>
  </si>
  <si>
    <t>perp</t>
  </si>
  <si>
    <t>FCFF</t>
  </si>
  <si>
    <t>FD</t>
  </si>
  <si>
    <t>VP</t>
  </si>
  <si>
    <t>FCFE</t>
  </si>
  <si>
    <t>IRR</t>
  </si>
  <si>
    <t>Dividendos</t>
  </si>
  <si>
    <t>EVA</t>
  </si>
  <si>
    <t>Net Debt</t>
  </si>
  <si>
    <t>NET DEBT/COI</t>
  </si>
  <si>
    <t>CAIXA/COI</t>
  </si>
  <si>
    <t>NET DEBT/BV</t>
  </si>
  <si>
    <t>PAY OUT</t>
  </si>
  <si>
    <t>Alavancagem Proj</t>
  </si>
  <si>
    <t>VM Proj</t>
  </si>
  <si>
    <t>Lojas Renner</t>
  </si>
  <si>
    <t>Preço:</t>
  </si>
  <si>
    <t>Bofa</t>
  </si>
  <si>
    <t>Itau</t>
  </si>
  <si>
    <t>MS</t>
  </si>
  <si>
    <t>BTG</t>
  </si>
  <si>
    <t>Receita Líquida</t>
  </si>
  <si>
    <t>Net Revenues</t>
  </si>
  <si>
    <t>y-o-y</t>
  </si>
  <si>
    <t>Mercadorias</t>
  </si>
  <si>
    <t>Prod/Serv Financeiros</t>
  </si>
  <si>
    <t>SSS</t>
  </si>
  <si>
    <t>CPV</t>
  </si>
  <si>
    <t>Lucro Bruto</t>
  </si>
  <si>
    <t>Gross Profit</t>
  </si>
  <si>
    <t>Mg Bruta</t>
  </si>
  <si>
    <t>mg</t>
  </si>
  <si>
    <t>Mg Bruta retail</t>
  </si>
  <si>
    <t>SG&amp;A</t>
  </si>
  <si>
    <t>% rec liquida</t>
  </si>
  <si>
    <t>EBIT</t>
  </si>
  <si>
    <t>Adj EBIT</t>
  </si>
  <si>
    <t>Resultado Financeiro</t>
  </si>
  <si>
    <t>LAIR</t>
  </si>
  <si>
    <t>IR &amp; CS</t>
  </si>
  <si>
    <t>tax rate</t>
  </si>
  <si>
    <t>Lucro Líquido</t>
  </si>
  <si>
    <t>Net Income</t>
  </si>
  <si>
    <t>Resultado nao Operacional</t>
  </si>
  <si>
    <t>Recup Credito Fiscal</t>
  </si>
  <si>
    <t>Subv ICMS (cred presum)</t>
  </si>
  <si>
    <t>LL adj</t>
  </si>
  <si>
    <t>BAP</t>
  </si>
  <si>
    <t>FLUXO DE CAIXA FIRMA</t>
  </si>
  <si>
    <t>EBITDA Div</t>
  </si>
  <si>
    <t>EBITDA</t>
  </si>
  <si>
    <t>yoy</t>
  </si>
  <si>
    <t>Mg EBITDA</t>
  </si>
  <si>
    <t>mrgn</t>
  </si>
  <si>
    <t>EBITDA Adj (Con IFRS)</t>
  </si>
  <si>
    <t>vs 2019</t>
  </si>
  <si>
    <t>EBITDA Adj Retail (Con IFRS)</t>
  </si>
  <si>
    <t>EBITDA SS Financeiros</t>
  </si>
  <si>
    <t>Tax Credit</t>
  </si>
  <si>
    <t>EBITDA Adj (EX IFRS)</t>
  </si>
  <si>
    <t>EBITDA Retail adj (Ex IFRS)</t>
  </si>
  <si>
    <t>EBITDA Retail</t>
  </si>
  <si>
    <t>Múltiplos</t>
  </si>
  <si>
    <t>EPS</t>
  </si>
  <si>
    <t>P/BV</t>
  </si>
  <si>
    <t>P/E</t>
  </si>
  <si>
    <t>P/E (adj subv e credito</t>
  </si>
  <si>
    <t>ROE</t>
  </si>
  <si>
    <t>EV/EBITDA</t>
  </si>
  <si>
    <t>EV/COI</t>
  </si>
  <si>
    <t>EV/Sales</t>
  </si>
  <si>
    <t>alavancagem est</t>
  </si>
  <si>
    <t>custo</t>
  </si>
  <si>
    <t>PE</t>
  </si>
  <si>
    <t>Sensibilidade</t>
  </si>
  <si>
    <t>Tax Rate</t>
  </si>
  <si>
    <t>2024 - PE</t>
  </si>
  <si>
    <t>Retail EBITDA mrgn</t>
  </si>
  <si>
    <t xml:space="preserve">Retail </t>
  </si>
  <si>
    <t>9% de CS taxado na subvencao</t>
  </si>
  <si>
    <t>Realize</t>
  </si>
  <si>
    <t>34% taxado na subvencao</t>
  </si>
  <si>
    <t>2024 - Net Income</t>
  </si>
  <si>
    <t>SG&amp;A (ex dep)</t>
  </si>
  <si>
    <t>EBITDA adj</t>
  </si>
  <si>
    <t>Mg ebitda</t>
  </si>
  <si>
    <t>2025 - PE</t>
  </si>
  <si>
    <t>Depreciacao</t>
  </si>
  <si>
    <t>Outras Desp/Rec</t>
  </si>
  <si>
    <t>2025 - Net Income</t>
  </si>
  <si>
    <t>Tax rate</t>
  </si>
  <si>
    <t>% LAIR</t>
  </si>
  <si>
    <t>JCP</t>
  </si>
  <si>
    <t>% RL</t>
  </si>
  <si>
    <t>Subvencao</t>
  </si>
  <si>
    <t>Outros</t>
  </si>
  <si>
    <t>CHECK</t>
  </si>
  <si>
    <t>EBITDA ex outras</t>
  </si>
  <si>
    <t>Inflação</t>
  </si>
  <si>
    <t>Receita Bruta</t>
  </si>
  <si>
    <t xml:space="preserve">  var y-o-y</t>
  </si>
  <si>
    <t xml:space="preserve">  var q-o-q</t>
  </si>
  <si>
    <t xml:space="preserve">       Vendas de Merc.</t>
  </si>
  <si>
    <t xml:space="preserve">           % Rec Bruta</t>
  </si>
  <si>
    <t xml:space="preserve">       Prod/Serv Fin.</t>
  </si>
  <si>
    <t>Deduções</t>
  </si>
  <si>
    <t>% deduções</t>
  </si>
  <si>
    <t xml:space="preserve">     Imp vdas e merc</t>
  </si>
  <si>
    <t xml:space="preserve">           % deduções</t>
  </si>
  <si>
    <t xml:space="preserve">           % Rec Bruta Merc</t>
  </si>
  <si>
    <t xml:space="preserve"> </t>
  </si>
  <si>
    <t xml:space="preserve">     Imp. Prod/serv fin.</t>
  </si>
  <si>
    <t xml:space="preserve">           % Rec Bruta Serv Fin</t>
  </si>
  <si>
    <t>Receita Liq</t>
  </si>
  <si>
    <t xml:space="preserve">           % Rec Líquida</t>
  </si>
  <si>
    <t>var y-o-y</t>
  </si>
  <si>
    <t xml:space="preserve">   % rec líq</t>
  </si>
  <si>
    <t>CPV Retail</t>
  </si>
  <si>
    <t>% rec líq</t>
  </si>
  <si>
    <t>CPV Financeiro</t>
  </si>
  <si>
    <t>margem bruta</t>
  </si>
  <si>
    <t>Lucro Bruto Retail</t>
  </si>
  <si>
    <t>margem bruta Retail</t>
  </si>
  <si>
    <t>dif yoy</t>
  </si>
  <si>
    <t>Lucro Bruto Financeiro</t>
  </si>
  <si>
    <t xml:space="preserve">                   Carteira Total</t>
  </si>
  <si>
    <t>Yield / cartera total</t>
  </si>
  <si>
    <t>SG&amp;A Total (varejo+cartão)</t>
  </si>
  <si>
    <t>SG&amp;A Retail</t>
  </si>
  <si>
    <t>% Net Rev Retail</t>
  </si>
  <si>
    <t>Vendas</t>
  </si>
  <si>
    <t xml:space="preserve">   % Rec.Líq</t>
  </si>
  <si>
    <t xml:space="preserve">   % Rec.Líq Merc</t>
  </si>
  <si>
    <t xml:space="preserve">   Fator de cres desp</t>
  </si>
  <si>
    <t>G&amp;A</t>
  </si>
  <si>
    <t>Depreciação</t>
  </si>
  <si>
    <t>PDD líq</t>
  </si>
  <si>
    <t>Outras</t>
  </si>
  <si>
    <t>% rec.líq</t>
  </si>
  <si>
    <t>Produtos/serviçõs financeiros</t>
  </si>
  <si>
    <t>% Rec Fin</t>
  </si>
  <si>
    <t>Rem dos Adm - mgnt compensation</t>
  </si>
  <si>
    <t xml:space="preserve">    % rec líq</t>
  </si>
  <si>
    <t>Tributárias</t>
  </si>
  <si>
    <t>Participação empregados - Employee profit sharing</t>
  </si>
  <si>
    <t xml:space="preserve">    Outras</t>
  </si>
  <si>
    <t xml:space="preserve">Result on Sales, Write-off of or Impairment of Fixed Assets </t>
  </si>
  <si>
    <t>Stock Options</t>
  </si>
  <si>
    <t>Statutory Participation</t>
  </si>
  <si>
    <t xml:space="preserve">            margem ebit</t>
  </si>
  <si>
    <t>Depreciacao Imobilizado</t>
  </si>
  <si>
    <t xml:space="preserve">                              Imobilizado</t>
  </si>
  <si>
    <t xml:space="preserve">                      Depreciação/Imob</t>
  </si>
  <si>
    <t>Amortizacao de direito de uso</t>
  </si>
  <si>
    <t>Ativo Arrend</t>
  </si>
  <si>
    <t>taxa</t>
  </si>
  <si>
    <t>X LOJA</t>
  </si>
  <si>
    <t>Pasivo Arrend</t>
  </si>
  <si>
    <t>CP</t>
  </si>
  <si>
    <t>LP</t>
  </si>
  <si>
    <t>EBITDA (divulgado)</t>
  </si>
  <si>
    <t>Margem</t>
  </si>
  <si>
    <t>margem ebitda dif</t>
  </si>
  <si>
    <t>Ajustes</t>
  </si>
  <si>
    <t>% sales</t>
  </si>
  <si>
    <t>Stock Option Plan</t>
  </si>
  <si>
    <t>EBITDA Adj</t>
  </si>
  <si>
    <t>Margem Adj</t>
  </si>
  <si>
    <t>Tax Credit Recovery</t>
  </si>
  <si>
    <t>EBITDA Ex tax credit</t>
  </si>
  <si>
    <t>EBITDA RETAIL Adj</t>
  </si>
  <si>
    <t xml:space="preserve">Margem Retail Adj </t>
  </si>
  <si>
    <t>EBITDA financeiro</t>
  </si>
  <si>
    <t xml:space="preserve">Margem Fina Adj </t>
  </si>
  <si>
    <t>% do total</t>
  </si>
  <si>
    <t>AJUSTE IFRS</t>
  </si>
  <si>
    <t>Depreciationfor Leasing (IFRS16) (*)</t>
  </si>
  <si>
    <t>Financial Expenses for Leasing (IFRS16) (**)</t>
  </si>
  <si>
    <t>% Retail Net Sales</t>
  </si>
  <si>
    <t>Other adjustments</t>
  </si>
  <si>
    <t>EBITDA adj Divulgado (ex IFRS)</t>
  </si>
  <si>
    <t>margen consolidated</t>
  </si>
  <si>
    <t>margen / net rev retail</t>
  </si>
  <si>
    <t>var yoy</t>
  </si>
  <si>
    <t>dif pp con IFRS</t>
  </si>
  <si>
    <t>EBITDA RETAIL Adj (ex IFRS)</t>
  </si>
  <si>
    <t>EBITDA financeiro (ex IFRS)</t>
  </si>
  <si>
    <t>LOJAS</t>
  </si>
  <si>
    <t>Renner</t>
  </si>
  <si>
    <t xml:space="preserve">   novas lojas Total</t>
  </si>
  <si>
    <t xml:space="preserve">  avg  m² Totais (miles)</t>
  </si>
  <si>
    <t xml:space="preserve">   loja média (m²)</t>
  </si>
  <si>
    <t>Receita líq (mln)</t>
  </si>
  <si>
    <t>m2 loja nova</t>
  </si>
  <si>
    <t>YouCom</t>
  </si>
  <si>
    <t xml:space="preserve">   novas lojas</t>
  </si>
  <si>
    <t xml:space="preserve">   m² Totais (miles)</t>
  </si>
  <si>
    <t>$</t>
  </si>
  <si>
    <t>Camicado</t>
  </si>
  <si>
    <t>RL</t>
  </si>
  <si>
    <t>Lucro Bruto reportado</t>
  </si>
  <si>
    <t>Lucro Bruto sumado BU</t>
  </si>
  <si>
    <t>TOTAL Lojas em Operação</t>
  </si>
  <si>
    <t>m2 por loja em média</t>
  </si>
  <si>
    <t>%aumento de área</t>
  </si>
  <si>
    <t>Total de m2 (miles)</t>
  </si>
  <si>
    <t>q-o-q</t>
  </si>
  <si>
    <t>m2 adicionados no tri</t>
  </si>
  <si>
    <t>m2 adicionados no ano</t>
  </si>
  <si>
    <t>M2 Equivalentes Totais</t>
  </si>
  <si>
    <t>% Maturação</t>
  </si>
  <si>
    <t>Rec.Líq</t>
  </si>
  <si>
    <t>Rec.Líq calc.</t>
  </si>
  <si>
    <t>erro</t>
  </si>
  <si>
    <t>RecLíq por m2</t>
  </si>
  <si>
    <t xml:space="preserve">  var y-o-y(nominal)</t>
  </si>
  <si>
    <t>lojas maturadas</t>
  </si>
  <si>
    <t>lojas novas</t>
  </si>
  <si>
    <t>m2 médios do período</t>
  </si>
  <si>
    <t>RecLíq por m2 médio</t>
  </si>
  <si>
    <t>RL / m2 LTM</t>
  </si>
  <si>
    <t>RL / m2 6M</t>
  </si>
  <si>
    <t>SSS (nominal)</t>
  </si>
  <si>
    <t>|</t>
  </si>
  <si>
    <t>SSS (real)</t>
  </si>
  <si>
    <t>Maturação Sul+Sudeste</t>
  </si>
  <si>
    <t>Total de Lojas no Sudeste</t>
  </si>
  <si>
    <t>Loja 0-1 ano</t>
  </si>
  <si>
    <t>Loja 1-2 anos</t>
  </si>
  <si>
    <t>Loja 2-3 anos</t>
  </si>
  <si>
    <t>Loja 3-4 anos</t>
  </si>
  <si>
    <t>Loja 4-5 anos</t>
  </si>
  <si>
    <t>Loja 5-6 anos</t>
  </si>
  <si>
    <t>Loja 6-7 anos</t>
  </si>
  <si>
    <t>Loja 7-8 anos</t>
  </si>
  <si>
    <t>Loja mais de 8 anos</t>
  </si>
  <si>
    <t>Maturação Norte+Nordeste</t>
  </si>
  <si>
    <t>Total de Lojas no Nordeste</t>
  </si>
  <si>
    <t>Loja mais de 5 anos</t>
  </si>
  <si>
    <t>M2 Equivalentes Sul+Sudeste</t>
  </si>
  <si>
    <t>M2 Equivalentes Norte+Nordeste</t>
  </si>
  <si>
    <t>Receita Líquida Retail</t>
  </si>
  <si>
    <t>Receita Líquida por loja</t>
  </si>
  <si>
    <t>CAPEX</t>
  </si>
  <si>
    <t>TOTAL</t>
  </si>
  <si>
    <t>capex/sales varejo</t>
  </si>
  <si>
    <t>capex/depreciação</t>
  </si>
  <si>
    <t>CAPEX Expansão</t>
  </si>
  <si>
    <t>Novas Lojas (R$ MM)</t>
  </si>
  <si>
    <t>capex abert/m2</t>
  </si>
  <si>
    <t>capex/m2 12m</t>
  </si>
  <si>
    <t xml:space="preserve">  % do Total</t>
  </si>
  <si>
    <t>capex/loja aberta</t>
  </si>
  <si>
    <t>CAPEX Manutenção</t>
  </si>
  <si>
    <t>Subject</t>
  </si>
  <si>
    <t>Received</t>
  </si>
  <si>
    <t>Size</t>
  </si>
  <si>
    <t>Categories</t>
  </si>
  <si>
    <t>RE: dolar</t>
  </si>
  <si>
    <t>10 KB</t>
  </si>
  <si>
    <t>Remodelação de Instalações</t>
  </si>
  <si>
    <t>% rec líq de mercadorias</t>
  </si>
  <si>
    <t>custo por loja reformada</t>
  </si>
  <si>
    <t>nº de lojas reformadas em med.</t>
  </si>
  <si>
    <t>capex/loja remodelada</t>
  </si>
  <si>
    <t>Sistemas e Equipamentos</t>
  </si>
  <si>
    <t xml:space="preserve">% rec líq </t>
  </si>
  <si>
    <t>DC e Outros</t>
  </si>
  <si>
    <t>Impostos e Ajustes</t>
  </si>
  <si>
    <t xml:space="preserve">  Desp Vendas</t>
  </si>
  <si>
    <t xml:space="preserve">  Desp Administrativas</t>
  </si>
  <si>
    <t xml:space="preserve">  Depreciação</t>
  </si>
  <si>
    <t xml:space="preserve">  PDD</t>
  </si>
  <si>
    <t xml:space="preserve">  Outras</t>
  </si>
  <si>
    <t xml:space="preserve">  Receitas Financeiras</t>
  </si>
  <si>
    <t xml:space="preserve">  Despesas Financeiras</t>
  </si>
  <si>
    <t>EBT</t>
  </si>
  <si>
    <t>Res Não Operacional</t>
  </si>
  <si>
    <t>Participações</t>
  </si>
  <si>
    <t>Minoritários</t>
  </si>
  <si>
    <t>Lucro Líquido Adj</t>
  </si>
  <si>
    <t>CAGR 10 anos</t>
  </si>
  <si>
    <t>(-) Deprec &amp; Amort</t>
  </si>
  <si>
    <t xml:space="preserve">    (-) Depreciação</t>
  </si>
  <si>
    <t xml:space="preserve">    (-) Dep IFRS</t>
  </si>
  <si>
    <t>EBIT IFRS</t>
  </si>
  <si>
    <t xml:space="preserve">    (-) Juros IFRS</t>
  </si>
  <si>
    <t>EBIT IAS</t>
  </si>
  <si>
    <t>Adjusted EBIT</t>
  </si>
  <si>
    <t xml:space="preserve">  (+) Provisão de IR &amp; CS</t>
  </si>
  <si>
    <t>(-) Income Taxes</t>
  </si>
  <si>
    <t xml:space="preserve">  (+) Incentivos Fiscais</t>
  </si>
  <si>
    <t>(+) Tax Savings from IoE and Others</t>
  </si>
  <si>
    <t xml:space="preserve">  (-) Part</t>
  </si>
  <si>
    <t>(+) D&amp;A (ex-IFRS16)</t>
  </si>
  <si>
    <t xml:space="preserve">  (+) Ganho de AVP</t>
  </si>
  <si>
    <t>(-) Change in Working Capital</t>
  </si>
  <si>
    <t>NOPLAT</t>
  </si>
  <si>
    <t>(-) Capex</t>
  </si>
  <si>
    <t xml:space="preserve">  (+) Deprec &amp; Amort (ex-IFRS)</t>
  </si>
  <si>
    <t xml:space="preserve"> (+) Impostos Diferidos</t>
  </si>
  <si>
    <t xml:space="preserve">  (-) Inv Cap Giro</t>
  </si>
  <si>
    <t xml:space="preserve">  (-) Capex</t>
  </si>
  <si>
    <t xml:space="preserve">  (+) Venda de Ativos</t>
  </si>
  <si>
    <t xml:space="preserve">  (+) Ajustes IR</t>
  </si>
  <si>
    <t>FCF Firm</t>
  </si>
  <si>
    <t xml:space="preserve">  (-) Outros Ativos Não Oper.</t>
  </si>
  <si>
    <t xml:space="preserve">  (+) Outras Rec (Desp) Não Oper</t>
  </si>
  <si>
    <t xml:space="preserve">  (+) Resultado Financeiro Bruto</t>
  </si>
  <si>
    <t xml:space="preserve">  (+) Divid. Recebidos Líquidos</t>
  </si>
  <si>
    <t>FCFequity</t>
  </si>
  <si>
    <t xml:space="preserve">  (-) Dividendos Pagos no Período</t>
  </si>
  <si>
    <t xml:space="preserve">  (+) Aumento Dívidas CP</t>
  </si>
  <si>
    <t xml:space="preserve">  (+) Aumento Dívidas LP</t>
  </si>
  <si>
    <t xml:space="preserve">  (+) Subscrição de Ações</t>
  </si>
  <si>
    <t xml:space="preserve">  (-) Outros Ativos Finan</t>
  </si>
  <si>
    <t xml:space="preserve">  (+) Outros Ajustes</t>
  </si>
  <si>
    <t>Aumento No Caixa</t>
  </si>
  <si>
    <t>FLUXO DE CAIXA EQUITY</t>
  </si>
  <si>
    <t>LL Cons</t>
  </si>
  <si>
    <t>(+) Ir Diferido</t>
  </si>
  <si>
    <t>(+) Incentivos Fiscais</t>
  </si>
  <si>
    <t>(+) Deprec &amp; Amort</t>
  </si>
  <si>
    <t>GCF</t>
  </si>
  <si>
    <t>(-) Capex Líquido</t>
  </si>
  <si>
    <t>(-) ICG</t>
  </si>
  <si>
    <t>FCFe</t>
  </si>
  <si>
    <t>(-) Aumento Ativos Não Oper</t>
  </si>
  <si>
    <t>(-) Dividendos Pagos</t>
  </si>
  <si>
    <t>(+) Subscrição</t>
  </si>
  <si>
    <t>(-) Outros Ativos Fin</t>
  </si>
  <si>
    <t>Diminuição no Net Debt</t>
  </si>
  <si>
    <t>(+) Variação da Divida</t>
  </si>
  <si>
    <t>Aumento no Caixa</t>
  </si>
  <si>
    <t>BALANÇO</t>
  </si>
  <si>
    <t>ATIVO CIRCULANTE</t>
  </si>
  <si>
    <t xml:space="preserve">    Dispon. + Aplic.Fin.</t>
  </si>
  <si>
    <t xml:space="preserve">    Outros Ativos Financeiros CP</t>
  </si>
  <si>
    <t xml:space="preserve">    Clientes</t>
  </si>
  <si>
    <t xml:space="preserve">    Estoques</t>
  </si>
  <si>
    <t xml:space="preserve">    Outros Ativos Oper</t>
  </si>
  <si>
    <t xml:space="preserve">    Outros Ativos Circs</t>
  </si>
  <si>
    <t>REALIZÁVEL LP</t>
  </si>
  <si>
    <t xml:space="preserve">    Outros Ativos Financeiros LP</t>
  </si>
  <si>
    <t xml:space="preserve">    Clientes LP</t>
  </si>
  <si>
    <t>Recoverable Taxes</t>
  </si>
  <si>
    <t xml:space="preserve">    Impostos Diferidos</t>
  </si>
  <si>
    <t xml:space="preserve">    Outros Realiz. LP</t>
  </si>
  <si>
    <t>ATIVO PERMANENTE</t>
  </si>
  <si>
    <t xml:space="preserve">    Investimentos</t>
  </si>
  <si>
    <t xml:space="preserve">    Imobilizado Líquido</t>
  </si>
  <si>
    <t xml:space="preserve">    Direito de Uso</t>
  </si>
  <si>
    <t xml:space="preserve">    Diferido Líquido</t>
  </si>
  <si>
    <t>ATIVO TOTAL</t>
  </si>
  <si>
    <t>PASSIVO CIRCULANTE</t>
  </si>
  <si>
    <t xml:space="preserve">    Fornecedores</t>
  </si>
  <si>
    <t xml:space="preserve">    Fornecedores Risco Sacado</t>
  </si>
  <si>
    <t xml:space="preserve">    Financiamentos CP</t>
  </si>
  <si>
    <t xml:space="preserve">    Arrendamentos a Pagar</t>
  </si>
  <si>
    <t xml:space="preserve">    Financing - Financial Products Operations </t>
  </si>
  <si>
    <t xml:space="preserve">    Impostos a Recolher</t>
  </si>
  <si>
    <t xml:space="preserve">    Salários e Encargos</t>
  </si>
  <si>
    <t xml:space="preserve">    Dividendos a Pagar</t>
  </si>
  <si>
    <t xml:space="preserve">    Obligations with Card Administrators</t>
  </si>
  <si>
    <t xml:space="preserve">    Outros Passivos Circs</t>
  </si>
  <si>
    <t>EXIGÍVEL LP</t>
  </si>
  <si>
    <t xml:space="preserve">    Financiamentos LP</t>
  </si>
  <si>
    <t xml:space="preserve">    Imp. Diferido</t>
  </si>
  <si>
    <t xml:space="preserve">    Adiant. Clientes LP</t>
  </si>
  <si>
    <t xml:space="preserve">    Outros Exigíveis LP</t>
  </si>
  <si>
    <t xml:space="preserve">    Patrimônio Líquido</t>
  </si>
  <si>
    <t xml:space="preserve">    Particip. Minorit.</t>
  </si>
  <si>
    <t>PASSIVO TOTAL</t>
  </si>
  <si>
    <t xml:space="preserve">  Dif</t>
  </si>
  <si>
    <t>COI</t>
  </si>
  <si>
    <t xml:space="preserve">  CG</t>
  </si>
  <si>
    <t xml:space="preserve">    Ativos Oper</t>
  </si>
  <si>
    <t xml:space="preserve">    Passivos Oper</t>
  </si>
  <si>
    <t xml:space="preserve">  Imobilizado &amp; Diferido</t>
  </si>
  <si>
    <t xml:space="preserve">  Net Debt</t>
  </si>
  <si>
    <t xml:space="preserve">    CAIXA</t>
  </si>
  <si>
    <t xml:space="preserve">    Outros Ativos Financeiros</t>
  </si>
  <si>
    <t xml:space="preserve">    Financiamentos</t>
  </si>
  <si>
    <t>Patrimônio Ajustado</t>
  </si>
  <si>
    <t xml:space="preserve">    Minoritários</t>
  </si>
  <si>
    <t xml:space="preserve">    Imposto Diferido</t>
  </si>
  <si>
    <t xml:space="preserve">    Dividendos</t>
  </si>
  <si>
    <t xml:space="preserve">    (-) Investimentos</t>
  </si>
  <si>
    <t xml:space="preserve">    (+) Arrendamentos</t>
  </si>
  <si>
    <t xml:space="preserve">    (-) Outros Ativos Não Oper</t>
  </si>
  <si>
    <t>Giro dias</t>
  </si>
  <si>
    <t>CG/Sales</t>
  </si>
  <si>
    <t>Giro Clientes (d)</t>
  </si>
  <si>
    <t>Giro Estoques (d)</t>
  </si>
  <si>
    <t>Giro Fornecedores (d)</t>
  </si>
  <si>
    <t>Giro Fornecedores Risco Sacado</t>
  </si>
  <si>
    <t>Impostos (d)</t>
  </si>
  <si>
    <t>Outros Ativos Oper/Sales</t>
  </si>
  <si>
    <t>Outros Ativos Circ/Sales</t>
  </si>
  <si>
    <t>Outros Passivos Oper Circ/Sales</t>
  </si>
  <si>
    <t>CAPEX / DEPRECIAÇÃO</t>
  </si>
  <si>
    <t>Tx Depreciação</t>
  </si>
  <si>
    <t>Var% Capex</t>
  </si>
  <si>
    <t>Capex/Depreciação</t>
  </si>
  <si>
    <t xml:space="preserve">  Manutenção (% Dep)</t>
  </si>
  <si>
    <t>Total</t>
  </si>
  <si>
    <t xml:space="preserve">  Novos Investimentos</t>
  </si>
  <si>
    <t xml:space="preserve">  Manutenção</t>
  </si>
  <si>
    <t>Capex/Sales</t>
  </si>
  <si>
    <t>IR / DIVIDENDOS</t>
  </si>
  <si>
    <t xml:space="preserve">  IR</t>
  </si>
  <si>
    <t xml:space="preserve">  CS</t>
  </si>
  <si>
    <t>JCP (% PL)</t>
  </si>
  <si>
    <t>JCP Possivel</t>
  </si>
  <si>
    <t>Pay out div</t>
  </si>
  <si>
    <t>Dividendos e JCP minoritários</t>
  </si>
  <si>
    <t>Dividendos + JCP</t>
  </si>
  <si>
    <t>Pay Out Total Controladora</t>
  </si>
  <si>
    <t>Lucro Tributável</t>
  </si>
  <si>
    <t>Lucro Tributável Aj</t>
  </si>
  <si>
    <t xml:space="preserve">  IR sobre Lucro Trib Aj</t>
  </si>
  <si>
    <t xml:space="preserve">  CS sobre Lucro</t>
  </si>
  <si>
    <t>taxa 34%</t>
  </si>
  <si>
    <t>Despesa com plano de opção de compra de ações</t>
  </si>
  <si>
    <t>Resultado de participações societárias</t>
  </si>
  <si>
    <t xml:space="preserve"> incentivo de inovacao tecnologica (lei 11.196/2005)</t>
  </si>
  <si>
    <t>Subvenções governamentais (i)</t>
  </si>
  <si>
    <t>% COGS</t>
  </si>
  <si>
    <t>% LL</t>
  </si>
  <si>
    <t>Diferenças de alíquotas IR e CS de controladas</t>
  </si>
  <si>
    <t>Recuperações operações de crédito</t>
  </si>
  <si>
    <t>Reversão diferido por não recuperabilidade</t>
  </si>
  <si>
    <t>Correção monetária</t>
  </si>
  <si>
    <t>IR FINAL</t>
  </si>
  <si>
    <t>taxa efetiva</t>
  </si>
  <si>
    <t>IR Diferido</t>
  </si>
  <si>
    <t>Subvenções governamentais Credito presumido</t>
  </si>
  <si>
    <t>Subv Totais</t>
  </si>
  <si>
    <t>MARGENS / IND</t>
  </si>
  <si>
    <t>Sales QoQ</t>
  </si>
  <si>
    <t>CPV QoQ</t>
  </si>
  <si>
    <t>SG&amp;A QoQ</t>
  </si>
  <si>
    <t>EBIT QoQ</t>
  </si>
  <si>
    <t>EBITDA QoQ</t>
  </si>
  <si>
    <t>M B %</t>
  </si>
  <si>
    <t>M EBIT %</t>
  </si>
  <si>
    <t xml:space="preserve">  Desp Vendas %</t>
  </si>
  <si>
    <t xml:space="preserve">  Desp Adm %</t>
  </si>
  <si>
    <t xml:space="preserve">  Depreciação %</t>
  </si>
  <si>
    <t xml:space="preserve">  Outras %</t>
  </si>
  <si>
    <t>M EBITDA %</t>
  </si>
  <si>
    <t>M LL %</t>
  </si>
  <si>
    <t>M NOPLAT %</t>
  </si>
  <si>
    <t>M FCF %</t>
  </si>
  <si>
    <t>Receita Financeira %</t>
  </si>
  <si>
    <t>Despesa Financeira %</t>
  </si>
  <si>
    <t>Resultado Financeiro %</t>
  </si>
  <si>
    <t>Net Debt/PL</t>
  </si>
  <si>
    <t>Net Debt/COI</t>
  </si>
  <si>
    <t>Net Debt/EBITDA</t>
  </si>
  <si>
    <t>NFR/EBITDA</t>
  </si>
  <si>
    <t>FINANCEIRO</t>
  </si>
  <si>
    <t>Ativos Financeiros Totais Inicial</t>
  </si>
  <si>
    <t>Ativos Financeiros Totais Final</t>
  </si>
  <si>
    <t>Receita  Financeira Total</t>
  </si>
  <si>
    <t>% Taxa</t>
  </si>
  <si>
    <t>Receita Real</t>
  </si>
  <si>
    <t xml:space="preserve">    rend. Mensal</t>
  </si>
  <si>
    <t>Caixa Inicial</t>
  </si>
  <si>
    <t>E</t>
  </si>
  <si>
    <t>Caixa Final Estimado VALOR</t>
  </si>
  <si>
    <t>R</t>
  </si>
  <si>
    <t>Caixa Final</t>
  </si>
  <si>
    <t>Dif</t>
  </si>
  <si>
    <t>Tx Juros Caixa</t>
  </si>
  <si>
    <t xml:space="preserve">  Indexador %</t>
  </si>
  <si>
    <t xml:space="preserve">  Juros %</t>
  </si>
  <si>
    <t>Receita Financeira Caixa</t>
  </si>
  <si>
    <t>Outros Ativos Financeiros Inicial</t>
  </si>
  <si>
    <t>Outros Ativos Financeiros Final</t>
  </si>
  <si>
    <t>Despesa financeira real com juros</t>
  </si>
  <si>
    <t xml:space="preserve">     custo fin</t>
  </si>
  <si>
    <t>Despesa  Financeira Total</t>
  </si>
  <si>
    <t>Financiamento CP Total</t>
  </si>
  <si>
    <t>Financiamento LP Total</t>
  </si>
  <si>
    <t>Financiamento Total</t>
  </si>
  <si>
    <t>Financiamento Médio</t>
  </si>
  <si>
    <t>Financiamento CP R$</t>
  </si>
  <si>
    <t>% do Total</t>
  </si>
  <si>
    <t>Tx Juros Outros CP R$ %</t>
  </si>
  <si>
    <t>Desp Financeira CP R$</t>
  </si>
  <si>
    <t>Financiamento CP Indexado</t>
  </si>
  <si>
    <t>% CP</t>
  </si>
  <si>
    <t>Tx Juros Outros CP Indexado %</t>
  </si>
  <si>
    <t>Desp Financeira CP Indexado</t>
  </si>
  <si>
    <t>Financiamento CDC R$</t>
  </si>
  <si>
    <t>Desp Financeira LP R$</t>
  </si>
  <si>
    <t xml:space="preserve">Financiamento LP </t>
  </si>
  <si>
    <t>Tx Juros Outros LP Indexado %</t>
  </si>
  <si>
    <t>Desp Financeira LP Indexado</t>
  </si>
  <si>
    <t>Financiamento das importações</t>
  </si>
  <si>
    <t>Taxa</t>
  </si>
  <si>
    <t>Desp Financeira R$</t>
  </si>
  <si>
    <t>inflação qoq</t>
  </si>
  <si>
    <t>inflação yoy</t>
  </si>
  <si>
    <t>Rec. Bruta Varejo</t>
  </si>
  <si>
    <t>Cartão Renner</t>
  </si>
  <si>
    <t>Número de cartões (MM)</t>
  </si>
  <si>
    <t>Vendas Líquidas com cartão</t>
  </si>
  <si>
    <t>Vendas Brutas com cartão</t>
  </si>
  <si>
    <t>% da Rec Bruta do varejo</t>
  </si>
  <si>
    <t>Receita Liquida de Varejo</t>
  </si>
  <si>
    <t>Card Penetration</t>
  </si>
  <si>
    <t>Receita Cards</t>
  </si>
  <si>
    <t>x cartao</t>
  </si>
  <si>
    <t>Total Credito bruta</t>
  </si>
  <si>
    <t>WO Total</t>
  </si>
  <si>
    <t>CB + WO</t>
  </si>
  <si>
    <t>Cartera a Vencer</t>
  </si>
  <si>
    <t>Cartera Vencida</t>
  </si>
  <si>
    <t>Originacion trimestral</t>
  </si>
  <si>
    <t>0 + 8 parcelas interest bearing (% Rec.Líq)</t>
  </si>
  <si>
    <t>% vendas com cartão</t>
  </si>
  <si>
    <t>0 + 5 parcelas free (% Rec.Líq)</t>
  </si>
  <si>
    <t>Ticket Medio</t>
  </si>
  <si>
    <t>Renner Credit Cards</t>
  </si>
  <si>
    <t>Company</t>
  </si>
  <si>
    <t>Ratio de compra</t>
  </si>
  <si>
    <t>Volume</t>
  </si>
  <si>
    <t>Receita Líq (de funding e impostos)</t>
  </si>
  <si>
    <t>rate / cartera total</t>
  </si>
  <si>
    <t xml:space="preserve">   Receitas serv. Fin</t>
  </si>
  <si>
    <t xml:space="preserve">     vendas 0+5 parcelas</t>
  </si>
  <si>
    <t>% Recebíveis atrasados</t>
  </si>
  <si>
    <t xml:space="preserve">     vendas 0+8 parcelas</t>
  </si>
  <si>
    <t xml:space="preserve">     TOTAL CARTAO RENNER</t>
  </si>
  <si>
    <t>RATE mensual</t>
  </si>
  <si>
    <t>SPREAD</t>
  </si>
  <si>
    <t>ese spread tiene tasas por mora, revolving, etc… por eso tiene seasonality</t>
  </si>
  <si>
    <t>0-8 parcelas tasa de 6,9%</t>
  </si>
  <si>
    <t>Atrasos 15%</t>
  </si>
  <si>
    <t xml:space="preserve">    Meu Cartao /  Cobranded</t>
  </si>
  <si>
    <t>Outras Receitas</t>
  </si>
  <si>
    <t>SELIC</t>
  </si>
  <si>
    <t xml:space="preserve">  Perdas em créditos (líq das recup)</t>
  </si>
  <si>
    <t>% cartão Renner</t>
  </si>
  <si>
    <t>Calculado</t>
  </si>
  <si>
    <t>soma</t>
  </si>
  <si>
    <t>% s/ Receita bruta 0-5</t>
  </si>
  <si>
    <t xml:space="preserve">    vendas 0+8 parcelas</t>
  </si>
  <si>
    <t>% s/ Receita bruta 0-8</t>
  </si>
  <si>
    <t>PDD Liquido CARTAO RENNER</t>
  </si>
  <si>
    <t>Despesa s/ Carteira</t>
  </si>
  <si>
    <t>PDD Liquido Meu Cartao / Cobranded</t>
  </si>
  <si>
    <t xml:space="preserve">    % carteira</t>
  </si>
  <si>
    <t xml:space="preserve">   emp pessoais e outros serv</t>
  </si>
  <si>
    <t xml:space="preserve">   % provisionado / carteira emp;</t>
  </si>
  <si>
    <t xml:space="preserve">  Despesas Operacionais</t>
  </si>
  <si>
    <t>% RL cartao</t>
  </si>
  <si>
    <t>EBITDA cartão (em Mn)</t>
  </si>
  <si>
    <t>MG EBITDA Cartão</t>
  </si>
  <si>
    <t>% do EBITDA Total</t>
  </si>
  <si>
    <t>Contas a Receber Clientes (BACEN)</t>
  </si>
  <si>
    <t>Renner Card (Private Label) - Net Portfolio</t>
  </si>
  <si>
    <t>0+5</t>
  </si>
  <si>
    <t>% carteira total</t>
  </si>
  <si>
    <t>0+8</t>
  </si>
  <si>
    <t>% total</t>
  </si>
  <si>
    <t>Carteira 0+5</t>
  </si>
  <si>
    <t>0-3 meses</t>
  </si>
  <si>
    <t>3-5 meses</t>
  </si>
  <si>
    <t>Carteira 0+8</t>
  </si>
  <si>
    <t>3-6 meses</t>
  </si>
  <si>
    <t>6-8 meses</t>
  </si>
  <si>
    <t>Carteira Sem Atrasos ESTIMADA</t>
  </si>
  <si>
    <t>Acréscimo de carteira</t>
  </si>
  <si>
    <t>Carteira Sem Atrasos Reportada</t>
  </si>
  <si>
    <t>Atrasados</t>
  </si>
  <si>
    <t>Acréscimo de atrasados</t>
  </si>
  <si>
    <t>Carteira Total  (Renner Card)</t>
  </si>
  <si>
    <t>01-30 dias</t>
  </si>
  <si>
    <t>% 0+8</t>
  </si>
  <si>
    <t>31-60 dias</t>
  </si>
  <si>
    <t>61-90 dias</t>
  </si>
  <si>
    <t>91-120 dias</t>
  </si>
  <si>
    <t>121-150 dias</t>
  </si>
  <si>
    <t>151-180 dias</t>
  </si>
  <si>
    <t>acima de 180 dias</t>
  </si>
  <si>
    <t xml:space="preserve">vencidos de 01-90 dias </t>
  </si>
  <si>
    <t>% carteira Total (c/ atrasados)</t>
  </si>
  <si>
    <t>% carteira s/ atrasados</t>
  </si>
  <si>
    <t xml:space="preserve">vencidos 90-360 dias </t>
  </si>
  <si>
    <t>% carteira c/ atrasados</t>
  </si>
  <si>
    <t xml:space="preserve">vencidos 360-540 dias </t>
  </si>
  <si>
    <t>STAGE 3 TOTAL</t>
  </si>
  <si>
    <t>PDD inicial</t>
  </si>
  <si>
    <t>Recuperacoes / Write-off</t>
  </si>
  <si>
    <t>% Vencidos</t>
  </si>
  <si>
    <t>Constituicoes</t>
  </si>
  <si>
    <t>PDD final (cartao renner + Realice)</t>
  </si>
  <si>
    <t>% Carteira Total</t>
  </si>
  <si>
    <t>COVERAGE RATIO</t>
  </si>
  <si>
    <t>Carga de Risco x P&amp;L</t>
  </si>
  <si>
    <t>Recuperacoes</t>
  </si>
  <si>
    <t>% WO ult 12 meses</t>
  </si>
  <si>
    <t>Geracao de NPL</t>
  </si>
  <si>
    <t>% carteira sem atrasos t-1</t>
  </si>
  <si>
    <t>Carga de Risco  /  geracao</t>
  </si>
  <si>
    <t>Meu Cartão (Co-Branded) - Net Portfolio</t>
  </si>
  <si>
    <t>TOTAL (s/atrasados)</t>
  </si>
  <si>
    <t>TOTAL (c/atrasados)</t>
  </si>
  <si>
    <t>Emp Pessoais</t>
  </si>
  <si>
    <t>% qoq</t>
  </si>
  <si>
    <t>% yoy</t>
  </si>
  <si>
    <t>Carteira Meu Cartao LIQUIDA</t>
  </si>
  <si>
    <t>YOY</t>
  </si>
  <si>
    <t>CARTEIRA MEU CARTAO BRUTA</t>
  </si>
  <si>
    <t>A Vencer</t>
  </si>
  <si>
    <t>Vencidos</t>
  </si>
  <si>
    <t>Vencidos 0-90</t>
  </si>
  <si>
    <t>% cartera total</t>
  </si>
  <si>
    <t>% cartera vencida</t>
  </si>
  <si>
    <t>PDD</t>
  </si>
  <si>
    <t>Baixas / Write-off</t>
  </si>
  <si>
    <t>Perdas - Reversoes estimadas liquidas</t>
  </si>
  <si>
    <t>PDD final</t>
  </si>
  <si>
    <t>Geracao de NPL +90dias</t>
  </si>
  <si>
    <t>% CARTERA TOTAL</t>
  </si>
  <si>
    <t>Geracao de NPL 30 a 90</t>
  </si>
  <si>
    <t>Perdas  /  geracao</t>
  </si>
  <si>
    <t>Carga de Risco  /  Perda</t>
  </si>
  <si>
    <t>Receita Financeira</t>
  </si>
  <si>
    <t xml:space="preserve"> rendimento</t>
  </si>
  <si>
    <t xml:space="preserve"> CDI</t>
  </si>
  <si>
    <t>% CDI</t>
  </si>
  <si>
    <t>Rendimentos de caixa e apl fin</t>
  </si>
  <si>
    <t>Despesas Financeira</t>
  </si>
  <si>
    <t>Juros Ocorrido</t>
  </si>
  <si>
    <t>Juros Calculado</t>
  </si>
  <si>
    <t>Tasa efectiva</t>
  </si>
  <si>
    <t>DIF</t>
  </si>
  <si>
    <t>Despesa financeira de Arrendamento</t>
  </si>
  <si>
    <t>Passivo por arrendamento</t>
  </si>
  <si>
    <t>Outra Despesas</t>
  </si>
  <si>
    <t>Var Cambial sobre Invest</t>
  </si>
  <si>
    <t>Custo do Fin. Clientes Inadimpl.</t>
  </si>
  <si>
    <t>AVP</t>
  </si>
  <si>
    <t>% clientes</t>
  </si>
  <si>
    <t>O reconhecimento se faz da seguinte maneira:</t>
  </si>
  <si>
    <t xml:space="preserve">0+5 </t>
  </si>
  <si>
    <t>reconhece o valor presente e leva por CDI</t>
  </si>
  <si>
    <t>reconhece o valor integral, vende o recebíveis para uma financeira e vai reconhecendo os juros ao passar do tempo</t>
  </si>
  <si>
    <t>o risco fica sempre com a renner</t>
  </si>
  <si>
    <t xml:space="preserve">Sales = R$ 100 </t>
  </si>
  <si>
    <t>sales of merchandise</t>
  </si>
  <si>
    <t xml:space="preserve">PMT = R$ 15,46 </t>
  </si>
  <si>
    <t>(8 months @ 4.99%pm)</t>
  </si>
  <si>
    <t>Total = 123,73</t>
  </si>
  <si>
    <t>(100 PV ; 4.99 i ; 8 n ; PMT ?)</t>
  </si>
  <si>
    <t>Balanço</t>
  </si>
  <si>
    <t>Caixa</t>
  </si>
  <si>
    <t>Receita</t>
  </si>
  <si>
    <t>Receita Financeira Total</t>
  </si>
  <si>
    <t>4T14</t>
  </si>
  <si>
    <t>Dívida</t>
  </si>
  <si>
    <t>Banco do NE</t>
  </si>
  <si>
    <t>BNDES + CG</t>
  </si>
  <si>
    <t>Debêntures 4</t>
  </si>
  <si>
    <t>Debêntures 5</t>
  </si>
  <si>
    <t>Debêntures 6</t>
  </si>
  <si>
    <t>Arrendamento M</t>
  </si>
  <si>
    <t>MOEDA NACIONAL</t>
  </si>
  <si>
    <t>BRL</t>
  </si>
  <si>
    <t>Debenture 9</t>
  </si>
  <si>
    <t>Debenture 10-11</t>
  </si>
  <si>
    <t>Debenture 12</t>
  </si>
  <si>
    <t>FNE</t>
  </si>
  <si>
    <t>BNDES</t>
  </si>
  <si>
    <t>Capital de giro 1</t>
  </si>
  <si>
    <t>Capital de giro 2</t>
  </si>
  <si>
    <t>juros</t>
  </si>
  <si>
    <t>tasas</t>
  </si>
  <si>
    <t>x CDI</t>
  </si>
  <si>
    <t>MOEDA EXTRAGEIRA</t>
  </si>
  <si>
    <t>CG 1</t>
  </si>
  <si>
    <t>CG 2</t>
  </si>
  <si>
    <t>CG 3</t>
  </si>
  <si>
    <t>CG 4</t>
  </si>
  <si>
    <t>CG 5</t>
  </si>
  <si>
    <t>CG 6</t>
  </si>
  <si>
    <t>CG 7</t>
  </si>
  <si>
    <t>juros BRL</t>
  </si>
  <si>
    <t>USD</t>
  </si>
  <si>
    <t>juros USD</t>
  </si>
  <si>
    <t>Financiamentos BRL</t>
  </si>
  <si>
    <t>Cert y depositos inerfinanceiros</t>
  </si>
  <si>
    <t>letras fin</t>
  </si>
  <si>
    <t>letras fin do tesouro</t>
  </si>
  <si>
    <t>cedula</t>
  </si>
  <si>
    <t>certicado de dep bancario</t>
  </si>
  <si>
    <t>Juros</t>
  </si>
  <si>
    <t>TOTAL FINANCIAMENTO</t>
  </si>
  <si>
    <t>total juros financiamento</t>
  </si>
  <si>
    <t>tasa efectiva</t>
  </si>
  <si>
    <t>CDI</t>
  </si>
  <si>
    <t>dif</t>
  </si>
  <si>
    <t>PROJEÇÕES MACROECONÔMICAS</t>
  </si>
  <si>
    <t>1Q01</t>
  </si>
  <si>
    <t>2Q01</t>
  </si>
  <si>
    <t>3Q01</t>
  </si>
  <si>
    <t>4Q01</t>
  </si>
  <si>
    <t>1Q02</t>
  </si>
  <si>
    <t>2Q02</t>
  </si>
  <si>
    <t>3Q02</t>
  </si>
  <si>
    <t>4Q02</t>
  </si>
  <si>
    <t>1Q03</t>
  </si>
  <si>
    <t>2Q03</t>
  </si>
  <si>
    <t>3Q03</t>
  </si>
  <si>
    <t>4Q03</t>
  </si>
  <si>
    <t>1Q04</t>
  </si>
  <si>
    <t>2Q04</t>
  </si>
  <si>
    <t>3Q04</t>
  </si>
  <si>
    <t>4Q04</t>
  </si>
  <si>
    <t>1Q05</t>
  </si>
  <si>
    <t>2Q05</t>
  </si>
  <si>
    <t>3Q05</t>
  </si>
  <si>
    <t>4Q05</t>
  </si>
  <si>
    <t>1Q06</t>
  </si>
  <si>
    <t>2Q06</t>
  </si>
  <si>
    <t>3Q06</t>
  </si>
  <si>
    <t>4Q06</t>
  </si>
  <si>
    <t>1Q07</t>
  </si>
  <si>
    <t>2Q07</t>
  </si>
  <si>
    <t>3Q07</t>
  </si>
  <si>
    <t>4Q07</t>
  </si>
  <si>
    <t>1Q08</t>
  </si>
  <si>
    <t>2Q08</t>
  </si>
  <si>
    <t>3Q08</t>
  </si>
  <si>
    <t>4Q08</t>
  </si>
  <si>
    <t>1Q09</t>
  </si>
  <si>
    <t>2Q09</t>
  </si>
  <si>
    <t>3Q09</t>
  </si>
  <si>
    <t>4Q09</t>
  </si>
  <si>
    <t>1Q10</t>
  </si>
  <si>
    <t>2Q10</t>
  </si>
  <si>
    <t>3Q10</t>
  </si>
  <si>
    <t>4Q10</t>
  </si>
  <si>
    <t>1Q11</t>
  </si>
  <si>
    <t>2Q11</t>
  </si>
  <si>
    <t>3Q11</t>
  </si>
  <si>
    <t>4Q11</t>
  </si>
  <si>
    <t>1Q12</t>
  </si>
  <si>
    <t>2Q12</t>
  </si>
  <si>
    <t>3Q12</t>
  </si>
  <si>
    <t>4Q12</t>
  </si>
  <si>
    <t>1Q13</t>
  </si>
  <si>
    <t>2Q13</t>
  </si>
  <si>
    <t>3Q13</t>
  </si>
  <si>
    <t>4Q13</t>
  </si>
  <si>
    <t>1Q14</t>
  </si>
  <si>
    <t>2Q14</t>
  </si>
  <si>
    <t>3Q14</t>
  </si>
  <si>
    <t>4Q14</t>
  </si>
  <si>
    <t>1Q15</t>
  </si>
  <si>
    <t>2Q15</t>
  </si>
  <si>
    <t>3Q15</t>
  </si>
  <si>
    <t>4Q15</t>
  </si>
  <si>
    <t>1Q16</t>
  </si>
  <si>
    <t>2Q16</t>
  </si>
  <si>
    <t>3Q16</t>
  </si>
  <si>
    <t>4Q16</t>
  </si>
  <si>
    <t>1Q17</t>
  </si>
  <si>
    <t>2Q17</t>
  </si>
  <si>
    <t>3Q17</t>
  </si>
  <si>
    <t>4Q17</t>
  </si>
  <si>
    <t>1Q18</t>
  </si>
  <si>
    <t>2Q18</t>
  </si>
  <si>
    <t>3Q18</t>
  </si>
  <si>
    <t>4Q18</t>
  </si>
  <si>
    <t>1Q19</t>
  </si>
  <si>
    <t>2Q19</t>
  </si>
  <si>
    <t>3Q19</t>
  </si>
  <si>
    <t>4Q19</t>
  </si>
  <si>
    <t>1Q20</t>
  </si>
  <si>
    <t>2Q20</t>
  </si>
  <si>
    <t>3Q20</t>
  </si>
  <si>
    <t>4Q20</t>
  </si>
  <si>
    <t>1Q21</t>
  </si>
  <si>
    <t>2Q21</t>
  </si>
  <si>
    <t>3Q21</t>
  </si>
  <si>
    <t>4Q21</t>
  </si>
  <si>
    <t>1Q22</t>
  </si>
  <si>
    <t>2Q22</t>
  </si>
  <si>
    <t>3Q22</t>
  </si>
  <si>
    <t>4Q22</t>
  </si>
  <si>
    <t>1Q23</t>
  </si>
  <si>
    <t>2Q23</t>
  </si>
  <si>
    <t>3Q23</t>
  </si>
  <si>
    <t>4Q23</t>
  </si>
  <si>
    <t>1Q24</t>
  </si>
  <si>
    <t>2Q24</t>
  </si>
  <si>
    <t>3Q24</t>
  </si>
  <si>
    <t>4Q24</t>
  </si>
  <si>
    <t>1Q25</t>
  </si>
  <si>
    <t>2Q25</t>
  </si>
  <si>
    <t>3Q25</t>
  </si>
  <si>
    <t>4Q25</t>
  </si>
  <si>
    <t>1Q26</t>
  </si>
  <si>
    <t>2Q26</t>
  </si>
  <si>
    <t>3Q26</t>
  </si>
  <si>
    <t>4Q26</t>
  </si>
  <si>
    <t>Taxa Câmbio Nominal Médio</t>
  </si>
  <si>
    <t>Taxa Câmbio Nominal</t>
  </si>
  <si>
    <t>Selic Anual</t>
  </si>
  <si>
    <t>Juro Nominal (Selic)</t>
  </si>
  <si>
    <t>Inflação IGP-M</t>
  </si>
  <si>
    <t>Inflação IPC-A</t>
  </si>
  <si>
    <t>TJLP</t>
  </si>
  <si>
    <t>LIBOR / SOFR</t>
  </si>
  <si>
    <t>PIB Brasil</t>
  </si>
  <si>
    <t>Inflação USA</t>
  </si>
  <si>
    <t>Índice IPCA anual</t>
  </si>
  <si>
    <t>https://www.lojasrennersa.com.br/sustentabilidade/nossa-jornada/</t>
  </si>
  <si>
    <t>Latest available information</t>
  </si>
  <si>
    <t xml:space="preserve">Environmental Indicators </t>
  </si>
  <si>
    <t>GHG emission intensity*</t>
  </si>
  <si>
    <t>Revenues</t>
  </si>
  <si>
    <t>,000 USD</t>
  </si>
  <si>
    <t>Energy intensity*</t>
  </si>
  <si>
    <t xml:space="preserve">CO2 reduction policy </t>
  </si>
  <si>
    <t>Yes</t>
  </si>
  <si>
    <t>CO2 consumption</t>
  </si>
  <si>
    <t>tons</t>
  </si>
  <si>
    <t>GHG ratio</t>
  </si>
  <si>
    <t>kg/,000 USD (or mt/USDm)</t>
  </si>
  <si>
    <t xml:space="preserve">Social Indicators </t>
  </si>
  <si>
    <t>Employee turnover (%)</t>
  </si>
  <si>
    <t>Energy consumption</t>
  </si>
  <si>
    <t>GJ</t>
  </si>
  <si>
    <t xml:space="preserve">Diversity policy </t>
  </si>
  <si>
    <t>yes</t>
  </si>
  <si>
    <t>en kWh</t>
  </si>
  <si>
    <t>kWh</t>
  </si>
  <si>
    <t>Women in labor force %</t>
  </si>
  <si>
    <t>Ratio</t>
  </si>
  <si>
    <t>kWh/,000 USD (or MWh/USDm)</t>
  </si>
  <si>
    <t>Work Accidentes *</t>
  </si>
  <si>
    <t>1GJ =</t>
  </si>
  <si>
    <t>kwh</t>
  </si>
  <si>
    <t>Governance Indicators</t>
  </si>
  <si>
    <t>% Energia Renovable</t>
  </si>
  <si>
    <t>No. of board members</t>
  </si>
  <si>
    <t xml:space="preserve">Female board members (%) </t>
  </si>
  <si>
    <t xml:space="preserve">Board members independence (%) </t>
  </si>
  <si>
    <t>Fully independent audit committee</t>
  </si>
  <si>
    <t>N</t>
  </si>
  <si>
    <t>Y</t>
  </si>
  <si>
    <t>Fully independent compensation committee</t>
  </si>
  <si>
    <t>Single share class</t>
  </si>
  <si>
    <t>100% tag along rights</t>
  </si>
  <si>
    <t>Governance incident in last X years</t>
  </si>
  <si>
    <t>Source: Company data</t>
  </si>
  <si>
    <t>GHG intensity and energy intensity are measured in kg and kWh respectively against revenue in USD ‘000s</t>
  </si>
  <si>
    <t>SASB Materiality Map SASB uses the Sustainability Industry Classification System (SICS) to classify companies into sectors (top row) and identify the sustainability issues (leftmost column) that are material in each sector. Cells highlighted in dark gray signal strong materiality, while lighter gray indicates some degree of materiality. For our analysis, we translated SICS to GICS and reclassified the sustainability issues into one of the ESG pillars. The interactive map with details at the industry level is available at http://materiality.sasb.org/.</t>
  </si>
  <si>
    <t>http://materiality.sasb.org/</t>
  </si>
  <si>
    <t>* Taxa de frequência = (Número de acidentes com afastamento)/(Total de horas trabalhadas no período contábil) x 1.000.000.
Horas/homem de exposição (HHT) = 50.648.718h</t>
  </si>
  <si>
    <t>NMV</t>
  </si>
  <si>
    <t>GFG</t>
  </si>
  <si>
    <t>Dafiti (BR, COL, ARG, CH)</t>
  </si>
  <si>
    <t>DAFITI DATOS</t>
  </si>
  <si>
    <t>dafiti assumption</t>
  </si>
  <si>
    <t>Lamoda</t>
  </si>
  <si>
    <t>3107 EMPLEADOS</t>
  </si>
  <si>
    <t>Price</t>
  </si>
  <si>
    <t>Zalora</t>
  </si>
  <si>
    <t>ASSETS X 166</t>
  </si>
  <si>
    <t>The Icnonic</t>
  </si>
  <si>
    <t>GOODWILL X 90</t>
  </si>
  <si>
    <t>Shares</t>
  </si>
  <si>
    <t>Marketplace y own stock</t>
  </si>
  <si>
    <t>Debt</t>
  </si>
  <si>
    <t>Cash</t>
  </si>
  <si>
    <t>REVENUE</t>
  </si>
  <si>
    <t>LAUNCHED IN 2011</t>
  </si>
  <si>
    <t>mln EUR</t>
  </si>
  <si>
    <t>mln BRL</t>
  </si>
  <si>
    <t>mln Eur</t>
  </si>
  <si>
    <t>EV/NMV</t>
  </si>
  <si>
    <t>Gross Profit &amp; mrgn</t>
  </si>
  <si>
    <t>EBITDA &amp; mrgn</t>
  </si>
  <si>
    <t>3Q25E</t>
  </si>
  <si>
    <t>censolidated</t>
  </si>
  <si>
    <t>A/E</t>
  </si>
  <si>
    <t>vs Cons.</t>
  </si>
  <si>
    <t>FUNDAMENTA</t>
  </si>
  <si>
    <t>censensus</t>
  </si>
  <si>
    <t>Sant</t>
  </si>
  <si>
    <t>Citi</t>
  </si>
  <si>
    <t>Net Revs</t>
  </si>
  <si>
    <t>Retail</t>
  </si>
  <si>
    <t>EBITDA pos ifrs</t>
  </si>
  <si>
    <t>EBITDA mrgn</t>
  </si>
  <si>
    <t>EBITDA pos ifrs (ex tax credit)</t>
  </si>
  <si>
    <t>EBITDA SS fin</t>
  </si>
  <si>
    <t>EBITDA pre ifrs</t>
  </si>
  <si>
    <t>Retail pre ifrs</t>
  </si>
  <si>
    <t>split</t>
  </si>
  <si>
    <t>LUCRO LIQUIDO - BRL</t>
  </si>
  <si>
    <t>Number of shares - eop -</t>
  </si>
  <si>
    <t>stock dividend</t>
  </si>
  <si>
    <t>FO</t>
  </si>
  <si>
    <t>LREN3</t>
  </si>
  <si>
    <t>MDIA3</t>
  </si>
  <si>
    <t>P/E Target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</si>
</sst>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5">
    <numFmt numFmtId="41" formatCode="_(* #,##0_);_(* \(#,##0\);_(* &quot;-&quot;_);_(@_)"/>
    <numFmt numFmtId="44" formatCode="_(&quot;$&quot;* #,##0.00_);_(&quot;$&quot;* \(#,##0.00\);_(&quot;$&quot;* &quot;-&quot;??_);_(@_)"/>
    <numFmt numFmtId="43" formatCode="_(* #,##0.00_);_(* \(#,##0.00\);_(* &quot;-&quot;??_);_(@_)"/>
    <numFmt numFmtId="164" formatCode="_-* #,##0_-;\-* #,##0_-;_-* &quot;-&quot;_-;_-@_-"/>
    <numFmt numFmtId="165" formatCode="_-&quot;$&quot;\ * #,##0.00_-;\-&quot;$&quot;\ * #,##0.00_-;_-&quot;$&quot;\ * &quot;-&quot;??_-;_-@_-"/>
    <numFmt numFmtId="166" formatCode="_-* #,##0.00_-;\-* #,##0.00_-;_-* &quot;-&quot;??_-;_-@_-"/>
    <numFmt numFmtId="167" formatCode="_-&quot;R$&quot;\ * #,##0_-;\-&quot;R$&quot;\ * #,##0_-;_-&quot;R$&quot;\ * &quot;-&quot;_-;_-@_-"/>
    <numFmt numFmtId="168" formatCode="_-&quot;R$&quot;\ * #,##0.00_-;\-&quot;R$&quot;\ * #,##0.00_-;_-&quot;R$&quot;\ * &quot;-&quot;??_-;_-@_-"/>
    <numFmt numFmtId="169" formatCode="0.0%"/>
    <numFmt numFmtId="170" formatCode="_(* #,##0.0_);_(* \(#,##0.0\);_(* &quot;-&quot;??_);_(@_)"/>
    <numFmt numFmtId="171" formatCode="_(* #,##0_);_(* \(#,##0\);_(* &quot;-&quot;??_);_(@_)"/>
    <numFmt numFmtId="172" formatCode="0.0"/>
    <numFmt numFmtId="173" formatCode="#,##0.000_);\(#,##0.000\)"/>
    <numFmt numFmtId="174" formatCode="_(* #,##0.0000_);_(* \(#,##0.0000\);_(* &quot;-&quot;??_);_(@_)"/>
    <numFmt numFmtId="175" formatCode="#,##0.0_);\(#,##0.0\)"/>
    <numFmt numFmtId="176" formatCode="0.000%"/>
    <numFmt numFmtId="177" formatCode="_-* #,##0.0_-;\-* #,##0.0_-;_-* &quot;-&quot;??_-;_-@_-"/>
    <numFmt numFmtId="178" formatCode="_-* #,##0_-;\-* #,##0_-;_-* &quot;-&quot;??_-;_-@_-"/>
    <numFmt numFmtId="179" formatCode="General_)"/>
    <numFmt numFmtId="180" formatCode="#,##0.000;\-#,##0.000"/>
    <numFmt numFmtId="181" formatCode="0.0_);\(0.0\)"/>
    <numFmt numFmtId="182" formatCode="&quot;R$&quot;\ #,##0.00_);\(&quot;R$&quot;\ #,##0.00\)"/>
    <numFmt numFmtId="183" formatCode="&quot;R$&quot;\ #,##0.00_);[Red]\(&quot;R$&quot;\ #,##0.00\)"/>
    <numFmt numFmtId="184" formatCode="_(&quot;R$&quot;\ * #,##0.00_);_(&quot;R$&quot;\ * \(#,##0.00\);_(&quot;R$&quot;\ * &quot;-&quot;??_);_(@_)"/>
    <numFmt numFmtId="185" formatCode="&quot;R$&quot;#,##0.00;\-&quot;R$&quot;#,##0.00"/>
    <numFmt numFmtId="186" formatCode="_-&quot;R$&quot;* #,##0_-;\-&quot;R$&quot;* #,##0_-;_-&quot;R$&quot;* &quot;-&quot;_-;_-@_-"/>
    <numFmt numFmtId="187" formatCode="_-&quot;R$&quot;* #,##0.00_-;\-&quot;R$&quot;* #,##0.00_-;_-&quot;R$&quot;* &quot;-&quot;??_-;_-@_-"/>
    <numFmt numFmtId="188" formatCode="&quot;R$ &quot;#,##0.00_);\(&quot;R$ &quot;#,##0.00\)"/>
    <numFmt numFmtId="189" formatCode="[$€]#,##0.00_);[Red]\([$€]#,##0.00\)"/>
    <numFmt numFmtId="190" formatCode="#,##0.0"/>
    <numFmt numFmtId="191" formatCode="_([$€-2]* #,##0.00_);_([$€-2]* \(#,##0.00\);_([$€-2]* &quot;-&quot;??_)"/>
    <numFmt numFmtId="192" formatCode="&quot;R$ &quot;#,##0_);[Red]\(&quot;R$ &quot;#,##0\)"/>
    <numFmt numFmtId="193" formatCode="_(&quot;R$ &quot;* #,##0_);_(&quot;R$ &quot;* \(#,##0\);_(&quot;R$ &quot;* &quot;-&quot;_);_(@_)"/>
    <numFmt numFmtId="194" formatCode="_(&quot;R$ &quot;* #,##0.00_);_(&quot;R$ &quot;* \(#,##0.00\);_(&quot;R$ &quot;* &quot;-&quot;??_);_(@_)"/>
    <numFmt numFmtId="195" formatCode="\£\ #,##0_);[Red]\(\£\ #,##0\)"/>
    <numFmt numFmtId="196" formatCode="\¥\ #,##0_);[Red]\(\¥\ #,##0\)"/>
    <numFmt numFmtId="197" formatCode="m\-d\-yy"/>
    <numFmt numFmtId="198" formatCode="[Blue]#,##0_);[Red]\(#,##0\)"/>
    <numFmt numFmtId="199" formatCode="_(* #,##0.0_);_(* \(#,##0.0\);_(* &quot;-&quot;?_);@_)"/>
    <numFmt numFmtId="200" formatCode="\•\ \ @"/>
    <numFmt numFmtId="201" formatCode="###0_);[Red]\(###0\)"/>
    <numFmt numFmtId="202" formatCode="\$#,##0.00_);\(\$#,##0.00\)"/>
    <numFmt numFmtId="203" formatCode="&quot;Cr$&quot;\ #,##0_);[Red]\(&quot;Cr$&quot;\ #,##0\)"/>
    <numFmt numFmtId="204" formatCode="&quot;R$&quot;#,##0.0_);[Red]\(&quot;R$&quot;#,##0.0\)"/>
    <numFmt numFmtId="205" formatCode="&quot;R$&quot;#,##0\ ;\(&quot;R$&quot;#,##0\)"/>
    <numFmt numFmtId="206" formatCode="\$#,##0_);\(\$#,##0\)"/>
    <numFmt numFmtId="207" formatCode="_(\ #,##0_);_(\ \(#,##0\);_(\ &quot;-&quot;??_);_(@_)"/>
    <numFmt numFmtId="208" formatCode="\ \ _•\–\ \ \ \ @"/>
    <numFmt numFmtId="209" formatCode="#,##0.0_);[Red]\(#,##0.0\)"/>
    <numFmt numFmtId="210" formatCode="mmm\-d\-yyyy"/>
    <numFmt numFmtId="211" formatCode="mmm\-yyyy"/>
    <numFmt numFmtId="212" formatCode="mmmm\ d\,\ yyyy"/>
    <numFmt numFmtId="213" formatCode="d\-mmm\-yyyy"/>
    <numFmt numFmtId="214" formatCode="d\-mmm\-yyyy\ \ h:mm"/>
    <numFmt numFmtId="215" formatCode="dd\ mmm\ yyyy_);;&quot;-  &quot;;&quot; &quot;@"/>
    <numFmt numFmtId="216" formatCode="dd\ mmm\ yy_);;&quot;-  &quot;;&quot; &quot;@"/>
    <numFmt numFmtId="217" formatCode="_-* #,##0\ _D_M_-;\-* #,##0\ _D_M_-;_-* &quot;-&quot;\ _D_M_-;_-@_-"/>
    <numFmt numFmtId="218" formatCode="_([$€]* #,##0.00_);_([$€]* \(#,##0.00\);_([$€]* &quot;-&quot;??_);_(@_)"/>
    <numFmt numFmtId="219" formatCode="#,##0."/>
    <numFmt numFmtId="220" formatCode="#,##0.0000_);\(#,##0.0000\);&quot;-  &quot;;&quot; &quot;@"/>
    <numFmt numFmtId="221" formatCode="###0_);\(###0\)"/>
    <numFmt numFmtId="222" formatCode="#,##0.00&quot; $&quot;;\-#,##0.00&quot; $&quot;"/>
    <numFmt numFmtId="223" formatCode="0.00_)"/>
    <numFmt numFmtId="224" formatCode="_-* #,##0_-;_-* #,##0\-;_-* &quot;-&quot;_-;_-@_-"/>
    <numFmt numFmtId="225" formatCode="_-* #,##0.00_-;_-* #,##0.00\-;_-* &quot;-&quot;??_-;_-@_-"/>
    <numFmt numFmtId="226" formatCode="mmmm\-yy"/>
    <numFmt numFmtId="227" formatCode="#,###.##000"/>
    <numFmt numFmtId="228" formatCode="#,##0.0000000000000000000_);\(#,##0.0000000000000000000\)"/>
    <numFmt numFmtId="229" formatCode="#,##0\x;\(#,##0\x\)"/>
    <numFmt numFmtId="230" formatCode="#,##0%;\(#,##0%\)"/>
    <numFmt numFmtId="231" formatCode="_(&quot;Cr$&quot;\ * #,##0_);_(&quot;Cr$&quot;\ * \(#,##0\);_(&quot;Cr$&quot;\ * &quot;-&quot;_);_(@_)"/>
    <numFmt numFmtId="232" formatCode="#,##0.0_);[Red]\(#,##0.0\);&quot;N/A &quot;"/>
    <numFmt numFmtId="233" formatCode="#,##0.000_);[Red]\(#,##0.000\)"/>
    <numFmt numFmtId="234" formatCode="#,##0.0_)\ \ ;[Red]\(#,##0.0\)\ \ "/>
    <numFmt numFmtId="235" formatCode="mmmm/yyyy"/>
    <numFmt numFmtId="236" formatCode="0.0%&quot;NetPPE/sales&quot;"/>
    <numFmt numFmtId="237" formatCode="0.0%&quot;NWI/Sls&quot;"/>
    <numFmt numFmtId="238" formatCode=";;;"/>
    <numFmt numFmtId="239" formatCode="0%;[Red]\(0%\)"/>
    <numFmt numFmtId="240" formatCode="0.0%;[Red]\(0.0%\)"/>
    <numFmt numFmtId="241" formatCode="0.0%&quot;Sales&quot;"/>
    <numFmt numFmtId="242" formatCode="_ * #,##0_ ;_ * \-#,##0_ ;_ * &quot;-&quot;_ ;_ @_ "/>
    <numFmt numFmtId="243" formatCode="#,##0&quot;£&quot;_);[Red]\(#,##0&quot;£&quot;\)"/>
    <numFmt numFmtId="244" formatCode="#,##0_);\(#,##0\);&quot;-  &quot;;&quot; &quot;@"/>
    <numFmt numFmtId="245" formatCode="_ * #,##0.00_ ;_ * \-#,##0.00_ ;_ * &quot;-&quot;??_ ;_ @_ "/>
    <numFmt numFmtId="246" formatCode="\+0%"/>
    <numFmt numFmtId="247" formatCode="0.0&quot; meses&quot;"/>
    <numFmt numFmtId="248" formatCode="0.0%&quot; a.a.&quot;"/>
    <numFmt numFmtId="249" formatCode="#,##0.00\x"/>
    <numFmt numFmtId="250" formatCode="#,###;\(#,###\);\-\-\-\-"/>
    <numFmt numFmtId="251" formatCode="0____"/>
    <numFmt numFmtId="252" formatCode="_-&quot;F&quot;\ * #,##0_-;_-&quot;F&quot;\ * #,##0\-;_-&quot;F&quot;\ * &quot;-&quot;_-;_-@_-"/>
    <numFmt numFmtId="253" formatCode="_-&quot;F&quot;\ * #,##0.00_-;_-&quot;F&quot;\ * #,##0.00\-;_-&quot;F&quot;\ * &quot;-&quot;??_-;_-@_-"/>
    <numFmt numFmtId="254" formatCode="_-* #,##0\ &quot;DM&quot;_-;\-* #,##0\ &quot;DM&quot;_-;_-* &quot;-&quot;\ &quot;DM&quot;_-;_-@_-"/>
    <numFmt numFmtId="255" formatCode="_-* #,##0.00\ &quot;DM&quot;_-;\-* #,##0.00\ &quot;DM&quot;_-;_-* &quot;-&quot;??\ &quot;DM&quot;_-;_-@_-"/>
    <numFmt numFmtId="256" formatCode="_-&quot;£&quot;* #,##0_-;\-&quot;£&quot;* #,##0_-;_-&quot;£&quot;* &quot;-&quot;_-;_-@_-"/>
    <numFmt numFmtId="257" formatCode="_-&quot;£&quot;* #,##0.00_-;\-&quot;£&quot;* #,##0.00_-;_-&quot;£&quot;* &quot;-&quot;??_-;_-@_-"/>
    <numFmt numFmtId="258" formatCode="&quot;R$ &quot;#,##0_);\(&quot;R$ &quot;#,##0\)"/>
    <numFmt numFmtId="259" formatCode="0.0_)\%;\(0.0\)\%;0.0_)\%;@_)_%"/>
    <numFmt numFmtId="260" formatCode="#,##0.0_)_%;\(#,##0.0\)_%;0.0_)_%;@_)_%"/>
    <numFmt numFmtId="261" formatCode="#,##0.0_);\(#,##0.0\);#,##0.0_);@_)"/>
    <numFmt numFmtId="262" formatCode="&quot;R$&quot;_(#,##0.00_);&quot;R$&quot;\(#,##0.00\);&quot;R$&quot;_(0.00_);@_)"/>
    <numFmt numFmtId="263" formatCode="#,##0.00_);\(#,##0.00\);0.00_);@_)"/>
    <numFmt numFmtId="264" formatCode="\€_(#,##0.00_);\€\(#,##0.00\);\€_(0.00_);@_)"/>
    <numFmt numFmtId="265" formatCode="#,##0_)\x;\(#,##0\)\x;0_)\x;@_)_x"/>
    <numFmt numFmtId="266" formatCode="#,##0_)_x;\(#,##0\)_x;0_)_x;@_)_x"/>
    <numFmt numFmtId="267" formatCode="_-&quot;R$ &quot;* #,##0_-;\-&quot;R$ &quot;* #,##0_-;_-&quot;R$ &quot;* &quot;-&quot;_-;_-@_-"/>
    <numFmt numFmtId="268" formatCode="mmmyy"/>
    <numFmt numFmtId="269" formatCode="[Blue]_(* #,##0_);[Red]_(* \(#,##0\);_(* &quot;-&quot;_);_(@_)"/>
    <numFmt numFmtId="270" formatCode="[Blue]_(* #,##0.0_);[Red]_(* \(#,##0.0\);_(* &quot;-&quot;_);_(@_)"/>
    <numFmt numFmtId="271" formatCode="_(* #,##0.00_);[Red]_(* \(#,##0.00\);_(* &quot;-&quot;_);_(@_)"/>
    <numFmt numFmtId="272" formatCode="_(* #,##0,_);[Red]_(* \(#,##0,\);_(* &quot;-&quot;_);_(@_)"/>
    <numFmt numFmtId="273" formatCode="&quot;£&quot;#,##0;[Red]\-&quot;£&quot;#,##0"/>
    <numFmt numFmtId="274" formatCode="_([$€]\ * #,##0.00_);_([$€]\ * \(#,##0.00\);_([$€]\ * &quot;-&quot;??_);_(@_)"/>
    <numFmt numFmtId="275" formatCode="#,#00"/>
    <numFmt numFmtId="276" formatCode="#,##0.0;\(#,##0.0\)"/>
    <numFmt numFmtId="277" formatCode="#,##0.000;\(#,##0.000\)"/>
    <numFmt numFmtId="278" formatCode="#,##0.0\x;\(#,##0.0\)\x"/>
    <numFmt numFmtId="279" formatCode="0%;\(0%\)"/>
    <numFmt numFmtId="280" formatCode="%#,#00"/>
    <numFmt numFmtId="281" formatCode="#.##000"/>
    <numFmt numFmtId="282" formatCode="mm/dd/yy"/>
    <numFmt numFmtId="283" formatCode="#,##0.00%"/>
    <numFmt numFmtId="284" formatCode="_(&quot;R$&quot;* #,##0.0_);_(&quot;R$&quot;* \(#,##0.0\);_(* &quot;-&quot;_);_(@_)"/>
    <numFmt numFmtId="285" formatCode="mmm"/>
    <numFmt numFmtId="286" formatCode="#,"/>
    <numFmt numFmtId="287" formatCode="_(&quot;R$ &quot;* #,##0_);_(&quot;R$ &quot;* \(#,##0\);_(&quot;R$ &quot;* &quot;-&quot;??_);_(@_)"/>
    <numFmt numFmtId="288" formatCode="_-* #,##0.00\ _€_-;\-* #,##0.00\ _€_-;_-* &quot;-&quot;??\ _€_-;_-@_-"/>
    <numFmt numFmtId="289" formatCode="_(* #,##0.000_);_(* \(#,##0.000\);_(* &quot;-&quot;??_);_(@_)"/>
    <numFmt numFmtId="290" formatCode="_-* #,##0.000_-;\-* #,##0.000_-;_-* &quot;-&quot;??_-;_-@_-"/>
    <numFmt numFmtId="291" formatCode="&quot;$&quot;_(#,##0.00_);&quot;$&quot;\(#,##0.00\);&quot;$&quot;_(0.00_);@_)"/>
    <numFmt numFmtId="292" formatCode="_(&quot;$&quot;* #,##0.0_);_(&quot;$&quot;* \(#,##0.0\);_(* &quot;-&quot;_);_(@_)"/>
    <numFmt numFmtId="293" formatCode="0.0000"/>
    <numFmt numFmtId="294" formatCode="0.000000"/>
    <numFmt numFmtId="295" formatCode="_-* #,##0.0_-;\-* #,##0.0_-;_-* &quot;-&quot;?_-;_-@_-"/>
  </numFmts>
  <fonts count="37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0"/>
      <color indexed="12"/>
      <name val="Arial"/>
      <family val="2"/>
    </font>
    <font>
      <b/>
      <sz val="8"/>
      <color indexed="10"/>
      <name val="Arial"/>
      <family val="2"/>
    </font>
    <font>
      <sz val="10"/>
      <color indexed="8"/>
      <name val="Arial"/>
      <family val="2"/>
    </font>
    <font>
      <b/>
      <sz val="10"/>
      <color indexed="8"/>
      <name val="Arial"/>
      <family val="2"/>
    </font>
    <font>
      <b/>
      <sz val="10"/>
      <color indexed="17"/>
      <name val="Arial"/>
      <family val="2"/>
    </font>
    <font>
      <b/>
      <sz val="10"/>
      <name val="Arial"/>
      <family val="2"/>
    </font>
    <font>
      <sz val="10"/>
      <color indexed="12"/>
      <name val="Arial"/>
      <family val="2"/>
    </font>
    <font>
      <b/>
      <sz val="10"/>
      <color indexed="9"/>
      <name val="Arial"/>
      <family val="2"/>
    </font>
    <font>
      <sz val="8"/>
      <name val="Arial"/>
      <family val="2"/>
    </font>
    <font>
      <sz val="8"/>
      <color indexed="8"/>
      <name val="Arial"/>
      <family val="2"/>
    </font>
    <font>
      <b/>
      <sz val="8"/>
      <name val="Arial"/>
      <family val="2"/>
    </font>
    <font>
      <b/>
      <sz val="8"/>
      <color indexed="8"/>
      <name val="Arial"/>
      <family val="2"/>
    </font>
    <font>
      <b/>
      <sz val="8"/>
      <color indexed="62"/>
      <name val="Arial"/>
      <family val="2"/>
    </font>
    <font>
      <sz val="10"/>
      <color indexed="10"/>
      <name val="Arial"/>
      <family val="2"/>
    </font>
    <font>
      <b/>
      <sz val="10"/>
      <color indexed="10"/>
      <name val="Arial"/>
      <family val="2"/>
    </font>
    <font>
      <b/>
      <sz val="10"/>
      <color rgb="FF0000FF"/>
      <name val="Arial"/>
      <family val="2"/>
    </font>
    <font>
      <b/>
      <sz val="8"/>
      <color indexed="81"/>
      <name val="Tahoma"/>
      <family val="2"/>
    </font>
    <font>
      <sz val="8"/>
      <color indexed="81"/>
      <name val="Tahoma"/>
      <family val="2"/>
    </font>
    <font>
      <sz val="10"/>
      <color rgb="FFFF0000"/>
      <name val="Arial"/>
      <family val="2"/>
    </font>
    <font>
      <b/>
      <sz val="9"/>
      <color indexed="81"/>
      <name val="Tahoma"/>
      <family val="2"/>
    </font>
    <font>
      <sz val="9"/>
      <color indexed="81"/>
      <name val="Tahoma"/>
      <family val="2"/>
    </font>
    <font>
      <sz val="10"/>
      <name val="Calibri"/>
      <family val="2"/>
      <scheme val="minor"/>
    </font>
    <font>
      <b/>
      <sz val="8"/>
      <name val="Calibri"/>
      <family val="2"/>
      <scheme val="minor"/>
    </font>
    <font>
      <sz val="8"/>
      <name val="Calibri"/>
      <family val="2"/>
      <scheme val="minor"/>
    </font>
    <font>
      <sz val="8"/>
      <color indexed="12"/>
      <name val="Calibri"/>
      <family val="2"/>
      <scheme val="minor"/>
    </font>
    <font>
      <sz val="8"/>
      <color rgb="FFFF0000"/>
      <name val="Calibri"/>
      <family val="2"/>
      <scheme val="minor"/>
    </font>
    <font>
      <b/>
      <sz val="8"/>
      <color rgb="FF0000FF"/>
      <name val="Calibri"/>
      <family val="2"/>
      <scheme val="minor"/>
    </font>
    <font>
      <b/>
      <sz val="8"/>
      <color rgb="FFFF0000"/>
      <name val="Calibri"/>
      <family val="2"/>
      <scheme val="minor"/>
    </font>
    <font>
      <sz val="8"/>
      <color rgb="FF0000FF"/>
      <name val="Calibri"/>
      <family val="2"/>
      <scheme val="minor"/>
    </font>
    <font>
      <b/>
      <sz val="8"/>
      <color rgb="FF008000"/>
      <name val="Calibri"/>
      <family val="2"/>
      <scheme val="minor"/>
    </font>
    <font>
      <b/>
      <sz val="10"/>
      <name val="Calibri"/>
      <family val="2"/>
      <scheme val="minor"/>
    </font>
    <font>
      <b/>
      <sz val="10"/>
      <color rgb="FF008000"/>
      <name val="Calibri"/>
      <family val="2"/>
      <scheme val="minor"/>
    </font>
    <font>
      <b/>
      <sz val="9"/>
      <name val="Calibri"/>
      <family val="2"/>
      <scheme val="minor"/>
    </font>
    <font>
      <sz val="9"/>
      <name val="Calibri"/>
      <family val="2"/>
      <scheme val="minor"/>
    </font>
    <font>
      <sz val="9"/>
      <color rgb="FFFF0000"/>
      <name val="Calibri"/>
      <family val="2"/>
      <scheme val="minor"/>
    </font>
    <font>
      <sz val="8"/>
      <color rgb="FF008000"/>
      <name val="Calibri"/>
      <family val="2"/>
      <scheme val="minor"/>
    </font>
    <font>
      <sz val="8"/>
      <color indexed="17"/>
      <name val="Calibri"/>
      <family val="2"/>
      <scheme val="minor"/>
    </font>
    <font>
      <sz val="9"/>
      <color indexed="17"/>
      <name val="Calibri"/>
      <family val="2"/>
      <scheme val="minor"/>
    </font>
    <font>
      <b/>
      <sz val="10"/>
      <color indexed="12"/>
      <name val="Calibri"/>
      <family val="2"/>
      <scheme val="minor"/>
    </font>
    <font>
      <b/>
      <sz val="10"/>
      <color rgb="FFFF0000"/>
      <name val="Calibri"/>
      <family val="2"/>
      <scheme val="minor"/>
    </font>
    <font>
      <b/>
      <sz val="10"/>
      <color indexed="17"/>
      <name val="Calibri"/>
      <family val="2"/>
      <scheme val="minor"/>
    </font>
    <font>
      <b/>
      <sz val="8"/>
      <color indexed="10"/>
      <name val="Calibri"/>
      <family val="2"/>
      <scheme val="minor"/>
    </font>
    <font>
      <sz val="9"/>
      <color rgb="FF008000"/>
      <name val="Calibri"/>
      <family val="2"/>
      <scheme val="minor"/>
    </font>
    <font>
      <sz val="9"/>
      <color indexed="12"/>
      <name val="Calibri"/>
      <family val="2"/>
      <scheme val="minor"/>
    </font>
    <font>
      <b/>
      <sz val="9"/>
      <color rgb="FFFF0000"/>
      <name val="Calibri"/>
      <family val="2"/>
      <scheme val="minor"/>
    </font>
    <font>
      <sz val="10"/>
      <color rgb="FF008000"/>
      <name val="Calibri"/>
      <family val="2"/>
      <scheme val="minor"/>
    </font>
    <font>
      <sz val="8"/>
      <color indexed="10"/>
      <name val="Calibri"/>
      <family val="2"/>
      <scheme val="minor"/>
    </font>
    <font>
      <sz val="8"/>
      <color indexed="20"/>
      <name val="Calibri"/>
      <family val="2"/>
      <scheme val="minor"/>
    </font>
    <font>
      <b/>
      <sz val="8"/>
      <color indexed="20"/>
      <name val="Calibri"/>
      <family val="2"/>
      <scheme val="minor"/>
    </font>
    <font>
      <b/>
      <sz val="9"/>
      <color rgb="FF008000"/>
      <name val="Calibri"/>
      <family val="2"/>
      <scheme val="minor"/>
    </font>
    <font>
      <sz val="9"/>
      <color indexed="57"/>
      <name val="Calibri"/>
      <family val="2"/>
      <scheme val="minor"/>
    </font>
    <font>
      <sz val="10"/>
      <color indexed="17"/>
      <name val="Calibri"/>
      <family val="2"/>
      <scheme val="minor"/>
    </font>
    <font>
      <b/>
      <sz val="6"/>
      <name val="Calibri"/>
      <family val="2"/>
      <scheme val="minor"/>
    </font>
    <font>
      <b/>
      <sz val="14"/>
      <color indexed="12"/>
      <name val="Calibri"/>
      <family val="2"/>
      <scheme val="minor"/>
    </font>
    <font>
      <sz val="10"/>
      <color rgb="FFFF0000"/>
      <name val="Calibri"/>
      <family val="2"/>
      <scheme val="minor"/>
    </font>
    <font>
      <sz val="10"/>
      <color indexed="12"/>
      <name val="Calibri"/>
      <family val="2"/>
      <scheme val="minor"/>
    </font>
    <font>
      <sz val="8"/>
      <color indexed="48"/>
      <name val="Calibri"/>
      <family val="2"/>
      <scheme val="minor"/>
    </font>
    <font>
      <sz val="8"/>
      <color indexed="14"/>
      <name val="Calibri"/>
      <family val="2"/>
      <scheme val="minor"/>
    </font>
    <font>
      <b/>
      <sz val="9"/>
      <color indexed="17"/>
      <name val="Calibri"/>
      <family val="2"/>
      <scheme val="minor"/>
    </font>
    <font>
      <sz val="10"/>
      <color rgb="FF009900"/>
      <name val="Calibri"/>
      <family val="2"/>
      <scheme val="minor"/>
    </font>
    <font>
      <sz val="8"/>
      <color theme="1"/>
      <name val="Calibri"/>
      <family val="2"/>
      <scheme val="minor"/>
    </font>
    <font>
      <b/>
      <sz val="8"/>
      <color theme="1"/>
      <name val="Calibri"/>
      <family val="2"/>
      <scheme val="minor"/>
    </font>
    <font>
      <b/>
      <sz val="8"/>
      <color indexed="10"/>
      <name val="Tahoma"/>
      <family val="2"/>
    </font>
    <font>
      <sz val="8"/>
      <color indexed="10"/>
      <name val="Tahoma"/>
      <family val="2"/>
    </font>
    <font>
      <b/>
      <u/>
      <sz val="10"/>
      <name val="Arial"/>
      <family val="2"/>
    </font>
    <font>
      <b/>
      <sz val="10"/>
      <color rgb="FFFF0000"/>
      <name val="Arial"/>
      <family val="2"/>
    </font>
    <font>
      <sz val="12"/>
      <color indexed="8"/>
      <name val="Times New Roman"/>
      <family val="1"/>
    </font>
    <font>
      <sz val="12"/>
      <color rgb="FFFF0000"/>
      <name val="Times New Roman"/>
      <family val="1"/>
    </font>
    <font>
      <sz val="12"/>
      <name val="Times New Roman"/>
      <family val="1"/>
    </font>
    <font>
      <sz val="12"/>
      <color indexed="12"/>
      <name val="Times New Roman"/>
      <family val="1"/>
    </font>
    <font>
      <sz val="10"/>
      <name val="Courier"/>
      <family val="3"/>
    </font>
    <font>
      <b/>
      <sz val="12"/>
      <color rgb="FFFF0000"/>
      <name val="Times New Roman"/>
      <family val="1"/>
    </font>
    <font>
      <b/>
      <sz val="12"/>
      <color indexed="8"/>
      <name val="Times New Roman"/>
      <family val="1"/>
    </font>
    <font>
      <b/>
      <sz val="12"/>
      <name val="Times New Roman"/>
      <family val="1"/>
    </font>
    <font>
      <sz val="9"/>
      <color rgb="FF00B050"/>
      <name val="Calibri"/>
      <family val="2"/>
      <scheme val="minor"/>
    </font>
    <font>
      <b/>
      <sz val="10"/>
      <color rgb="FF00B050"/>
      <name val="Calibri"/>
      <family val="2"/>
      <scheme val="minor"/>
    </font>
    <font>
      <sz val="11"/>
      <color rgb="FFFF0000"/>
      <name val="Calibri"/>
      <family val="2"/>
      <scheme val="minor"/>
    </font>
    <font>
      <sz val="11"/>
      <name val="Calibri"/>
      <family val="2"/>
      <scheme val="minor"/>
    </font>
    <font>
      <sz val="8"/>
      <color rgb="FF00B050"/>
      <name val="Calibri"/>
      <family val="2"/>
      <scheme val="minor"/>
    </font>
    <font>
      <sz val="10"/>
      <color rgb="FF00B050"/>
      <name val="Calibri"/>
      <family val="2"/>
      <scheme val="minor"/>
    </font>
    <font>
      <sz val="11"/>
      <color rgb="FF00B050"/>
      <name val="Calibri"/>
      <family val="2"/>
      <scheme val="minor"/>
    </font>
    <font>
      <sz val="9"/>
      <color rgb="FF0070C0"/>
      <name val="Calibri"/>
      <family val="2"/>
      <scheme val="minor"/>
    </font>
    <font>
      <sz val="8"/>
      <color rgb="FF0070C0"/>
      <name val="Calibri"/>
      <family val="2"/>
      <scheme val="minor"/>
    </font>
    <font>
      <b/>
      <sz val="10"/>
      <color rgb="FF0070C0"/>
      <name val="Calibri"/>
      <family val="2"/>
      <scheme val="minor"/>
    </font>
    <font>
      <sz val="10"/>
      <color rgb="FF0070C0"/>
      <name val="Calibri"/>
      <family val="2"/>
      <scheme val="minor"/>
    </font>
    <font>
      <b/>
      <sz val="9"/>
      <color rgb="FF0070C0"/>
      <name val="Calibri"/>
      <family val="2"/>
      <scheme val="minor"/>
    </font>
    <font>
      <sz val="10"/>
      <color theme="9" tint="-0.249977111117893"/>
      <name val="Calibri"/>
      <family val="2"/>
      <scheme val="minor"/>
    </font>
    <font>
      <sz val="11"/>
      <color rgb="FF0000FF"/>
      <name val="Calibri"/>
      <family val="2"/>
      <scheme val="minor"/>
    </font>
    <font>
      <sz val="11"/>
      <color rgb="FF0070C0"/>
      <name val="Calibri"/>
      <family val="2"/>
      <scheme val="minor"/>
    </font>
    <font>
      <sz val="9"/>
      <color theme="1"/>
      <name val="Calibri"/>
      <family val="2"/>
      <scheme val="minor"/>
    </font>
    <font>
      <b/>
      <sz val="11"/>
      <color theme="9" tint="-0.249977111117893"/>
      <name val="Calibri"/>
      <family val="2"/>
      <scheme val="minor"/>
    </font>
    <font>
      <sz val="11"/>
      <color theme="9" tint="-0.249977111117893"/>
      <name val="Calibri"/>
      <family val="2"/>
      <scheme val="minor"/>
    </font>
    <font>
      <sz val="10"/>
      <color theme="1"/>
      <name val="Calibri"/>
      <family val="2"/>
      <scheme val="minor"/>
    </font>
    <font>
      <b/>
      <sz val="10"/>
      <color theme="9" tint="-0.249977111117893"/>
      <name val="Calibri"/>
      <family val="2"/>
      <scheme val="minor"/>
    </font>
    <font>
      <b/>
      <sz val="10"/>
      <color rgb="FF7030A0"/>
      <name val="Calibri"/>
      <family val="2"/>
      <scheme val="minor"/>
    </font>
    <font>
      <sz val="11"/>
      <color rgb="FF7030A0"/>
      <name val="Calibri"/>
      <family val="2"/>
      <scheme val="minor"/>
    </font>
    <font>
      <b/>
      <sz val="11"/>
      <color rgb="FF7030A0"/>
      <name val="Calibri"/>
      <family val="2"/>
      <scheme val="minor"/>
    </font>
    <font>
      <b/>
      <sz val="9"/>
      <color theme="9" tint="-0.249977111117893"/>
      <name val="Calibri"/>
      <family val="2"/>
      <scheme val="minor"/>
    </font>
    <font>
      <b/>
      <sz val="9"/>
      <color rgb="FF0000FF"/>
      <name val="Calibri"/>
      <family val="2"/>
      <scheme val="minor"/>
    </font>
    <font>
      <sz val="9"/>
      <color theme="9" tint="-0.249977111117893"/>
      <name val="Calibri"/>
      <family val="2"/>
      <scheme val="minor"/>
    </font>
    <font>
      <i/>
      <sz val="8"/>
      <name val="Calibri"/>
      <family val="2"/>
      <scheme val="minor"/>
    </font>
    <font>
      <i/>
      <sz val="11"/>
      <name val="Calibri"/>
      <family val="2"/>
      <scheme val="minor"/>
    </font>
    <font>
      <b/>
      <sz val="8"/>
      <color theme="9" tint="-0.249977111117893"/>
      <name val="Calibri"/>
      <family val="2"/>
      <scheme val="minor"/>
    </font>
    <font>
      <sz val="8"/>
      <color theme="9" tint="-0.249977111117893"/>
      <name val="Calibri"/>
      <family val="2"/>
      <scheme val="minor"/>
    </font>
    <font>
      <b/>
      <sz val="10"/>
      <color theme="1"/>
      <name val="Calibri"/>
      <family val="2"/>
      <scheme val="minor"/>
    </font>
    <font>
      <sz val="10"/>
      <color indexed="14"/>
      <name val="Calibri"/>
      <family val="2"/>
      <scheme val="minor"/>
    </font>
    <font>
      <b/>
      <sz val="8"/>
      <color indexed="9"/>
      <name val="Arial"/>
      <family val="2"/>
    </font>
    <font>
      <b/>
      <sz val="10"/>
      <color indexed="9"/>
      <name val="Calibri"/>
      <family val="2"/>
      <scheme val="minor"/>
    </font>
    <font>
      <b/>
      <sz val="11"/>
      <color indexed="9"/>
      <name val="Calibri"/>
      <family val="2"/>
      <scheme val="minor"/>
    </font>
    <font>
      <b/>
      <sz val="11"/>
      <name val="Calibri"/>
      <family val="2"/>
      <scheme val="minor"/>
    </font>
    <font>
      <b/>
      <sz val="11"/>
      <color indexed="17"/>
      <name val="Calibri"/>
      <family val="2"/>
      <scheme val="minor"/>
    </font>
    <font>
      <b/>
      <sz val="12"/>
      <color indexed="9"/>
      <name val="Calibri"/>
      <family val="2"/>
      <scheme val="minor"/>
    </font>
    <font>
      <b/>
      <sz val="12"/>
      <name val="Calibri"/>
      <family val="2"/>
      <scheme val="minor"/>
    </font>
    <font>
      <b/>
      <sz val="12"/>
      <color indexed="17"/>
      <name val="Calibri"/>
      <family val="2"/>
      <scheme val="minor"/>
    </font>
    <font>
      <sz val="12"/>
      <color theme="1"/>
      <name val="Calibri"/>
      <family val="2"/>
      <scheme val="minor"/>
    </font>
    <font>
      <sz val="10"/>
      <color indexed="8"/>
      <name val="Calibri"/>
      <family val="2"/>
      <scheme val="minor"/>
    </font>
    <font>
      <b/>
      <sz val="10"/>
      <color indexed="8"/>
      <name val="Calibri"/>
      <family val="2"/>
      <scheme val="minor"/>
    </font>
    <font>
      <sz val="11"/>
      <color rgb="FF008000"/>
      <name val="Calibri"/>
      <family val="2"/>
      <scheme val="minor"/>
    </font>
    <font>
      <sz val="11"/>
      <color indexed="8"/>
      <name val="Calibri"/>
      <family val="2"/>
      <scheme val="minor"/>
    </font>
    <font>
      <b/>
      <sz val="11"/>
      <color rgb="FF008000"/>
      <name val="Calibri"/>
      <family val="2"/>
      <scheme val="minor"/>
    </font>
    <font>
      <b/>
      <sz val="11"/>
      <color indexed="8"/>
      <name val="Calibri"/>
      <family val="2"/>
      <scheme val="minor"/>
    </font>
    <font>
      <sz val="11"/>
      <color indexed="12"/>
      <name val="Calibri"/>
      <family val="2"/>
      <scheme val="minor"/>
    </font>
    <font>
      <b/>
      <sz val="11"/>
      <color rgb="FF0070C0"/>
      <name val="Calibri"/>
      <family val="2"/>
      <scheme val="minor"/>
    </font>
    <font>
      <sz val="11"/>
      <color indexed="10"/>
      <name val="Calibri"/>
      <family val="2"/>
      <scheme val="minor"/>
    </font>
    <font>
      <sz val="11"/>
      <color indexed="17"/>
      <name val="Calibri"/>
      <family val="2"/>
      <scheme val="minor"/>
    </font>
    <font>
      <b/>
      <sz val="11"/>
      <color rgb="FF00B050"/>
      <name val="Calibri"/>
      <family val="2"/>
      <scheme val="minor"/>
    </font>
    <font>
      <b/>
      <sz val="11"/>
      <color indexed="10"/>
      <name val="Calibri"/>
      <family val="2"/>
      <scheme val="minor"/>
    </font>
    <font>
      <b/>
      <sz val="11"/>
      <color rgb="FFFF0000"/>
      <name val="Calibri"/>
      <family val="2"/>
      <scheme val="minor"/>
    </font>
    <font>
      <b/>
      <sz val="11"/>
      <color rgb="FF0000FF"/>
      <name val="Calibri"/>
      <family val="2"/>
      <scheme val="minor"/>
    </font>
    <font>
      <sz val="9"/>
      <color rgb="FF0000FF"/>
      <name val="Calibri"/>
      <family val="2"/>
      <scheme val="minor"/>
    </font>
    <font>
      <sz val="11"/>
      <color indexed="9"/>
      <name val="Calibri"/>
      <family val="2"/>
      <scheme val="minor"/>
    </font>
    <font>
      <b/>
      <sz val="11"/>
      <color rgb="FF000000"/>
      <name val="Calibri"/>
      <family val="2"/>
      <scheme val="minor"/>
    </font>
    <font>
      <sz val="11"/>
      <color rgb="FF000000"/>
      <name val="Calibri"/>
      <family val="2"/>
      <scheme val="minor"/>
    </font>
    <font>
      <b/>
      <sz val="11"/>
      <color indexed="20"/>
      <name val="Calibri"/>
      <family val="2"/>
      <scheme val="minor"/>
    </font>
    <font>
      <sz val="8"/>
      <name val="Times New Roman"/>
      <family val="1"/>
    </font>
    <font>
      <i/>
      <sz val="10"/>
      <name val="Calibri"/>
      <family val="2"/>
      <scheme val="minor"/>
    </font>
    <font>
      <i/>
      <sz val="9"/>
      <name val="Calibri"/>
      <family val="2"/>
      <scheme val="minor"/>
    </font>
    <font>
      <b/>
      <i/>
      <sz val="10"/>
      <name val="Calibri"/>
      <family val="2"/>
      <scheme val="minor"/>
    </font>
    <font>
      <b/>
      <i/>
      <sz val="10"/>
      <color indexed="20"/>
      <name val="Calibri"/>
      <family val="2"/>
      <scheme val="minor"/>
    </font>
    <font>
      <i/>
      <sz val="10"/>
      <color rgb="FF7030A0"/>
      <name val="Calibri"/>
      <family val="2"/>
      <scheme val="minor"/>
    </font>
    <font>
      <b/>
      <i/>
      <sz val="10"/>
      <color indexed="10"/>
      <name val="Calibri"/>
      <family val="2"/>
      <scheme val="minor"/>
    </font>
    <font>
      <i/>
      <sz val="10"/>
      <color indexed="10"/>
      <name val="Calibri"/>
      <family val="2"/>
      <scheme val="minor"/>
    </font>
    <font>
      <b/>
      <i/>
      <sz val="10"/>
      <color rgb="FFFF0000"/>
      <name val="Calibri"/>
      <family val="2"/>
      <scheme val="minor"/>
    </font>
    <font>
      <i/>
      <sz val="10"/>
      <color rgb="FFFF0000"/>
      <name val="Calibri"/>
      <family val="2"/>
      <scheme val="minor"/>
    </font>
    <font>
      <b/>
      <i/>
      <sz val="10"/>
      <color rgb="FF0000FF"/>
      <name val="Calibri"/>
      <family val="2"/>
      <scheme val="minor"/>
    </font>
    <font>
      <i/>
      <sz val="10"/>
      <color theme="1"/>
      <name val="Calibri"/>
      <family val="2"/>
      <scheme val="minor"/>
    </font>
    <font>
      <sz val="9"/>
      <name val="Arial"/>
      <family val="2"/>
    </font>
    <font>
      <b/>
      <sz val="9"/>
      <color indexed="62"/>
      <name val="Arial"/>
      <family val="2"/>
    </font>
    <font>
      <b/>
      <sz val="9"/>
      <name val="Arial"/>
      <family val="2"/>
    </font>
    <font>
      <b/>
      <sz val="9"/>
      <color rgb="FFFF0000"/>
      <name val="Arial"/>
      <family val="2"/>
    </font>
    <font>
      <b/>
      <sz val="9"/>
      <color theme="9" tint="-0.499984740745262"/>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name val="Geneva"/>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u/>
      <sz val="10"/>
      <color indexed="12"/>
      <name val="Arial"/>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sz val="10"/>
      <color theme="1"/>
      <name val="Arial"/>
      <family val="2"/>
    </font>
    <font>
      <b/>
      <sz val="12"/>
      <name val="Arial"/>
      <family val="2"/>
    </font>
    <font>
      <b/>
      <sz val="16"/>
      <color indexed="9"/>
      <name val="Arial"/>
      <family val="2"/>
    </font>
    <font>
      <b/>
      <sz val="10"/>
      <name val="MS Sans Serif"/>
      <family val="2"/>
    </font>
    <font>
      <sz val="12"/>
      <color indexed="8"/>
      <name val="Arial"/>
      <family val="2"/>
    </font>
    <font>
      <b/>
      <u/>
      <sz val="12"/>
      <color indexed="10"/>
      <name val="Arial"/>
      <family val="2"/>
    </font>
    <font>
      <b/>
      <sz val="10"/>
      <color indexed="32"/>
      <name val="Arial"/>
      <family val="2"/>
    </font>
    <font>
      <sz val="1"/>
      <color theme="0"/>
      <name val="Arial"/>
      <family val="2"/>
    </font>
    <font>
      <sz val="1"/>
      <color rgb="FF000000"/>
      <name val="Arial"/>
      <family val="2"/>
    </font>
    <font>
      <b/>
      <sz val="9"/>
      <name val="Helv"/>
    </font>
    <font>
      <b/>
      <sz val="12"/>
      <color indexed="8"/>
      <name val="Arial"/>
      <family val="2"/>
    </font>
    <font>
      <sz val="24"/>
      <name val="Arial"/>
      <family val="2"/>
    </font>
    <font>
      <sz val="1"/>
      <color indexed="9"/>
      <name val="Arial"/>
      <family val="2"/>
    </font>
    <font>
      <sz val="8"/>
      <name val="Helv"/>
    </font>
    <font>
      <b/>
      <sz val="8"/>
      <color indexed="24"/>
      <name val="Arial"/>
      <family val="2"/>
    </font>
    <font>
      <b/>
      <sz val="9"/>
      <color indexed="24"/>
      <name val="Arial"/>
      <family val="2"/>
    </font>
    <font>
      <b/>
      <sz val="11"/>
      <color indexed="24"/>
      <name val="Arial"/>
      <family val="2"/>
    </font>
    <font>
      <sz val="14"/>
      <name val="Helv"/>
    </font>
    <font>
      <sz val="12"/>
      <name val="Arial"/>
      <family val="2"/>
    </font>
    <font>
      <sz val="10"/>
      <name val="MS Sans Serif"/>
      <family val="2"/>
    </font>
    <font>
      <sz val="12"/>
      <color indexed="24"/>
      <name val="Arial"/>
      <family val="2"/>
    </font>
    <font>
      <sz val="10"/>
      <name val="MS Serif"/>
      <family val="1"/>
    </font>
    <font>
      <sz val="10"/>
      <name val="Times New Roman"/>
      <family val="1"/>
    </font>
    <font>
      <sz val="9"/>
      <name val="Times New Roman"/>
      <family val="1"/>
    </font>
    <font>
      <sz val="12"/>
      <name val="MS Sans Serif"/>
      <family val="2"/>
    </font>
    <font>
      <sz val="8"/>
      <color indexed="12"/>
      <name val="Arial"/>
      <family val="2"/>
    </font>
    <font>
      <sz val="10"/>
      <color indexed="16"/>
      <name val="MS Serif"/>
      <family val="1"/>
    </font>
    <font>
      <b/>
      <u/>
      <sz val="1"/>
      <color indexed="8"/>
      <name val="Courier"/>
      <family val="3"/>
    </font>
    <font>
      <sz val="1"/>
      <color indexed="8"/>
      <name val="Courier"/>
      <family val="3"/>
    </font>
    <font>
      <b/>
      <sz val="1"/>
      <color indexed="8"/>
      <name val="Courier"/>
      <family val="3"/>
    </font>
    <font>
      <u/>
      <sz val="1"/>
      <color indexed="8"/>
      <name val="Courier"/>
      <family val="3"/>
    </font>
    <font>
      <u/>
      <sz val="10"/>
      <color indexed="36"/>
      <name val="Arial"/>
      <family val="2"/>
    </font>
    <font>
      <b/>
      <i/>
      <sz val="10"/>
      <color indexed="16"/>
      <name val="Arial"/>
      <family val="2"/>
    </font>
    <font>
      <b/>
      <u/>
      <sz val="11"/>
      <color indexed="37"/>
      <name val="Arial"/>
      <family val="2"/>
    </font>
    <font>
      <b/>
      <sz val="9"/>
      <color indexed="16"/>
      <name val="Arial"/>
      <family val="2"/>
    </font>
    <font>
      <u/>
      <sz val="11"/>
      <color indexed="12"/>
      <name val="Calibri"/>
      <family val="2"/>
    </font>
    <font>
      <u/>
      <sz val="8.8000000000000007"/>
      <color indexed="12"/>
      <name val="Calibri"/>
      <family val="2"/>
    </font>
    <font>
      <sz val="8"/>
      <color indexed="39"/>
      <name val="Arial"/>
      <family val="2"/>
    </font>
    <font>
      <b/>
      <sz val="10"/>
      <color indexed="48"/>
      <name val="Arial"/>
      <family val="2"/>
    </font>
    <font>
      <sz val="10"/>
      <color indexed="20"/>
      <name val="Arial"/>
      <family val="2"/>
    </font>
    <font>
      <sz val="7"/>
      <name val="Small Fonts"/>
      <family val="2"/>
    </font>
    <font>
      <sz val="12"/>
      <name val="SWISS"/>
    </font>
    <font>
      <b/>
      <i/>
      <sz val="16"/>
      <name val="Helv"/>
      <family val="2"/>
    </font>
    <font>
      <b/>
      <i/>
      <sz val="16"/>
      <name val="Helv"/>
    </font>
    <font>
      <sz val="10"/>
      <color theme="1"/>
      <name val="eyinterstate light"/>
      <family val="2"/>
    </font>
    <font>
      <sz val="10"/>
      <color indexed="8"/>
      <name val="Calibri"/>
      <family val="2"/>
    </font>
    <font>
      <sz val="10"/>
      <color indexed="8"/>
      <name val="MS Sans Serif"/>
      <family val="2"/>
    </font>
    <font>
      <sz val="8"/>
      <color indexed="10"/>
      <name val="Arial"/>
      <family val="2"/>
    </font>
    <font>
      <sz val="1"/>
      <color indexed="8"/>
      <name val="Arial"/>
      <family val="2"/>
    </font>
    <font>
      <b/>
      <sz val="11"/>
      <color indexed="23"/>
      <name val="Arial"/>
      <family val="2"/>
    </font>
    <font>
      <b/>
      <sz val="8"/>
      <color indexed="39"/>
      <name val="Arial"/>
      <family val="2"/>
    </font>
    <font>
      <b/>
      <sz val="8"/>
      <color indexed="63"/>
      <name val="Arial"/>
      <family val="2"/>
    </font>
    <font>
      <b/>
      <sz val="12"/>
      <color indexed="63"/>
      <name val="Times New Roman"/>
      <family val="1"/>
    </font>
    <font>
      <sz val="7"/>
      <color indexed="63"/>
      <name val="Times New Roman"/>
      <family val="1"/>
    </font>
    <font>
      <sz val="12"/>
      <color indexed="63"/>
      <name val="Times New Roman"/>
      <family val="1"/>
    </font>
    <font>
      <sz val="10"/>
      <color indexed="63"/>
      <name val="Times New Roman"/>
      <family val="1"/>
    </font>
    <font>
      <sz val="12"/>
      <color indexed="9"/>
      <name val="Times New Roman"/>
      <family val="1"/>
    </font>
    <font>
      <b/>
      <sz val="11"/>
      <color indexed="39"/>
      <name val="Arial"/>
      <family val="2"/>
    </font>
    <font>
      <sz val="10"/>
      <color indexed="39"/>
      <name val="Arial"/>
      <family val="2"/>
    </font>
    <font>
      <b/>
      <sz val="11"/>
      <color indexed="10"/>
      <name val="Arial"/>
      <family val="2"/>
    </font>
    <font>
      <sz val="10"/>
      <color indexed="23"/>
      <name val="Arial"/>
      <family val="2"/>
    </font>
    <font>
      <b/>
      <sz val="11"/>
      <color indexed="9"/>
      <name val="Arial"/>
      <family val="2"/>
    </font>
    <font>
      <sz val="12"/>
      <color indexed="62"/>
      <name val="Times New Roman"/>
      <family val="1"/>
    </font>
    <font>
      <sz val="11"/>
      <color indexed="62"/>
      <name val="Times New Roman"/>
      <family val="1"/>
    </font>
    <font>
      <b/>
      <u/>
      <sz val="12"/>
      <color indexed="63"/>
      <name val="Times New Roman"/>
      <family val="1"/>
    </font>
    <font>
      <sz val="11"/>
      <color indexed="63"/>
      <name val="Times New Roman"/>
      <family val="1"/>
    </font>
    <font>
      <b/>
      <sz val="10"/>
      <color indexed="63"/>
      <name val="Times New Roman"/>
      <family val="1"/>
    </font>
    <font>
      <sz val="12"/>
      <color indexed="61"/>
      <name val="Times New Roman"/>
      <family val="1"/>
    </font>
    <font>
      <sz val="9"/>
      <color indexed="10"/>
      <name val="Arial"/>
      <family val="2"/>
    </font>
    <font>
      <b/>
      <sz val="10"/>
      <color indexed="33"/>
      <name val="Arial"/>
      <family val="2"/>
    </font>
    <font>
      <b/>
      <sz val="10"/>
      <color indexed="39"/>
      <name val="Arial"/>
      <family val="2"/>
    </font>
    <font>
      <sz val="9"/>
      <color indexed="33"/>
      <name val="Arial"/>
      <family val="2"/>
    </font>
    <font>
      <sz val="9"/>
      <color indexed="9"/>
      <name val="Arial"/>
      <family val="2"/>
    </font>
    <font>
      <sz val="9"/>
      <color indexed="8"/>
      <name val="Arial"/>
      <family val="2"/>
    </font>
    <font>
      <b/>
      <sz val="8"/>
      <color indexed="8"/>
      <name val="Helv"/>
      <family val="2"/>
    </font>
    <font>
      <sz val="7"/>
      <name val="MS Sans Serif"/>
      <family val="2"/>
    </font>
    <font>
      <sz val="7"/>
      <name val="Arial"/>
      <family val="2"/>
    </font>
    <font>
      <sz val="20"/>
      <name val="Times New Roman"/>
      <family val="1"/>
    </font>
    <font>
      <b/>
      <sz val="10"/>
      <name val="Helv"/>
    </font>
    <font>
      <b/>
      <u/>
      <sz val="12"/>
      <name val="Arial"/>
      <family val="2"/>
    </font>
    <font>
      <b/>
      <sz val="12"/>
      <name val="MS Sans Serif"/>
      <family val="2"/>
    </font>
    <font>
      <b/>
      <i/>
      <sz val="10"/>
      <name val="Arial"/>
      <family val="2"/>
    </font>
    <font>
      <sz val="10"/>
      <color indexed="32"/>
      <name val="Arial"/>
      <family val="2"/>
    </font>
    <font>
      <sz val="16"/>
      <name val="Arial"/>
      <family val="2"/>
    </font>
    <font>
      <b/>
      <sz val="9"/>
      <color indexed="18"/>
      <name val="Arial"/>
      <family val="2"/>
    </font>
    <font>
      <sz val="10"/>
      <name val="Corporate Mono"/>
    </font>
    <font>
      <b/>
      <sz val="16"/>
      <name val="Arial"/>
      <family val="2"/>
    </font>
    <font>
      <sz val="10"/>
      <name val="Geneva"/>
    </font>
    <font>
      <sz val="10"/>
      <name val="Verdana"/>
      <family val="2"/>
    </font>
    <font>
      <u/>
      <sz val="11"/>
      <color theme="10"/>
      <name val="Calibri"/>
      <family val="2"/>
      <scheme val="minor"/>
    </font>
    <font>
      <b/>
      <sz val="22"/>
      <color indexed="18"/>
      <name val="Arial"/>
      <family val="2"/>
    </font>
    <font>
      <b/>
      <sz val="14"/>
      <color indexed="18"/>
      <name val="Arial"/>
      <family val="2"/>
    </font>
    <font>
      <b/>
      <sz val="10"/>
      <color indexed="18"/>
      <name val="Arial"/>
      <family val="2"/>
    </font>
    <font>
      <b/>
      <u val="singleAccounting"/>
      <sz val="10"/>
      <color indexed="18"/>
      <name val="Arial"/>
      <family val="2"/>
    </font>
    <font>
      <i/>
      <sz val="12"/>
      <name val="Times New Roman"/>
      <family val="1"/>
    </font>
    <font>
      <b/>
      <sz val="8"/>
      <name val="Times New Roman"/>
      <family val="1"/>
    </font>
    <font>
      <b/>
      <sz val="8"/>
      <color indexed="12"/>
      <name val="Times New Roman"/>
      <family val="1"/>
    </font>
    <font>
      <sz val="12"/>
      <name val="Tms Rmn"/>
    </font>
    <font>
      <sz val="8"/>
      <color indexed="8"/>
      <name val="Times New Roman"/>
      <family val="1"/>
    </font>
    <font>
      <b/>
      <u val="singleAccounting"/>
      <sz val="8"/>
      <name val="Arial"/>
      <family val="2"/>
    </font>
    <font>
      <sz val="10"/>
      <name val="Helv"/>
    </font>
    <font>
      <sz val="8"/>
      <name val="Palatino"/>
      <family val="1"/>
    </font>
    <font>
      <sz val="10"/>
      <color indexed="24"/>
      <name val="Arial"/>
      <family val="2"/>
    </font>
    <font>
      <sz val="14"/>
      <name val="Palatino"/>
      <family val="1"/>
    </font>
    <font>
      <sz val="16"/>
      <name val="Palatino"/>
      <family val="1"/>
    </font>
    <font>
      <sz val="32"/>
      <name val="Helvetica-Black"/>
      <family val="2"/>
    </font>
    <font>
      <b/>
      <sz val="9"/>
      <name val="Times New Roman"/>
      <family val="1"/>
    </font>
    <font>
      <sz val="6"/>
      <name val="Courier"/>
      <family val="3"/>
    </font>
    <font>
      <b/>
      <i/>
      <sz val="1"/>
      <color indexed="8"/>
      <name val="Courier"/>
      <family val="3"/>
    </font>
    <font>
      <i/>
      <sz val="1"/>
      <color indexed="8"/>
      <name val="Courier"/>
      <family val="3"/>
    </font>
    <font>
      <sz val="6"/>
      <color indexed="23"/>
      <name val="Helvetica-Black"/>
      <family val="2"/>
    </font>
    <font>
      <sz val="9.5"/>
      <color indexed="23"/>
      <name val="Helvetica-Black"/>
      <family val="2"/>
    </font>
    <font>
      <sz val="7"/>
      <name val="Palatino"/>
      <family val="1"/>
    </font>
    <font>
      <i/>
      <sz val="8"/>
      <color indexed="12"/>
      <name val="Times New Roman"/>
      <family val="1"/>
    </font>
    <font>
      <sz val="6"/>
      <color indexed="16"/>
      <name val="Palatino"/>
      <family val="1"/>
    </font>
    <font>
      <sz val="6"/>
      <name val="Palatino"/>
      <family val="1"/>
    </font>
    <font>
      <sz val="10"/>
      <name val="Helvetica-Black"/>
      <family val="2"/>
    </font>
    <font>
      <sz val="28"/>
      <name val="Helvetica-Black"/>
      <family val="2"/>
    </font>
    <font>
      <sz val="10"/>
      <name val="Palatino"/>
      <family val="1"/>
    </font>
    <font>
      <sz val="18"/>
      <name val="Palatino"/>
      <family val="1"/>
    </font>
    <font>
      <i/>
      <sz val="14"/>
      <name val="Palatino"/>
      <family val="1"/>
    </font>
    <font>
      <sz val="10"/>
      <color indexed="16"/>
      <name val="Helvetica-Black"/>
      <family val="2"/>
    </font>
    <font>
      <b/>
      <sz val="8"/>
      <color indexed="10"/>
      <name val="Times New Roman"/>
      <family val="1"/>
    </font>
    <font>
      <u/>
      <sz val="8"/>
      <name val="Arial"/>
      <family val="2"/>
    </font>
    <font>
      <b/>
      <sz val="8"/>
      <color indexed="8"/>
      <name val="Helv"/>
    </font>
    <font>
      <b/>
      <sz val="9"/>
      <name val="Palatino"/>
      <family val="1"/>
    </font>
    <font>
      <sz val="9"/>
      <color indexed="21"/>
      <name val="Helvetica-Black"/>
      <family val="2"/>
    </font>
    <font>
      <b/>
      <sz val="10"/>
      <name val="Palatino"/>
      <family val="1"/>
    </font>
    <font>
      <sz val="9"/>
      <name val="Helvetica-Black"/>
      <family val="2"/>
    </font>
    <font>
      <b/>
      <sz val="10"/>
      <name val="Times New Roman"/>
      <family val="1"/>
    </font>
    <font>
      <sz val="12"/>
      <name val="Palatino"/>
      <family val="1"/>
    </font>
    <font>
      <sz val="11"/>
      <name val="Helvetica-Black"/>
      <family val="2"/>
    </font>
    <font>
      <u val="double"/>
      <sz val="8"/>
      <color indexed="8"/>
      <name val="Arial"/>
      <family val="2"/>
    </font>
    <font>
      <b/>
      <sz val="9"/>
      <color indexed="10"/>
      <name val="Wingdings"/>
      <charset val="2"/>
    </font>
    <font>
      <sz val="10"/>
      <name val="바탕체"/>
      <family val="1"/>
      <charset val="129"/>
    </font>
    <font>
      <sz val="12"/>
      <name val="ＭＳ Ｐゴシック"/>
      <family val="3"/>
      <charset val="128"/>
    </font>
    <font>
      <sz val="10"/>
      <name val="Dutch801SWC"/>
    </font>
    <font>
      <sz val="11"/>
      <color rgb="FF9C6500"/>
      <name val="Calibri"/>
      <family val="2"/>
      <scheme val="minor"/>
    </font>
    <font>
      <b/>
      <sz val="18"/>
      <color theme="3"/>
      <name val="Calibri Light"/>
      <family val="2"/>
      <scheme val="major"/>
    </font>
    <font>
      <b/>
      <sz val="11"/>
      <color indexed="8"/>
      <name val="Calibri"/>
      <family val="2"/>
    </font>
    <font>
      <sz val="8"/>
      <name val="Poppins"/>
    </font>
    <font>
      <b/>
      <sz val="9"/>
      <color indexed="10"/>
      <name val="Calibri"/>
      <family val="2"/>
      <scheme val="minor"/>
    </font>
    <font>
      <sz val="9"/>
      <color rgb="FF7030A0"/>
      <name val="Calibri"/>
      <family val="2"/>
      <scheme val="minor"/>
    </font>
    <font>
      <b/>
      <sz val="9"/>
      <color theme="1"/>
      <name val="Calibri"/>
      <family val="2"/>
      <scheme val="minor"/>
    </font>
    <font>
      <b/>
      <i/>
      <sz val="11"/>
      <name val="Calibri"/>
      <family val="2"/>
      <scheme val="minor"/>
    </font>
    <font>
      <b/>
      <sz val="9"/>
      <color indexed="20"/>
      <name val="Calibri"/>
      <family val="2"/>
      <scheme val="minor"/>
    </font>
    <font>
      <b/>
      <i/>
      <sz val="11"/>
      <color theme="1"/>
      <name val="Calibri"/>
      <family val="2"/>
      <scheme val="minor"/>
    </font>
    <font>
      <b/>
      <i/>
      <sz val="11"/>
      <color rgb="FF008000"/>
      <name val="Calibri"/>
      <family val="2"/>
      <scheme val="minor"/>
    </font>
    <font>
      <b/>
      <i/>
      <sz val="11"/>
      <color rgb="FF00B050"/>
      <name val="Calibri"/>
      <family val="2"/>
      <scheme val="minor"/>
    </font>
    <font>
      <b/>
      <i/>
      <sz val="9"/>
      <color rgb="FFFF0000"/>
      <name val="Calibri"/>
      <family val="2"/>
      <scheme val="minor"/>
    </font>
    <font>
      <b/>
      <sz val="9"/>
      <color indexed="12"/>
      <name val="Calibri"/>
      <family val="2"/>
      <scheme val="minor"/>
    </font>
    <font>
      <u/>
      <sz val="7.5"/>
      <color indexed="12"/>
      <name val="Arial"/>
      <family val="2"/>
    </font>
    <font>
      <i/>
      <sz val="10"/>
      <name val="Arial"/>
      <family val="2"/>
    </font>
    <font>
      <i/>
      <sz val="10"/>
      <color theme="9" tint="-0.249977111117893"/>
      <name val="Calibri"/>
      <family val="2"/>
      <scheme val="minor"/>
    </font>
    <font>
      <b/>
      <sz val="10"/>
      <color theme="0"/>
      <name val="Calibri"/>
      <family val="2"/>
      <scheme val="minor"/>
    </font>
    <font>
      <sz val="10"/>
      <color theme="0"/>
      <name val="Calibri"/>
      <family val="2"/>
      <scheme val="minor"/>
    </font>
    <font>
      <b/>
      <sz val="8"/>
      <name val="Poppins"/>
    </font>
    <font>
      <b/>
      <sz val="10"/>
      <color indexed="10"/>
      <name val="Calibri"/>
      <family val="2"/>
      <scheme val="minor"/>
    </font>
    <font>
      <b/>
      <sz val="8"/>
      <color indexed="62"/>
      <name val="Calibri"/>
      <family val="2"/>
      <scheme val="minor"/>
    </font>
    <font>
      <sz val="8"/>
      <color indexed="9"/>
      <name val="Calibri"/>
      <family val="2"/>
      <scheme val="minor"/>
    </font>
    <font>
      <b/>
      <sz val="8"/>
      <color indexed="9"/>
      <name val="Calibri"/>
      <family val="2"/>
      <scheme val="minor"/>
    </font>
    <font>
      <b/>
      <sz val="8"/>
      <color rgb="FF7030A0"/>
      <name val="Calibri"/>
      <family val="2"/>
      <scheme val="minor"/>
    </font>
    <font>
      <b/>
      <sz val="10"/>
      <color indexed="62"/>
      <name val="Calibri"/>
      <family val="2"/>
      <scheme val="minor"/>
    </font>
    <font>
      <b/>
      <sz val="10"/>
      <color indexed="18"/>
      <name val="Calibri"/>
      <family val="2"/>
      <scheme val="minor"/>
    </font>
    <font>
      <sz val="10"/>
      <color indexed="62"/>
      <name val="Calibri"/>
      <family val="2"/>
      <scheme val="minor"/>
    </font>
    <font>
      <sz val="8"/>
      <color rgb="FF7030A0"/>
      <name val="Calibri"/>
      <family val="2"/>
      <scheme val="minor"/>
    </font>
    <font>
      <b/>
      <sz val="9"/>
      <color rgb="FF7030A0"/>
      <name val="Calibri"/>
      <family val="2"/>
      <scheme val="minor"/>
    </font>
    <font>
      <sz val="8"/>
      <color rgb="FF0070C0"/>
      <name val="Poppins"/>
    </font>
    <font>
      <i/>
      <sz val="9"/>
      <color rgb="FF7030A0"/>
      <name val="Calibri"/>
      <family val="2"/>
      <scheme val="minor"/>
    </font>
    <font>
      <b/>
      <i/>
      <sz val="9"/>
      <name val="Calibri"/>
      <family val="2"/>
      <scheme val="minor"/>
    </font>
    <font>
      <sz val="8"/>
      <color theme="9" tint="-0.249977111117893"/>
      <name val="Poppins"/>
    </font>
    <font>
      <b/>
      <sz val="9"/>
      <color rgb="FF00B050"/>
      <name val="Calibri"/>
      <family val="2"/>
      <scheme val="minor"/>
    </font>
    <font>
      <b/>
      <sz val="8"/>
      <color rgb="FFFF0000"/>
      <name val="Poppins"/>
    </font>
    <font>
      <sz val="9"/>
      <color rgb="FF001E61"/>
      <name val="Arial"/>
      <family val="2"/>
    </font>
    <font>
      <b/>
      <sz val="9"/>
      <color rgb="FF001E61"/>
      <name val="Arial"/>
      <family val="2"/>
    </font>
    <font>
      <sz val="11"/>
      <color rgb="FF007700"/>
      <name val="Roboto-medium"/>
    </font>
    <font>
      <sz val="8"/>
      <color rgb="FF000000"/>
      <name val="Calibri"/>
      <family val="2"/>
      <scheme val="minor"/>
    </font>
    <font>
      <b/>
      <sz val="8"/>
      <color rgb="FF000000"/>
      <name val="Calibri"/>
      <family val="2"/>
      <scheme val="minor"/>
    </font>
    <font>
      <sz val="10"/>
      <color rgb="FFFF5050"/>
      <name val="Arial"/>
      <family val="2"/>
    </font>
    <font>
      <sz val="10"/>
      <color rgb="FF00B050"/>
      <name val="Arial"/>
      <family val="2"/>
    </font>
    <font>
      <i/>
      <sz val="10"/>
      <color rgb="FF0070C0"/>
      <name val="Calibri"/>
      <family val="2"/>
      <scheme val="minor"/>
    </font>
    <font>
      <i/>
      <sz val="8"/>
      <color rgb="FF0000FF"/>
      <name val="Calibri"/>
      <family val="2"/>
      <scheme val="minor"/>
    </font>
  </fonts>
  <fills count="10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43"/>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
      <patternFill patternType="solid">
        <fgColor rgb="FFFFFF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indexed="63"/>
        <bgColor indexed="64"/>
      </patternFill>
    </fill>
    <fill>
      <patternFill patternType="solid">
        <fgColor rgb="FFFFFFCC"/>
        <bgColor indexed="64"/>
      </patternFill>
    </fill>
    <fill>
      <patternFill patternType="solid">
        <fgColor indexed="47"/>
        <bgColor indexed="64"/>
      </patternFill>
    </fill>
    <fill>
      <patternFill patternType="solid">
        <fgColor indexed="22"/>
        <bgColor indexed="64"/>
      </patternFill>
    </fill>
    <fill>
      <patternFill patternType="solid">
        <fgColor indexed="41"/>
        <bgColor indexed="64"/>
      </patternFill>
    </fill>
    <fill>
      <patternFill patternType="solid">
        <fgColor indexed="46"/>
        <bgColor indexed="64"/>
      </patternFill>
    </fill>
    <fill>
      <patternFill patternType="solid">
        <fgColor indexed="45"/>
        <bgColor indexed="64"/>
      </patternFill>
    </fill>
    <fill>
      <patternFill patternType="solid">
        <fgColor indexed="11"/>
        <bgColor indexed="64"/>
      </patternFill>
    </fill>
    <fill>
      <patternFill patternType="solid">
        <fgColor indexed="13"/>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indexed="55"/>
        <bgColor indexed="64"/>
      </patternFill>
    </fill>
    <fill>
      <patternFill patternType="solid">
        <fgColor theme="0" tint="-0.14999847407452621"/>
        <bgColor indexed="64"/>
      </patternFill>
    </fill>
    <fill>
      <patternFill patternType="solid">
        <fgColor indexed="44"/>
        <bgColor indexed="64"/>
      </patternFill>
    </fill>
    <fill>
      <patternFill patternType="solid">
        <fgColor theme="0" tint="-0.249977111117893"/>
        <bgColor indexed="64"/>
      </patternFill>
    </fill>
    <fill>
      <patternFill patternType="solid">
        <fgColor theme="7" tint="-0.249977111117893"/>
        <bgColor indexed="64"/>
      </patternFill>
    </fill>
    <fill>
      <patternFill patternType="solid">
        <fgColor theme="5" tint="0.59999389629810485"/>
        <bgColor indexed="64"/>
      </patternFill>
    </fill>
    <fill>
      <patternFill patternType="solid">
        <fgColor rgb="FFFF0000"/>
        <bgColor indexed="64"/>
      </patternFill>
    </fill>
    <fill>
      <patternFill patternType="solid">
        <fgColor rgb="FFFFFFFF"/>
        <bgColor indexed="64"/>
      </patternFill>
    </fill>
    <fill>
      <patternFill patternType="solid">
        <fgColor theme="9"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26"/>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9"/>
      </patternFill>
    </fill>
    <fill>
      <patternFill patternType="solid">
        <fgColor indexed="54"/>
      </patternFill>
    </fill>
    <fill>
      <patternFill patternType="solid">
        <fgColor indexed="10"/>
        <bgColor indexed="64"/>
      </patternFill>
    </fill>
    <fill>
      <patternFill patternType="solid">
        <fgColor indexed="22"/>
        <bgColor indexed="19"/>
      </patternFill>
    </fill>
    <fill>
      <patternFill patternType="solid">
        <fgColor indexed="16"/>
        <bgColor indexed="64"/>
      </patternFill>
    </fill>
    <fill>
      <patternFill patternType="gray0625"/>
    </fill>
    <fill>
      <patternFill patternType="solid">
        <fgColor indexed="26"/>
        <bgColor indexed="64"/>
      </patternFill>
    </fill>
    <fill>
      <patternFill patternType="solid">
        <fgColor indexed="18"/>
        <bgColor indexed="64"/>
      </patternFill>
    </fill>
    <fill>
      <patternFill patternType="solid">
        <fgColor indexed="47"/>
        <bgColor indexed="9"/>
      </patternFill>
    </fill>
    <fill>
      <patternFill patternType="solid">
        <fgColor indexed="23"/>
        <bgColor indexed="9"/>
      </patternFill>
    </fill>
    <fill>
      <patternFill patternType="solid">
        <fgColor indexed="9"/>
        <bgColor indexed="19"/>
      </patternFill>
    </fill>
    <fill>
      <patternFill patternType="solid">
        <fgColor indexed="34"/>
        <bgColor indexed="64"/>
      </patternFill>
    </fill>
    <fill>
      <patternFill patternType="solid">
        <fgColor indexed="9"/>
        <bgColor indexed="43"/>
      </patternFill>
    </fill>
    <fill>
      <patternFill patternType="gray125">
        <fgColor indexed="22"/>
      </patternFill>
    </fill>
    <fill>
      <patternFill patternType="solid">
        <fgColor indexed="13"/>
      </patternFill>
    </fill>
    <fill>
      <patternFill patternType="solid">
        <fgColor rgb="FF00B050"/>
        <bgColor indexed="64"/>
      </patternFill>
    </fill>
    <fill>
      <patternFill patternType="solid">
        <fgColor theme="5" tint="0.39997558519241921"/>
        <bgColor indexed="64"/>
      </patternFill>
    </fill>
    <fill>
      <patternFill patternType="solid">
        <fgColor theme="1"/>
        <bgColor indexed="64"/>
      </patternFill>
    </fill>
    <fill>
      <patternFill patternType="solid">
        <fgColor theme="6" tint="0.59999389629810485"/>
        <bgColor indexed="64"/>
      </patternFill>
    </fill>
    <fill>
      <patternFill patternType="solid">
        <fgColor rgb="FFF4F6FB"/>
        <bgColor indexed="64"/>
      </patternFill>
    </fill>
    <fill>
      <patternFill patternType="solid">
        <fgColor rgb="FFF2F6FC"/>
        <bgColor indexed="64"/>
      </patternFill>
    </fill>
    <fill>
      <patternFill patternType="solid">
        <fgColor rgb="FFFFFFFF"/>
        <bgColor rgb="FF000000"/>
      </patternFill>
    </fill>
    <fill>
      <patternFill patternType="solid">
        <fgColor rgb="FFFF9999"/>
        <bgColor indexed="64"/>
      </patternFill>
    </fill>
  </fills>
  <borders count="78">
    <border>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22"/>
      </left>
      <right style="thin">
        <color indexed="22"/>
      </right>
      <top style="thin">
        <color indexed="22"/>
      </top>
      <bottom style="thin">
        <color indexed="22"/>
      </bottom>
      <diagonal/>
    </border>
    <border>
      <left/>
      <right style="thin">
        <color indexed="22"/>
      </right>
      <top style="thin">
        <color indexed="22"/>
      </top>
      <bottom style="thin">
        <color indexed="22"/>
      </bottom>
      <diagonal/>
    </border>
    <border>
      <left style="thin">
        <color indexed="22"/>
      </left>
      <right/>
      <top style="thin">
        <color indexed="22"/>
      </top>
      <bottom style="thin">
        <color indexed="22"/>
      </bottom>
      <diagonal/>
    </border>
    <border>
      <left/>
      <right/>
      <top/>
      <bottom style="thin">
        <color indexed="64"/>
      </bottom>
      <diagonal/>
    </border>
    <border>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top style="thin">
        <color indexed="64"/>
      </top>
      <bottom style="thin">
        <color indexed="64"/>
      </bottom>
      <diagonal/>
    </border>
    <border>
      <left style="medium">
        <color indexed="64"/>
      </left>
      <right/>
      <top/>
      <bottom style="medium">
        <color indexed="64"/>
      </bottom>
      <diagonal/>
    </border>
    <border>
      <left style="medium">
        <color indexed="64"/>
      </left>
      <right/>
      <top/>
      <bottom/>
      <diagonal/>
    </border>
    <border>
      <left style="medium">
        <color indexed="64"/>
      </left>
      <right/>
      <top style="medium">
        <color indexed="64"/>
      </top>
      <bottom/>
      <diagonal/>
    </border>
    <border>
      <left/>
      <right/>
      <top/>
      <bottom style="medium">
        <color indexed="64"/>
      </bottom>
      <diagonal/>
    </border>
    <border>
      <left/>
      <right/>
      <top style="medium">
        <color indexed="64"/>
      </top>
      <bottom/>
      <diagonal/>
    </border>
    <border>
      <left/>
      <right/>
      <top/>
      <bottom style="double">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bottom style="thick">
        <color indexed="49"/>
      </bottom>
      <diagonal/>
    </border>
    <border>
      <left/>
      <right/>
      <top/>
      <bottom style="medium">
        <color indexed="49"/>
      </bottom>
      <diagonal/>
    </border>
    <border>
      <left/>
      <right/>
      <top/>
      <bottom style="thick">
        <color auto="1"/>
      </bottom>
      <diagonal/>
    </border>
    <border>
      <left/>
      <right/>
      <top style="thin">
        <color indexed="64"/>
      </top>
      <bottom style="medium">
        <color indexed="64"/>
      </bottom>
      <diagonal/>
    </border>
    <border>
      <left style="double">
        <color indexed="64"/>
      </left>
      <right/>
      <top/>
      <bottom style="hair">
        <color indexed="64"/>
      </bottom>
      <diagonal/>
    </border>
    <border>
      <left style="hair">
        <color indexed="64"/>
      </left>
      <right style="hair">
        <color indexed="64"/>
      </right>
      <top style="hair">
        <color indexed="64"/>
      </top>
      <bottom style="hair">
        <color indexed="64"/>
      </bottom>
      <diagonal/>
    </border>
    <border>
      <left/>
      <right/>
      <top/>
      <bottom style="medium">
        <color indexed="2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right/>
      <top/>
      <bottom style="dotted">
        <color indexed="64"/>
      </bottom>
      <diagonal/>
    </border>
    <border>
      <left/>
      <right/>
      <top style="medium">
        <color indexed="63"/>
      </top>
      <bottom style="medium">
        <color indexed="63"/>
      </bottom>
      <diagonal/>
    </border>
    <border>
      <left/>
      <right/>
      <top style="double">
        <color indexed="62"/>
      </top>
      <bottom/>
      <diagonal/>
    </border>
    <border>
      <left/>
      <right/>
      <top style="dotted">
        <color indexed="63"/>
      </top>
      <bottom/>
      <diagonal/>
    </border>
    <border>
      <left/>
      <right/>
      <top style="thin">
        <color indexed="63"/>
      </top>
      <bottom/>
      <diagonal/>
    </border>
    <border>
      <left style="double">
        <color indexed="64"/>
      </left>
      <right style="thin">
        <color indexed="64"/>
      </right>
      <top/>
      <bottom/>
      <diagonal/>
    </border>
    <border>
      <left style="thick">
        <color indexed="64"/>
      </left>
      <right/>
      <top/>
      <bottom style="thick">
        <color indexed="64"/>
      </bottom>
      <diagonal/>
    </border>
    <border>
      <left/>
      <right/>
      <top style="hair">
        <color indexed="8"/>
      </top>
      <bottom style="hair">
        <color indexed="8"/>
      </bottom>
      <diagonal/>
    </border>
    <border>
      <left/>
      <right/>
      <top/>
      <bottom style="medium">
        <color indexed="18"/>
      </bottom>
      <diagonal/>
    </border>
    <border>
      <left/>
      <right style="hair">
        <color indexed="64"/>
      </right>
      <top/>
      <bottom/>
      <diagonal/>
    </border>
    <border>
      <left/>
      <right/>
      <top style="medium">
        <color indexed="23"/>
      </top>
      <bottom style="medium">
        <color indexed="23"/>
      </bottom>
      <diagonal/>
    </border>
    <border>
      <left style="thin">
        <color indexed="22"/>
      </left>
      <right style="thin">
        <color indexed="61"/>
      </right>
      <top style="thin">
        <color indexed="22"/>
      </top>
      <bottom style="thin">
        <color indexed="61"/>
      </bottom>
      <diagonal/>
    </border>
    <border>
      <left/>
      <right/>
      <top style="thin">
        <color indexed="62"/>
      </top>
      <bottom style="double">
        <color indexed="62"/>
      </bottom>
      <diagonal/>
    </border>
    <border>
      <left style="thin">
        <color rgb="FF6D6E70"/>
      </left>
      <right style="thin">
        <color rgb="FF6D6E70"/>
      </right>
      <top/>
      <bottom/>
      <diagonal/>
    </border>
    <border>
      <left/>
      <right/>
      <top/>
      <bottom style="thick">
        <color indexed="64"/>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bottom style="medium">
        <color rgb="FFD5D5D5"/>
      </bottom>
      <diagonal/>
    </border>
    <border>
      <left/>
      <right/>
      <top/>
      <bottom style="medium">
        <color rgb="FFBEBEBE"/>
      </bottom>
      <diagonal/>
    </border>
    <border>
      <left style="medium">
        <color theme="0" tint="-0.34998626667073579"/>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top/>
      <bottom style="medium">
        <color theme="0" tint="-0.34998626667073579"/>
      </bottom>
      <diagonal/>
    </border>
    <border>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s>
  <cellStyleXfs count="24186">
    <xf numFmtId="0" fontId="0" fillId="0" borderId="0"/>
    <xf numFmtId="166" fontId="1"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applyNumberFormat="0" applyFill="0" applyBorder="0" applyAlignment="0" applyProtection="0"/>
    <xf numFmtId="0" fontId="3" fillId="0" borderId="0"/>
    <xf numFmtId="179" fontId="74" fillId="0" borderId="0"/>
    <xf numFmtId="0" fontId="3" fillId="0" borderId="0"/>
    <xf numFmtId="181" fontId="138" fillId="0" borderId="0" applyFill="0" applyBorder="0"/>
    <xf numFmtId="0" fontId="3" fillId="0" borderId="0"/>
    <xf numFmtId="0" fontId="2" fillId="0" borderId="33" applyNumberFormat="0" applyFill="0" applyAlignment="0" applyProtection="0"/>
    <xf numFmtId="0" fontId="3" fillId="0" borderId="0"/>
    <xf numFmtId="0" fontId="167" fillId="62" borderId="0" applyNumberFormat="0" applyBorder="0" applyAlignment="0" applyProtection="0"/>
    <xf numFmtId="0" fontId="167" fillId="63" borderId="0" applyNumberFormat="0" applyBorder="0" applyAlignment="0" applyProtection="0"/>
    <xf numFmtId="0" fontId="167" fillId="64" borderId="0" applyNumberFormat="0" applyBorder="0" applyAlignment="0" applyProtection="0"/>
    <xf numFmtId="0" fontId="167" fillId="65" borderId="0" applyNumberFormat="0" applyBorder="0" applyAlignment="0" applyProtection="0"/>
    <xf numFmtId="0" fontId="167" fillId="66" borderId="0" applyNumberFormat="0" applyBorder="0" applyAlignment="0" applyProtection="0"/>
    <xf numFmtId="0" fontId="167" fillId="67" borderId="0" applyNumberFormat="0" applyBorder="0" applyAlignment="0" applyProtection="0"/>
    <xf numFmtId="0" fontId="167" fillId="68" borderId="0" applyNumberFormat="0" applyBorder="0" applyAlignment="0" applyProtection="0"/>
    <xf numFmtId="0" fontId="167" fillId="67" borderId="0" applyNumberFormat="0" applyBorder="0" applyAlignment="0" applyProtection="0"/>
    <xf numFmtId="0" fontId="167" fillId="69" borderId="0" applyNumberFormat="0" applyBorder="0" applyAlignment="0" applyProtection="0"/>
    <xf numFmtId="0" fontId="167" fillId="68" borderId="0" applyNumberFormat="0" applyBorder="0" applyAlignment="0" applyProtection="0"/>
    <xf numFmtId="0" fontId="167" fillId="66" borderId="0" applyNumberFormat="0" applyBorder="0" applyAlignment="0" applyProtection="0"/>
    <xf numFmtId="0" fontId="167" fillId="67" borderId="0" applyNumberFormat="0" applyBorder="0" applyAlignment="0" applyProtection="0"/>
    <xf numFmtId="0" fontId="167" fillId="70" borderId="0" applyNumberFormat="0" applyBorder="0" applyAlignment="0" applyProtection="0"/>
    <xf numFmtId="0" fontId="167" fillId="71" borderId="0" applyNumberFormat="0" applyBorder="0" applyAlignment="0" applyProtection="0"/>
    <xf numFmtId="0" fontId="167" fillId="72" borderId="0" applyNumberFormat="0" applyBorder="0" applyAlignment="0" applyProtection="0"/>
    <xf numFmtId="0" fontId="167" fillId="65" borderId="0" applyNumberFormat="0" applyBorder="0" applyAlignment="0" applyProtection="0"/>
    <xf numFmtId="0" fontId="167" fillId="70" borderId="0" applyNumberFormat="0" applyBorder="0" applyAlignment="0" applyProtection="0"/>
    <xf numFmtId="0" fontId="167" fillId="73" borderId="0" applyNumberFormat="0" applyBorder="0" applyAlignment="0" applyProtection="0"/>
    <xf numFmtId="0" fontId="167" fillId="68" borderId="0" applyNumberFormat="0" applyBorder="0" applyAlignment="0" applyProtection="0"/>
    <xf numFmtId="0" fontId="167" fillId="71" borderId="0" applyNumberFormat="0" applyBorder="0" applyAlignment="0" applyProtection="0"/>
    <xf numFmtId="0" fontId="167" fillId="74" borderId="0" applyNumberFormat="0" applyBorder="0" applyAlignment="0" applyProtection="0"/>
    <xf numFmtId="0" fontId="167" fillId="68" borderId="0" applyNumberFormat="0" applyBorder="0" applyAlignment="0" applyProtection="0"/>
    <xf numFmtId="0" fontId="167" fillId="70" borderId="0" applyNumberFormat="0" applyBorder="0" applyAlignment="0" applyProtection="0"/>
    <xf numFmtId="0" fontId="167" fillId="67" borderId="0" applyNumberFormat="0" applyBorder="0" applyAlignment="0" applyProtection="0"/>
    <xf numFmtId="0" fontId="168" fillId="75" borderId="0" applyNumberFormat="0" applyBorder="0" applyAlignment="0" applyProtection="0"/>
    <xf numFmtId="0" fontId="168" fillId="71" borderId="0" applyNumberFormat="0" applyBorder="0" applyAlignment="0" applyProtection="0"/>
    <xf numFmtId="0" fontId="168" fillId="72" borderId="0" applyNumberFormat="0" applyBorder="0" applyAlignment="0" applyProtection="0"/>
    <xf numFmtId="0" fontId="168" fillId="76" borderId="0" applyNumberFormat="0" applyBorder="0" applyAlignment="0" applyProtection="0"/>
    <xf numFmtId="0" fontId="168" fillId="77" borderId="0" applyNumberFormat="0" applyBorder="0" applyAlignment="0" applyProtection="0"/>
    <xf numFmtId="0" fontId="168" fillId="78" borderId="0" applyNumberFormat="0" applyBorder="0" applyAlignment="0" applyProtection="0"/>
    <xf numFmtId="0" fontId="168" fillId="77" borderId="0" applyNumberFormat="0" applyBorder="0" applyAlignment="0" applyProtection="0"/>
    <xf numFmtId="0" fontId="168" fillId="71" borderId="0" applyNumberFormat="0" applyBorder="0" applyAlignment="0" applyProtection="0"/>
    <xf numFmtId="0" fontId="168" fillId="74" borderId="0" applyNumberFormat="0" applyBorder="0" applyAlignment="0" applyProtection="0"/>
    <xf numFmtId="0" fontId="168" fillId="79" borderId="0" applyNumberFormat="0" applyBorder="0" applyAlignment="0" applyProtection="0"/>
    <xf numFmtId="0" fontId="168" fillId="77" borderId="0" applyNumberFormat="0" applyBorder="0" applyAlignment="0" applyProtection="0"/>
    <xf numFmtId="0" fontId="168" fillId="67" borderId="0" applyNumberFormat="0" applyBorder="0" applyAlignment="0" applyProtection="0"/>
    <xf numFmtId="0" fontId="168" fillId="80" borderId="0" applyNumberFormat="0" applyBorder="0" applyAlignment="0" applyProtection="0"/>
    <xf numFmtId="0" fontId="168" fillId="81" borderId="0" applyNumberFormat="0" applyBorder="0" applyAlignment="0" applyProtection="0"/>
    <xf numFmtId="0" fontId="168" fillId="82" borderId="0" applyNumberFormat="0" applyBorder="0" applyAlignment="0" applyProtection="0"/>
    <xf numFmtId="0" fontId="168" fillId="76" borderId="0" applyNumberFormat="0" applyBorder="0" applyAlignment="0" applyProtection="0"/>
    <xf numFmtId="0" fontId="168" fillId="77" borderId="0" applyNumberFormat="0" applyBorder="0" applyAlignment="0" applyProtection="0"/>
    <xf numFmtId="0" fontId="168" fillId="83" borderId="0" applyNumberFormat="0" applyBorder="0" applyAlignment="0" applyProtection="0"/>
    <xf numFmtId="0" fontId="174" fillId="64" borderId="0" applyNumberFormat="0" applyBorder="0" applyAlignment="0" applyProtection="0"/>
    <xf numFmtId="0" fontId="170" fillId="68" borderId="34" applyNumberFormat="0" applyAlignment="0" applyProtection="0"/>
    <xf numFmtId="0" fontId="170" fillId="84" borderId="34" applyNumberFormat="0" applyAlignment="0" applyProtection="0"/>
    <xf numFmtId="0" fontId="171" fillId="79" borderId="35" applyNumberFormat="0" applyAlignment="0" applyProtection="0"/>
    <xf numFmtId="0" fontId="179" fillId="0" borderId="36" applyNumberFormat="0" applyFill="0" applyAlignment="0" applyProtection="0"/>
    <xf numFmtId="0" fontId="171" fillId="79" borderId="35" applyNumberFormat="0" applyAlignment="0" applyProtection="0"/>
    <xf numFmtId="0" fontId="168" fillId="77" borderId="0" applyNumberFormat="0" applyBorder="0" applyAlignment="0" applyProtection="0"/>
    <xf numFmtId="0" fontId="168" fillId="81" borderId="0" applyNumberFormat="0" applyBorder="0" applyAlignment="0" applyProtection="0"/>
    <xf numFmtId="0" fontId="168" fillId="82" borderId="0" applyNumberFormat="0" applyBorder="0" applyAlignment="0" applyProtection="0"/>
    <xf numFmtId="0" fontId="168" fillId="85" borderId="0" applyNumberFormat="0" applyBorder="0" applyAlignment="0" applyProtection="0"/>
    <xf numFmtId="0" fontId="168" fillId="77" borderId="0" applyNumberFormat="0" applyBorder="0" applyAlignment="0" applyProtection="0"/>
    <xf numFmtId="0" fontId="168" fillId="83" borderId="0" applyNumberFormat="0" applyBorder="0" applyAlignment="0" applyProtection="0"/>
    <xf numFmtId="0" fontId="178" fillId="67" borderId="34" applyNumberFormat="0" applyAlignment="0" applyProtection="0"/>
    <xf numFmtId="189" fontId="172" fillId="0" borderId="0" applyFont="0" applyFill="0" applyBorder="0" applyAlignment="0" applyProtection="0"/>
    <xf numFmtId="0" fontId="173" fillId="0" borderId="0" applyNumberFormat="0" applyFill="0" applyBorder="0" applyAlignment="0" applyProtection="0"/>
    <xf numFmtId="0" fontId="174" fillId="64" borderId="0" applyNumberFormat="0" applyBorder="0" applyAlignment="0" applyProtection="0"/>
    <xf numFmtId="0" fontId="175" fillId="0" borderId="37" applyNumberFormat="0" applyFill="0" applyAlignment="0" applyProtection="0"/>
    <xf numFmtId="0" fontId="176" fillId="0" borderId="38" applyNumberFormat="0" applyFill="0" applyAlignment="0" applyProtection="0"/>
    <xf numFmtId="0" fontId="177" fillId="0" borderId="39" applyNumberFormat="0" applyFill="0" applyAlignment="0" applyProtection="0"/>
    <xf numFmtId="0" fontId="177" fillId="0" borderId="0" applyNumberFormat="0" applyFill="0" applyBorder="0" applyAlignment="0" applyProtection="0"/>
    <xf numFmtId="0" fontId="169" fillId="63" borderId="0" applyNumberFormat="0" applyBorder="0" applyAlignment="0" applyProtection="0"/>
    <xf numFmtId="0" fontId="178" fillId="67" borderId="34" applyNumberFormat="0" applyAlignment="0" applyProtection="0"/>
    <xf numFmtId="0" fontId="179" fillId="0" borderId="36" applyNumberFormat="0" applyFill="0" applyAlignment="0" applyProtection="0"/>
    <xf numFmtId="0" fontId="180" fillId="74" borderId="0" applyNumberFormat="0" applyBorder="0" applyAlignment="0" applyProtection="0"/>
    <xf numFmtId="0" fontId="180" fillId="74" borderId="0" applyNumberFormat="0" applyBorder="0" applyAlignment="0" applyProtection="0"/>
    <xf numFmtId="0" fontId="3" fillId="69" borderId="40" applyNumberFormat="0" applyFont="0" applyAlignment="0" applyProtection="0"/>
    <xf numFmtId="0" fontId="3" fillId="69" borderId="7" applyNumberFormat="0" applyFont="0" applyAlignment="0" applyProtection="0"/>
    <xf numFmtId="0" fontId="181" fillId="68" borderId="41" applyNumberFormat="0" applyAlignment="0" applyProtection="0"/>
    <xf numFmtId="9" fontId="3" fillId="0" borderId="0" applyFont="0" applyFill="0" applyBorder="0" applyAlignment="0" applyProtection="0"/>
    <xf numFmtId="9" fontId="3" fillId="0" borderId="0" applyFont="0" applyFill="0" applyBorder="0" applyAlignment="0" applyProtection="0"/>
    <xf numFmtId="0" fontId="181" fillId="84" borderId="41" applyNumberFormat="0" applyAlignment="0" applyProtection="0"/>
    <xf numFmtId="43" fontId="3" fillId="0" borderId="0" applyFont="0" applyFill="0" applyBorder="0" applyAlignment="0" applyProtection="0"/>
    <xf numFmtId="43" fontId="3" fillId="0" borderId="0" applyFont="0" applyFill="0" applyBorder="0" applyAlignment="0" applyProtection="0"/>
    <xf numFmtId="0" fontId="183" fillId="0" borderId="0" applyNumberFormat="0" applyFill="0" applyBorder="0" applyAlignment="0" applyProtection="0"/>
    <xf numFmtId="0" fontId="173" fillId="0" borderId="0" applyNumberFormat="0" applyFill="0" applyBorder="0" applyAlignment="0" applyProtection="0"/>
    <xf numFmtId="0" fontId="182" fillId="0" borderId="0" applyNumberFormat="0" applyFill="0" applyBorder="0" applyAlignment="0" applyProtection="0"/>
    <xf numFmtId="0" fontId="185" fillId="0" borderId="0" applyNumberFormat="0" applyFill="0" applyBorder="0" applyAlignment="0" applyProtection="0"/>
    <xf numFmtId="0" fontId="186" fillId="0" borderId="42" applyNumberFormat="0" applyFill="0" applyAlignment="0" applyProtection="0"/>
    <xf numFmtId="0" fontId="187" fillId="0" borderId="38" applyNumberFormat="0" applyFill="0" applyAlignment="0" applyProtection="0"/>
    <xf numFmtId="0" fontId="188" fillId="0" borderId="43" applyNumberFormat="0" applyFill="0" applyAlignment="0" applyProtection="0"/>
    <xf numFmtId="0" fontId="188" fillId="0" borderId="0" applyNumberFormat="0" applyFill="0" applyBorder="0" applyAlignment="0" applyProtection="0"/>
    <xf numFmtId="0" fontId="183" fillId="0" borderId="0" applyNumberForma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1" fillId="0" borderId="0"/>
    <xf numFmtId="0" fontId="3" fillId="0" borderId="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0" fontId="3" fillId="0" borderId="0"/>
    <xf numFmtId="43" fontId="96" fillId="0" borderId="0" applyFont="0" applyFill="0" applyBorder="0" applyAlignment="0" applyProtection="0"/>
    <xf numFmtId="9" fontId="96" fillId="0" borderId="0" applyFont="0" applyFill="0" applyBorder="0" applyAlignment="0" applyProtection="0"/>
    <xf numFmtId="0" fontId="167" fillId="62" borderId="0" applyNumberFormat="0" applyBorder="0" applyAlignment="0" applyProtection="0"/>
    <xf numFmtId="0" fontId="167" fillId="63" borderId="0" applyNumberFormat="0" applyBorder="0" applyAlignment="0" applyProtection="0"/>
    <xf numFmtId="0" fontId="167" fillId="64" borderId="0" applyNumberFormat="0" applyBorder="0" applyAlignment="0" applyProtection="0"/>
    <xf numFmtId="0" fontId="167" fillId="65" borderId="0" applyNumberFormat="0" applyBorder="0" applyAlignment="0" applyProtection="0"/>
    <xf numFmtId="0" fontId="167" fillId="66" borderId="0" applyNumberFormat="0" applyBorder="0" applyAlignment="0" applyProtection="0"/>
    <xf numFmtId="0" fontId="167" fillId="67" borderId="0" applyNumberFormat="0" applyBorder="0" applyAlignment="0" applyProtection="0"/>
    <xf numFmtId="0" fontId="167" fillId="70" borderId="0" applyNumberFormat="0" applyBorder="0" applyAlignment="0" applyProtection="0"/>
    <xf numFmtId="0" fontId="167" fillId="71" borderId="0" applyNumberFormat="0" applyBorder="0" applyAlignment="0" applyProtection="0"/>
    <xf numFmtId="0" fontId="167" fillId="72" borderId="0" applyNumberFormat="0" applyBorder="0" applyAlignment="0" applyProtection="0"/>
    <xf numFmtId="0" fontId="167" fillId="65" borderId="0" applyNumberFormat="0" applyBorder="0" applyAlignment="0" applyProtection="0"/>
    <xf numFmtId="0" fontId="167" fillId="70" borderId="0" applyNumberFormat="0" applyBorder="0" applyAlignment="0" applyProtection="0"/>
    <xf numFmtId="0" fontId="167" fillId="73" borderId="0" applyNumberFormat="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 fillId="0" borderId="0"/>
    <xf numFmtId="0" fontId="1" fillId="0" borderId="0"/>
    <xf numFmtId="43" fontId="1" fillId="0" borderId="0" applyFont="0" applyFill="0" applyBorder="0" applyAlignment="0" applyProtection="0"/>
    <xf numFmtId="0" fontId="3" fillId="0" borderId="0"/>
    <xf numFmtId="0" fontId="3" fillId="0" borderId="0"/>
    <xf numFmtId="0" fontId="3" fillId="0" borderId="0"/>
    <xf numFmtId="191" fontId="3" fillId="0" borderId="0" applyFont="0" applyFill="0" applyBorder="0" applyAlignment="0" applyProtection="0"/>
    <xf numFmtId="0" fontId="3" fillId="0" borderId="0"/>
    <xf numFmtId="0" fontId="1" fillId="0" borderId="0"/>
    <xf numFmtId="191"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0" fontId="1" fillId="0" borderId="0"/>
    <xf numFmtId="0" fontId="3" fillId="0" borderId="0"/>
    <xf numFmtId="191" fontId="3" fillId="0" borderId="0"/>
    <xf numFmtId="191" fontId="3" fillId="0" borderId="0"/>
    <xf numFmtId="0" fontId="1" fillId="0" borderId="0"/>
    <xf numFmtId="9" fontId="1" fillId="0" borderId="0" applyFont="0" applyFill="0" applyBorder="0" applyAlignment="0" applyProtection="0"/>
    <xf numFmtId="0" fontId="1" fillId="0" borderId="0"/>
    <xf numFmtId="43" fontId="3" fillId="0" borderId="0" applyFont="0" applyFill="0" applyBorder="0" applyAlignment="0" applyProtection="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3" fillId="0" borderId="0"/>
    <xf numFmtId="191" fontId="3" fillId="0" borderId="0"/>
    <xf numFmtId="191" fontId="3" fillId="0" borderId="0"/>
    <xf numFmtId="191" fontId="3" fillId="0" borderId="0"/>
    <xf numFmtId="191" fontId="3" fillId="0" borderId="0"/>
    <xf numFmtId="191" fontId="3" fillId="0" borderId="0"/>
    <xf numFmtId="191" fontId="3" fillId="0" borderId="0"/>
    <xf numFmtId="191" fontId="3" fillId="0" borderId="0"/>
    <xf numFmtId="0" fontId="3" fillId="0" borderId="0"/>
    <xf numFmtId="191" fontId="3" fillId="0" borderId="0"/>
    <xf numFmtId="0" fontId="3" fillId="0" borderId="0"/>
    <xf numFmtId="191" fontId="3" fillId="0" borderId="0"/>
    <xf numFmtId="191" fontId="3" fillId="0" borderId="0"/>
    <xf numFmtId="191" fontId="3" fillId="0" borderId="0"/>
    <xf numFmtId="0" fontId="3" fillId="0" borderId="0"/>
    <xf numFmtId="191" fontId="3" fillId="0" borderId="0"/>
    <xf numFmtId="191" fontId="3" fillId="0" borderId="0"/>
    <xf numFmtId="0" fontId="1" fillId="0" borderId="0"/>
    <xf numFmtId="0" fontId="3" fillId="0" borderId="0"/>
    <xf numFmtId="0" fontId="19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195" fontId="72" fillId="0" borderId="0" applyFont="0" applyFill="0" applyBorder="0" applyAlignment="0" applyProtection="0"/>
    <xf numFmtId="196" fontId="72" fillId="0" borderId="0" applyFont="0" applyFill="0" applyBorder="0" applyAlignment="0" applyProtection="0"/>
    <xf numFmtId="3" fontId="193" fillId="87" borderId="0">
      <alignment horizontal="left"/>
    </xf>
    <xf numFmtId="0" fontId="167" fillId="62" borderId="0" applyNumberFormat="0" applyBorder="0" applyAlignment="0" applyProtection="0"/>
    <xf numFmtId="0" fontId="167" fillId="62" borderId="0" applyNumberFormat="0" applyBorder="0" applyAlignment="0" applyProtection="0"/>
    <xf numFmtId="0" fontId="167" fillId="62" borderId="0" applyNumberFormat="0" applyBorder="0" applyAlignment="0" applyProtection="0"/>
    <xf numFmtId="0" fontId="167" fillId="62" borderId="0" applyNumberFormat="0" applyBorder="0" applyAlignment="0" applyProtection="0"/>
    <xf numFmtId="0" fontId="167" fillId="62" borderId="0" applyNumberFormat="0" applyBorder="0" applyAlignment="0" applyProtection="0"/>
    <xf numFmtId="0" fontId="167" fillId="63" borderId="0" applyNumberFormat="0" applyBorder="0" applyAlignment="0" applyProtection="0"/>
    <xf numFmtId="0" fontId="167" fillId="63" borderId="0" applyNumberFormat="0" applyBorder="0" applyAlignment="0" applyProtection="0"/>
    <xf numFmtId="0" fontId="167" fillId="63" borderId="0" applyNumberFormat="0" applyBorder="0" applyAlignment="0" applyProtection="0"/>
    <xf numFmtId="0" fontId="167" fillId="63" borderId="0" applyNumberFormat="0" applyBorder="0" applyAlignment="0" applyProtection="0"/>
    <xf numFmtId="0" fontId="167" fillId="63" borderId="0" applyNumberFormat="0" applyBorder="0" applyAlignment="0" applyProtection="0"/>
    <xf numFmtId="0" fontId="167" fillId="64" borderId="0" applyNumberFormat="0" applyBorder="0" applyAlignment="0" applyProtection="0"/>
    <xf numFmtId="0" fontId="167" fillId="64" borderId="0" applyNumberFormat="0" applyBorder="0" applyAlignment="0" applyProtection="0"/>
    <xf numFmtId="0" fontId="167" fillId="64" borderId="0" applyNumberFormat="0" applyBorder="0" applyAlignment="0" applyProtection="0"/>
    <xf numFmtId="0" fontId="167" fillId="64" borderId="0" applyNumberFormat="0" applyBorder="0" applyAlignment="0" applyProtection="0"/>
    <xf numFmtId="0" fontId="167" fillId="64"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67" fillId="66" borderId="0" applyNumberFormat="0" applyBorder="0" applyAlignment="0" applyProtection="0"/>
    <xf numFmtId="0" fontId="167" fillId="66" borderId="0" applyNumberFormat="0" applyBorder="0" applyAlignment="0" applyProtection="0"/>
    <xf numFmtId="0" fontId="167" fillId="66" borderId="0" applyNumberFormat="0" applyBorder="0" applyAlignment="0" applyProtection="0"/>
    <xf numFmtId="0" fontId="167" fillId="66" borderId="0" applyNumberFormat="0" applyBorder="0" applyAlignment="0" applyProtection="0"/>
    <xf numFmtId="0" fontId="167" fillId="66" borderId="0" applyNumberFormat="0" applyBorder="0" applyAlignment="0" applyProtection="0"/>
    <xf numFmtId="0" fontId="167" fillId="67" borderId="0" applyNumberFormat="0" applyBorder="0" applyAlignment="0" applyProtection="0"/>
    <xf numFmtId="0" fontId="167" fillId="67" borderId="0" applyNumberFormat="0" applyBorder="0" applyAlignment="0" applyProtection="0"/>
    <xf numFmtId="0" fontId="167" fillId="67" borderId="0" applyNumberFormat="0" applyBorder="0" applyAlignment="0" applyProtection="0"/>
    <xf numFmtId="0" fontId="167" fillId="67" borderId="0" applyNumberFormat="0" applyBorder="0" applyAlignment="0" applyProtection="0"/>
    <xf numFmtId="0" fontId="167" fillId="67" borderId="0" applyNumberFormat="0" applyBorder="0" applyAlignment="0" applyProtection="0"/>
    <xf numFmtId="0" fontId="167" fillId="62" borderId="0" applyNumberFormat="0" applyBorder="0" applyAlignment="0" applyProtection="0"/>
    <xf numFmtId="0" fontId="167" fillId="62" borderId="0" applyNumberFormat="0" applyBorder="0" applyAlignment="0" applyProtection="0"/>
    <xf numFmtId="0" fontId="167" fillId="62" borderId="0" applyNumberFormat="0" applyBorder="0" applyAlignment="0" applyProtection="0"/>
    <xf numFmtId="0" fontId="167" fillId="62" borderId="0" applyNumberFormat="0" applyBorder="0" applyAlignment="0" applyProtection="0"/>
    <xf numFmtId="0" fontId="167" fillId="62" borderId="0" applyNumberFormat="0" applyBorder="0" applyAlignment="0" applyProtection="0"/>
    <xf numFmtId="0" fontId="167" fillId="62" borderId="0" applyNumberFormat="0" applyBorder="0" applyAlignment="0" applyProtection="0"/>
    <xf numFmtId="0" fontId="167" fillId="62" borderId="0" applyNumberFormat="0" applyBorder="0" applyAlignment="0" applyProtection="0"/>
    <xf numFmtId="0" fontId="167" fillId="63" borderId="0" applyNumberFormat="0" applyBorder="0" applyAlignment="0" applyProtection="0"/>
    <xf numFmtId="0" fontId="167" fillId="63" borderId="0" applyNumberFormat="0" applyBorder="0" applyAlignment="0" applyProtection="0"/>
    <xf numFmtId="0" fontId="167" fillId="63" borderId="0" applyNumberFormat="0" applyBorder="0" applyAlignment="0" applyProtection="0"/>
    <xf numFmtId="0" fontId="167" fillId="63" borderId="0" applyNumberFormat="0" applyBorder="0" applyAlignment="0" applyProtection="0"/>
    <xf numFmtId="0" fontId="167" fillId="63" borderId="0" applyNumberFormat="0" applyBorder="0" applyAlignment="0" applyProtection="0"/>
    <xf numFmtId="0" fontId="167" fillId="63" borderId="0" applyNumberFormat="0" applyBorder="0" applyAlignment="0" applyProtection="0"/>
    <xf numFmtId="0" fontId="167" fillId="63" borderId="0" applyNumberFormat="0" applyBorder="0" applyAlignment="0" applyProtection="0"/>
    <xf numFmtId="0" fontId="167" fillId="64" borderId="0" applyNumberFormat="0" applyBorder="0" applyAlignment="0" applyProtection="0"/>
    <xf numFmtId="0" fontId="167" fillId="64" borderId="0" applyNumberFormat="0" applyBorder="0" applyAlignment="0" applyProtection="0"/>
    <xf numFmtId="0" fontId="167" fillId="64" borderId="0" applyNumberFormat="0" applyBorder="0" applyAlignment="0" applyProtection="0"/>
    <xf numFmtId="0" fontId="167" fillId="64" borderId="0" applyNumberFormat="0" applyBorder="0" applyAlignment="0" applyProtection="0"/>
    <xf numFmtId="0" fontId="167" fillId="64" borderId="0" applyNumberFormat="0" applyBorder="0" applyAlignment="0" applyProtection="0"/>
    <xf numFmtId="0" fontId="167" fillId="64" borderId="0" applyNumberFormat="0" applyBorder="0" applyAlignment="0" applyProtection="0"/>
    <xf numFmtId="0" fontId="167" fillId="64"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67" fillId="66" borderId="0" applyNumberFormat="0" applyBorder="0" applyAlignment="0" applyProtection="0"/>
    <xf numFmtId="0" fontId="167" fillId="66" borderId="0" applyNumberFormat="0" applyBorder="0" applyAlignment="0" applyProtection="0"/>
    <xf numFmtId="0" fontId="167" fillId="66" borderId="0" applyNumberFormat="0" applyBorder="0" applyAlignment="0" applyProtection="0"/>
    <xf numFmtId="0" fontId="167" fillId="66" borderId="0" applyNumberFormat="0" applyBorder="0" applyAlignment="0" applyProtection="0"/>
    <xf numFmtId="0" fontId="167" fillId="66" borderId="0" applyNumberFormat="0" applyBorder="0" applyAlignment="0" applyProtection="0"/>
    <xf numFmtId="0" fontId="167" fillId="66" borderId="0" applyNumberFormat="0" applyBorder="0" applyAlignment="0" applyProtection="0"/>
    <xf numFmtId="0" fontId="167" fillId="66" borderId="0" applyNumberFormat="0" applyBorder="0" applyAlignment="0" applyProtection="0"/>
    <xf numFmtId="0" fontId="167" fillId="67" borderId="0" applyNumberFormat="0" applyBorder="0" applyAlignment="0" applyProtection="0"/>
    <xf numFmtId="0" fontId="167" fillId="67" borderId="0" applyNumberFormat="0" applyBorder="0" applyAlignment="0" applyProtection="0"/>
    <xf numFmtId="0" fontId="167" fillId="67" borderId="0" applyNumberFormat="0" applyBorder="0" applyAlignment="0" applyProtection="0"/>
    <xf numFmtId="0" fontId="167" fillId="67" borderId="0" applyNumberFormat="0" applyBorder="0" applyAlignment="0" applyProtection="0"/>
    <xf numFmtId="0" fontId="167" fillId="67" borderId="0" applyNumberFormat="0" applyBorder="0" applyAlignment="0" applyProtection="0"/>
    <xf numFmtId="0" fontId="167" fillId="67" borderId="0" applyNumberFormat="0" applyBorder="0" applyAlignment="0" applyProtection="0"/>
    <xf numFmtId="0" fontId="167" fillId="67" borderId="0" applyNumberFormat="0" applyBorder="0" applyAlignment="0" applyProtection="0"/>
    <xf numFmtId="3" fontId="7" fillId="14" borderId="0"/>
    <xf numFmtId="0" fontId="167" fillId="70" borderId="0" applyNumberFormat="0" applyBorder="0" applyAlignment="0" applyProtection="0"/>
    <xf numFmtId="0" fontId="167" fillId="70" borderId="0" applyNumberFormat="0" applyBorder="0" applyAlignment="0" applyProtection="0"/>
    <xf numFmtId="0" fontId="167" fillId="70" borderId="0" applyNumberFormat="0" applyBorder="0" applyAlignment="0" applyProtection="0"/>
    <xf numFmtId="0" fontId="167" fillId="70" borderId="0" applyNumberFormat="0" applyBorder="0" applyAlignment="0" applyProtection="0"/>
    <xf numFmtId="0" fontId="167" fillId="70" borderId="0" applyNumberFormat="0" applyBorder="0" applyAlignment="0" applyProtection="0"/>
    <xf numFmtId="0" fontId="167" fillId="71" borderId="0" applyNumberFormat="0" applyBorder="0" applyAlignment="0" applyProtection="0"/>
    <xf numFmtId="0" fontId="167" fillId="71" borderId="0" applyNumberFormat="0" applyBorder="0" applyAlignment="0" applyProtection="0"/>
    <xf numFmtId="0" fontId="167" fillId="71" borderId="0" applyNumberFormat="0" applyBorder="0" applyAlignment="0" applyProtection="0"/>
    <xf numFmtId="0" fontId="167" fillId="71" borderId="0" applyNumberFormat="0" applyBorder="0" applyAlignment="0" applyProtection="0"/>
    <xf numFmtId="0" fontId="167" fillId="71" borderId="0" applyNumberFormat="0" applyBorder="0" applyAlignment="0" applyProtection="0"/>
    <xf numFmtId="0" fontId="167" fillId="72" borderId="0" applyNumberFormat="0" applyBorder="0" applyAlignment="0" applyProtection="0"/>
    <xf numFmtId="0" fontId="167" fillId="72" borderId="0" applyNumberFormat="0" applyBorder="0" applyAlignment="0" applyProtection="0"/>
    <xf numFmtId="0" fontId="167" fillId="72" borderId="0" applyNumberFormat="0" applyBorder="0" applyAlignment="0" applyProtection="0"/>
    <xf numFmtId="0" fontId="167" fillId="72" borderId="0" applyNumberFormat="0" applyBorder="0" applyAlignment="0" applyProtection="0"/>
    <xf numFmtId="0" fontId="167" fillId="72"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67" fillId="70" borderId="0" applyNumberFormat="0" applyBorder="0" applyAlignment="0" applyProtection="0"/>
    <xf numFmtId="0" fontId="167" fillId="70" borderId="0" applyNumberFormat="0" applyBorder="0" applyAlignment="0" applyProtection="0"/>
    <xf numFmtId="0" fontId="167" fillId="70" borderId="0" applyNumberFormat="0" applyBorder="0" applyAlignment="0" applyProtection="0"/>
    <xf numFmtId="0" fontId="167" fillId="70" borderId="0" applyNumberFormat="0" applyBorder="0" applyAlignment="0" applyProtection="0"/>
    <xf numFmtId="0" fontId="167" fillId="70" borderId="0" applyNumberFormat="0" applyBorder="0" applyAlignment="0" applyProtection="0"/>
    <xf numFmtId="0" fontId="167" fillId="73" borderId="0" applyNumberFormat="0" applyBorder="0" applyAlignment="0" applyProtection="0"/>
    <xf numFmtId="0" fontId="167" fillId="73" borderId="0" applyNumberFormat="0" applyBorder="0" applyAlignment="0" applyProtection="0"/>
    <xf numFmtId="0" fontId="167" fillId="73" borderId="0" applyNumberFormat="0" applyBorder="0" applyAlignment="0" applyProtection="0"/>
    <xf numFmtId="0" fontId="167" fillId="73" borderId="0" applyNumberFormat="0" applyBorder="0" applyAlignment="0" applyProtection="0"/>
    <xf numFmtId="0" fontId="167" fillId="73" borderId="0" applyNumberFormat="0" applyBorder="0" applyAlignment="0" applyProtection="0"/>
    <xf numFmtId="0" fontId="167" fillId="70" borderId="0" applyNumberFormat="0" applyBorder="0" applyAlignment="0" applyProtection="0"/>
    <xf numFmtId="0" fontId="167" fillId="70" borderId="0" applyNumberFormat="0" applyBorder="0" applyAlignment="0" applyProtection="0"/>
    <xf numFmtId="0" fontId="167" fillId="70" borderId="0" applyNumberFormat="0" applyBorder="0" applyAlignment="0" applyProtection="0"/>
    <xf numFmtId="0" fontId="167" fillId="70" borderId="0" applyNumberFormat="0" applyBorder="0" applyAlignment="0" applyProtection="0"/>
    <xf numFmtId="0" fontId="167" fillId="70" borderId="0" applyNumberFormat="0" applyBorder="0" applyAlignment="0" applyProtection="0"/>
    <xf numFmtId="0" fontId="167" fillId="70" borderId="0" applyNumberFormat="0" applyBorder="0" applyAlignment="0" applyProtection="0"/>
    <xf numFmtId="0" fontId="167" fillId="70" borderId="0" applyNumberFormat="0" applyBorder="0" applyAlignment="0" applyProtection="0"/>
    <xf numFmtId="0" fontId="167" fillId="71" borderId="0" applyNumberFormat="0" applyBorder="0" applyAlignment="0" applyProtection="0"/>
    <xf numFmtId="0" fontId="167" fillId="71" borderId="0" applyNumberFormat="0" applyBorder="0" applyAlignment="0" applyProtection="0"/>
    <xf numFmtId="0" fontId="167" fillId="71" borderId="0" applyNumberFormat="0" applyBorder="0" applyAlignment="0" applyProtection="0"/>
    <xf numFmtId="0" fontId="167" fillId="71" borderId="0" applyNumberFormat="0" applyBorder="0" applyAlignment="0" applyProtection="0"/>
    <xf numFmtId="0" fontId="167" fillId="71" borderId="0" applyNumberFormat="0" applyBorder="0" applyAlignment="0" applyProtection="0"/>
    <xf numFmtId="0" fontId="167" fillId="71" borderId="0" applyNumberFormat="0" applyBorder="0" applyAlignment="0" applyProtection="0"/>
    <xf numFmtId="0" fontId="167" fillId="71" borderId="0" applyNumberFormat="0" applyBorder="0" applyAlignment="0" applyProtection="0"/>
    <xf numFmtId="0" fontId="167" fillId="72" borderId="0" applyNumberFormat="0" applyBorder="0" applyAlignment="0" applyProtection="0"/>
    <xf numFmtId="0" fontId="167" fillId="72" borderId="0" applyNumberFormat="0" applyBorder="0" applyAlignment="0" applyProtection="0"/>
    <xf numFmtId="0" fontId="167" fillId="72" borderId="0" applyNumberFormat="0" applyBorder="0" applyAlignment="0" applyProtection="0"/>
    <xf numFmtId="0" fontId="167" fillId="72" borderId="0" applyNumberFormat="0" applyBorder="0" applyAlignment="0" applyProtection="0"/>
    <xf numFmtId="0" fontId="167" fillId="72" borderId="0" applyNumberFormat="0" applyBorder="0" applyAlignment="0" applyProtection="0"/>
    <xf numFmtId="0" fontId="167" fillId="72" borderId="0" applyNumberFormat="0" applyBorder="0" applyAlignment="0" applyProtection="0"/>
    <xf numFmtId="0" fontId="167" fillId="72"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67" fillId="70" borderId="0" applyNumberFormat="0" applyBorder="0" applyAlignment="0" applyProtection="0"/>
    <xf numFmtId="0" fontId="167" fillId="70" borderId="0" applyNumberFormat="0" applyBorder="0" applyAlignment="0" applyProtection="0"/>
    <xf numFmtId="0" fontId="167" fillId="70" borderId="0" applyNumberFormat="0" applyBorder="0" applyAlignment="0" applyProtection="0"/>
    <xf numFmtId="0" fontId="167" fillId="70" borderId="0" applyNumberFormat="0" applyBorder="0" applyAlignment="0" applyProtection="0"/>
    <xf numFmtId="0" fontId="167" fillId="70" borderId="0" applyNumberFormat="0" applyBorder="0" applyAlignment="0" applyProtection="0"/>
    <xf numFmtId="0" fontId="167" fillId="70" borderId="0" applyNumberFormat="0" applyBorder="0" applyAlignment="0" applyProtection="0"/>
    <xf numFmtId="0" fontId="167" fillId="70" borderId="0" applyNumberFormat="0" applyBorder="0" applyAlignment="0" applyProtection="0"/>
    <xf numFmtId="0" fontId="167" fillId="73" borderId="0" applyNumberFormat="0" applyBorder="0" applyAlignment="0" applyProtection="0"/>
    <xf numFmtId="0" fontId="167" fillId="73" borderId="0" applyNumberFormat="0" applyBorder="0" applyAlignment="0" applyProtection="0"/>
    <xf numFmtId="0" fontId="167" fillId="73" borderId="0" applyNumberFormat="0" applyBorder="0" applyAlignment="0" applyProtection="0"/>
    <xf numFmtId="0" fontId="167" fillId="73" borderId="0" applyNumberFormat="0" applyBorder="0" applyAlignment="0" applyProtection="0"/>
    <xf numFmtId="0" fontId="167" fillId="73" borderId="0" applyNumberFormat="0" applyBorder="0" applyAlignment="0" applyProtection="0"/>
    <xf numFmtId="0" fontId="167" fillId="73" borderId="0" applyNumberFormat="0" applyBorder="0" applyAlignment="0" applyProtection="0"/>
    <xf numFmtId="0" fontId="167" fillId="73" borderId="0" applyNumberFormat="0" applyBorder="0" applyAlignment="0" applyProtection="0"/>
    <xf numFmtId="0" fontId="168" fillId="75" borderId="0" applyNumberFormat="0" applyBorder="0" applyAlignment="0" applyProtection="0"/>
    <xf numFmtId="0" fontId="168" fillId="71" borderId="0" applyNumberFormat="0" applyBorder="0" applyAlignment="0" applyProtection="0"/>
    <xf numFmtId="0" fontId="168" fillId="72" borderId="0" applyNumberFormat="0" applyBorder="0" applyAlignment="0" applyProtection="0"/>
    <xf numFmtId="0" fontId="168" fillId="76" borderId="0" applyNumberFormat="0" applyBorder="0" applyAlignment="0" applyProtection="0"/>
    <xf numFmtId="0" fontId="168" fillId="77" borderId="0" applyNumberFormat="0" applyBorder="0" applyAlignment="0" applyProtection="0"/>
    <xf numFmtId="0" fontId="168" fillId="78" borderId="0" applyNumberFormat="0" applyBorder="0" applyAlignment="0" applyProtection="0"/>
    <xf numFmtId="0" fontId="191" fillId="88" borderId="45">
      <alignment horizontal="center"/>
    </xf>
    <xf numFmtId="0" fontId="6" fillId="14" borderId="0"/>
    <xf numFmtId="0" fontId="194" fillId="14" borderId="0">
      <alignment horizontal="center"/>
    </xf>
    <xf numFmtId="0" fontId="195" fillId="14" borderId="0">
      <alignment horizontal="left"/>
    </xf>
    <xf numFmtId="37" fontId="3"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3"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7" fillId="0" borderId="0"/>
    <xf numFmtId="37" fontId="197" fillId="0" borderId="0"/>
    <xf numFmtId="37" fontId="197" fillId="0" borderId="0"/>
    <xf numFmtId="37" fontId="197" fillId="0" borderId="0"/>
    <xf numFmtId="37" fontId="197" fillId="0" borderId="0"/>
    <xf numFmtId="37" fontId="197" fillId="0" borderId="0"/>
    <xf numFmtId="37" fontId="197" fillId="0" borderId="0"/>
    <xf numFmtId="37" fontId="197" fillId="0" borderId="0"/>
    <xf numFmtId="37" fontId="197" fillId="0" borderId="0"/>
    <xf numFmtId="37" fontId="197" fillId="0" borderId="0"/>
    <xf numFmtId="37" fontId="197" fillId="0" borderId="0"/>
    <xf numFmtId="37" fontId="197" fillId="0" borderId="0"/>
    <xf numFmtId="37" fontId="197" fillId="0" borderId="0"/>
    <xf numFmtId="37" fontId="197" fillId="0" borderId="0"/>
    <xf numFmtId="37" fontId="197" fillId="0" borderId="0"/>
    <xf numFmtId="37" fontId="197" fillId="0" borderId="0"/>
    <xf numFmtId="37" fontId="197" fillId="0" borderId="0"/>
    <xf numFmtId="37" fontId="197" fillId="0" borderId="0"/>
    <xf numFmtId="37" fontId="197" fillId="0" borderId="0"/>
    <xf numFmtId="37" fontId="197" fillId="0" borderId="0"/>
    <xf numFmtId="37" fontId="197" fillId="0" borderId="0"/>
    <xf numFmtId="37" fontId="197" fillId="0" borderId="0"/>
    <xf numFmtId="37" fontId="197" fillId="0" borderId="0"/>
    <xf numFmtId="37" fontId="197" fillId="0" borderId="0"/>
    <xf numFmtId="37" fontId="197" fillId="0" borderId="0"/>
    <xf numFmtId="37" fontId="197" fillId="0" borderId="0"/>
    <xf numFmtId="37" fontId="197" fillId="0" borderId="0"/>
    <xf numFmtId="37" fontId="197" fillId="0" borderId="0"/>
    <xf numFmtId="37" fontId="197" fillId="0" borderId="0"/>
    <xf numFmtId="37" fontId="197" fillId="0" borderId="0"/>
    <xf numFmtId="37" fontId="197" fillId="0" borderId="0"/>
    <xf numFmtId="37" fontId="197" fillId="0" borderId="0"/>
    <xf numFmtId="37" fontId="197" fillId="0" borderId="0"/>
    <xf numFmtId="37" fontId="197" fillId="0" borderId="0"/>
    <xf numFmtId="37" fontId="197" fillId="0" borderId="0"/>
    <xf numFmtId="37" fontId="197" fillId="0" borderId="0"/>
    <xf numFmtId="37" fontId="197" fillId="0" borderId="0"/>
    <xf numFmtId="37" fontId="197" fillId="0" borderId="0"/>
    <xf numFmtId="37" fontId="197"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3"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3" fillId="0" borderId="0"/>
    <xf numFmtId="37" fontId="3"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3" fillId="0" borderId="0"/>
    <xf numFmtId="37" fontId="3" fillId="0" borderId="0"/>
    <xf numFmtId="37" fontId="196" fillId="0" borderId="0"/>
    <xf numFmtId="37" fontId="196" fillId="0" borderId="0"/>
    <xf numFmtId="37" fontId="3" fillId="0" borderId="0"/>
    <xf numFmtId="37" fontId="3" fillId="0" borderId="0"/>
    <xf numFmtId="37" fontId="3" fillId="0" borderId="0"/>
    <xf numFmtId="37" fontId="3" fillId="0" borderId="0"/>
    <xf numFmtId="37" fontId="196" fillId="0" borderId="0"/>
    <xf numFmtId="37" fontId="196" fillId="0" borderId="0"/>
    <xf numFmtId="37" fontId="196" fillId="0" borderId="0"/>
    <xf numFmtId="37" fontId="196" fillId="0" borderId="0"/>
    <xf numFmtId="37" fontId="3" fillId="0" borderId="0"/>
    <xf numFmtId="197" fontId="9" fillId="24" borderId="46">
      <alignment horizontal="center" vertical="center"/>
    </xf>
    <xf numFmtId="0" fontId="3" fillId="0" borderId="0"/>
    <xf numFmtId="0" fontId="198" fillId="0" borderId="47">
      <alignment horizontal="center" vertical="center"/>
    </xf>
    <xf numFmtId="0" fontId="196" fillId="0" borderId="47">
      <alignment horizontal="center" vertical="center"/>
    </xf>
    <xf numFmtId="0" fontId="196" fillId="0" borderId="47">
      <alignment horizontal="center" vertical="center"/>
    </xf>
    <xf numFmtId="0" fontId="196" fillId="0" borderId="47">
      <alignment horizontal="center" vertical="center"/>
    </xf>
    <xf numFmtId="0" fontId="196" fillId="0" borderId="47">
      <alignment horizontal="center" vertical="center"/>
    </xf>
    <xf numFmtId="0" fontId="196" fillId="0" borderId="47">
      <alignment horizontal="center" vertical="center"/>
    </xf>
    <xf numFmtId="0" fontId="196" fillId="0" borderId="47">
      <alignment horizontal="center" vertical="center"/>
    </xf>
    <xf numFmtId="0" fontId="196" fillId="0" borderId="47">
      <alignment horizontal="center" vertical="center"/>
    </xf>
    <xf numFmtId="0" fontId="196" fillId="0" borderId="47">
      <alignment horizontal="center" vertical="center"/>
    </xf>
    <xf numFmtId="0" fontId="196" fillId="0" borderId="47">
      <alignment horizontal="center" vertical="center"/>
    </xf>
    <xf numFmtId="0" fontId="196" fillId="0" borderId="47">
      <alignment horizontal="center" vertical="center"/>
    </xf>
    <xf numFmtId="3" fontId="199" fillId="24" borderId="45" applyNumberFormat="0">
      <alignment horizontal="center"/>
    </xf>
    <xf numFmtId="0" fontId="196" fillId="0" borderId="47">
      <alignment horizontal="center" vertical="center"/>
    </xf>
    <xf numFmtId="0" fontId="196" fillId="0" borderId="47">
      <alignment horizontal="center" vertical="center"/>
    </xf>
    <xf numFmtId="0" fontId="196" fillId="0" borderId="47">
      <alignment horizontal="center" vertical="center"/>
    </xf>
    <xf numFmtId="0" fontId="196" fillId="0" borderId="47">
      <alignment horizontal="center" vertical="center"/>
    </xf>
    <xf numFmtId="0" fontId="196" fillId="0" borderId="47">
      <alignment horizontal="center" vertical="center"/>
    </xf>
    <xf numFmtId="0" fontId="196" fillId="0" borderId="47">
      <alignment horizontal="center" vertical="center"/>
    </xf>
    <xf numFmtId="0" fontId="196" fillId="0" borderId="47">
      <alignment horizontal="center" vertical="center"/>
    </xf>
    <xf numFmtId="0" fontId="196" fillId="0" borderId="47">
      <alignment horizontal="center" vertical="center"/>
    </xf>
    <xf numFmtId="0" fontId="196" fillId="0" borderId="47">
      <alignment horizontal="center" vertical="center"/>
    </xf>
    <xf numFmtId="0" fontId="196" fillId="0" borderId="47">
      <alignment horizontal="center" vertical="center"/>
    </xf>
    <xf numFmtId="0" fontId="196" fillId="0" borderId="47">
      <alignment horizontal="center" vertical="center"/>
    </xf>
    <xf numFmtId="0" fontId="196" fillId="0" borderId="47">
      <alignment horizontal="center" vertical="center"/>
    </xf>
    <xf numFmtId="0" fontId="196" fillId="0" borderId="47">
      <alignment horizontal="center" vertical="center"/>
    </xf>
    <xf numFmtId="0" fontId="196" fillId="0" borderId="47">
      <alignment horizontal="center" vertical="center"/>
    </xf>
    <xf numFmtId="0" fontId="196" fillId="0" borderId="47">
      <alignment horizontal="center" vertical="center"/>
    </xf>
    <xf numFmtId="0" fontId="196" fillId="0" borderId="47">
      <alignment horizontal="center" vertical="center"/>
    </xf>
    <xf numFmtId="0" fontId="196" fillId="0" borderId="47">
      <alignment horizontal="center" vertical="center"/>
    </xf>
    <xf numFmtId="0" fontId="196" fillId="0" borderId="47">
      <alignment horizontal="center" vertical="center"/>
    </xf>
    <xf numFmtId="0" fontId="196" fillId="0" borderId="47">
      <alignment horizontal="center" vertical="center"/>
    </xf>
    <xf numFmtId="0" fontId="196" fillId="0" borderId="47">
      <alignment horizontal="center" vertical="center"/>
    </xf>
    <xf numFmtId="0" fontId="196" fillId="0" borderId="47">
      <alignment horizontal="center" vertical="center"/>
    </xf>
    <xf numFmtId="0" fontId="196" fillId="0" borderId="47">
      <alignment horizontal="center" vertical="center"/>
    </xf>
    <xf numFmtId="0" fontId="196" fillId="0" borderId="47">
      <alignment horizontal="center" vertical="center"/>
    </xf>
    <xf numFmtId="0" fontId="196" fillId="0" borderId="47">
      <alignment horizontal="center" vertical="center"/>
    </xf>
    <xf numFmtId="0" fontId="196" fillId="0" borderId="47">
      <alignment horizontal="center" vertical="center"/>
    </xf>
    <xf numFmtId="0" fontId="196" fillId="0" borderId="47">
      <alignment horizontal="center" vertical="center"/>
    </xf>
    <xf numFmtId="0" fontId="196" fillId="0" borderId="47">
      <alignment horizontal="center" vertical="center"/>
    </xf>
    <xf numFmtId="0" fontId="196" fillId="0" borderId="47">
      <alignment horizontal="center" vertical="center"/>
    </xf>
    <xf numFmtId="0" fontId="196" fillId="0" borderId="47">
      <alignment horizontal="center" vertical="center"/>
    </xf>
    <xf numFmtId="37" fontId="3"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3" fillId="0" borderId="0" applyNumberFormat="0" applyFill="0" applyBorder="0" applyAlignment="0" applyProtection="0"/>
    <xf numFmtId="37" fontId="3"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3" fillId="0" borderId="0" applyNumberFormat="0" applyFill="0" applyBorder="0" applyAlignment="0" applyProtection="0"/>
    <xf numFmtId="37" fontId="3"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3" fillId="0" borderId="0" applyNumberFormat="0" applyFill="0" applyBorder="0" applyAlignment="0" applyProtection="0"/>
    <xf numFmtId="37" fontId="3" fillId="0" borderId="0" applyNumberFormat="0" applyFill="0" applyBorder="0" applyAlignment="0" applyProtection="0"/>
    <xf numFmtId="37" fontId="196" fillId="0" borderId="0" applyNumberFormat="0" applyFill="0" applyBorder="0" applyAlignment="0" applyProtection="0"/>
    <xf numFmtId="37" fontId="3"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200"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198" fontId="3" fillId="0" borderId="0" applyFont="0" applyFill="0" applyBorder="0" applyAlignment="0" applyProtection="0"/>
    <xf numFmtId="198" fontId="201" fillId="0" borderId="0" applyFont="0" applyFill="0" applyBorder="0" applyAlignment="0" applyProtection="0"/>
    <xf numFmtId="198" fontId="201" fillId="0" borderId="0" applyFont="0" applyFill="0" applyBorder="0" applyAlignment="0" applyProtection="0"/>
    <xf numFmtId="198" fontId="201" fillId="0" borderId="0" applyFont="0" applyFill="0" applyBorder="0" applyAlignment="0" applyProtection="0"/>
    <xf numFmtId="198" fontId="201" fillId="0" borderId="0" applyFont="0" applyFill="0" applyBorder="0" applyAlignment="0" applyProtection="0"/>
    <xf numFmtId="198" fontId="201" fillId="0" borderId="0" applyFont="0" applyFill="0" applyBorder="0" applyAlignment="0" applyProtection="0"/>
    <xf numFmtId="198" fontId="201" fillId="0" borderId="0" applyFont="0" applyFill="0" applyBorder="0" applyAlignment="0" applyProtection="0"/>
    <xf numFmtId="198" fontId="201" fillId="0" borderId="0" applyFont="0" applyFill="0" applyBorder="0" applyAlignment="0" applyProtection="0"/>
    <xf numFmtId="198" fontId="201" fillId="0" borderId="0" applyFont="0" applyFill="0" applyBorder="0" applyAlignment="0" applyProtection="0"/>
    <xf numFmtId="198" fontId="201" fillId="0" borderId="0" applyFont="0" applyFill="0" applyBorder="0" applyAlignment="0" applyProtection="0"/>
    <xf numFmtId="198" fontId="201" fillId="0" borderId="0" applyFont="0" applyFill="0" applyBorder="0" applyAlignment="0" applyProtection="0"/>
    <xf numFmtId="198" fontId="3" fillId="0" borderId="0" applyFont="0" applyFill="0" applyBorder="0" applyAlignment="0" applyProtection="0"/>
    <xf numFmtId="198" fontId="3" fillId="0" borderId="0" applyFont="0" applyFill="0" applyBorder="0" applyAlignment="0" applyProtection="0"/>
    <xf numFmtId="198" fontId="201" fillId="0" borderId="0" applyFont="0" applyFill="0" applyBorder="0" applyAlignment="0" applyProtection="0"/>
    <xf numFmtId="198" fontId="201" fillId="0" borderId="0" applyFont="0" applyFill="0" applyBorder="0" applyAlignment="0" applyProtection="0"/>
    <xf numFmtId="198" fontId="201" fillId="0" borderId="0" applyFont="0" applyFill="0" applyBorder="0" applyAlignment="0" applyProtection="0"/>
    <xf numFmtId="198" fontId="201" fillId="0" borderId="0" applyFont="0" applyFill="0" applyBorder="0" applyAlignment="0" applyProtection="0"/>
    <xf numFmtId="198" fontId="201" fillId="0" borderId="0" applyFont="0" applyFill="0" applyBorder="0" applyAlignment="0" applyProtection="0"/>
    <xf numFmtId="198" fontId="201" fillId="0" borderId="0" applyFont="0" applyFill="0" applyBorder="0" applyAlignment="0" applyProtection="0"/>
    <xf numFmtId="198" fontId="201" fillId="0" borderId="0" applyFont="0" applyFill="0" applyBorder="0" applyAlignment="0" applyProtection="0"/>
    <xf numFmtId="198" fontId="201" fillId="0" borderId="0" applyFont="0" applyFill="0" applyBorder="0" applyAlignment="0" applyProtection="0"/>
    <xf numFmtId="198" fontId="201" fillId="0" borderId="0" applyFont="0" applyFill="0" applyBorder="0" applyAlignment="0" applyProtection="0"/>
    <xf numFmtId="198" fontId="201" fillId="0" borderId="0" applyFont="0" applyFill="0" applyBorder="0" applyAlignment="0" applyProtection="0"/>
    <xf numFmtId="198" fontId="3" fillId="0" borderId="0" applyFont="0" applyFill="0" applyBorder="0" applyAlignment="0" applyProtection="0"/>
    <xf numFmtId="198" fontId="3" fillId="0" borderId="0" applyFont="0" applyFill="0" applyBorder="0" applyAlignment="0" applyProtection="0"/>
    <xf numFmtId="198" fontId="201" fillId="0" borderId="0" applyFont="0" applyFill="0" applyBorder="0" applyAlignment="0" applyProtection="0"/>
    <xf numFmtId="198" fontId="201" fillId="0" borderId="0" applyFont="0" applyFill="0" applyBorder="0" applyAlignment="0" applyProtection="0"/>
    <xf numFmtId="198" fontId="201" fillId="0" borderId="0" applyFont="0" applyFill="0" applyBorder="0" applyAlignment="0" applyProtection="0"/>
    <xf numFmtId="198" fontId="201" fillId="0" borderId="0" applyFont="0" applyFill="0" applyBorder="0" applyAlignment="0" applyProtection="0"/>
    <xf numFmtId="198" fontId="201" fillId="0" borderId="0" applyFont="0" applyFill="0" applyBorder="0" applyAlignment="0" applyProtection="0"/>
    <xf numFmtId="198" fontId="201" fillId="0" borderId="0" applyFont="0" applyFill="0" applyBorder="0" applyAlignment="0" applyProtection="0"/>
    <xf numFmtId="198" fontId="201" fillId="0" borderId="0" applyFont="0" applyFill="0" applyBorder="0" applyAlignment="0" applyProtection="0"/>
    <xf numFmtId="198" fontId="201" fillId="0" borderId="0" applyFont="0" applyFill="0" applyBorder="0" applyAlignment="0" applyProtection="0"/>
    <xf numFmtId="198" fontId="201" fillId="0" borderId="0" applyFont="0" applyFill="0" applyBorder="0" applyAlignment="0" applyProtection="0"/>
    <xf numFmtId="198" fontId="201" fillId="0" borderId="0" applyFont="0" applyFill="0" applyBorder="0" applyAlignment="0" applyProtection="0"/>
    <xf numFmtId="198" fontId="3" fillId="0" borderId="0" applyFont="0" applyFill="0" applyBorder="0" applyAlignment="0" applyProtection="0"/>
    <xf numFmtId="198" fontId="3" fillId="0" borderId="0" applyFont="0" applyFill="0" applyBorder="0" applyAlignment="0" applyProtection="0"/>
    <xf numFmtId="198" fontId="201" fillId="0" borderId="0" applyFont="0" applyFill="0" applyBorder="0" applyAlignment="0" applyProtection="0"/>
    <xf numFmtId="198" fontId="3" fillId="0" borderId="0" applyFont="0" applyFill="0" applyBorder="0" applyAlignment="0" applyProtection="0"/>
    <xf numFmtId="198" fontId="201" fillId="0" borderId="0" applyFont="0" applyFill="0" applyBorder="0" applyAlignment="0" applyProtection="0"/>
    <xf numFmtId="198" fontId="201" fillId="0" borderId="0" applyFont="0" applyFill="0" applyBorder="0" applyAlignment="0" applyProtection="0"/>
    <xf numFmtId="198" fontId="201" fillId="0" borderId="0" applyFont="0" applyFill="0" applyBorder="0" applyAlignment="0" applyProtection="0"/>
    <xf numFmtId="198" fontId="201" fillId="0" borderId="0" applyFont="0" applyFill="0" applyBorder="0" applyAlignment="0" applyProtection="0"/>
    <xf numFmtId="198" fontId="201" fillId="0" borderId="0" applyFont="0" applyFill="0" applyBorder="0" applyAlignment="0" applyProtection="0"/>
    <xf numFmtId="0" fontId="77" fillId="0" borderId="10" applyNumberFormat="0" applyFill="0" applyAlignment="0" applyProtection="0"/>
    <xf numFmtId="0" fontId="77" fillId="0" borderId="10" applyNumberFormat="0" applyFill="0" applyAlignment="0" applyProtection="0"/>
    <xf numFmtId="3" fontId="202"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3" fontId="201" fillId="89" borderId="0" applyNumberFormat="0" applyFont="0" applyBorder="0" applyAlignment="0" applyProtection="0">
      <alignment vertical="center"/>
    </xf>
    <xf numFmtId="0" fontId="138" fillId="0" borderId="19" applyNumberFormat="0" applyFont="0" applyFill="0" applyAlignment="0" applyProtection="0"/>
    <xf numFmtId="0" fontId="138" fillId="0" borderId="19" applyNumberFormat="0" applyFont="0" applyFill="0" applyAlignment="0" applyProtection="0"/>
    <xf numFmtId="49" fontId="203" fillId="0" borderId="0" applyFont="0" applyFill="0" applyBorder="0" applyAlignment="0" applyProtection="0">
      <alignment horizontal="left"/>
    </xf>
    <xf numFmtId="199" fontId="150" fillId="0" borderId="0" applyAlignment="0" applyProtection="0"/>
    <xf numFmtId="169" fontId="12" fillId="0" borderId="0" applyFill="0" applyBorder="0" applyAlignment="0" applyProtection="0"/>
    <xf numFmtId="49" fontId="12" fillId="0" borderId="0" applyNumberFormat="0" applyAlignment="0" applyProtection="0">
      <alignment horizontal="left"/>
    </xf>
    <xf numFmtId="49" fontId="204" fillId="0" borderId="48" applyNumberFormat="0" applyAlignment="0" applyProtection="0">
      <alignment horizontal="left" wrapText="1"/>
    </xf>
    <xf numFmtId="49" fontId="204" fillId="0" borderId="48" applyNumberFormat="0" applyAlignment="0" applyProtection="0">
      <alignment horizontal="left" wrapText="1"/>
    </xf>
    <xf numFmtId="49" fontId="204" fillId="0" borderId="48" applyNumberFormat="0" applyAlignment="0" applyProtection="0">
      <alignment horizontal="left" wrapText="1"/>
    </xf>
    <xf numFmtId="49" fontId="204" fillId="0" borderId="48" applyNumberFormat="0" applyAlignment="0" applyProtection="0">
      <alignment horizontal="left" wrapText="1"/>
    </xf>
    <xf numFmtId="49" fontId="204" fillId="0" borderId="48" applyNumberFormat="0" applyAlignment="0" applyProtection="0">
      <alignment horizontal="left" wrapText="1"/>
    </xf>
    <xf numFmtId="49" fontId="204" fillId="0" borderId="0" applyNumberFormat="0" applyAlignment="0" applyProtection="0">
      <alignment horizontal="left" wrapText="1"/>
    </xf>
    <xf numFmtId="49" fontId="205" fillId="0" borderId="0" applyAlignment="0" applyProtection="0">
      <alignment horizontal="left"/>
    </xf>
    <xf numFmtId="0" fontId="174" fillId="64" borderId="0" applyNumberFormat="0" applyBorder="0" applyAlignment="0" applyProtection="0"/>
    <xf numFmtId="200" fontId="72" fillId="0" borderId="0" applyFont="0" applyFill="0" applyBorder="0" applyAlignment="0" applyProtection="0"/>
    <xf numFmtId="39" fontId="206" fillId="0" borderId="0"/>
    <xf numFmtId="201" fontId="3" fillId="0" borderId="0" applyFill="0" applyBorder="0" applyAlignment="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1" fillId="79" borderId="35" applyNumberFormat="0" applyAlignment="0" applyProtection="0"/>
    <xf numFmtId="0" fontId="179" fillId="0" borderId="36" applyNumberFormat="0" applyFill="0" applyAlignment="0" applyProtection="0"/>
    <xf numFmtId="38" fontId="208" fillId="0" borderId="0" applyFont="0" applyFill="0" applyBorder="0" applyAlignment="0" applyProtection="0"/>
    <xf numFmtId="38" fontId="201" fillId="0" borderId="0" applyFont="0" applyFill="0" applyBorder="0" applyAlignment="0" applyProtection="0"/>
    <xf numFmtId="38" fontId="201" fillId="0" borderId="0" applyFont="0" applyFill="0" applyBorder="0" applyAlignment="0" applyProtection="0"/>
    <xf numFmtId="38" fontId="201" fillId="0" borderId="0" applyFont="0" applyFill="0" applyBorder="0" applyAlignment="0" applyProtection="0"/>
    <xf numFmtId="38" fontId="201" fillId="0" borderId="0" applyFont="0" applyFill="0" applyBorder="0" applyAlignment="0" applyProtection="0"/>
    <xf numFmtId="38" fontId="201" fillId="0" borderId="0" applyFont="0" applyFill="0" applyBorder="0" applyAlignment="0" applyProtection="0"/>
    <xf numFmtId="38" fontId="201" fillId="0" borderId="0" applyFont="0" applyFill="0" applyBorder="0" applyAlignment="0" applyProtection="0"/>
    <xf numFmtId="38" fontId="201" fillId="0" borderId="0" applyFont="0" applyFill="0" applyBorder="0" applyAlignment="0" applyProtection="0"/>
    <xf numFmtId="38" fontId="201" fillId="0" borderId="0" applyFont="0" applyFill="0" applyBorder="0" applyAlignment="0" applyProtection="0"/>
    <xf numFmtId="38" fontId="201" fillId="0" borderId="0" applyFont="0" applyFill="0" applyBorder="0" applyAlignment="0" applyProtection="0"/>
    <xf numFmtId="38" fontId="201" fillId="0" borderId="0" applyFont="0" applyFill="0" applyBorder="0" applyAlignment="0" applyProtection="0"/>
    <xf numFmtId="38" fontId="208" fillId="0" borderId="0" applyFont="0" applyFill="0" applyBorder="0" applyAlignment="0" applyProtection="0"/>
    <xf numFmtId="38" fontId="201" fillId="0" borderId="0" applyFont="0" applyFill="0" applyBorder="0" applyAlignment="0" applyProtection="0"/>
    <xf numFmtId="38" fontId="201" fillId="0" borderId="0" applyFont="0" applyFill="0" applyBorder="0" applyAlignment="0" applyProtection="0"/>
    <xf numFmtId="38" fontId="201" fillId="0" borderId="0" applyFont="0" applyFill="0" applyBorder="0" applyAlignment="0" applyProtection="0"/>
    <xf numFmtId="38" fontId="201" fillId="0" borderId="0" applyFont="0" applyFill="0" applyBorder="0" applyAlignment="0" applyProtection="0"/>
    <xf numFmtId="38" fontId="201" fillId="0" borderId="0" applyFont="0" applyFill="0" applyBorder="0" applyAlignment="0" applyProtection="0"/>
    <xf numFmtId="38" fontId="201" fillId="0" borderId="0" applyFont="0" applyFill="0" applyBorder="0" applyAlignment="0" applyProtection="0"/>
    <xf numFmtId="38" fontId="201" fillId="0" borderId="0" applyFont="0" applyFill="0" applyBorder="0" applyAlignment="0" applyProtection="0"/>
    <xf numFmtId="38" fontId="201" fillId="0" borderId="0" applyFont="0" applyFill="0" applyBorder="0" applyAlignment="0" applyProtection="0"/>
    <xf numFmtId="38" fontId="201" fillId="0" borderId="0" applyFont="0" applyFill="0" applyBorder="0" applyAlignment="0" applyProtection="0"/>
    <xf numFmtId="38" fontId="201" fillId="0" borderId="0" applyFont="0" applyFill="0" applyBorder="0" applyAlignment="0" applyProtection="0"/>
    <xf numFmtId="38" fontId="208" fillId="0" borderId="0" applyFont="0" applyFill="0" applyBorder="0" applyAlignment="0" applyProtection="0"/>
    <xf numFmtId="38" fontId="201" fillId="0" borderId="0" applyFont="0" applyFill="0" applyBorder="0" applyAlignment="0" applyProtection="0"/>
    <xf numFmtId="38" fontId="201" fillId="0" borderId="0" applyFont="0" applyFill="0" applyBorder="0" applyAlignment="0" applyProtection="0"/>
    <xf numFmtId="38" fontId="201" fillId="0" borderId="0" applyFont="0" applyFill="0" applyBorder="0" applyAlignment="0" applyProtection="0"/>
    <xf numFmtId="38" fontId="201" fillId="0" borderId="0" applyFont="0" applyFill="0" applyBorder="0" applyAlignment="0" applyProtection="0"/>
    <xf numFmtId="38" fontId="201" fillId="0" borderId="0" applyFont="0" applyFill="0" applyBorder="0" applyAlignment="0" applyProtection="0"/>
    <xf numFmtId="38" fontId="201" fillId="0" borderId="0" applyFont="0" applyFill="0" applyBorder="0" applyAlignment="0" applyProtection="0"/>
    <xf numFmtId="38" fontId="201" fillId="0" borderId="0" applyFont="0" applyFill="0" applyBorder="0" applyAlignment="0" applyProtection="0"/>
    <xf numFmtId="38" fontId="201" fillId="0" borderId="0" applyFont="0" applyFill="0" applyBorder="0" applyAlignment="0" applyProtection="0"/>
    <xf numFmtId="38" fontId="201" fillId="0" borderId="0" applyFont="0" applyFill="0" applyBorder="0" applyAlignment="0" applyProtection="0"/>
    <xf numFmtId="38" fontId="201" fillId="0" borderId="0" applyFont="0" applyFill="0" applyBorder="0" applyAlignment="0" applyProtection="0"/>
    <xf numFmtId="38" fontId="208" fillId="0" borderId="0" applyFont="0" applyFill="0" applyBorder="0" applyAlignment="0" applyProtection="0"/>
    <xf numFmtId="38" fontId="201" fillId="0" borderId="0" applyFont="0" applyFill="0" applyBorder="0" applyAlignment="0" applyProtection="0"/>
    <xf numFmtId="38" fontId="201" fillId="0" borderId="0" applyFont="0" applyFill="0" applyBorder="0" applyAlignment="0" applyProtection="0"/>
    <xf numFmtId="38" fontId="201" fillId="0" borderId="0" applyFont="0" applyFill="0" applyBorder="0" applyAlignment="0" applyProtection="0"/>
    <xf numFmtId="38" fontId="201" fillId="0" borderId="0" applyFont="0" applyFill="0" applyBorder="0" applyAlignment="0" applyProtection="0"/>
    <xf numFmtId="38" fontId="201" fillId="0" borderId="0" applyFont="0" applyFill="0" applyBorder="0" applyAlignment="0" applyProtection="0"/>
    <xf numFmtId="38" fontId="20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20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3" fontId="209" fillId="0" borderId="0" applyFont="0" applyFill="0" applyBorder="0" applyAlignment="0" applyProtection="0"/>
    <xf numFmtId="3" fontId="201" fillId="0" borderId="0" applyFont="0" applyFill="0" applyBorder="0" applyAlignment="0" applyProtection="0"/>
    <xf numFmtId="3" fontId="201" fillId="0" borderId="0" applyFont="0" applyFill="0" applyBorder="0" applyAlignment="0" applyProtection="0"/>
    <xf numFmtId="3" fontId="201" fillId="0" borderId="0" applyFont="0" applyFill="0" applyBorder="0" applyAlignment="0" applyProtection="0"/>
    <xf numFmtId="3" fontId="201" fillId="0" borderId="0" applyFont="0" applyFill="0" applyBorder="0" applyAlignment="0" applyProtection="0"/>
    <xf numFmtId="3" fontId="201" fillId="0" borderId="0" applyFont="0" applyFill="0" applyBorder="0" applyAlignment="0" applyProtection="0"/>
    <xf numFmtId="3" fontId="201" fillId="0" borderId="0" applyFont="0" applyFill="0" applyBorder="0" applyAlignment="0" applyProtection="0"/>
    <xf numFmtId="3" fontId="201" fillId="0" borderId="0" applyFont="0" applyFill="0" applyBorder="0" applyAlignment="0" applyProtection="0"/>
    <xf numFmtId="3" fontId="201" fillId="0" borderId="0" applyFont="0" applyFill="0" applyBorder="0" applyAlignment="0" applyProtection="0"/>
    <xf numFmtId="3" fontId="201" fillId="0" borderId="0" applyFont="0" applyFill="0" applyBorder="0" applyAlignment="0" applyProtection="0"/>
    <xf numFmtId="3" fontId="201" fillId="0" borderId="0" applyFont="0" applyFill="0" applyBorder="0" applyAlignment="0" applyProtection="0"/>
    <xf numFmtId="3" fontId="209" fillId="0" borderId="0" applyFont="0" applyFill="0" applyBorder="0" applyAlignment="0" applyProtection="0"/>
    <xf numFmtId="3" fontId="201" fillId="0" borderId="0" applyFont="0" applyFill="0" applyBorder="0" applyAlignment="0" applyProtection="0"/>
    <xf numFmtId="3" fontId="201" fillId="0" borderId="0" applyFont="0" applyFill="0" applyBorder="0" applyAlignment="0" applyProtection="0"/>
    <xf numFmtId="3" fontId="201" fillId="0" borderId="0" applyFont="0" applyFill="0" applyBorder="0" applyAlignment="0" applyProtection="0"/>
    <xf numFmtId="3" fontId="201" fillId="0" borderId="0" applyFont="0" applyFill="0" applyBorder="0" applyAlignment="0" applyProtection="0"/>
    <xf numFmtId="3" fontId="201" fillId="0" borderId="0" applyFont="0" applyFill="0" applyBorder="0" applyAlignment="0" applyProtection="0"/>
    <xf numFmtId="3" fontId="201" fillId="0" borderId="0" applyFont="0" applyFill="0" applyBorder="0" applyAlignment="0" applyProtection="0"/>
    <xf numFmtId="3" fontId="201" fillId="0" borderId="0" applyFont="0" applyFill="0" applyBorder="0" applyAlignment="0" applyProtection="0"/>
    <xf numFmtId="3" fontId="201" fillId="0" borderId="0" applyFont="0" applyFill="0" applyBorder="0" applyAlignment="0" applyProtection="0"/>
    <xf numFmtId="3" fontId="201" fillId="0" borderId="0" applyFont="0" applyFill="0" applyBorder="0" applyAlignment="0" applyProtection="0"/>
    <xf numFmtId="3" fontId="201" fillId="0" borderId="0" applyFont="0" applyFill="0" applyBorder="0" applyAlignment="0" applyProtection="0"/>
    <xf numFmtId="3" fontId="201" fillId="0" borderId="0" applyFont="0" applyFill="0" applyBorder="0" applyAlignment="0" applyProtection="0"/>
    <xf numFmtId="3" fontId="209" fillId="0" borderId="0" applyFont="0" applyFill="0" applyBorder="0" applyAlignment="0" applyProtection="0"/>
    <xf numFmtId="3" fontId="201" fillId="0" borderId="0" applyFont="0" applyFill="0" applyBorder="0" applyAlignment="0" applyProtection="0"/>
    <xf numFmtId="3" fontId="201" fillId="0" borderId="0" applyFont="0" applyFill="0" applyBorder="0" applyAlignment="0" applyProtection="0"/>
    <xf numFmtId="3" fontId="201" fillId="0" borderId="0" applyFont="0" applyFill="0" applyBorder="0" applyAlignment="0" applyProtection="0"/>
    <xf numFmtId="3" fontId="201" fillId="0" borderId="0" applyFont="0" applyFill="0" applyBorder="0" applyAlignment="0" applyProtection="0"/>
    <xf numFmtId="3" fontId="201" fillId="0" borderId="0" applyFont="0" applyFill="0" applyBorder="0" applyAlignment="0" applyProtection="0"/>
    <xf numFmtId="3" fontId="201" fillId="0" borderId="0" applyFont="0" applyFill="0" applyBorder="0" applyAlignment="0" applyProtection="0"/>
    <xf numFmtId="3" fontId="201" fillId="0" borderId="0" applyFont="0" applyFill="0" applyBorder="0" applyAlignment="0" applyProtection="0"/>
    <xf numFmtId="3" fontId="201" fillId="0" borderId="0" applyFont="0" applyFill="0" applyBorder="0" applyAlignment="0" applyProtection="0"/>
    <xf numFmtId="3" fontId="201" fillId="0" borderId="0" applyFont="0" applyFill="0" applyBorder="0" applyAlignment="0" applyProtection="0"/>
    <xf numFmtId="3" fontId="201" fillId="0" borderId="0" applyFont="0" applyFill="0" applyBorder="0" applyAlignment="0" applyProtection="0"/>
    <xf numFmtId="3" fontId="201" fillId="0" borderId="0" applyFont="0" applyFill="0" applyBorder="0" applyAlignment="0" applyProtection="0"/>
    <xf numFmtId="3" fontId="209" fillId="0" borderId="0" applyFont="0" applyFill="0" applyBorder="0" applyAlignment="0" applyProtection="0"/>
    <xf numFmtId="3" fontId="201" fillId="0" borderId="0" applyFont="0" applyFill="0" applyBorder="0" applyAlignment="0" applyProtection="0"/>
    <xf numFmtId="3" fontId="201" fillId="0" borderId="0" applyFont="0" applyFill="0" applyBorder="0" applyAlignment="0" applyProtection="0"/>
    <xf numFmtId="3" fontId="201" fillId="0" borderId="0" applyFont="0" applyFill="0" applyBorder="0" applyAlignment="0" applyProtection="0"/>
    <xf numFmtId="3" fontId="201" fillId="0" borderId="0" applyFont="0" applyFill="0" applyBorder="0" applyAlignment="0" applyProtection="0"/>
    <xf numFmtId="3" fontId="201" fillId="0" borderId="0" applyFont="0" applyFill="0" applyBorder="0" applyAlignment="0" applyProtection="0"/>
    <xf numFmtId="3" fontId="201" fillId="0" borderId="0" applyFont="0" applyFill="0" applyBorder="0" applyAlignment="0" applyProtection="0"/>
    <xf numFmtId="3" fontId="201" fillId="0" borderId="0" applyFont="0" applyFill="0" applyBorder="0" applyAlignment="0" applyProtection="0"/>
    <xf numFmtId="0" fontId="210" fillId="0" borderId="0" applyNumberFormat="0" applyAlignment="0">
      <alignment horizontal="left"/>
    </xf>
    <xf numFmtId="0" fontId="211"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212" fillId="0" borderId="49"/>
    <xf numFmtId="0" fontId="196" fillId="0" borderId="49"/>
    <xf numFmtId="0" fontId="196" fillId="0" borderId="49"/>
    <xf numFmtId="0" fontId="196" fillId="0" borderId="49"/>
    <xf numFmtId="0" fontId="196" fillId="0" borderId="49"/>
    <xf numFmtId="0" fontId="196" fillId="0" borderId="49"/>
    <xf numFmtId="0" fontId="196" fillId="0" borderId="49"/>
    <xf numFmtId="0" fontId="196" fillId="0" borderId="49"/>
    <xf numFmtId="0" fontId="196" fillId="0" borderId="49"/>
    <xf numFmtId="0" fontId="196" fillId="0" borderId="49"/>
    <xf numFmtId="0" fontId="196" fillId="0" borderId="49"/>
    <xf numFmtId="0" fontId="196" fillId="0" borderId="49"/>
    <xf numFmtId="0" fontId="196" fillId="0" borderId="49"/>
    <xf numFmtId="0" fontId="196" fillId="0" borderId="49"/>
    <xf numFmtId="0" fontId="196" fillId="0" borderId="49"/>
    <xf numFmtId="0" fontId="196" fillId="0" borderId="49"/>
    <xf numFmtId="0" fontId="196" fillId="0" borderId="49"/>
    <xf numFmtId="0" fontId="196" fillId="0" borderId="49"/>
    <xf numFmtId="0" fontId="196" fillId="0" borderId="49"/>
    <xf numFmtId="0" fontId="196" fillId="0" borderId="49"/>
    <xf numFmtId="0" fontId="196" fillId="0" borderId="49"/>
    <xf numFmtId="0" fontId="196" fillId="0" borderId="49"/>
    <xf numFmtId="0" fontId="196" fillId="0" borderId="49"/>
    <xf numFmtId="0" fontId="196" fillId="0" borderId="49"/>
    <xf numFmtId="0" fontId="196" fillId="0" borderId="49"/>
    <xf numFmtId="0" fontId="196" fillId="0" borderId="49"/>
    <xf numFmtId="0" fontId="196" fillId="0" borderId="49"/>
    <xf numFmtId="0" fontId="196" fillId="0" borderId="49"/>
    <xf numFmtId="0" fontId="196" fillId="0" borderId="49"/>
    <xf numFmtId="0" fontId="196" fillId="0" borderId="49"/>
    <xf numFmtId="0" fontId="196" fillId="0" borderId="49"/>
    <xf numFmtId="0" fontId="196" fillId="0" borderId="49"/>
    <xf numFmtId="0" fontId="196" fillId="0" borderId="49"/>
    <xf numFmtId="0" fontId="196" fillId="0" borderId="49"/>
    <xf numFmtId="0" fontId="196" fillId="0" borderId="49"/>
    <xf numFmtId="0" fontId="196" fillId="0" borderId="49"/>
    <xf numFmtId="0" fontId="196" fillId="0" borderId="49"/>
    <xf numFmtId="0" fontId="196" fillId="0" borderId="49"/>
    <xf numFmtId="0" fontId="196" fillId="0" borderId="49"/>
    <xf numFmtId="0" fontId="196" fillId="0" borderId="49"/>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211" fillId="0" borderId="0"/>
    <xf numFmtId="202" fontId="3" fillId="0" borderId="0" applyFill="0" applyBorder="0" applyAlignment="0" applyProtection="0"/>
    <xf numFmtId="203" fontId="208" fillId="0" borderId="0" applyFont="0" applyFill="0" applyBorder="0" applyAlignment="0" applyProtection="0"/>
    <xf numFmtId="203" fontId="201" fillId="0" borderId="0" applyFont="0" applyFill="0" applyBorder="0" applyAlignment="0" applyProtection="0"/>
    <xf numFmtId="203" fontId="201" fillId="0" borderId="0" applyFont="0" applyFill="0" applyBorder="0" applyAlignment="0" applyProtection="0"/>
    <xf numFmtId="203" fontId="201" fillId="0" borderId="0" applyFont="0" applyFill="0" applyBorder="0" applyAlignment="0" applyProtection="0"/>
    <xf numFmtId="203" fontId="201" fillId="0" borderId="0" applyFont="0" applyFill="0" applyBorder="0" applyAlignment="0" applyProtection="0"/>
    <xf numFmtId="203" fontId="201" fillId="0" borderId="0" applyFont="0" applyFill="0" applyBorder="0" applyAlignment="0" applyProtection="0"/>
    <xf numFmtId="203" fontId="201" fillId="0" borderId="0" applyFont="0" applyFill="0" applyBorder="0" applyAlignment="0" applyProtection="0"/>
    <xf numFmtId="203" fontId="201" fillId="0" borderId="0" applyFont="0" applyFill="0" applyBorder="0" applyAlignment="0" applyProtection="0"/>
    <xf numFmtId="203" fontId="201" fillId="0" borderId="0" applyFont="0" applyFill="0" applyBorder="0" applyAlignment="0" applyProtection="0"/>
    <xf numFmtId="203" fontId="201" fillId="0" borderId="0" applyFont="0" applyFill="0" applyBorder="0" applyAlignment="0" applyProtection="0"/>
    <xf numFmtId="203" fontId="201" fillId="0" borderId="0" applyFont="0" applyFill="0" applyBorder="0" applyAlignment="0" applyProtection="0"/>
    <xf numFmtId="203" fontId="208" fillId="0" borderId="0" applyFont="0" applyFill="0" applyBorder="0" applyAlignment="0" applyProtection="0"/>
    <xf numFmtId="203" fontId="201" fillId="0" borderId="0" applyFont="0" applyFill="0" applyBorder="0" applyAlignment="0" applyProtection="0"/>
    <xf numFmtId="203" fontId="201" fillId="0" borderId="0" applyFont="0" applyFill="0" applyBorder="0" applyAlignment="0" applyProtection="0"/>
    <xf numFmtId="203" fontId="201" fillId="0" borderId="0" applyFont="0" applyFill="0" applyBorder="0" applyAlignment="0" applyProtection="0"/>
    <xf numFmtId="203" fontId="201" fillId="0" borderId="0" applyFont="0" applyFill="0" applyBorder="0" applyAlignment="0" applyProtection="0"/>
    <xf numFmtId="203" fontId="201" fillId="0" borderId="0" applyFont="0" applyFill="0" applyBorder="0" applyAlignment="0" applyProtection="0"/>
    <xf numFmtId="203" fontId="201" fillId="0" borderId="0" applyFont="0" applyFill="0" applyBorder="0" applyAlignment="0" applyProtection="0"/>
    <xf numFmtId="203" fontId="201" fillId="0" borderId="0" applyFont="0" applyFill="0" applyBorder="0" applyAlignment="0" applyProtection="0"/>
    <xf numFmtId="203" fontId="201" fillId="0" borderId="0" applyFont="0" applyFill="0" applyBorder="0" applyAlignment="0" applyProtection="0"/>
    <xf numFmtId="203" fontId="201" fillId="0" borderId="0" applyFont="0" applyFill="0" applyBorder="0" applyAlignment="0" applyProtection="0"/>
    <xf numFmtId="203" fontId="201" fillId="0" borderId="0" applyFont="0" applyFill="0" applyBorder="0" applyAlignment="0" applyProtection="0"/>
    <xf numFmtId="203" fontId="208" fillId="0" borderId="0" applyFont="0" applyFill="0" applyBorder="0" applyAlignment="0" applyProtection="0"/>
    <xf numFmtId="203" fontId="201" fillId="0" borderId="0" applyFont="0" applyFill="0" applyBorder="0" applyAlignment="0" applyProtection="0"/>
    <xf numFmtId="203" fontId="201" fillId="0" borderId="0" applyFont="0" applyFill="0" applyBorder="0" applyAlignment="0" applyProtection="0"/>
    <xf numFmtId="203" fontId="201" fillId="0" borderId="0" applyFont="0" applyFill="0" applyBorder="0" applyAlignment="0" applyProtection="0"/>
    <xf numFmtId="203" fontId="201" fillId="0" borderId="0" applyFont="0" applyFill="0" applyBorder="0" applyAlignment="0" applyProtection="0"/>
    <xf numFmtId="203" fontId="201" fillId="0" borderId="0" applyFont="0" applyFill="0" applyBorder="0" applyAlignment="0" applyProtection="0"/>
    <xf numFmtId="203" fontId="201" fillId="0" borderId="0" applyFont="0" applyFill="0" applyBorder="0" applyAlignment="0" applyProtection="0"/>
    <xf numFmtId="203" fontId="201" fillId="0" borderId="0" applyFont="0" applyFill="0" applyBorder="0" applyAlignment="0" applyProtection="0"/>
    <xf numFmtId="203" fontId="201" fillId="0" borderId="0" applyFont="0" applyFill="0" applyBorder="0" applyAlignment="0" applyProtection="0"/>
    <xf numFmtId="203" fontId="201" fillId="0" borderId="0" applyFont="0" applyFill="0" applyBorder="0" applyAlignment="0" applyProtection="0"/>
    <xf numFmtId="203" fontId="201" fillId="0" borderId="0" applyFont="0" applyFill="0" applyBorder="0" applyAlignment="0" applyProtection="0"/>
    <xf numFmtId="203" fontId="208" fillId="0" borderId="0" applyFont="0" applyFill="0" applyBorder="0" applyAlignment="0" applyProtection="0"/>
    <xf numFmtId="203" fontId="201" fillId="0" borderId="0" applyFont="0" applyFill="0" applyBorder="0" applyAlignment="0" applyProtection="0"/>
    <xf numFmtId="203" fontId="201" fillId="0" borderId="0" applyFont="0" applyFill="0" applyBorder="0" applyAlignment="0" applyProtection="0"/>
    <xf numFmtId="203" fontId="201" fillId="0" borderId="0" applyFont="0" applyFill="0" applyBorder="0" applyAlignment="0" applyProtection="0"/>
    <xf numFmtId="203" fontId="201" fillId="0" borderId="0" applyFont="0" applyFill="0" applyBorder="0" applyAlignment="0" applyProtection="0"/>
    <xf numFmtId="203" fontId="201" fillId="0" borderId="0" applyFont="0" applyFill="0" applyBorder="0" applyAlignment="0" applyProtection="0"/>
    <xf numFmtId="203" fontId="201" fillId="0" borderId="0" applyFont="0" applyFill="0" applyBorder="0" applyAlignment="0" applyProtection="0"/>
    <xf numFmtId="204" fontId="12" fillId="0" borderId="0" applyFont="0" applyFill="0" applyBorder="0" applyAlignment="0"/>
    <xf numFmtId="183" fontId="3" fillId="0" borderId="0" applyFont="0" applyFill="0" applyBorder="0" applyAlignment="0"/>
    <xf numFmtId="205" fontId="3" fillId="0" borderId="0" applyFont="0" applyFill="0" applyBorder="0" applyAlignment="0" applyProtection="0"/>
    <xf numFmtId="206" fontId="3" fillId="0" borderId="0" applyFill="0" applyBorder="0" applyAlignment="0" applyProtection="0"/>
    <xf numFmtId="207" fontId="3" fillId="0" borderId="0" applyFont="0" applyFill="0" applyBorder="0" applyAlignment="0" applyProtection="0"/>
    <xf numFmtId="208" fontId="72" fillId="0" borderId="0" applyFont="0" applyFill="0" applyBorder="0" applyAlignment="0" applyProtection="0"/>
    <xf numFmtId="15" fontId="213"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15" fontId="201" fillId="0" borderId="0" applyFont="0" applyFill="0" applyBorder="0" applyAlignment="0" applyProtection="0"/>
    <xf numFmtId="0" fontId="3" fillId="0" borderId="0" applyFont="0" applyFill="0" applyBorder="0" applyAlignment="0" applyProtection="0"/>
    <xf numFmtId="15" fontId="14" fillId="0" borderId="0" applyFill="0" applyBorder="0" applyAlignment="0"/>
    <xf numFmtId="209" fontId="14" fillId="90" borderId="0" applyFont="0" applyFill="0" applyBorder="0" applyAlignment="0" applyProtection="0"/>
    <xf numFmtId="210" fontId="214" fillId="90" borderId="50" applyFont="0" applyFill="0" applyBorder="0" applyAlignment="0" applyProtection="0"/>
    <xf numFmtId="209" fontId="12" fillId="90" borderId="0" applyFont="0" applyFill="0" applyBorder="0" applyAlignment="0" applyProtection="0"/>
    <xf numFmtId="17" fontId="14" fillId="0" borderId="0" applyFill="0" applyBorder="0">
      <alignment horizontal="right"/>
    </xf>
    <xf numFmtId="211" fontId="14" fillId="0" borderId="10"/>
    <xf numFmtId="211" fontId="14" fillId="0" borderId="10"/>
    <xf numFmtId="212" fontId="3" fillId="0" borderId="0" applyFill="0" applyBorder="0" applyAlignment="0" applyProtection="0"/>
    <xf numFmtId="212" fontId="3" fillId="0" borderId="0" applyFill="0" applyBorder="0" applyAlignment="0" applyProtection="0"/>
    <xf numFmtId="212" fontId="3" fillId="0" borderId="0" applyFill="0" applyBorder="0" applyAlignment="0" applyProtection="0"/>
    <xf numFmtId="212" fontId="3" fillId="0" borderId="0" applyFill="0" applyBorder="0" applyAlignment="0" applyProtection="0"/>
    <xf numFmtId="212" fontId="3" fillId="0" borderId="0" applyFill="0" applyBorder="0" applyAlignment="0" applyProtection="0"/>
    <xf numFmtId="212" fontId="3" fillId="0" borderId="0" applyFill="0" applyBorder="0" applyAlignment="0" applyProtection="0"/>
    <xf numFmtId="212" fontId="3" fillId="0" borderId="0" applyFill="0" applyBorder="0" applyAlignment="0" applyProtection="0"/>
    <xf numFmtId="212" fontId="3" fillId="0" borderId="0" applyFill="0" applyBorder="0" applyAlignment="0" applyProtection="0"/>
    <xf numFmtId="212" fontId="3" fillId="0" borderId="0" applyFill="0" applyBorder="0" applyAlignment="0" applyProtection="0"/>
    <xf numFmtId="212" fontId="3" fillId="0" borderId="0" applyFill="0" applyBorder="0" applyAlignment="0" applyProtection="0"/>
    <xf numFmtId="212" fontId="3" fillId="0" borderId="0" applyFill="0" applyBorder="0" applyAlignment="0" applyProtection="0"/>
    <xf numFmtId="212" fontId="3" fillId="0" borderId="0" applyFill="0" applyBorder="0" applyAlignment="0" applyProtection="0"/>
    <xf numFmtId="212" fontId="3" fillId="0" borderId="0" applyFill="0" applyBorder="0" applyAlignment="0" applyProtection="0"/>
    <xf numFmtId="212" fontId="3" fillId="0" borderId="0" applyFill="0" applyBorder="0" applyAlignment="0" applyProtection="0"/>
    <xf numFmtId="212" fontId="3" fillId="0" borderId="0" applyFill="0" applyBorder="0" applyAlignment="0" applyProtection="0"/>
    <xf numFmtId="212" fontId="3" fillId="0" borderId="0" applyFill="0" applyBorder="0" applyAlignment="0" applyProtection="0"/>
    <xf numFmtId="14" fontId="14" fillId="4" borderId="51" applyFill="0" applyBorder="0">
      <alignment horizontal="right"/>
    </xf>
    <xf numFmtId="213" fontId="14" fillId="0" borderId="0" applyFill="0" applyBorder="0">
      <alignment horizontal="right"/>
    </xf>
    <xf numFmtId="214" fontId="12" fillId="0" borderId="22">
      <alignment horizontal="center"/>
    </xf>
    <xf numFmtId="215" fontId="3" fillId="0" borderId="0" applyFont="0" applyFill="0" applyBorder="0" applyAlignment="0" applyProtection="0"/>
    <xf numFmtId="216" fontId="3" fillId="0" borderId="0" applyFont="0" applyFill="0" applyBorder="0" applyAlignment="0" applyProtection="0"/>
    <xf numFmtId="217" fontId="202" fillId="0" borderId="0" applyFont="0" applyFill="0" applyBorder="0" applyAlignment="0" applyProtection="0"/>
    <xf numFmtId="3" fontId="202" fillId="0" borderId="0" applyFont="0" applyFill="0" applyBorder="0" applyAlignment="0" applyProtection="0"/>
    <xf numFmtId="182" fontId="12" fillId="0" borderId="0"/>
    <xf numFmtId="0" fontId="177" fillId="0" borderId="0" applyNumberFormat="0" applyFill="0" applyBorder="0" applyAlignment="0" applyProtection="0"/>
    <xf numFmtId="0" fontId="168" fillId="80" borderId="0" applyNumberFormat="0" applyBorder="0" applyAlignment="0" applyProtection="0"/>
    <xf numFmtId="0" fontId="168" fillId="81" borderId="0" applyNumberFormat="0" applyBorder="0" applyAlignment="0" applyProtection="0"/>
    <xf numFmtId="0" fontId="168" fillId="82" borderId="0" applyNumberFormat="0" applyBorder="0" applyAlignment="0" applyProtection="0"/>
    <xf numFmtId="0" fontId="168" fillId="76" borderId="0" applyNumberFormat="0" applyBorder="0" applyAlignment="0" applyProtection="0"/>
    <xf numFmtId="0" fontId="168" fillId="77" borderId="0" applyNumberFormat="0" applyBorder="0" applyAlignment="0" applyProtection="0"/>
    <xf numFmtId="0" fontId="168" fillId="83" borderId="0" applyNumberFormat="0" applyBorder="0" applyAlignment="0" applyProtection="0"/>
    <xf numFmtId="0" fontId="215" fillId="0" borderId="0" applyNumberFormat="0" applyAlignment="0">
      <alignment horizontal="left"/>
    </xf>
    <xf numFmtId="0" fontId="3" fillId="0" borderId="0"/>
    <xf numFmtId="218" fontId="201" fillId="0" borderId="0" applyFont="0" applyFill="0" applyBorder="0" applyAlignment="0" applyProtection="0"/>
    <xf numFmtId="218" fontId="201" fillId="0" borderId="0" applyFont="0" applyFill="0" applyBorder="0" applyAlignment="0" applyProtection="0"/>
    <xf numFmtId="218" fontId="201" fillId="0" borderId="0" applyFont="0" applyFill="0" applyBorder="0" applyAlignment="0" applyProtection="0"/>
    <xf numFmtId="218" fontId="201" fillId="0" borderId="0" applyFont="0" applyFill="0" applyBorder="0" applyAlignment="0" applyProtection="0"/>
    <xf numFmtId="218" fontId="201" fillId="0" borderId="0" applyFont="0" applyFill="0" applyBorder="0" applyAlignment="0" applyProtection="0"/>
    <xf numFmtId="218" fontId="201" fillId="0" borderId="0" applyFont="0" applyFill="0" applyBorder="0" applyAlignment="0" applyProtection="0"/>
    <xf numFmtId="218" fontId="201" fillId="0" borderId="0" applyFont="0" applyFill="0" applyBorder="0" applyAlignment="0" applyProtection="0"/>
    <xf numFmtId="218" fontId="201" fillId="0" borderId="0" applyFont="0" applyFill="0" applyBorder="0" applyAlignment="0" applyProtection="0"/>
    <xf numFmtId="218" fontId="201" fillId="0" borderId="0" applyFont="0" applyFill="0" applyBorder="0" applyAlignment="0" applyProtection="0"/>
    <xf numFmtId="218" fontId="201" fillId="0" borderId="0" applyFont="0" applyFill="0" applyBorder="0" applyAlignment="0" applyProtection="0"/>
    <xf numFmtId="218" fontId="3" fillId="0" borderId="0" applyFont="0" applyFill="0" applyBorder="0" applyAlignment="0" applyProtection="0"/>
    <xf numFmtId="218" fontId="3" fillId="0" borderId="0" applyFont="0" applyFill="0" applyBorder="0" applyAlignment="0" applyProtection="0"/>
    <xf numFmtId="218" fontId="201" fillId="0" borderId="0" applyFont="0" applyFill="0" applyBorder="0" applyAlignment="0" applyProtection="0"/>
    <xf numFmtId="218" fontId="201" fillId="0" borderId="0" applyFont="0" applyFill="0" applyBorder="0" applyAlignment="0" applyProtection="0"/>
    <xf numFmtId="218" fontId="201" fillId="0" borderId="0" applyFont="0" applyFill="0" applyBorder="0" applyAlignment="0" applyProtection="0"/>
    <xf numFmtId="218" fontId="201" fillId="0" borderId="0" applyFont="0" applyFill="0" applyBorder="0" applyAlignment="0" applyProtection="0"/>
    <xf numFmtId="218" fontId="201" fillId="0" borderId="0" applyFont="0" applyFill="0" applyBorder="0" applyAlignment="0" applyProtection="0"/>
    <xf numFmtId="218" fontId="201" fillId="0" borderId="0" applyFont="0" applyFill="0" applyBorder="0" applyAlignment="0" applyProtection="0"/>
    <xf numFmtId="218" fontId="201" fillId="0" borderId="0" applyFont="0" applyFill="0" applyBorder="0" applyAlignment="0" applyProtection="0"/>
    <xf numFmtId="218" fontId="201" fillId="0" borderId="0" applyFont="0" applyFill="0" applyBorder="0" applyAlignment="0" applyProtection="0"/>
    <xf numFmtId="218" fontId="201" fillId="0" borderId="0" applyFont="0" applyFill="0" applyBorder="0" applyAlignment="0" applyProtection="0"/>
    <xf numFmtId="218" fontId="201" fillId="0" borderId="0" applyFont="0" applyFill="0" applyBorder="0" applyAlignment="0" applyProtection="0"/>
    <xf numFmtId="218" fontId="3" fillId="0" borderId="0" applyFont="0" applyFill="0" applyBorder="0" applyAlignment="0" applyProtection="0"/>
    <xf numFmtId="218" fontId="3" fillId="0" borderId="0" applyFont="0" applyFill="0" applyBorder="0" applyAlignment="0" applyProtection="0"/>
    <xf numFmtId="218" fontId="201" fillId="0" borderId="0" applyFont="0" applyFill="0" applyBorder="0" applyAlignment="0" applyProtection="0"/>
    <xf numFmtId="218" fontId="201" fillId="0" borderId="0" applyFont="0" applyFill="0" applyBorder="0" applyAlignment="0" applyProtection="0"/>
    <xf numFmtId="218" fontId="201" fillId="0" borderId="0" applyFont="0" applyFill="0" applyBorder="0" applyAlignment="0" applyProtection="0"/>
    <xf numFmtId="218" fontId="201" fillId="0" borderId="0" applyFont="0" applyFill="0" applyBorder="0" applyAlignment="0" applyProtection="0"/>
    <xf numFmtId="218" fontId="201" fillId="0" borderId="0" applyFont="0" applyFill="0" applyBorder="0" applyAlignment="0" applyProtection="0"/>
    <xf numFmtId="218" fontId="201" fillId="0" borderId="0" applyFont="0" applyFill="0" applyBorder="0" applyAlignment="0" applyProtection="0"/>
    <xf numFmtId="218" fontId="201" fillId="0" borderId="0" applyFont="0" applyFill="0" applyBorder="0" applyAlignment="0" applyProtection="0"/>
    <xf numFmtId="218" fontId="201" fillId="0" borderId="0" applyFont="0" applyFill="0" applyBorder="0" applyAlignment="0" applyProtection="0"/>
    <xf numFmtId="218" fontId="201" fillId="0" borderId="0" applyFont="0" applyFill="0" applyBorder="0" applyAlignment="0" applyProtection="0"/>
    <xf numFmtId="218" fontId="201" fillId="0" borderId="0" applyFont="0" applyFill="0" applyBorder="0" applyAlignment="0" applyProtection="0"/>
    <xf numFmtId="218" fontId="3" fillId="0" borderId="0" applyFont="0" applyFill="0" applyBorder="0" applyAlignment="0" applyProtection="0"/>
    <xf numFmtId="218" fontId="3" fillId="0" borderId="0" applyFont="0" applyFill="0" applyBorder="0" applyAlignment="0" applyProtection="0"/>
    <xf numFmtId="218" fontId="201" fillId="0" borderId="0" applyFont="0" applyFill="0" applyBorder="0" applyAlignment="0" applyProtection="0"/>
    <xf numFmtId="191" fontId="3" fillId="0" borderId="0" applyFont="0" applyFill="0" applyBorder="0" applyAlignment="0" applyProtection="0"/>
    <xf numFmtId="191" fontId="3" fillId="0" borderId="0" applyFont="0" applyFill="0" applyBorder="0" applyAlignment="0" applyProtection="0"/>
    <xf numFmtId="218" fontId="201" fillId="0" borderId="0" applyFont="0" applyFill="0" applyBorder="0" applyAlignment="0" applyProtection="0"/>
    <xf numFmtId="218" fontId="201" fillId="0" borderId="0" applyFont="0" applyFill="0" applyBorder="0" applyAlignment="0" applyProtection="0"/>
    <xf numFmtId="218" fontId="201" fillId="0" borderId="0" applyFont="0" applyFill="0" applyBorder="0" applyAlignment="0" applyProtection="0"/>
    <xf numFmtId="218" fontId="201" fillId="0" borderId="0" applyFont="0" applyFill="0" applyBorder="0" applyAlignment="0" applyProtection="0"/>
    <xf numFmtId="218" fontId="201" fillId="0" borderId="0" applyFont="0" applyFill="0" applyBorder="0" applyAlignment="0" applyProtection="0"/>
    <xf numFmtId="0" fontId="72" fillId="0" borderId="0" applyNumberFormat="0" applyFill="0" applyBorder="0" applyAlignment="0" applyProtection="0"/>
    <xf numFmtId="171" fontId="12" fillId="0" borderId="0" applyFont="0" applyBorder="0"/>
    <xf numFmtId="219" fontId="216" fillId="0" borderId="0">
      <protection locked="0"/>
    </xf>
    <xf numFmtId="219" fontId="217" fillId="0" borderId="0">
      <protection locked="0"/>
    </xf>
    <xf numFmtId="219" fontId="218" fillId="0" borderId="0">
      <protection locked="0"/>
    </xf>
    <xf numFmtId="219" fontId="218" fillId="0" borderId="0">
      <protection locked="0"/>
    </xf>
    <xf numFmtId="219" fontId="217" fillId="0" borderId="0">
      <protection locked="0"/>
    </xf>
    <xf numFmtId="219" fontId="219" fillId="0" borderId="0">
      <protection locked="0"/>
    </xf>
    <xf numFmtId="219" fontId="217" fillId="0" borderId="0">
      <protection locked="0"/>
    </xf>
    <xf numFmtId="220" fontId="3" fillId="0" borderId="0" applyFont="0" applyFill="0" applyBorder="0" applyAlignment="0" applyProtection="0"/>
    <xf numFmtId="2" fontId="3" fillId="0" borderId="0" applyFont="0" applyFill="0" applyBorder="0" applyAlignment="0" applyProtection="0"/>
    <xf numFmtId="221" fontId="3" fillId="90" borderId="0" applyFont="0" applyFill="0" applyBorder="0" applyAlignment="0"/>
    <xf numFmtId="2" fontId="3" fillId="0" borderId="0" applyFill="0" applyBorder="0" applyAlignment="0" applyProtection="0"/>
    <xf numFmtId="2" fontId="3" fillId="0" borderId="0" applyFill="0" applyBorder="0" applyAlignment="0" applyProtection="0"/>
    <xf numFmtId="2" fontId="3" fillId="0" borderId="0" applyFill="0" applyBorder="0" applyAlignment="0" applyProtection="0"/>
    <xf numFmtId="2" fontId="3" fillId="0" borderId="0" applyFill="0" applyBorder="0" applyAlignment="0" applyProtection="0"/>
    <xf numFmtId="2" fontId="3" fillId="0" borderId="0" applyFill="0" applyBorder="0" applyAlignment="0" applyProtection="0"/>
    <xf numFmtId="2" fontId="3" fillId="0" borderId="0" applyFill="0" applyBorder="0" applyAlignment="0" applyProtection="0"/>
    <xf numFmtId="2" fontId="3" fillId="0" borderId="0" applyFill="0" applyBorder="0" applyAlignment="0" applyProtection="0"/>
    <xf numFmtId="2" fontId="3" fillId="0" borderId="0" applyFill="0" applyBorder="0" applyAlignment="0" applyProtection="0"/>
    <xf numFmtId="2" fontId="3" fillId="0" borderId="0" applyFill="0" applyBorder="0" applyAlignment="0" applyProtection="0"/>
    <xf numFmtId="2" fontId="3" fillId="0" borderId="0" applyFill="0" applyBorder="0" applyAlignment="0" applyProtection="0"/>
    <xf numFmtId="2" fontId="3" fillId="0" borderId="0" applyFill="0" applyBorder="0" applyAlignment="0" applyProtection="0"/>
    <xf numFmtId="2" fontId="3" fillId="0" borderId="0" applyFill="0" applyBorder="0" applyAlignment="0" applyProtection="0"/>
    <xf numFmtId="2" fontId="3" fillId="0" borderId="0" applyFill="0" applyBorder="0" applyAlignment="0" applyProtection="0"/>
    <xf numFmtId="2" fontId="3" fillId="0" borderId="0" applyFill="0" applyBorder="0" applyAlignment="0" applyProtection="0"/>
    <xf numFmtId="2" fontId="3" fillId="0" borderId="0" applyFill="0" applyBorder="0" applyAlignment="0" applyProtection="0"/>
    <xf numFmtId="2" fontId="3" fillId="0" borderId="0" applyFill="0" applyBorder="0" applyAlignment="0" applyProtection="0"/>
    <xf numFmtId="0" fontId="220" fillId="0" borderId="0" applyNumberFormat="0" applyFill="0" applyBorder="0" applyAlignment="0" applyProtection="0">
      <alignment vertical="top"/>
      <protection locked="0"/>
    </xf>
    <xf numFmtId="0" fontId="196" fillId="0" borderId="0" applyNumberFormat="0" applyFill="0" applyBorder="0" applyAlignment="0" applyProtection="0">
      <alignment vertical="top"/>
      <protection locked="0"/>
    </xf>
    <xf numFmtId="0" fontId="196" fillId="0" borderId="0" applyNumberFormat="0" applyFill="0" applyBorder="0" applyAlignment="0" applyProtection="0">
      <alignment vertical="top"/>
      <protection locked="0"/>
    </xf>
    <xf numFmtId="0" fontId="196" fillId="0" borderId="0" applyNumberFormat="0" applyFill="0" applyBorder="0" applyAlignment="0" applyProtection="0">
      <alignment vertical="top"/>
      <protection locked="0"/>
    </xf>
    <xf numFmtId="0" fontId="196" fillId="0" borderId="0" applyNumberFormat="0" applyFill="0" applyBorder="0" applyAlignment="0" applyProtection="0">
      <alignment vertical="top"/>
      <protection locked="0"/>
    </xf>
    <xf numFmtId="0" fontId="196" fillId="0" borderId="0" applyNumberFormat="0" applyFill="0" applyBorder="0" applyAlignment="0" applyProtection="0">
      <alignment vertical="top"/>
      <protection locked="0"/>
    </xf>
    <xf numFmtId="0" fontId="196" fillId="0" borderId="0" applyNumberFormat="0" applyFill="0" applyBorder="0" applyAlignment="0" applyProtection="0">
      <alignment vertical="top"/>
      <protection locked="0"/>
    </xf>
    <xf numFmtId="0" fontId="196" fillId="0" borderId="0" applyNumberFormat="0" applyFill="0" applyBorder="0" applyAlignment="0" applyProtection="0">
      <alignment vertical="top"/>
      <protection locked="0"/>
    </xf>
    <xf numFmtId="0" fontId="196" fillId="0" borderId="0" applyNumberFormat="0" applyFill="0" applyBorder="0" applyAlignment="0" applyProtection="0">
      <alignment vertical="top"/>
      <protection locked="0"/>
    </xf>
    <xf numFmtId="0" fontId="196" fillId="0" borderId="0" applyNumberFormat="0" applyFill="0" applyBorder="0" applyAlignment="0" applyProtection="0">
      <alignment vertical="top"/>
      <protection locked="0"/>
    </xf>
    <xf numFmtId="0" fontId="196" fillId="0" borderId="0" applyNumberFormat="0" applyFill="0" applyBorder="0" applyAlignment="0" applyProtection="0">
      <alignment vertical="top"/>
      <protection locked="0"/>
    </xf>
    <xf numFmtId="0" fontId="220" fillId="0" borderId="0" applyNumberFormat="0" applyFill="0" applyBorder="0" applyAlignment="0" applyProtection="0">
      <alignment vertical="top"/>
      <protection locked="0"/>
    </xf>
    <xf numFmtId="0" fontId="196" fillId="0" borderId="0" applyNumberFormat="0" applyFill="0" applyBorder="0" applyAlignment="0" applyProtection="0">
      <alignment vertical="top"/>
      <protection locked="0"/>
    </xf>
    <xf numFmtId="0" fontId="196" fillId="0" borderId="0" applyNumberFormat="0" applyFill="0" applyBorder="0" applyAlignment="0" applyProtection="0">
      <alignment vertical="top"/>
      <protection locked="0"/>
    </xf>
    <xf numFmtId="0" fontId="196" fillId="0" borderId="0" applyNumberFormat="0" applyFill="0" applyBorder="0" applyAlignment="0" applyProtection="0">
      <alignment vertical="top"/>
      <protection locked="0"/>
    </xf>
    <xf numFmtId="0" fontId="196" fillId="0" borderId="0" applyNumberFormat="0" applyFill="0" applyBorder="0" applyAlignment="0" applyProtection="0">
      <alignment vertical="top"/>
      <protection locked="0"/>
    </xf>
    <xf numFmtId="0" fontId="196" fillId="0" borderId="0" applyNumberFormat="0" applyFill="0" applyBorder="0" applyAlignment="0" applyProtection="0">
      <alignment vertical="top"/>
      <protection locked="0"/>
    </xf>
    <xf numFmtId="0" fontId="196" fillId="0" borderId="0" applyNumberFormat="0" applyFill="0" applyBorder="0" applyAlignment="0" applyProtection="0">
      <alignment vertical="top"/>
      <protection locked="0"/>
    </xf>
    <xf numFmtId="0" fontId="196" fillId="0" borderId="0" applyNumberFormat="0" applyFill="0" applyBorder="0" applyAlignment="0" applyProtection="0">
      <alignment vertical="top"/>
      <protection locked="0"/>
    </xf>
    <xf numFmtId="0" fontId="196" fillId="0" borderId="0" applyNumberFormat="0" applyFill="0" applyBorder="0" applyAlignment="0" applyProtection="0">
      <alignment vertical="top"/>
      <protection locked="0"/>
    </xf>
    <xf numFmtId="0" fontId="196" fillId="0" borderId="0" applyNumberFormat="0" applyFill="0" applyBorder="0" applyAlignment="0" applyProtection="0">
      <alignment vertical="top"/>
      <protection locked="0"/>
    </xf>
    <xf numFmtId="0" fontId="196" fillId="0" borderId="0" applyNumberFormat="0" applyFill="0" applyBorder="0" applyAlignment="0" applyProtection="0">
      <alignment vertical="top"/>
      <protection locked="0"/>
    </xf>
    <xf numFmtId="0" fontId="220" fillId="0" borderId="0" applyNumberFormat="0" applyFill="0" applyBorder="0" applyAlignment="0" applyProtection="0">
      <alignment vertical="top"/>
      <protection locked="0"/>
    </xf>
    <xf numFmtId="0" fontId="196" fillId="0" borderId="0" applyNumberFormat="0" applyFill="0" applyBorder="0" applyAlignment="0" applyProtection="0">
      <alignment vertical="top"/>
      <protection locked="0"/>
    </xf>
    <xf numFmtId="0" fontId="196" fillId="0" borderId="0" applyNumberFormat="0" applyFill="0" applyBorder="0" applyAlignment="0" applyProtection="0">
      <alignment vertical="top"/>
      <protection locked="0"/>
    </xf>
    <xf numFmtId="0" fontId="196" fillId="0" borderId="0" applyNumberFormat="0" applyFill="0" applyBorder="0" applyAlignment="0" applyProtection="0">
      <alignment vertical="top"/>
      <protection locked="0"/>
    </xf>
    <xf numFmtId="0" fontId="196" fillId="0" borderId="0" applyNumberFormat="0" applyFill="0" applyBorder="0" applyAlignment="0" applyProtection="0">
      <alignment vertical="top"/>
      <protection locked="0"/>
    </xf>
    <xf numFmtId="0" fontId="196" fillId="0" borderId="0" applyNumberFormat="0" applyFill="0" applyBorder="0" applyAlignment="0" applyProtection="0">
      <alignment vertical="top"/>
      <protection locked="0"/>
    </xf>
    <xf numFmtId="0" fontId="196" fillId="0" borderId="0" applyNumberFormat="0" applyFill="0" applyBorder="0" applyAlignment="0" applyProtection="0">
      <alignment vertical="top"/>
      <protection locked="0"/>
    </xf>
    <xf numFmtId="0" fontId="196" fillId="0" borderId="0" applyNumberFormat="0" applyFill="0" applyBorder="0" applyAlignment="0" applyProtection="0">
      <alignment vertical="top"/>
      <protection locked="0"/>
    </xf>
    <xf numFmtId="0" fontId="196" fillId="0" borderId="0" applyNumberFormat="0" applyFill="0" applyBorder="0" applyAlignment="0" applyProtection="0">
      <alignment vertical="top"/>
      <protection locked="0"/>
    </xf>
    <xf numFmtId="0" fontId="196" fillId="0" borderId="0" applyNumberFormat="0" applyFill="0" applyBorder="0" applyAlignment="0" applyProtection="0">
      <alignment vertical="top"/>
      <protection locked="0"/>
    </xf>
    <xf numFmtId="0" fontId="196" fillId="0" borderId="0" applyNumberFormat="0" applyFill="0" applyBorder="0" applyAlignment="0" applyProtection="0">
      <alignment vertical="top"/>
      <protection locked="0"/>
    </xf>
    <xf numFmtId="0" fontId="220" fillId="0" borderId="0" applyNumberFormat="0" applyFill="0" applyBorder="0" applyAlignment="0" applyProtection="0">
      <alignment vertical="top"/>
      <protection locked="0"/>
    </xf>
    <xf numFmtId="0" fontId="196" fillId="0" borderId="0" applyNumberFormat="0" applyFill="0" applyBorder="0" applyAlignment="0" applyProtection="0">
      <alignment vertical="top"/>
      <protection locked="0"/>
    </xf>
    <xf numFmtId="0" fontId="196" fillId="0" borderId="0" applyNumberFormat="0" applyFill="0" applyBorder="0" applyAlignment="0" applyProtection="0">
      <alignment vertical="top"/>
      <protection locked="0"/>
    </xf>
    <xf numFmtId="0" fontId="196" fillId="0" borderId="0" applyNumberFormat="0" applyFill="0" applyBorder="0" applyAlignment="0" applyProtection="0">
      <alignment vertical="top"/>
      <protection locked="0"/>
    </xf>
    <xf numFmtId="0" fontId="196" fillId="0" borderId="0" applyNumberFormat="0" applyFill="0" applyBorder="0" applyAlignment="0" applyProtection="0">
      <alignment vertical="top"/>
      <protection locked="0"/>
    </xf>
    <xf numFmtId="0" fontId="196" fillId="0" borderId="0" applyNumberFormat="0" applyFill="0" applyBorder="0" applyAlignment="0" applyProtection="0">
      <alignment vertical="top"/>
      <protection locked="0"/>
    </xf>
    <xf numFmtId="0" fontId="196" fillId="0" borderId="0" applyNumberFormat="0" applyFill="0" applyBorder="0" applyAlignment="0" applyProtection="0">
      <alignment vertical="top"/>
      <protection locked="0"/>
    </xf>
    <xf numFmtId="0" fontId="138" fillId="0" borderId="0" applyFill="0" applyBorder="0" applyProtection="0">
      <alignment horizontal="left"/>
    </xf>
    <xf numFmtId="4" fontId="221" fillId="0" borderId="0">
      <protection locked="0"/>
    </xf>
    <xf numFmtId="38" fontId="12" fillId="14" borderId="0" applyNumberFormat="0" applyBorder="0" applyAlignment="0" applyProtection="0"/>
    <xf numFmtId="0" fontId="222" fillId="0" borderId="0" applyNumberFormat="0" applyFill="0" applyBorder="0" applyAlignment="0" applyProtection="0"/>
    <xf numFmtId="0" fontId="190"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6" fillId="0" borderId="13" applyNumberFormat="0" applyAlignment="0" applyProtection="0">
      <alignment horizontal="left" vertical="center"/>
    </xf>
    <xf numFmtId="0" fontId="190" fillId="0" borderId="15">
      <alignment horizontal="left" vertical="center"/>
    </xf>
    <xf numFmtId="0" fontId="196" fillId="0" borderId="15">
      <alignment horizontal="left" vertical="center"/>
    </xf>
    <xf numFmtId="0" fontId="196" fillId="0" borderId="15">
      <alignment horizontal="left" vertical="center"/>
    </xf>
    <xf numFmtId="0" fontId="196" fillId="0" borderId="15">
      <alignment horizontal="left" vertical="center"/>
    </xf>
    <xf numFmtId="0" fontId="196" fillId="0" borderId="15">
      <alignment horizontal="left" vertical="center"/>
    </xf>
    <xf numFmtId="0" fontId="196" fillId="0" borderId="15">
      <alignment horizontal="left" vertical="center"/>
    </xf>
    <xf numFmtId="0" fontId="196" fillId="0" borderId="15">
      <alignment horizontal="left" vertical="center"/>
    </xf>
    <xf numFmtId="0" fontId="196" fillId="0" borderId="15">
      <alignment horizontal="left" vertical="center"/>
    </xf>
    <xf numFmtId="0" fontId="196" fillId="0" borderId="15">
      <alignment horizontal="left" vertical="center"/>
    </xf>
    <xf numFmtId="0" fontId="196" fillId="0" borderId="15">
      <alignment horizontal="left" vertical="center"/>
    </xf>
    <xf numFmtId="0" fontId="196" fillId="0" borderId="15">
      <alignment horizontal="left" vertical="center"/>
    </xf>
    <xf numFmtId="0" fontId="196" fillId="0" borderId="15">
      <alignment horizontal="left" vertical="center"/>
    </xf>
    <xf numFmtId="0" fontId="196" fillId="0" borderId="15">
      <alignment horizontal="left" vertical="center"/>
    </xf>
    <xf numFmtId="0" fontId="196" fillId="0" borderId="15">
      <alignment horizontal="left" vertical="center"/>
    </xf>
    <xf numFmtId="0" fontId="196" fillId="0" borderId="15">
      <alignment horizontal="left" vertical="center"/>
    </xf>
    <xf numFmtId="0" fontId="196" fillId="0" borderId="15">
      <alignment horizontal="left" vertical="center"/>
    </xf>
    <xf numFmtId="0" fontId="196" fillId="0" borderId="15">
      <alignment horizontal="left" vertical="center"/>
    </xf>
    <xf numFmtId="0" fontId="196" fillId="0" borderId="15">
      <alignment horizontal="left" vertical="center"/>
    </xf>
    <xf numFmtId="0" fontId="196" fillId="0" borderId="15">
      <alignment horizontal="left" vertical="center"/>
    </xf>
    <xf numFmtId="0" fontId="196" fillId="0" borderId="15">
      <alignment horizontal="left" vertical="center"/>
    </xf>
    <xf numFmtId="0" fontId="196" fillId="0" borderId="15">
      <alignment horizontal="left" vertical="center"/>
    </xf>
    <xf numFmtId="0" fontId="196" fillId="0" borderId="15">
      <alignment horizontal="left" vertical="center"/>
    </xf>
    <xf numFmtId="0" fontId="196" fillId="0" borderId="15">
      <alignment horizontal="left" vertical="center"/>
    </xf>
    <xf numFmtId="0" fontId="196" fillId="0" borderId="15">
      <alignment horizontal="left" vertical="center"/>
    </xf>
    <xf numFmtId="0" fontId="196" fillId="0" borderId="15">
      <alignment horizontal="left" vertical="center"/>
    </xf>
    <xf numFmtId="0" fontId="196" fillId="0" borderId="15">
      <alignment horizontal="left" vertical="center"/>
    </xf>
    <xf numFmtId="0" fontId="196" fillId="0" borderId="15">
      <alignment horizontal="left" vertical="center"/>
    </xf>
    <xf numFmtId="0" fontId="196" fillId="0" borderId="15">
      <alignment horizontal="left" vertical="center"/>
    </xf>
    <xf numFmtId="0" fontId="196" fillId="0" borderId="15">
      <alignment horizontal="left" vertical="center"/>
    </xf>
    <xf numFmtId="0" fontId="196" fillId="0" borderId="15">
      <alignment horizontal="left" vertical="center"/>
    </xf>
    <xf numFmtId="0" fontId="196" fillId="0" borderId="15">
      <alignment horizontal="left" vertical="center"/>
    </xf>
    <xf numFmtId="0" fontId="196" fillId="0" borderId="15">
      <alignment horizontal="left" vertical="center"/>
    </xf>
    <xf numFmtId="0" fontId="196" fillId="0" borderId="15">
      <alignment horizontal="left" vertical="center"/>
    </xf>
    <xf numFmtId="0" fontId="196" fillId="0" borderId="15">
      <alignment horizontal="left" vertical="center"/>
    </xf>
    <xf numFmtId="0" fontId="196" fillId="0" borderId="15">
      <alignment horizontal="left" vertical="center"/>
    </xf>
    <xf numFmtId="0" fontId="190" fillId="0" borderId="15">
      <alignment horizontal="left" vertical="center"/>
    </xf>
    <xf numFmtId="0" fontId="196" fillId="0" borderId="15">
      <alignment horizontal="left" vertical="center"/>
    </xf>
    <xf numFmtId="0" fontId="196" fillId="0" borderId="15">
      <alignment horizontal="left" vertical="center"/>
    </xf>
    <xf numFmtId="0" fontId="196" fillId="0" borderId="15">
      <alignment horizontal="left" vertical="center"/>
    </xf>
    <xf numFmtId="0" fontId="196" fillId="0" borderId="15">
      <alignment horizontal="left" vertical="center"/>
    </xf>
    <xf numFmtId="0" fontId="196" fillId="0" borderId="15">
      <alignment horizontal="left" vertical="center"/>
    </xf>
    <xf numFmtId="0" fontId="177" fillId="0" borderId="39" applyNumberFormat="0" applyFill="0" applyAlignment="0" applyProtection="0"/>
    <xf numFmtId="0" fontId="177" fillId="0" borderId="39" applyNumberFormat="0" applyFill="0" applyAlignment="0" applyProtection="0"/>
    <xf numFmtId="0" fontId="177" fillId="0" borderId="39" applyNumberFormat="0" applyFill="0" applyAlignment="0" applyProtection="0"/>
    <xf numFmtId="0" fontId="177" fillId="0" borderId="39" applyNumberFormat="0" applyFill="0" applyAlignment="0" applyProtection="0"/>
    <xf numFmtId="0" fontId="177" fillId="0" borderId="39" applyNumberFormat="0" applyFill="0" applyAlignment="0" applyProtection="0"/>
    <xf numFmtId="0" fontId="218" fillId="0" borderId="0">
      <protection locked="0"/>
    </xf>
    <xf numFmtId="222" fontId="3" fillId="0" borderId="0">
      <protection locked="0"/>
    </xf>
    <xf numFmtId="0" fontId="218" fillId="0" borderId="0">
      <protection locked="0"/>
    </xf>
    <xf numFmtId="222" fontId="3" fillId="0" borderId="0">
      <protection locked="0"/>
    </xf>
    <xf numFmtId="223" fontId="223" fillId="0" borderId="0"/>
    <xf numFmtId="0" fontId="10" fillId="0" borderId="52" applyNumberFormat="0" applyFill="0" applyAlignment="0" applyProtection="0"/>
    <xf numFmtId="0" fontId="224" fillId="0" borderId="0" applyNumberFormat="0" applyFill="0" applyBorder="0" applyAlignment="0" applyProtection="0">
      <alignment vertical="top"/>
      <protection locked="0"/>
    </xf>
    <xf numFmtId="0" fontId="225" fillId="0" borderId="0" applyNumberFormat="0" applyFill="0" applyBorder="0" applyAlignment="0" applyProtection="0">
      <alignment vertical="top"/>
      <protection locked="0"/>
    </xf>
    <xf numFmtId="0" fontId="169" fillId="63" borderId="0" applyNumberFormat="0" applyBorder="0" applyAlignment="0" applyProtection="0"/>
    <xf numFmtId="10" fontId="12" fillId="90" borderId="23" applyNumberFormat="0" applyBorder="0" applyAlignment="0" applyProtection="0"/>
    <xf numFmtId="10" fontId="12" fillId="90" borderId="23" applyNumberFormat="0" applyBorder="0" applyAlignment="0" applyProtection="0"/>
    <xf numFmtId="10" fontId="12" fillId="90" borderId="23" applyNumberFormat="0" applyBorder="0" applyAlignment="0" applyProtection="0"/>
    <xf numFmtId="10" fontId="12" fillId="90" borderId="23" applyNumberFormat="0" applyBorder="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183" fontId="12" fillId="0" borderId="0"/>
    <xf numFmtId="210" fontId="12" fillId="90" borderId="0" applyFont="0" applyBorder="0" applyAlignment="0" applyProtection="0">
      <protection locked="0"/>
    </xf>
    <xf numFmtId="221" fontId="12" fillId="90" borderId="0" applyFont="0" applyBorder="0" applyAlignment="0">
      <protection locked="0"/>
    </xf>
    <xf numFmtId="209" fontId="12" fillId="0" borderId="0"/>
    <xf numFmtId="209" fontId="12" fillId="0" borderId="0"/>
    <xf numFmtId="10" fontId="12" fillId="90" borderId="0">
      <protection locked="0"/>
    </xf>
    <xf numFmtId="209" fontId="12" fillId="0" borderId="0"/>
    <xf numFmtId="209" fontId="226" fillId="90" borderId="0" applyNumberFormat="0" applyBorder="0" applyAlignment="0">
      <protection locked="0"/>
    </xf>
    <xf numFmtId="0" fontId="10" fillId="0" borderId="0" applyNumberFormat="0" applyFill="0" applyBorder="0" applyAlignment="0">
      <protection locked="0"/>
    </xf>
    <xf numFmtId="224" fontId="3" fillId="0" borderId="0" applyFont="0" applyFill="0" applyBorder="0" applyAlignment="0" applyProtection="0"/>
    <xf numFmtId="225" fontId="3" fillId="0" borderId="0" applyFont="0" applyFill="0" applyBorder="0" applyAlignment="0" applyProtection="0"/>
    <xf numFmtId="0" fontId="211" fillId="0" borderId="0" applyNumberFormat="0" applyFont="0" applyFill="0" applyBorder="0" applyProtection="0">
      <alignment horizontal="left" vertical="center"/>
    </xf>
    <xf numFmtId="0" fontId="212" fillId="0" borderId="53">
      <alignment horizontal="left"/>
    </xf>
    <xf numFmtId="0" fontId="196" fillId="0" borderId="53">
      <alignment horizontal="left"/>
    </xf>
    <xf numFmtId="0" fontId="196" fillId="0" borderId="53">
      <alignment horizontal="left"/>
    </xf>
    <xf numFmtId="0" fontId="196" fillId="0" borderId="53">
      <alignment horizontal="left"/>
    </xf>
    <xf numFmtId="0" fontId="196" fillId="0" borderId="53">
      <alignment horizontal="left"/>
    </xf>
    <xf numFmtId="0" fontId="196" fillId="0" borderId="53">
      <alignment horizontal="left"/>
    </xf>
    <xf numFmtId="0" fontId="196" fillId="0" borderId="53">
      <alignment horizontal="left"/>
    </xf>
    <xf numFmtId="0" fontId="196" fillId="0" borderId="53">
      <alignment horizontal="left"/>
    </xf>
    <xf numFmtId="0" fontId="196" fillId="0" borderId="53">
      <alignment horizontal="left"/>
    </xf>
    <xf numFmtId="0" fontId="196" fillId="0" borderId="53">
      <alignment horizontal="left"/>
    </xf>
    <xf numFmtId="0" fontId="196" fillId="0" borderId="53">
      <alignment horizontal="left"/>
    </xf>
    <xf numFmtId="0" fontId="196" fillId="0" borderId="53">
      <alignment horizontal="left"/>
    </xf>
    <xf numFmtId="0" fontId="196" fillId="0" borderId="53">
      <alignment horizontal="left"/>
    </xf>
    <xf numFmtId="0" fontId="196" fillId="0" borderId="53">
      <alignment horizontal="left"/>
    </xf>
    <xf numFmtId="0" fontId="196" fillId="0" borderId="53">
      <alignment horizontal="left"/>
    </xf>
    <xf numFmtId="0" fontId="196" fillId="0" borderId="53">
      <alignment horizontal="left"/>
    </xf>
    <xf numFmtId="0" fontId="196" fillId="0" borderId="53">
      <alignment horizontal="left"/>
    </xf>
    <xf numFmtId="0" fontId="196" fillId="0" borderId="53">
      <alignment horizontal="left"/>
    </xf>
    <xf numFmtId="0" fontId="196" fillId="0" borderId="53">
      <alignment horizontal="left"/>
    </xf>
    <xf numFmtId="0" fontId="196" fillId="0" borderId="53">
      <alignment horizontal="left"/>
    </xf>
    <xf numFmtId="0" fontId="196" fillId="0" borderId="53">
      <alignment horizontal="left"/>
    </xf>
    <xf numFmtId="0" fontId="196" fillId="0" borderId="53">
      <alignment horizontal="left"/>
    </xf>
    <xf numFmtId="0" fontId="196" fillId="0" borderId="53">
      <alignment horizontal="left"/>
    </xf>
    <xf numFmtId="0" fontId="196" fillId="0" borderId="53">
      <alignment horizontal="left"/>
    </xf>
    <xf numFmtId="0" fontId="196" fillId="0" borderId="53">
      <alignment horizontal="left"/>
    </xf>
    <xf numFmtId="0" fontId="196" fillId="0" borderId="53">
      <alignment horizontal="left"/>
    </xf>
    <xf numFmtId="0" fontId="196" fillId="0" borderId="53">
      <alignment horizontal="left"/>
    </xf>
    <xf numFmtId="0" fontId="196" fillId="0" borderId="53">
      <alignment horizontal="left"/>
    </xf>
    <xf numFmtId="0" fontId="196" fillId="0" borderId="53">
      <alignment horizontal="left"/>
    </xf>
    <xf numFmtId="0" fontId="196" fillId="0" borderId="53">
      <alignment horizontal="left"/>
    </xf>
    <xf numFmtId="0" fontId="196" fillId="0" borderId="53">
      <alignment horizontal="left"/>
    </xf>
    <xf numFmtId="0" fontId="196" fillId="0" borderId="53">
      <alignment horizontal="left"/>
    </xf>
    <xf numFmtId="0" fontId="196" fillId="0" borderId="53">
      <alignment horizontal="left"/>
    </xf>
    <xf numFmtId="0" fontId="196" fillId="0" borderId="53">
      <alignment horizontal="left"/>
    </xf>
    <xf numFmtId="0" fontId="196" fillId="0" borderId="53">
      <alignment horizontal="left"/>
    </xf>
    <xf numFmtId="0" fontId="196" fillId="0" borderId="53">
      <alignment horizontal="left"/>
    </xf>
    <xf numFmtId="0" fontId="196" fillId="0" borderId="53">
      <alignment horizontal="left"/>
    </xf>
    <xf numFmtId="0" fontId="196" fillId="0" borderId="53">
      <alignment horizontal="left"/>
    </xf>
    <xf numFmtId="0" fontId="196" fillId="0" borderId="53">
      <alignment horizontal="left"/>
    </xf>
    <xf numFmtId="0" fontId="196" fillId="0" borderId="53">
      <alignment horizontal="left"/>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7" fontId="3" fillId="91" borderId="23">
      <alignment horizontal="center"/>
    </xf>
    <xf numFmtId="227" fontId="3" fillId="91" borderId="23">
      <alignment horizontal="center"/>
    </xf>
    <xf numFmtId="227" fontId="3" fillId="91" borderId="23">
      <alignment horizontal="center"/>
    </xf>
    <xf numFmtId="227" fontId="3" fillId="91" borderId="23">
      <alignment horizontal="center"/>
    </xf>
    <xf numFmtId="227" fontId="3" fillId="91" borderId="23">
      <alignment horizontal="center"/>
    </xf>
    <xf numFmtId="227" fontId="3" fillId="91" borderId="23">
      <alignment horizontal="center"/>
    </xf>
    <xf numFmtId="227" fontId="3" fillId="91" borderId="23">
      <alignment horizontal="center"/>
    </xf>
    <xf numFmtId="227" fontId="3" fillId="91" borderId="23">
      <alignment horizontal="center"/>
    </xf>
    <xf numFmtId="227" fontId="3" fillId="91" borderId="23">
      <alignment horizontal="center"/>
    </xf>
    <xf numFmtId="227" fontId="3" fillId="91" borderId="23">
      <alignment horizontal="center"/>
    </xf>
    <xf numFmtId="227" fontId="3" fillId="91" borderId="23">
      <alignment horizontal="center"/>
    </xf>
    <xf numFmtId="227" fontId="3" fillId="91" borderId="23">
      <alignment horizontal="center"/>
    </xf>
    <xf numFmtId="227" fontId="3" fillId="91" borderId="23">
      <alignment horizontal="center"/>
    </xf>
    <xf numFmtId="227" fontId="3" fillId="91" borderId="23">
      <alignment horizontal="center"/>
    </xf>
    <xf numFmtId="227" fontId="3" fillId="91" borderId="23">
      <alignment horizontal="center"/>
    </xf>
    <xf numFmtId="227" fontId="3" fillId="91" borderId="23">
      <alignment horizontal="center"/>
    </xf>
    <xf numFmtId="227"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8"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3"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226" fontId="227" fillId="91" borderId="23">
      <alignment horizontal="center"/>
    </xf>
    <xf numFmtId="40" fontId="228" fillId="0" borderId="0">
      <alignment horizontal="right"/>
    </xf>
    <xf numFmtId="37" fontId="3" fillId="0" borderId="0" applyFont="0" applyFill="0" applyBorder="0" applyAlignment="0" applyProtection="0"/>
    <xf numFmtId="229" fontId="3" fillId="0" borderId="0" applyFont="0" applyFill="0" applyBorder="0" applyAlignment="0" applyProtection="0"/>
    <xf numFmtId="230" fontId="3" fillId="0" borderId="0" applyFont="0" applyFill="0" applyBorder="0" applyAlignment="0" applyProtection="0"/>
    <xf numFmtId="209" fontId="3" fillId="0" borderId="0" applyFont="0" applyFill="0" applyBorder="0" applyAlignment="0" applyProtection="0"/>
    <xf numFmtId="194" fontId="167" fillId="0" borderId="0" applyFont="0" applyFill="0" applyBorder="0" applyAlignment="0" applyProtection="0"/>
    <xf numFmtId="194" fontId="167" fillId="0" borderId="0" applyFont="0" applyFill="0" applyBorder="0" applyAlignment="0" applyProtection="0"/>
    <xf numFmtId="194" fontId="167" fillId="0" borderId="0" applyFont="0" applyFill="0" applyBorder="0" applyAlignment="0" applyProtection="0"/>
    <xf numFmtId="209" fontId="3" fillId="0" borderId="0" applyFont="0" applyFill="0" applyBorder="0" applyAlignment="0" applyProtection="0"/>
    <xf numFmtId="231" fontId="3" fillId="0" borderId="0" applyFont="0" applyFill="0" applyBorder="0" applyAlignment="0" applyProtection="0"/>
    <xf numFmtId="3" fontId="76" fillId="87" borderId="10">
      <alignment horizontal="center"/>
    </xf>
    <xf numFmtId="232" fontId="12" fillId="14" borderId="0" applyFont="0" applyBorder="0" applyAlignment="0" applyProtection="0">
      <alignment horizontal="right"/>
      <protection hidden="1"/>
    </xf>
    <xf numFmtId="37" fontId="229" fillId="0" borderId="0"/>
    <xf numFmtId="37" fontId="213"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37" fontId="201" fillId="0" borderId="0" applyFont="0" applyFill="0" applyBorder="0" applyAlignment="0" applyProtection="0"/>
    <xf numFmtId="0" fontId="230" fillId="0" borderId="0"/>
    <xf numFmtId="0" fontId="12" fillId="0" borderId="0"/>
    <xf numFmtId="223" fontId="231" fillId="0" borderId="0"/>
    <xf numFmtId="223" fontId="232" fillId="0" borderId="0"/>
    <xf numFmtId="38" fontId="12" fillId="0" borderId="0" applyFont="0" applyFill="0" applyBorder="0" applyAlignment="0"/>
    <xf numFmtId="209" fontId="3" fillId="0" borderId="0" applyFont="0" applyFill="0" applyBorder="0" applyAlignment="0"/>
    <xf numFmtId="40" fontId="12" fillId="0" borderId="0" applyFont="0" applyFill="0" applyBorder="0" applyAlignment="0"/>
    <xf numFmtId="233" fontId="12" fillId="0" borderId="0" applyFont="0" applyFill="0" applyBorder="0" applyAlignment="0"/>
    <xf numFmtId="0" fontId="1" fillId="0" borderId="0"/>
    <xf numFmtId="37" fontId="3"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0" fontId="1"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0" fontId="1" fillId="0" borderId="0"/>
    <xf numFmtId="37" fontId="3"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9" fillId="0" borderId="0"/>
    <xf numFmtId="0" fontId="1" fillId="0" borderId="0"/>
    <xf numFmtId="0" fontId="189" fillId="0" borderId="0"/>
    <xf numFmtId="0" fontId="189" fillId="0" borderId="0"/>
    <xf numFmtId="0" fontId="189" fillId="0" borderId="0"/>
    <xf numFmtId="0" fontId="1" fillId="0" borderId="0"/>
    <xf numFmtId="0" fontId="1" fillId="0" borderId="0"/>
    <xf numFmtId="0" fontId="1" fillId="0" borderId="0"/>
    <xf numFmtId="0" fontId="1" fillId="0" borderId="0"/>
    <xf numFmtId="0" fontId="1" fillId="0" borderId="0"/>
    <xf numFmtId="0" fontId="1" fillId="0" borderId="0"/>
    <xf numFmtId="0" fontId="189" fillId="0" borderId="0"/>
    <xf numFmtId="0" fontId="189" fillId="0" borderId="0"/>
    <xf numFmtId="0" fontId="1" fillId="0" borderId="0"/>
    <xf numFmtId="0" fontId="1" fillId="0" borderId="0"/>
    <xf numFmtId="37" fontId="3" fillId="0" borderId="0"/>
    <xf numFmtId="0" fontId="1" fillId="0" borderId="0"/>
    <xf numFmtId="37" fontId="3"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0" fontId="1" fillId="0" borderId="0"/>
    <xf numFmtId="37" fontId="3"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9" fillId="0" borderId="0"/>
    <xf numFmtId="0" fontId="189"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37" fontId="3" fillId="0" borderId="0"/>
    <xf numFmtId="0" fontId="1" fillId="0" borderId="0"/>
    <xf numFmtId="37" fontId="3"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37" fontId="3" fillId="0" borderId="0"/>
    <xf numFmtId="37"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pplyFill="0" applyBorder="0" applyAlignment="0" applyProtection="0"/>
    <xf numFmtId="0" fontId="1" fillId="0" borderId="0"/>
    <xf numFmtId="37" fontId="3" fillId="0" borderId="0"/>
    <xf numFmtId="0" fontId="1" fillId="0" borderId="0"/>
    <xf numFmtId="37" fontId="3"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37" fontId="3" fillId="0" borderId="0"/>
    <xf numFmtId="37"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37" fontId="3" fillId="0" borderId="0"/>
    <xf numFmtId="0" fontId="1" fillId="0" borderId="0"/>
    <xf numFmtId="37" fontId="3"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37" fontId="3" fillId="0" borderId="0"/>
    <xf numFmtId="37" fontId="3" fillId="0" borderId="0"/>
    <xf numFmtId="0" fontId="3" fillId="0" borderId="0"/>
    <xf numFmtId="0" fontId="1" fillId="0" borderId="0"/>
    <xf numFmtId="37" fontId="3" fillId="0" borderId="0"/>
    <xf numFmtId="0" fontId="1" fillId="0" borderId="0"/>
    <xf numFmtId="37" fontId="3"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37" fontId="3" fillId="0" borderId="0"/>
    <xf numFmtId="37" fontId="3" fillId="0" borderId="0"/>
    <xf numFmtId="0" fontId="3" fillId="0" borderId="0"/>
    <xf numFmtId="0" fontId="3" fillId="0" borderId="0"/>
    <xf numFmtId="37" fontId="3" fillId="0" borderId="0"/>
    <xf numFmtId="0" fontId="1" fillId="0" borderId="0"/>
    <xf numFmtId="37" fontId="3" fillId="0" borderId="0"/>
    <xf numFmtId="0" fontId="1" fillId="0" borderId="0"/>
    <xf numFmtId="37" fontId="3"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37" fontId="3" fillId="0" borderId="0"/>
    <xf numFmtId="37" fontId="3" fillId="0" borderId="0"/>
    <xf numFmtId="37" fontId="3" fillId="0" borderId="0"/>
    <xf numFmtId="37" fontId="3" fillId="0" borderId="0"/>
    <xf numFmtId="37" fontId="3" fillId="0" borderId="0"/>
    <xf numFmtId="37" fontId="3" fillId="0" borderId="0"/>
    <xf numFmtId="37" fontId="3" fillId="0" borderId="0"/>
    <xf numFmtId="37" fontId="3" fillId="0" borderId="0"/>
    <xf numFmtId="37" fontId="3" fillId="0" borderId="0"/>
    <xf numFmtId="37" fontId="3" fillId="0" borderId="0"/>
    <xf numFmtId="37" fontId="3" fillId="0" borderId="0"/>
    <xf numFmtId="37" fontId="3" fillId="0" borderId="0"/>
    <xf numFmtId="37" fontId="3" fillId="0" borderId="0"/>
    <xf numFmtId="37" fontId="3" fillId="0" borderId="0"/>
    <xf numFmtId="37" fontId="3" fillId="0" borderId="0"/>
    <xf numFmtId="37" fontId="3" fillId="0" borderId="0"/>
    <xf numFmtId="37" fontId="3" fillId="0" borderId="0"/>
    <xf numFmtId="37" fontId="3" fillId="0" borderId="0"/>
    <xf numFmtId="37" fontId="3" fillId="0" borderId="0"/>
    <xf numFmtId="37"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7" fontId="3" fillId="0" borderId="0"/>
    <xf numFmtId="37" fontId="3" fillId="0" borderId="0"/>
    <xf numFmtId="0" fontId="3" fillId="0" borderId="0"/>
    <xf numFmtId="37" fontId="3" fillId="0" borderId="0"/>
    <xf numFmtId="0" fontId="3" fillId="0" borderId="0"/>
    <xf numFmtId="37" fontId="3" fillId="0" borderId="0"/>
    <xf numFmtId="37" fontId="3" fillId="0" borderId="0"/>
    <xf numFmtId="37" fontId="3" fillId="0" borderId="0"/>
    <xf numFmtId="37" fontId="3" fillId="0" borderId="0"/>
    <xf numFmtId="37" fontId="3" fillId="0" borderId="0"/>
    <xf numFmtId="37" fontId="3" fillId="0" borderId="0"/>
    <xf numFmtId="37" fontId="3" fillId="0" borderId="0"/>
    <xf numFmtId="37" fontId="3" fillId="0" borderId="0"/>
    <xf numFmtId="37" fontId="3" fillId="0" borderId="0"/>
    <xf numFmtId="37" fontId="3" fillId="0" borderId="0"/>
    <xf numFmtId="0" fontId="3" fillId="0" borderId="0"/>
    <xf numFmtId="37" fontId="3" fillId="0" borderId="0"/>
    <xf numFmtId="37" fontId="3" fillId="0" borderId="0"/>
    <xf numFmtId="37" fontId="3" fillId="0" borderId="0"/>
    <xf numFmtId="37"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7" fontId="3" fillId="0" borderId="0"/>
    <xf numFmtId="37"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7" fontId="3" fillId="0" borderId="0"/>
    <xf numFmtId="0" fontId="3" fillId="0" borderId="0"/>
    <xf numFmtId="0" fontId="3" fillId="0" borderId="0"/>
    <xf numFmtId="37" fontId="3" fillId="0" borderId="0"/>
    <xf numFmtId="37" fontId="3" fillId="0" borderId="0"/>
    <xf numFmtId="37" fontId="3" fillId="0" borderId="0"/>
    <xf numFmtId="37" fontId="3" fillId="0" borderId="0"/>
    <xf numFmtId="37" fontId="3" fillId="0" borderId="0"/>
    <xf numFmtId="37" fontId="3" fillId="0" borderId="0"/>
    <xf numFmtId="37" fontId="3" fillId="0" borderId="0"/>
    <xf numFmtId="37" fontId="3" fillId="0" borderId="0"/>
    <xf numFmtId="0" fontId="3" fillId="0" borderId="0"/>
    <xf numFmtId="0" fontId="3" fillId="0" borderId="0"/>
    <xf numFmtId="37" fontId="3" fillId="0" borderId="0"/>
    <xf numFmtId="37" fontId="3" fillId="0" borderId="0"/>
    <xf numFmtId="37" fontId="3" fillId="0" borderId="0"/>
    <xf numFmtId="37" fontId="3" fillId="0" borderId="0"/>
    <xf numFmtId="37" fontId="3" fillId="0" borderId="0"/>
    <xf numFmtId="37" fontId="3" fillId="0" borderId="0"/>
    <xf numFmtId="37" fontId="3" fillId="0" borderId="0"/>
    <xf numFmtId="37" fontId="3" fillId="0" borderId="0"/>
    <xf numFmtId="37" fontId="3" fillId="0" borderId="0"/>
    <xf numFmtId="37" fontId="3" fillId="0" borderId="0"/>
    <xf numFmtId="0" fontId="3" fillId="0" borderId="0"/>
    <xf numFmtId="37" fontId="3" fillId="0" borderId="0"/>
    <xf numFmtId="37"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7" fontId="3" fillId="0" borderId="0"/>
    <xf numFmtId="0" fontId="3" fillId="0" borderId="0"/>
    <xf numFmtId="0" fontId="3" fillId="0" borderId="0"/>
    <xf numFmtId="37" fontId="3" fillId="0" borderId="0"/>
    <xf numFmtId="37" fontId="3" fillId="0" borderId="0"/>
    <xf numFmtId="37" fontId="3" fillId="0" borderId="0"/>
    <xf numFmtId="37" fontId="3" fillId="0" borderId="0"/>
    <xf numFmtId="37" fontId="3" fillId="0" borderId="0"/>
    <xf numFmtId="37" fontId="3"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37" fontId="3" fillId="0" borderId="0"/>
    <xf numFmtId="37" fontId="3" fillId="0" borderId="0"/>
    <xf numFmtId="37" fontId="3" fillId="0" borderId="0"/>
    <xf numFmtId="37" fontId="3" fillId="0" borderId="0"/>
    <xf numFmtId="37" fontId="3" fillId="0" borderId="0"/>
    <xf numFmtId="37" fontId="3" fillId="0" borderId="0"/>
    <xf numFmtId="37" fontId="3" fillId="0" borderId="0"/>
    <xf numFmtId="37" fontId="3" fillId="0" borderId="0"/>
    <xf numFmtId="37" fontId="3" fillId="0" borderId="0"/>
    <xf numFmtId="37" fontId="3" fillId="0" borderId="0"/>
    <xf numFmtId="37" fontId="3" fillId="0" borderId="0"/>
    <xf numFmtId="37" fontId="3" fillId="0" borderId="0"/>
    <xf numFmtId="37" fontId="3" fillId="0" borderId="0"/>
    <xf numFmtId="37"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7" fontId="3" fillId="0" borderId="0"/>
    <xf numFmtId="37" fontId="3" fillId="0" borderId="0"/>
    <xf numFmtId="0" fontId="1" fillId="0" borderId="0"/>
    <xf numFmtId="37" fontId="3" fillId="0" borderId="0"/>
    <xf numFmtId="37" fontId="3" fillId="0" borderId="0"/>
    <xf numFmtId="0" fontId="3" fillId="0" borderId="0"/>
    <xf numFmtId="0" fontId="3" fillId="0" borderId="0"/>
    <xf numFmtId="0" fontId="233" fillId="0" borderId="0"/>
    <xf numFmtId="0" fontId="3" fillId="0" borderId="0"/>
    <xf numFmtId="0" fontId="3" fillId="0" borderId="0"/>
    <xf numFmtId="0" fontId="3" fillId="0" borderId="0"/>
    <xf numFmtId="0" fontId="3" fillId="0" borderId="0"/>
    <xf numFmtId="37" fontId="3" fillId="0" borderId="0"/>
    <xf numFmtId="0" fontId="1" fillId="0" borderId="0"/>
    <xf numFmtId="37" fontId="3" fillId="0" borderId="0"/>
    <xf numFmtId="0" fontId="1" fillId="0" borderId="0"/>
    <xf numFmtId="37" fontId="3"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37" fontId="3" fillId="0" borderId="0"/>
    <xf numFmtId="37" fontId="3" fillId="0" borderId="0"/>
    <xf numFmtId="0" fontId="1" fillId="0" borderId="0"/>
    <xf numFmtId="37" fontId="3" fillId="0" borderId="0"/>
    <xf numFmtId="0" fontId="1" fillId="0" borderId="0"/>
    <xf numFmtId="37" fontId="3"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37" fontId="3" fillId="0" borderId="0"/>
    <xf numFmtId="37" fontId="3" fillId="0" borderId="0"/>
    <xf numFmtId="0" fontId="1" fillId="0" borderId="0"/>
    <xf numFmtId="37" fontId="3" fillId="0" borderId="0"/>
    <xf numFmtId="0" fontId="1" fillId="0" borderId="0"/>
    <xf numFmtId="37" fontId="3"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37" fontId="3" fillId="0" borderId="0"/>
    <xf numFmtId="37" fontId="3" fillId="0" borderId="0"/>
    <xf numFmtId="0" fontId="1" fillId="0" borderId="0"/>
    <xf numFmtId="37" fontId="3" fillId="0" borderId="0"/>
    <xf numFmtId="0" fontId="1" fillId="0" borderId="0"/>
    <xf numFmtId="37" fontId="3"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37" fontId="3" fillId="0" borderId="0"/>
    <xf numFmtId="37" fontId="3" fillId="0" borderId="0"/>
    <xf numFmtId="0" fontId="1" fillId="0" borderId="0"/>
    <xf numFmtId="37" fontId="3" fillId="0" borderId="0"/>
    <xf numFmtId="0" fontId="1" fillId="0" borderId="0"/>
    <xf numFmtId="37" fontId="3"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37" fontId="3" fillId="0" borderId="0"/>
    <xf numFmtId="37" fontId="3" fillId="0" borderId="0"/>
    <xf numFmtId="0" fontId="1" fillId="0" borderId="0"/>
    <xf numFmtId="37" fontId="3" fillId="0" borderId="0"/>
    <xf numFmtId="0" fontId="1" fillId="0" borderId="0"/>
    <xf numFmtId="37" fontId="3"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37" fontId="3" fillId="0" borderId="0"/>
    <xf numFmtId="37" fontId="3" fillId="0" borderId="0"/>
    <xf numFmtId="0" fontId="1" fillId="0" borderId="0"/>
    <xf numFmtId="37" fontId="3" fillId="0" borderId="0"/>
    <xf numFmtId="0" fontId="1" fillId="0" borderId="0"/>
    <xf numFmtId="37" fontId="3"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37" fontId="3" fillId="0" borderId="0"/>
    <xf numFmtId="37" fontId="3" fillId="0" borderId="0"/>
    <xf numFmtId="0" fontId="1" fillId="0" borderId="0"/>
    <xf numFmtId="37" fontId="3" fillId="0" borderId="0"/>
    <xf numFmtId="0" fontId="1" fillId="0" borderId="0"/>
    <xf numFmtId="37" fontId="3"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0" fontId="1" fillId="0" borderId="0"/>
    <xf numFmtId="37" fontId="3"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37" fontId="3" fillId="0" borderId="0"/>
    <xf numFmtId="0" fontId="1" fillId="0" borderId="0"/>
    <xf numFmtId="37" fontId="3" fillId="0" borderId="0"/>
    <xf numFmtId="0" fontId="1" fillId="0" borderId="0"/>
    <xf numFmtId="37" fontId="3"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37" fontId="3" fillId="0" borderId="0"/>
    <xf numFmtId="0" fontId="23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0" fontId="1" fillId="0" borderId="0"/>
    <xf numFmtId="37" fontId="3"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37" fontId="3"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0" fontId="1" fillId="0" borderId="0"/>
    <xf numFmtId="37" fontId="3"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0" fontId="1" fillId="0" borderId="0"/>
    <xf numFmtId="37" fontId="3"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0" fontId="1" fillId="0" borderId="0"/>
    <xf numFmtId="37" fontId="3"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0" fontId="3" fillId="0" borderId="0" applyNumberFormat="0" applyFill="0" applyBorder="0" applyAlignment="0" applyProtection="0"/>
    <xf numFmtId="0" fontId="3" fillId="0" borderId="0"/>
    <xf numFmtId="0" fontId="3" fillId="0" borderId="0"/>
    <xf numFmtId="0" fontId="189" fillId="0" borderId="0"/>
    <xf numFmtId="0" fontId="3" fillId="0" borderId="0"/>
    <xf numFmtId="0" fontId="189" fillId="0" borderId="0"/>
    <xf numFmtId="0" fontId="3" fillId="0" borderId="0"/>
    <xf numFmtId="0" fontId="3" fillId="0" borderId="0"/>
    <xf numFmtId="0" fontId="3" fillId="0" borderId="0"/>
    <xf numFmtId="0" fontId="189" fillId="0" borderId="0"/>
    <xf numFmtId="0" fontId="189" fillId="0" borderId="0"/>
    <xf numFmtId="0" fontId="3" fillId="0" borderId="0"/>
    <xf numFmtId="0" fontId="3" fillId="0" borderId="0"/>
    <xf numFmtId="0" fontId="3" fillId="0" borderId="0"/>
    <xf numFmtId="0" fontId="3" fillId="0" borderId="0"/>
    <xf numFmtId="0" fontId="3"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37" fontId="3" fillId="0" borderId="0"/>
    <xf numFmtId="37" fontId="3" fillId="0" borderId="0"/>
    <xf numFmtId="37" fontId="3" fillId="0" borderId="0"/>
    <xf numFmtId="37" fontId="3" fillId="0" borderId="0"/>
    <xf numFmtId="37" fontId="3" fillId="0" borderId="0"/>
    <xf numFmtId="0" fontId="1" fillId="0" borderId="0"/>
    <xf numFmtId="0" fontId="1" fillId="0" borderId="0"/>
    <xf numFmtId="0" fontId="1" fillId="0" borderId="0"/>
    <xf numFmtId="0" fontId="1"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3" fillId="0" borderId="0"/>
    <xf numFmtId="0" fontId="1" fillId="0" borderId="0"/>
    <xf numFmtId="0" fontId="1" fillId="0" borderId="0"/>
    <xf numFmtId="0" fontId="1"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0" fontId="1" fillId="0" borderId="0"/>
    <xf numFmtId="37" fontId="3"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37" fontId="3" fillId="0" borderId="0"/>
    <xf numFmtId="37"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0" fontId="1" fillId="0" borderId="0"/>
    <xf numFmtId="0" fontId="1" fillId="0" borderId="0"/>
    <xf numFmtId="37" fontId="3" fillId="0" borderId="0"/>
    <xf numFmtId="0" fontId="3" fillId="0" borderId="0"/>
    <xf numFmtId="37" fontId="3" fillId="0" borderId="0"/>
    <xf numFmtId="37" fontId="3" fillId="0" borderId="0"/>
    <xf numFmtId="37" fontId="3" fillId="0" borderId="0"/>
    <xf numFmtId="0" fontId="3" fillId="0" borderId="0"/>
    <xf numFmtId="0" fontId="3" fillId="0" borderId="0"/>
    <xf numFmtId="37" fontId="3" fillId="0" borderId="0"/>
    <xf numFmtId="37" fontId="3" fillId="0" borderId="0"/>
    <xf numFmtId="37" fontId="3" fillId="0" borderId="0"/>
    <xf numFmtId="37" fontId="3" fillId="0" borderId="0"/>
    <xf numFmtId="37" fontId="3" fillId="0" borderId="0"/>
    <xf numFmtId="0" fontId="3" fillId="0" borderId="0"/>
    <xf numFmtId="37" fontId="3" fillId="0" borderId="0"/>
    <xf numFmtId="0" fontId="3" fillId="0" borderId="0"/>
    <xf numFmtId="0" fontId="3" fillId="0" borderId="0"/>
    <xf numFmtId="37" fontId="3"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0" fontId="3" fillId="0" borderId="0"/>
    <xf numFmtId="37" fontId="3" fillId="0" borderId="0"/>
    <xf numFmtId="37" fontId="3"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196" fillId="0" borderId="0"/>
    <xf numFmtId="37" fontId="3" fillId="0" borderId="0"/>
    <xf numFmtId="37" fontId="3" fillId="0" borderId="0"/>
    <xf numFmtId="37" fontId="196" fillId="0" borderId="0"/>
    <xf numFmtId="0" fontId="3" fillId="0" borderId="0"/>
    <xf numFmtId="37" fontId="196" fillId="0" borderId="0"/>
    <xf numFmtId="37" fontId="196" fillId="0" borderId="0"/>
    <xf numFmtId="37" fontId="196" fillId="0" borderId="0"/>
    <xf numFmtId="37" fontId="196" fillId="0" borderId="0"/>
    <xf numFmtId="37" fontId="19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3" fillId="0" borderId="0"/>
    <xf numFmtId="0" fontId="3" fillId="0" borderId="0"/>
    <xf numFmtId="0" fontId="197" fillId="0" borderId="0"/>
    <xf numFmtId="0" fontId="197" fillId="0" borderId="0"/>
    <xf numFmtId="0" fontId="197" fillId="0" borderId="0"/>
    <xf numFmtId="0" fontId="197" fillId="0" borderId="0"/>
    <xf numFmtId="0" fontId="197"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3" fillId="0" borderId="0"/>
    <xf numFmtId="0" fontId="3"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196" fillId="0" borderId="0"/>
    <xf numFmtId="0" fontId="3" fillId="0" borderId="0"/>
    <xf numFmtId="0" fontId="3" fillId="0" borderId="0"/>
    <xf numFmtId="0" fontId="196" fillId="0" borderId="0"/>
    <xf numFmtId="0" fontId="3" fillId="0" borderId="0"/>
    <xf numFmtId="0" fontId="196" fillId="0" borderId="0"/>
    <xf numFmtId="0" fontId="196" fillId="0" borderId="0"/>
    <xf numFmtId="0" fontId="196" fillId="0" borderId="0"/>
    <xf numFmtId="0" fontId="196" fillId="0" borderId="0"/>
    <xf numFmtId="0" fontId="19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5" fillId="0" borderId="0"/>
    <xf numFmtId="0" fontId="189" fillId="0" borderId="0"/>
    <xf numFmtId="0" fontId="3" fillId="0" borderId="0"/>
    <xf numFmtId="0" fontId="189" fillId="0" borderId="0"/>
    <xf numFmtId="0" fontId="3" fillId="0" borderId="0"/>
    <xf numFmtId="0" fontId="3" fillId="0" borderId="0"/>
    <xf numFmtId="0" fontId="3" fillId="0" borderId="0"/>
    <xf numFmtId="0" fontId="189" fillId="0" borderId="0"/>
    <xf numFmtId="0" fontId="189"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4" fillId="0" borderId="0" applyNumberFormat="0" applyFill="0" applyBorder="0" applyAlignment="0" applyProtection="0"/>
    <xf numFmtId="234" fontId="12" fillId="0" borderId="0" applyFont="0" applyFill="0" applyBorder="0" applyAlignment="0" applyProtection="0"/>
    <xf numFmtId="235" fontId="3" fillId="92" borderId="19"/>
    <xf numFmtId="235" fontId="3" fillId="92" borderId="19"/>
    <xf numFmtId="235" fontId="3" fillId="92" borderId="19"/>
    <xf numFmtId="235" fontId="3" fillId="92" borderId="19"/>
    <xf numFmtId="235" fontId="3" fillId="92" borderId="19"/>
    <xf numFmtId="235" fontId="3" fillId="92" borderId="19"/>
    <xf numFmtId="235" fontId="3" fillId="92" borderId="19"/>
    <xf numFmtId="235" fontId="3" fillId="92" borderId="19"/>
    <xf numFmtId="235" fontId="3" fillId="92" borderId="19"/>
    <xf numFmtId="235" fontId="3" fillId="92" borderId="19"/>
    <xf numFmtId="235" fontId="3" fillId="92" borderId="19"/>
    <xf numFmtId="235" fontId="3" fillId="92" borderId="19"/>
    <xf numFmtId="235" fontId="3" fillId="92" borderId="19"/>
    <xf numFmtId="235" fontId="3" fillId="92" borderId="19"/>
    <xf numFmtId="235" fontId="3" fillId="92" borderId="19"/>
    <xf numFmtId="235" fontId="3" fillId="92" borderId="19"/>
    <xf numFmtId="235" fontId="3" fillId="92" borderId="19"/>
    <xf numFmtId="235" fontId="3" fillId="92" borderId="19"/>
    <xf numFmtId="235" fontId="3" fillId="92" borderId="19"/>
    <xf numFmtId="235" fontId="3" fillId="92" borderId="19"/>
    <xf numFmtId="235" fontId="3" fillId="92" borderId="19"/>
    <xf numFmtId="235" fontId="3" fillId="92" borderId="19"/>
    <xf numFmtId="0" fontId="9" fillId="0" borderId="0">
      <alignment horizontal="left" indent="1"/>
    </xf>
    <xf numFmtId="235" fontId="3" fillId="92" borderId="19"/>
    <xf numFmtId="235" fontId="3" fillId="92" borderId="19"/>
    <xf numFmtId="235" fontId="3" fillId="92" borderId="19"/>
    <xf numFmtId="235" fontId="3" fillId="92" borderId="19"/>
    <xf numFmtId="235" fontId="3" fillId="92" borderId="19"/>
    <xf numFmtId="235" fontId="3" fillId="92" borderId="19"/>
    <xf numFmtId="235" fontId="3" fillId="92" borderId="19"/>
    <xf numFmtId="235" fontId="3" fillId="92" borderId="19"/>
    <xf numFmtId="235" fontId="3" fillId="92" borderId="19"/>
    <xf numFmtId="235" fontId="3" fillId="92" borderId="19"/>
    <xf numFmtId="235" fontId="3" fillId="92" borderId="19"/>
    <xf numFmtId="235" fontId="3" fillId="92" borderId="19"/>
    <xf numFmtId="235" fontId="3" fillId="92" borderId="19"/>
    <xf numFmtId="235" fontId="3" fillId="92" borderId="19"/>
    <xf numFmtId="235" fontId="3" fillId="92" borderId="19"/>
    <xf numFmtId="235" fontId="3" fillId="92" borderId="19"/>
    <xf numFmtId="235" fontId="3" fillId="92" borderId="19"/>
    <xf numFmtId="235" fontId="3" fillId="92" borderId="19"/>
    <xf numFmtId="235" fontId="3" fillId="92" borderId="19"/>
    <xf numFmtId="235" fontId="3" fillId="92" borderId="19"/>
    <xf numFmtId="0" fontId="3" fillId="0" borderId="0">
      <alignment horizontal="left" indent="1"/>
    </xf>
    <xf numFmtId="0" fontId="3" fillId="74" borderId="7" applyNumberFormat="0" applyFont="0" applyAlignment="0" applyProtection="0"/>
    <xf numFmtId="0" fontId="167" fillId="37" borderId="32" applyNumberFormat="0" applyFont="0" applyAlignment="0" applyProtection="0"/>
    <xf numFmtId="0" fontId="167" fillId="37" borderId="32" applyNumberFormat="0" applyFont="0" applyAlignment="0" applyProtection="0"/>
    <xf numFmtId="0" fontId="167" fillId="37" borderId="32" applyNumberFormat="0" applyFont="0" applyAlignment="0" applyProtection="0"/>
    <xf numFmtId="0" fontId="3" fillId="74" borderId="7" applyNumberFormat="0" applyFont="0" applyAlignment="0" applyProtection="0"/>
    <xf numFmtId="0" fontId="167" fillId="37" borderId="32" applyNumberFormat="0" applyFont="0" applyAlignment="0" applyProtection="0"/>
    <xf numFmtId="0" fontId="167" fillId="37" borderId="32" applyNumberFormat="0" applyFont="0" applyAlignment="0" applyProtection="0"/>
    <xf numFmtId="0" fontId="167" fillId="37" borderId="32" applyNumberFormat="0" applyFont="0" applyAlignment="0" applyProtection="0"/>
    <xf numFmtId="0" fontId="3" fillId="74" borderId="7" applyNumberFormat="0" applyFont="0" applyAlignment="0" applyProtection="0"/>
    <xf numFmtId="0" fontId="167" fillId="37" borderId="32" applyNumberFormat="0" applyFont="0" applyAlignment="0" applyProtection="0"/>
    <xf numFmtId="0" fontId="167" fillId="37" borderId="32" applyNumberFormat="0" applyFont="0" applyAlignment="0" applyProtection="0"/>
    <xf numFmtId="0" fontId="167" fillId="37" borderId="32" applyNumberFormat="0" applyFont="0" applyAlignment="0" applyProtection="0"/>
    <xf numFmtId="0" fontId="3" fillId="74" borderId="7" applyNumberFormat="0" applyFont="0" applyAlignment="0" applyProtection="0"/>
    <xf numFmtId="0" fontId="3" fillId="74" borderId="7" applyNumberFormat="0" applyFont="0" applyAlignment="0" applyProtection="0"/>
    <xf numFmtId="0" fontId="3" fillId="74" borderId="7" applyNumberFormat="0" applyFont="0" applyAlignment="0" applyProtection="0"/>
    <xf numFmtId="0" fontId="3" fillId="69" borderId="7" applyNumberFormat="0" applyFont="0" applyAlignment="0" applyProtection="0"/>
    <xf numFmtId="0" fontId="3" fillId="69" borderId="7" applyNumberFormat="0" applyFont="0" applyAlignment="0" applyProtection="0"/>
    <xf numFmtId="0" fontId="3" fillId="69" borderId="7" applyNumberFormat="0" applyFont="0" applyAlignment="0" applyProtection="0"/>
    <xf numFmtId="0" fontId="167" fillId="69" borderId="7" applyNumberFormat="0" applyFont="0" applyAlignment="0" applyProtection="0"/>
    <xf numFmtId="0" fontId="3" fillId="69" borderId="7" applyNumberFormat="0" applyFont="0" applyAlignment="0" applyProtection="0"/>
    <xf numFmtId="0" fontId="3" fillId="69" borderId="7" applyNumberFormat="0" applyFont="0" applyAlignment="0" applyProtection="0"/>
    <xf numFmtId="0" fontId="167" fillId="69" borderId="7" applyNumberFormat="0" applyFont="0" applyAlignment="0" applyProtection="0"/>
    <xf numFmtId="0" fontId="3"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3" fillId="69" borderId="7" applyNumberFormat="0" applyFont="0" applyAlignment="0" applyProtection="0"/>
    <xf numFmtId="0" fontId="3" fillId="69" borderId="7" applyNumberFormat="0" applyFont="0" applyAlignment="0" applyProtection="0"/>
    <xf numFmtId="0" fontId="167" fillId="69" borderId="7" applyNumberFormat="0" applyFont="0" applyAlignment="0" applyProtection="0"/>
    <xf numFmtId="0" fontId="3"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3" fillId="69" borderId="7" applyNumberFormat="0" applyFont="0" applyAlignment="0" applyProtection="0"/>
    <xf numFmtId="0" fontId="3" fillId="69" borderId="7" applyNumberFormat="0" applyFont="0" applyAlignment="0" applyProtection="0"/>
    <xf numFmtId="0" fontId="167" fillId="69" borderId="7" applyNumberFormat="0" applyFont="0" applyAlignment="0" applyProtection="0"/>
    <xf numFmtId="0" fontId="3"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3" fillId="69" borderId="7" applyNumberFormat="0" applyFont="0" applyAlignment="0" applyProtection="0"/>
    <xf numFmtId="0" fontId="3" fillId="69" borderId="7" applyNumberFormat="0" applyFont="0" applyAlignment="0" applyProtection="0"/>
    <xf numFmtId="236" fontId="12" fillId="0" borderId="0" applyFont="0" applyFill="0" applyBorder="0" applyAlignment="0" applyProtection="0"/>
    <xf numFmtId="237" fontId="12" fillId="0" borderId="0" applyFont="0" applyFill="0" applyBorder="0" applyAlignment="0" applyProtection="0"/>
    <xf numFmtId="238" fontId="213"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238" fontId="201" fillId="0" borderId="0" applyFont="0" applyFill="0" applyBorder="0" applyAlignment="0" applyProtection="0"/>
    <xf numFmtId="0" fontId="208" fillId="0" borderId="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239" fontId="3" fillId="0" borderId="0" applyFont="0" applyFill="0" applyBorder="0" applyAlignment="0"/>
    <xf numFmtId="240" fontId="12" fillId="0" borderId="0" applyFont="0" applyFill="0" applyBorder="0" applyAlignment="0"/>
    <xf numFmtId="10" fontId="3" fillId="0" borderId="0" applyFont="0" applyFill="0" applyBorder="0" applyAlignment="0" applyProtection="0"/>
    <xf numFmtId="9" fontId="167" fillId="0" borderId="0" applyFont="0" applyFill="0" applyBorder="0" applyAlignment="0" applyProtection="0"/>
    <xf numFmtId="9" fontId="1" fillId="0" borderId="0" applyFont="0" applyFill="0" applyBorder="0" applyAlignment="0" applyProtection="0"/>
    <xf numFmtId="169" fontId="211" fillId="0" borderId="0"/>
    <xf numFmtId="0" fontId="72" fillId="4" borderId="0"/>
    <xf numFmtId="9" fontId="211" fillId="0" borderId="0" applyFont="0" applyFill="0" applyBorder="0" applyAlignment="0" applyProtection="0"/>
    <xf numFmtId="241" fontId="12"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167" fillId="0" borderId="0" applyFont="0" applyFill="0" applyBorder="0" applyAlignment="0" applyProtection="0"/>
    <xf numFmtId="9" fontId="167" fillId="0" borderId="0" applyFont="0" applyFill="0" applyBorder="0" applyAlignment="0" applyProtection="0"/>
    <xf numFmtId="9" fontId="167" fillId="0" borderId="0" applyFont="0" applyFill="0" applyBorder="0" applyAlignment="0" applyProtection="0"/>
    <xf numFmtId="9" fontId="167" fillId="0" borderId="0" applyFont="0" applyFill="0" applyBorder="0" applyAlignment="0" applyProtection="0"/>
    <xf numFmtId="9" fontId="167" fillId="0" borderId="0" applyFont="0" applyFill="0" applyBorder="0" applyAlignment="0" applyProtection="0"/>
    <xf numFmtId="9" fontId="16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7" fillId="0" borderId="0" applyFont="0" applyFill="0" applyBorder="0" applyAlignment="0" applyProtection="0"/>
    <xf numFmtId="9" fontId="167" fillId="0" borderId="0" applyFont="0" applyFill="0" applyBorder="0" applyAlignment="0" applyProtection="0"/>
    <xf numFmtId="9" fontId="167" fillId="0" borderId="0" applyFont="0" applyFill="0" applyBorder="0" applyAlignment="0" applyProtection="0"/>
    <xf numFmtId="9" fontId="167" fillId="0" borderId="0" applyFont="0" applyFill="0" applyBorder="0" applyAlignment="0" applyProtection="0"/>
    <xf numFmtId="9" fontId="167" fillId="0" borderId="0" applyFont="0" applyFill="0" applyBorder="0" applyAlignment="0" applyProtection="0"/>
    <xf numFmtId="9" fontId="167" fillId="0" borderId="0" applyFont="0" applyFill="0" applyBorder="0" applyAlignment="0" applyProtection="0"/>
    <xf numFmtId="9" fontId="167" fillId="0" borderId="0" applyFont="0" applyFill="0" applyBorder="0" applyAlignment="0" applyProtection="0"/>
    <xf numFmtId="9" fontId="167" fillId="0" borderId="0" applyFont="0" applyFill="0" applyBorder="0" applyAlignment="0" applyProtection="0"/>
    <xf numFmtId="9" fontId="167" fillId="0" borderId="0" applyFont="0" applyFill="0" applyBorder="0" applyAlignment="0" applyProtection="0"/>
    <xf numFmtId="9" fontId="167" fillId="0" borderId="0" applyFont="0" applyFill="0" applyBorder="0" applyAlignment="0" applyProtection="0"/>
    <xf numFmtId="9" fontId="167" fillId="0" borderId="0" applyFont="0" applyFill="0" applyBorder="0" applyAlignment="0" applyProtection="0"/>
    <xf numFmtId="9" fontId="167" fillId="0" borderId="0" applyFont="0" applyFill="0" applyBorder="0" applyAlignment="0" applyProtection="0"/>
    <xf numFmtId="9" fontId="207"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42"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67"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67" fillId="0" borderId="0" applyFont="0" applyFill="0" applyBorder="0" applyAlignment="0" applyProtection="0"/>
    <xf numFmtId="9" fontId="167"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67" fillId="0" borderId="0" applyFont="0" applyFill="0" applyBorder="0" applyAlignment="0" applyProtection="0"/>
    <xf numFmtId="9" fontId="167" fillId="0" borderId="0" applyFont="0" applyFill="0" applyBorder="0" applyAlignment="0" applyProtection="0"/>
    <xf numFmtId="9" fontId="167" fillId="0" borderId="0" applyFont="0" applyFill="0" applyBorder="0" applyAlignment="0" applyProtection="0"/>
    <xf numFmtId="9" fontId="167" fillId="0" borderId="0" applyFont="0" applyFill="0" applyBorder="0" applyAlignment="0" applyProtection="0"/>
    <xf numFmtId="9" fontId="167" fillId="0" borderId="0" applyFont="0" applyFill="0" applyBorder="0" applyAlignment="0" applyProtection="0"/>
    <xf numFmtId="9" fontId="167" fillId="0" borderId="0" applyFont="0" applyFill="0" applyBorder="0" applyAlignment="0" applyProtection="0"/>
    <xf numFmtId="9" fontId="167"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167" fillId="0" borderId="0" applyFont="0" applyFill="0" applyBorder="0" applyAlignment="0" applyProtection="0"/>
    <xf numFmtId="9" fontId="167" fillId="0" borderId="0" applyFont="0" applyFill="0" applyBorder="0" applyAlignment="0" applyProtection="0"/>
    <xf numFmtId="9" fontId="167" fillId="0" borderId="0" applyFont="0" applyFill="0" applyBorder="0" applyAlignment="0" applyProtection="0"/>
    <xf numFmtId="9" fontId="167" fillId="0" borderId="0" applyFont="0" applyFill="0" applyBorder="0" applyAlignment="0" applyProtection="0"/>
    <xf numFmtId="9" fontId="167"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3" fillId="0" borderId="0" applyFont="0" applyFill="0" applyBorder="0" applyAlignment="0" applyProtection="0"/>
    <xf numFmtId="40" fontId="3" fillId="0" borderId="0"/>
    <xf numFmtId="0" fontId="3" fillId="93" borderId="23"/>
    <xf numFmtId="0" fontId="3" fillId="93" borderId="23"/>
    <xf numFmtId="0" fontId="3" fillId="93" borderId="23"/>
    <xf numFmtId="0" fontId="3" fillId="93" borderId="23"/>
    <xf numFmtId="209" fontId="236" fillId="0" borderId="0" applyNumberFormat="0" applyFill="0" applyBorder="0" applyAlignment="0" applyProtection="0">
      <alignment horizontal="left"/>
    </xf>
    <xf numFmtId="243" fontId="3" fillId="0" borderId="0" applyNumberFormat="0" applyFill="0" applyBorder="0" applyAlignment="0" applyProtection="0">
      <alignment horizontal="left"/>
    </xf>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38" fontId="208"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207"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9"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44" fontId="9"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89"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201" fontId="3" fillId="0" borderId="0" applyFont="0" applyFill="0" applyBorder="0" applyAlignment="0" applyProtection="0"/>
    <xf numFmtId="201"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01"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9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245"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90" fontId="16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192" fontId="1" fillId="0" borderId="0" applyFont="0" applyFill="0" applyBorder="0" applyAlignment="0" applyProtection="0"/>
    <xf numFmtId="171" fontId="167" fillId="0" borderId="0" applyFont="0" applyFill="0" applyBorder="0" applyAlignment="0" applyProtection="0"/>
    <xf numFmtId="43" fontId="237" fillId="0" borderId="0" applyFont="0" applyFill="0" applyBorder="0" applyAlignment="0" applyProtection="0"/>
    <xf numFmtId="43" fontId="237" fillId="0" borderId="0" applyFont="0" applyFill="0" applyBorder="0" applyAlignment="0" applyProtection="0"/>
    <xf numFmtId="43" fontId="237"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237"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237" fillId="0" borderId="0" applyFont="0" applyFill="0" applyBorder="0" applyAlignment="0" applyProtection="0"/>
    <xf numFmtId="171" fontId="16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1" fontId="16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1" fontId="16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1" fontId="16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1" fontId="167"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3"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171" fontId="1"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171" fontId="1" fillId="0" borderId="0" applyFont="0" applyFill="0" applyBorder="0" applyAlignment="0" applyProtection="0"/>
    <xf numFmtId="169" fontId="1"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196" fontId="1" fillId="0" borderId="0" applyFont="0" applyFill="0" applyBorder="0" applyAlignment="0" applyProtection="0"/>
    <xf numFmtId="170" fontId="167"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170" fontId="167" fillId="0" borderId="0" applyFont="0" applyFill="0" applyBorder="0" applyAlignment="0" applyProtection="0"/>
    <xf numFmtId="198" fontId="1"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43" fontId="3" fillId="0" borderId="0" applyFont="0" applyFill="0" applyBorder="0" applyAlignment="0" applyProtection="0"/>
    <xf numFmtId="190" fontId="167" fillId="0" borderId="0" applyFont="0" applyFill="0" applyBorder="0" applyAlignment="0" applyProtection="0"/>
    <xf numFmtId="169" fontId="1" fillId="0" borderId="0" applyFont="0" applyFill="0" applyBorder="0" applyAlignment="0" applyProtection="0"/>
    <xf numFmtId="221" fontId="1"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43" fontId="3" fillId="0" borderId="0" applyFont="0" applyFill="0" applyBorder="0" applyAlignment="0" applyProtection="0"/>
    <xf numFmtId="193" fontId="1" fillId="0" borderId="0" applyFont="0" applyFill="0" applyBorder="0" applyAlignment="0" applyProtection="0"/>
    <xf numFmtId="171" fontId="1"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43" fontId="3" fillId="0" borderId="0" applyFont="0" applyFill="0" applyBorder="0" applyAlignment="0" applyProtection="0"/>
    <xf numFmtId="195" fontId="1" fillId="0" borderId="0" applyFont="0" applyFill="0" applyBorder="0" applyAlignment="0" applyProtection="0"/>
    <xf numFmtId="195" fontId="167" fillId="0" borderId="0" applyFont="0" applyFill="0" applyBorder="0" applyAlignment="0" applyProtection="0"/>
    <xf numFmtId="195" fontId="167" fillId="0" borderId="0" applyFont="0" applyFill="0" applyBorder="0" applyAlignment="0" applyProtection="0"/>
    <xf numFmtId="195" fontId="167" fillId="0" borderId="0" applyFont="0" applyFill="0" applyBorder="0" applyAlignment="0" applyProtection="0"/>
    <xf numFmtId="195" fontId="167" fillId="0" borderId="0" applyFont="0" applyFill="0" applyBorder="0" applyAlignment="0" applyProtection="0"/>
    <xf numFmtId="195" fontId="167" fillId="0" borderId="0" applyFont="0" applyFill="0" applyBorder="0" applyAlignment="0" applyProtection="0"/>
    <xf numFmtId="195" fontId="167" fillId="0" borderId="0" applyFont="0" applyFill="0" applyBorder="0" applyAlignment="0" applyProtection="0"/>
    <xf numFmtId="41" fontId="1" fillId="0" borderId="0" applyFont="0" applyFill="0" applyBorder="0" applyAlignment="0" applyProtection="0"/>
    <xf numFmtId="41" fontId="167" fillId="0" borderId="0" applyFont="0" applyFill="0" applyBorder="0" applyAlignment="0" applyProtection="0"/>
    <xf numFmtId="41" fontId="167" fillId="0" borderId="0" applyFont="0" applyFill="0" applyBorder="0" applyAlignment="0" applyProtection="0"/>
    <xf numFmtId="41" fontId="167" fillId="0" borderId="0" applyFont="0" applyFill="0" applyBorder="0" applyAlignment="0" applyProtection="0"/>
    <xf numFmtId="41" fontId="167" fillId="0" borderId="0" applyFont="0" applyFill="0" applyBorder="0" applyAlignment="0" applyProtection="0"/>
    <xf numFmtId="41" fontId="167" fillId="0" borderId="0" applyFont="0" applyFill="0" applyBorder="0" applyAlignment="0" applyProtection="0"/>
    <xf numFmtId="41" fontId="167" fillId="0" borderId="0" applyFont="0" applyFill="0" applyBorder="0" applyAlignment="0" applyProtection="0"/>
    <xf numFmtId="171" fontId="167" fillId="0" borderId="0" applyFont="0" applyFill="0" applyBorder="0" applyAlignment="0" applyProtection="0"/>
    <xf numFmtId="171" fontId="1"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171" fontId="16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192" fontId="1" fillId="0" borderId="0" applyFont="0" applyFill="0" applyBorder="0" applyAlignment="0" applyProtection="0"/>
    <xf numFmtId="198" fontId="3" fillId="0" borderId="0" applyFont="0" applyFill="0" applyBorder="0" applyAlignment="0" applyProtection="0"/>
    <xf numFmtId="43" fontId="167" fillId="0" borderId="0" applyFont="0" applyFill="0" applyBorder="0" applyAlignment="0" applyProtection="0"/>
    <xf numFmtId="246" fontId="3" fillId="0" borderId="0" applyFont="0" applyFill="0" applyBorder="0" applyAlignment="0" applyProtection="0"/>
    <xf numFmtId="233" fontId="3" fillId="0" borderId="0" applyFont="0" applyFill="0" applyBorder="0" applyAlignment="0" applyProtection="0"/>
    <xf numFmtId="247" fontId="3" fillId="0" borderId="0" applyFont="0" applyFill="0" applyBorder="0" applyAlignment="0" applyProtection="0"/>
    <xf numFmtId="248" fontId="3" fillId="0" borderId="0" applyFont="0" applyFill="0" applyBorder="0" applyAlignment="0" applyProtection="0"/>
    <xf numFmtId="43" fontId="167" fillId="0" borderId="0" applyFont="0" applyFill="0" applyBorder="0" applyAlignment="0" applyProtection="0"/>
    <xf numFmtId="204" fontId="3" fillId="0" borderId="0" applyFont="0" applyFill="0" applyBorder="0" applyAlignment="0" applyProtection="0"/>
    <xf numFmtId="205" fontId="3" fillId="0" borderId="0" applyFont="0" applyFill="0" applyBorder="0" applyAlignment="0" applyProtection="0"/>
    <xf numFmtId="205" fontId="3"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0" fontId="213"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0" fontId="201" fillId="1" borderId="0" applyNumberFormat="0" applyFont="0" applyBorder="0" applyAlignment="0" applyProtection="0"/>
    <xf numFmtId="3" fontId="195" fillId="94" borderId="0">
      <alignment horizontal="left"/>
    </xf>
    <xf numFmtId="0" fontId="3" fillId="0" borderId="0"/>
    <xf numFmtId="0" fontId="3" fillId="0" borderId="0"/>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0" fontId="13" fillId="0" borderId="0" applyNumberFormat="0" applyFill="0" applyBorder="0" applyAlignment="0" applyProtection="0"/>
    <xf numFmtId="0" fontId="15" fillId="0" borderId="0" applyNumberFormat="0" applyFill="0" applyBorder="0" applyAlignment="0" applyProtection="0"/>
    <xf numFmtId="0" fontId="13" fillId="0" borderId="0" applyNumberFormat="0" applyFill="0" applyBorder="0" applyProtection="0">
      <alignment horizontal="center"/>
    </xf>
    <xf numFmtId="0" fontId="15" fillId="0" borderId="0" applyNumberFormat="0" applyFill="0" applyBorder="0" applyProtection="0">
      <alignment horizontal="center"/>
    </xf>
    <xf numFmtId="0" fontId="15" fillId="95" borderId="0" applyNumberFormat="0" applyBorder="0" applyAlignment="0" applyProtection="0"/>
    <xf numFmtId="0" fontId="15" fillId="0" borderId="0" applyNumberFormat="0" applyFill="0" applyBorder="0" applyAlignment="0" applyProtection="0"/>
    <xf numFmtId="0" fontId="239" fillId="0" borderId="0" applyNumberFormat="0" applyFill="0" applyBorder="0" applyAlignment="0" applyProtection="0"/>
    <xf numFmtId="0" fontId="5" fillId="7" borderId="0" applyNumberFormat="0" applyBorder="0" applyAlignment="0" applyProtection="0"/>
    <xf numFmtId="0" fontId="240" fillId="0" borderId="0" applyNumberFormat="0" applyFill="0" applyBorder="0" applyAlignment="0" applyProtection="0"/>
    <xf numFmtId="0" fontId="110" fillId="5" borderId="0" applyNumberFormat="0" applyBorder="0" applyAlignment="0" applyProtection="0"/>
    <xf numFmtId="0" fontId="15" fillId="86" borderId="0" applyNumberFormat="0" applyBorder="0" applyAlignment="0" applyProtection="0"/>
    <xf numFmtId="0" fontId="14" fillId="0" borderId="44" applyNumberFormat="0" applyFill="0" applyProtection="0">
      <alignment wrapText="1"/>
    </xf>
    <xf numFmtId="0" fontId="9" fillId="0" borderId="0" applyNumberFormat="0" applyFill="0" applyBorder="0" applyProtection="0">
      <alignment wrapText="1"/>
    </xf>
    <xf numFmtId="0" fontId="14" fillId="0" borderId="44" applyNumberFormat="0" applyFill="0" applyProtection="0">
      <alignment horizontal="center" wrapText="1"/>
    </xf>
    <xf numFmtId="249" fontId="14" fillId="0" borderId="0" applyFill="0" applyBorder="0" applyProtection="0">
      <alignment horizontal="center" wrapText="1"/>
    </xf>
    <xf numFmtId="0" fontId="190" fillId="0" borderId="0" applyNumberFormat="0" applyFill="0" applyBorder="0" applyProtection="0">
      <alignment horizontal="justify" wrapText="1"/>
    </xf>
    <xf numFmtId="0" fontId="241" fillId="2" borderId="54" applyNumberFormat="0" applyProtection="0">
      <alignment horizontal="right" vertical="center"/>
    </xf>
    <xf numFmtId="0" fontId="242" fillId="2" borderId="0" applyNumberFormat="0" applyProtection="0">
      <alignment horizontal="right" vertical="center" wrapText="1"/>
    </xf>
    <xf numFmtId="0" fontId="243" fillId="2" borderId="0" applyNumberFormat="0" applyProtection="0">
      <alignment horizontal="left" vertical="center"/>
    </xf>
    <xf numFmtId="0" fontId="244" fillId="2" borderId="0" applyNumberFormat="0" applyProtection="0">
      <alignment horizontal="left" vertical="center"/>
    </xf>
    <xf numFmtId="250" fontId="243" fillId="2" borderId="0" applyProtection="0">
      <alignment horizontal="right" vertical="center"/>
    </xf>
    <xf numFmtId="0" fontId="245" fillId="2" borderId="0" applyNumberFormat="0" applyProtection="0">
      <alignment horizontal="left" vertical="center"/>
    </xf>
    <xf numFmtId="0" fontId="246" fillId="2" borderId="0" applyNumberFormat="0" applyProtection="0">
      <alignment horizontal="center" vertical="center"/>
    </xf>
    <xf numFmtId="4" fontId="247" fillId="2" borderId="0" applyProtection="0">
      <alignment horizontal="center" vertical="center"/>
    </xf>
    <xf numFmtId="0" fontId="248" fillId="11" borderId="0" applyNumberFormat="0" applyProtection="0">
      <alignment horizontal="center" vertical="center"/>
    </xf>
    <xf numFmtId="4" fontId="17" fillId="11" borderId="0" applyProtection="0">
      <alignment horizontal="center" vertical="center"/>
    </xf>
    <xf numFmtId="0" fontId="238" fillId="2" borderId="0" applyNumberFormat="0" applyProtection="0">
      <alignment horizontal="center" vertical="center"/>
    </xf>
    <xf numFmtId="4" fontId="249" fillId="2" borderId="0" applyProtection="0">
      <alignment horizontal="center" vertical="center"/>
    </xf>
    <xf numFmtId="0" fontId="250" fillId="5" borderId="0" applyNumberFormat="0" applyProtection="0">
      <alignment horizontal="center" vertical="center"/>
    </xf>
    <xf numFmtId="250" fontId="251" fillId="2" borderId="55" applyProtection="0">
      <alignment horizontal="right" vertical="center"/>
    </xf>
    <xf numFmtId="0" fontId="252" fillId="2" borderId="0" applyNumberFormat="0" applyProtection="0">
      <alignment horizontal="left" vertical="center"/>
    </xf>
    <xf numFmtId="250" fontId="251" fillId="2" borderId="0" applyProtection="0">
      <alignment horizontal="right" vertical="center"/>
    </xf>
    <xf numFmtId="0" fontId="253" fillId="2" borderId="0" applyNumberFormat="0" applyProtection="0">
      <alignment horizontal="left" vertical="center"/>
    </xf>
    <xf numFmtId="0" fontId="254" fillId="2" borderId="0" applyNumberFormat="0" applyProtection="0">
      <alignment horizontal="left" vertical="center"/>
    </xf>
    <xf numFmtId="250" fontId="243" fillId="2" borderId="0" applyProtection="0">
      <alignment horizontal="right" vertical="center"/>
    </xf>
    <xf numFmtId="250" fontId="243" fillId="2" borderId="56" applyProtection="0">
      <alignment horizontal="left" vertical="center"/>
    </xf>
    <xf numFmtId="0" fontId="255" fillId="2" borderId="0" applyNumberFormat="0" applyProtection="0">
      <alignment horizontal="left" vertical="center"/>
    </xf>
    <xf numFmtId="250" fontId="243" fillId="2" borderId="57" applyProtection="0">
      <alignment horizontal="right" vertical="center"/>
    </xf>
    <xf numFmtId="250" fontId="243" fillId="2" borderId="57" applyProtection="0">
      <alignment horizontal="right" vertical="center"/>
    </xf>
    <xf numFmtId="250" fontId="243" fillId="2" borderId="57" applyProtection="0">
      <alignment horizontal="right" vertical="center"/>
    </xf>
    <xf numFmtId="250" fontId="243" fillId="2" borderId="57" applyProtection="0">
      <alignment horizontal="right" vertical="center"/>
    </xf>
    <xf numFmtId="250" fontId="243" fillId="2" borderId="57" applyProtection="0">
      <alignment horizontal="right" vertical="center"/>
    </xf>
    <xf numFmtId="250" fontId="243" fillId="2" borderId="57" applyProtection="0">
      <alignment horizontal="right" vertical="center"/>
    </xf>
    <xf numFmtId="0" fontId="256" fillId="2" borderId="0" applyNumberFormat="0" applyProtection="0">
      <alignment horizontal="left" vertical="center"/>
    </xf>
    <xf numFmtId="0" fontId="18" fillId="11" borderId="0" applyNumberFormat="0" applyProtection="0">
      <alignment horizontal="center" vertical="center" wrapText="1"/>
    </xf>
    <xf numFmtId="4" fontId="257" fillId="11" borderId="0" applyProtection="0">
      <alignment horizontal="center" vertical="center"/>
    </xf>
    <xf numFmtId="0" fontId="258" fillId="2" borderId="0" applyNumberFormat="0" applyProtection="0">
      <alignment horizontal="center" vertical="center" wrapText="1"/>
    </xf>
    <xf numFmtId="0" fontId="7" fillId="2" borderId="0" applyNumberFormat="0" applyProtection="0">
      <alignment horizontal="center" vertical="center" wrapText="1"/>
    </xf>
    <xf numFmtId="0" fontId="11" fillId="5" borderId="0" applyNumberFormat="0" applyProtection="0">
      <alignment horizontal="center" vertical="center" wrapText="1"/>
    </xf>
    <xf numFmtId="0" fontId="259" fillId="2" borderId="0" applyNumberFormat="0" applyProtection="0">
      <alignment horizontal="center" vertical="center" wrapText="1"/>
    </xf>
    <xf numFmtId="0" fontId="7" fillId="86" borderId="0" applyNumberFormat="0" applyProtection="0">
      <alignment horizontal="center" vertical="center" wrapText="1"/>
    </xf>
    <xf numFmtId="0" fontId="18" fillId="11" borderId="0" applyNumberFormat="0" applyProtection="0">
      <alignment horizontal="center" vertical="center" wrapText="1"/>
    </xf>
    <xf numFmtId="4" fontId="257" fillId="11" borderId="0" applyProtection="0">
      <alignment horizontal="center" vertical="top" wrapText="1"/>
    </xf>
    <xf numFmtId="0" fontId="258" fillId="2" borderId="0" applyNumberFormat="0" applyProtection="0">
      <alignment horizontal="center" vertical="center" wrapText="1"/>
    </xf>
    <xf numFmtId="4" fontId="260" fillId="2" borderId="0" applyProtection="0">
      <alignment horizontal="center" vertical="top" wrapText="1"/>
    </xf>
    <xf numFmtId="0" fontId="11" fillId="5" borderId="0" applyNumberFormat="0" applyProtection="0">
      <alignment horizontal="center" vertical="center" wrapText="1"/>
    </xf>
    <xf numFmtId="4" fontId="261" fillId="5" borderId="0" applyProtection="0">
      <alignment horizontal="center" vertical="top" wrapText="1"/>
    </xf>
    <xf numFmtId="0" fontId="7" fillId="86" borderId="0" applyNumberFormat="0" applyProtection="0">
      <alignment horizontal="center" vertical="center" wrapText="1"/>
    </xf>
    <xf numFmtId="4" fontId="262" fillId="86" borderId="0" applyProtection="0">
      <alignment horizontal="center" vertical="top" wrapText="1"/>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17" fontId="238" fillId="2" borderId="0" applyProtection="0">
      <alignment horizontal="center" vertical="center"/>
    </xf>
    <xf numFmtId="3" fontId="193" fillId="94" borderId="0">
      <alignment horizontal="left"/>
    </xf>
    <xf numFmtId="40" fontId="263" fillId="0" borderId="0" applyBorder="0">
      <alignment horizontal="right"/>
    </xf>
    <xf numFmtId="0" fontId="152" fillId="0" borderId="0" applyFill="0" applyBorder="0" applyProtection="0">
      <alignment horizontal="center" vertical="center"/>
    </xf>
    <xf numFmtId="0" fontId="3" fillId="0" borderId="0" applyBorder="0" applyProtection="0">
      <alignment vertical="center"/>
    </xf>
    <xf numFmtId="0" fontId="14" fillId="0" borderId="0" applyBorder="0" applyProtection="0">
      <alignment horizontal="left"/>
    </xf>
    <xf numFmtId="0" fontId="9" fillId="0" borderId="0" applyFill="0" applyBorder="0" applyProtection="0">
      <alignment horizontal="left"/>
    </xf>
    <xf numFmtId="0" fontId="12" fillId="0" borderId="4" applyFill="0" applyBorder="0" applyProtection="0">
      <alignment horizontal="left" vertical="top"/>
    </xf>
    <xf numFmtId="0" fontId="12" fillId="0" borderId="4" applyFill="0" applyBorder="0" applyProtection="0">
      <alignment horizontal="left" vertical="top"/>
    </xf>
    <xf numFmtId="0" fontId="12" fillId="0" borderId="4" applyFill="0" applyBorder="0" applyProtection="0">
      <alignment horizontal="left" vertical="top"/>
    </xf>
    <xf numFmtId="40" fontId="3" fillId="0" borderId="0">
      <alignment horizontal="left"/>
      <protection locked="0"/>
    </xf>
    <xf numFmtId="3" fontId="202"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3" fontId="196" fillId="0" borderId="49" applyFill="0">
      <alignment horizontal="right" vertical="center"/>
    </xf>
    <xf numFmtId="0" fontId="183" fillId="0" borderId="0" applyNumberFormat="0" applyFill="0" applyBorder="0" applyAlignment="0" applyProtection="0"/>
    <xf numFmtId="3" fontId="264"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3" fontId="196" fillId="0" borderId="58" applyBorder="0" applyAlignment="0">
      <alignment horizontal="center" vertical="center"/>
    </xf>
    <xf numFmtId="209" fontId="265" fillId="0" borderId="0" applyFill="0" applyBorder="0" applyAlignment="0" applyProtection="0">
      <alignment horizontal="right"/>
    </xf>
    <xf numFmtId="37" fontId="72"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26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37" fontId="196" fillId="0" borderId="0" applyNumberFormat="0" applyFill="0" applyBorder="0" applyAlignment="0" applyProtection="0"/>
    <xf numFmtId="0" fontId="267" fillId="0" borderId="0">
      <alignment vertical="center"/>
    </xf>
    <xf numFmtId="179" fontId="196"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3" fontId="268" fillId="94" borderId="0">
      <alignment horizontal="center"/>
    </xf>
    <xf numFmtId="179" fontId="196"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179" fontId="269" fillId="0" borderId="59" applyNumberFormat="0" applyFill="0" applyBorder="0" applyAlignment="0" applyProtection="0">
      <alignment horizontal="left"/>
    </xf>
    <xf numFmtId="179" fontId="269" fillId="0" borderId="59" applyNumberFormat="0" applyFill="0" applyBorder="0" applyAlignment="0" applyProtection="0">
      <alignment horizontal="left"/>
    </xf>
    <xf numFmtId="179" fontId="269" fillId="0" borderId="59" applyNumberFormat="0" applyFill="0" applyBorder="0" applyAlignment="0" applyProtection="0">
      <alignment horizontal="left"/>
    </xf>
    <xf numFmtId="179" fontId="269" fillId="0" borderId="59" applyNumberFormat="0" applyFill="0" applyBorder="0" applyAlignment="0" applyProtection="0">
      <alignment horizontal="left"/>
    </xf>
    <xf numFmtId="179" fontId="269" fillId="0" borderId="59" applyNumberFormat="0" applyFill="0" applyBorder="0" applyAlignment="0" applyProtection="0">
      <alignment horizontal="left"/>
    </xf>
    <xf numFmtId="179" fontId="269" fillId="0" borderId="59" applyNumberFormat="0" applyFill="0" applyBorder="0" applyAlignment="0" applyProtection="0">
      <alignment horizontal="left"/>
    </xf>
    <xf numFmtId="179" fontId="269" fillId="0" borderId="59" applyNumberFormat="0" applyFill="0" applyBorder="0" applyAlignment="0" applyProtection="0">
      <alignment horizontal="left"/>
    </xf>
    <xf numFmtId="179" fontId="269" fillId="0" borderId="59" applyNumberFormat="0" applyFill="0" applyBorder="0" applyAlignment="0" applyProtection="0">
      <alignment horizontal="left"/>
    </xf>
    <xf numFmtId="179" fontId="269"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179" fontId="269" fillId="0" borderId="59" applyNumberFormat="0" applyFill="0" applyBorder="0" applyAlignment="0" applyProtection="0">
      <alignment horizontal="left"/>
    </xf>
    <xf numFmtId="179" fontId="269" fillId="0" borderId="59" applyNumberFormat="0" applyFill="0" applyBorder="0" applyAlignment="0" applyProtection="0">
      <alignment horizontal="left"/>
    </xf>
    <xf numFmtId="179" fontId="269" fillId="0" borderId="59" applyNumberFormat="0" applyFill="0" applyBorder="0" applyAlignment="0" applyProtection="0">
      <alignment horizontal="left"/>
    </xf>
    <xf numFmtId="179" fontId="269" fillId="0" borderId="59" applyNumberFormat="0" applyFill="0" applyBorder="0" applyAlignment="0" applyProtection="0">
      <alignment horizontal="left"/>
    </xf>
    <xf numFmtId="179" fontId="269" fillId="0" borderId="59" applyNumberFormat="0" applyFill="0" applyBorder="0" applyAlignment="0" applyProtection="0">
      <alignment horizontal="left"/>
    </xf>
    <xf numFmtId="179" fontId="269" fillId="0" borderId="59" applyNumberFormat="0" applyFill="0" applyBorder="0" applyAlignment="0" applyProtection="0">
      <alignment horizontal="left"/>
    </xf>
    <xf numFmtId="179" fontId="269"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179" fontId="196" fillId="0" borderId="59" applyNumberFormat="0" applyFill="0" applyBorder="0" applyAlignment="0" applyProtection="0">
      <alignment horizontal="left"/>
    </xf>
    <xf numFmtId="0" fontId="270" fillId="0" borderId="10" applyNumberFormat="0" applyProtection="0">
      <alignment horizontal="center"/>
    </xf>
    <xf numFmtId="179" fontId="269" fillId="0" borderId="59" applyNumberFormat="0" applyFill="0" applyBorder="0" applyAlignment="0" applyProtection="0">
      <alignment horizontal="left"/>
    </xf>
    <xf numFmtId="3" fontId="76" fillId="14" borderId="10">
      <alignment horizontal="center" vertical="center"/>
    </xf>
    <xf numFmtId="3" fontId="271" fillId="94" borderId="0">
      <alignment horizontal="left"/>
    </xf>
    <xf numFmtId="251" fontId="272" fillId="0" borderId="0"/>
    <xf numFmtId="3" fontId="7" fillId="96" borderId="0">
      <alignment horizontal="right"/>
    </xf>
    <xf numFmtId="37" fontId="12" fillId="4" borderId="0" applyNumberFormat="0" applyBorder="0" applyAlignment="0" applyProtection="0"/>
    <xf numFmtId="37" fontId="12" fillId="0" borderId="0"/>
    <xf numFmtId="3" fontId="214" fillId="0" borderId="52" applyProtection="0"/>
    <xf numFmtId="4" fontId="273" fillId="0" borderId="0">
      <protection locked="0"/>
    </xf>
    <xf numFmtId="252" fontId="3" fillId="0" borderId="0" applyFont="0" applyFill="0" applyBorder="0" applyAlignment="0" applyProtection="0"/>
    <xf numFmtId="253" fontId="3" fillId="0" borderId="0" applyFont="0" applyFill="0" applyBorder="0" applyAlignment="0" applyProtection="0"/>
    <xf numFmtId="254" fontId="202" fillId="0" borderId="0" applyFont="0" applyFill="0" applyBorder="0" applyAlignment="0" applyProtection="0"/>
    <xf numFmtId="255" fontId="202" fillId="0" borderId="0" applyFont="0" applyFill="0" applyBorder="0" applyAlignment="0" applyProtection="0"/>
    <xf numFmtId="0" fontId="1" fillId="0" borderId="0"/>
    <xf numFmtId="0" fontId="172" fillId="0" borderId="0" applyNumberFormat="0" applyFont="0" applyFill="0" applyBorder="0" applyProtection="0">
      <alignment horizontal="center" vertical="center" wrapText="1"/>
    </xf>
    <xf numFmtId="1" fontId="274" fillId="0" borderId="0">
      <alignment horizontal="center"/>
    </xf>
    <xf numFmtId="1" fontId="275" fillId="0" borderId="0">
      <alignment horizontal="centerContinuous"/>
    </xf>
    <xf numFmtId="242" fontId="3" fillId="0" borderId="0" applyFont="0" applyFill="0" applyBorder="0" applyAlignment="0" applyProtection="0"/>
    <xf numFmtId="245" fontId="3" fillId="0" borderId="0" applyFont="0" applyFill="0" applyBorder="0" applyAlignment="0" applyProtection="0"/>
    <xf numFmtId="256" fontId="3" fillId="0" borderId="0" applyFont="0" applyFill="0" applyBorder="0" applyAlignment="0" applyProtection="0"/>
    <xf numFmtId="257" fontId="3"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37" fontId="276" fillId="0" borderId="0"/>
    <xf numFmtId="40" fontId="172" fillId="0" borderId="0" applyFont="0" applyFill="0" applyBorder="0" applyAlignment="0" applyProtection="0"/>
    <xf numFmtId="37" fontId="276" fillId="0" borderId="0"/>
    <xf numFmtId="40" fontId="172" fillId="0" borderId="0" applyFont="0" applyFill="0" applyBorder="0" applyAlignment="0" applyProtection="0"/>
    <xf numFmtId="0" fontId="3" fillId="0" borderId="0"/>
    <xf numFmtId="43" fontId="1" fillId="0" borderId="0" applyFont="0" applyFill="0" applyBorder="0" applyAlignment="0" applyProtection="0"/>
    <xf numFmtId="0" fontId="3" fillId="0" borderId="0"/>
    <xf numFmtId="43" fontId="1" fillId="0" borderId="0" applyFont="0" applyFill="0" applyBorder="0" applyAlignment="0" applyProtection="0"/>
    <xf numFmtId="0" fontId="3" fillId="0" borderId="0"/>
    <xf numFmtId="0" fontId="3" fillId="0" borderId="0"/>
    <xf numFmtId="43" fontId="1" fillId="0" borderId="0" applyFont="0" applyFill="0" applyBorder="0" applyAlignment="0" applyProtection="0"/>
    <xf numFmtId="0" fontId="208" fillId="0" borderId="0"/>
    <xf numFmtId="184" fontId="1" fillId="0" borderId="0" applyFont="0" applyFill="0" applyBorder="0" applyAlignment="0" applyProtection="0"/>
    <xf numFmtId="0" fontId="3" fillId="0" borderId="0"/>
    <xf numFmtId="0" fontId="1" fillId="0" borderId="0"/>
    <xf numFmtId="43" fontId="167" fillId="0" borderId="0" applyFont="0" applyFill="0" applyBorder="0" applyAlignment="0" applyProtection="0"/>
    <xf numFmtId="0" fontId="1" fillId="0" borderId="0"/>
    <xf numFmtId="0" fontId="277" fillId="0" borderId="0"/>
    <xf numFmtId="0" fontId="277" fillId="0" borderId="0"/>
    <xf numFmtId="37" fontId="276" fillId="0" borderId="0"/>
    <xf numFmtId="0" fontId="3" fillId="0" borderId="0"/>
    <xf numFmtId="43" fontId="3" fillId="0" borderId="0" applyFont="0" applyFill="0" applyBorder="0" applyAlignment="0" applyProtection="0"/>
    <xf numFmtId="0" fontId="278" fillId="0" borderId="0" applyNumberFormat="0" applyFill="0" applyBorder="0" applyAlignment="0" applyProtection="0"/>
    <xf numFmtId="43" fontId="3" fillId="0" borderId="0" applyFont="0" applyFill="0" applyBorder="0" applyAlignment="0" applyProtection="0"/>
    <xf numFmtId="0" fontId="14" fillId="0" borderId="44" applyNumberFormat="0" applyFill="0" applyProtection="0">
      <alignment wrapText="1"/>
    </xf>
    <xf numFmtId="0" fontId="14" fillId="0" borderId="44" applyNumberFormat="0" applyFill="0" applyProtection="0">
      <alignment horizontal="center" wrapText="1"/>
    </xf>
    <xf numFmtId="0" fontId="1" fillId="0" borderId="0"/>
    <xf numFmtId="0" fontId="159" fillId="32" borderId="0" applyNumberFormat="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209" fontId="207" fillId="0" borderId="0" applyFont="0" applyFill="0" applyBorder="0" applyAlignment="0" applyProtection="0"/>
    <xf numFmtId="259" fontId="208" fillId="0" borderId="0" applyFont="0" applyFill="0" applyBorder="0" applyAlignment="0" applyProtection="0"/>
    <xf numFmtId="260" fontId="208" fillId="0" borderId="0" applyFont="0" applyFill="0" applyBorder="0" applyAlignment="0" applyProtection="0"/>
    <xf numFmtId="261" fontId="208" fillId="0" borderId="0" applyFont="0" applyFill="0" applyBorder="0" applyAlignment="0" applyProtection="0"/>
    <xf numFmtId="262" fontId="3" fillId="0" borderId="0" applyFont="0" applyFill="0" applyBorder="0" applyAlignment="0" applyProtection="0"/>
    <xf numFmtId="263" fontId="208" fillId="0" borderId="0" applyFont="0" applyFill="0" applyBorder="0" applyAlignment="0" applyProtection="0"/>
    <xf numFmtId="264" fontId="208" fillId="0" borderId="0" applyFont="0" applyFill="0" applyBorder="0" applyAlignment="0" applyProtection="0"/>
    <xf numFmtId="0" fontId="279" fillId="0" borderId="0" applyNumberFormat="0" applyFill="0" applyBorder="0" applyAlignment="0" applyProtection="0"/>
    <xf numFmtId="0" fontId="208" fillId="74" borderId="0" applyNumberFormat="0" applyFont="0" applyAlignment="0" applyProtection="0"/>
    <xf numFmtId="265" fontId="208" fillId="0" borderId="0" applyFont="0" applyFill="0" applyBorder="0" applyAlignment="0" applyProtection="0"/>
    <xf numFmtId="266" fontId="208" fillId="0" borderId="0" applyFont="0" applyFill="0" applyBorder="0" applyProtection="0">
      <alignment horizontal="right"/>
    </xf>
    <xf numFmtId="259" fontId="3" fillId="0" borderId="0" applyFont="0" applyFill="0" applyBorder="0" applyProtection="0">
      <alignment horizontal="right"/>
    </xf>
    <xf numFmtId="0" fontId="280" fillId="0" borderId="0" applyNumberFormat="0" applyFill="0" applyBorder="0" applyProtection="0">
      <alignment vertical="top"/>
    </xf>
    <xf numFmtId="0" fontId="262" fillId="0" borderId="60" applyNumberFormat="0" applyFill="0" applyAlignment="0" applyProtection="0"/>
    <xf numFmtId="0" fontId="281" fillId="0" borderId="61" applyNumberFormat="0" applyFill="0" applyProtection="0">
      <alignment horizontal="center"/>
    </xf>
    <xf numFmtId="0" fontId="281" fillId="0" borderId="0" applyNumberFormat="0" applyFill="0" applyBorder="0" applyProtection="0">
      <alignment horizontal="left"/>
    </xf>
    <xf numFmtId="0" fontId="282" fillId="0" borderId="0" applyNumberFormat="0" applyFill="0" applyBorder="0" applyProtection="0">
      <alignment horizontal="centerContinuous"/>
    </xf>
    <xf numFmtId="0" fontId="184" fillId="0" borderId="0" applyNumberFormat="0" applyFill="0" applyBorder="0" applyAlignment="0" applyProtection="0">
      <alignment vertical="top"/>
      <protection locked="0"/>
    </xf>
    <xf numFmtId="0" fontId="283" fillId="0" borderId="0"/>
    <xf numFmtId="0" fontId="167" fillId="62" borderId="0" applyNumberFormat="0" applyBorder="0" applyAlignment="0" applyProtection="0"/>
    <xf numFmtId="0" fontId="167" fillId="63" borderId="0" applyNumberFormat="0" applyBorder="0" applyAlignment="0" applyProtection="0"/>
    <xf numFmtId="0" fontId="167" fillId="64" borderId="0" applyNumberFormat="0" applyBorder="0" applyAlignment="0" applyProtection="0"/>
    <xf numFmtId="0" fontId="167" fillId="65" borderId="0" applyNumberFormat="0" applyBorder="0" applyAlignment="0" applyProtection="0"/>
    <xf numFmtId="0" fontId="167" fillId="66" borderId="0" applyNumberFormat="0" applyBorder="0" applyAlignment="0" applyProtection="0"/>
    <xf numFmtId="0" fontId="167" fillId="67" borderId="0" applyNumberFormat="0" applyBorder="0" applyAlignment="0" applyProtection="0"/>
    <xf numFmtId="193" fontId="72" fillId="0" borderId="0" applyFont="0" applyFill="0" applyBorder="0" applyAlignment="0" applyProtection="0"/>
    <xf numFmtId="267" fontId="3" fillId="0" borderId="0" applyFont="0" applyFill="0" applyBorder="0" applyAlignment="0" applyProtection="0"/>
    <xf numFmtId="194" fontId="72" fillId="0" borderId="0" applyFont="0" applyFill="0" applyBorder="0" applyAlignment="0" applyProtection="0"/>
    <xf numFmtId="0" fontId="167" fillId="70" borderId="0" applyNumberFormat="0" applyBorder="0" applyAlignment="0" applyProtection="0"/>
    <xf numFmtId="0" fontId="167" fillId="71" borderId="0" applyNumberFormat="0" applyBorder="0" applyAlignment="0" applyProtection="0"/>
    <xf numFmtId="0" fontId="167" fillId="72" borderId="0" applyNumberFormat="0" applyBorder="0" applyAlignment="0" applyProtection="0"/>
    <xf numFmtId="0" fontId="167" fillId="65" borderId="0" applyNumberFormat="0" applyBorder="0" applyAlignment="0" applyProtection="0"/>
    <xf numFmtId="0" fontId="167" fillId="70" borderId="0" applyNumberFormat="0" applyBorder="0" applyAlignment="0" applyProtection="0"/>
    <xf numFmtId="0" fontId="167" fillId="73" borderId="0" applyNumberFormat="0" applyBorder="0" applyAlignment="0" applyProtection="0"/>
    <xf numFmtId="0" fontId="168" fillId="75" borderId="0" applyNumberFormat="0" applyBorder="0" applyAlignment="0" applyProtection="0"/>
    <xf numFmtId="0" fontId="168" fillId="71" borderId="0" applyNumberFormat="0" applyBorder="0" applyAlignment="0" applyProtection="0"/>
    <xf numFmtId="0" fontId="168" fillId="72" borderId="0" applyNumberFormat="0" applyBorder="0" applyAlignment="0" applyProtection="0"/>
    <xf numFmtId="0" fontId="168" fillId="76" borderId="0" applyNumberFormat="0" applyBorder="0" applyAlignment="0" applyProtection="0"/>
    <xf numFmtId="0" fontId="168" fillId="77" borderId="0" applyNumberFormat="0" applyBorder="0" applyAlignment="0" applyProtection="0"/>
    <xf numFmtId="0" fontId="168" fillId="78" borderId="0" applyNumberFormat="0" applyBorder="0" applyAlignment="0" applyProtection="0"/>
    <xf numFmtId="0" fontId="220" fillId="0" borderId="0" applyNumberFormat="0" applyFill="0" applyBorder="0" applyAlignment="0" applyProtection="0">
      <alignment vertical="top"/>
      <protection locked="0"/>
    </xf>
    <xf numFmtId="1" fontId="284" fillId="0" borderId="0" applyFill="0" applyBorder="0" applyProtection="0">
      <alignment horizontal="right" wrapText="1"/>
      <protection locked="0"/>
    </xf>
    <xf numFmtId="187" fontId="3" fillId="0" borderId="0" applyFill="0" applyBorder="0" applyProtection="0">
      <alignment horizontal="right"/>
      <protection locked="0"/>
    </xf>
    <xf numFmtId="0" fontId="285" fillId="0" borderId="0" applyNumberFormat="0" applyFill="0" applyBorder="0" applyProtection="0">
      <protection locked="0"/>
    </xf>
    <xf numFmtId="187" fontId="3" fillId="0" borderId="0">
      <protection locked="0"/>
    </xf>
    <xf numFmtId="0" fontId="286" fillId="0" borderId="0" applyNumberFormat="0" applyFill="0" applyBorder="0" applyAlignment="0" applyProtection="0"/>
    <xf numFmtId="0" fontId="3" fillId="0" borderId="62"/>
    <xf numFmtId="0" fontId="174" fillId="64" borderId="0" applyNumberFormat="0" applyBorder="0" applyAlignment="0" applyProtection="0"/>
    <xf numFmtId="258" fontId="192" fillId="0" borderId="11" applyAlignment="0" applyProtection="0"/>
    <xf numFmtId="0" fontId="3" fillId="0" borderId="0"/>
    <xf numFmtId="0" fontId="3" fillId="0" borderId="0" applyFill="0" applyBorder="0" applyAlignment="0"/>
    <xf numFmtId="268" fontId="3" fillId="0" borderId="0" applyFill="0" applyBorder="0" applyAlignment="0"/>
    <xf numFmtId="269" fontId="3" fillId="0" borderId="0" applyFill="0" applyBorder="0" applyAlignment="0"/>
    <xf numFmtId="270" fontId="3" fillId="0" borderId="0" applyFill="0" applyBorder="0" applyAlignment="0"/>
    <xf numFmtId="271" fontId="3" fillId="0" borderId="0" applyFill="0" applyBorder="0" applyAlignment="0"/>
    <xf numFmtId="14" fontId="3" fillId="0" borderId="0" applyFill="0" applyBorder="0" applyAlignment="0"/>
    <xf numFmtId="272" fontId="3" fillId="0" borderId="0" applyFill="0" applyBorder="0" applyAlignment="0"/>
    <xf numFmtId="268" fontId="3" fillId="0" borderId="0" applyFill="0" applyBorder="0" applyAlignment="0"/>
    <xf numFmtId="0" fontId="170" fillId="68" borderId="34" applyNumberFormat="0" applyAlignment="0" applyProtection="0"/>
    <xf numFmtId="0" fontId="171" fillId="79" borderId="35" applyNumberFormat="0" applyAlignment="0" applyProtection="0"/>
    <xf numFmtId="0" fontId="179" fillId="0" borderId="36" applyNumberFormat="0" applyFill="0" applyAlignment="0" applyProtection="0"/>
    <xf numFmtId="1" fontId="287" fillId="0" borderId="0">
      <protection locked="0"/>
    </xf>
    <xf numFmtId="0" fontId="14" fillId="0" borderId="0" applyNumberFormat="0" applyFill="0" applyBorder="0" applyProtection="0">
      <alignment wrapText="1"/>
    </xf>
    <xf numFmtId="0" fontId="190" fillId="0" borderId="0" applyNumberFormat="0" applyFill="0" applyBorder="0" applyProtection="0"/>
    <xf numFmtId="0" fontId="288" fillId="0" borderId="0" applyNumberFormat="0" applyFill="0" applyBorder="0" applyProtection="0">
      <alignment horizontal="center" wrapText="1"/>
    </xf>
    <xf numFmtId="0" fontId="14" fillId="0" borderId="10" applyNumberFormat="0" applyFill="0" applyProtection="0">
      <alignment horizontal="right" wrapText="1"/>
    </xf>
    <xf numFmtId="0" fontId="14" fillId="0" borderId="10" applyNumberFormat="0" applyFill="0" applyProtection="0">
      <alignment horizontal="left" wrapText="1"/>
    </xf>
    <xf numFmtId="0" fontId="289" fillId="0" borderId="0"/>
    <xf numFmtId="0" fontId="289" fillId="0" borderId="0"/>
    <xf numFmtId="0" fontId="289" fillId="0" borderId="0"/>
    <xf numFmtId="0" fontId="289" fillId="0" borderId="0"/>
    <xf numFmtId="0" fontId="289" fillId="0" borderId="0"/>
    <xf numFmtId="0" fontId="289" fillId="0" borderId="0"/>
    <xf numFmtId="0" fontId="289" fillId="0" borderId="0"/>
    <xf numFmtId="0" fontId="289" fillId="0" borderId="0"/>
    <xf numFmtId="185" fontId="3" fillId="0" borderId="0"/>
    <xf numFmtId="185" fontId="3" fillId="0" borderId="0"/>
    <xf numFmtId="185" fontId="3" fillId="0" borderId="0"/>
    <xf numFmtId="185" fontId="3" fillId="0" borderId="0"/>
    <xf numFmtId="185" fontId="3" fillId="0" borderId="0"/>
    <xf numFmtId="185" fontId="3" fillId="0" borderId="0"/>
    <xf numFmtId="185" fontId="3" fillId="0" borderId="0"/>
    <xf numFmtId="185" fontId="3" fillId="0" borderId="0"/>
    <xf numFmtId="14" fontId="3" fillId="0" borderId="0" applyFont="0" applyFill="0" applyBorder="0" applyAlignment="0" applyProtection="0"/>
    <xf numFmtId="0" fontId="290" fillId="0" borderId="0" applyFont="0" applyFill="0" applyBorder="0" applyAlignment="0" applyProtection="0">
      <alignment horizontal="right"/>
    </xf>
    <xf numFmtId="0" fontId="72" fillId="0" borderId="0" applyFont="0" applyFill="0" applyBorder="0" applyAlignment="0" applyProtection="0"/>
    <xf numFmtId="273" fontId="3" fillId="0" borderId="0" applyFont="0" applyFill="0" applyBorder="0" applyAlignment="0" applyProtection="0">
      <alignment horizontal="right"/>
    </xf>
    <xf numFmtId="0" fontId="290" fillId="0" borderId="0" applyFont="0" applyFill="0" applyBorder="0" applyAlignment="0" applyProtection="0">
      <alignment horizontal="right"/>
    </xf>
    <xf numFmtId="43" fontId="3" fillId="0" borderId="0" applyFont="0" applyFill="0" applyBorder="0" applyAlignment="0" applyProtection="0"/>
    <xf numFmtId="3" fontId="291" fillId="0" borderId="0" applyFont="0" applyFill="0" applyBorder="0" applyAlignment="0" applyProtection="0"/>
    <xf numFmtId="0" fontId="292" fillId="0" borderId="0">
      <alignment horizontal="left"/>
    </xf>
    <xf numFmtId="0" fontId="293" fillId="0" borderId="0"/>
    <xf numFmtId="0" fontId="294" fillId="0" borderId="0">
      <alignment horizontal="left"/>
    </xf>
    <xf numFmtId="268" fontId="3" fillId="0" borderId="0" applyFont="0" applyFill="0" applyBorder="0" applyAlignment="0" applyProtection="0"/>
    <xf numFmtId="0" fontId="290" fillId="0" borderId="0" applyFont="0" applyFill="0" applyBorder="0" applyAlignment="0" applyProtection="0">
      <alignment horizontal="right"/>
    </xf>
    <xf numFmtId="0" fontId="290" fillId="0" borderId="0" applyFont="0" applyFill="0" applyBorder="0" applyAlignment="0" applyProtection="0">
      <alignment horizontal="right"/>
    </xf>
    <xf numFmtId="0" fontId="290" fillId="0" borderId="0" applyFont="0" applyFill="0" applyBorder="0" applyAlignment="0" applyProtection="0"/>
    <xf numFmtId="192" fontId="3" fillId="0" borderId="0" applyFont="0" applyFill="0" applyBorder="0" applyAlignment="0" applyProtection="0"/>
    <xf numFmtId="0" fontId="217" fillId="0" borderId="0">
      <protection locked="0"/>
    </xf>
    <xf numFmtId="0" fontId="291" fillId="0" borderId="0" applyFont="0" applyFill="0" applyBorder="0" applyAlignment="0" applyProtection="0"/>
    <xf numFmtId="0" fontId="290" fillId="0" borderId="0" applyFont="0" applyFill="0" applyBorder="0" applyAlignment="0" applyProtection="0"/>
    <xf numFmtId="14" fontId="6" fillId="0" borderId="0" applyFill="0" applyBorder="0" applyAlignment="0"/>
    <xf numFmtId="17" fontId="295" fillId="0" borderId="11" applyFont="0" applyFill="0" applyBorder="0" applyAlignment="0" applyProtection="0"/>
    <xf numFmtId="0" fontId="290" fillId="0" borderId="53" applyNumberFormat="0" applyFont="0" applyFill="0" applyAlignment="0" applyProtection="0"/>
    <xf numFmtId="0" fontId="190" fillId="0" borderId="0" applyNumberFormat="0" applyFill="0" applyBorder="0" applyAlignment="0" applyProtection="0"/>
    <xf numFmtId="0" fontId="168" fillId="80" borderId="0" applyNumberFormat="0" applyBorder="0" applyAlignment="0" applyProtection="0"/>
    <xf numFmtId="0" fontId="168" fillId="81" borderId="0" applyNumberFormat="0" applyBorder="0" applyAlignment="0" applyProtection="0"/>
    <xf numFmtId="0" fontId="168" fillId="82" borderId="0" applyNumberFormat="0" applyBorder="0" applyAlignment="0" applyProtection="0"/>
    <xf numFmtId="0" fontId="168" fillId="76" borderId="0" applyNumberFormat="0" applyBorder="0" applyAlignment="0" applyProtection="0"/>
    <xf numFmtId="0" fontId="168" fillId="77" borderId="0" applyNumberFormat="0" applyBorder="0" applyAlignment="0" applyProtection="0"/>
    <xf numFmtId="0" fontId="168" fillId="83" borderId="0" applyNumberFormat="0" applyBorder="0" applyAlignment="0" applyProtection="0"/>
    <xf numFmtId="14" fontId="3" fillId="0" borderId="0" applyFill="0" applyBorder="0" applyAlignment="0"/>
    <xf numFmtId="268" fontId="3" fillId="0" borderId="0" applyFill="0" applyBorder="0" applyAlignment="0"/>
    <xf numFmtId="14" fontId="3" fillId="0" borderId="0" applyFill="0" applyBorder="0" applyAlignment="0"/>
    <xf numFmtId="272" fontId="3" fillId="0" borderId="0" applyFill="0" applyBorder="0" applyAlignment="0"/>
    <xf numFmtId="268" fontId="3" fillId="0" borderId="0" applyFill="0" applyBorder="0" applyAlignment="0"/>
    <xf numFmtId="0" fontId="178" fillId="67" borderId="34" applyNumberFormat="0" applyAlignment="0" applyProtection="0"/>
    <xf numFmtId="0" fontId="3" fillId="0" borderId="0">
      <alignment vertical="top"/>
    </xf>
    <xf numFmtId="0" fontId="3" fillId="0" borderId="0">
      <alignment vertical="top"/>
    </xf>
    <xf numFmtId="274" fontId="296" fillId="0" borderId="0" applyFont="0" applyFill="0" applyBorder="0" applyAlignment="0" applyProtection="0"/>
    <xf numFmtId="238" fontId="218" fillId="0" borderId="0">
      <protection locked="0"/>
    </xf>
    <xf numFmtId="238" fontId="217" fillId="0" borderId="0">
      <protection locked="0"/>
    </xf>
    <xf numFmtId="238" fontId="297" fillId="0" borderId="0">
      <protection locked="0"/>
    </xf>
    <xf numFmtId="238" fontId="217" fillId="0" borderId="0">
      <protection locked="0"/>
    </xf>
    <xf numFmtId="238" fontId="217" fillId="0" borderId="0">
      <protection locked="0"/>
    </xf>
    <xf numFmtId="238" fontId="217" fillId="0" borderId="0">
      <protection locked="0"/>
    </xf>
    <xf numFmtId="238" fontId="298" fillId="0" borderId="0">
      <protection locked="0"/>
    </xf>
    <xf numFmtId="2" fontId="291" fillId="0" borderId="0" applyFont="0" applyFill="0" applyBorder="0" applyAlignment="0" applyProtection="0"/>
    <xf numFmtId="275" fontId="217" fillId="0" borderId="0">
      <protection locked="0"/>
    </xf>
    <xf numFmtId="0" fontId="299" fillId="0" borderId="0">
      <alignment horizontal="left"/>
    </xf>
    <xf numFmtId="0" fontId="300" fillId="0" borderId="0">
      <alignment horizontal="left"/>
    </xf>
    <xf numFmtId="0" fontId="301" fillId="0" borderId="0" applyFill="0" applyBorder="0" applyProtection="0">
      <alignment horizontal="left"/>
    </xf>
    <xf numFmtId="0" fontId="301" fillId="0" borderId="0">
      <alignment horizontal="left"/>
    </xf>
    <xf numFmtId="0" fontId="138" fillId="0" borderId="0" applyFill="0" applyBorder="0" applyProtection="0">
      <alignment horizontal="left"/>
    </xf>
    <xf numFmtId="186" fontId="3" fillId="0" borderId="0" applyFont="0" applyFill="0" applyBorder="0" applyAlignment="0" applyProtection="0">
      <protection locked="0"/>
    </xf>
    <xf numFmtId="13" fontId="212" fillId="0" borderId="0" applyFont="0" applyFill="0" applyBorder="0" applyAlignment="0" applyProtection="0">
      <protection locked="0"/>
    </xf>
    <xf numFmtId="0" fontId="12" fillId="0" borderId="0" applyNumberFormat="0" applyFill="0" applyBorder="0" applyProtection="0">
      <alignment wrapText="1"/>
    </xf>
    <xf numFmtId="0" fontId="207" fillId="0" borderId="0" applyNumberFormat="0" applyFill="0" applyBorder="0" applyProtection="0">
      <alignment wrapText="1"/>
    </xf>
    <xf numFmtId="169" fontId="302" fillId="0" borderId="0" applyFill="0" applyBorder="0" applyProtection="0">
      <alignment horizontal="right"/>
      <protection locked="0"/>
    </xf>
    <xf numFmtId="0" fontId="290" fillId="0" borderId="0" applyFont="0" applyFill="0" applyBorder="0" applyAlignment="0" applyProtection="0">
      <alignment horizontal="right"/>
    </xf>
    <xf numFmtId="0" fontId="303" fillId="0" borderId="0" applyProtection="0">
      <alignment horizontal="right"/>
    </xf>
    <xf numFmtId="0" fontId="304" fillId="0" borderId="0">
      <alignment horizontal="left"/>
    </xf>
    <xf numFmtId="0" fontId="304" fillId="0" borderId="0">
      <alignment horizontal="left"/>
    </xf>
    <xf numFmtId="0" fontId="175" fillId="0" borderId="37" applyNumberFormat="0" applyFill="0" applyAlignment="0" applyProtection="0"/>
    <xf numFmtId="0" fontId="305" fillId="0" borderId="0">
      <alignment horizontal="left"/>
    </xf>
    <xf numFmtId="0" fontId="306" fillId="0" borderId="4">
      <alignment horizontal="left" vertical="top"/>
    </xf>
    <xf numFmtId="0" fontId="176" fillId="0" borderId="38" applyNumberFormat="0" applyFill="0" applyAlignment="0" applyProtection="0"/>
    <xf numFmtId="0" fontId="307" fillId="0" borderId="0">
      <alignment horizontal="left"/>
    </xf>
    <xf numFmtId="0" fontId="308" fillId="0" borderId="4">
      <alignment horizontal="left" vertical="top"/>
    </xf>
    <xf numFmtId="0" fontId="309" fillId="0" borderId="0">
      <alignment horizontal="left"/>
    </xf>
    <xf numFmtId="0" fontId="169" fillId="63" borderId="0" applyNumberFormat="0" applyBorder="0" applyAlignment="0" applyProtection="0"/>
    <xf numFmtId="0" fontId="74" fillId="0" borderId="0"/>
    <xf numFmtId="13" fontId="284" fillId="0" borderId="47" applyNumberFormat="0" applyFont="0" applyFill="0" applyAlignment="0" applyProtection="0">
      <alignment horizontal="right" wrapText="1"/>
      <protection locked="0"/>
    </xf>
    <xf numFmtId="0" fontId="12" fillId="0" borderId="0" applyNumberFormat="0" applyFill="0" applyBorder="0" applyProtection="0">
      <alignment horizontal="left"/>
    </xf>
    <xf numFmtId="0" fontId="14" fillId="0" borderId="0" applyNumberFormat="0" applyFill="0" applyBorder="0" applyProtection="0">
      <alignment horizontal="left"/>
    </xf>
    <xf numFmtId="14" fontId="3" fillId="0" borderId="0" applyFill="0" applyBorder="0" applyAlignment="0"/>
    <xf numFmtId="268" fontId="3" fillId="0" borderId="0" applyFill="0" applyBorder="0" applyAlignment="0"/>
    <xf numFmtId="14" fontId="3" fillId="0" borderId="0" applyFill="0" applyBorder="0" applyAlignment="0"/>
    <xf numFmtId="272" fontId="3" fillId="0" borderId="0" applyFill="0" applyBorder="0" applyAlignment="0"/>
    <xf numFmtId="268" fontId="3" fillId="0" borderId="0" applyFill="0" applyBorder="0" applyAlignment="0"/>
    <xf numFmtId="194" fontId="3" fillId="0" borderId="0" applyFont="0" applyFill="0" applyBorder="0" applyAlignment="0" applyProtection="0"/>
    <xf numFmtId="0" fontId="290" fillId="0" borderId="0" applyFont="0" applyFill="0" applyBorder="0" applyAlignment="0" applyProtection="0">
      <alignment horizontal="right"/>
    </xf>
    <xf numFmtId="0" fontId="72" fillId="0" borderId="0" applyFont="0" applyFill="0" applyBorder="0" applyAlignment="0" applyProtection="0">
      <alignment horizontal="right"/>
    </xf>
    <xf numFmtId="0" fontId="180" fillId="74" borderId="0" applyNumberFormat="0" applyBorder="0" applyAlignment="0" applyProtection="0"/>
    <xf numFmtId="0" fontId="1" fillId="0" borderId="0"/>
    <xf numFmtId="0" fontId="170" fillId="68" borderId="34" applyNumberFormat="0" applyAlignment="0" applyProtection="0"/>
    <xf numFmtId="0" fontId="167" fillId="0" borderId="0"/>
    <xf numFmtId="0" fontId="307" fillId="0" borderId="0"/>
    <xf numFmtId="0" fontId="3" fillId="69" borderId="7" applyNumberFormat="0" applyFont="0" applyAlignment="0" applyProtection="0"/>
    <xf numFmtId="276" fontId="12" fillId="0" borderId="0" applyFill="0" applyBorder="0" applyProtection="0">
      <alignment horizontal="right" wrapText="1"/>
    </xf>
    <xf numFmtId="276" fontId="14" fillId="0" borderId="0" applyFill="0" applyBorder="0" applyProtection="0">
      <alignment horizontal="right" wrapText="1"/>
    </xf>
    <xf numFmtId="277" fontId="12" fillId="0" borderId="0" applyFill="0" applyBorder="0" applyProtection="0">
      <alignment horizontal="right" wrapText="1"/>
    </xf>
    <xf numFmtId="277" fontId="14" fillId="0" borderId="0" applyFill="0" applyBorder="0" applyProtection="0">
      <alignment horizontal="right" wrapText="1"/>
    </xf>
    <xf numFmtId="276" fontId="12" fillId="0" borderId="0" applyFill="0" applyBorder="0" applyProtection="0">
      <alignment horizontal="right" wrapText="1"/>
    </xf>
    <xf numFmtId="276" fontId="14" fillId="0" borderId="0" applyFill="0" applyBorder="0" applyProtection="0">
      <alignment horizontal="right" wrapText="1"/>
    </xf>
    <xf numFmtId="278" fontId="12" fillId="0" borderId="0" applyFill="0" applyBorder="0" applyProtection="0">
      <alignment horizontal="right" wrapText="1"/>
    </xf>
    <xf numFmtId="278" fontId="14" fillId="0" borderId="0" applyFill="0" applyBorder="0" applyProtection="0">
      <alignment horizontal="right" wrapText="1"/>
    </xf>
    <xf numFmtId="3" fontId="3" fillId="0" borderId="0" applyFont="0" applyFill="0" applyBorder="0" applyAlignment="0" applyProtection="0"/>
    <xf numFmtId="1" fontId="310" fillId="0" borderId="0" applyProtection="0">
      <alignment horizontal="right" vertical="center"/>
    </xf>
    <xf numFmtId="271" fontId="3" fillId="0" borderId="0" applyFont="0" applyFill="0" applyBorder="0" applyAlignment="0" applyProtection="0"/>
    <xf numFmtId="279" fontId="3" fillId="0" borderId="0" applyFont="0" applyFill="0" applyBorder="0" applyAlignment="0" applyProtection="0"/>
    <xf numFmtId="9" fontId="3" fillId="0" borderId="0" applyFont="0" applyFill="0" applyBorder="0" applyAlignment="0" applyProtection="0"/>
    <xf numFmtId="280" fontId="217" fillId="0" borderId="0">
      <protection locked="0"/>
    </xf>
    <xf numFmtId="281" fontId="217" fillId="0" borderId="0">
      <protection locked="0"/>
    </xf>
    <xf numFmtId="0" fontId="168" fillId="81" borderId="0" applyNumberFormat="0" applyBorder="0" applyAlignment="0" applyProtection="0"/>
    <xf numFmtId="9" fontId="167" fillId="0" borderId="0" applyFont="0" applyFill="0" applyBorder="0" applyAlignment="0" applyProtection="0"/>
    <xf numFmtId="14" fontId="3" fillId="0" borderId="0" applyFill="0" applyBorder="0" applyAlignment="0"/>
    <xf numFmtId="268" fontId="3" fillId="0" borderId="0" applyFill="0" applyBorder="0" applyAlignment="0"/>
    <xf numFmtId="14" fontId="3" fillId="0" borderId="0" applyFill="0" applyBorder="0" applyAlignment="0"/>
    <xf numFmtId="272" fontId="3" fillId="0" borderId="0" applyFill="0" applyBorder="0" applyAlignment="0"/>
    <xf numFmtId="268" fontId="3" fillId="0" borderId="0" applyFill="0" applyBorder="0" applyAlignment="0"/>
    <xf numFmtId="0" fontId="208" fillId="0" borderId="0" applyNumberFormat="0" applyFont="0" applyFill="0" applyBorder="0" applyAlignment="0" applyProtection="0">
      <alignment horizontal="left"/>
    </xf>
    <xf numFmtId="15" fontId="208" fillId="0" borderId="0" applyFont="0" applyFill="0" applyBorder="0" applyAlignment="0" applyProtection="0"/>
    <xf numFmtId="37" fontId="3" fillId="0" borderId="0" applyFill="0" applyBorder="0" applyAlignment="0" applyProtection="0"/>
    <xf numFmtId="0" fontId="311" fillId="0" borderId="0" applyNumberFormat="0" applyFill="0" applyBorder="0" applyProtection="0">
      <protection locked="0"/>
    </xf>
    <xf numFmtId="282" fontId="202" fillId="0" borderId="0" applyNumberFormat="0" applyFill="0" applyBorder="0" applyAlignment="0" applyProtection="0">
      <alignment horizontal="left"/>
    </xf>
    <xf numFmtId="0" fontId="181" fillId="68" borderId="41" applyNumberFormat="0" applyAlignment="0" applyProtection="0"/>
    <xf numFmtId="0" fontId="300" fillId="0" borderId="63">
      <alignment vertical="center"/>
    </xf>
    <xf numFmtId="0" fontId="3" fillId="90" borderId="64"/>
    <xf numFmtId="43" fontId="167" fillId="0" borderId="0" applyFont="0" applyFill="0" applyBorder="0" applyAlignment="0" applyProtection="0"/>
    <xf numFmtId="187" fontId="3" fillId="97" borderId="0" applyNumberFormat="0" applyFont="0" applyBorder="0" applyAlignment="0" applyProtection="0">
      <protection locked="0"/>
    </xf>
    <xf numFmtId="0" fontId="3" fillId="0" borderId="0"/>
    <xf numFmtId="0" fontId="3" fillId="0" borderId="0">
      <alignment vertical="top"/>
    </xf>
    <xf numFmtId="0" fontId="3" fillId="0" borderId="0">
      <alignment vertical="top"/>
    </xf>
    <xf numFmtId="0" fontId="3" fillId="0" borderId="0" applyNumberFormat="0" applyFont="0" applyFill="0" applyBorder="0" applyAlignment="0" applyProtection="0"/>
    <xf numFmtId="0" fontId="14" fillId="0" borderId="0" applyNumberFormat="0" applyFill="0" applyBorder="0" applyProtection="0">
      <alignment wrapText="1"/>
    </xf>
    <xf numFmtId="0" fontId="12" fillId="0" borderId="0" applyNumberFormat="0" applyFill="0" applyBorder="0" applyProtection="0">
      <alignment wrapText="1"/>
    </xf>
    <xf numFmtId="0" fontId="12" fillId="0" borderId="0" applyNumberFormat="0" applyFill="0" applyBorder="0" applyProtection="0">
      <alignment horizontal="right" wrapText="1"/>
    </xf>
    <xf numFmtId="0" fontId="12" fillId="0" borderId="0" applyNumberFormat="0" applyFill="0" applyBorder="0" applyProtection="0">
      <alignment horizontal="left" vertical="top" wrapText="1"/>
    </xf>
    <xf numFmtId="0" fontId="152" fillId="0" borderId="44" applyNumberFormat="0" applyFill="0" applyProtection="0">
      <alignment horizontal="left" wrapText="1"/>
    </xf>
    <xf numFmtId="0" fontId="152" fillId="0" borderId="0" applyNumberFormat="0" applyFill="0" applyBorder="0" applyProtection="0">
      <alignment horizontal="right" wrapText="1"/>
    </xf>
    <xf numFmtId="283" fontId="12" fillId="0" borderId="0" applyFill="0" applyBorder="0" applyProtection="0">
      <alignment horizontal="right" wrapText="1"/>
    </xf>
    <xf numFmtId="190" fontId="12" fillId="0" borderId="0" applyFill="0" applyBorder="0" applyProtection="0">
      <alignment horizontal="right" wrapText="1"/>
    </xf>
    <xf numFmtId="4" fontId="12" fillId="0" borderId="0" applyFill="0" applyBorder="0" applyProtection="0">
      <alignment horizontal="right" wrapText="1"/>
    </xf>
    <xf numFmtId="190" fontId="12" fillId="0" borderId="0" applyFill="0" applyBorder="0" applyProtection="0">
      <alignment horizontal="right" wrapText="1"/>
    </xf>
    <xf numFmtId="3" fontId="12" fillId="0" borderId="0" applyFill="0" applyBorder="0" applyProtection="0">
      <alignment horizontal="right" wrapText="1"/>
    </xf>
    <xf numFmtId="184" fontId="12" fillId="0" borderId="0" applyFill="0" applyBorder="0" applyProtection="0">
      <alignment horizontal="right" wrapText="1"/>
    </xf>
    <xf numFmtId="184" fontId="14" fillId="0" borderId="0" applyFill="0" applyBorder="0" applyProtection="0">
      <alignment horizontal="right" wrapText="1"/>
    </xf>
    <xf numFmtId="284" fontId="12" fillId="0" borderId="0" applyFill="0" applyBorder="0" applyProtection="0">
      <alignment horizontal="right" wrapText="1"/>
    </xf>
    <xf numFmtId="284" fontId="14" fillId="0" borderId="0" applyFill="0" applyBorder="0" applyProtection="0">
      <alignment horizontal="right" wrapText="1"/>
    </xf>
    <xf numFmtId="184" fontId="312" fillId="0" borderId="0" applyFill="0" applyBorder="0" applyProtection="0">
      <alignment horizontal="right" wrapText="1"/>
    </xf>
    <xf numFmtId="249" fontId="12" fillId="0" borderId="0" applyFill="0" applyBorder="0" applyProtection="0">
      <alignment horizontal="right" wrapText="1"/>
    </xf>
    <xf numFmtId="40" fontId="313" fillId="0" borderId="0" applyBorder="0">
      <alignment horizontal="right"/>
    </xf>
    <xf numFmtId="0" fontId="314" fillId="0" borderId="0" applyBorder="0" applyProtection="0">
      <alignment vertical="center"/>
    </xf>
    <xf numFmtId="0" fontId="314" fillId="0" borderId="10" applyBorder="0" applyProtection="0">
      <alignment horizontal="right" vertical="center"/>
    </xf>
    <xf numFmtId="0" fontId="315" fillId="88" borderId="0" applyBorder="0" applyProtection="0">
      <alignment horizontal="centerContinuous" vertical="center"/>
    </xf>
    <xf numFmtId="0" fontId="315" fillId="5" borderId="10" applyBorder="0" applyProtection="0">
      <alignment horizontal="centerContinuous" vertical="center"/>
    </xf>
    <xf numFmtId="0" fontId="316" fillId="0" borderId="0">
      <alignment horizontal="left"/>
    </xf>
    <xf numFmtId="0" fontId="301" fillId="0" borderId="0">
      <alignment horizontal="left"/>
    </xf>
    <xf numFmtId="0" fontId="307" fillId="0" borderId="0"/>
    <xf numFmtId="0" fontId="317" fillId="0" borderId="0" applyFill="0" applyBorder="0" applyProtection="0">
      <alignment horizontal="left"/>
    </xf>
    <xf numFmtId="0" fontId="301" fillId="0" borderId="4" applyFill="0" applyBorder="0" applyProtection="0">
      <alignment horizontal="left" vertical="top"/>
    </xf>
    <xf numFmtId="0" fontId="318" fillId="0" borderId="0">
      <alignment horizontal="centerContinuous"/>
    </xf>
    <xf numFmtId="0" fontId="319" fillId="0" borderId="0"/>
    <xf numFmtId="0" fontId="319" fillId="0" borderId="0"/>
    <xf numFmtId="0" fontId="320" fillId="0" borderId="0"/>
    <xf numFmtId="0" fontId="320" fillId="0" borderId="0"/>
    <xf numFmtId="0" fontId="319" fillId="0" borderId="0"/>
    <xf numFmtId="0" fontId="319" fillId="0" borderId="0"/>
    <xf numFmtId="49" fontId="6" fillId="0" borderId="0" applyFill="0" applyBorder="0" applyAlignment="0"/>
    <xf numFmtId="285" fontId="3" fillId="0" borderId="0" applyFill="0" applyBorder="0" applyAlignment="0"/>
    <xf numFmtId="212" fontId="3" fillId="0" borderId="0" applyFill="0" applyBorder="0" applyAlignment="0"/>
    <xf numFmtId="0" fontId="183" fillId="0" borderId="0" applyNumberFormat="0" applyFill="0" applyBorder="0" applyAlignment="0" applyProtection="0"/>
    <xf numFmtId="0" fontId="173" fillId="0" borderId="0" applyNumberFormat="0" applyFill="0" applyBorder="0" applyAlignment="0" applyProtection="0"/>
    <xf numFmtId="0" fontId="182" fillId="0" borderId="0" applyNumberFormat="0" applyFill="0" applyBorder="0" applyAlignment="0" applyProtection="0"/>
    <xf numFmtId="0" fontId="175" fillId="0" borderId="37" applyNumberFormat="0" applyFill="0" applyAlignment="0" applyProtection="0"/>
    <xf numFmtId="0" fontId="176" fillId="0" borderId="38" applyNumberFormat="0" applyFill="0" applyAlignment="0" applyProtection="0"/>
    <xf numFmtId="0" fontId="177" fillId="0" borderId="39" applyNumberFormat="0" applyFill="0" applyAlignment="0" applyProtection="0"/>
    <xf numFmtId="0" fontId="177" fillId="0" borderId="0" applyNumberFormat="0" applyFill="0" applyBorder="0" applyAlignment="0" applyProtection="0"/>
    <xf numFmtId="286" fontId="218" fillId="0" borderId="0">
      <protection locked="0"/>
    </xf>
    <xf numFmtId="286" fontId="218" fillId="0" borderId="0">
      <protection locked="0"/>
    </xf>
    <xf numFmtId="0" fontId="320" fillId="0" borderId="0"/>
    <xf numFmtId="0" fontId="319" fillId="0" borderId="0"/>
    <xf numFmtId="0" fontId="321" fillId="0" borderId="0">
      <alignment horizontal="fill"/>
    </xf>
    <xf numFmtId="0" fontId="13" fillId="0" borderId="0"/>
    <xf numFmtId="0" fontId="1" fillId="0" borderId="0"/>
    <xf numFmtId="0" fontId="13" fillId="0" borderId="0"/>
    <xf numFmtId="0" fontId="322" fillId="14" borderId="0">
      <alignment horizontal="center"/>
    </xf>
    <xf numFmtId="0" fontId="212" fillId="98" borderId="0" applyNumberFormat="0" applyFont="0" applyBorder="0" applyAlignment="0" applyProtection="0"/>
    <xf numFmtId="171" fontId="3" fillId="0" borderId="0" applyFont="0" applyFill="0" applyBorder="0" applyAlignment="0" applyProtection="0">
      <alignment horizontal="right"/>
    </xf>
    <xf numFmtId="188" fontId="3" fillId="0" borderId="0" applyFont="0" applyFill="0" applyBorder="0" applyAlignment="0" applyProtection="0"/>
    <xf numFmtId="258" fontId="3" fillId="0" borderId="0" applyFont="0" applyFill="0" applyBorder="0" applyAlignment="0" applyProtection="0"/>
    <xf numFmtId="267" fontId="290" fillId="0" borderId="0" applyFont="0" applyFill="0" applyBorder="0" applyAlignment="0" applyProtection="0"/>
    <xf numFmtId="287" fontId="3" fillId="0" borderId="0" applyFont="0" applyFill="0" applyBorder="0" applyAlignment="0" applyProtection="0"/>
    <xf numFmtId="0" fontId="323" fillId="0" borderId="0"/>
    <xf numFmtId="0" fontId="324" fillId="0" borderId="0"/>
    <xf numFmtId="43" fontId="1" fillId="0" borderId="0" applyFont="0" applyFill="0" applyBorder="0" applyAlignment="0" applyProtection="0"/>
    <xf numFmtId="9" fontId="1" fillId="0" borderId="0" applyFont="0" applyFill="0" applyBorder="0" applyAlignment="0" applyProtection="0"/>
    <xf numFmtId="0" fontId="171" fillId="79" borderId="35" applyNumberFormat="0" applyAlignment="0" applyProtection="0"/>
    <xf numFmtId="0" fontId="167" fillId="70" borderId="0" applyNumberFormat="0" applyBorder="0" applyAlignment="0" applyProtection="0"/>
    <xf numFmtId="0" fontId="167" fillId="71" borderId="0" applyNumberFormat="0" applyBorder="0" applyAlignment="0" applyProtection="0"/>
    <xf numFmtId="0" fontId="167" fillId="72" borderId="0" applyNumberFormat="0" applyBorder="0" applyAlignment="0" applyProtection="0"/>
    <xf numFmtId="0" fontId="167" fillId="65" borderId="0" applyNumberFormat="0" applyBorder="0" applyAlignment="0" applyProtection="0"/>
    <xf numFmtId="0" fontId="167" fillId="70" borderId="0" applyNumberFormat="0" applyBorder="0" applyAlignment="0" applyProtection="0"/>
    <xf numFmtId="0" fontId="167" fillId="73" borderId="0" applyNumberFormat="0" applyBorder="0" applyAlignment="0" applyProtection="0"/>
    <xf numFmtId="0" fontId="179" fillId="0" borderId="36" applyNumberFormat="0" applyFill="0" applyAlignment="0" applyProtection="0"/>
    <xf numFmtId="0" fontId="181" fillId="68" borderId="41" applyNumberFormat="0" applyAlignment="0" applyProtection="0"/>
    <xf numFmtId="0" fontId="174" fillId="64" borderId="0" applyNumberFormat="0" applyBorder="0" applyAlignment="0" applyProtection="0"/>
    <xf numFmtId="0" fontId="168" fillId="75" borderId="0" applyNumberFormat="0" applyBorder="0" applyAlignment="0" applyProtection="0"/>
    <xf numFmtId="0" fontId="168" fillId="71" borderId="0" applyNumberFormat="0" applyBorder="0" applyAlignment="0" applyProtection="0"/>
    <xf numFmtId="0" fontId="168" fillId="72" borderId="0" applyNumberFormat="0" applyBorder="0" applyAlignment="0" applyProtection="0"/>
    <xf numFmtId="0" fontId="168" fillId="76" borderId="0" applyNumberFormat="0" applyBorder="0" applyAlignment="0" applyProtection="0"/>
    <xf numFmtId="0" fontId="168" fillId="77" borderId="0" applyNumberFormat="0" applyBorder="0" applyAlignment="0" applyProtection="0"/>
    <xf numFmtId="0" fontId="168" fillId="78" borderId="0" applyNumberFormat="0" applyBorder="0" applyAlignment="0" applyProtection="0"/>
    <xf numFmtId="0" fontId="167" fillId="62" borderId="0" applyNumberFormat="0" applyBorder="0" applyAlignment="0" applyProtection="0"/>
    <xf numFmtId="0" fontId="167" fillId="63" borderId="0" applyNumberFormat="0" applyBorder="0" applyAlignment="0" applyProtection="0"/>
    <xf numFmtId="0" fontId="167" fillId="64" borderId="0" applyNumberFormat="0" applyBorder="0" applyAlignment="0" applyProtection="0"/>
    <xf numFmtId="0" fontId="167" fillId="65" borderId="0" applyNumberFormat="0" applyBorder="0" applyAlignment="0" applyProtection="0"/>
    <xf numFmtId="0" fontId="167" fillId="66" borderId="0" applyNumberFormat="0" applyBorder="0" applyAlignment="0" applyProtection="0"/>
    <xf numFmtId="0" fontId="167" fillId="67" borderId="0" applyNumberFormat="0" applyBorder="0" applyAlignment="0" applyProtection="0"/>
    <xf numFmtId="0" fontId="170" fillId="68" borderId="34" applyNumberFormat="0" applyAlignment="0" applyProtection="0"/>
    <xf numFmtId="0" fontId="171" fillId="79" borderId="35" applyNumberFormat="0" applyAlignment="0" applyProtection="0"/>
    <xf numFmtId="0" fontId="167" fillId="70" borderId="0" applyNumberFormat="0" applyBorder="0" applyAlignment="0" applyProtection="0"/>
    <xf numFmtId="0" fontId="167" fillId="71" borderId="0" applyNumberFormat="0" applyBorder="0" applyAlignment="0" applyProtection="0"/>
    <xf numFmtId="0" fontId="167" fillId="72" borderId="0" applyNumberFormat="0" applyBorder="0" applyAlignment="0" applyProtection="0"/>
    <xf numFmtId="0" fontId="167" fillId="65" borderId="0" applyNumberFormat="0" applyBorder="0" applyAlignment="0" applyProtection="0"/>
    <xf numFmtId="0" fontId="167" fillId="70" borderId="0" applyNumberFormat="0" applyBorder="0" applyAlignment="0" applyProtection="0"/>
    <xf numFmtId="0" fontId="167" fillId="73" borderId="0" applyNumberFormat="0" applyBorder="0" applyAlignment="0" applyProtection="0"/>
    <xf numFmtId="0" fontId="179" fillId="0" borderId="36" applyNumberFormat="0" applyFill="0" applyAlignment="0" applyProtection="0"/>
    <xf numFmtId="0" fontId="181" fillId="68" borderId="41" applyNumberFormat="0" applyAlignment="0" applyProtection="0"/>
    <xf numFmtId="0" fontId="174" fillId="64" borderId="0" applyNumberFormat="0" applyBorder="0" applyAlignment="0" applyProtection="0"/>
    <xf numFmtId="0" fontId="168" fillId="75" borderId="0" applyNumberFormat="0" applyBorder="0" applyAlignment="0" applyProtection="0"/>
    <xf numFmtId="0" fontId="168" fillId="71" borderId="0" applyNumberFormat="0" applyBorder="0" applyAlignment="0" applyProtection="0"/>
    <xf numFmtId="0" fontId="168" fillId="72" borderId="0" applyNumberFormat="0" applyBorder="0" applyAlignment="0" applyProtection="0"/>
    <xf numFmtId="0" fontId="168" fillId="76" borderId="0" applyNumberFormat="0" applyBorder="0" applyAlignment="0" applyProtection="0"/>
    <xf numFmtId="0" fontId="168" fillId="77" borderId="0" applyNumberFormat="0" applyBorder="0" applyAlignment="0" applyProtection="0"/>
    <xf numFmtId="0" fontId="168" fillId="78" borderId="0" applyNumberFormat="0" applyBorder="0" applyAlignment="0" applyProtection="0"/>
    <xf numFmtId="0" fontId="170" fillId="68" borderId="34" applyNumberFormat="0" applyAlignment="0" applyProtection="0"/>
    <xf numFmtId="0" fontId="171" fillId="79" borderId="35" applyNumberFormat="0" applyAlignment="0" applyProtection="0"/>
    <xf numFmtId="0" fontId="179" fillId="0" borderId="36" applyNumberFormat="0" applyFill="0" applyAlignment="0" applyProtection="0"/>
    <xf numFmtId="0" fontId="174" fillId="64" borderId="0" applyNumberFormat="0" applyBorder="0" applyAlignment="0" applyProtection="0"/>
    <xf numFmtId="0" fontId="3" fillId="69" borderId="7" applyNumberFormat="0" applyFont="0" applyAlignment="0" applyProtection="0"/>
    <xf numFmtId="0" fontId="170" fillId="68" borderId="34" applyNumberFormat="0" applyAlignment="0" applyProtection="0"/>
    <xf numFmtId="0" fontId="171" fillId="79" borderId="35" applyNumberFormat="0" applyAlignment="0" applyProtection="0"/>
    <xf numFmtId="0" fontId="179" fillId="0" borderId="36" applyNumberFormat="0" applyFill="0" applyAlignment="0" applyProtection="0"/>
    <xf numFmtId="0" fontId="180" fillId="74" borderId="0" applyNumberFormat="0" applyBorder="0" applyAlignment="0" applyProtection="0"/>
    <xf numFmtId="194" fontId="3" fillId="0" borderId="0" applyFont="0" applyFill="0" applyBorder="0" applyAlignment="0" applyProtection="0"/>
    <xf numFmtId="0" fontId="3" fillId="69" borderId="7" applyNumberFormat="0" applyFont="0" applyAlignment="0" applyProtection="0"/>
    <xf numFmtId="0" fontId="180" fillId="74" borderId="0" applyNumberFormat="0" applyBorder="0" applyAlignment="0" applyProtection="0"/>
    <xf numFmtId="194" fontId="3" fillId="0" borderId="0" applyFont="0" applyFill="0" applyBorder="0" applyAlignment="0" applyProtection="0"/>
    <xf numFmtId="0" fontId="168" fillId="80" borderId="0" applyNumberFormat="0" applyBorder="0" applyAlignment="0" applyProtection="0"/>
    <xf numFmtId="0" fontId="168" fillId="82" borderId="0" applyNumberFormat="0" applyBorder="0" applyAlignment="0" applyProtection="0"/>
    <xf numFmtId="0" fontId="168" fillId="76" borderId="0" applyNumberFormat="0" applyBorder="0" applyAlignment="0" applyProtection="0"/>
    <xf numFmtId="0" fontId="180" fillId="74" borderId="0" applyNumberFormat="0" applyBorder="0" applyAlignment="0" applyProtection="0"/>
    <xf numFmtId="0" fontId="168" fillId="77" borderId="0" applyNumberFormat="0" applyBorder="0" applyAlignment="0" applyProtection="0"/>
    <xf numFmtId="0" fontId="168" fillId="83" borderId="0" applyNumberFormat="0" applyBorder="0" applyAlignment="0" applyProtection="0"/>
    <xf numFmtId="0" fontId="169" fillId="63" borderId="0" applyNumberFormat="0" applyBorder="0" applyAlignment="0" applyProtection="0"/>
    <xf numFmtId="194" fontId="3" fillId="0" borderId="0" applyFont="0" applyFill="0" applyBorder="0" applyAlignment="0" applyProtection="0"/>
    <xf numFmtId="0" fontId="168" fillId="80" borderId="0" applyNumberFormat="0" applyBorder="0" applyAlignment="0" applyProtection="0"/>
    <xf numFmtId="0" fontId="168" fillId="81" borderId="0" applyNumberFormat="0" applyBorder="0" applyAlignment="0" applyProtection="0"/>
    <xf numFmtId="0" fontId="168" fillId="82" borderId="0" applyNumberFormat="0" applyBorder="0" applyAlignment="0" applyProtection="0"/>
    <xf numFmtId="0" fontId="168" fillId="76" borderId="0" applyNumberFormat="0" applyBorder="0" applyAlignment="0" applyProtection="0"/>
    <xf numFmtId="0" fontId="168" fillId="77" borderId="0" applyNumberFormat="0" applyBorder="0" applyAlignment="0" applyProtection="0"/>
    <xf numFmtId="0" fontId="168" fillId="83" borderId="0" applyNumberFormat="0" applyBorder="0" applyAlignment="0" applyProtection="0"/>
    <xf numFmtId="0" fontId="169" fillId="63" borderId="0" applyNumberFormat="0" applyBorder="0" applyAlignment="0" applyProtection="0"/>
    <xf numFmtId="0" fontId="168" fillId="80" borderId="0" applyNumberFormat="0" applyBorder="0" applyAlignment="0" applyProtection="0"/>
    <xf numFmtId="0" fontId="168" fillId="81" borderId="0" applyNumberFormat="0" applyBorder="0" applyAlignment="0" applyProtection="0"/>
    <xf numFmtId="0" fontId="168" fillId="82" borderId="0" applyNumberFormat="0" applyBorder="0" applyAlignment="0" applyProtection="0"/>
    <xf numFmtId="0" fontId="168" fillId="76" borderId="0" applyNumberFormat="0" applyBorder="0" applyAlignment="0" applyProtection="0"/>
    <xf numFmtId="0" fontId="168" fillId="77" borderId="0" applyNumberFormat="0" applyBorder="0" applyAlignment="0" applyProtection="0"/>
    <xf numFmtId="0" fontId="168" fillId="83" borderId="0" applyNumberFormat="0" applyBorder="0" applyAlignment="0" applyProtection="0"/>
    <xf numFmtId="0" fontId="169" fillId="63" borderId="0" applyNumberFormat="0" applyBorder="0" applyAlignment="0" applyProtection="0"/>
    <xf numFmtId="0" fontId="168" fillId="80" borderId="0" applyNumberFormat="0" applyBorder="0" applyAlignment="0" applyProtection="0"/>
    <xf numFmtId="0" fontId="168" fillId="81" borderId="0" applyNumberFormat="0" applyBorder="0" applyAlignment="0" applyProtection="0"/>
    <xf numFmtId="0" fontId="168" fillId="82" borderId="0" applyNumberFormat="0" applyBorder="0" applyAlignment="0" applyProtection="0"/>
    <xf numFmtId="0" fontId="168" fillId="76" borderId="0" applyNumberFormat="0" applyBorder="0" applyAlignment="0" applyProtection="0"/>
    <xf numFmtId="0" fontId="168" fillId="77" borderId="0" applyNumberFormat="0" applyBorder="0" applyAlignment="0" applyProtection="0"/>
    <xf numFmtId="0" fontId="168" fillId="83" borderId="0" applyNumberFormat="0" applyBorder="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69" fillId="63" borderId="0" applyNumberFormat="0" applyBorder="0" applyAlignment="0" applyProtection="0"/>
    <xf numFmtId="0" fontId="168" fillId="83" borderId="0" applyNumberFormat="0" applyBorder="0" applyAlignment="0" applyProtection="0"/>
    <xf numFmtId="0" fontId="168" fillId="77" borderId="0" applyNumberFormat="0" applyBorder="0" applyAlignment="0" applyProtection="0"/>
    <xf numFmtId="0" fontId="168" fillId="76" borderId="0" applyNumberFormat="0" applyBorder="0" applyAlignment="0" applyProtection="0"/>
    <xf numFmtId="0" fontId="168" fillId="82" borderId="0" applyNumberFormat="0" applyBorder="0" applyAlignment="0" applyProtection="0"/>
    <xf numFmtId="0" fontId="168" fillId="81" borderId="0" applyNumberFormat="0" applyBorder="0" applyAlignment="0" applyProtection="0"/>
    <xf numFmtId="0" fontId="168" fillId="80" borderId="0" applyNumberFormat="0" applyBorder="0" applyAlignment="0" applyProtection="0"/>
    <xf numFmtId="0" fontId="169" fillId="63" borderId="0" applyNumberFormat="0" applyBorder="0" applyAlignment="0" applyProtection="0"/>
    <xf numFmtId="0" fontId="168" fillId="83" borderId="0" applyNumberFormat="0" applyBorder="0" applyAlignment="0" applyProtection="0"/>
    <xf numFmtId="0" fontId="168" fillId="77" borderId="0" applyNumberFormat="0" applyBorder="0" applyAlignment="0" applyProtection="0"/>
    <xf numFmtId="0" fontId="168" fillId="76" borderId="0" applyNumberFormat="0" applyBorder="0" applyAlignment="0" applyProtection="0"/>
    <xf numFmtId="0" fontId="168" fillId="82" borderId="0" applyNumberFormat="0" applyBorder="0" applyAlignment="0" applyProtection="0"/>
    <xf numFmtId="0" fontId="168" fillId="81" borderId="0" applyNumberFormat="0" applyBorder="0" applyAlignment="0" applyProtection="0"/>
    <xf numFmtId="0" fontId="168" fillId="80" borderId="0" applyNumberFormat="0" applyBorder="0" applyAlignment="0" applyProtection="0"/>
    <xf numFmtId="194" fontId="3" fillId="0" borderId="0" applyFont="0" applyFill="0" applyBorder="0" applyAlignment="0" applyProtection="0"/>
    <xf numFmtId="0" fontId="169" fillId="63" borderId="0" applyNumberFormat="0" applyBorder="0" applyAlignment="0" applyProtection="0"/>
    <xf numFmtId="0" fontId="168" fillId="83" borderId="0" applyNumberFormat="0" applyBorder="0" applyAlignment="0" applyProtection="0"/>
    <xf numFmtId="0" fontId="168" fillId="77" borderId="0" applyNumberFormat="0" applyBorder="0" applyAlignment="0" applyProtection="0"/>
    <xf numFmtId="0" fontId="180" fillId="74" borderId="0" applyNumberFormat="0" applyBorder="0" applyAlignment="0" applyProtection="0"/>
    <xf numFmtId="0" fontId="168" fillId="76" borderId="0" applyNumberFormat="0" applyBorder="0" applyAlignment="0" applyProtection="0"/>
    <xf numFmtId="0" fontId="168" fillId="82" borderId="0" applyNumberFormat="0" applyBorder="0" applyAlignment="0" applyProtection="0"/>
    <xf numFmtId="0" fontId="168" fillId="80" borderId="0" applyNumberFormat="0" applyBorder="0" applyAlignment="0" applyProtection="0"/>
    <xf numFmtId="194" fontId="3" fillId="0" borderId="0" applyFont="0" applyFill="0" applyBorder="0" applyAlignment="0" applyProtection="0"/>
    <xf numFmtId="0" fontId="169" fillId="63" borderId="0" applyNumberFormat="0" applyBorder="0" applyAlignment="0" applyProtection="0"/>
    <xf numFmtId="0" fontId="180" fillId="74" borderId="0" applyNumberFormat="0" applyBorder="0" applyAlignment="0" applyProtection="0"/>
    <xf numFmtId="0" fontId="3" fillId="69" borderId="7" applyNumberFormat="0" applyFont="0" applyAlignment="0" applyProtection="0"/>
    <xf numFmtId="194" fontId="3" fillId="0" borderId="0" applyFont="0" applyFill="0" applyBorder="0" applyAlignment="0" applyProtection="0"/>
    <xf numFmtId="0" fontId="180" fillId="74" borderId="0" applyNumberFormat="0" applyBorder="0" applyAlignment="0" applyProtection="0"/>
    <xf numFmtId="0" fontId="3" fillId="69" borderId="7" applyNumberFormat="0" applyFont="0" applyAlignment="0" applyProtection="0"/>
    <xf numFmtId="194" fontId="3" fillId="0" borderId="0" applyFont="0" applyFill="0" applyBorder="0" applyAlignment="0" applyProtection="0"/>
    <xf numFmtId="0" fontId="180" fillId="74" borderId="0" applyNumberFormat="0" applyBorder="0" applyAlignment="0" applyProtection="0"/>
    <xf numFmtId="0" fontId="179" fillId="0" borderId="36" applyNumberFormat="0" applyFill="0" applyAlignment="0" applyProtection="0"/>
    <xf numFmtId="0" fontId="171" fillId="79" borderId="35" applyNumberFormat="0" applyAlignment="0" applyProtection="0"/>
    <xf numFmtId="0" fontId="170" fillId="68" borderId="34" applyNumberFormat="0" applyAlignment="0" applyProtection="0"/>
    <xf numFmtId="0" fontId="174" fillId="64" borderId="0" applyNumberFormat="0" applyBorder="0" applyAlignment="0" applyProtection="0"/>
    <xf numFmtId="0" fontId="181" fillId="68" borderId="41" applyNumberFormat="0" applyAlignment="0" applyProtection="0"/>
    <xf numFmtId="0" fontId="179" fillId="0" borderId="36" applyNumberFormat="0" applyFill="0" applyAlignment="0" applyProtection="0"/>
    <xf numFmtId="0" fontId="171" fillId="79" borderId="35" applyNumberFormat="0" applyAlignment="0" applyProtection="0"/>
    <xf numFmtId="0" fontId="170" fillId="68" borderId="34" applyNumberFormat="0" applyAlignment="0" applyProtection="0"/>
    <xf numFmtId="0" fontId="168" fillId="78" borderId="0" applyNumberFormat="0" applyBorder="0" applyAlignment="0" applyProtection="0"/>
    <xf numFmtId="0" fontId="168" fillId="77" borderId="0" applyNumberFormat="0" applyBorder="0" applyAlignment="0" applyProtection="0"/>
    <xf numFmtId="0" fontId="168" fillId="76" borderId="0" applyNumberFormat="0" applyBorder="0" applyAlignment="0" applyProtection="0"/>
    <xf numFmtId="0" fontId="168" fillId="72" borderId="0" applyNumberFormat="0" applyBorder="0" applyAlignment="0" applyProtection="0"/>
    <xf numFmtId="0" fontId="168" fillId="71" borderId="0" applyNumberFormat="0" applyBorder="0" applyAlignment="0" applyProtection="0"/>
    <xf numFmtId="0" fontId="168" fillId="75" borderId="0" applyNumberFormat="0" applyBorder="0" applyAlignment="0" applyProtection="0"/>
    <xf numFmtId="0" fontId="174" fillId="64" borderId="0" applyNumberFormat="0" applyBorder="0" applyAlignment="0" applyProtection="0"/>
    <xf numFmtId="0" fontId="181" fillId="68" borderId="41" applyNumberFormat="0" applyAlignment="0" applyProtection="0"/>
    <xf numFmtId="0" fontId="179" fillId="0" borderId="36" applyNumberFormat="0" applyFill="0" applyAlignment="0" applyProtection="0"/>
    <xf numFmtId="0" fontId="167" fillId="73" borderId="0" applyNumberFormat="0" applyBorder="0" applyAlignment="0" applyProtection="0"/>
    <xf numFmtId="0" fontId="167" fillId="70" borderId="0" applyNumberFormat="0" applyBorder="0" applyAlignment="0" applyProtection="0"/>
    <xf numFmtId="0" fontId="167" fillId="65" borderId="0" applyNumberFormat="0" applyBorder="0" applyAlignment="0" applyProtection="0"/>
    <xf numFmtId="0" fontId="167" fillId="72" borderId="0" applyNumberFormat="0" applyBorder="0" applyAlignment="0" applyProtection="0"/>
    <xf numFmtId="0" fontId="167" fillId="71" borderId="0" applyNumberFormat="0" applyBorder="0" applyAlignment="0" applyProtection="0"/>
    <xf numFmtId="0" fontId="167" fillId="70" borderId="0" applyNumberFormat="0" applyBorder="0" applyAlignment="0" applyProtection="0"/>
    <xf numFmtId="0" fontId="171" fillId="79" borderId="35" applyNumberFormat="0" applyAlignment="0" applyProtection="0"/>
    <xf numFmtId="0" fontId="170" fillId="68" borderId="34" applyNumberFormat="0" applyAlignment="0" applyProtection="0"/>
    <xf numFmtId="0" fontId="167" fillId="67" borderId="0" applyNumberFormat="0" applyBorder="0" applyAlignment="0" applyProtection="0"/>
    <xf numFmtId="0" fontId="167" fillId="66" borderId="0" applyNumberFormat="0" applyBorder="0" applyAlignment="0" applyProtection="0"/>
    <xf numFmtId="0" fontId="167" fillId="65" borderId="0" applyNumberFormat="0" applyBorder="0" applyAlignment="0" applyProtection="0"/>
    <xf numFmtId="0" fontId="167" fillId="64" borderId="0" applyNumberFormat="0" applyBorder="0" applyAlignment="0" applyProtection="0"/>
    <xf numFmtId="0" fontId="167" fillId="63" borderId="0" applyNumberFormat="0" applyBorder="0" applyAlignment="0" applyProtection="0"/>
    <xf numFmtId="0" fontId="167" fillId="62" borderId="0" applyNumberFormat="0" applyBorder="0" applyAlignment="0" applyProtection="0"/>
    <xf numFmtId="0" fontId="168" fillId="78" borderId="0" applyNumberFormat="0" applyBorder="0" applyAlignment="0" applyProtection="0"/>
    <xf numFmtId="0" fontId="168" fillId="77" borderId="0" applyNumberFormat="0" applyBorder="0" applyAlignment="0" applyProtection="0"/>
    <xf numFmtId="0" fontId="168" fillId="76" borderId="0" applyNumberFormat="0" applyBorder="0" applyAlignment="0" applyProtection="0"/>
    <xf numFmtId="0" fontId="168" fillId="72" borderId="0" applyNumberFormat="0" applyBorder="0" applyAlignment="0" applyProtection="0"/>
    <xf numFmtId="0" fontId="168" fillId="71" borderId="0" applyNumberFormat="0" applyBorder="0" applyAlignment="0" applyProtection="0"/>
    <xf numFmtId="0" fontId="183" fillId="0" borderId="0" applyNumberFormat="0" applyFill="0" applyBorder="0" applyAlignment="0" applyProtection="0"/>
    <xf numFmtId="0" fontId="173" fillId="0" borderId="0" applyNumberFormat="0" applyFill="0" applyBorder="0" applyAlignment="0" applyProtection="0"/>
    <xf numFmtId="0" fontId="168" fillId="75" borderId="0" applyNumberFormat="0" applyBorder="0" applyAlignment="0" applyProtection="0"/>
    <xf numFmtId="0" fontId="182" fillId="0" borderId="0" applyNumberFormat="0" applyFill="0" applyBorder="0" applyAlignment="0" applyProtection="0"/>
    <xf numFmtId="0" fontId="175" fillId="0" borderId="37" applyNumberFormat="0" applyFill="0" applyAlignment="0" applyProtection="0"/>
    <xf numFmtId="0" fontId="176" fillId="0" borderId="38" applyNumberFormat="0" applyFill="0" applyAlignment="0" applyProtection="0"/>
    <xf numFmtId="0" fontId="177" fillId="0" borderId="39" applyNumberFormat="0" applyFill="0" applyAlignment="0" applyProtection="0"/>
    <xf numFmtId="0" fontId="177" fillId="0" borderId="0" applyNumberFormat="0" applyFill="0" applyBorder="0" applyAlignment="0" applyProtection="0"/>
    <xf numFmtId="0" fontId="174" fillId="64" borderId="0" applyNumberFormat="0" applyBorder="0" applyAlignment="0" applyProtection="0"/>
    <xf numFmtId="0" fontId="181" fillId="68" borderId="41" applyNumberFormat="0" applyAlignment="0" applyProtection="0"/>
    <xf numFmtId="0" fontId="167" fillId="73" borderId="0" applyNumberFormat="0" applyBorder="0" applyAlignment="0" applyProtection="0"/>
    <xf numFmtId="0" fontId="167" fillId="70" borderId="0" applyNumberFormat="0" applyBorder="0" applyAlignment="0" applyProtection="0"/>
    <xf numFmtId="0" fontId="167" fillId="65" borderId="0" applyNumberFormat="0" applyBorder="0" applyAlignment="0" applyProtection="0"/>
    <xf numFmtId="0" fontId="167" fillId="72" borderId="0" applyNumberFormat="0" applyBorder="0" applyAlignment="0" applyProtection="0"/>
    <xf numFmtId="0" fontId="167" fillId="71" borderId="0" applyNumberFormat="0" applyBorder="0" applyAlignment="0" applyProtection="0"/>
    <xf numFmtId="0" fontId="167" fillId="70" borderId="0" applyNumberFormat="0" applyBorder="0" applyAlignment="0" applyProtection="0"/>
    <xf numFmtId="0" fontId="168" fillId="81" borderId="0" applyNumberFormat="0" applyBorder="0" applyAlignment="0" applyProtection="0"/>
    <xf numFmtId="0" fontId="3" fillId="69" borderId="7" applyNumberFormat="0" applyFont="0" applyAlignment="0" applyProtection="0"/>
    <xf numFmtId="0" fontId="167" fillId="67" borderId="0" applyNumberFormat="0" applyBorder="0" applyAlignment="0" applyProtection="0"/>
    <xf numFmtId="0" fontId="167" fillId="66" borderId="0" applyNumberFormat="0" applyBorder="0" applyAlignment="0" applyProtection="0"/>
    <xf numFmtId="0" fontId="167" fillId="65" borderId="0" applyNumberFormat="0" applyBorder="0" applyAlignment="0" applyProtection="0"/>
    <xf numFmtId="0" fontId="167" fillId="64" borderId="0" applyNumberFormat="0" applyBorder="0" applyAlignment="0" applyProtection="0"/>
    <xf numFmtId="0" fontId="167" fillId="63" borderId="0" applyNumberFormat="0" applyBorder="0" applyAlignment="0" applyProtection="0"/>
    <xf numFmtId="0" fontId="167" fillId="62" borderId="0" applyNumberFormat="0" applyBorder="0" applyAlignment="0" applyProtection="0"/>
    <xf numFmtId="0" fontId="168" fillId="78" borderId="0" applyNumberFormat="0" applyBorder="0" applyAlignment="0" applyProtection="0"/>
    <xf numFmtId="0" fontId="168" fillId="77" borderId="0" applyNumberFormat="0" applyBorder="0" applyAlignment="0" applyProtection="0"/>
    <xf numFmtId="0" fontId="168" fillId="76" borderId="0" applyNumberFormat="0" applyBorder="0" applyAlignment="0" applyProtection="0"/>
    <xf numFmtId="0" fontId="168" fillId="72" borderId="0" applyNumberFormat="0" applyBorder="0" applyAlignment="0" applyProtection="0"/>
    <xf numFmtId="0" fontId="168" fillId="71" borderId="0" applyNumberFormat="0" applyBorder="0" applyAlignment="0" applyProtection="0"/>
    <xf numFmtId="0" fontId="183" fillId="0" borderId="0" applyNumberFormat="0" applyFill="0" applyBorder="0" applyAlignment="0" applyProtection="0"/>
    <xf numFmtId="0" fontId="173" fillId="0" borderId="0" applyNumberFormat="0" applyFill="0" applyBorder="0" applyAlignment="0" applyProtection="0"/>
    <xf numFmtId="0" fontId="168" fillId="75" borderId="0" applyNumberFormat="0" applyBorder="0" applyAlignment="0" applyProtection="0"/>
    <xf numFmtId="0" fontId="182" fillId="0" borderId="0" applyNumberFormat="0" applyFill="0" applyBorder="0" applyAlignment="0" applyProtection="0"/>
    <xf numFmtId="0" fontId="175" fillId="0" borderId="37" applyNumberFormat="0" applyFill="0" applyAlignment="0" applyProtection="0"/>
    <xf numFmtId="0" fontId="176" fillId="0" borderId="38" applyNumberFormat="0" applyFill="0" applyAlignment="0" applyProtection="0"/>
    <xf numFmtId="0" fontId="177" fillId="0" borderId="39" applyNumberFormat="0" applyFill="0" applyAlignment="0" applyProtection="0"/>
    <xf numFmtId="0" fontId="177" fillId="0" borderId="0" applyNumberFormat="0" applyFill="0" applyBorder="0" applyAlignment="0" applyProtection="0"/>
    <xf numFmtId="0" fontId="174" fillId="64" borderId="0" applyNumberFormat="0" applyBorder="0" applyAlignment="0" applyProtection="0"/>
    <xf numFmtId="0" fontId="181" fillId="68" borderId="41" applyNumberFormat="0" applyAlignment="0" applyProtection="0"/>
    <xf numFmtId="0" fontId="167" fillId="73" borderId="0" applyNumberFormat="0" applyBorder="0" applyAlignment="0" applyProtection="0"/>
    <xf numFmtId="0" fontId="167" fillId="70" borderId="0" applyNumberFormat="0" applyBorder="0" applyAlignment="0" applyProtection="0"/>
    <xf numFmtId="0" fontId="167" fillId="65" borderId="0" applyNumberFormat="0" applyBorder="0" applyAlignment="0" applyProtection="0"/>
    <xf numFmtId="0" fontId="167" fillId="72" borderId="0" applyNumberFormat="0" applyBorder="0" applyAlignment="0" applyProtection="0"/>
    <xf numFmtId="0" fontId="167" fillId="71" borderId="0" applyNumberFormat="0" applyBorder="0" applyAlignment="0" applyProtection="0"/>
    <xf numFmtId="0" fontId="167" fillId="70" borderId="0" applyNumberFormat="0" applyBorder="0" applyAlignment="0" applyProtection="0"/>
    <xf numFmtId="0" fontId="3" fillId="69" borderId="7" applyNumberFormat="0" applyFont="0" applyAlignment="0" applyProtection="0"/>
    <xf numFmtId="0" fontId="167" fillId="67" borderId="0" applyNumberFormat="0" applyBorder="0" applyAlignment="0" applyProtection="0"/>
    <xf numFmtId="0" fontId="167" fillId="66" borderId="0" applyNumberFormat="0" applyBorder="0" applyAlignment="0" applyProtection="0"/>
    <xf numFmtId="0" fontId="167" fillId="65" borderId="0" applyNumberFormat="0" applyBorder="0" applyAlignment="0" applyProtection="0"/>
    <xf numFmtId="0" fontId="167" fillId="64" borderId="0" applyNumberFormat="0" applyBorder="0" applyAlignment="0" applyProtection="0"/>
    <xf numFmtId="0" fontId="167" fillId="63" borderId="0" applyNumberFormat="0" applyBorder="0" applyAlignment="0" applyProtection="0"/>
    <xf numFmtId="0" fontId="167" fillId="62" borderId="0" applyNumberFormat="0" applyBorder="0" applyAlignment="0" applyProtection="0"/>
    <xf numFmtId="0" fontId="168" fillId="78" borderId="0" applyNumberFormat="0" applyBorder="0" applyAlignment="0" applyProtection="0"/>
    <xf numFmtId="0" fontId="168" fillId="77" borderId="0" applyNumberFormat="0" applyBorder="0" applyAlignment="0" applyProtection="0"/>
    <xf numFmtId="0" fontId="168" fillId="76" borderId="0" applyNumberFormat="0" applyBorder="0" applyAlignment="0" applyProtection="0"/>
    <xf numFmtId="0" fontId="168" fillId="72" borderId="0" applyNumberFormat="0" applyBorder="0" applyAlignment="0" applyProtection="0"/>
    <xf numFmtId="0" fontId="168" fillId="71" borderId="0" applyNumberFormat="0" applyBorder="0" applyAlignment="0" applyProtection="0"/>
    <xf numFmtId="0" fontId="183" fillId="0" borderId="0" applyNumberFormat="0" applyFill="0" applyBorder="0" applyAlignment="0" applyProtection="0"/>
    <xf numFmtId="0" fontId="173" fillId="0" borderId="0" applyNumberFormat="0" applyFill="0" applyBorder="0" applyAlignment="0" applyProtection="0"/>
    <xf numFmtId="0" fontId="168" fillId="75" borderId="0" applyNumberFormat="0" applyBorder="0" applyAlignment="0" applyProtection="0"/>
    <xf numFmtId="0" fontId="182" fillId="0" borderId="0" applyNumberFormat="0" applyFill="0" applyBorder="0" applyAlignment="0" applyProtection="0"/>
    <xf numFmtId="0" fontId="175" fillId="0" borderId="37" applyNumberFormat="0" applyFill="0" applyAlignment="0" applyProtection="0"/>
    <xf numFmtId="0" fontId="176" fillId="0" borderId="38" applyNumberFormat="0" applyFill="0" applyAlignment="0" applyProtection="0"/>
    <xf numFmtId="0" fontId="177" fillId="0" borderId="39" applyNumberFormat="0" applyFill="0" applyAlignment="0" applyProtection="0"/>
    <xf numFmtId="0" fontId="177" fillId="0" borderId="0" applyNumberFormat="0" applyFill="0" applyBorder="0" applyAlignment="0" applyProtection="0"/>
    <xf numFmtId="0" fontId="181" fillId="68" borderId="41" applyNumberFormat="0" applyAlignment="0" applyProtection="0"/>
    <xf numFmtId="0" fontId="167" fillId="73" borderId="0" applyNumberFormat="0" applyBorder="0" applyAlignment="0" applyProtection="0"/>
    <xf numFmtId="0" fontId="167" fillId="70" borderId="0" applyNumberFormat="0" applyBorder="0" applyAlignment="0" applyProtection="0"/>
    <xf numFmtId="0" fontId="167" fillId="65" borderId="0" applyNumberFormat="0" applyBorder="0" applyAlignment="0" applyProtection="0"/>
    <xf numFmtId="0" fontId="167" fillId="72" borderId="0" applyNumberFormat="0" applyBorder="0" applyAlignment="0" applyProtection="0"/>
    <xf numFmtId="0" fontId="167" fillId="71" borderId="0" applyNumberFormat="0" applyBorder="0" applyAlignment="0" applyProtection="0"/>
    <xf numFmtId="0" fontId="167" fillId="70" borderId="0" applyNumberFormat="0" applyBorder="0" applyAlignment="0" applyProtection="0"/>
    <xf numFmtId="0" fontId="3" fillId="69" borderId="7" applyNumberFormat="0" applyFont="0" applyAlignment="0" applyProtection="0"/>
    <xf numFmtId="0" fontId="167" fillId="67" borderId="0" applyNumberFormat="0" applyBorder="0" applyAlignment="0" applyProtection="0"/>
    <xf numFmtId="0" fontId="167" fillId="66" borderId="0" applyNumberFormat="0" applyBorder="0" applyAlignment="0" applyProtection="0"/>
    <xf numFmtId="0" fontId="167" fillId="65" borderId="0" applyNumberFormat="0" applyBorder="0" applyAlignment="0" applyProtection="0"/>
    <xf numFmtId="0" fontId="167" fillId="64" borderId="0" applyNumberFormat="0" applyBorder="0" applyAlignment="0" applyProtection="0"/>
    <xf numFmtId="0" fontId="167" fillId="63" borderId="0" applyNumberFormat="0" applyBorder="0" applyAlignment="0" applyProtection="0"/>
    <xf numFmtId="0" fontId="167" fillId="62" borderId="0" applyNumberFormat="0" applyBorder="0" applyAlignment="0" applyProtection="0"/>
    <xf numFmtId="0" fontId="168" fillId="78" borderId="0" applyNumberFormat="0" applyBorder="0" applyAlignment="0" applyProtection="0"/>
    <xf numFmtId="0" fontId="168" fillId="77" borderId="0" applyNumberFormat="0" applyBorder="0" applyAlignment="0" applyProtection="0"/>
    <xf numFmtId="0" fontId="168" fillId="76" borderId="0" applyNumberFormat="0" applyBorder="0" applyAlignment="0" applyProtection="0"/>
    <xf numFmtId="0" fontId="168" fillId="72" borderId="0" applyNumberFormat="0" applyBorder="0" applyAlignment="0" applyProtection="0"/>
    <xf numFmtId="0" fontId="168" fillId="71" borderId="0" applyNumberFormat="0" applyBorder="0" applyAlignment="0" applyProtection="0"/>
    <xf numFmtId="0" fontId="183" fillId="0" borderId="0" applyNumberFormat="0" applyFill="0" applyBorder="0" applyAlignment="0" applyProtection="0"/>
    <xf numFmtId="0" fontId="173" fillId="0" borderId="0" applyNumberFormat="0" applyFill="0" applyBorder="0" applyAlignment="0" applyProtection="0"/>
    <xf numFmtId="0" fontId="168" fillId="75" borderId="0" applyNumberFormat="0" applyBorder="0" applyAlignment="0" applyProtection="0"/>
    <xf numFmtId="0" fontId="182" fillId="0" borderId="0" applyNumberFormat="0" applyFill="0" applyBorder="0" applyAlignment="0" applyProtection="0"/>
    <xf numFmtId="0" fontId="175" fillId="0" borderId="37" applyNumberFormat="0" applyFill="0" applyAlignment="0" applyProtection="0"/>
    <xf numFmtId="0" fontId="176" fillId="0" borderId="38" applyNumberFormat="0" applyFill="0" applyAlignment="0" applyProtection="0"/>
    <xf numFmtId="0" fontId="177" fillId="0" borderId="39" applyNumberFormat="0" applyFill="0" applyAlignment="0" applyProtection="0"/>
    <xf numFmtId="0" fontId="177" fillId="0" borderId="0" applyNumberFormat="0" applyFill="0" applyBorder="0" applyAlignment="0" applyProtection="0"/>
    <xf numFmtId="0" fontId="167" fillId="73" borderId="0" applyNumberFormat="0" applyBorder="0" applyAlignment="0" applyProtection="0"/>
    <xf numFmtId="0" fontId="167" fillId="70" borderId="0" applyNumberFormat="0" applyBorder="0" applyAlignment="0" applyProtection="0"/>
    <xf numFmtId="0" fontId="167" fillId="65" borderId="0" applyNumberFormat="0" applyBorder="0" applyAlignment="0" applyProtection="0"/>
    <xf numFmtId="0" fontId="167" fillId="72" borderId="0" applyNumberFormat="0" applyBorder="0" applyAlignment="0" applyProtection="0"/>
    <xf numFmtId="0" fontId="167" fillId="71" borderId="0" applyNumberFormat="0" applyBorder="0" applyAlignment="0" applyProtection="0"/>
    <xf numFmtId="0" fontId="167" fillId="70" borderId="0" applyNumberFormat="0" applyBorder="0" applyAlignment="0" applyProtection="0"/>
    <xf numFmtId="0" fontId="167" fillId="67" borderId="0" applyNumberFormat="0" applyBorder="0" applyAlignment="0" applyProtection="0"/>
    <xf numFmtId="0" fontId="167" fillId="66" borderId="0" applyNumberFormat="0" applyBorder="0" applyAlignment="0" applyProtection="0"/>
    <xf numFmtId="0" fontId="167" fillId="65" borderId="0" applyNumberFormat="0" applyBorder="0" applyAlignment="0" applyProtection="0"/>
    <xf numFmtId="0" fontId="167" fillId="64" borderId="0" applyNumberFormat="0" applyBorder="0" applyAlignment="0" applyProtection="0"/>
    <xf numFmtId="0" fontId="167" fillId="63" borderId="0" applyNumberFormat="0" applyBorder="0" applyAlignment="0" applyProtection="0"/>
    <xf numFmtId="0" fontId="167" fillId="62" borderId="0" applyNumberFormat="0" applyBorder="0" applyAlignment="0" applyProtection="0"/>
    <xf numFmtId="0" fontId="183" fillId="0" borderId="0" applyNumberFormat="0" applyFill="0" applyBorder="0" applyAlignment="0" applyProtection="0"/>
    <xf numFmtId="0" fontId="173" fillId="0" borderId="0" applyNumberFormat="0" applyFill="0" applyBorder="0" applyAlignment="0" applyProtection="0"/>
    <xf numFmtId="0" fontId="182" fillId="0" borderId="0" applyNumberFormat="0" applyFill="0" applyBorder="0" applyAlignment="0" applyProtection="0"/>
    <xf numFmtId="0" fontId="175" fillId="0" borderId="37" applyNumberFormat="0" applyFill="0" applyAlignment="0" applyProtection="0"/>
    <xf numFmtId="0" fontId="176" fillId="0" borderId="38" applyNumberFormat="0" applyFill="0" applyAlignment="0" applyProtection="0"/>
    <xf numFmtId="0" fontId="177" fillId="0" borderId="39" applyNumberFormat="0" applyFill="0" applyAlignment="0" applyProtection="0"/>
    <xf numFmtId="0" fontId="177" fillId="0" borderId="0" applyNumberFormat="0" applyFill="0" applyBorder="0" applyAlignment="0" applyProtection="0"/>
    <xf numFmtId="0" fontId="167" fillId="67" borderId="0" applyNumberFormat="0" applyBorder="0" applyAlignment="0" applyProtection="0"/>
    <xf numFmtId="0" fontId="167" fillId="66" borderId="0" applyNumberFormat="0" applyBorder="0" applyAlignment="0" applyProtection="0"/>
    <xf numFmtId="0" fontId="167" fillId="65" borderId="0" applyNumberFormat="0" applyBorder="0" applyAlignment="0" applyProtection="0"/>
    <xf numFmtId="0" fontId="167" fillId="64" borderId="0" applyNumberFormat="0" applyBorder="0" applyAlignment="0" applyProtection="0"/>
    <xf numFmtId="0" fontId="167" fillId="63" borderId="0" applyNumberFormat="0" applyBorder="0" applyAlignment="0" applyProtection="0"/>
    <xf numFmtId="0" fontId="167" fillId="62" borderId="0" applyNumberFormat="0" applyBorder="0" applyAlignment="0" applyProtection="0"/>
    <xf numFmtId="0" fontId="183" fillId="0" borderId="0" applyNumberFormat="0" applyFill="0" applyBorder="0" applyAlignment="0" applyProtection="0"/>
    <xf numFmtId="0" fontId="173" fillId="0" borderId="0" applyNumberFormat="0" applyFill="0" applyBorder="0" applyAlignment="0" applyProtection="0"/>
    <xf numFmtId="0" fontId="182" fillId="0" borderId="0" applyNumberFormat="0" applyFill="0" applyBorder="0" applyAlignment="0" applyProtection="0"/>
    <xf numFmtId="0" fontId="175" fillId="0" borderId="37" applyNumberFormat="0" applyFill="0" applyAlignment="0" applyProtection="0"/>
    <xf numFmtId="0" fontId="176" fillId="0" borderId="38" applyNumberFormat="0" applyFill="0" applyAlignment="0" applyProtection="0"/>
    <xf numFmtId="0" fontId="177" fillId="0" borderId="39" applyNumberFormat="0" applyFill="0" applyAlignment="0" applyProtection="0"/>
    <xf numFmtId="0" fontId="177" fillId="0" borderId="0" applyNumberFormat="0" applyFill="0" applyBorder="0" applyAlignment="0" applyProtection="0"/>
    <xf numFmtId="0" fontId="183" fillId="0" borderId="0" applyNumberFormat="0" applyFill="0" applyBorder="0" applyAlignment="0" applyProtection="0"/>
    <xf numFmtId="0" fontId="173" fillId="0" borderId="0" applyNumberFormat="0" applyFill="0" applyBorder="0" applyAlignment="0" applyProtection="0"/>
    <xf numFmtId="0" fontId="182" fillId="0" borderId="0" applyNumberFormat="0" applyFill="0" applyBorder="0" applyAlignment="0" applyProtection="0"/>
    <xf numFmtId="0" fontId="175" fillId="0" borderId="37" applyNumberFormat="0" applyFill="0" applyAlignment="0" applyProtection="0"/>
    <xf numFmtId="0" fontId="176" fillId="0" borderId="38" applyNumberFormat="0" applyFill="0" applyAlignment="0" applyProtection="0"/>
    <xf numFmtId="0" fontId="177" fillId="0" borderId="39" applyNumberFormat="0" applyFill="0" applyAlignment="0" applyProtection="0"/>
    <xf numFmtId="0" fontId="177" fillId="0" borderId="0" applyNumberFormat="0" applyFill="0" applyBorder="0" applyAlignment="0" applyProtection="0"/>
    <xf numFmtId="0" fontId="167" fillId="70" borderId="0" applyNumberFormat="0" applyBorder="0" applyAlignment="0" applyProtection="0"/>
    <xf numFmtId="0" fontId="167" fillId="71" borderId="0" applyNumberFormat="0" applyBorder="0" applyAlignment="0" applyProtection="0"/>
    <xf numFmtId="0" fontId="167" fillId="72" borderId="0" applyNumberFormat="0" applyBorder="0" applyAlignment="0" applyProtection="0"/>
    <xf numFmtId="0" fontId="167" fillId="65" borderId="0" applyNumberFormat="0" applyBorder="0" applyAlignment="0" applyProtection="0"/>
    <xf numFmtId="0" fontId="167" fillId="70" borderId="0" applyNumberFormat="0" applyBorder="0" applyAlignment="0" applyProtection="0"/>
    <xf numFmtId="0" fontId="167" fillId="73" borderId="0" applyNumberFormat="0" applyBorder="0" applyAlignment="0" applyProtection="0"/>
    <xf numFmtId="0" fontId="181" fillId="68" borderId="41" applyNumberFormat="0" applyAlignment="0" applyProtection="0"/>
    <xf numFmtId="0" fontId="174" fillId="64" borderId="0" applyNumberFormat="0" applyBorder="0" applyAlignment="0" applyProtection="0"/>
    <xf numFmtId="0" fontId="168" fillId="75" borderId="0" applyNumberFormat="0" applyBorder="0" applyAlignment="0" applyProtection="0"/>
    <xf numFmtId="0" fontId="168" fillId="71" borderId="0" applyNumberFormat="0" applyBorder="0" applyAlignment="0" applyProtection="0"/>
    <xf numFmtId="0" fontId="168" fillId="72" borderId="0" applyNumberFormat="0" applyBorder="0" applyAlignment="0" applyProtection="0"/>
    <xf numFmtId="0" fontId="168" fillId="76" borderId="0" applyNumberFormat="0" applyBorder="0" applyAlignment="0" applyProtection="0"/>
    <xf numFmtId="0" fontId="168" fillId="77" borderId="0" applyNumberFormat="0" applyBorder="0" applyAlignment="0" applyProtection="0"/>
    <xf numFmtId="0" fontId="168" fillId="78" borderId="0" applyNumberFormat="0" applyBorder="0" applyAlignment="0" applyProtection="0"/>
    <xf numFmtId="0" fontId="167" fillId="62" borderId="0" applyNumberFormat="0" applyBorder="0" applyAlignment="0" applyProtection="0"/>
    <xf numFmtId="0" fontId="167" fillId="63" borderId="0" applyNumberFormat="0" applyBorder="0" applyAlignment="0" applyProtection="0"/>
    <xf numFmtId="0" fontId="167" fillId="64" borderId="0" applyNumberFormat="0" applyBorder="0" applyAlignment="0" applyProtection="0"/>
    <xf numFmtId="0" fontId="167" fillId="65" borderId="0" applyNumberFormat="0" applyBorder="0" applyAlignment="0" applyProtection="0"/>
    <xf numFmtId="0" fontId="167" fillId="66" borderId="0" applyNumberFormat="0" applyBorder="0" applyAlignment="0" applyProtection="0"/>
    <xf numFmtId="0" fontId="167" fillId="67" borderId="0" applyNumberFormat="0" applyBorder="0" applyAlignment="0" applyProtection="0"/>
    <xf numFmtId="0" fontId="170" fillId="68" borderId="34" applyNumberFormat="0" applyAlignment="0" applyProtection="0"/>
    <xf numFmtId="0" fontId="171" fillId="79" borderId="35" applyNumberFormat="0" applyAlignment="0" applyProtection="0"/>
    <xf numFmtId="0" fontId="179" fillId="0" borderId="36" applyNumberFormat="0" applyFill="0" applyAlignment="0" applyProtection="0"/>
    <xf numFmtId="0" fontId="181" fillId="68" borderId="41" applyNumberFormat="0" applyAlignment="0" applyProtection="0"/>
    <xf numFmtId="0" fontId="167" fillId="70" borderId="0" applyNumberFormat="0" applyBorder="0" applyAlignment="0" applyProtection="0"/>
    <xf numFmtId="0" fontId="167" fillId="71" borderId="0" applyNumberFormat="0" applyBorder="0" applyAlignment="0" applyProtection="0"/>
    <xf numFmtId="0" fontId="167" fillId="72" borderId="0" applyNumberFormat="0" applyBorder="0" applyAlignment="0" applyProtection="0"/>
    <xf numFmtId="0" fontId="167" fillId="65" borderId="0" applyNumberFormat="0" applyBorder="0" applyAlignment="0" applyProtection="0"/>
    <xf numFmtId="0" fontId="167" fillId="70" borderId="0" applyNumberFormat="0" applyBorder="0" applyAlignment="0" applyProtection="0"/>
    <xf numFmtId="0" fontId="167" fillId="73" borderId="0" applyNumberFormat="0" applyBorder="0" applyAlignment="0" applyProtection="0"/>
    <xf numFmtId="0" fontId="174" fillId="64" borderId="0" applyNumberFormat="0" applyBorder="0" applyAlignment="0" applyProtection="0"/>
    <xf numFmtId="0" fontId="168" fillId="75" borderId="0" applyNumberFormat="0" applyBorder="0" applyAlignment="0" applyProtection="0"/>
    <xf numFmtId="0" fontId="168" fillId="71" borderId="0" applyNumberFormat="0" applyBorder="0" applyAlignment="0" applyProtection="0"/>
    <xf numFmtId="0" fontId="168" fillId="72" borderId="0" applyNumberFormat="0" applyBorder="0" applyAlignment="0" applyProtection="0"/>
    <xf numFmtId="0" fontId="168" fillId="76" borderId="0" applyNumberFormat="0" applyBorder="0" applyAlignment="0" applyProtection="0"/>
    <xf numFmtId="0" fontId="168" fillId="77" borderId="0" applyNumberFormat="0" applyBorder="0" applyAlignment="0" applyProtection="0"/>
    <xf numFmtId="0" fontId="168" fillId="78" borderId="0" applyNumberFormat="0" applyBorder="0" applyAlignment="0" applyProtection="0"/>
    <xf numFmtId="0" fontId="170" fillId="68" borderId="34" applyNumberFormat="0" applyAlignment="0" applyProtection="0"/>
    <xf numFmtId="0" fontId="171" fillId="79" borderId="35" applyNumberFormat="0" applyAlignment="0" applyProtection="0"/>
    <xf numFmtId="0" fontId="179" fillId="0" borderId="36" applyNumberFormat="0" applyFill="0" applyAlignment="0" applyProtection="0"/>
    <xf numFmtId="0" fontId="174" fillId="64" borderId="0" applyNumberFormat="0" applyBorder="0" applyAlignment="0" applyProtection="0"/>
    <xf numFmtId="0" fontId="3" fillId="69" borderId="7" applyNumberFormat="0" applyFont="0" applyAlignment="0" applyProtection="0"/>
    <xf numFmtId="0" fontId="170" fillId="68" borderId="34" applyNumberFormat="0" applyAlignment="0" applyProtection="0"/>
    <xf numFmtId="0" fontId="171" fillId="79" borderId="35" applyNumberFormat="0" applyAlignment="0" applyProtection="0"/>
    <xf numFmtId="0" fontId="179" fillId="0" borderId="36" applyNumberFormat="0" applyFill="0" applyAlignment="0" applyProtection="0"/>
    <xf numFmtId="0" fontId="3" fillId="69" borderId="7" applyNumberFormat="0" applyFont="0" applyAlignment="0" applyProtection="0"/>
    <xf numFmtId="0" fontId="180" fillId="74" borderId="0" applyNumberFormat="0" applyBorder="0" applyAlignment="0" applyProtection="0"/>
    <xf numFmtId="194" fontId="3" fillId="0" borderId="0" applyFont="0" applyFill="0" applyBorder="0" applyAlignment="0" applyProtection="0"/>
    <xf numFmtId="0" fontId="180" fillId="74" borderId="0" applyNumberFormat="0" applyBorder="0" applyAlignment="0" applyProtection="0"/>
    <xf numFmtId="194" fontId="3" fillId="0" borderId="0" applyFont="0" applyFill="0" applyBorder="0" applyAlignment="0" applyProtection="0"/>
    <xf numFmtId="0" fontId="168" fillId="80" borderId="0" applyNumberFormat="0" applyBorder="0" applyAlignment="0" applyProtection="0"/>
    <xf numFmtId="0" fontId="168" fillId="81" borderId="0" applyNumberFormat="0" applyBorder="0" applyAlignment="0" applyProtection="0"/>
    <xf numFmtId="0" fontId="168" fillId="82" borderId="0" applyNumberFormat="0" applyBorder="0" applyAlignment="0" applyProtection="0"/>
    <xf numFmtId="0" fontId="168" fillId="76" borderId="0" applyNumberFormat="0" applyBorder="0" applyAlignment="0" applyProtection="0"/>
    <xf numFmtId="0" fontId="168" fillId="77" borderId="0" applyNumberFormat="0" applyBorder="0" applyAlignment="0" applyProtection="0"/>
    <xf numFmtId="0" fontId="168" fillId="83" borderId="0" applyNumberFormat="0" applyBorder="0" applyAlignment="0" applyProtection="0"/>
    <xf numFmtId="0" fontId="169" fillId="63" borderId="0" applyNumberFormat="0" applyBorder="0" applyAlignment="0" applyProtection="0"/>
    <xf numFmtId="0" fontId="168" fillId="80" borderId="0" applyNumberFormat="0" applyBorder="0" applyAlignment="0" applyProtection="0"/>
    <xf numFmtId="0" fontId="168" fillId="81" borderId="0" applyNumberFormat="0" applyBorder="0" applyAlignment="0" applyProtection="0"/>
    <xf numFmtId="0" fontId="168" fillId="82" borderId="0" applyNumberFormat="0" applyBorder="0" applyAlignment="0" applyProtection="0"/>
    <xf numFmtId="0" fontId="168" fillId="76" borderId="0" applyNumberFormat="0" applyBorder="0" applyAlignment="0" applyProtection="0"/>
    <xf numFmtId="0" fontId="168" fillId="77" borderId="0" applyNumberFormat="0" applyBorder="0" applyAlignment="0" applyProtection="0"/>
    <xf numFmtId="0" fontId="168" fillId="83" borderId="0" applyNumberFormat="0" applyBorder="0" applyAlignment="0" applyProtection="0"/>
    <xf numFmtId="0" fontId="169" fillId="63" borderId="0" applyNumberFormat="0" applyBorder="0" applyAlignment="0" applyProtection="0"/>
    <xf numFmtId="0" fontId="168" fillId="80" borderId="0" applyNumberFormat="0" applyBorder="0" applyAlignment="0" applyProtection="0"/>
    <xf numFmtId="0" fontId="168" fillId="81" borderId="0" applyNumberFormat="0" applyBorder="0" applyAlignment="0" applyProtection="0"/>
    <xf numFmtId="0" fontId="168" fillId="82" borderId="0" applyNumberFormat="0" applyBorder="0" applyAlignment="0" applyProtection="0"/>
    <xf numFmtId="0" fontId="168" fillId="76" borderId="0" applyNumberFormat="0" applyBorder="0" applyAlignment="0" applyProtection="0"/>
    <xf numFmtId="0" fontId="168" fillId="77" borderId="0" applyNumberFormat="0" applyBorder="0" applyAlignment="0" applyProtection="0"/>
    <xf numFmtId="0" fontId="168" fillId="83" borderId="0" applyNumberFormat="0" applyBorder="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68" fillId="83" borderId="0" applyNumberFormat="0" applyBorder="0" applyAlignment="0" applyProtection="0"/>
    <xf numFmtId="0" fontId="168" fillId="77" borderId="0" applyNumberFormat="0" applyBorder="0" applyAlignment="0" applyProtection="0"/>
    <xf numFmtId="0" fontId="168" fillId="76" borderId="0" applyNumberFormat="0" applyBorder="0" applyAlignment="0" applyProtection="0"/>
    <xf numFmtId="0" fontId="168" fillId="82" borderId="0" applyNumberFormat="0" applyBorder="0" applyAlignment="0" applyProtection="0"/>
    <xf numFmtId="0" fontId="169" fillId="63" borderId="0" applyNumberFormat="0" applyBorder="0" applyAlignment="0" applyProtection="0"/>
    <xf numFmtId="0" fontId="168" fillId="81" borderId="0" applyNumberFormat="0" applyBorder="0" applyAlignment="0" applyProtection="0"/>
    <xf numFmtId="0" fontId="168" fillId="80" borderId="0" applyNumberFormat="0" applyBorder="0" applyAlignment="0" applyProtection="0"/>
    <xf numFmtId="0" fontId="169" fillId="63" borderId="0" applyNumberFormat="0" applyBorder="0" applyAlignment="0" applyProtection="0"/>
    <xf numFmtId="0" fontId="168" fillId="83" borderId="0" applyNumberFormat="0" applyBorder="0" applyAlignment="0" applyProtection="0"/>
    <xf numFmtId="0" fontId="168" fillId="77" borderId="0" applyNumberFormat="0" applyBorder="0" applyAlignment="0" applyProtection="0"/>
    <xf numFmtId="0" fontId="168" fillId="76" borderId="0" applyNumberFormat="0" applyBorder="0" applyAlignment="0" applyProtection="0"/>
    <xf numFmtId="0" fontId="168" fillId="82" borderId="0" applyNumberFormat="0" applyBorder="0" applyAlignment="0" applyProtection="0"/>
    <xf numFmtId="0" fontId="168" fillId="81" borderId="0" applyNumberFormat="0" applyBorder="0" applyAlignment="0" applyProtection="0"/>
    <xf numFmtId="0" fontId="168" fillId="80" borderId="0" applyNumberFormat="0" applyBorder="0" applyAlignment="0" applyProtection="0"/>
    <xf numFmtId="0" fontId="169" fillId="63" borderId="0" applyNumberFormat="0" applyBorder="0" applyAlignment="0" applyProtection="0"/>
    <xf numFmtId="194" fontId="3" fillId="0" borderId="0" applyFont="0" applyFill="0" applyBorder="0" applyAlignment="0" applyProtection="0"/>
    <xf numFmtId="0" fontId="180" fillId="74" borderId="0" applyNumberFormat="0" applyBorder="0" applyAlignment="0" applyProtection="0"/>
    <xf numFmtId="194" fontId="3" fillId="0" borderId="0" applyFont="0" applyFill="0" applyBorder="0" applyAlignment="0" applyProtection="0"/>
    <xf numFmtId="0" fontId="180" fillId="74" borderId="0" applyNumberFormat="0" applyBorder="0" applyAlignment="0" applyProtection="0"/>
    <xf numFmtId="0" fontId="3" fillId="69" borderId="7" applyNumberFormat="0" applyFont="0" applyAlignment="0" applyProtection="0"/>
    <xf numFmtId="194" fontId="3" fillId="0" borderId="0" applyFont="0" applyFill="0" applyBorder="0" applyAlignment="0" applyProtection="0"/>
    <xf numFmtId="0" fontId="180" fillId="74" borderId="0" applyNumberFormat="0" applyBorder="0" applyAlignment="0" applyProtection="0"/>
    <xf numFmtId="0" fontId="3" fillId="69" borderId="7" applyNumberFormat="0" applyFont="0" applyAlignment="0" applyProtection="0"/>
    <xf numFmtId="0" fontId="179" fillId="0" borderId="36" applyNumberFormat="0" applyFill="0" applyAlignment="0" applyProtection="0"/>
    <xf numFmtId="0" fontId="171" fillId="79" borderId="35" applyNumberFormat="0" applyAlignment="0" applyProtection="0"/>
    <xf numFmtId="0" fontId="170" fillId="68" borderId="34" applyNumberFormat="0" applyAlignment="0" applyProtection="0"/>
    <xf numFmtId="0" fontId="174" fillId="64" borderId="0" applyNumberFormat="0" applyBorder="0" applyAlignment="0" applyProtection="0"/>
    <xf numFmtId="0" fontId="181" fillId="68" borderId="41" applyNumberFormat="0" applyAlignment="0" applyProtection="0"/>
    <xf numFmtId="0" fontId="179" fillId="0" borderId="36" applyNumberFormat="0" applyFill="0" applyAlignment="0" applyProtection="0"/>
    <xf numFmtId="0" fontId="171" fillId="79" borderId="35" applyNumberFormat="0" applyAlignment="0" applyProtection="0"/>
    <xf numFmtId="43" fontId="3" fillId="0" borderId="0" applyFont="0" applyFill="0" applyBorder="0" applyAlignment="0" applyProtection="0"/>
    <xf numFmtId="0" fontId="170" fillId="68" borderId="34" applyNumberFormat="0" applyAlignment="0" applyProtection="0"/>
    <xf numFmtId="0" fontId="168" fillId="78" borderId="0" applyNumberFormat="0" applyBorder="0" applyAlignment="0" applyProtection="0"/>
    <xf numFmtId="0" fontId="168" fillId="77" borderId="0" applyNumberFormat="0" applyBorder="0" applyAlignment="0" applyProtection="0"/>
    <xf numFmtId="0" fontId="168" fillId="76" borderId="0" applyNumberFormat="0" applyBorder="0" applyAlignment="0" applyProtection="0"/>
    <xf numFmtId="0" fontId="168" fillId="72" borderId="0" applyNumberFormat="0" applyBorder="0" applyAlignment="0" applyProtection="0"/>
    <xf numFmtId="0" fontId="168" fillId="71" borderId="0" applyNumberFormat="0" applyBorder="0" applyAlignment="0" applyProtection="0"/>
    <xf numFmtId="0" fontId="168" fillId="75" borderId="0" applyNumberFormat="0" applyBorder="0" applyAlignment="0" applyProtection="0"/>
    <xf numFmtId="0" fontId="174" fillId="64" borderId="0" applyNumberFormat="0" applyBorder="0" applyAlignment="0" applyProtection="0"/>
    <xf numFmtId="0" fontId="181" fillId="68" borderId="41" applyNumberFormat="0" applyAlignment="0" applyProtection="0"/>
    <xf numFmtId="0" fontId="167" fillId="73" borderId="0" applyNumberFormat="0" applyBorder="0" applyAlignment="0" applyProtection="0"/>
    <xf numFmtId="0" fontId="167" fillId="70" borderId="0" applyNumberFormat="0" applyBorder="0" applyAlignment="0" applyProtection="0"/>
    <xf numFmtId="0" fontId="167" fillId="65" borderId="0" applyNumberFormat="0" applyBorder="0" applyAlignment="0" applyProtection="0"/>
    <xf numFmtId="0" fontId="167" fillId="72" borderId="0" applyNumberFormat="0" applyBorder="0" applyAlignment="0" applyProtection="0"/>
    <xf numFmtId="0" fontId="167" fillId="71" borderId="0" applyNumberFormat="0" applyBorder="0" applyAlignment="0" applyProtection="0"/>
    <xf numFmtId="0" fontId="167" fillId="70" borderId="0" applyNumberFormat="0" applyBorder="0" applyAlignment="0" applyProtection="0"/>
    <xf numFmtId="43" fontId="3" fillId="0" borderId="0" applyFont="0" applyFill="0" applyBorder="0" applyAlignment="0" applyProtection="0"/>
    <xf numFmtId="0" fontId="167" fillId="67" borderId="0" applyNumberFormat="0" applyBorder="0" applyAlignment="0" applyProtection="0"/>
    <xf numFmtId="0" fontId="167" fillId="66" borderId="0" applyNumberFormat="0" applyBorder="0" applyAlignment="0" applyProtection="0"/>
    <xf numFmtId="0" fontId="167" fillId="65" borderId="0" applyNumberFormat="0" applyBorder="0" applyAlignment="0" applyProtection="0"/>
    <xf numFmtId="0" fontId="167" fillId="64" borderId="0" applyNumberFormat="0" applyBorder="0" applyAlignment="0" applyProtection="0"/>
    <xf numFmtId="0" fontId="167" fillId="63" borderId="0" applyNumberFormat="0" applyBorder="0" applyAlignment="0" applyProtection="0"/>
    <xf numFmtId="0" fontId="167" fillId="62" borderId="0" applyNumberFormat="0" applyBorder="0" applyAlignment="0" applyProtection="0"/>
    <xf numFmtId="0" fontId="168" fillId="78" borderId="0" applyNumberFormat="0" applyBorder="0" applyAlignment="0" applyProtection="0"/>
    <xf numFmtId="0" fontId="168" fillId="77" borderId="0" applyNumberFormat="0" applyBorder="0" applyAlignment="0" applyProtection="0"/>
    <xf numFmtId="0" fontId="168" fillId="76" borderId="0" applyNumberFormat="0" applyBorder="0" applyAlignment="0" applyProtection="0"/>
    <xf numFmtId="0" fontId="168" fillId="72" borderId="0" applyNumberFormat="0" applyBorder="0" applyAlignment="0" applyProtection="0"/>
    <xf numFmtId="0" fontId="168" fillId="71" borderId="0" applyNumberFormat="0" applyBorder="0" applyAlignment="0" applyProtection="0"/>
    <xf numFmtId="0" fontId="183" fillId="0" borderId="0" applyNumberFormat="0" applyFill="0" applyBorder="0" applyAlignment="0" applyProtection="0"/>
    <xf numFmtId="0" fontId="173" fillId="0" borderId="0" applyNumberFormat="0" applyFill="0" applyBorder="0" applyAlignment="0" applyProtection="0"/>
    <xf numFmtId="0" fontId="168" fillId="75" borderId="0" applyNumberFormat="0" applyBorder="0" applyAlignment="0" applyProtection="0"/>
    <xf numFmtId="0" fontId="182" fillId="0" borderId="0" applyNumberFormat="0" applyFill="0" applyBorder="0" applyAlignment="0" applyProtection="0"/>
    <xf numFmtId="0" fontId="175" fillId="0" borderId="37" applyNumberFormat="0" applyFill="0" applyAlignment="0" applyProtection="0"/>
    <xf numFmtId="0" fontId="176" fillId="0" borderId="38" applyNumberFormat="0" applyFill="0" applyAlignment="0" applyProtection="0"/>
    <xf numFmtId="0" fontId="177" fillId="0" borderId="39" applyNumberFormat="0" applyFill="0" applyAlignment="0" applyProtection="0"/>
    <xf numFmtId="0" fontId="177" fillId="0" borderId="0" applyNumberFormat="0" applyFill="0" applyBorder="0" applyAlignment="0" applyProtection="0"/>
    <xf numFmtId="0" fontId="181" fillId="68" borderId="41" applyNumberFormat="0" applyAlignment="0" applyProtection="0"/>
    <xf numFmtId="0" fontId="167" fillId="73" borderId="0" applyNumberFormat="0" applyBorder="0" applyAlignment="0" applyProtection="0"/>
    <xf numFmtId="0" fontId="167" fillId="70" borderId="0" applyNumberFormat="0" applyBorder="0" applyAlignment="0" applyProtection="0"/>
    <xf numFmtId="0" fontId="167" fillId="65" borderId="0" applyNumberFormat="0" applyBorder="0" applyAlignment="0" applyProtection="0"/>
    <xf numFmtId="0" fontId="167" fillId="72" borderId="0" applyNumberFormat="0" applyBorder="0" applyAlignment="0" applyProtection="0"/>
    <xf numFmtId="0" fontId="167" fillId="71" borderId="0" applyNumberFormat="0" applyBorder="0" applyAlignment="0" applyProtection="0"/>
    <xf numFmtId="0" fontId="167" fillId="70" borderId="0" applyNumberFormat="0" applyBorder="0" applyAlignment="0" applyProtection="0"/>
    <xf numFmtId="43" fontId="3" fillId="0" borderId="0" applyFont="0" applyFill="0" applyBorder="0" applyAlignment="0" applyProtection="0"/>
    <xf numFmtId="0" fontId="3" fillId="69" borderId="7" applyNumberFormat="0" applyFont="0" applyAlignment="0" applyProtection="0"/>
    <xf numFmtId="43" fontId="3" fillId="0" borderId="0" applyFont="0" applyFill="0" applyBorder="0" applyAlignment="0" applyProtection="0"/>
    <xf numFmtId="0" fontId="167" fillId="67" borderId="0" applyNumberFormat="0" applyBorder="0" applyAlignment="0" applyProtection="0"/>
    <xf numFmtId="0" fontId="167" fillId="66" borderId="0" applyNumberFormat="0" applyBorder="0" applyAlignment="0" applyProtection="0"/>
    <xf numFmtId="0" fontId="167" fillId="65" borderId="0" applyNumberFormat="0" applyBorder="0" applyAlignment="0" applyProtection="0"/>
    <xf numFmtId="0" fontId="167" fillId="64" borderId="0" applyNumberFormat="0" applyBorder="0" applyAlignment="0" applyProtection="0"/>
    <xf numFmtId="0" fontId="167" fillId="63" borderId="0" applyNumberFormat="0" applyBorder="0" applyAlignment="0" applyProtection="0"/>
    <xf numFmtId="0" fontId="167" fillId="62" borderId="0" applyNumberFormat="0" applyBorder="0" applyAlignment="0" applyProtection="0"/>
    <xf numFmtId="0" fontId="168" fillId="78" borderId="0" applyNumberFormat="0" applyBorder="0" applyAlignment="0" applyProtection="0"/>
    <xf numFmtId="0" fontId="168" fillId="77" borderId="0" applyNumberFormat="0" applyBorder="0" applyAlignment="0" applyProtection="0"/>
    <xf numFmtId="0" fontId="168" fillId="76" borderId="0" applyNumberFormat="0" applyBorder="0" applyAlignment="0" applyProtection="0"/>
    <xf numFmtId="0" fontId="168" fillId="72" borderId="0" applyNumberFormat="0" applyBorder="0" applyAlignment="0" applyProtection="0"/>
    <xf numFmtId="0" fontId="168" fillId="71" borderId="0" applyNumberFormat="0" applyBorder="0" applyAlignment="0" applyProtection="0"/>
    <xf numFmtId="0" fontId="183" fillId="0" borderId="0" applyNumberFormat="0" applyFill="0" applyBorder="0" applyAlignment="0" applyProtection="0"/>
    <xf numFmtId="0" fontId="173" fillId="0" borderId="0" applyNumberFormat="0" applyFill="0" applyBorder="0" applyAlignment="0" applyProtection="0"/>
    <xf numFmtId="0" fontId="168" fillId="75" borderId="0" applyNumberFormat="0" applyBorder="0" applyAlignment="0" applyProtection="0"/>
    <xf numFmtId="0" fontId="182" fillId="0" borderId="0" applyNumberFormat="0" applyFill="0" applyBorder="0" applyAlignment="0" applyProtection="0"/>
    <xf numFmtId="0" fontId="175" fillId="0" borderId="37" applyNumberFormat="0" applyFill="0" applyAlignment="0" applyProtection="0"/>
    <xf numFmtId="0" fontId="176" fillId="0" borderId="38" applyNumberFormat="0" applyFill="0" applyAlignment="0" applyProtection="0"/>
    <xf numFmtId="0" fontId="177" fillId="0" borderId="39" applyNumberFormat="0" applyFill="0" applyAlignment="0" applyProtection="0"/>
    <xf numFmtId="0" fontId="177" fillId="0" borderId="0" applyNumberFormat="0" applyFill="0" applyBorder="0" applyAlignment="0" applyProtection="0"/>
    <xf numFmtId="0" fontId="167" fillId="73" borderId="0" applyNumberFormat="0" applyBorder="0" applyAlignment="0" applyProtection="0"/>
    <xf numFmtId="0" fontId="167" fillId="70" borderId="0" applyNumberFormat="0" applyBorder="0" applyAlignment="0" applyProtection="0"/>
    <xf numFmtId="0" fontId="167" fillId="65" borderId="0" applyNumberFormat="0" applyBorder="0" applyAlignment="0" applyProtection="0"/>
    <xf numFmtId="0" fontId="167" fillId="72" borderId="0" applyNumberFormat="0" applyBorder="0" applyAlignment="0" applyProtection="0"/>
    <xf numFmtId="0" fontId="167" fillId="71" borderId="0" applyNumberFormat="0" applyBorder="0" applyAlignment="0" applyProtection="0"/>
    <xf numFmtId="0" fontId="167" fillId="70" borderId="0" applyNumberFormat="0" applyBorder="0" applyAlignment="0" applyProtection="0"/>
    <xf numFmtId="0" fontId="167" fillId="67" borderId="0" applyNumberFormat="0" applyBorder="0" applyAlignment="0" applyProtection="0"/>
    <xf numFmtId="0" fontId="167" fillId="66" borderId="0" applyNumberFormat="0" applyBorder="0" applyAlignment="0" applyProtection="0"/>
    <xf numFmtId="0" fontId="167" fillId="65" borderId="0" applyNumberFormat="0" applyBorder="0" applyAlignment="0" applyProtection="0"/>
    <xf numFmtId="0" fontId="167" fillId="64" borderId="0" applyNumberFormat="0" applyBorder="0" applyAlignment="0" applyProtection="0"/>
    <xf numFmtId="0" fontId="167" fillId="63" borderId="0" applyNumberFormat="0" applyBorder="0" applyAlignment="0" applyProtection="0"/>
    <xf numFmtId="0" fontId="167" fillId="62" borderId="0" applyNumberFormat="0" applyBorder="0" applyAlignment="0" applyProtection="0"/>
    <xf numFmtId="0" fontId="183" fillId="0" borderId="0" applyNumberFormat="0" applyFill="0" applyBorder="0" applyAlignment="0" applyProtection="0"/>
    <xf numFmtId="0" fontId="173" fillId="0" borderId="0" applyNumberFormat="0" applyFill="0" applyBorder="0" applyAlignment="0" applyProtection="0"/>
    <xf numFmtId="0" fontId="182" fillId="0" borderId="0" applyNumberFormat="0" applyFill="0" applyBorder="0" applyAlignment="0" applyProtection="0"/>
    <xf numFmtId="0" fontId="175" fillId="0" borderId="37" applyNumberFormat="0" applyFill="0" applyAlignment="0" applyProtection="0"/>
    <xf numFmtId="0" fontId="176" fillId="0" borderId="38" applyNumberFormat="0" applyFill="0" applyAlignment="0" applyProtection="0"/>
    <xf numFmtId="0" fontId="177" fillId="0" borderId="39" applyNumberFormat="0" applyFill="0" applyAlignment="0" applyProtection="0"/>
    <xf numFmtId="0" fontId="177" fillId="0" borderId="0" applyNumberFormat="0" applyFill="0" applyBorder="0" applyAlignment="0" applyProtection="0"/>
    <xf numFmtId="0" fontId="167" fillId="67" borderId="0" applyNumberFormat="0" applyBorder="0" applyAlignment="0" applyProtection="0"/>
    <xf numFmtId="0" fontId="167" fillId="66" borderId="0" applyNumberFormat="0" applyBorder="0" applyAlignment="0" applyProtection="0"/>
    <xf numFmtId="0" fontId="167" fillId="65" borderId="0" applyNumberFormat="0" applyBorder="0" applyAlignment="0" applyProtection="0"/>
    <xf numFmtId="0" fontId="167" fillId="64" borderId="0" applyNumberFormat="0" applyBorder="0" applyAlignment="0" applyProtection="0"/>
    <xf numFmtId="0" fontId="167" fillId="63" borderId="0" applyNumberFormat="0" applyBorder="0" applyAlignment="0" applyProtection="0"/>
    <xf numFmtId="0" fontId="167" fillId="62" borderId="0" applyNumberFormat="0" applyBorder="0" applyAlignment="0" applyProtection="0"/>
    <xf numFmtId="0" fontId="183" fillId="0" borderId="0" applyNumberFormat="0" applyFill="0" applyBorder="0" applyAlignment="0" applyProtection="0"/>
    <xf numFmtId="0" fontId="173" fillId="0" borderId="0" applyNumberFormat="0" applyFill="0" applyBorder="0" applyAlignment="0" applyProtection="0"/>
    <xf numFmtId="0" fontId="182" fillId="0" borderId="0" applyNumberFormat="0" applyFill="0" applyBorder="0" applyAlignment="0" applyProtection="0"/>
    <xf numFmtId="0" fontId="175" fillId="0" borderId="37" applyNumberFormat="0" applyFill="0" applyAlignment="0" applyProtection="0"/>
    <xf numFmtId="0" fontId="176" fillId="0" borderId="38" applyNumberFormat="0" applyFill="0" applyAlignment="0" applyProtection="0"/>
    <xf numFmtId="0" fontId="177" fillId="0" borderId="39" applyNumberFormat="0" applyFill="0" applyAlignment="0" applyProtection="0"/>
    <xf numFmtId="0" fontId="177" fillId="0" borderId="0" applyNumberFormat="0" applyFill="0" applyBorder="0" applyAlignment="0" applyProtection="0"/>
    <xf numFmtId="0" fontId="183" fillId="0" borderId="0" applyNumberFormat="0" applyFill="0" applyBorder="0" applyAlignment="0" applyProtection="0"/>
    <xf numFmtId="0" fontId="173" fillId="0" borderId="0" applyNumberFormat="0" applyFill="0" applyBorder="0" applyAlignment="0" applyProtection="0"/>
    <xf numFmtId="0" fontId="182" fillId="0" borderId="0" applyNumberFormat="0" applyFill="0" applyBorder="0" applyAlignment="0" applyProtection="0"/>
    <xf numFmtId="0" fontId="175" fillId="0" borderId="37" applyNumberFormat="0" applyFill="0" applyAlignment="0" applyProtection="0"/>
    <xf numFmtId="0" fontId="176" fillId="0" borderId="38" applyNumberFormat="0" applyFill="0" applyAlignment="0" applyProtection="0"/>
    <xf numFmtId="0" fontId="177" fillId="0" borderId="39" applyNumberFormat="0" applyFill="0" applyAlignment="0" applyProtection="0"/>
    <xf numFmtId="0" fontId="177" fillId="0" borderId="0" applyNumberFormat="0" applyFill="0" applyBorder="0" applyAlignment="0" applyProtection="0"/>
    <xf numFmtId="0" fontId="167" fillId="62" borderId="0" applyNumberFormat="0" applyBorder="0" applyAlignment="0" applyProtection="0"/>
    <xf numFmtId="0" fontId="167" fillId="63" borderId="0" applyNumberFormat="0" applyBorder="0" applyAlignment="0" applyProtection="0"/>
    <xf numFmtId="0" fontId="167" fillId="64" borderId="0" applyNumberFormat="0" applyBorder="0" applyAlignment="0" applyProtection="0"/>
    <xf numFmtId="0" fontId="167" fillId="65" borderId="0" applyNumberFormat="0" applyBorder="0" applyAlignment="0" applyProtection="0"/>
    <xf numFmtId="0" fontId="167" fillId="66" borderId="0" applyNumberFormat="0" applyBorder="0" applyAlignment="0" applyProtection="0"/>
    <xf numFmtId="0" fontId="167" fillId="67" borderId="0" applyNumberFormat="0" applyBorder="0" applyAlignment="0" applyProtection="0"/>
    <xf numFmtId="43" fontId="3" fillId="0" borderId="0" applyFont="0" applyFill="0" applyBorder="0" applyAlignment="0" applyProtection="0"/>
    <xf numFmtId="0" fontId="181" fillId="68" borderId="41" applyNumberFormat="0" applyAlignment="0" applyProtection="0"/>
    <xf numFmtId="0" fontId="167" fillId="70" borderId="0" applyNumberFormat="0" applyBorder="0" applyAlignment="0" applyProtection="0"/>
    <xf numFmtId="0" fontId="167" fillId="71" borderId="0" applyNumberFormat="0" applyBorder="0" applyAlignment="0" applyProtection="0"/>
    <xf numFmtId="0" fontId="167" fillId="72" borderId="0" applyNumberFormat="0" applyBorder="0" applyAlignment="0" applyProtection="0"/>
    <xf numFmtId="0" fontId="167" fillId="65" borderId="0" applyNumberFormat="0" applyBorder="0" applyAlignment="0" applyProtection="0"/>
    <xf numFmtId="0" fontId="167" fillId="70" borderId="0" applyNumberFormat="0" applyBorder="0" applyAlignment="0" applyProtection="0"/>
    <xf numFmtId="0" fontId="167" fillId="73" borderId="0" applyNumberFormat="0" applyBorder="0" applyAlignment="0" applyProtection="0"/>
    <xf numFmtId="0" fontId="168" fillId="75" borderId="0" applyNumberFormat="0" applyBorder="0" applyAlignment="0" applyProtection="0"/>
    <xf numFmtId="0" fontId="168" fillId="71" borderId="0" applyNumberFormat="0" applyBorder="0" applyAlignment="0" applyProtection="0"/>
    <xf numFmtId="0" fontId="168" fillId="72" borderId="0" applyNumberFormat="0" applyBorder="0" applyAlignment="0" applyProtection="0"/>
    <xf numFmtId="0" fontId="168" fillId="76" borderId="0" applyNumberFormat="0" applyBorder="0" applyAlignment="0" applyProtection="0"/>
    <xf numFmtId="0" fontId="168" fillId="77" borderId="0" applyNumberFormat="0" applyBorder="0" applyAlignment="0" applyProtection="0"/>
    <xf numFmtId="0" fontId="168" fillId="78" borderId="0" applyNumberFormat="0" applyBorder="0" applyAlignment="0" applyProtection="0"/>
    <xf numFmtId="0" fontId="174" fillId="64" borderId="0" applyNumberFormat="0" applyBorder="0" applyAlignment="0" applyProtection="0"/>
    <xf numFmtId="0" fontId="170" fillId="68" borderId="34" applyNumberFormat="0" applyAlignment="0" applyProtection="0"/>
    <xf numFmtId="0" fontId="171" fillId="79" borderId="35" applyNumberFormat="0" applyAlignment="0" applyProtection="0"/>
    <xf numFmtId="0" fontId="179" fillId="0" borderId="36" applyNumberFormat="0" applyFill="0" applyAlignment="0" applyProtection="0"/>
    <xf numFmtId="0" fontId="3" fillId="69" borderId="7" applyNumberFormat="0" applyFont="0" applyAlignment="0" applyProtection="0"/>
    <xf numFmtId="0" fontId="180" fillId="74" borderId="0" applyNumberFormat="0" applyBorder="0" applyAlignment="0" applyProtection="0"/>
    <xf numFmtId="0" fontId="169" fillId="63" borderId="0" applyNumberFormat="0" applyBorder="0" applyAlignment="0" applyProtection="0"/>
    <xf numFmtId="0" fontId="168" fillId="80" borderId="0" applyNumberFormat="0" applyBorder="0" applyAlignment="0" applyProtection="0"/>
    <xf numFmtId="0" fontId="168" fillId="81" borderId="0" applyNumberFormat="0" applyBorder="0" applyAlignment="0" applyProtection="0"/>
    <xf numFmtId="0" fontId="168" fillId="82" borderId="0" applyNumberFormat="0" applyBorder="0" applyAlignment="0" applyProtection="0"/>
    <xf numFmtId="0" fontId="168" fillId="76" borderId="0" applyNumberFormat="0" applyBorder="0" applyAlignment="0" applyProtection="0"/>
    <xf numFmtId="0" fontId="168" fillId="77" borderId="0" applyNumberFormat="0" applyBorder="0" applyAlignment="0" applyProtection="0"/>
    <xf numFmtId="0" fontId="168" fillId="83" borderId="0" applyNumberFormat="0" applyBorder="0" applyAlignment="0" applyProtection="0"/>
    <xf numFmtId="0" fontId="178" fillId="67" borderId="34" applyNumberFormat="0" applyAlignment="0" applyProtection="0"/>
    <xf numFmtId="0" fontId="178" fillId="67" borderId="34" applyNumberFormat="0" applyAlignment="0" applyProtection="0"/>
    <xf numFmtId="0" fontId="168" fillId="83" borderId="0" applyNumberFormat="0" applyBorder="0" applyAlignment="0" applyProtection="0"/>
    <xf numFmtId="0" fontId="168" fillId="77" borderId="0" applyNumberFormat="0" applyBorder="0" applyAlignment="0" applyProtection="0"/>
    <xf numFmtId="0" fontId="168" fillId="76" borderId="0" applyNumberFormat="0" applyBorder="0" applyAlignment="0" applyProtection="0"/>
    <xf numFmtId="0" fontId="168" fillId="82" borderId="0" applyNumberFormat="0" applyBorder="0" applyAlignment="0" applyProtection="0"/>
    <xf numFmtId="0" fontId="169" fillId="63" borderId="0" applyNumberFormat="0" applyBorder="0" applyAlignment="0" applyProtection="0"/>
    <xf numFmtId="0" fontId="168" fillId="81" borderId="0" applyNumberFormat="0" applyBorder="0" applyAlignment="0" applyProtection="0"/>
    <xf numFmtId="0" fontId="168" fillId="80" borderId="0" applyNumberFormat="0" applyBorder="0" applyAlignment="0" applyProtection="0"/>
    <xf numFmtId="194" fontId="3" fillId="0" borderId="0" applyFont="0" applyFill="0" applyBorder="0" applyAlignment="0" applyProtection="0"/>
    <xf numFmtId="0" fontId="180" fillId="74" borderId="0" applyNumberFormat="0" applyBorder="0" applyAlignment="0" applyProtection="0"/>
    <xf numFmtId="0" fontId="3" fillId="69" borderId="7" applyNumberFormat="0" applyFont="0" applyAlignment="0" applyProtection="0"/>
    <xf numFmtId="0" fontId="179" fillId="0" borderId="36" applyNumberFormat="0" applyFill="0" applyAlignment="0" applyProtection="0"/>
    <xf numFmtId="0" fontId="171" fillId="79" borderId="35" applyNumberFormat="0" applyAlignment="0" applyProtection="0"/>
    <xf numFmtId="0" fontId="170" fillId="68" borderId="34" applyNumberFormat="0" applyAlignment="0" applyProtection="0"/>
    <xf numFmtId="0" fontId="174" fillId="64" borderId="0" applyNumberFormat="0" applyBorder="0" applyAlignment="0" applyProtection="0"/>
    <xf numFmtId="0" fontId="181" fillId="68" borderId="41" applyNumberFormat="0" applyAlignment="0" applyProtection="0"/>
    <xf numFmtId="43" fontId="3" fillId="0" borderId="0" applyFont="0" applyFill="0" applyBorder="0" applyAlignment="0" applyProtection="0"/>
    <xf numFmtId="0" fontId="168" fillId="78" borderId="0" applyNumberFormat="0" applyBorder="0" applyAlignment="0" applyProtection="0"/>
    <xf numFmtId="0" fontId="168" fillId="77" borderId="0" applyNumberFormat="0" applyBorder="0" applyAlignment="0" applyProtection="0"/>
    <xf numFmtId="0" fontId="168" fillId="76" borderId="0" applyNumberFormat="0" applyBorder="0" applyAlignment="0" applyProtection="0"/>
    <xf numFmtId="0" fontId="168" fillId="72" borderId="0" applyNumberFormat="0" applyBorder="0" applyAlignment="0" applyProtection="0"/>
    <xf numFmtId="0" fontId="168" fillId="71" borderId="0" applyNumberFormat="0" applyBorder="0" applyAlignment="0" applyProtection="0"/>
    <xf numFmtId="0" fontId="168" fillId="75" borderId="0" applyNumberFormat="0" applyBorder="0" applyAlignment="0" applyProtection="0"/>
    <xf numFmtId="0" fontId="167" fillId="73" borderId="0" applyNumberFormat="0" applyBorder="0" applyAlignment="0" applyProtection="0"/>
    <xf numFmtId="0" fontId="167" fillId="70" borderId="0" applyNumberFormat="0" applyBorder="0" applyAlignment="0" applyProtection="0"/>
    <xf numFmtId="0" fontId="167" fillId="65" borderId="0" applyNumberFormat="0" applyBorder="0" applyAlignment="0" applyProtection="0"/>
    <xf numFmtId="0" fontId="167" fillId="72" borderId="0" applyNumberFormat="0" applyBorder="0" applyAlignment="0" applyProtection="0"/>
    <xf numFmtId="0" fontId="167" fillId="71" borderId="0" applyNumberFormat="0" applyBorder="0" applyAlignment="0" applyProtection="0"/>
    <xf numFmtId="0" fontId="167" fillId="70" borderId="0" applyNumberFormat="0" applyBorder="0" applyAlignment="0" applyProtection="0"/>
    <xf numFmtId="0" fontId="167" fillId="67" borderId="0" applyNumberFormat="0" applyBorder="0" applyAlignment="0" applyProtection="0"/>
    <xf numFmtId="0" fontId="167" fillId="66" borderId="0" applyNumberFormat="0" applyBorder="0" applyAlignment="0" applyProtection="0"/>
    <xf numFmtId="0" fontId="167" fillId="65" borderId="0" applyNumberFormat="0" applyBorder="0" applyAlignment="0" applyProtection="0"/>
    <xf numFmtId="0" fontId="167" fillId="64" borderId="0" applyNumberFormat="0" applyBorder="0" applyAlignment="0" applyProtection="0"/>
    <xf numFmtId="0" fontId="167" fillId="63" borderId="0" applyNumberFormat="0" applyBorder="0" applyAlignment="0" applyProtection="0"/>
    <xf numFmtId="0" fontId="167" fillId="62" borderId="0" applyNumberFormat="0" applyBorder="0" applyAlignment="0" applyProtection="0"/>
    <xf numFmtId="0" fontId="183" fillId="0" borderId="0" applyNumberFormat="0" applyFill="0" applyBorder="0" applyAlignment="0" applyProtection="0"/>
    <xf numFmtId="0" fontId="173" fillId="0" borderId="0" applyNumberFormat="0" applyFill="0" applyBorder="0" applyAlignment="0" applyProtection="0"/>
    <xf numFmtId="0" fontId="182" fillId="0" borderId="0" applyNumberFormat="0" applyFill="0" applyBorder="0" applyAlignment="0" applyProtection="0"/>
    <xf numFmtId="0" fontId="175" fillId="0" borderId="37" applyNumberFormat="0" applyFill="0" applyAlignment="0" applyProtection="0"/>
    <xf numFmtId="0" fontId="176" fillId="0" borderId="38" applyNumberFormat="0" applyFill="0" applyAlignment="0" applyProtection="0"/>
    <xf numFmtId="0" fontId="177" fillId="0" borderId="39" applyNumberFormat="0" applyFill="0" applyAlignment="0" applyProtection="0"/>
    <xf numFmtId="0" fontId="177" fillId="0" borderId="0" applyNumberFormat="0" applyFill="0" applyBorder="0" applyAlignment="0" applyProtection="0"/>
    <xf numFmtId="0" fontId="183" fillId="0" borderId="0" applyNumberFormat="0" applyFill="0" applyBorder="0" applyAlignment="0" applyProtection="0"/>
    <xf numFmtId="0" fontId="173" fillId="0" borderId="0" applyNumberFormat="0" applyFill="0" applyBorder="0" applyAlignment="0" applyProtection="0"/>
    <xf numFmtId="0" fontId="182" fillId="0" borderId="0" applyNumberFormat="0" applyFill="0" applyBorder="0" applyAlignment="0" applyProtection="0"/>
    <xf numFmtId="0" fontId="175" fillId="0" borderId="37" applyNumberFormat="0" applyFill="0" applyAlignment="0" applyProtection="0"/>
    <xf numFmtId="0" fontId="176" fillId="0" borderId="38" applyNumberFormat="0" applyFill="0" applyAlignment="0" applyProtection="0"/>
    <xf numFmtId="0" fontId="177" fillId="0" borderId="39" applyNumberFormat="0" applyFill="0" applyAlignment="0" applyProtection="0"/>
    <xf numFmtId="0" fontId="177" fillId="0" borderId="0" applyNumberFormat="0" applyFill="0" applyBorder="0" applyAlignment="0" applyProtection="0"/>
    <xf numFmtId="0" fontId="325" fillId="0" borderId="0"/>
    <xf numFmtId="43" fontId="325" fillId="0" borderId="0" applyFont="0" applyFill="0" applyBorder="0" applyAlignment="0" applyProtection="0"/>
    <xf numFmtId="9" fontId="325" fillId="0" borderId="0" applyFont="0" applyFill="0" applyBorder="0" applyAlignment="0" applyProtection="0"/>
    <xf numFmtId="0" fontId="155" fillId="0" borderId="25" applyNumberFormat="0" applyFill="0" applyAlignment="0" applyProtection="0"/>
    <xf numFmtId="0" fontId="156" fillId="0" borderId="26" applyNumberFormat="0" applyFill="0" applyAlignment="0" applyProtection="0"/>
    <xf numFmtId="0" fontId="157" fillId="0" borderId="27" applyNumberFormat="0" applyFill="0" applyAlignment="0" applyProtection="0"/>
    <xf numFmtId="0" fontId="157" fillId="0" borderId="0" applyNumberFormat="0" applyFill="0" applyBorder="0" applyAlignment="0" applyProtection="0"/>
    <xf numFmtId="0" fontId="158" fillId="31" borderId="0" applyNumberFormat="0" applyBorder="0" applyAlignment="0" applyProtection="0"/>
    <xf numFmtId="0" fontId="326" fillId="33" borderId="0" applyNumberFormat="0" applyBorder="0" applyAlignment="0" applyProtection="0"/>
    <xf numFmtId="0" fontId="160" fillId="34" borderId="28" applyNumberFormat="0" applyAlignment="0" applyProtection="0"/>
    <xf numFmtId="0" fontId="161" fillId="35" borderId="29" applyNumberFormat="0" applyAlignment="0" applyProtection="0"/>
    <xf numFmtId="0" fontId="162" fillId="35" borderId="28" applyNumberFormat="0" applyAlignment="0" applyProtection="0"/>
    <xf numFmtId="0" fontId="163" fillId="0" borderId="30" applyNumberFormat="0" applyFill="0" applyAlignment="0" applyProtection="0"/>
    <xf numFmtId="0" fontId="164" fillId="36" borderId="31" applyNumberFormat="0" applyAlignment="0" applyProtection="0"/>
    <xf numFmtId="0" fontId="80" fillId="0" borderId="0" applyNumberFormat="0" applyFill="0" applyBorder="0" applyAlignment="0" applyProtection="0"/>
    <xf numFmtId="0" fontId="165" fillId="0" borderId="0" applyNumberFormat="0" applyFill="0" applyBorder="0" applyAlignment="0" applyProtection="0"/>
    <xf numFmtId="0" fontId="166"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66" fillId="41" borderId="0" applyNumberFormat="0" applyBorder="0" applyAlignment="0" applyProtection="0"/>
    <xf numFmtId="0" fontId="166"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66" fillId="45" borderId="0" applyNumberFormat="0" applyBorder="0" applyAlignment="0" applyProtection="0"/>
    <xf numFmtId="0" fontId="166" fillId="46"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66" fillId="49" borderId="0" applyNumberFormat="0" applyBorder="0" applyAlignment="0" applyProtection="0"/>
    <xf numFmtId="0" fontId="166" fillId="50"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66" fillId="53" borderId="0" applyNumberFormat="0" applyBorder="0" applyAlignment="0" applyProtection="0"/>
    <xf numFmtId="0" fontId="166" fillId="54"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0" fontId="166" fillId="57" borderId="0" applyNumberFormat="0" applyBorder="0" applyAlignment="0" applyProtection="0"/>
    <xf numFmtId="0" fontId="166" fillId="58" borderId="0" applyNumberFormat="0" applyBorder="0" applyAlignment="0" applyProtection="0"/>
    <xf numFmtId="0" fontId="1" fillId="59" borderId="0" applyNumberFormat="0" applyBorder="0" applyAlignment="0" applyProtection="0"/>
    <xf numFmtId="0" fontId="1" fillId="60" borderId="0" applyNumberFormat="0" applyBorder="0" applyAlignment="0" applyProtection="0"/>
    <xf numFmtId="0" fontId="166" fillId="61" borderId="0" applyNumberFormat="0" applyBorder="0" applyAlignment="0" applyProtection="0"/>
    <xf numFmtId="0" fontId="325" fillId="0" borderId="0"/>
    <xf numFmtId="43" fontId="325"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1" fillId="39" borderId="0" applyNumberFormat="0" applyBorder="0" applyAlignment="0" applyProtection="0"/>
    <xf numFmtId="0" fontId="167" fillId="62" borderId="0" applyNumberFormat="0" applyBorder="0" applyAlignment="0" applyProtection="0"/>
    <xf numFmtId="0" fontId="1" fillId="39" borderId="0" applyNumberFormat="0" applyBorder="0" applyAlignment="0" applyProtection="0"/>
    <xf numFmtId="0" fontId="167" fillId="62" borderId="0" applyNumberFormat="0" applyBorder="0" applyAlignment="0" applyProtection="0"/>
    <xf numFmtId="0" fontId="1" fillId="39" borderId="0" applyNumberFormat="0" applyBorder="0" applyAlignment="0" applyProtection="0"/>
    <xf numFmtId="0" fontId="167" fillId="62" borderId="0" applyNumberFormat="0" applyBorder="0" applyAlignment="0" applyProtection="0"/>
    <xf numFmtId="0" fontId="1" fillId="39" borderId="0" applyNumberFormat="0" applyBorder="0" applyAlignment="0" applyProtection="0"/>
    <xf numFmtId="0" fontId="167" fillId="62" borderId="0" applyNumberFormat="0" applyBorder="0" applyAlignment="0" applyProtection="0"/>
    <xf numFmtId="0" fontId="167" fillId="62" borderId="0" applyNumberFormat="0" applyBorder="0" applyAlignment="0" applyProtection="0"/>
    <xf numFmtId="0" fontId="167" fillId="62"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67" fillId="62" borderId="0" applyNumberFormat="0" applyBorder="0" applyAlignment="0" applyProtection="0"/>
    <xf numFmtId="0" fontId="167" fillId="62" borderId="0" applyNumberFormat="0" applyBorder="0" applyAlignment="0" applyProtection="0"/>
    <xf numFmtId="0" fontId="167" fillId="62"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67" fillId="62" borderId="0" applyNumberFormat="0" applyBorder="0" applyAlignment="0" applyProtection="0"/>
    <xf numFmtId="0" fontId="167" fillId="62" borderId="0" applyNumberFormat="0" applyBorder="0" applyAlignment="0" applyProtection="0"/>
    <xf numFmtId="0" fontId="167" fillId="62" borderId="0" applyNumberFormat="0" applyBorder="0" applyAlignment="0" applyProtection="0"/>
    <xf numFmtId="0" fontId="167" fillId="62" borderId="0" applyNumberFormat="0" applyBorder="0" applyAlignment="0" applyProtection="0"/>
    <xf numFmtId="0" fontId="167" fillId="62"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67" fillId="62" borderId="0" applyNumberFormat="0" applyBorder="0" applyAlignment="0" applyProtection="0"/>
    <xf numFmtId="0" fontId="1" fillId="39" borderId="0" applyNumberFormat="0" applyBorder="0" applyAlignment="0" applyProtection="0"/>
    <xf numFmtId="0" fontId="1" fillId="43" borderId="0" applyNumberFormat="0" applyBorder="0" applyAlignment="0" applyProtection="0"/>
    <xf numFmtId="0" fontId="167" fillId="63" borderId="0" applyNumberFormat="0" applyBorder="0" applyAlignment="0" applyProtection="0"/>
    <xf numFmtId="0" fontId="1" fillId="43" borderId="0" applyNumberFormat="0" applyBorder="0" applyAlignment="0" applyProtection="0"/>
    <xf numFmtId="0" fontId="167" fillId="63" borderId="0" applyNumberFormat="0" applyBorder="0" applyAlignment="0" applyProtection="0"/>
    <xf numFmtId="0" fontId="1" fillId="43" borderId="0" applyNumberFormat="0" applyBorder="0" applyAlignment="0" applyProtection="0"/>
    <xf numFmtId="0" fontId="167" fillId="63" borderId="0" applyNumberFormat="0" applyBorder="0" applyAlignment="0" applyProtection="0"/>
    <xf numFmtId="0" fontId="1" fillId="43" borderId="0" applyNumberFormat="0" applyBorder="0" applyAlignment="0" applyProtection="0"/>
    <xf numFmtId="0" fontId="167" fillId="63" borderId="0" applyNumberFormat="0" applyBorder="0" applyAlignment="0" applyProtection="0"/>
    <xf numFmtId="0" fontId="167" fillId="63" borderId="0" applyNumberFormat="0" applyBorder="0" applyAlignment="0" applyProtection="0"/>
    <xf numFmtId="0" fontId="167" fillId="6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67" fillId="63" borderId="0" applyNumberFormat="0" applyBorder="0" applyAlignment="0" applyProtection="0"/>
    <xf numFmtId="0" fontId="167" fillId="63" borderId="0" applyNumberFormat="0" applyBorder="0" applyAlignment="0" applyProtection="0"/>
    <xf numFmtId="0" fontId="167" fillId="6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67" fillId="63" borderId="0" applyNumberFormat="0" applyBorder="0" applyAlignment="0" applyProtection="0"/>
    <xf numFmtId="0" fontId="167" fillId="63" borderId="0" applyNumberFormat="0" applyBorder="0" applyAlignment="0" applyProtection="0"/>
    <xf numFmtId="0" fontId="167" fillId="63" borderId="0" applyNumberFormat="0" applyBorder="0" applyAlignment="0" applyProtection="0"/>
    <xf numFmtId="0" fontId="167" fillId="63" borderId="0" applyNumberFormat="0" applyBorder="0" applyAlignment="0" applyProtection="0"/>
    <xf numFmtId="0" fontId="167" fillId="6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67" fillId="63" borderId="0" applyNumberFormat="0" applyBorder="0" applyAlignment="0" applyProtection="0"/>
    <xf numFmtId="0" fontId="1" fillId="43" borderId="0" applyNumberFormat="0" applyBorder="0" applyAlignment="0" applyProtection="0"/>
    <xf numFmtId="0" fontId="1" fillId="47" borderId="0" applyNumberFormat="0" applyBorder="0" applyAlignment="0" applyProtection="0"/>
    <xf numFmtId="0" fontId="167" fillId="64" borderId="0" applyNumberFormat="0" applyBorder="0" applyAlignment="0" applyProtection="0"/>
    <xf numFmtId="0" fontId="1" fillId="47" borderId="0" applyNumberFormat="0" applyBorder="0" applyAlignment="0" applyProtection="0"/>
    <xf numFmtId="0" fontId="167" fillId="64" borderId="0" applyNumberFormat="0" applyBorder="0" applyAlignment="0" applyProtection="0"/>
    <xf numFmtId="0" fontId="1" fillId="47" borderId="0" applyNumberFormat="0" applyBorder="0" applyAlignment="0" applyProtection="0"/>
    <xf numFmtId="0" fontId="167" fillId="64" borderId="0" applyNumberFormat="0" applyBorder="0" applyAlignment="0" applyProtection="0"/>
    <xf numFmtId="0" fontId="1" fillId="47" borderId="0" applyNumberFormat="0" applyBorder="0" applyAlignment="0" applyProtection="0"/>
    <xf numFmtId="0" fontId="167" fillId="64" borderId="0" applyNumberFormat="0" applyBorder="0" applyAlignment="0" applyProtection="0"/>
    <xf numFmtId="0" fontId="167" fillId="64" borderId="0" applyNumberFormat="0" applyBorder="0" applyAlignment="0" applyProtection="0"/>
    <xf numFmtId="0" fontId="167" fillId="64"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67" fillId="64" borderId="0" applyNumberFormat="0" applyBorder="0" applyAlignment="0" applyProtection="0"/>
    <xf numFmtId="0" fontId="167" fillId="64" borderId="0" applyNumberFormat="0" applyBorder="0" applyAlignment="0" applyProtection="0"/>
    <xf numFmtId="0" fontId="167" fillId="64"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67" fillId="64" borderId="0" applyNumberFormat="0" applyBorder="0" applyAlignment="0" applyProtection="0"/>
    <xf numFmtId="0" fontId="167" fillId="64" borderId="0" applyNumberFormat="0" applyBorder="0" applyAlignment="0" applyProtection="0"/>
    <xf numFmtId="0" fontId="167" fillId="64" borderId="0" applyNumberFormat="0" applyBorder="0" applyAlignment="0" applyProtection="0"/>
    <xf numFmtId="0" fontId="167" fillId="64" borderId="0" applyNumberFormat="0" applyBorder="0" applyAlignment="0" applyProtection="0"/>
    <xf numFmtId="0" fontId="167" fillId="64"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67" fillId="64"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67" fillId="65" borderId="0" applyNumberFormat="0" applyBorder="0" applyAlignment="0" applyProtection="0"/>
    <xf numFmtId="0" fontId="1" fillId="51" borderId="0" applyNumberFormat="0" applyBorder="0" applyAlignment="0" applyProtection="0"/>
    <xf numFmtId="0" fontId="167" fillId="65" borderId="0" applyNumberFormat="0" applyBorder="0" applyAlignment="0" applyProtection="0"/>
    <xf numFmtId="0" fontId="1" fillId="51" borderId="0" applyNumberFormat="0" applyBorder="0" applyAlignment="0" applyProtection="0"/>
    <xf numFmtId="0" fontId="167" fillId="65" borderId="0" applyNumberFormat="0" applyBorder="0" applyAlignment="0" applyProtection="0"/>
    <xf numFmtId="0" fontId="1" fillId="51"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67" fillId="65" borderId="0" applyNumberFormat="0" applyBorder="0" applyAlignment="0" applyProtection="0"/>
    <xf numFmtId="0" fontId="1" fillId="51" borderId="0" applyNumberFormat="0" applyBorder="0" applyAlignment="0" applyProtection="0"/>
    <xf numFmtId="0" fontId="1" fillId="55" borderId="0" applyNumberFormat="0" applyBorder="0" applyAlignment="0" applyProtection="0"/>
    <xf numFmtId="0" fontId="167" fillId="66" borderId="0" applyNumberFormat="0" applyBorder="0" applyAlignment="0" applyProtection="0"/>
    <xf numFmtId="0" fontId="1" fillId="55" borderId="0" applyNumberFormat="0" applyBorder="0" applyAlignment="0" applyProtection="0"/>
    <xf numFmtId="0" fontId="167" fillId="66" borderId="0" applyNumberFormat="0" applyBorder="0" applyAlignment="0" applyProtection="0"/>
    <xf numFmtId="0" fontId="1" fillId="55" borderId="0" applyNumberFormat="0" applyBorder="0" applyAlignment="0" applyProtection="0"/>
    <xf numFmtId="0" fontId="167" fillId="66" borderId="0" applyNumberFormat="0" applyBorder="0" applyAlignment="0" applyProtection="0"/>
    <xf numFmtId="0" fontId="1" fillId="55" borderId="0" applyNumberFormat="0" applyBorder="0" applyAlignment="0" applyProtection="0"/>
    <xf numFmtId="0" fontId="167" fillId="66" borderId="0" applyNumberFormat="0" applyBorder="0" applyAlignment="0" applyProtection="0"/>
    <xf numFmtId="0" fontId="167" fillId="66" borderId="0" applyNumberFormat="0" applyBorder="0" applyAlignment="0" applyProtection="0"/>
    <xf numFmtId="0" fontId="167" fillId="66"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67" fillId="66" borderId="0" applyNumberFormat="0" applyBorder="0" applyAlignment="0" applyProtection="0"/>
    <xf numFmtId="0" fontId="167" fillId="66" borderId="0" applyNumberFormat="0" applyBorder="0" applyAlignment="0" applyProtection="0"/>
    <xf numFmtId="0" fontId="167" fillId="66"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67" fillId="66" borderId="0" applyNumberFormat="0" applyBorder="0" applyAlignment="0" applyProtection="0"/>
    <xf numFmtId="0" fontId="167" fillId="66" borderId="0" applyNumberFormat="0" applyBorder="0" applyAlignment="0" applyProtection="0"/>
    <xf numFmtId="0" fontId="167" fillId="66" borderId="0" applyNumberFormat="0" applyBorder="0" applyAlignment="0" applyProtection="0"/>
    <xf numFmtId="0" fontId="167" fillId="66" borderId="0" applyNumberFormat="0" applyBorder="0" applyAlignment="0" applyProtection="0"/>
    <xf numFmtId="0" fontId="167" fillId="66"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67" fillId="66" borderId="0" applyNumberFormat="0" applyBorder="0" applyAlignment="0" applyProtection="0"/>
    <xf numFmtId="0" fontId="1" fillId="55" borderId="0" applyNumberFormat="0" applyBorder="0" applyAlignment="0" applyProtection="0"/>
    <xf numFmtId="0" fontId="1" fillId="59" borderId="0" applyNumberFormat="0" applyBorder="0" applyAlignment="0" applyProtection="0"/>
    <xf numFmtId="0" fontId="167" fillId="67" borderId="0" applyNumberFormat="0" applyBorder="0" applyAlignment="0" applyProtection="0"/>
    <xf numFmtId="0" fontId="1" fillId="59" borderId="0" applyNumberFormat="0" applyBorder="0" applyAlignment="0" applyProtection="0"/>
    <xf numFmtId="0" fontId="167" fillId="67" borderId="0" applyNumberFormat="0" applyBorder="0" applyAlignment="0" applyProtection="0"/>
    <xf numFmtId="0" fontId="1" fillId="59" borderId="0" applyNumberFormat="0" applyBorder="0" applyAlignment="0" applyProtection="0"/>
    <xf numFmtId="0" fontId="167" fillId="67" borderId="0" applyNumberFormat="0" applyBorder="0" applyAlignment="0" applyProtection="0"/>
    <xf numFmtId="0" fontId="1" fillId="59" borderId="0" applyNumberFormat="0" applyBorder="0" applyAlignment="0" applyProtection="0"/>
    <xf numFmtId="0" fontId="167" fillId="67" borderId="0" applyNumberFormat="0" applyBorder="0" applyAlignment="0" applyProtection="0"/>
    <xf numFmtId="0" fontId="167" fillId="67" borderId="0" applyNumberFormat="0" applyBorder="0" applyAlignment="0" applyProtection="0"/>
    <xf numFmtId="0" fontId="167" fillId="67"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67" fillId="67" borderId="0" applyNumberFormat="0" applyBorder="0" applyAlignment="0" applyProtection="0"/>
    <xf numFmtId="0" fontId="167" fillId="67" borderId="0" applyNumberFormat="0" applyBorder="0" applyAlignment="0" applyProtection="0"/>
    <xf numFmtId="0" fontId="167" fillId="67"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67" fillId="67" borderId="0" applyNumberFormat="0" applyBorder="0" applyAlignment="0" applyProtection="0"/>
    <xf numFmtId="0" fontId="167" fillId="67" borderId="0" applyNumberFormat="0" applyBorder="0" applyAlignment="0" applyProtection="0"/>
    <xf numFmtId="0" fontId="167" fillId="67" borderId="0" applyNumberFormat="0" applyBorder="0" applyAlignment="0" applyProtection="0"/>
    <xf numFmtId="0" fontId="167" fillId="67" borderId="0" applyNumberFormat="0" applyBorder="0" applyAlignment="0" applyProtection="0"/>
    <xf numFmtId="0" fontId="167" fillId="67"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67" fillId="67" borderId="0" applyNumberFormat="0" applyBorder="0" applyAlignment="0" applyProtection="0"/>
    <xf numFmtId="0" fontId="1" fillId="59" borderId="0" applyNumberFormat="0" applyBorder="0" applyAlignment="0" applyProtection="0"/>
    <xf numFmtId="0" fontId="1" fillId="40" borderId="0" applyNumberFormat="0" applyBorder="0" applyAlignment="0" applyProtection="0"/>
    <xf numFmtId="0" fontId="167" fillId="70" borderId="0" applyNumberFormat="0" applyBorder="0" applyAlignment="0" applyProtection="0"/>
    <xf numFmtId="0" fontId="1" fillId="40" borderId="0" applyNumberFormat="0" applyBorder="0" applyAlignment="0" applyProtection="0"/>
    <xf numFmtId="0" fontId="167" fillId="70" borderId="0" applyNumberFormat="0" applyBorder="0" applyAlignment="0" applyProtection="0"/>
    <xf numFmtId="0" fontId="1" fillId="40" borderId="0" applyNumberFormat="0" applyBorder="0" applyAlignment="0" applyProtection="0"/>
    <xf numFmtId="0" fontId="167" fillId="70" borderId="0" applyNumberFormat="0" applyBorder="0" applyAlignment="0" applyProtection="0"/>
    <xf numFmtId="0" fontId="1" fillId="40" borderId="0" applyNumberFormat="0" applyBorder="0" applyAlignment="0" applyProtection="0"/>
    <xf numFmtId="0" fontId="167" fillId="70" borderId="0" applyNumberFormat="0" applyBorder="0" applyAlignment="0" applyProtection="0"/>
    <xf numFmtId="0" fontId="167" fillId="70" borderId="0" applyNumberFormat="0" applyBorder="0" applyAlignment="0" applyProtection="0"/>
    <xf numFmtId="0" fontId="167" fillId="7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67" fillId="70" borderId="0" applyNumberFormat="0" applyBorder="0" applyAlignment="0" applyProtection="0"/>
    <xf numFmtId="0" fontId="167" fillId="70" borderId="0" applyNumberFormat="0" applyBorder="0" applyAlignment="0" applyProtection="0"/>
    <xf numFmtId="0" fontId="167" fillId="7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67" fillId="70" borderId="0" applyNumberFormat="0" applyBorder="0" applyAlignment="0" applyProtection="0"/>
    <xf numFmtId="0" fontId="167" fillId="70" borderId="0" applyNumberFormat="0" applyBorder="0" applyAlignment="0" applyProtection="0"/>
    <xf numFmtId="0" fontId="167" fillId="70" borderId="0" applyNumberFormat="0" applyBorder="0" applyAlignment="0" applyProtection="0"/>
    <xf numFmtId="0" fontId="167" fillId="70" borderId="0" applyNumberFormat="0" applyBorder="0" applyAlignment="0" applyProtection="0"/>
    <xf numFmtId="0" fontId="167" fillId="7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67" fillId="70" borderId="0" applyNumberFormat="0" applyBorder="0" applyAlignment="0" applyProtection="0"/>
    <xf numFmtId="0" fontId="1" fillId="40" borderId="0" applyNumberFormat="0" applyBorder="0" applyAlignment="0" applyProtection="0"/>
    <xf numFmtId="0" fontId="1" fillId="44" borderId="0" applyNumberFormat="0" applyBorder="0" applyAlignment="0" applyProtection="0"/>
    <xf numFmtId="0" fontId="167" fillId="71" borderId="0" applyNumberFormat="0" applyBorder="0" applyAlignment="0" applyProtection="0"/>
    <xf numFmtId="0" fontId="1" fillId="44" borderId="0" applyNumberFormat="0" applyBorder="0" applyAlignment="0" applyProtection="0"/>
    <xf numFmtId="0" fontId="167" fillId="71" borderId="0" applyNumberFormat="0" applyBorder="0" applyAlignment="0" applyProtection="0"/>
    <xf numFmtId="0" fontId="1" fillId="44" borderId="0" applyNumberFormat="0" applyBorder="0" applyAlignment="0" applyProtection="0"/>
    <xf numFmtId="0" fontId="167" fillId="71" borderId="0" applyNumberFormat="0" applyBorder="0" applyAlignment="0" applyProtection="0"/>
    <xf numFmtId="0" fontId="1" fillId="44" borderId="0" applyNumberFormat="0" applyBorder="0" applyAlignment="0" applyProtection="0"/>
    <xf numFmtId="0" fontId="167" fillId="71" borderId="0" applyNumberFormat="0" applyBorder="0" applyAlignment="0" applyProtection="0"/>
    <xf numFmtId="0" fontId="167" fillId="71" borderId="0" applyNumberFormat="0" applyBorder="0" applyAlignment="0" applyProtection="0"/>
    <xf numFmtId="0" fontId="167" fillId="71"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67" fillId="71" borderId="0" applyNumberFormat="0" applyBorder="0" applyAlignment="0" applyProtection="0"/>
    <xf numFmtId="0" fontId="167" fillId="71" borderId="0" applyNumberFormat="0" applyBorder="0" applyAlignment="0" applyProtection="0"/>
    <xf numFmtId="0" fontId="167" fillId="71"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67" fillId="71" borderId="0" applyNumberFormat="0" applyBorder="0" applyAlignment="0" applyProtection="0"/>
    <xf numFmtId="0" fontId="167" fillId="71" borderId="0" applyNumberFormat="0" applyBorder="0" applyAlignment="0" applyProtection="0"/>
    <xf numFmtId="0" fontId="167" fillId="71" borderId="0" applyNumberFormat="0" applyBorder="0" applyAlignment="0" applyProtection="0"/>
    <xf numFmtId="0" fontId="167" fillId="71" borderId="0" applyNumberFormat="0" applyBorder="0" applyAlignment="0" applyProtection="0"/>
    <xf numFmtId="0" fontId="167" fillId="71"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67" fillId="71" borderId="0" applyNumberFormat="0" applyBorder="0" applyAlignment="0" applyProtection="0"/>
    <xf numFmtId="0" fontId="1" fillId="44" borderId="0" applyNumberFormat="0" applyBorder="0" applyAlignment="0" applyProtection="0"/>
    <xf numFmtId="0" fontId="1" fillId="48" borderId="0" applyNumberFormat="0" applyBorder="0" applyAlignment="0" applyProtection="0"/>
    <xf numFmtId="0" fontId="167" fillId="72" borderId="0" applyNumberFormat="0" applyBorder="0" applyAlignment="0" applyProtection="0"/>
    <xf numFmtId="0" fontId="1" fillId="48" borderId="0" applyNumberFormat="0" applyBorder="0" applyAlignment="0" applyProtection="0"/>
    <xf numFmtId="0" fontId="167" fillId="72" borderId="0" applyNumberFormat="0" applyBorder="0" applyAlignment="0" applyProtection="0"/>
    <xf numFmtId="0" fontId="1" fillId="48" borderId="0" applyNumberFormat="0" applyBorder="0" applyAlignment="0" applyProtection="0"/>
    <xf numFmtId="0" fontId="167" fillId="72" borderId="0" applyNumberFormat="0" applyBorder="0" applyAlignment="0" applyProtection="0"/>
    <xf numFmtId="0" fontId="1" fillId="48" borderId="0" applyNumberFormat="0" applyBorder="0" applyAlignment="0" applyProtection="0"/>
    <xf numFmtId="0" fontId="167" fillId="72" borderId="0" applyNumberFormat="0" applyBorder="0" applyAlignment="0" applyProtection="0"/>
    <xf numFmtId="0" fontId="167" fillId="72" borderId="0" applyNumberFormat="0" applyBorder="0" applyAlignment="0" applyProtection="0"/>
    <xf numFmtId="0" fontId="167" fillId="72"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67" fillId="72" borderId="0" applyNumberFormat="0" applyBorder="0" applyAlignment="0" applyProtection="0"/>
    <xf numFmtId="0" fontId="167" fillId="72" borderId="0" applyNumberFormat="0" applyBorder="0" applyAlignment="0" applyProtection="0"/>
    <xf numFmtId="0" fontId="167" fillId="72"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67" fillId="72" borderId="0" applyNumberFormat="0" applyBorder="0" applyAlignment="0" applyProtection="0"/>
    <xf numFmtId="0" fontId="167" fillId="72" borderId="0" applyNumberFormat="0" applyBorder="0" applyAlignment="0" applyProtection="0"/>
    <xf numFmtId="0" fontId="167" fillId="72" borderId="0" applyNumberFormat="0" applyBorder="0" applyAlignment="0" applyProtection="0"/>
    <xf numFmtId="0" fontId="167" fillId="72" borderId="0" applyNumberFormat="0" applyBorder="0" applyAlignment="0" applyProtection="0"/>
    <xf numFmtId="0" fontId="167" fillId="72"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67" fillId="72"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67" fillId="65" borderId="0" applyNumberFormat="0" applyBorder="0" applyAlignment="0" applyProtection="0"/>
    <xf numFmtId="0" fontId="1" fillId="52" borderId="0" applyNumberFormat="0" applyBorder="0" applyAlignment="0" applyProtection="0"/>
    <xf numFmtId="0" fontId="167" fillId="65" borderId="0" applyNumberFormat="0" applyBorder="0" applyAlignment="0" applyProtection="0"/>
    <xf numFmtId="0" fontId="1" fillId="52" borderId="0" applyNumberFormat="0" applyBorder="0" applyAlignment="0" applyProtection="0"/>
    <xf numFmtId="0" fontId="167" fillId="65" borderId="0" applyNumberFormat="0" applyBorder="0" applyAlignment="0" applyProtection="0"/>
    <xf numFmtId="0" fontId="1" fillId="52"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67" fillId="65"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67" fillId="65" borderId="0" applyNumberFormat="0" applyBorder="0" applyAlignment="0" applyProtection="0"/>
    <xf numFmtId="0" fontId="1" fillId="52" borderId="0" applyNumberFormat="0" applyBorder="0" applyAlignment="0" applyProtection="0"/>
    <xf numFmtId="0" fontId="1" fillId="56" borderId="0" applyNumberFormat="0" applyBorder="0" applyAlignment="0" applyProtection="0"/>
    <xf numFmtId="0" fontId="167" fillId="70" borderId="0" applyNumberFormat="0" applyBorder="0" applyAlignment="0" applyProtection="0"/>
    <xf numFmtId="0" fontId="1" fillId="56" borderId="0" applyNumberFormat="0" applyBorder="0" applyAlignment="0" applyProtection="0"/>
    <xf numFmtId="0" fontId="167" fillId="70" borderId="0" applyNumberFormat="0" applyBorder="0" applyAlignment="0" applyProtection="0"/>
    <xf numFmtId="0" fontId="1" fillId="56" borderId="0" applyNumberFormat="0" applyBorder="0" applyAlignment="0" applyProtection="0"/>
    <xf numFmtId="0" fontId="167" fillId="70" borderId="0" applyNumberFormat="0" applyBorder="0" applyAlignment="0" applyProtection="0"/>
    <xf numFmtId="0" fontId="1" fillId="56" borderId="0" applyNumberFormat="0" applyBorder="0" applyAlignment="0" applyProtection="0"/>
    <xf numFmtId="0" fontId="167" fillId="70" borderId="0" applyNumberFormat="0" applyBorder="0" applyAlignment="0" applyProtection="0"/>
    <xf numFmtId="0" fontId="167" fillId="70" borderId="0" applyNumberFormat="0" applyBorder="0" applyAlignment="0" applyProtection="0"/>
    <xf numFmtId="0" fontId="167" fillId="70"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67" fillId="70" borderId="0" applyNumberFormat="0" applyBorder="0" applyAlignment="0" applyProtection="0"/>
    <xf numFmtId="0" fontId="167" fillId="70" borderId="0" applyNumberFormat="0" applyBorder="0" applyAlignment="0" applyProtection="0"/>
    <xf numFmtId="0" fontId="167" fillId="70"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67" fillId="70" borderId="0" applyNumberFormat="0" applyBorder="0" applyAlignment="0" applyProtection="0"/>
    <xf numFmtId="0" fontId="167" fillId="70" borderId="0" applyNumberFormat="0" applyBorder="0" applyAlignment="0" applyProtection="0"/>
    <xf numFmtId="0" fontId="167" fillId="70" borderId="0" applyNumberFormat="0" applyBorder="0" applyAlignment="0" applyProtection="0"/>
    <xf numFmtId="0" fontId="167" fillId="70" borderId="0" applyNumberFormat="0" applyBorder="0" applyAlignment="0" applyProtection="0"/>
    <xf numFmtId="0" fontId="167" fillId="70"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67" fillId="70" borderId="0" applyNumberFormat="0" applyBorder="0" applyAlignment="0" applyProtection="0"/>
    <xf numFmtId="0" fontId="1" fillId="56" borderId="0" applyNumberFormat="0" applyBorder="0" applyAlignment="0" applyProtection="0"/>
    <xf numFmtId="0" fontId="1" fillId="60" borderId="0" applyNumberFormat="0" applyBorder="0" applyAlignment="0" applyProtection="0"/>
    <xf numFmtId="0" fontId="167" fillId="73" borderId="0" applyNumberFormat="0" applyBorder="0" applyAlignment="0" applyProtection="0"/>
    <xf numFmtId="0" fontId="1" fillId="60" borderId="0" applyNumberFormat="0" applyBorder="0" applyAlignment="0" applyProtection="0"/>
    <xf numFmtId="0" fontId="167" fillId="73" borderId="0" applyNumberFormat="0" applyBorder="0" applyAlignment="0" applyProtection="0"/>
    <xf numFmtId="0" fontId="1" fillId="60" borderId="0" applyNumberFormat="0" applyBorder="0" applyAlignment="0" applyProtection="0"/>
    <xf numFmtId="0" fontId="167" fillId="73" borderId="0" applyNumberFormat="0" applyBorder="0" applyAlignment="0" applyProtection="0"/>
    <xf numFmtId="0" fontId="1" fillId="60" borderId="0" applyNumberFormat="0" applyBorder="0" applyAlignment="0" applyProtection="0"/>
    <xf numFmtId="0" fontId="167" fillId="73" borderId="0" applyNumberFormat="0" applyBorder="0" applyAlignment="0" applyProtection="0"/>
    <xf numFmtId="0" fontId="167" fillId="73" borderId="0" applyNumberFormat="0" applyBorder="0" applyAlignment="0" applyProtection="0"/>
    <xf numFmtId="0" fontId="167" fillId="73"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67" fillId="73" borderId="0" applyNumberFormat="0" applyBorder="0" applyAlignment="0" applyProtection="0"/>
    <xf numFmtId="0" fontId="167" fillId="73" borderId="0" applyNumberFormat="0" applyBorder="0" applyAlignment="0" applyProtection="0"/>
    <xf numFmtId="0" fontId="167" fillId="73"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67" fillId="73" borderId="0" applyNumberFormat="0" applyBorder="0" applyAlignment="0" applyProtection="0"/>
    <xf numFmtId="0" fontId="167" fillId="73" borderId="0" applyNumberFormat="0" applyBorder="0" applyAlignment="0" applyProtection="0"/>
    <xf numFmtId="0" fontId="167" fillId="73" borderId="0" applyNumberFormat="0" applyBorder="0" applyAlignment="0" applyProtection="0"/>
    <xf numFmtId="0" fontId="167" fillId="73" borderId="0" applyNumberFormat="0" applyBorder="0" applyAlignment="0" applyProtection="0"/>
    <xf numFmtId="0" fontId="167" fillId="73"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67" fillId="73" borderId="0" applyNumberFormat="0" applyBorder="0" applyAlignment="0" applyProtection="0"/>
    <xf numFmtId="0" fontId="1" fillId="60" borderId="0" applyNumberFormat="0" applyBorder="0" applyAlignment="0" applyProtection="0"/>
    <xf numFmtId="0" fontId="166" fillId="41" borderId="0" applyNumberFormat="0" applyBorder="0" applyAlignment="0" applyProtection="0"/>
    <xf numFmtId="0" fontId="168" fillId="75" borderId="0" applyNumberFormat="0" applyBorder="0" applyAlignment="0" applyProtection="0"/>
    <xf numFmtId="0" fontId="166" fillId="41" borderId="0" applyNumberFormat="0" applyBorder="0" applyAlignment="0" applyProtection="0"/>
    <xf numFmtId="0" fontId="168" fillId="75" borderId="0" applyNumberFormat="0" applyBorder="0" applyAlignment="0" applyProtection="0"/>
    <xf numFmtId="0" fontId="166" fillId="41" borderId="0" applyNumberFormat="0" applyBorder="0" applyAlignment="0" applyProtection="0"/>
    <xf numFmtId="0" fontId="168" fillId="75" borderId="0" applyNumberFormat="0" applyBorder="0" applyAlignment="0" applyProtection="0"/>
    <xf numFmtId="0" fontId="166" fillId="41" borderId="0" applyNumberFormat="0" applyBorder="0" applyAlignment="0" applyProtection="0"/>
    <xf numFmtId="0" fontId="168" fillId="75" borderId="0" applyNumberFormat="0" applyBorder="0" applyAlignment="0" applyProtection="0"/>
    <xf numFmtId="0" fontId="168" fillId="75" borderId="0" applyNumberFormat="0" applyBorder="0" applyAlignment="0" applyProtection="0"/>
    <xf numFmtId="0" fontId="168" fillId="75" borderId="0" applyNumberFormat="0" applyBorder="0" applyAlignment="0" applyProtection="0"/>
    <xf numFmtId="0" fontId="166" fillId="41" borderId="0" applyNumberFormat="0" applyBorder="0" applyAlignment="0" applyProtection="0"/>
    <xf numFmtId="0" fontId="166" fillId="41" borderId="0" applyNumberFormat="0" applyBorder="0" applyAlignment="0" applyProtection="0"/>
    <xf numFmtId="0" fontId="168" fillId="75" borderId="0" applyNumberFormat="0" applyBorder="0" applyAlignment="0" applyProtection="0"/>
    <xf numFmtId="0" fontId="168" fillId="75" borderId="0" applyNumberFormat="0" applyBorder="0" applyAlignment="0" applyProtection="0"/>
    <xf numFmtId="0" fontId="168" fillId="75" borderId="0" applyNumberFormat="0" applyBorder="0" applyAlignment="0" applyProtection="0"/>
    <xf numFmtId="0" fontId="166" fillId="41" borderId="0" applyNumberFormat="0" applyBorder="0" applyAlignment="0" applyProtection="0"/>
    <xf numFmtId="0" fontId="166" fillId="41" borderId="0" applyNumberFormat="0" applyBorder="0" applyAlignment="0" applyProtection="0"/>
    <xf numFmtId="0" fontId="166" fillId="41" borderId="0" applyNumberFormat="0" applyBorder="0" applyAlignment="0" applyProtection="0"/>
    <xf numFmtId="0" fontId="168" fillId="75" borderId="0" applyNumberFormat="0" applyBorder="0" applyAlignment="0" applyProtection="0"/>
    <xf numFmtId="0" fontId="168" fillId="75" borderId="0" applyNumberFormat="0" applyBorder="0" applyAlignment="0" applyProtection="0"/>
    <xf numFmtId="0" fontId="168" fillId="75" borderId="0" applyNumberFormat="0" applyBorder="0" applyAlignment="0" applyProtection="0"/>
    <xf numFmtId="0" fontId="168" fillId="75" borderId="0" applyNumberFormat="0" applyBorder="0" applyAlignment="0" applyProtection="0"/>
    <xf numFmtId="0" fontId="168" fillId="75" borderId="0" applyNumberFormat="0" applyBorder="0" applyAlignment="0" applyProtection="0"/>
    <xf numFmtId="0" fontId="166" fillId="41" borderId="0" applyNumberFormat="0" applyBorder="0" applyAlignment="0" applyProtection="0"/>
    <xf numFmtId="0" fontId="166" fillId="41" borderId="0" applyNumberFormat="0" applyBorder="0" applyAlignment="0" applyProtection="0"/>
    <xf numFmtId="0" fontId="166" fillId="41" borderId="0" applyNumberFormat="0" applyBorder="0" applyAlignment="0" applyProtection="0"/>
    <xf numFmtId="0" fontId="166" fillId="41" borderId="0" applyNumberFormat="0" applyBorder="0" applyAlignment="0" applyProtection="0"/>
    <xf numFmtId="0" fontId="166" fillId="41" borderId="0" applyNumberFormat="0" applyBorder="0" applyAlignment="0" applyProtection="0"/>
    <xf numFmtId="0" fontId="166" fillId="41" borderId="0" applyNumberFormat="0" applyBorder="0" applyAlignment="0" applyProtection="0"/>
    <xf numFmtId="0" fontId="166" fillId="41" borderId="0" applyNumberFormat="0" applyBorder="0" applyAlignment="0" applyProtection="0"/>
    <xf numFmtId="0" fontId="166" fillId="41" borderId="0" applyNumberFormat="0" applyBorder="0" applyAlignment="0" applyProtection="0"/>
    <xf numFmtId="0" fontId="166" fillId="41" borderId="0" applyNumberFormat="0" applyBorder="0" applyAlignment="0" applyProtection="0"/>
    <xf numFmtId="0" fontId="166" fillId="41" borderId="0" applyNumberFormat="0" applyBorder="0" applyAlignment="0" applyProtection="0"/>
    <xf numFmtId="0" fontId="166" fillId="41" borderId="0" applyNumberFormat="0" applyBorder="0" applyAlignment="0" applyProtection="0"/>
    <xf numFmtId="0" fontId="168" fillId="75" borderId="0" applyNumberFormat="0" applyBorder="0" applyAlignment="0" applyProtection="0"/>
    <xf numFmtId="0" fontId="166" fillId="41" borderId="0" applyNumberFormat="0" applyBorder="0" applyAlignment="0" applyProtection="0"/>
    <xf numFmtId="0" fontId="166" fillId="45" borderId="0" applyNumberFormat="0" applyBorder="0" applyAlignment="0" applyProtection="0"/>
    <xf numFmtId="0" fontId="168" fillId="71" borderId="0" applyNumberFormat="0" applyBorder="0" applyAlignment="0" applyProtection="0"/>
    <xf numFmtId="0" fontId="166" fillId="45" borderId="0" applyNumberFormat="0" applyBorder="0" applyAlignment="0" applyProtection="0"/>
    <xf numFmtId="0" fontId="168" fillId="71" borderId="0" applyNumberFormat="0" applyBorder="0" applyAlignment="0" applyProtection="0"/>
    <xf numFmtId="0" fontId="166" fillId="45" borderId="0" applyNumberFormat="0" applyBorder="0" applyAlignment="0" applyProtection="0"/>
    <xf numFmtId="0" fontId="168" fillId="71" borderId="0" applyNumberFormat="0" applyBorder="0" applyAlignment="0" applyProtection="0"/>
    <xf numFmtId="0" fontId="166" fillId="45" borderId="0" applyNumberFormat="0" applyBorder="0" applyAlignment="0" applyProtection="0"/>
    <xf numFmtId="0" fontId="168" fillId="71" borderId="0" applyNumberFormat="0" applyBorder="0" applyAlignment="0" applyProtection="0"/>
    <xf numFmtId="0" fontId="168" fillId="71" borderId="0" applyNumberFormat="0" applyBorder="0" applyAlignment="0" applyProtection="0"/>
    <xf numFmtId="0" fontId="168" fillId="71" borderId="0" applyNumberFormat="0" applyBorder="0" applyAlignment="0" applyProtection="0"/>
    <xf numFmtId="0" fontId="166" fillId="45" borderId="0" applyNumberFormat="0" applyBorder="0" applyAlignment="0" applyProtection="0"/>
    <xf numFmtId="0" fontId="166" fillId="45" borderId="0" applyNumberFormat="0" applyBorder="0" applyAlignment="0" applyProtection="0"/>
    <xf numFmtId="0" fontId="168" fillId="71" borderId="0" applyNumberFormat="0" applyBorder="0" applyAlignment="0" applyProtection="0"/>
    <xf numFmtId="0" fontId="168" fillId="71" borderId="0" applyNumberFormat="0" applyBorder="0" applyAlignment="0" applyProtection="0"/>
    <xf numFmtId="0" fontId="168" fillId="71" borderId="0" applyNumberFormat="0" applyBorder="0" applyAlignment="0" applyProtection="0"/>
    <xf numFmtId="0" fontId="166" fillId="45" borderId="0" applyNumberFormat="0" applyBorder="0" applyAlignment="0" applyProtection="0"/>
    <xf numFmtId="0" fontId="166" fillId="45" borderId="0" applyNumberFormat="0" applyBorder="0" applyAlignment="0" applyProtection="0"/>
    <xf numFmtId="0" fontId="166" fillId="45" borderId="0" applyNumberFormat="0" applyBorder="0" applyAlignment="0" applyProtection="0"/>
    <xf numFmtId="0" fontId="168" fillId="71" borderId="0" applyNumberFormat="0" applyBorder="0" applyAlignment="0" applyProtection="0"/>
    <xf numFmtId="0" fontId="168" fillId="71" borderId="0" applyNumberFormat="0" applyBorder="0" applyAlignment="0" applyProtection="0"/>
    <xf numFmtId="0" fontId="168" fillId="71" borderId="0" applyNumberFormat="0" applyBorder="0" applyAlignment="0" applyProtection="0"/>
    <xf numFmtId="0" fontId="168" fillId="71" borderId="0" applyNumberFormat="0" applyBorder="0" applyAlignment="0" applyProtection="0"/>
    <xf numFmtId="0" fontId="168" fillId="71" borderId="0" applyNumberFormat="0" applyBorder="0" applyAlignment="0" applyProtection="0"/>
    <xf numFmtId="0" fontId="166" fillId="45" borderId="0" applyNumberFormat="0" applyBorder="0" applyAlignment="0" applyProtection="0"/>
    <xf numFmtId="0" fontId="166" fillId="45" borderId="0" applyNumberFormat="0" applyBorder="0" applyAlignment="0" applyProtection="0"/>
    <xf numFmtId="0" fontId="166" fillId="45" borderId="0" applyNumberFormat="0" applyBorder="0" applyAlignment="0" applyProtection="0"/>
    <xf numFmtId="0" fontId="166" fillId="45" borderId="0" applyNumberFormat="0" applyBorder="0" applyAlignment="0" applyProtection="0"/>
    <xf numFmtId="0" fontId="166" fillId="45" borderId="0" applyNumberFormat="0" applyBorder="0" applyAlignment="0" applyProtection="0"/>
    <xf numFmtId="0" fontId="166" fillId="45" borderId="0" applyNumberFormat="0" applyBorder="0" applyAlignment="0" applyProtection="0"/>
    <xf numFmtId="0" fontId="166" fillId="45" borderId="0" applyNumberFormat="0" applyBorder="0" applyAlignment="0" applyProtection="0"/>
    <xf numFmtId="0" fontId="166" fillId="45" borderId="0" applyNumberFormat="0" applyBorder="0" applyAlignment="0" applyProtection="0"/>
    <xf numFmtId="0" fontId="166" fillId="45" borderId="0" applyNumberFormat="0" applyBorder="0" applyAlignment="0" applyProtection="0"/>
    <xf numFmtId="0" fontId="166" fillId="45" borderId="0" applyNumberFormat="0" applyBorder="0" applyAlignment="0" applyProtection="0"/>
    <xf numFmtId="0" fontId="166" fillId="45" borderId="0" applyNumberFormat="0" applyBorder="0" applyAlignment="0" applyProtection="0"/>
    <xf numFmtId="0" fontId="168" fillId="71" borderId="0" applyNumberFormat="0" applyBorder="0" applyAlignment="0" applyProtection="0"/>
    <xf numFmtId="0" fontId="166" fillId="45" borderId="0" applyNumberFormat="0" applyBorder="0" applyAlignment="0" applyProtection="0"/>
    <xf numFmtId="0" fontId="166" fillId="49" borderId="0" applyNumberFormat="0" applyBorder="0" applyAlignment="0" applyProtection="0"/>
    <xf numFmtId="0" fontId="168" fillId="72" borderId="0" applyNumberFormat="0" applyBorder="0" applyAlignment="0" applyProtection="0"/>
    <xf numFmtId="0" fontId="166" fillId="49" borderId="0" applyNumberFormat="0" applyBorder="0" applyAlignment="0" applyProtection="0"/>
    <xf numFmtId="0" fontId="168" fillId="72" borderId="0" applyNumberFormat="0" applyBorder="0" applyAlignment="0" applyProtection="0"/>
    <xf numFmtId="0" fontId="166" fillId="49" borderId="0" applyNumberFormat="0" applyBorder="0" applyAlignment="0" applyProtection="0"/>
    <xf numFmtId="0" fontId="168" fillId="72" borderId="0" applyNumberFormat="0" applyBorder="0" applyAlignment="0" applyProtection="0"/>
    <xf numFmtId="0" fontId="166" fillId="49" borderId="0" applyNumberFormat="0" applyBorder="0" applyAlignment="0" applyProtection="0"/>
    <xf numFmtId="0" fontId="168" fillId="72" borderId="0" applyNumberFormat="0" applyBorder="0" applyAlignment="0" applyProtection="0"/>
    <xf numFmtId="0" fontId="168" fillId="72" borderId="0" applyNumberFormat="0" applyBorder="0" applyAlignment="0" applyProtection="0"/>
    <xf numFmtId="0" fontId="168" fillId="72" borderId="0" applyNumberFormat="0" applyBorder="0" applyAlignment="0" applyProtection="0"/>
    <xf numFmtId="0" fontId="166" fillId="49" borderId="0" applyNumberFormat="0" applyBorder="0" applyAlignment="0" applyProtection="0"/>
    <xf numFmtId="0" fontId="166" fillId="49" borderId="0" applyNumberFormat="0" applyBorder="0" applyAlignment="0" applyProtection="0"/>
    <xf numFmtId="0" fontId="168" fillId="72" borderId="0" applyNumberFormat="0" applyBorder="0" applyAlignment="0" applyProtection="0"/>
    <xf numFmtId="0" fontId="168" fillId="72" borderId="0" applyNumberFormat="0" applyBorder="0" applyAlignment="0" applyProtection="0"/>
    <xf numFmtId="0" fontId="168" fillId="72" borderId="0" applyNumberFormat="0" applyBorder="0" applyAlignment="0" applyProtection="0"/>
    <xf numFmtId="0" fontId="166" fillId="49" borderId="0" applyNumberFormat="0" applyBorder="0" applyAlignment="0" applyProtection="0"/>
    <xf numFmtId="0" fontId="166" fillId="49" borderId="0" applyNumberFormat="0" applyBorder="0" applyAlignment="0" applyProtection="0"/>
    <xf numFmtId="0" fontId="166" fillId="49" borderId="0" applyNumberFormat="0" applyBorder="0" applyAlignment="0" applyProtection="0"/>
    <xf numFmtId="0" fontId="168" fillId="72" borderId="0" applyNumberFormat="0" applyBorder="0" applyAlignment="0" applyProtection="0"/>
    <xf numFmtId="0" fontId="168" fillId="72" borderId="0" applyNumberFormat="0" applyBorder="0" applyAlignment="0" applyProtection="0"/>
    <xf numFmtId="0" fontId="168" fillId="72" borderId="0" applyNumberFormat="0" applyBorder="0" applyAlignment="0" applyProtection="0"/>
    <xf numFmtId="0" fontId="168" fillId="72" borderId="0" applyNumberFormat="0" applyBorder="0" applyAlignment="0" applyProtection="0"/>
    <xf numFmtId="0" fontId="168" fillId="72" borderId="0" applyNumberFormat="0" applyBorder="0" applyAlignment="0" applyProtection="0"/>
    <xf numFmtId="0" fontId="166" fillId="49" borderId="0" applyNumberFormat="0" applyBorder="0" applyAlignment="0" applyProtection="0"/>
    <xf numFmtId="0" fontId="166" fillId="49" borderId="0" applyNumberFormat="0" applyBorder="0" applyAlignment="0" applyProtection="0"/>
    <xf numFmtId="0" fontId="166" fillId="49" borderId="0" applyNumberFormat="0" applyBorder="0" applyAlignment="0" applyProtection="0"/>
    <xf numFmtId="0" fontId="166" fillId="49" borderId="0" applyNumberFormat="0" applyBorder="0" applyAlignment="0" applyProtection="0"/>
    <xf numFmtId="0" fontId="166" fillId="49" borderId="0" applyNumberFormat="0" applyBorder="0" applyAlignment="0" applyProtection="0"/>
    <xf numFmtId="0" fontId="166" fillId="49" borderId="0" applyNumberFormat="0" applyBorder="0" applyAlignment="0" applyProtection="0"/>
    <xf numFmtId="0" fontId="166" fillId="49" borderId="0" applyNumberFormat="0" applyBorder="0" applyAlignment="0" applyProtection="0"/>
    <xf numFmtId="0" fontId="166" fillId="49" borderId="0" applyNumberFormat="0" applyBorder="0" applyAlignment="0" applyProtection="0"/>
    <xf numFmtId="0" fontId="166" fillId="49" borderId="0" applyNumberFormat="0" applyBorder="0" applyAlignment="0" applyProtection="0"/>
    <xf numFmtId="0" fontId="166" fillId="49" borderId="0" applyNumberFormat="0" applyBorder="0" applyAlignment="0" applyProtection="0"/>
    <xf numFmtId="0" fontId="166" fillId="49" borderId="0" applyNumberFormat="0" applyBorder="0" applyAlignment="0" applyProtection="0"/>
    <xf numFmtId="0" fontId="168" fillId="72" borderId="0" applyNumberFormat="0" applyBorder="0" applyAlignment="0" applyProtection="0"/>
    <xf numFmtId="0" fontId="166" fillId="49" borderId="0" applyNumberFormat="0" applyBorder="0" applyAlignment="0" applyProtection="0"/>
    <xf numFmtId="0" fontId="166" fillId="53" borderId="0" applyNumberFormat="0" applyBorder="0" applyAlignment="0" applyProtection="0"/>
    <xf numFmtId="0" fontId="168" fillId="76" borderId="0" applyNumberFormat="0" applyBorder="0" applyAlignment="0" applyProtection="0"/>
    <xf numFmtId="0" fontId="166" fillId="53" borderId="0" applyNumberFormat="0" applyBorder="0" applyAlignment="0" applyProtection="0"/>
    <xf numFmtId="0" fontId="168" fillId="76" borderId="0" applyNumberFormat="0" applyBorder="0" applyAlignment="0" applyProtection="0"/>
    <xf numFmtId="0" fontId="166" fillId="53" borderId="0" applyNumberFormat="0" applyBorder="0" applyAlignment="0" applyProtection="0"/>
    <xf numFmtId="0" fontId="168" fillId="76" borderId="0" applyNumberFormat="0" applyBorder="0" applyAlignment="0" applyProtection="0"/>
    <xf numFmtId="0" fontId="166" fillId="53" borderId="0" applyNumberFormat="0" applyBorder="0" applyAlignment="0" applyProtection="0"/>
    <xf numFmtId="0" fontId="168" fillId="76" borderId="0" applyNumberFormat="0" applyBorder="0" applyAlignment="0" applyProtection="0"/>
    <xf numFmtId="0" fontId="168" fillId="76" borderId="0" applyNumberFormat="0" applyBorder="0" applyAlignment="0" applyProtection="0"/>
    <xf numFmtId="0" fontId="168" fillId="76" borderId="0" applyNumberFormat="0" applyBorder="0" applyAlignment="0" applyProtection="0"/>
    <xf numFmtId="0" fontId="166" fillId="53" borderId="0" applyNumberFormat="0" applyBorder="0" applyAlignment="0" applyProtection="0"/>
    <xf numFmtId="0" fontId="166" fillId="53" borderId="0" applyNumberFormat="0" applyBorder="0" applyAlignment="0" applyProtection="0"/>
    <xf numFmtId="0" fontId="168" fillId="76" borderId="0" applyNumberFormat="0" applyBorder="0" applyAlignment="0" applyProtection="0"/>
    <xf numFmtId="0" fontId="168" fillId="76" borderId="0" applyNumberFormat="0" applyBorder="0" applyAlignment="0" applyProtection="0"/>
    <xf numFmtId="0" fontId="168" fillId="76" borderId="0" applyNumberFormat="0" applyBorder="0" applyAlignment="0" applyProtection="0"/>
    <xf numFmtId="0" fontId="166" fillId="53" borderId="0" applyNumberFormat="0" applyBorder="0" applyAlignment="0" applyProtection="0"/>
    <xf numFmtId="0" fontId="166" fillId="53" borderId="0" applyNumberFormat="0" applyBorder="0" applyAlignment="0" applyProtection="0"/>
    <xf numFmtId="0" fontId="166" fillId="53" borderId="0" applyNumberFormat="0" applyBorder="0" applyAlignment="0" applyProtection="0"/>
    <xf numFmtId="0" fontId="168" fillId="76" borderId="0" applyNumberFormat="0" applyBorder="0" applyAlignment="0" applyProtection="0"/>
    <xf numFmtId="0" fontId="168" fillId="76" borderId="0" applyNumberFormat="0" applyBorder="0" applyAlignment="0" applyProtection="0"/>
    <xf numFmtId="0" fontId="168" fillId="76" borderId="0" applyNumberFormat="0" applyBorder="0" applyAlignment="0" applyProtection="0"/>
    <xf numFmtId="0" fontId="168" fillId="76" borderId="0" applyNumberFormat="0" applyBorder="0" applyAlignment="0" applyProtection="0"/>
    <xf numFmtId="0" fontId="168" fillId="76" borderId="0" applyNumberFormat="0" applyBorder="0" applyAlignment="0" applyProtection="0"/>
    <xf numFmtId="0" fontId="166" fillId="53" borderId="0" applyNumberFormat="0" applyBorder="0" applyAlignment="0" applyProtection="0"/>
    <xf numFmtId="0" fontId="166" fillId="53" borderId="0" applyNumberFormat="0" applyBorder="0" applyAlignment="0" applyProtection="0"/>
    <xf numFmtId="0" fontId="166" fillId="53" borderId="0" applyNumberFormat="0" applyBorder="0" applyAlignment="0" applyProtection="0"/>
    <xf numFmtId="0" fontId="166" fillId="53" borderId="0" applyNumberFormat="0" applyBorder="0" applyAlignment="0" applyProtection="0"/>
    <xf numFmtId="0" fontId="166" fillId="53" borderId="0" applyNumberFormat="0" applyBorder="0" applyAlignment="0" applyProtection="0"/>
    <xf numFmtId="0" fontId="166" fillId="53" borderId="0" applyNumberFormat="0" applyBorder="0" applyAlignment="0" applyProtection="0"/>
    <xf numFmtId="0" fontId="166" fillId="53" borderId="0" applyNumberFormat="0" applyBorder="0" applyAlignment="0" applyProtection="0"/>
    <xf numFmtId="0" fontId="166" fillId="53" borderId="0" applyNumberFormat="0" applyBorder="0" applyAlignment="0" applyProtection="0"/>
    <xf numFmtId="0" fontId="166" fillId="53" borderId="0" applyNumberFormat="0" applyBorder="0" applyAlignment="0" applyProtection="0"/>
    <xf numFmtId="0" fontId="166" fillId="53" borderId="0" applyNumberFormat="0" applyBorder="0" applyAlignment="0" applyProtection="0"/>
    <xf numFmtId="0" fontId="166" fillId="53" borderId="0" applyNumberFormat="0" applyBorder="0" applyAlignment="0" applyProtection="0"/>
    <xf numFmtId="0" fontId="168" fillId="76" borderId="0" applyNumberFormat="0" applyBorder="0" applyAlignment="0" applyProtection="0"/>
    <xf numFmtId="0" fontId="166" fillId="53" borderId="0" applyNumberFormat="0" applyBorder="0" applyAlignment="0" applyProtection="0"/>
    <xf numFmtId="0" fontId="166" fillId="57" borderId="0" applyNumberFormat="0" applyBorder="0" applyAlignment="0" applyProtection="0"/>
    <xf numFmtId="0" fontId="168" fillId="77" borderId="0" applyNumberFormat="0" applyBorder="0" applyAlignment="0" applyProtection="0"/>
    <xf numFmtId="0" fontId="166" fillId="57" borderId="0" applyNumberFormat="0" applyBorder="0" applyAlignment="0" applyProtection="0"/>
    <xf numFmtId="0" fontId="168" fillId="77" borderId="0" applyNumberFormat="0" applyBorder="0" applyAlignment="0" applyProtection="0"/>
    <xf numFmtId="0" fontId="166" fillId="57" borderId="0" applyNumberFormat="0" applyBorder="0" applyAlignment="0" applyProtection="0"/>
    <xf numFmtId="0" fontId="168" fillId="77" borderId="0" applyNumberFormat="0" applyBorder="0" applyAlignment="0" applyProtection="0"/>
    <xf numFmtId="0" fontId="166" fillId="57" borderId="0" applyNumberFormat="0" applyBorder="0" applyAlignment="0" applyProtection="0"/>
    <xf numFmtId="0" fontId="168" fillId="77" borderId="0" applyNumberFormat="0" applyBorder="0" applyAlignment="0" applyProtection="0"/>
    <xf numFmtId="0" fontId="168" fillId="77" borderId="0" applyNumberFormat="0" applyBorder="0" applyAlignment="0" applyProtection="0"/>
    <xf numFmtId="0" fontId="168" fillId="77" borderId="0" applyNumberFormat="0" applyBorder="0" applyAlignment="0" applyProtection="0"/>
    <xf numFmtId="0" fontId="166" fillId="57" borderId="0" applyNumberFormat="0" applyBorder="0" applyAlignment="0" applyProtection="0"/>
    <xf numFmtId="0" fontId="166" fillId="57" borderId="0" applyNumberFormat="0" applyBorder="0" applyAlignment="0" applyProtection="0"/>
    <xf numFmtId="0" fontId="168" fillId="77" borderId="0" applyNumberFormat="0" applyBorder="0" applyAlignment="0" applyProtection="0"/>
    <xf numFmtId="0" fontId="168" fillId="77" borderId="0" applyNumberFormat="0" applyBorder="0" applyAlignment="0" applyProtection="0"/>
    <xf numFmtId="0" fontId="168" fillId="77" borderId="0" applyNumberFormat="0" applyBorder="0" applyAlignment="0" applyProtection="0"/>
    <xf numFmtId="0" fontId="166" fillId="57" borderId="0" applyNumberFormat="0" applyBorder="0" applyAlignment="0" applyProtection="0"/>
    <xf numFmtId="0" fontId="166" fillId="57" borderId="0" applyNumberFormat="0" applyBorder="0" applyAlignment="0" applyProtection="0"/>
    <xf numFmtId="0" fontId="166" fillId="57" borderId="0" applyNumberFormat="0" applyBorder="0" applyAlignment="0" applyProtection="0"/>
    <xf numFmtId="0" fontId="168" fillId="77" borderId="0" applyNumberFormat="0" applyBorder="0" applyAlignment="0" applyProtection="0"/>
    <xf numFmtId="0" fontId="168" fillId="77" borderId="0" applyNumberFormat="0" applyBorder="0" applyAlignment="0" applyProtection="0"/>
    <xf numFmtId="0" fontId="168" fillId="77" borderId="0" applyNumberFormat="0" applyBorder="0" applyAlignment="0" applyProtection="0"/>
    <xf numFmtId="0" fontId="168" fillId="77" borderId="0" applyNumberFormat="0" applyBorder="0" applyAlignment="0" applyProtection="0"/>
    <xf numFmtId="0" fontId="168" fillId="77" borderId="0" applyNumberFormat="0" applyBorder="0" applyAlignment="0" applyProtection="0"/>
    <xf numFmtId="0" fontId="166" fillId="57" borderId="0" applyNumberFormat="0" applyBorder="0" applyAlignment="0" applyProtection="0"/>
    <xf numFmtId="0" fontId="166" fillId="57" borderId="0" applyNumberFormat="0" applyBorder="0" applyAlignment="0" applyProtection="0"/>
    <xf numFmtId="0" fontId="166" fillId="57" borderId="0" applyNumberFormat="0" applyBorder="0" applyAlignment="0" applyProtection="0"/>
    <xf numFmtId="0" fontId="166" fillId="57" borderId="0" applyNumberFormat="0" applyBorder="0" applyAlignment="0" applyProtection="0"/>
    <xf numFmtId="0" fontId="166" fillId="57" borderId="0" applyNumberFormat="0" applyBorder="0" applyAlignment="0" applyProtection="0"/>
    <xf numFmtId="0" fontId="166" fillId="57" borderId="0" applyNumberFormat="0" applyBorder="0" applyAlignment="0" applyProtection="0"/>
    <xf numFmtId="0" fontId="166" fillId="57" borderId="0" applyNumberFormat="0" applyBorder="0" applyAlignment="0" applyProtection="0"/>
    <xf numFmtId="0" fontId="166" fillId="57" borderId="0" applyNumberFormat="0" applyBorder="0" applyAlignment="0" applyProtection="0"/>
    <xf numFmtId="0" fontId="166" fillId="57" borderId="0" applyNumberFormat="0" applyBorder="0" applyAlignment="0" applyProtection="0"/>
    <xf numFmtId="0" fontId="166" fillId="57" borderId="0" applyNumberFormat="0" applyBorder="0" applyAlignment="0" applyProtection="0"/>
    <xf numFmtId="0" fontId="166" fillId="57" borderId="0" applyNumberFormat="0" applyBorder="0" applyAlignment="0" applyProtection="0"/>
    <xf numFmtId="0" fontId="168" fillId="77" borderId="0" applyNumberFormat="0" applyBorder="0" applyAlignment="0" applyProtection="0"/>
    <xf numFmtId="0" fontId="166" fillId="57" borderId="0" applyNumberFormat="0" applyBorder="0" applyAlignment="0" applyProtection="0"/>
    <xf numFmtId="0" fontId="166" fillId="61" borderId="0" applyNumberFormat="0" applyBorder="0" applyAlignment="0" applyProtection="0"/>
    <xf numFmtId="0" fontId="168" fillId="78" borderId="0" applyNumberFormat="0" applyBorder="0" applyAlignment="0" applyProtection="0"/>
    <xf numFmtId="0" fontId="166" fillId="61" borderId="0" applyNumberFormat="0" applyBorder="0" applyAlignment="0" applyProtection="0"/>
    <xf numFmtId="0" fontId="168" fillId="78" borderId="0" applyNumberFormat="0" applyBorder="0" applyAlignment="0" applyProtection="0"/>
    <xf numFmtId="0" fontId="166" fillId="61" borderId="0" applyNumberFormat="0" applyBorder="0" applyAlignment="0" applyProtection="0"/>
    <xf numFmtId="0" fontId="168" fillId="78" borderId="0" applyNumberFormat="0" applyBorder="0" applyAlignment="0" applyProtection="0"/>
    <xf numFmtId="0" fontId="166" fillId="61" borderId="0" applyNumberFormat="0" applyBorder="0" applyAlignment="0" applyProtection="0"/>
    <xf numFmtId="0" fontId="168" fillId="78" borderId="0" applyNumberFormat="0" applyBorder="0" applyAlignment="0" applyProtection="0"/>
    <xf numFmtId="0" fontId="168" fillId="78" borderId="0" applyNumberFormat="0" applyBorder="0" applyAlignment="0" applyProtection="0"/>
    <xf numFmtId="0" fontId="168" fillId="78" borderId="0" applyNumberFormat="0" applyBorder="0" applyAlignment="0" applyProtection="0"/>
    <xf numFmtId="0" fontId="166" fillId="61" borderId="0" applyNumberFormat="0" applyBorder="0" applyAlignment="0" applyProtection="0"/>
    <xf numFmtId="0" fontId="166" fillId="61" borderId="0" applyNumberFormat="0" applyBorder="0" applyAlignment="0" applyProtection="0"/>
    <xf numFmtId="0" fontId="168" fillId="78" borderId="0" applyNumberFormat="0" applyBorder="0" applyAlignment="0" applyProtection="0"/>
    <xf numFmtId="0" fontId="168" fillId="78" borderId="0" applyNumberFormat="0" applyBorder="0" applyAlignment="0" applyProtection="0"/>
    <xf numFmtId="0" fontId="168" fillId="78" borderId="0" applyNumberFormat="0" applyBorder="0" applyAlignment="0" applyProtection="0"/>
    <xf numFmtId="0" fontId="166" fillId="61" borderId="0" applyNumberFormat="0" applyBorder="0" applyAlignment="0" applyProtection="0"/>
    <xf numFmtId="0" fontId="166" fillId="61" borderId="0" applyNumberFormat="0" applyBorder="0" applyAlignment="0" applyProtection="0"/>
    <xf numFmtId="0" fontId="166" fillId="61" borderId="0" applyNumberFormat="0" applyBorder="0" applyAlignment="0" applyProtection="0"/>
    <xf numFmtId="0" fontId="168" fillId="78" borderId="0" applyNumberFormat="0" applyBorder="0" applyAlignment="0" applyProtection="0"/>
    <xf numFmtId="0" fontId="168" fillId="78" borderId="0" applyNumberFormat="0" applyBorder="0" applyAlignment="0" applyProtection="0"/>
    <xf numFmtId="0" fontId="168" fillId="78" borderId="0" applyNumberFormat="0" applyBorder="0" applyAlignment="0" applyProtection="0"/>
    <xf numFmtId="0" fontId="168" fillId="78" borderId="0" applyNumberFormat="0" applyBorder="0" applyAlignment="0" applyProtection="0"/>
    <xf numFmtId="0" fontId="168" fillId="78" borderId="0" applyNumberFormat="0" applyBorder="0" applyAlignment="0" applyProtection="0"/>
    <xf numFmtId="0" fontId="166" fillId="61" borderId="0" applyNumberFormat="0" applyBorder="0" applyAlignment="0" applyProtection="0"/>
    <xf numFmtId="0" fontId="166" fillId="61" borderId="0" applyNumberFormat="0" applyBorder="0" applyAlignment="0" applyProtection="0"/>
    <xf numFmtId="0" fontId="166" fillId="61" borderId="0" applyNumberFormat="0" applyBorder="0" applyAlignment="0" applyProtection="0"/>
    <xf numFmtId="0" fontId="166" fillId="61" borderId="0" applyNumberFormat="0" applyBorder="0" applyAlignment="0" applyProtection="0"/>
    <xf numFmtId="0" fontId="166" fillId="61" borderId="0" applyNumberFormat="0" applyBorder="0" applyAlignment="0" applyProtection="0"/>
    <xf numFmtId="0" fontId="166" fillId="61" borderId="0" applyNumberFormat="0" applyBorder="0" applyAlignment="0" applyProtection="0"/>
    <xf numFmtId="0" fontId="166" fillId="61" borderId="0" applyNumberFormat="0" applyBorder="0" applyAlignment="0" applyProtection="0"/>
    <xf numFmtId="0" fontId="166" fillId="61" borderId="0" applyNumberFormat="0" applyBorder="0" applyAlignment="0" applyProtection="0"/>
    <xf numFmtId="0" fontId="166" fillId="61" borderId="0" applyNumberFormat="0" applyBorder="0" applyAlignment="0" applyProtection="0"/>
    <xf numFmtId="0" fontId="166" fillId="61" borderId="0" applyNumberFormat="0" applyBorder="0" applyAlignment="0" applyProtection="0"/>
    <xf numFmtId="0" fontId="166" fillId="61" borderId="0" applyNumberFormat="0" applyBorder="0" applyAlignment="0" applyProtection="0"/>
    <xf numFmtId="0" fontId="168" fillId="78" borderId="0" applyNumberFormat="0" applyBorder="0" applyAlignment="0" applyProtection="0"/>
    <xf numFmtId="0" fontId="166" fillId="61" borderId="0" applyNumberFormat="0" applyBorder="0" applyAlignment="0" applyProtection="0"/>
    <xf numFmtId="0" fontId="158" fillId="31" borderId="0" applyNumberFormat="0" applyBorder="0" applyAlignment="0" applyProtection="0"/>
    <xf numFmtId="0" fontId="174" fillId="64" borderId="0" applyNumberFormat="0" applyBorder="0" applyAlignment="0" applyProtection="0"/>
    <xf numFmtId="0" fontId="158" fillId="31" borderId="0" applyNumberFormat="0" applyBorder="0" applyAlignment="0" applyProtection="0"/>
    <xf numFmtId="0" fontId="174" fillId="64" borderId="0" applyNumberFormat="0" applyBorder="0" applyAlignment="0" applyProtection="0"/>
    <xf numFmtId="0" fontId="158" fillId="31" borderId="0" applyNumberFormat="0" applyBorder="0" applyAlignment="0" applyProtection="0"/>
    <xf numFmtId="0" fontId="174" fillId="64" borderId="0" applyNumberFormat="0" applyBorder="0" applyAlignment="0" applyProtection="0"/>
    <xf numFmtId="0" fontId="158" fillId="31" borderId="0" applyNumberFormat="0" applyBorder="0" applyAlignment="0" applyProtection="0"/>
    <xf numFmtId="0" fontId="174" fillId="64" borderId="0" applyNumberFormat="0" applyBorder="0" applyAlignment="0" applyProtection="0"/>
    <xf numFmtId="0" fontId="174" fillId="64" borderId="0" applyNumberFormat="0" applyBorder="0" applyAlignment="0" applyProtection="0"/>
    <xf numFmtId="0" fontId="174" fillId="64" borderId="0" applyNumberFormat="0" applyBorder="0" applyAlignment="0" applyProtection="0"/>
    <xf numFmtId="0" fontId="158" fillId="31" borderId="0" applyNumberFormat="0" applyBorder="0" applyAlignment="0" applyProtection="0"/>
    <xf numFmtId="0" fontId="158" fillId="31" borderId="0" applyNumberFormat="0" applyBorder="0" applyAlignment="0" applyProtection="0"/>
    <xf numFmtId="0" fontId="174" fillId="64" borderId="0" applyNumberFormat="0" applyBorder="0" applyAlignment="0" applyProtection="0"/>
    <xf numFmtId="0" fontId="174" fillId="64" borderId="0" applyNumberFormat="0" applyBorder="0" applyAlignment="0" applyProtection="0"/>
    <xf numFmtId="0" fontId="174" fillId="64" borderId="0" applyNumberFormat="0" applyBorder="0" applyAlignment="0" applyProtection="0"/>
    <xf numFmtId="0" fontId="158" fillId="31" borderId="0" applyNumberFormat="0" applyBorder="0" applyAlignment="0" applyProtection="0"/>
    <xf numFmtId="0" fontId="158" fillId="31" borderId="0" applyNumberFormat="0" applyBorder="0" applyAlignment="0" applyProtection="0"/>
    <xf numFmtId="0" fontId="158" fillId="31" borderId="0" applyNumberFormat="0" applyBorder="0" applyAlignment="0" applyProtection="0"/>
    <xf numFmtId="0" fontId="174" fillId="64" borderId="0" applyNumberFormat="0" applyBorder="0" applyAlignment="0" applyProtection="0"/>
    <xf numFmtId="0" fontId="174" fillId="64" borderId="0" applyNumberFormat="0" applyBorder="0" applyAlignment="0" applyProtection="0"/>
    <xf numFmtId="0" fontId="174" fillId="64" borderId="0" applyNumberFormat="0" applyBorder="0" applyAlignment="0" applyProtection="0"/>
    <xf numFmtId="0" fontId="174" fillId="64" borderId="0" applyNumberFormat="0" applyBorder="0" applyAlignment="0" applyProtection="0"/>
    <xf numFmtId="0" fontId="174" fillId="64" borderId="0" applyNumberFormat="0" applyBorder="0" applyAlignment="0" applyProtection="0"/>
    <xf numFmtId="0" fontId="158" fillId="31" borderId="0" applyNumberFormat="0" applyBorder="0" applyAlignment="0" applyProtection="0"/>
    <xf numFmtId="0" fontId="158" fillId="31" borderId="0" applyNumberFormat="0" applyBorder="0" applyAlignment="0" applyProtection="0"/>
    <xf numFmtId="0" fontId="158" fillId="31" borderId="0" applyNumberFormat="0" applyBorder="0" applyAlignment="0" applyProtection="0"/>
    <xf numFmtId="0" fontId="158" fillId="31" borderId="0" applyNumberFormat="0" applyBorder="0" applyAlignment="0" applyProtection="0"/>
    <xf numFmtId="0" fontId="158" fillId="31" borderId="0" applyNumberFormat="0" applyBorder="0" applyAlignment="0" applyProtection="0"/>
    <xf numFmtId="0" fontId="158" fillId="31" borderId="0" applyNumberFormat="0" applyBorder="0" applyAlignment="0" applyProtection="0"/>
    <xf numFmtId="0" fontId="158" fillId="31" borderId="0" applyNumberFormat="0" applyBorder="0" applyAlignment="0" applyProtection="0"/>
    <xf numFmtId="0" fontId="158" fillId="31" borderId="0" applyNumberFormat="0" applyBorder="0" applyAlignment="0" applyProtection="0"/>
    <xf numFmtId="0" fontId="158" fillId="31" borderId="0" applyNumberFormat="0" applyBorder="0" applyAlignment="0" applyProtection="0"/>
    <xf numFmtId="0" fontId="158" fillId="31" borderId="0" applyNumberFormat="0" applyBorder="0" applyAlignment="0" applyProtection="0"/>
    <xf numFmtId="0" fontId="158" fillId="31" borderId="0" applyNumberFormat="0" applyBorder="0" applyAlignment="0" applyProtection="0"/>
    <xf numFmtId="0" fontId="174" fillId="64" borderId="0" applyNumberFormat="0" applyBorder="0" applyAlignment="0" applyProtection="0"/>
    <xf numFmtId="0" fontId="158" fillId="31" borderId="0" applyNumberFormat="0" applyBorder="0" applyAlignment="0" applyProtection="0"/>
    <xf numFmtId="0" fontId="162" fillId="35" borderId="28" applyNumberFormat="0" applyAlignment="0" applyProtection="0"/>
    <xf numFmtId="0" fontId="170" fillId="68" borderId="34" applyNumberFormat="0" applyAlignment="0" applyProtection="0"/>
    <xf numFmtId="0" fontId="162" fillId="35" borderId="28" applyNumberFormat="0" applyAlignment="0" applyProtection="0"/>
    <xf numFmtId="0" fontId="170" fillId="68" borderId="34" applyNumberFormat="0" applyAlignment="0" applyProtection="0"/>
    <xf numFmtId="0" fontId="162" fillId="35" borderId="28" applyNumberFormat="0" applyAlignment="0" applyProtection="0"/>
    <xf numFmtId="0" fontId="170" fillId="68" borderId="34" applyNumberFormat="0" applyAlignment="0" applyProtection="0"/>
    <xf numFmtId="0" fontId="162" fillId="35" borderId="28"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62" fillId="35" borderId="28" applyNumberFormat="0" applyAlignment="0" applyProtection="0"/>
    <xf numFmtId="0" fontId="162" fillId="35" borderId="28"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62" fillId="35" borderId="28" applyNumberFormat="0" applyAlignment="0" applyProtection="0"/>
    <xf numFmtId="0" fontId="162" fillId="35" borderId="28" applyNumberFormat="0" applyAlignment="0" applyProtection="0"/>
    <xf numFmtId="0" fontId="162" fillId="35" borderId="28"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62" fillId="35" borderId="28" applyNumberFormat="0" applyAlignment="0" applyProtection="0"/>
    <xf numFmtId="0" fontId="162" fillId="35" borderId="28" applyNumberFormat="0" applyAlignment="0" applyProtection="0"/>
    <xf numFmtId="0" fontId="162" fillId="35" borderId="28" applyNumberFormat="0" applyAlignment="0" applyProtection="0"/>
    <xf numFmtId="0" fontId="162" fillId="35" borderId="28" applyNumberFormat="0" applyAlignment="0" applyProtection="0"/>
    <xf numFmtId="0" fontId="162" fillId="35" borderId="28" applyNumberFormat="0" applyAlignment="0" applyProtection="0"/>
    <xf numFmtId="0" fontId="162" fillId="35" borderId="28" applyNumberFormat="0" applyAlignment="0" applyProtection="0"/>
    <xf numFmtId="0" fontId="162" fillId="35" borderId="28" applyNumberFormat="0" applyAlignment="0" applyProtection="0"/>
    <xf numFmtId="0" fontId="162" fillId="35" borderId="28" applyNumberFormat="0" applyAlignment="0" applyProtection="0"/>
    <xf numFmtId="0" fontId="162" fillId="35" borderId="28" applyNumberFormat="0" applyAlignment="0" applyProtection="0"/>
    <xf numFmtId="0" fontId="162" fillId="35" borderId="28" applyNumberFormat="0" applyAlignment="0" applyProtection="0"/>
    <xf numFmtId="0" fontId="162" fillId="35" borderId="28" applyNumberFormat="0" applyAlignment="0" applyProtection="0"/>
    <xf numFmtId="0" fontId="170" fillId="68" borderId="34" applyNumberFormat="0" applyAlignment="0" applyProtection="0"/>
    <xf numFmtId="0" fontId="162" fillId="35" borderId="28" applyNumberFormat="0" applyAlignment="0" applyProtection="0"/>
    <xf numFmtId="0" fontId="164" fillId="36" borderId="31" applyNumberFormat="0" applyAlignment="0" applyProtection="0"/>
    <xf numFmtId="0" fontId="171" fillId="79" borderId="35" applyNumberFormat="0" applyAlignment="0" applyProtection="0"/>
    <xf numFmtId="0" fontId="164" fillId="36" borderId="31" applyNumberFormat="0" applyAlignment="0" applyProtection="0"/>
    <xf numFmtId="0" fontId="171" fillId="79" borderId="35" applyNumberFormat="0" applyAlignment="0" applyProtection="0"/>
    <xf numFmtId="0" fontId="164" fillId="36" borderId="31" applyNumberFormat="0" applyAlignment="0" applyProtection="0"/>
    <xf numFmtId="0" fontId="171" fillId="79" borderId="35" applyNumberFormat="0" applyAlignment="0" applyProtection="0"/>
    <xf numFmtId="0" fontId="164" fillId="36" borderId="31" applyNumberFormat="0" applyAlignment="0" applyProtection="0"/>
    <xf numFmtId="0" fontId="171" fillId="79" borderId="35" applyNumberFormat="0" applyAlignment="0" applyProtection="0"/>
    <xf numFmtId="0" fontId="171" fillId="79" borderId="35" applyNumberFormat="0" applyAlignment="0" applyProtection="0"/>
    <xf numFmtId="0" fontId="171" fillId="79" borderId="35" applyNumberFormat="0" applyAlignment="0" applyProtection="0"/>
    <xf numFmtId="0" fontId="164" fillId="36" borderId="31" applyNumberFormat="0" applyAlignment="0" applyProtection="0"/>
    <xf numFmtId="0" fontId="164" fillId="36" borderId="31" applyNumberFormat="0" applyAlignment="0" applyProtection="0"/>
    <xf numFmtId="0" fontId="171" fillId="79" borderId="35" applyNumberFormat="0" applyAlignment="0" applyProtection="0"/>
    <xf numFmtId="0" fontId="171" fillId="79" borderId="35" applyNumberFormat="0" applyAlignment="0" applyProtection="0"/>
    <xf numFmtId="0" fontId="171" fillId="79" borderId="35" applyNumberFormat="0" applyAlignment="0" applyProtection="0"/>
    <xf numFmtId="0" fontId="164" fillId="36" borderId="31" applyNumberFormat="0" applyAlignment="0" applyProtection="0"/>
    <xf numFmtId="0" fontId="164" fillId="36" borderId="31" applyNumberFormat="0" applyAlignment="0" applyProtection="0"/>
    <xf numFmtId="0" fontId="164" fillId="36" borderId="31" applyNumberFormat="0" applyAlignment="0" applyProtection="0"/>
    <xf numFmtId="0" fontId="171" fillId="79" borderId="35" applyNumberFormat="0" applyAlignment="0" applyProtection="0"/>
    <xf numFmtId="0" fontId="171" fillId="79" borderId="35" applyNumberFormat="0" applyAlignment="0" applyProtection="0"/>
    <xf numFmtId="0" fontId="171" fillId="79" borderId="35" applyNumberFormat="0" applyAlignment="0" applyProtection="0"/>
    <xf numFmtId="0" fontId="171" fillId="79" borderId="35" applyNumberFormat="0" applyAlignment="0" applyProtection="0"/>
    <xf numFmtId="0" fontId="171" fillId="79" borderId="35" applyNumberFormat="0" applyAlignment="0" applyProtection="0"/>
    <xf numFmtId="0" fontId="164" fillId="36" borderId="31" applyNumberFormat="0" applyAlignment="0" applyProtection="0"/>
    <xf numFmtId="0" fontId="164" fillId="36" borderId="31" applyNumberFormat="0" applyAlignment="0" applyProtection="0"/>
    <xf numFmtId="0" fontId="164" fillId="36" borderId="31" applyNumberFormat="0" applyAlignment="0" applyProtection="0"/>
    <xf numFmtId="0" fontId="164" fillId="36" borderId="31" applyNumberFormat="0" applyAlignment="0" applyProtection="0"/>
    <xf numFmtId="0" fontId="164" fillId="36" borderId="31" applyNumberFormat="0" applyAlignment="0" applyProtection="0"/>
    <xf numFmtId="0" fontId="164" fillId="36" borderId="31" applyNumberFormat="0" applyAlignment="0" applyProtection="0"/>
    <xf numFmtId="0" fontId="164" fillId="36" borderId="31" applyNumberFormat="0" applyAlignment="0" applyProtection="0"/>
    <xf numFmtId="0" fontId="164" fillId="36" borderId="31" applyNumberFormat="0" applyAlignment="0" applyProtection="0"/>
    <xf numFmtId="0" fontId="164" fillId="36" borderId="31" applyNumberFormat="0" applyAlignment="0" applyProtection="0"/>
    <xf numFmtId="0" fontId="164" fillId="36" borderId="31" applyNumberFormat="0" applyAlignment="0" applyProtection="0"/>
    <xf numFmtId="0" fontId="164" fillId="36" borderId="31" applyNumberFormat="0" applyAlignment="0" applyProtection="0"/>
    <xf numFmtId="0" fontId="171" fillId="79" borderId="35" applyNumberFormat="0" applyAlignment="0" applyProtection="0"/>
    <xf numFmtId="0" fontId="164" fillId="36" borderId="31" applyNumberFormat="0" applyAlignment="0" applyProtection="0"/>
    <xf numFmtId="0" fontId="163" fillId="0" borderId="30" applyNumberFormat="0" applyFill="0" applyAlignment="0" applyProtection="0"/>
    <xf numFmtId="0" fontId="179" fillId="0" borderId="36" applyNumberFormat="0" applyFill="0" applyAlignment="0" applyProtection="0"/>
    <xf numFmtId="0" fontId="163" fillId="0" borderId="30" applyNumberFormat="0" applyFill="0" applyAlignment="0" applyProtection="0"/>
    <xf numFmtId="0" fontId="179" fillId="0" borderId="36" applyNumberFormat="0" applyFill="0" applyAlignment="0" applyProtection="0"/>
    <xf numFmtId="0" fontId="163" fillId="0" borderId="30" applyNumberFormat="0" applyFill="0" applyAlignment="0" applyProtection="0"/>
    <xf numFmtId="0" fontId="179" fillId="0" borderId="36" applyNumberFormat="0" applyFill="0" applyAlignment="0" applyProtection="0"/>
    <xf numFmtId="0" fontId="163" fillId="0" borderId="30" applyNumberFormat="0" applyFill="0" applyAlignment="0" applyProtection="0"/>
    <xf numFmtId="0" fontId="179" fillId="0" borderId="36" applyNumberFormat="0" applyFill="0" applyAlignment="0" applyProtection="0"/>
    <xf numFmtId="0" fontId="179" fillId="0" borderId="36" applyNumberFormat="0" applyFill="0" applyAlignment="0" applyProtection="0"/>
    <xf numFmtId="0" fontId="179" fillId="0" borderId="36" applyNumberFormat="0" applyFill="0" applyAlignment="0" applyProtection="0"/>
    <xf numFmtId="0" fontId="163" fillId="0" borderId="30" applyNumberFormat="0" applyFill="0" applyAlignment="0" applyProtection="0"/>
    <xf numFmtId="0" fontId="163" fillId="0" borderId="30" applyNumberFormat="0" applyFill="0" applyAlignment="0" applyProtection="0"/>
    <xf numFmtId="0" fontId="179" fillId="0" borderId="36" applyNumberFormat="0" applyFill="0" applyAlignment="0" applyProtection="0"/>
    <xf numFmtId="0" fontId="179" fillId="0" borderId="36" applyNumberFormat="0" applyFill="0" applyAlignment="0" applyProtection="0"/>
    <xf numFmtId="0" fontId="179" fillId="0" borderId="36" applyNumberFormat="0" applyFill="0" applyAlignment="0" applyProtection="0"/>
    <xf numFmtId="0" fontId="163" fillId="0" borderId="30" applyNumberFormat="0" applyFill="0" applyAlignment="0" applyProtection="0"/>
    <xf numFmtId="0" fontId="163" fillId="0" borderId="30" applyNumberFormat="0" applyFill="0" applyAlignment="0" applyProtection="0"/>
    <xf numFmtId="0" fontId="163" fillId="0" borderId="30" applyNumberFormat="0" applyFill="0" applyAlignment="0" applyProtection="0"/>
    <xf numFmtId="0" fontId="179" fillId="0" borderId="36" applyNumberFormat="0" applyFill="0" applyAlignment="0" applyProtection="0"/>
    <xf numFmtId="0" fontId="179" fillId="0" borderId="36" applyNumberFormat="0" applyFill="0" applyAlignment="0" applyProtection="0"/>
    <xf numFmtId="0" fontId="179" fillId="0" borderId="36" applyNumberFormat="0" applyFill="0" applyAlignment="0" applyProtection="0"/>
    <xf numFmtId="0" fontId="179" fillId="0" borderId="36" applyNumberFormat="0" applyFill="0" applyAlignment="0" applyProtection="0"/>
    <xf numFmtId="0" fontId="179" fillId="0" borderId="36" applyNumberFormat="0" applyFill="0" applyAlignment="0" applyProtection="0"/>
    <xf numFmtId="0" fontId="163" fillId="0" borderId="30" applyNumberFormat="0" applyFill="0" applyAlignment="0" applyProtection="0"/>
    <xf numFmtId="0" fontId="163" fillId="0" borderId="30" applyNumberFormat="0" applyFill="0" applyAlignment="0" applyProtection="0"/>
    <xf numFmtId="0" fontId="163" fillId="0" borderId="30" applyNumberFormat="0" applyFill="0" applyAlignment="0" applyProtection="0"/>
    <xf numFmtId="0" fontId="163" fillId="0" borderId="30" applyNumberFormat="0" applyFill="0" applyAlignment="0" applyProtection="0"/>
    <xf numFmtId="0" fontId="163" fillId="0" borderId="30" applyNumberFormat="0" applyFill="0" applyAlignment="0" applyProtection="0"/>
    <xf numFmtId="0" fontId="163" fillId="0" borderId="30" applyNumberFormat="0" applyFill="0" applyAlignment="0" applyProtection="0"/>
    <xf numFmtId="0" fontId="163" fillId="0" borderId="30" applyNumberFormat="0" applyFill="0" applyAlignment="0" applyProtection="0"/>
    <xf numFmtId="0" fontId="163" fillId="0" borderId="30" applyNumberFormat="0" applyFill="0" applyAlignment="0" applyProtection="0"/>
    <xf numFmtId="0" fontId="163" fillId="0" borderId="30" applyNumberFormat="0" applyFill="0" applyAlignment="0" applyProtection="0"/>
    <xf numFmtId="0" fontId="163" fillId="0" borderId="30" applyNumberFormat="0" applyFill="0" applyAlignment="0" applyProtection="0"/>
    <xf numFmtId="0" fontId="163" fillId="0" borderId="30" applyNumberFormat="0" applyFill="0" applyAlignment="0" applyProtection="0"/>
    <xf numFmtId="0" fontId="179" fillId="0" borderId="36" applyNumberFormat="0" applyFill="0" applyAlignment="0" applyProtection="0"/>
    <xf numFmtId="0" fontId="163" fillId="0" borderId="30" applyNumberFormat="0" applyFill="0" applyAlignment="0" applyProtection="0"/>
    <xf numFmtId="0" fontId="166" fillId="38" borderId="0" applyNumberFormat="0" applyBorder="0" applyAlignment="0" applyProtection="0"/>
    <xf numFmtId="0" fontId="168" fillId="80" borderId="0" applyNumberFormat="0" applyBorder="0" applyAlignment="0" applyProtection="0"/>
    <xf numFmtId="0" fontId="166" fillId="38" borderId="0" applyNumberFormat="0" applyBorder="0" applyAlignment="0" applyProtection="0"/>
    <xf numFmtId="0" fontId="168" fillId="80" borderId="0" applyNumberFormat="0" applyBorder="0" applyAlignment="0" applyProtection="0"/>
    <xf numFmtId="0" fontId="166" fillId="38" borderId="0" applyNumberFormat="0" applyBorder="0" applyAlignment="0" applyProtection="0"/>
    <xf numFmtId="0" fontId="168" fillId="80" borderId="0" applyNumberFormat="0" applyBorder="0" applyAlignment="0" applyProtection="0"/>
    <xf numFmtId="0" fontId="166" fillId="38" borderId="0" applyNumberFormat="0" applyBorder="0" applyAlignment="0" applyProtection="0"/>
    <xf numFmtId="0" fontId="168" fillId="80" borderId="0" applyNumberFormat="0" applyBorder="0" applyAlignment="0" applyProtection="0"/>
    <xf numFmtId="0" fontId="168" fillId="80" borderId="0" applyNumberFormat="0" applyBorder="0" applyAlignment="0" applyProtection="0"/>
    <xf numFmtId="0" fontId="168" fillId="80" borderId="0" applyNumberFormat="0" applyBorder="0" applyAlignment="0" applyProtection="0"/>
    <xf numFmtId="0" fontId="166" fillId="38" borderId="0" applyNumberFormat="0" applyBorder="0" applyAlignment="0" applyProtection="0"/>
    <xf numFmtId="0" fontId="166" fillId="38" borderId="0" applyNumberFormat="0" applyBorder="0" applyAlignment="0" applyProtection="0"/>
    <xf numFmtId="0" fontId="168" fillId="80" borderId="0" applyNumberFormat="0" applyBorder="0" applyAlignment="0" applyProtection="0"/>
    <xf numFmtId="0" fontId="168" fillId="80" borderId="0" applyNumberFormat="0" applyBorder="0" applyAlignment="0" applyProtection="0"/>
    <xf numFmtId="0" fontId="168" fillId="80" borderId="0" applyNumberFormat="0" applyBorder="0" applyAlignment="0" applyProtection="0"/>
    <xf numFmtId="0" fontId="166" fillId="38" borderId="0" applyNumberFormat="0" applyBorder="0" applyAlignment="0" applyProtection="0"/>
    <xf numFmtId="0" fontId="166" fillId="38" borderId="0" applyNumberFormat="0" applyBorder="0" applyAlignment="0" applyProtection="0"/>
    <xf numFmtId="0" fontId="166" fillId="38" borderId="0" applyNumberFormat="0" applyBorder="0" applyAlignment="0" applyProtection="0"/>
    <xf numFmtId="0" fontId="168" fillId="80" borderId="0" applyNumberFormat="0" applyBorder="0" applyAlignment="0" applyProtection="0"/>
    <xf numFmtId="0" fontId="168" fillId="80" borderId="0" applyNumberFormat="0" applyBorder="0" applyAlignment="0" applyProtection="0"/>
    <xf numFmtId="0" fontId="168" fillId="80" borderId="0" applyNumberFormat="0" applyBorder="0" applyAlignment="0" applyProtection="0"/>
    <xf numFmtId="0" fontId="168" fillId="80" borderId="0" applyNumberFormat="0" applyBorder="0" applyAlignment="0" applyProtection="0"/>
    <xf numFmtId="0" fontId="168" fillId="80" borderId="0" applyNumberFormat="0" applyBorder="0" applyAlignment="0" applyProtection="0"/>
    <xf numFmtId="0" fontId="166" fillId="38" borderId="0" applyNumberFormat="0" applyBorder="0" applyAlignment="0" applyProtection="0"/>
    <xf numFmtId="0" fontId="166" fillId="38" borderId="0" applyNumberFormat="0" applyBorder="0" applyAlignment="0" applyProtection="0"/>
    <xf numFmtId="0" fontId="166" fillId="38" borderId="0" applyNumberFormat="0" applyBorder="0" applyAlignment="0" applyProtection="0"/>
    <xf numFmtId="0" fontId="166" fillId="38" borderId="0" applyNumberFormat="0" applyBorder="0" applyAlignment="0" applyProtection="0"/>
    <xf numFmtId="0" fontId="166" fillId="38" borderId="0" applyNumberFormat="0" applyBorder="0" applyAlignment="0" applyProtection="0"/>
    <xf numFmtId="0" fontId="166" fillId="38" borderId="0" applyNumberFormat="0" applyBorder="0" applyAlignment="0" applyProtection="0"/>
    <xf numFmtId="0" fontId="166" fillId="38" borderId="0" applyNumberFormat="0" applyBorder="0" applyAlignment="0" applyProtection="0"/>
    <xf numFmtId="0" fontId="166" fillId="38" borderId="0" applyNumberFormat="0" applyBorder="0" applyAlignment="0" applyProtection="0"/>
    <xf numFmtId="0" fontId="166" fillId="38" borderId="0" applyNumberFormat="0" applyBorder="0" applyAlignment="0" applyProtection="0"/>
    <xf numFmtId="0" fontId="166" fillId="38" borderId="0" applyNumberFormat="0" applyBorder="0" applyAlignment="0" applyProtection="0"/>
    <xf numFmtId="0" fontId="166" fillId="38" borderId="0" applyNumberFormat="0" applyBorder="0" applyAlignment="0" applyProtection="0"/>
    <xf numFmtId="0" fontId="168" fillId="80" borderId="0" applyNumberFormat="0" applyBorder="0" applyAlignment="0" applyProtection="0"/>
    <xf numFmtId="0" fontId="166" fillId="38" borderId="0" applyNumberFormat="0" applyBorder="0" applyAlignment="0" applyProtection="0"/>
    <xf numFmtId="0" fontId="166" fillId="42" borderId="0" applyNumberFormat="0" applyBorder="0" applyAlignment="0" applyProtection="0"/>
    <xf numFmtId="0" fontId="168" fillId="81" borderId="0" applyNumberFormat="0" applyBorder="0" applyAlignment="0" applyProtection="0"/>
    <xf numFmtId="0" fontId="166" fillId="42" borderId="0" applyNumberFormat="0" applyBorder="0" applyAlignment="0" applyProtection="0"/>
    <xf numFmtId="0" fontId="168" fillId="81" borderId="0" applyNumberFormat="0" applyBorder="0" applyAlignment="0" applyProtection="0"/>
    <xf numFmtId="0" fontId="166" fillId="42" borderId="0" applyNumberFormat="0" applyBorder="0" applyAlignment="0" applyProtection="0"/>
    <xf numFmtId="0" fontId="168" fillId="81" borderId="0" applyNumberFormat="0" applyBorder="0" applyAlignment="0" applyProtection="0"/>
    <xf numFmtId="0" fontId="166" fillId="42" borderId="0" applyNumberFormat="0" applyBorder="0" applyAlignment="0" applyProtection="0"/>
    <xf numFmtId="0" fontId="168" fillId="81" borderId="0" applyNumberFormat="0" applyBorder="0" applyAlignment="0" applyProtection="0"/>
    <xf numFmtId="0" fontId="168" fillId="81" borderId="0" applyNumberFormat="0" applyBorder="0" applyAlignment="0" applyProtection="0"/>
    <xf numFmtId="0" fontId="168" fillId="81" borderId="0" applyNumberFormat="0" applyBorder="0" applyAlignment="0" applyProtection="0"/>
    <xf numFmtId="0" fontId="166" fillId="42" borderId="0" applyNumberFormat="0" applyBorder="0" applyAlignment="0" applyProtection="0"/>
    <xf numFmtId="0" fontId="166" fillId="42" borderId="0" applyNumberFormat="0" applyBorder="0" applyAlignment="0" applyProtection="0"/>
    <xf numFmtId="0" fontId="168" fillId="81" borderId="0" applyNumberFormat="0" applyBorder="0" applyAlignment="0" applyProtection="0"/>
    <xf numFmtId="0" fontId="168" fillId="81" borderId="0" applyNumberFormat="0" applyBorder="0" applyAlignment="0" applyProtection="0"/>
    <xf numFmtId="0" fontId="168" fillId="81" borderId="0" applyNumberFormat="0" applyBorder="0" applyAlignment="0" applyProtection="0"/>
    <xf numFmtId="0" fontId="166" fillId="42" borderId="0" applyNumberFormat="0" applyBorder="0" applyAlignment="0" applyProtection="0"/>
    <xf numFmtId="0" fontId="166" fillId="42" borderId="0" applyNumberFormat="0" applyBorder="0" applyAlignment="0" applyProtection="0"/>
    <xf numFmtId="0" fontId="166" fillId="42" borderId="0" applyNumberFormat="0" applyBorder="0" applyAlignment="0" applyProtection="0"/>
    <xf numFmtId="0" fontId="168" fillId="81" borderId="0" applyNumberFormat="0" applyBorder="0" applyAlignment="0" applyProtection="0"/>
    <xf numFmtId="0" fontId="168" fillId="81" borderId="0" applyNumberFormat="0" applyBorder="0" applyAlignment="0" applyProtection="0"/>
    <xf numFmtId="0" fontId="168" fillId="81" borderId="0" applyNumberFormat="0" applyBorder="0" applyAlignment="0" applyProtection="0"/>
    <xf numFmtId="0" fontId="168" fillId="81" borderId="0" applyNumberFormat="0" applyBorder="0" applyAlignment="0" applyProtection="0"/>
    <xf numFmtId="0" fontId="168" fillId="81" borderId="0" applyNumberFormat="0" applyBorder="0" applyAlignment="0" applyProtection="0"/>
    <xf numFmtId="0" fontId="166" fillId="42" borderId="0" applyNumberFormat="0" applyBorder="0" applyAlignment="0" applyProtection="0"/>
    <xf numFmtId="0" fontId="166" fillId="42" borderId="0" applyNumberFormat="0" applyBorder="0" applyAlignment="0" applyProtection="0"/>
    <xf numFmtId="0" fontId="166" fillId="42" borderId="0" applyNumberFormat="0" applyBorder="0" applyAlignment="0" applyProtection="0"/>
    <xf numFmtId="0" fontId="166" fillId="42" borderId="0" applyNumberFormat="0" applyBorder="0" applyAlignment="0" applyProtection="0"/>
    <xf numFmtId="0" fontId="166" fillId="42" borderId="0" applyNumberFormat="0" applyBorder="0" applyAlignment="0" applyProtection="0"/>
    <xf numFmtId="0" fontId="166" fillId="42" borderId="0" applyNumberFormat="0" applyBorder="0" applyAlignment="0" applyProtection="0"/>
    <xf numFmtId="0" fontId="166" fillId="42" borderId="0" applyNumberFormat="0" applyBorder="0" applyAlignment="0" applyProtection="0"/>
    <xf numFmtId="0" fontId="166" fillId="42" borderId="0" applyNumberFormat="0" applyBorder="0" applyAlignment="0" applyProtection="0"/>
    <xf numFmtId="0" fontId="166" fillId="42" borderId="0" applyNumberFormat="0" applyBorder="0" applyAlignment="0" applyProtection="0"/>
    <xf numFmtId="0" fontId="166" fillId="42" borderId="0" applyNumberFormat="0" applyBorder="0" applyAlignment="0" applyProtection="0"/>
    <xf numFmtId="0" fontId="166" fillId="42" borderId="0" applyNumberFormat="0" applyBorder="0" applyAlignment="0" applyProtection="0"/>
    <xf numFmtId="0" fontId="168" fillId="81" borderId="0" applyNumberFormat="0" applyBorder="0" applyAlignment="0" applyProtection="0"/>
    <xf numFmtId="0" fontId="166" fillId="42" borderId="0" applyNumberFormat="0" applyBorder="0" applyAlignment="0" applyProtection="0"/>
    <xf numFmtId="0" fontId="166" fillId="46" borderId="0" applyNumberFormat="0" applyBorder="0" applyAlignment="0" applyProtection="0"/>
    <xf numFmtId="0" fontId="168" fillId="82" borderId="0" applyNumberFormat="0" applyBorder="0" applyAlignment="0" applyProtection="0"/>
    <xf numFmtId="0" fontId="166" fillId="46" borderId="0" applyNumberFormat="0" applyBorder="0" applyAlignment="0" applyProtection="0"/>
    <xf numFmtId="0" fontId="168" fillId="82" borderId="0" applyNumberFormat="0" applyBorder="0" applyAlignment="0" applyProtection="0"/>
    <xf numFmtId="0" fontId="166" fillId="46" borderId="0" applyNumberFormat="0" applyBorder="0" applyAlignment="0" applyProtection="0"/>
    <xf numFmtId="0" fontId="168" fillId="82" borderId="0" applyNumberFormat="0" applyBorder="0" applyAlignment="0" applyProtection="0"/>
    <xf numFmtId="0" fontId="166" fillId="46" borderId="0" applyNumberFormat="0" applyBorder="0" applyAlignment="0" applyProtection="0"/>
    <xf numFmtId="0" fontId="168" fillId="82" borderId="0" applyNumberFormat="0" applyBorder="0" applyAlignment="0" applyProtection="0"/>
    <xf numFmtId="0" fontId="168" fillId="82" borderId="0" applyNumberFormat="0" applyBorder="0" applyAlignment="0" applyProtection="0"/>
    <xf numFmtId="0" fontId="168" fillId="82" borderId="0" applyNumberFormat="0" applyBorder="0" applyAlignment="0" applyProtection="0"/>
    <xf numFmtId="0" fontId="166" fillId="46" borderId="0" applyNumberFormat="0" applyBorder="0" applyAlignment="0" applyProtection="0"/>
    <xf numFmtId="0" fontId="166" fillId="46" borderId="0" applyNumberFormat="0" applyBorder="0" applyAlignment="0" applyProtection="0"/>
    <xf numFmtId="0" fontId="168" fillId="82" borderId="0" applyNumberFormat="0" applyBorder="0" applyAlignment="0" applyProtection="0"/>
    <xf numFmtId="0" fontId="168" fillId="82" borderId="0" applyNumberFormat="0" applyBorder="0" applyAlignment="0" applyProtection="0"/>
    <xf numFmtId="0" fontId="168" fillId="82" borderId="0" applyNumberFormat="0" applyBorder="0" applyAlignment="0" applyProtection="0"/>
    <xf numFmtId="0" fontId="166" fillId="46" borderId="0" applyNumberFormat="0" applyBorder="0" applyAlignment="0" applyProtection="0"/>
    <xf numFmtId="0" fontId="166" fillId="46" borderId="0" applyNumberFormat="0" applyBorder="0" applyAlignment="0" applyProtection="0"/>
    <xf numFmtId="0" fontId="166" fillId="46" borderId="0" applyNumberFormat="0" applyBorder="0" applyAlignment="0" applyProtection="0"/>
    <xf numFmtId="0" fontId="168" fillId="82" borderId="0" applyNumberFormat="0" applyBorder="0" applyAlignment="0" applyProtection="0"/>
    <xf numFmtId="0" fontId="168" fillId="82" borderId="0" applyNumberFormat="0" applyBorder="0" applyAlignment="0" applyProtection="0"/>
    <xf numFmtId="0" fontId="168" fillId="82" borderId="0" applyNumberFormat="0" applyBorder="0" applyAlignment="0" applyProtection="0"/>
    <xf numFmtId="0" fontId="168" fillId="82" borderId="0" applyNumberFormat="0" applyBorder="0" applyAlignment="0" applyProtection="0"/>
    <xf numFmtId="0" fontId="168" fillId="82" borderId="0" applyNumberFormat="0" applyBorder="0" applyAlignment="0" applyProtection="0"/>
    <xf numFmtId="0" fontId="166" fillId="46" borderId="0" applyNumberFormat="0" applyBorder="0" applyAlignment="0" applyProtection="0"/>
    <xf numFmtId="0" fontId="166" fillId="46" borderId="0" applyNumberFormat="0" applyBorder="0" applyAlignment="0" applyProtection="0"/>
    <xf numFmtId="0" fontId="166" fillId="46" borderId="0" applyNumberFormat="0" applyBorder="0" applyAlignment="0" applyProtection="0"/>
    <xf numFmtId="0" fontId="166" fillId="46" borderId="0" applyNumberFormat="0" applyBorder="0" applyAlignment="0" applyProtection="0"/>
    <xf numFmtId="0" fontId="166" fillId="46" borderId="0" applyNumberFormat="0" applyBorder="0" applyAlignment="0" applyProtection="0"/>
    <xf numFmtId="0" fontId="166" fillId="46" borderId="0" applyNumberFormat="0" applyBorder="0" applyAlignment="0" applyProtection="0"/>
    <xf numFmtId="0" fontId="166" fillId="46" borderId="0" applyNumberFormat="0" applyBorder="0" applyAlignment="0" applyProtection="0"/>
    <xf numFmtId="0" fontId="166" fillId="46" borderId="0" applyNumberFormat="0" applyBorder="0" applyAlignment="0" applyProtection="0"/>
    <xf numFmtId="0" fontId="166" fillId="46" borderId="0" applyNumberFormat="0" applyBorder="0" applyAlignment="0" applyProtection="0"/>
    <xf numFmtId="0" fontId="166" fillId="46" borderId="0" applyNumberFormat="0" applyBorder="0" applyAlignment="0" applyProtection="0"/>
    <xf numFmtId="0" fontId="166" fillId="46" borderId="0" applyNumberFormat="0" applyBorder="0" applyAlignment="0" applyProtection="0"/>
    <xf numFmtId="0" fontId="168" fillId="82" borderId="0" applyNumberFormat="0" applyBorder="0" applyAlignment="0" applyProtection="0"/>
    <xf numFmtId="0" fontId="166" fillId="46" borderId="0" applyNumberFormat="0" applyBorder="0" applyAlignment="0" applyProtection="0"/>
    <xf numFmtId="0" fontId="166" fillId="50" borderId="0" applyNumberFormat="0" applyBorder="0" applyAlignment="0" applyProtection="0"/>
    <xf numFmtId="0" fontId="168" fillId="76" borderId="0" applyNumberFormat="0" applyBorder="0" applyAlignment="0" applyProtection="0"/>
    <xf numFmtId="0" fontId="166" fillId="50" borderId="0" applyNumberFormat="0" applyBorder="0" applyAlignment="0" applyProtection="0"/>
    <xf numFmtId="0" fontId="168" fillId="76" borderId="0" applyNumberFormat="0" applyBorder="0" applyAlignment="0" applyProtection="0"/>
    <xf numFmtId="0" fontId="166" fillId="50" borderId="0" applyNumberFormat="0" applyBorder="0" applyAlignment="0" applyProtection="0"/>
    <xf numFmtId="0" fontId="168" fillId="76" borderId="0" applyNumberFormat="0" applyBorder="0" applyAlignment="0" applyProtection="0"/>
    <xf numFmtId="0" fontId="166" fillId="50" borderId="0" applyNumberFormat="0" applyBorder="0" applyAlignment="0" applyProtection="0"/>
    <xf numFmtId="0" fontId="168" fillId="76" borderId="0" applyNumberFormat="0" applyBorder="0" applyAlignment="0" applyProtection="0"/>
    <xf numFmtId="0" fontId="168" fillId="76" borderId="0" applyNumberFormat="0" applyBorder="0" applyAlignment="0" applyProtection="0"/>
    <xf numFmtId="0" fontId="168" fillId="76" borderId="0" applyNumberFormat="0" applyBorder="0" applyAlignment="0" applyProtection="0"/>
    <xf numFmtId="0" fontId="166" fillId="50" borderId="0" applyNumberFormat="0" applyBorder="0" applyAlignment="0" applyProtection="0"/>
    <xf numFmtId="0" fontId="166" fillId="50" borderId="0" applyNumberFormat="0" applyBorder="0" applyAlignment="0" applyProtection="0"/>
    <xf numFmtId="0" fontId="168" fillId="76" borderId="0" applyNumberFormat="0" applyBorder="0" applyAlignment="0" applyProtection="0"/>
    <xf numFmtId="0" fontId="168" fillId="76" borderId="0" applyNumberFormat="0" applyBorder="0" applyAlignment="0" applyProtection="0"/>
    <xf numFmtId="0" fontId="168" fillId="76" borderId="0" applyNumberFormat="0" applyBorder="0" applyAlignment="0" applyProtection="0"/>
    <xf numFmtId="0" fontId="166" fillId="50" borderId="0" applyNumberFormat="0" applyBorder="0" applyAlignment="0" applyProtection="0"/>
    <xf numFmtId="0" fontId="166" fillId="50" borderId="0" applyNumberFormat="0" applyBorder="0" applyAlignment="0" applyProtection="0"/>
    <xf numFmtId="0" fontId="166" fillId="50" borderId="0" applyNumberFormat="0" applyBorder="0" applyAlignment="0" applyProtection="0"/>
    <xf numFmtId="0" fontId="168" fillId="76" borderId="0" applyNumberFormat="0" applyBorder="0" applyAlignment="0" applyProtection="0"/>
    <xf numFmtId="0" fontId="168" fillId="76" borderId="0" applyNumberFormat="0" applyBorder="0" applyAlignment="0" applyProtection="0"/>
    <xf numFmtId="0" fontId="168" fillId="76" borderId="0" applyNumberFormat="0" applyBorder="0" applyAlignment="0" applyProtection="0"/>
    <xf numFmtId="0" fontId="168" fillId="76" borderId="0" applyNumberFormat="0" applyBorder="0" applyAlignment="0" applyProtection="0"/>
    <xf numFmtId="0" fontId="168" fillId="76" borderId="0" applyNumberFormat="0" applyBorder="0" applyAlignment="0" applyProtection="0"/>
    <xf numFmtId="0" fontId="166" fillId="50" borderId="0" applyNumberFormat="0" applyBorder="0" applyAlignment="0" applyProtection="0"/>
    <xf numFmtId="0" fontId="166" fillId="50" borderId="0" applyNumberFormat="0" applyBorder="0" applyAlignment="0" applyProtection="0"/>
    <xf numFmtId="0" fontId="166" fillId="50" borderId="0" applyNumberFormat="0" applyBorder="0" applyAlignment="0" applyProtection="0"/>
    <xf numFmtId="0" fontId="166" fillId="50" borderId="0" applyNumberFormat="0" applyBorder="0" applyAlignment="0" applyProtection="0"/>
    <xf numFmtId="0" fontId="166" fillId="50" borderId="0" applyNumberFormat="0" applyBorder="0" applyAlignment="0" applyProtection="0"/>
    <xf numFmtId="0" fontId="166" fillId="50" borderId="0" applyNumberFormat="0" applyBorder="0" applyAlignment="0" applyProtection="0"/>
    <xf numFmtId="0" fontId="166" fillId="50" borderId="0" applyNumberFormat="0" applyBorder="0" applyAlignment="0" applyProtection="0"/>
    <xf numFmtId="0" fontId="166" fillId="50" borderId="0" applyNumberFormat="0" applyBorder="0" applyAlignment="0" applyProtection="0"/>
    <xf numFmtId="0" fontId="166" fillId="50" borderId="0" applyNumberFormat="0" applyBorder="0" applyAlignment="0" applyProtection="0"/>
    <xf numFmtId="0" fontId="166" fillId="50" borderId="0" applyNumberFormat="0" applyBorder="0" applyAlignment="0" applyProtection="0"/>
    <xf numFmtId="0" fontId="166" fillId="50" borderId="0" applyNumberFormat="0" applyBorder="0" applyAlignment="0" applyProtection="0"/>
    <xf numFmtId="0" fontId="168" fillId="76" borderId="0" applyNumberFormat="0" applyBorder="0" applyAlignment="0" applyProtection="0"/>
    <xf numFmtId="0" fontId="166" fillId="50" borderId="0" applyNumberFormat="0" applyBorder="0" applyAlignment="0" applyProtection="0"/>
    <xf numFmtId="0" fontId="166" fillId="54" borderId="0" applyNumberFormat="0" applyBorder="0" applyAlignment="0" applyProtection="0"/>
    <xf numFmtId="0" fontId="168" fillId="77" borderId="0" applyNumberFormat="0" applyBorder="0" applyAlignment="0" applyProtection="0"/>
    <xf numFmtId="0" fontId="166" fillId="54" borderId="0" applyNumberFormat="0" applyBorder="0" applyAlignment="0" applyProtection="0"/>
    <xf numFmtId="0" fontId="168" fillId="77" borderId="0" applyNumberFormat="0" applyBorder="0" applyAlignment="0" applyProtection="0"/>
    <xf numFmtId="0" fontId="166" fillId="54" borderId="0" applyNumberFormat="0" applyBorder="0" applyAlignment="0" applyProtection="0"/>
    <xf numFmtId="0" fontId="168" fillId="77" borderId="0" applyNumberFormat="0" applyBorder="0" applyAlignment="0" applyProtection="0"/>
    <xf numFmtId="0" fontId="166" fillId="54" borderId="0" applyNumberFormat="0" applyBorder="0" applyAlignment="0" applyProtection="0"/>
    <xf numFmtId="0" fontId="168" fillId="77" borderId="0" applyNumberFormat="0" applyBorder="0" applyAlignment="0" applyProtection="0"/>
    <xf numFmtId="0" fontId="168" fillId="77" borderId="0" applyNumberFormat="0" applyBorder="0" applyAlignment="0" applyProtection="0"/>
    <xf numFmtId="0" fontId="168" fillId="77" borderId="0" applyNumberFormat="0" applyBorder="0" applyAlignment="0" applyProtection="0"/>
    <xf numFmtId="0" fontId="166" fillId="54" borderId="0" applyNumberFormat="0" applyBorder="0" applyAlignment="0" applyProtection="0"/>
    <xf numFmtId="0" fontId="166" fillId="54" borderId="0" applyNumberFormat="0" applyBorder="0" applyAlignment="0" applyProtection="0"/>
    <xf numFmtId="0" fontId="168" fillId="77" borderId="0" applyNumberFormat="0" applyBorder="0" applyAlignment="0" applyProtection="0"/>
    <xf numFmtId="0" fontId="168" fillId="77" borderId="0" applyNumberFormat="0" applyBorder="0" applyAlignment="0" applyProtection="0"/>
    <xf numFmtId="0" fontId="168" fillId="77" borderId="0" applyNumberFormat="0" applyBorder="0" applyAlignment="0" applyProtection="0"/>
    <xf numFmtId="0" fontId="166" fillId="54" borderId="0" applyNumberFormat="0" applyBorder="0" applyAlignment="0" applyProtection="0"/>
    <xf numFmtId="0" fontId="166" fillId="54" borderId="0" applyNumberFormat="0" applyBorder="0" applyAlignment="0" applyProtection="0"/>
    <xf numFmtId="0" fontId="166" fillId="54" borderId="0" applyNumberFormat="0" applyBorder="0" applyAlignment="0" applyProtection="0"/>
    <xf numFmtId="0" fontId="168" fillId="77" borderId="0" applyNumberFormat="0" applyBorder="0" applyAlignment="0" applyProtection="0"/>
    <xf numFmtId="0" fontId="168" fillId="77" borderId="0" applyNumberFormat="0" applyBorder="0" applyAlignment="0" applyProtection="0"/>
    <xf numFmtId="0" fontId="168" fillId="77" borderId="0" applyNumberFormat="0" applyBorder="0" applyAlignment="0" applyProtection="0"/>
    <xf numFmtId="0" fontId="168" fillId="77" borderId="0" applyNumberFormat="0" applyBorder="0" applyAlignment="0" applyProtection="0"/>
    <xf numFmtId="0" fontId="168" fillId="77" borderId="0" applyNumberFormat="0" applyBorder="0" applyAlignment="0" applyProtection="0"/>
    <xf numFmtId="0" fontId="166" fillId="54" borderId="0" applyNumberFormat="0" applyBorder="0" applyAlignment="0" applyProtection="0"/>
    <xf numFmtId="0" fontId="166" fillId="54" borderId="0" applyNumberFormat="0" applyBorder="0" applyAlignment="0" applyProtection="0"/>
    <xf numFmtId="0" fontId="166" fillId="54" borderId="0" applyNumberFormat="0" applyBorder="0" applyAlignment="0" applyProtection="0"/>
    <xf numFmtId="0" fontId="166" fillId="54" borderId="0" applyNumberFormat="0" applyBorder="0" applyAlignment="0" applyProtection="0"/>
    <xf numFmtId="0" fontId="166" fillId="54" borderId="0" applyNumberFormat="0" applyBorder="0" applyAlignment="0" applyProtection="0"/>
    <xf numFmtId="0" fontId="166" fillId="54" borderId="0" applyNumberFormat="0" applyBorder="0" applyAlignment="0" applyProtection="0"/>
    <xf numFmtId="0" fontId="166" fillId="54" borderId="0" applyNumberFormat="0" applyBorder="0" applyAlignment="0" applyProtection="0"/>
    <xf numFmtId="0" fontId="166" fillId="54" borderId="0" applyNumberFormat="0" applyBorder="0" applyAlignment="0" applyProtection="0"/>
    <xf numFmtId="0" fontId="166" fillId="54" borderId="0" applyNumberFormat="0" applyBorder="0" applyAlignment="0" applyProtection="0"/>
    <xf numFmtId="0" fontId="166" fillId="54" borderId="0" applyNumberFormat="0" applyBorder="0" applyAlignment="0" applyProtection="0"/>
    <xf numFmtId="0" fontId="166" fillId="54" borderId="0" applyNumberFormat="0" applyBorder="0" applyAlignment="0" applyProtection="0"/>
    <xf numFmtId="0" fontId="168" fillId="77" borderId="0" applyNumberFormat="0" applyBorder="0" applyAlignment="0" applyProtection="0"/>
    <xf numFmtId="0" fontId="166" fillId="54" borderId="0" applyNumberFormat="0" applyBorder="0" applyAlignment="0" applyProtection="0"/>
    <xf numFmtId="0" fontId="166" fillId="58" borderId="0" applyNumberFormat="0" applyBorder="0" applyAlignment="0" applyProtection="0"/>
    <xf numFmtId="0" fontId="168" fillId="83" borderId="0" applyNumberFormat="0" applyBorder="0" applyAlignment="0" applyProtection="0"/>
    <xf numFmtId="0" fontId="166" fillId="58" borderId="0" applyNumberFormat="0" applyBorder="0" applyAlignment="0" applyProtection="0"/>
    <xf numFmtId="0" fontId="168" fillId="83" borderId="0" applyNumberFormat="0" applyBorder="0" applyAlignment="0" applyProtection="0"/>
    <xf numFmtId="0" fontId="166" fillId="58" borderId="0" applyNumberFormat="0" applyBorder="0" applyAlignment="0" applyProtection="0"/>
    <xf numFmtId="0" fontId="168" fillId="83" borderId="0" applyNumberFormat="0" applyBorder="0" applyAlignment="0" applyProtection="0"/>
    <xf numFmtId="0" fontId="166" fillId="58" borderId="0" applyNumberFormat="0" applyBorder="0" applyAlignment="0" applyProtection="0"/>
    <xf numFmtId="0" fontId="168" fillId="83" borderId="0" applyNumberFormat="0" applyBorder="0" applyAlignment="0" applyProtection="0"/>
    <xf numFmtId="0" fontId="168" fillId="83" borderId="0" applyNumberFormat="0" applyBorder="0" applyAlignment="0" applyProtection="0"/>
    <xf numFmtId="0" fontId="168" fillId="83" borderId="0" applyNumberFormat="0" applyBorder="0" applyAlignment="0" applyProtection="0"/>
    <xf numFmtId="0" fontId="166" fillId="58" borderId="0" applyNumberFormat="0" applyBorder="0" applyAlignment="0" applyProtection="0"/>
    <xf numFmtId="0" fontId="166" fillId="58" borderId="0" applyNumberFormat="0" applyBorder="0" applyAlignment="0" applyProtection="0"/>
    <xf numFmtId="0" fontId="168" fillId="83" borderId="0" applyNumberFormat="0" applyBorder="0" applyAlignment="0" applyProtection="0"/>
    <xf numFmtId="0" fontId="168" fillId="83" borderId="0" applyNumberFormat="0" applyBorder="0" applyAlignment="0" applyProtection="0"/>
    <xf numFmtId="0" fontId="168" fillId="83" borderId="0" applyNumberFormat="0" applyBorder="0" applyAlignment="0" applyProtection="0"/>
    <xf numFmtId="0" fontId="166" fillId="58" borderId="0" applyNumberFormat="0" applyBorder="0" applyAlignment="0" applyProtection="0"/>
    <xf numFmtId="0" fontId="166" fillId="58" borderId="0" applyNumberFormat="0" applyBorder="0" applyAlignment="0" applyProtection="0"/>
    <xf numFmtId="0" fontId="166" fillId="58" borderId="0" applyNumberFormat="0" applyBorder="0" applyAlignment="0" applyProtection="0"/>
    <xf numFmtId="0" fontId="168" fillId="83" borderId="0" applyNumberFormat="0" applyBorder="0" applyAlignment="0" applyProtection="0"/>
    <xf numFmtId="0" fontId="168" fillId="83" borderId="0" applyNumberFormat="0" applyBorder="0" applyAlignment="0" applyProtection="0"/>
    <xf numFmtId="0" fontId="168" fillId="83" borderId="0" applyNumberFormat="0" applyBorder="0" applyAlignment="0" applyProtection="0"/>
    <xf numFmtId="0" fontId="168" fillId="83" borderId="0" applyNumberFormat="0" applyBorder="0" applyAlignment="0" applyProtection="0"/>
    <xf numFmtId="0" fontId="168" fillId="83" borderId="0" applyNumberFormat="0" applyBorder="0" applyAlignment="0" applyProtection="0"/>
    <xf numFmtId="0" fontId="166" fillId="58" borderId="0" applyNumberFormat="0" applyBorder="0" applyAlignment="0" applyProtection="0"/>
    <xf numFmtId="0" fontId="166" fillId="58" borderId="0" applyNumberFormat="0" applyBorder="0" applyAlignment="0" applyProtection="0"/>
    <xf numFmtId="0" fontId="166" fillId="58" borderId="0" applyNumberFormat="0" applyBorder="0" applyAlignment="0" applyProtection="0"/>
    <xf numFmtId="0" fontId="166" fillId="58" borderId="0" applyNumberFormat="0" applyBorder="0" applyAlignment="0" applyProtection="0"/>
    <xf numFmtId="0" fontId="166" fillId="58" borderId="0" applyNumberFormat="0" applyBorder="0" applyAlignment="0" applyProtection="0"/>
    <xf numFmtId="0" fontId="166" fillId="58" borderId="0" applyNumberFormat="0" applyBorder="0" applyAlignment="0" applyProtection="0"/>
    <xf numFmtId="0" fontId="166" fillId="58" borderId="0" applyNumberFormat="0" applyBorder="0" applyAlignment="0" applyProtection="0"/>
    <xf numFmtId="0" fontId="166" fillId="58" borderId="0" applyNumberFormat="0" applyBorder="0" applyAlignment="0" applyProtection="0"/>
    <xf numFmtId="0" fontId="166" fillId="58" borderId="0" applyNumberFormat="0" applyBorder="0" applyAlignment="0" applyProtection="0"/>
    <xf numFmtId="0" fontId="166" fillId="58" borderId="0" applyNumberFormat="0" applyBorder="0" applyAlignment="0" applyProtection="0"/>
    <xf numFmtId="0" fontId="166" fillId="58" borderId="0" applyNumberFormat="0" applyBorder="0" applyAlignment="0" applyProtection="0"/>
    <xf numFmtId="0" fontId="168" fillId="83" borderId="0" applyNumberFormat="0" applyBorder="0" applyAlignment="0" applyProtection="0"/>
    <xf numFmtId="0" fontId="166" fillId="58" borderId="0" applyNumberFormat="0" applyBorder="0" applyAlignment="0" applyProtection="0"/>
    <xf numFmtId="0" fontId="160" fillId="34" borderId="28" applyNumberFormat="0" applyAlignment="0" applyProtection="0"/>
    <xf numFmtId="0" fontId="178" fillId="67" borderId="34" applyNumberFormat="0" applyAlignment="0" applyProtection="0"/>
    <xf numFmtId="0" fontId="160" fillId="34" borderId="28" applyNumberFormat="0" applyAlignment="0" applyProtection="0"/>
    <xf numFmtId="0" fontId="178" fillId="67" borderId="34" applyNumberFormat="0" applyAlignment="0" applyProtection="0"/>
    <xf numFmtId="0" fontId="160" fillId="34" borderId="28" applyNumberFormat="0" applyAlignment="0" applyProtection="0"/>
    <xf numFmtId="0" fontId="178" fillId="67" borderId="34" applyNumberFormat="0" applyAlignment="0" applyProtection="0"/>
    <xf numFmtId="0" fontId="160" fillId="34" borderId="28"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60" fillId="34" borderId="28" applyNumberFormat="0" applyAlignment="0" applyProtection="0"/>
    <xf numFmtId="0" fontId="160" fillId="34" borderId="28"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60" fillId="34" borderId="28" applyNumberFormat="0" applyAlignment="0" applyProtection="0"/>
    <xf numFmtId="0" fontId="160" fillId="34" borderId="28" applyNumberFormat="0" applyAlignment="0" applyProtection="0"/>
    <xf numFmtId="0" fontId="160" fillId="34" borderId="28"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60" fillId="34" borderId="28" applyNumberFormat="0" applyAlignment="0" applyProtection="0"/>
    <xf numFmtId="0" fontId="160" fillId="34" borderId="28" applyNumberFormat="0" applyAlignment="0" applyProtection="0"/>
    <xf numFmtId="0" fontId="160" fillId="34" borderId="28" applyNumberFormat="0" applyAlignment="0" applyProtection="0"/>
    <xf numFmtId="0" fontId="160" fillId="34" borderId="28" applyNumberFormat="0" applyAlignment="0" applyProtection="0"/>
    <xf numFmtId="0" fontId="160" fillId="34" borderId="28" applyNumberFormat="0" applyAlignment="0" applyProtection="0"/>
    <xf numFmtId="0" fontId="160" fillId="34" borderId="28" applyNumberFormat="0" applyAlignment="0" applyProtection="0"/>
    <xf numFmtId="0" fontId="160" fillId="34" borderId="28" applyNumberFormat="0" applyAlignment="0" applyProtection="0"/>
    <xf numFmtId="0" fontId="160" fillId="34" borderId="28" applyNumberFormat="0" applyAlignment="0" applyProtection="0"/>
    <xf numFmtId="0" fontId="160" fillId="34" borderId="28" applyNumberFormat="0" applyAlignment="0" applyProtection="0"/>
    <xf numFmtId="0" fontId="160" fillId="34" borderId="28" applyNumberFormat="0" applyAlignment="0" applyProtection="0"/>
    <xf numFmtId="0" fontId="160" fillId="34" borderId="28" applyNumberFormat="0" applyAlignment="0" applyProtection="0"/>
    <xf numFmtId="0" fontId="178" fillId="67" borderId="34" applyNumberFormat="0" applyAlignment="0" applyProtection="0"/>
    <xf numFmtId="0" fontId="160" fillId="34" borderId="28" applyNumberFormat="0" applyAlignment="0" applyProtection="0"/>
    <xf numFmtId="0" fontId="159" fillId="32" borderId="0" applyNumberFormat="0" applyBorder="0" applyAlignment="0" applyProtection="0"/>
    <xf numFmtId="0" fontId="169" fillId="63" borderId="0" applyNumberFormat="0" applyBorder="0" applyAlignment="0" applyProtection="0"/>
    <xf numFmtId="0" fontId="159" fillId="32" borderId="0" applyNumberFormat="0" applyBorder="0" applyAlignment="0" applyProtection="0"/>
    <xf numFmtId="0" fontId="169" fillId="63" borderId="0" applyNumberFormat="0" applyBorder="0" applyAlignment="0" applyProtection="0"/>
    <xf numFmtId="0" fontId="159" fillId="32" borderId="0" applyNumberFormat="0" applyBorder="0" applyAlignment="0" applyProtection="0"/>
    <xf numFmtId="0" fontId="169" fillId="63" borderId="0" applyNumberFormat="0" applyBorder="0" applyAlignment="0" applyProtection="0"/>
    <xf numFmtId="0" fontId="159" fillId="32" borderId="0" applyNumberFormat="0" applyBorder="0" applyAlignment="0" applyProtection="0"/>
    <xf numFmtId="0" fontId="169" fillId="63" borderId="0" applyNumberFormat="0" applyBorder="0" applyAlignment="0" applyProtection="0"/>
    <xf numFmtId="0" fontId="169" fillId="63" borderId="0" applyNumberFormat="0" applyBorder="0" applyAlignment="0" applyProtection="0"/>
    <xf numFmtId="0" fontId="169" fillId="63" borderId="0" applyNumberFormat="0" applyBorder="0" applyAlignment="0" applyProtection="0"/>
    <xf numFmtId="0" fontId="159" fillId="32" borderId="0" applyNumberFormat="0" applyBorder="0" applyAlignment="0" applyProtection="0"/>
    <xf numFmtId="0" fontId="159" fillId="32" borderId="0" applyNumberFormat="0" applyBorder="0" applyAlignment="0" applyProtection="0"/>
    <xf numFmtId="0" fontId="169" fillId="63" borderId="0" applyNumberFormat="0" applyBorder="0" applyAlignment="0" applyProtection="0"/>
    <xf numFmtId="0" fontId="169" fillId="63" borderId="0" applyNumberFormat="0" applyBorder="0" applyAlignment="0" applyProtection="0"/>
    <xf numFmtId="0" fontId="169" fillId="63" borderId="0" applyNumberFormat="0" applyBorder="0" applyAlignment="0" applyProtection="0"/>
    <xf numFmtId="0" fontId="159" fillId="32" borderId="0" applyNumberFormat="0" applyBorder="0" applyAlignment="0" applyProtection="0"/>
    <xf numFmtId="0" fontId="159" fillId="32" borderId="0" applyNumberFormat="0" applyBorder="0" applyAlignment="0" applyProtection="0"/>
    <xf numFmtId="0" fontId="159" fillId="32" borderId="0" applyNumberFormat="0" applyBorder="0" applyAlignment="0" applyProtection="0"/>
    <xf numFmtId="0" fontId="169" fillId="63" borderId="0" applyNumberFormat="0" applyBorder="0" applyAlignment="0" applyProtection="0"/>
    <xf numFmtId="0" fontId="169" fillId="63" borderId="0" applyNumberFormat="0" applyBorder="0" applyAlignment="0" applyProtection="0"/>
    <xf numFmtId="0" fontId="169" fillId="63" borderId="0" applyNumberFormat="0" applyBorder="0" applyAlignment="0" applyProtection="0"/>
    <xf numFmtId="0" fontId="169" fillId="63" borderId="0" applyNumberFormat="0" applyBorder="0" applyAlignment="0" applyProtection="0"/>
    <xf numFmtId="0" fontId="169" fillId="63" borderId="0" applyNumberFormat="0" applyBorder="0" applyAlignment="0" applyProtection="0"/>
    <xf numFmtId="0" fontId="159" fillId="32" borderId="0" applyNumberFormat="0" applyBorder="0" applyAlignment="0" applyProtection="0"/>
    <xf numFmtId="0" fontId="159" fillId="32" borderId="0" applyNumberFormat="0" applyBorder="0" applyAlignment="0" applyProtection="0"/>
    <xf numFmtId="0" fontId="159" fillId="32" borderId="0" applyNumberFormat="0" applyBorder="0" applyAlignment="0" applyProtection="0"/>
    <xf numFmtId="0" fontId="159" fillId="32" borderId="0" applyNumberFormat="0" applyBorder="0" applyAlignment="0" applyProtection="0"/>
    <xf numFmtId="0" fontId="159" fillId="32" borderId="0" applyNumberFormat="0" applyBorder="0" applyAlignment="0" applyProtection="0"/>
    <xf numFmtId="0" fontId="159" fillId="32" borderId="0" applyNumberFormat="0" applyBorder="0" applyAlignment="0" applyProtection="0"/>
    <xf numFmtId="0" fontId="159" fillId="32" borderId="0" applyNumberFormat="0" applyBorder="0" applyAlignment="0" applyProtection="0"/>
    <xf numFmtId="0" fontId="159" fillId="32" borderId="0" applyNumberFormat="0" applyBorder="0" applyAlignment="0" applyProtection="0"/>
    <xf numFmtId="0" fontId="159" fillId="32" borderId="0" applyNumberFormat="0" applyBorder="0" applyAlignment="0" applyProtection="0"/>
    <xf numFmtId="0" fontId="159" fillId="32" borderId="0" applyNumberFormat="0" applyBorder="0" applyAlignment="0" applyProtection="0"/>
    <xf numFmtId="0" fontId="159" fillId="32" borderId="0" applyNumberFormat="0" applyBorder="0" applyAlignment="0" applyProtection="0"/>
    <xf numFmtId="0" fontId="169" fillId="63" borderId="0" applyNumberFormat="0" applyBorder="0" applyAlignment="0" applyProtection="0"/>
    <xf numFmtId="0" fontId="159" fillId="32" borderId="0" applyNumberFormat="0" applyBorder="0" applyAlignment="0" applyProtection="0"/>
    <xf numFmtId="0" fontId="326" fillId="33" borderId="0" applyNumberFormat="0" applyBorder="0" applyAlignment="0" applyProtection="0"/>
    <xf numFmtId="0" fontId="180" fillId="74" borderId="0" applyNumberFormat="0" applyBorder="0" applyAlignment="0" applyProtection="0"/>
    <xf numFmtId="0" fontId="326" fillId="33" borderId="0" applyNumberFormat="0" applyBorder="0" applyAlignment="0" applyProtection="0"/>
    <xf numFmtId="0" fontId="180" fillId="74" borderId="0" applyNumberFormat="0" applyBorder="0" applyAlignment="0" applyProtection="0"/>
    <xf numFmtId="0" fontId="326" fillId="33" borderId="0" applyNumberFormat="0" applyBorder="0" applyAlignment="0" applyProtection="0"/>
    <xf numFmtId="0" fontId="180" fillId="74" borderId="0" applyNumberFormat="0" applyBorder="0" applyAlignment="0" applyProtection="0"/>
    <xf numFmtId="0" fontId="326" fillId="33" borderId="0" applyNumberFormat="0" applyBorder="0" applyAlignment="0" applyProtection="0"/>
    <xf numFmtId="0" fontId="180" fillId="74" borderId="0" applyNumberFormat="0" applyBorder="0" applyAlignment="0" applyProtection="0"/>
    <xf numFmtId="0" fontId="180" fillId="74" borderId="0" applyNumberFormat="0" applyBorder="0" applyAlignment="0" applyProtection="0"/>
    <xf numFmtId="0" fontId="180" fillId="74" borderId="0" applyNumberFormat="0" applyBorder="0" applyAlignment="0" applyProtection="0"/>
    <xf numFmtId="0" fontId="326" fillId="33" borderId="0" applyNumberFormat="0" applyBorder="0" applyAlignment="0" applyProtection="0"/>
    <xf numFmtId="0" fontId="326" fillId="33" borderId="0" applyNumberFormat="0" applyBorder="0" applyAlignment="0" applyProtection="0"/>
    <xf numFmtId="0" fontId="180" fillId="74" borderId="0" applyNumberFormat="0" applyBorder="0" applyAlignment="0" applyProtection="0"/>
    <xf numFmtId="0" fontId="180" fillId="74" borderId="0" applyNumberFormat="0" applyBorder="0" applyAlignment="0" applyProtection="0"/>
    <xf numFmtId="0" fontId="180" fillId="74" borderId="0" applyNumberFormat="0" applyBorder="0" applyAlignment="0" applyProtection="0"/>
    <xf numFmtId="0" fontId="326" fillId="33" borderId="0" applyNumberFormat="0" applyBorder="0" applyAlignment="0" applyProtection="0"/>
    <xf numFmtId="0" fontId="326" fillId="33" borderId="0" applyNumberFormat="0" applyBorder="0" applyAlignment="0" applyProtection="0"/>
    <xf numFmtId="0" fontId="326" fillId="33" borderId="0" applyNumberFormat="0" applyBorder="0" applyAlignment="0" applyProtection="0"/>
    <xf numFmtId="0" fontId="180" fillId="74" borderId="0" applyNumberFormat="0" applyBorder="0" applyAlignment="0" applyProtection="0"/>
    <xf numFmtId="0" fontId="180" fillId="74" borderId="0" applyNumberFormat="0" applyBorder="0" applyAlignment="0" applyProtection="0"/>
    <xf numFmtId="0" fontId="180" fillId="74" borderId="0" applyNumberFormat="0" applyBorder="0" applyAlignment="0" applyProtection="0"/>
    <xf numFmtId="0" fontId="180" fillId="74" borderId="0" applyNumberFormat="0" applyBorder="0" applyAlignment="0" applyProtection="0"/>
    <xf numFmtId="0" fontId="180" fillId="74" borderId="0" applyNumberFormat="0" applyBorder="0" applyAlignment="0" applyProtection="0"/>
    <xf numFmtId="0" fontId="326" fillId="33" borderId="0" applyNumberFormat="0" applyBorder="0" applyAlignment="0" applyProtection="0"/>
    <xf numFmtId="0" fontId="326" fillId="33" borderId="0" applyNumberFormat="0" applyBorder="0" applyAlignment="0" applyProtection="0"/>
    <xf numFmtId="0" fontId="326" fillId="33" borderId="0" applyNumberFormat="0" applyBorder="0" applyAlignment="0" applyProtection="0"/>
    <xf numFmtId="0" fontId="326" fillId="33" borderId="0" applyNumberFormat="0" applyBorder="0" applyAlignment="0" applyProtection="0"/>
    <xf numFmtId="0" fontId="326" fillId="33" borderId="0" applyNumberFormat="0" applyBorder="0" applyAlignment="0" applyProtection="0"/>
    <xf numFmtId="0" fontId="326" fillId="33" borderId="0" applyNumberFormat="0" applyBorder="0" applyAlignment="0" applyProtection="0"/>
    <xf numFmtId="0" fontId="326" fillId="33" borderId="0" applyNumberFormat="0" applyBorder="0" applyAlignment="0" applyProtection="0"/>
    <xf numFmtId="0" fontId="326" fillId="33" borderId="0" applyNumberFormat="0" applyBorder="0" applyAlignment="0" applyProtection="0"/>
    <xf numFmtId="0" fontId="326" fillId="33" borderId="0" applyNumberFormat="0" applyBorder="0" applyAlignment="0" applyProtection="0"/>
    <xf numFmtId="0" fontId="326" fillId="33" borderId="0" applyNumberFormat="0" applyBorder="0" applyAlignment="0" applyProtection="0"/>
    <xf numFmtId="0" fontId="326" fillId="33" borderId="0" applyNumberFormat="0" applyBorder="0" applyAlignment="0" applyProtection="0"/>
    <xf numFmtId="0" fontId="180" fillId="74" borderId="0" applyNumberFormat="0" applyBorder="0" applyAlignment="0" applyProtection="0"/>
    <xf numFmtId="0" fontId="326" fillId="3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67" fillId="69" borderId="7" applyNumberFormat="0" applyFont="0" applyAlignment="0" applyProtection="0"/>
    <xf numFmtId="0" fontId="1" fillId="37" borderId="32" applyNumberFormat="0" applyFont="0" applyAlignment="0" applyProtection="0"/>
    <xf numFmtId="0" fontId="167" fillId="69" borderId="7" applyNumberFormat="0" applyFont="0" applyAlignment="0" applyProtection="0"/>
    <xf numFmtId="0" fontId="1" fillId="37" borderId="32" applyNumberFormat="0" applyFont="0" applyAlignment="0" applyProtection="0"/>
    <xf numFmtId="0" fontId="167" fillId="69" borderId="7" applyNumberFormat="0" applyFont="0" applyAlignment="0" applyProtection="0"/>
    <xf numFmtId="0" fontId="1" fillId="37" borderId="32" applyNumberFormat="0" applyFont="0" applyAlignment="0" applyProtection="0"/>
    <xf numFmtId="0" fontId="167" fillId="69" borderId="7" applyNumberFormat="0" applyFont="0" applyAlignment="0" applyProtection="0"/>
    <xf numFmtId="0" fontId="1" fillId="37" borderId="32"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1" fillId="37" borderId="32" applyNumberFormat="0" applyFont="0" applyAlignment="0" applyProtection="0"/>
    <xf numFmtId="0" fontId="1" fillId="37" borderId="32"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1" fillId="37" borderId="32" applyNumberFormat="0" applyFont="0" applyAlignment="0" applyProtection="0"/>
    <xf numFmtId="0" fontId="1" fillId="37" borderId="32" applyNumberFormat="0" applyFont="0" applyAlignment="0" applyProtection="0"/>
    <xf numFmtId="0" fontId="1" fillId="37" borderId="32"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1" fillId="37" borderId="32" applyNumberFormat="0" applyFont="0" applyAlignment="0" applyProtection="0"/>
    <xf numFmtId="0" fontId="1" fillId="37" borderId="32" applyNumberFormat="0" applyFont="0" applyAlignment="0" applyProtection="0"/>
    <xf numFmtId="0" fontId="1" fillId="37" borderId="32" applyNumberFormat="0" applyFont="0" applyAlignment="0" applyProtection="0"/>
    <xf numFmtId="0" fontId="1" fillId="37" borderId="32" applyNumberFormat="0" applyFont="0" applyAlignment="0" applyProtection="0"/>
    <xf numFmtId="0" fontId="1" fillId="37" borderId="32" applyNumberFormat="0" applyFont="0" applyAlignment="0" applyProtection="0"/>
    <xf numFmtId="0" fontId="1" fillId="37" borderId="32" applyNumberFormat="0" applyFont="0" applyAlignment="0" applyProtection="0"/>
    <xf numFmtId="0" fontId="1" fillId="37" borderId="32" applyNumberFormat="0" applyFont="0" applyAlignment="0" applyProtection="0"/>
    <xf numFmtId="0" fontId="1" fillId="37" borderId="32" applyNumberFormat="0" applyFont="0" applyAlignment="0" applyProtection="0"/>
    <xf numFmtId="0" fontId="1" fillId="37" borderId="32" applyNumberFormat="0" applyFont="0" applyAlignment="0" applyProtection="0"/>
    <xf numFmtId="0" fontId="1" fillId="37" borderId="32" applyNumberFormat="0" applyFont="0" applyAlignment="0" applyProtection="0"/>
    <xf numFmtId="0" fontId="1" fillId="37" borderId="32" applyNumberFormat="0" applyFont="0" applyAlignment="0" applyProtection="0"/>
    <xf numFmtId="0" fontId="167" fillId="69" borderId="7" applyNumberFormat="0" applyFont="0" applyAlignment="0" applyProtection="0"/>
    <xf numFmtId="0" fontId="1" fillId="37" borderId="32" applyNumberFormat="0" applyFont="0" applyAlignment="0" applyProtection="0"/>
    <xf numFmtId="0" fontId="161" fillId="35" borderId="29" applyNumberFormat="0" applyAlignment="0" applyProtection="0"/>
    <xf numFmtId="0" fontId="181" fillId="68" borderId="41" applyNumberFormat="0" applyAlignment="0" applyProtection="0"/>
    <xf numFmtId="0" fontId="161" fillId="35" borderId="29" applyNumberFormat="0" applyAlignment="0" applyProtection="0"/>
    <xf numFmtId="0" fontId="181" fillId="68" borderId="41" applyNumberFormat="0" applyAlignment="0" applyProtection="0"/>
    <xf numFmtId="0" fontId="161" fillId="35" borderId="29" applyNumberFormat="0" applyAlignment="0" applyProtection="0"/>
    <xf numFmtId="0" fontId="181" fillId="68" borderId="41" applyNumberFormat="0" applyAlignment="0" applyProtection="0"/>
    <xf numFmtId="0" fontId="161" fillId="35" borderId="29" applyNumberFormat="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0" fontId="161" fillId="35" borderId="29" applyNumberFormat="0" applyAlignment="0" applyProtection="0"/>
    <xf numFmtId="0" fontId="161" fillId="35" borderId="29" applyNumberFormat="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0" fontId="161" fillId="35" borderId="29" applyNumberFormat="0" applyAlignment="0" applyProtection="0"/>
    <xf numFmtId="0" fontId="161" fillId="35" borderId="29" applyNumberFormat="0" applyAlignment="0" applyProtection="0"/>
    <xf numFmtId="0" fontId="161" fillId="35" borderId="29" applyNumberFormat="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0" fontId="161" fillId="35" borderId="29" applyNumberFormat="0" applyAlignment="0" applyProtection="0"/>
    <xf numFmtId="0" fontId="161" fillId="35" borderId="29" applyNumberFormat="0" applyAlignment="0" applyProtection="0"/>
    <xf numFmtId="0" fontId="161" fillId="35" borderId="29" applyNumberFormat="0" applyAlignment="0" applyProtection="0"/>
    <xf numFmtId="0" fontId="161" fillId="35" borderId="29" applyNumberFormat="0" applyAlignment="0" applyProtection="0"/>
    <xf numFmtId="0" fontId="161" fillId="35" borderId="29" applyNumberFormat="0" applyAlignment="0" applyProtection="0"/>
    <xf numFmtId="0" fontId="161" fillId="35" borderId="29" applyNumberFormat="0" applyAlignment="0" applyProtection="0"/>
    <xf numFmtId="0" fontId="161" fillId="35" borderId="29" applyNumberFormat="0" applyAlignment="0" applyProtection="0"/>
    <xf numFmtId="0" fontId="161" fillId="35" borderId="29" applyNumberFormat="0" applyAlignment="0" applyProtection="0"/>
    <xf numFmtId="0" fontId="161" fillId="35" borderId="29" applyNumberFormat="0" applyAlignment="0" applyProtection="0"/>
    <xf numFmtId="0" fontId="161" fillId="35" borderId="29" applyNumberFormat="0" applyAlignment="0" applyProtection="0"/>
    <xf numFmtId="0" fontId="161" fillId="35" borderId="29" applyNumberFormat="0" applyAlignment="0" applyProtection="0"/>
    <xf numFmtId="0" fontId="181" fillId="68" borderId="41" applyNumberFormat="0" applyAlignment="0" applyProtection="0"/>
    <xf numFmtId="0" fontId="161" fillId="35" borderId="29" applyNumberFormat="0" applyAlignment="0" applyProtection="0"/>
    <xf numFmtId="43" fontId="3" fillId="0" borderId="0" applyFont="0" applyFill="0" applyBorder="0" applyAlignment="0" applyProtection="0"/>
    <xf numFmtId="43" fontId="1" fillId="0" borderId="0" applyFont="0" applyFill="0" applyBorder="0" applyAlignment="0" applyProtection="0"/>
    <xf numFmtId="0" fontId="80" fillId="0" borderId="0" applyNumberFormat="0" applyFill="0" applyBorder="0" applyAlignment="0" applyProtection="0"/>
    <xf numFmtId="0" fontId="183" fillId="0" borderId="0" applyNumberFormat="0" applyFill="0" applyBorder="0" applyAlignment="0" applyProtection="0"/>
    <xf numFmtId="0" fontId="80" fillId="0" borderId="0" applyNumberFormat="0" applyFill="0" applyBorder="0" applyAlignment="0" applyProtection="0"/>
    <xf numFmtId="0" fontId="183" fillId="0" borderId="0" applyNumberFormat="0" applyFill="0" applyBorder="0" applyAlignment="0" applyProtection="0"/>
    <xf numFmtId="0" fontId="80" fillId="0" borderId="0" applyNumberFormat="0" applyFill="0" applyBorder="0" applyAlignment="0" applyProtection="0"/>
    <xf numFmtId="0" fontId="183" fillId="0" borderId="0" applyNumberFormat="0" applyFill="0" applyBorder="0" applyAlignment="0" applyProtection="0"/>
    <xf numFmtId="0" fontId="80" fillId="0" borderId="0" applyNumberFormat="0" applyFill="0" applyBorder="0" applyAlignment="0" applyProtection="0"/>
    <xf numFmtId="0" fontId="183" fillId="0" borderId="0" applyNumberFormat="0" applyFill="0" applyBorder="0" applyAlignment="0" applyProtection="0"/>
    <xf numFmtId="0" fontId="183" fillId="0" borderId="0" applyNumberFormat="0" applyFill="0" applyBorder="0" applyAlignment="0" applyProtection="0"/>
    <xf numFmtId="0" fontId="183"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183" fillId="0" borderId="0" applyNumberFormat="0" applyFill="0" applyBorder="0" applyAlignment="0" applyProtection="0"/>
    <xf numFmtId="0" fontId="183" fillId="0" borderId="0" applyNumberFormat="0" applyFill="0" applyBorder="0" applyAlignment="0" applyProtection="0"/>
    <xf numFmtId="0" fontId="183"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183" fillId="0" borderId="0" applyNumberFormat="0" applyFill="0" applyBorder="0" applyAlignment="0" applyProtection="0"/>
    <xf numFmtId="0" fontId="183" fillId="0" borderId="0" applyNumberFormat="0" applyFill="0" applyBorder="0" applyAlignment="0" applyProtection="0"/>
    <xf numFmtId="0" fontId="183" fillId="0" borderId="0" applyNumberFormat="0" applyFill="0" applyBorder="0" applyAlignment="0" applyProtection="0"/>
    <xf numFmtId="0" fontId="183" fillId="0" borderId="0" applyNumberFormat="0" applyFill="0" applyBorder="0" applyAlignment="0" applyProtection="0"/>
    <xf numFmtId="0" fontId="183"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183" fillId="0" borderId="0" applyNumberFormat="0" applyFill="0" applyBorder="0" applyAlignment="0" applyProtection="0"/>
    <xf numFmtId="0" fontId="80" fillId="0" borderId="0" applyNumberFormat="0" applyFill="0" applyBorder="0" applyAlignment="0" applyProtection="0"/>
    <xf numFmtId="0" fontId="165" fillId="0" borderId="0" applyNumberFormat="0" applyFill="0" applyBorder="0" applyAlignment="0" applyProtection="0"/>
    <xf numFmtId="0" fontId="173" fillId="0" borderId="0" applyNumberFormat="0" applyFill="0" applyBorder="0" applyAlignment="0" applyProtection="0"/>
    <xf numFmtId="0" fontId="165" fillId="0" borderId="0" applyNumberFormat="0" applyFill="0" applyBorder="0" applyAlignment="0" applyProtection="0"/>
    <xf numFmtId="0" fontId="173" fillId="0" borderId="0" applyNumberFormat="0" applyFill="0" applyBorder="0" applyAlignment="0" applyProtection="0"/>
    <xf numFmtId="0" fontId="165" fillId="0" borderId="0" applyNumberFormat="0" applyFill="0" applyBorder="0" applyAlignment="0" applyProtection="0"/>
    <xf numFmtId="0" fontId="173" fillId="0" borderId="0" applyNumberFormat="0" applyFill="0" applyBorder="0" applyAlignment="0" applyProtection="0"/>
    <xf numFmtId="0" fontId="165"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65" fillId="0" borderId="0" applyNumberFormat="0" applyFill="0" applyBorder="0" applyAlignment="0" applyProtection="0"/>
    <xf numFmtId="0" fontId="165"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65" fillId="0" borderId="0" applyNumberFormat="0" applyFill="0" applyBorder="0" applyAlignment="0" applyProtection="0"/>
    <xf numFmtId="0" fontId="165" fillId="0" borderId="0" applyNumberFormat="0" applyFill="0" applyBorder="0" applyAlignment="0" applyProtection="0"/>
    <xf numFmtId="0" fontId="165"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65" fillId="0" borderId="0" applyNumberFormat="0" applyFill="0" applyBorder="0" applyAlignment="0" applyProtection="0"/>
    <xf numFmtId="0" fontId="165" fillId="0" borderId="0" applyNumberFormat="0" applyFill="0" applyBorder="0" applyAlignment="0" applyProtection="0"/>
    <xf numFmtId="0" fontId="165" fillId="0" borderId="0" applyNumberFormat="0" applyFill="0" applyBorder="0" applyAlignment="0" applyProtection="0"/>
    <xf numFmtId="0" fontId="165" fillId="0" borderId="0" applyNumberFormat="0" applyFill="0" applyBorder="0" applyAlignment="0" applyProtection="0"/>
    <xf numFmtId="0" fontId="165" fillId="0" borderId="0" applyNumberFormat="0" applyFill="0" applyBorder="0" applyAlignment="0" applyProtection="0"/>
    <xf numFmtId="0" fontId="165" fillId="0" borderId="0" applyNumberFormat="0" applyFill="0" applyBorder="0" applyAlignment="0" applyProtection="0"/>
    <xf numFmtId="0" fontId="165" fillId="0" borderId="0" applyNumberFormat="0" applyFill="0" applyBorder="0" applyAlignment="0" applyProtection="0"/>
    <xf numFmtId="0" fontId="165" fillId="0" borderId="0" applyNumberFormat="0" applyFill="0" applyBorder="0" applyAlignment="0" applyProtection="0"/>
    <xf numFmtId="0" fontId="165" fillId="0" borderId="0" applyNumberFormat="0" applyFill="0" applyBorder="0" applyAlignment="0" applyProtection="0"/>
    <xf numFmtId="0" fontId="165" fillId="0" borderId="0" applyNumberFormat="0" applyFill="0" applyBorder="0" applyAlignment="0" applyProtection="0"/>
    <xf numFmtId="0" fontId="165" fillId="0" borderId="0" applyNumberFormat="0" applyFill="0" applyBorder="0" applyAlignment="0" applyProtection="0"/>
    <xf numFmtId="0" fontId="173" fillId="0" borderId="0" applyNumberFormat="0" applyFill="0" applyBorder="0" applyAlignment="0" applyProtection="0"/>
    <xf numFmtId="0" fontId="165" fillId="0" borderId="0" applyNumberFormat="0" applyFill="0" applyBorder="0" applyAlignment="0" applyProtection="0"/>
    <xf numFmtId="0" fontId="155" fillId="0" borderId="25" applyNumberFormat="0" applyFill="0" applyAlignment="0" applyProtection="0"/>
    <xf numFmtId="0" fontId="175" fillId="0" borderId="37" applyNumberFormat="0" applyFill="0" applyAlignment="0" applyProtection="0"/>
    <xf numFmtId="0" fontId="155" fillId="0" borderId="25" applyNumberFormat="0" applyFill="0" applyAlignment="0" applyProtection="0"/>
    <xf numFmtId="0" fontId="175" fillId="0" borderId="37" applyNumberFormat="0" applyFill="0" applyAlignment="0" applyProtection="0"/>
    <xf numFmtId="0" fontId="155" fillId="0" borderId="25" applyNumberFormat="0" applyFill="0" applyAlignment="0" applyProtection="0"/>
    <xf numFmtId="0" fontId="175" fillId="0" borderId="37" applyNumberFormat="0" applyFill="0" applyAlignment="0" applyProtection="0"/>
    <xf numFmtId="0" fontId="155" fillId="0" borderId="25" applyNumberFormat="0" applyFill="0" applyAlignment="0" applyProtection="0"/>
    <xf numFmtId="0" fontId="175" fillId="0" borderId="37" applyNumberFormat="0" applyFill="0" applyAlignment="0" applyProtection="0"/>
    <xf numFmtId="0" fontId="175" fillId="0" borderId="37" applyNumberFormat="0" applyFill="0" applyAlignment="0" applyProtection="0"/>
    <xf numFmtId="0" fontId="175" fillId="0" borderId="37" applyNumberFormat="0" applyFill="0" applyAlignment="0" applyProtection="0"/>
    <xf numFmtId="0" fontId="155" fillId="0" borderId="25" applyNumberFormat="0" applyFill="0" applyAlignment="0" applyProtection="0"/>
    <xf numFmtId="0" fontId="155" fillId="0" borderId="25" applyNumberFormat="0" applyFill="0" applyAlignment="0" applyProtection="0"/>
    <xf numFmtId="0" fontId="175" fillId="0" borderId="37" applyNumberFormat="0" applyFill="0" applyAlignment="0" applyProtection="0"/>
    <xf numFmtId="0" fontId="175" fillId="0" borderId="37" applyNumberFormat="0" applyFill="0" applyAlignment="0" applyProtection="0"/>
    <xf numFmtId="0" fontId="175" fillId="0" borderId="37" applyNumberFormat="0" applyFill="0" applyAlignment="0" applyProtection="0"/>
    <xf numFmtId="0" fontId="155" fillId="0" borderId="25" applyNumberFormat="0" applyFill="0" applyAlignment="0" applyProtection="0"/>
    <xf numFmtId="0" fontId="155" fillId="0" borderId="25" applyNumberFormat="0" applyFill="0" applyAlignment="0" applyProtection="0"/>
    <xf numFmtId="0" fontId="155" fillId="0" borderId="25" applyNumberFormat="0" applyFill="0" applyAlignment="0" applyProtection="0"/>
    <xf numFmtId="0" fontId="175" fillId="0" borderId="37" applyNumberFormat="0" applyFill="0" applyAlignment="0" applyProtection="0"/>
    <xf numFmtId="0" fontId="175" fillId="0" borderId="37" applyNumberFormat="0" applyFill="0" applyAlignment="0" applyProtection="0"/>
    <xf numFmtId="0" fontId="175" fillId="0" borderId="37" applyNumberFormat="0" applyFill="0" applyAlignment="0" applyProtection="0"/>
    <xf numFmtId="0" fontId="175" fillId="0" borderId="37" applyNumberFormat="0" applyFill="0" applyAlignment="0" applyProtection="0"/>
    <xf numFmtId="0" fontId="175" fillId="0" borderId="37" applyNumberFormat="0" applyFill="0" applyAlignment="0" applyProtection="0"/>
    <xf numFmtId="0" fontId="155" fillId="0" borderId="25" applyNumberFormat="0" applyFill="0" applyAlignment="0" applyProtection="0"/>
    <xf numFmtId="0" fontId="155" fillId="0" borderId="25" applyNumberFormat="0" applyFill="0" applyAlignment="0" applyProtection="0"/>
    <xf numFmtId="0" fontId="155" fillId="0" borderId="25" applyNumberFormat="0" applyFill="0" applyAlignment="0" applyProtection="0"/>
    <xf numFmtId="0" fontId="155" fillId="0" borderId="25" applyNumberFormat="0" applyFill="0" applyAlignment="0" applyProtection="0"/>
    <xf numFmtId="0" fontId="155" fillId="0" borderId="25" applyNumberFormat="0" applyFill="0" applyAlignment="0" applyProtection="0"/>
    <xf numFmtId="0" fontId="155" fillId="0" borderId="25" applyNumberFormat="0" applyFill="0" applyAlignment="0" applyProtection="0"/>
    <xf numFmtId="0" fontId="155" fillId="0" borderId="25" applyNumberFormat="0" applyFill="0" applyAlignment="0" applyProtection="0"/>
    <xf numFmtId="0" fontId="155" fillId="0" borderId="25" applyNumberFormat="0" applyFill="0" applyAlignment="0" applyProtection="0"/>
    <xf numFmtId="0" fontId="155" fillId="0" borderId="25" applyNumberFormat="0" applyFill="0" applyAlignment="0" applyProtection="0"/>
    <xf numFmtId="0" fontId="155" fillId="0" borderId="25" applyNumberFormat="0" applyFill="0" applyAlignment="0" applyProtection="0"/>
    <xf numFmtId="0" fontId="155" fillId="0" borderId="25" applyNumberFormat="0" applyFill="0" applyAlignment="0" applyProtection="0"/>
    <xf numFmtId="0" fontId="175" fillId="0" borderId="37" applyNumberFormat="0" applyFill="0" applyAlignment="0" applyProtection="0"/>
    <xf numFmtId="0" fontId="155" fillId="0" borderId="25" applyNumberFormat="0" applyFill="0" applyAlignment="0" applyProtection="0"/>
    <xf numFmtId="0" fontId="327" fillId="0" borderId="0" applyNumberFormat="0" applyFill="0" applyBorder="0" applyAlignment="0" applyProtection="0"/>
    <xf numFmtId="0" fontId="156" fillId="0" borderId="26" applyNumberFormat="0" applyFill="0" applyAlignment="0" applyProtection="0"/>
    <xf numFmtId="0" fontId="176" fillId="0" borderId="38" applyNumberFormat="0" applyFill="0" applyAlignment="0" applyProtection="0"/>
    <xf numFmtId="0" fontId="156" fillId="0" borderId="26" applyNumberFormat="0" applyFill="0" applyAlignment="0" applyProtection="0"/>
    <xf numFmtId="0" fontId="176" fillId="0" borderId="38" applyNumberFormat="0" applyFill="0" applyAlignment="0" applyProtection="0"/>
    <xf numFmtId="0" fontId="156" fillId="0" borderId="26" applyNumberFormat="0" applyFill="0" applyAlignment="0" applyProtection="0"/>
    <xf numFmtId="0" fontId="176" fillId="0" borderId="38" applyNumberFormat="0" applyFill="0" applyAlignment="0" applyProtection="0"/>
    <xf numFmtId="0" fontId="156" fillId="0" borderId="26" applyNumberFormat="0" applyFill="0" applyAlignment="0" applyProtection="0"/>
    <xf numFmtId="0" fontId="176" fillId="0" borderId="38" applyNumberFormat="0" applyFill="0" applyAlignment="0" applyProtection="0"/>
    <xf numFmtId="0" fontId="176" fillId="0" borderId="38" applyNumberFormat="0" applyFill="0" applyAlignment="0" applyProtection="0"/>
    <xf numFmtId="0" fontId="176" fillId="0" borderId="38" applyNumberFormat="0" applyFill="0" applyAlignment="0" applyProtection="0"/>
    <xf numFmtId="0" fontId="156" fillId="0" borderId="26" applyNumberFormat="0" applyFill="0" applyAlignment="0" applyProtection="0"/>
    <xf numFmtId="0" fontId="156" fillId="0" borderId="26" applyNumberFormat="0" applyFill="0" applyAlignment="0" applyProtection="0"/>
    <xf numFmtId="0" fontId="176" fillId="0" borderId="38" applyNumberFormat="0" applyFill="0" applyAlignment="0" applyProtection="0"/>
    <xf numFmtId="0" fontId="176" fillId="0" borderId="38" applyNumberFormat="0" applyFill="0" applyAlignment="0" applyProtection="0"/>
    <xf numFmtId="0" fontId="176" fillId="0" borderId="38" applyNumberFormat="0" applyFill="0" applyAlignment="0" applyProtection="0"/>
    <xf numFmtId="0" fontId="156" fillId="0" borderId="26" applyNumberFormat="0" applyFill="0" applyAlignment="0" applyProtection="0"/>
    <xf numFmtId="0" fontId="156" fillId="0" borderId="26" applyNumberFormat="0" applyFill="0" applyAlignment="0" applyProtection="0"/>
    <xf numFmtId="0" fontId="156" fillId="0" borderId="26" applyNumberFormat="0" applyFill="0" applyAlignment="0" applyProtection="0"/>
    <xf numFmtId="0" fontId="176" fillId="0" borderId="38" applyNumberFormat="0" applyFill="0" applyAlignment="0" applyProtection="0"/>
    <xf numFmtId="0" fontId="176" fillId="0" borderId="38" applyNumberFormat="0" applyFill="0" applyAlignment="0" applyProtection="0"/>
    <xf numFmtId="0" fontId="176" fillId="0" borderId="38" applyNumberFormat="0" applyFill="0" applyAlignment="0" applyProtection="0"/>
    <xf numFmtId="0" fontId="176" fillId="0" borderId="38" applyNumberFormat="0" applyFill="0" applyAlignment="0" applyProtection="0"/>
    <xf numFmtId="0" fontId="176" fillId="0" borderId="38" applyNumberFormat="0" applyFill="0" applyAlignment="0" applyProtection="0"/>
    <xf numFmtId="0" fontId="156" fillId="0" borderId="26" applyNumberFormat="0" applyFill="0" applyAlignment="0" applyProtection="0"/>
    <xf numFmtId="0" fontId="156" fillId="0" borderId="26" applyNumberFormat="0" applyFill="0" applyAlignment="0" applyProtection="0"/>
    <xf numFmtId="0" fontId="156" fillId="0" borderId="26" applyNumberFormat="0" applyFill="0" applyAlignment="0" applyProtection="0"/>
    <xf numFmtId="0" fontId="156" fillId="0" borderId="26" applyNumberFormat="0" applyFill="0" applyAlignment="0" applyProtection="0"/>
    <xf numFmtId="0" fontId="156" fillId="0" borderId="26" applyNumberFormat="0" applyFill="0" applyAlignment="0" applyProtection="0"/>
    <xf numFmtId="0" fontId="156" fillId="0" borderId="26" applyNumberFormat="0" applyFill="0" applyAlignment="0" applyProtection="0"/>
    <xf numFmtId="0" fontId="156" fillId="0" borderId="26" applyNumberFormat="0" applyFill="0" applyAlignment="0" applyProtection="0"/>
    <xf numFmtId="0" fontId="156" fillId="0" borderId="26" applyNumberFormat="0" applyFill="0" applyAlignment="0" applyProtection="0"/>
    <xf numFmtId="0" fontId="156" fillId="0" borderId="26" applyNumberFormat="0" applyFill="0" applyAlignment="0" applyProtection="0"/>
    <xf numFmtId="0" fontId="156" fillId="0" borderId="26" applyNumberFormat="0" applyFill="0" applyAlignment="0" applyProtection="0"/>
    <xf numFmtId="0" fontId="156" fillId="0" borderId="26" applyNumberFormat="0" applyFill="0" applyAlignment="0" applyProtection="0"/>
    <xf numFmtId="0" fontId="176" fillId="0" borderId="38" applyNumberFormat="0" applyFill="0" applyAlignment="0" applyProtection="0"/>
    <xf numFmtId="0" fontId="156" fillId="0" borderId="26" applyNumberFormat="0" applyFill="0" applyAlignment="0" applyProtection="0"/>
    <xf numFmtId="0" fontId="157" fillId="0" borderId="27" applyNumberFormat="0" applyFill="0" applyAlignment="0" applyProtection="0"/>
    <xf numFmtId="0" fontId="177" fillId="0" borderId="39" applyNumberFormat="0" applyFill="0" applyAlignment="0" applyProtection="0"/>
    <xf numFmtId="0" fontId="157" fillId="0" borderId="27" applyNumberFormat="0" applyFill="0" applyAlignment="0" applyProtection="0"/>
    <xf numFmtId="0" fontId="177" fillId="0" borderId="39" applyNumberFormat="0" applyFill="0" applyAlignment="0" applyProtection="0"/>
    <xf numFmtId="0" fontId="157" fillId="0" borderId="27" applyNumberFormat="0" applyFill="0" applyAlignment="0" applyProtection="0"/>
    <xf numFmtId="0" fontId="177" fillId="0" borderId="39" applyNumberFormat="0" applyFill="0" applyAlignment="0" applyProtection="0"/>
    <xf numFmtId="0" fontId="157" fillId="0" borderId="27" applyNumberFormat="0" applyFill="0" applyAlignment="0" applyProtection="0"/>
    <xf numFmtId="0" fontId="177" fillId="0" borderId="39" applyNumberFormat="0" applyFill="0" applyAlignment="0" applyProtection="0"/>
    <xf numFmtId="0" fontId="177" fillId="0" borderId="39" applyNumberFormat="0" applyFill="0" applyAlignment="0" applyProtection="0"/>
    <xf numFmtId="0" fontId="177" fillId="0" borderId="39" applyNumberFormat="0" applyFill="0" applyAlignment="0" applyProtection="0"/>
    <xf numFmtId="0" fontId="157" fillId="0" borderId="27" applyNumberFormat="0" applyFill="0" applyAlignment="0" applyProtection="0"/>
    <xf numFmtId="0" fontId="157" fillId="0" borderId="27" applyNumberFormat="0" applyFill="0" applyAlignment="0" applyProtection="0"/>
    <xf numFmtId="0" fontId="177" fillId="0" borderId="39" applyNumberFormat="0" applyFill="0" applyAlignment="0" applyProtection="0"/>
    <xf numFmtId="0" fontId="177" fillId="0" borderId="39" applyNumberFormat="0" applyFill="0" applyAlignment="0" applyProtection="0"/>
    <xf numFmtId="0" fontId="177" fillId="0" borderId="39" applyNumberFormat="0" applyFill="0" applyAlignment="0" applyProtection="0"/>
    <xf numFmtId="0" fontId="157" fillId="0" borderId="27" applyNumberFormat="0" applyFill="0" applyAlignment="0" applyProtection="0"/>
    <xf numFmtId="0" fontId="157" fillId="0" borderId="27" applyNumberFormat="0" applyFill="0" applyAlignment="0" applyProtection="0"/>
    <xf numFmtId="0" fontId="157" fillId="0" borderId="27" applyNumberFormat="0" applyFill="0" applyAlignment="0" applyProtection="0"/>
    <xf numFmtId="0" fontId="177" fillId="0" borderId="39" applyNumberFormat="0" applyFill="0" applyAlignment="0" applyProtection="0"/>
    <xf numFmtId="0" fontId="177" fillId="0" borderId="39" applyNumberFormat="0" applyFill="0" applyAlignment="0" applyProtection="0"/>
    <xf numFmtId="0" fontId="177" fillId="0" borderId="39" applyNumberFormat="0" applyFill="0" applyAlignment="0" applyProtection="0"/>
    <xf numFmtId="0" fontId="177" fillId="0" borderId="39" applyNumberFormat="0" applyFill="0" applyAlignment="0" applyProtection="0"/>
    <xf numFmtId="0" fontId="177" fillId="0" borderId="39" applyNumberFormat="0" applyFill="0" applyAlignment="0" applyProtection="0"/>
    <xf numFmtId="0" fontId="157" fillId="0" borderId="27" applyNumberFormat="0" applyFill="0" applyAlignment="0" applyProtection="0"/>
    <xf numFmtId="0" fontId="157" fillId="0" borderId="27" applyNumberFormat="0" applyFill="0" applyAlignment="0" applyProtection="0"/>
    <xf numFmtId="0" fontId="157" fillId="0" borderId="27" applyNumberFormat="0" applyFill="0" applyAlignment="0" applyProtection="0"/>
    <xf numFmtId="0" fontId="157" fillId="0" borderId="27" applyNumberFormat="0" applyFill="0" applyAlignment="0" applyProtection="0"/>
    <xf numFmtId="0" fontId="157" fillId="0" borderId="27" applyNumberFormat="0" applyFill="0" applyAlignment="0" applyProtection="0"/>
    <xf numFmtId="0" fontId="157" fillId="0" borderId="27" applyNumberFormat="0" applyFill="0" applyAlignment="0" applyProtection="0"/>
    <xf numFmtId="0" fontId="157" fillId="0" borderId="27" applyNumberFormat="0" applyFill="0" applyAlignment="0" applyProtection="0"/>
    <xf numFmtId="0" fontId="157" fillId="0" borderId="27" applyNumberFormat="0" applyFill="0" applyAlignment="0" applyProtection="0"/>
    <xf numFmtId="0" fontId="157" fillId="0" borderId="27" applyNumberFormat="0" applyFill="0" applyAlignment="0" applyProtection="0"/>
    <xf numFmtId="0" fontId="157" fillId="0" borderId="27" applyNumberFormat="0" applyFill="0" applyAlignment="0" applyProtection="0"/>
    <xf numFmtId="0" fontId="157" fillId="0" borderId="27" applyNumberFormat="0" applyFill="0" applyAlignment="0" applyProtection="0"/>
    <xf numFmtId="0" fontId="177" fillId="0" borderId="39" applyNumberFormat="0" applyFill="0" applyAlignment="0" applyProtection="0"/>
    <xf numFmtId="0" fontId="157" fillId="0" borderId="27" applyNumberFormat="0" applyFill="0" applyAlignment="0" applyProtection="0"/>
    <xf numFmtId="0" fontId="157" fillId="0" borderId="0" applyNumberFormat="0" applyFill="0" applyBorder="0" applyAlignment="0" applyProtection="0"/>
    <xf numFmtId="0" fontId="177" fillId="0" borderId="0" applyNumberFormat="0" applyFill="0" applyBorder="0" applyAlignment="0" applyProtection="0"/>
    <xf numFmtId="0" fontId="157" fillId="0" borderId="0" applyNumberFormat="0" applyFill="0" applyBorder="0" applyAlignment="0" applyProtection="0"/>
    <xf numFmtId="0" fontId="177" fillId="0" borderId="0" applyNumberFormat="0" applyFill="0" applyBorder="0" applyAlignment="0" applyProtection="0"/>
    <xf numFmtId="0" fontId="157" fillId="0" borderId="0" applyNumberFormat="0" applyFill="0" applyBorder="0" applyAlignment="0" applyProtection="0"/>
    <xf numFmtId="0" fontId="177" fillId="0" borderId="0" applyNumberFormat="0" applyFill="0" applyBorder="0" applyAlignment="0" applyProtection="0"/>
    <xf numFmtId="0" fontId="157" fillId="0" borderId="0" applyNumberFormat="0" applyFill="0" applyBorder="0" applyAlignment="0" applyProtection="0"/>
    <xf numFmtId="0" fontId="177" fillId="0" borderId="0" applyNumberFormat="0" applyFill="0" applyBorder="0" applyAlignment="0" applyProtection="0"/>
    <xf numFmtId="0" fontId="177" fillId="0" borderId="0" applyNumberFormat="0" applyFill="0" applyBorder="0" applyAlignment="0" applyProtection="0"/>
    <xf numFmtId="0" fontId="17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77" fillId="0" borderId="0" applyNumberFormat="0" applyFill="0" applyBorder="0" applyAlignment="0" applyProtection="0"/>
    <xf numFmtId="0" fontId="177" fillId="0" borderId="0" applyNumberFormat="0" applyFill="0" applyBorder="0" applyAlignment="0" applyProtection="0"/>
    <xf numFmtId="0" fontId="17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77" fillId="0" borderId="0" applyNumberFormat="0" applyFill="0" applyBorder="0" applyAlignment="0" applyProtection="0"/>
    <xf numFmtId="0" fontId="177" fillId="0" borderId="0" applyNumberFormat="0" applyFill="0" applyBorder="0" applyAlignment="0" applyProtection="0"/>
    <xf numFmtId="0" fontId="177" fillId="0" borderId="0" applyNumberFormat="0" applyFill="0" applyBorder="0" applyAlignment="0" applyProtection="0"/>
    <xf numFmtId="0" fontId="177" fillId="0" borderId="0" applyNumberFormat="0" applyFill="0" applyBorder="0" applyAlignment="0" applyProtection="0"/>
    <xf numFmtId="0" fontId="17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77" fillId="0" borderId="0" applyNumberFormat="0" applyFill="0" applyBorder="0" applyAlignment="0" applyProtection="0"/>
    <xf numFmtId="0" fontId="157" fillId="0" borderId="0" applyNumberFormat="0" applyFill="0" applyBorder="0" applyAlignment="0" applyProtection="0"/>
    <xf numFmtId="0" fontId="327" fillId="0" borderId="0" applyNumberFormat="0" applyFill="0" applyBorder="0" applyAlignment="0" applyProtection="0"/>
    <xf numFmtId="0" fontId="182" fillId="0" borderId="0" applyNumberFormat="0" applyFill="0" applyBorder="0" applyAlignment="0" applyProtection="0"/>
    <xf numFmtId="0" fontId="327" fillId="0" borderId="0" applyNumberFormat="0" applyFill="0" applyBorder="0" applyAlignment="0" applyProtection="0"/>
    <xf numFmtId="0" fontId="182" fillId="0" borderId="0" applyNumberFormat="0" applyFill="0" applyBorder="0" applyAlignment="0" applyProtection="0"/>
    <xf numFmtId="0" fontId="327" fillId="0" borderId="0" applyNumberFormat="0" applyFill="0" applyBorder="0" applyAlignment="0" applyProtection="0"/>
    <xf numFmtId="0" fontId="182" fillId="0" borderId="0" applyNumberFormat="0" applyFill="0" applyBorder="0" applyAlignment="0" applyProtection="0"/>
    <xf numFmtId="0" fontId="327" fillId="0" borderId="0" applyNumberFormat="0" applyFill="0" applyBorder="0" applyAlignment="0" applyProtection="0"/>
    <xf numFmtId="0" fontId="182" fillId="0" borderId="0" applyNumberFormat="0" applyFill="0" applyBorder="0" applyAlignment="0" applyProtection="0"/>
    <xf numFmtId="0" fontId="182" fillId="0" borderId="0" applyNumberFormat="0" applyFill="0" applyBorder="0" applyAlignment="0" applyProtection="0"/>
    <xf numFmtId="0" fontId="182" fillId="0" borderId="0" applyNumberFormat="0" applyFill="0" applyBorder="0" applyAlignment="0" applyProtection="0"/>
    <xf numFmtId="0" fontId="327" fillId="0" borderId="0" applyNumberFormat="0" applyFill="0" applyBorder="0" applyAlignment="0" applyProtection="0"/>
    <xf numFmtId="0" fontId="327" fillId="0" borderId="0" applyNumberFormat="0" applyFill="0" applyBorder="0" applyAlignment="0" applyProtection="0"/>
    <xf numFmtId="0" fontId="182" fillId="0" borderId="0" applyNumberFormat="0" applyFill="0" applyBorder="0" applyAlignment="0" applyProtection="0"/>
    <xf numFmtId="0" fontId="182" fillId="0" borderId="0" applyNumberFormat="0" applyFill="0" applyBorder="0" applyAlignment="0" applyProtection="0"/>
    <xf numFmtId="0" fontId="182" fillId="0" borderId="0" applyNumberFormat="0" applyFill="0" applyBorder="0" applyAlignment="0" applyProtection="0"/>
    <xf numFmtId="0" fontId="327" fillId="0" borderId="0" applyNumberFormat="0" applyFill="0" applyBorder="0" applyAlignment="0" applyProtection="0"/>
    <xf numFmtId="0" fontId="327" fillId="0" borderId="0" applyNumberFormat="0" applyFill="0" applyBorder="0" applyAlignment="0" applyProtection="0"/>
    <xf numFmtId="0" fontId="327" fillId="0" borderId="0" applyNumberFormat="0" applyFill="0" applyBorder="0" applyAlignment="0" applyProtection="0"/>
    <xf numFmtId="0" fontId="182" fillId="0" borderId="0" applyNumberFormat="0" applyFill="0" applyBorder="0" applyAlignment="0" applyProtection="0"/>
    <xf numFmtId="0" fontId="182" fillId="0" borderId="0" applyNumberFormat="0" applyFill="0" applyBorder="0" applyAlignment="0" applyProtection="0"/>
    <xf numFmtId="0" fontId="182" fillId="0" borderId="0" applyNumberFormat="0" applyFill="0" applyBorder="0" applyAlignment="0" applyProtection="0"/>
    <xf numFmtId="0" fontId="182" fillId="0" borderId="0" applyNumberFormat="0" applyFill="0" applyBorder="0" applyAlignment="0" applyProtection="0"/>
    <xf numFmtId="0" fontId="182" fillId="0" borderId="0" applyNumberFormat="0" applyFill="0" applyBorder="0" applyAlignment="0" applyProtection="0"/>
    <xf numFmtId="0" fontId="327" fillId="0" borderId="0" applyNumberFormat="0" applyFill="0" applyBorder="0" applyAlignment="0" applyProtection="0"/>
    <xf numFmtId="0" fontId="327" fillId="0" borderId="0" applyNumberFormat="0" applyFill="0" applyBorder="0" applyAlignment="0" applyProtection="0"/>
    <xf numFmtId="0" fontId="327" fillId="0" borderId="0" applyNumberFormat="0" applyFill="0" applyBorder="0" applyAlignment="0" applyProtection="0"/>
    <xf numFmtId="0" fontId="327" fillId="0" borderId="0" applyNumberFormat="0" applyFill="0" applyBorder="0" applyAlignment="0" applyProtection="0"/>
    <xf numFmtId="0" fontId="327" fillId="0" borderId="0" applyNumberFormat="0" applyFill="0" applyBorder="0" applyAlignment="0" applyProtection="0"/>
    <xf numFmtId="0" fontId="327" fillId="0" borderId="0" applyNumberFormat="0" applyFill="0" applyBorder="0" applyAlignment="0" applyProtection="0"/>
    <xf numFmtId="0" fontId="327" fillId="0" borderId="0" applyNumberFormat="0" applyFill="0" applyBorder="0" applyAlignment="0" applyProtection="0"/>
    <xf numFmtId="0" fontId="327" fillId="0" borderId="0" applyNumberFormat="0" applyFill="0" applyBorder="0" applyAlignment="0" applyProtection="0"/>
    <xf numFmtId="0" fontId="327" fillId="0" borderId="0" applyNumberFormat="0" applyFill="0" applyBorder="0" applyAlignment="0" applyProtection="0"/>
    <xf numFmtId="0" fontId="327" fillId="0" borderId="0" applyNumberFormat="0" applyFill="0" applyBorder="0" applyAlignment="0" applyProtection="0"/>
    <xf numFmtId="0" fontId="327" fillId="0" borderId="0" applyNumberFormat="0" applyFill="0" applyBorder="0" applyAlignment="0" applyProtection="0"/>
    <xf numFmtId="0" fontId="182" fillId="0" borderId="0" applyNumberFormat="0" applyFill="0" applyBorder="0" applyAlignment="0" applyProtection="0"/>
    <xf numFmtId="0" fontId="328" fillId="0" borderId="65" applyNumberFormat="0" applyFill="0" applyAlignment="0" applyProtection="0"/>
    <xf numFmtId="0" fontId="2" fillId="0" borderId="33" applyNumberFormat="0" applyFill="0" applyAlignment="0" applyProtection="0"/>
    <xf numFmtId="0" fontId="328" fillId="0" borderId="65" applyNumberFormat="0" applyFill="0" applyAlignment="0" applyProtection="0"/>
    <xf numFmtId="0" fontId="2" fillId="0" borderId="33" applyNumberFormat="0" applyFill="0" applyAlignment="0" applyProtection="0"/>
    <xf numFmtId="0" fontId="328" fillId="0" borderId="65" applyNumberFormat="0" applyFill="0" applyAlignment="0" applyProtection="0"/>
    <xf numFmtId="0" fontId="2" fillId="0" borderId="33" applyNumberFormat="0" applyFill="0" applyAlignment="0" applyProtection="0"/>
    <xf numFmtId="0" fontId="328" fillId="0" borderId="65" applyNumberFormat="0" applyFill="0" applyAlignment="0" applyProtection="0"/>
    <xf numFmtId="0" fontId="2" fillId="0" borderId="33" applyNumberFormat="0" applyFill="0" applyAlignment="0" applyProtection="0"/>
    <xf numFmtId="0" fontId="328" fillId="0" borderId="65" applyNumberFormat="0" applyFill="0" applyAlignment="0" applyProtection="0"/>
    <xf numFmtId="0" fontId="328" fillId="0" borderId="65" applyNumberFormat="0" applyFill="0" applyAlignment="0" applyProtection="0"/>
    <xf numFmtId="0" fontId="328" fillId="0" borderId="65" applyNumberFormat="0" applyFill="0" applyAlignment="0" applyProtection="0"/>
    <xf numFmtId="0" fontId="2" fillId="0" borderId="33" applyNumberFormat="0" applyFill="0" applyAlignment="0" applyProtection="0"/>
    <xf numFmtId="0" fontId="2" fillId="0" borderId="33" applyNumberFormat="0" applyFill="0" applyAlignment="0" applyProtection="0"/>
    <xf numFmtId="0" fontId="328" fillId="0" borderId="65" applyNumberFormat="0" applyFill="0" applyAlignment="0" applyProtection="0"/>
    <xf numFmtId="0" fontId="328" fillId="0" borderId="65" applyNumberFormat="0" applyFill="0" applyAlignment="0" applyProtection="0"/>
    <xf numFmtId="0" fontId="328" fillId="0" borderId="65" applyNumberFormat="0" applyFill="0" applyAlignment="0" applyProtection="0"/>
    <xf numFmtId="0" fontId="2" fillId="0" borderId="33" applyNumberFormat="0" applyFill="0" applyAlignment="0" applyProtection="0"/>
    <xf numFmtId="0" fontId="2" fillId="0" borderId="33" applyNumberFormat="0" applyFill="0" applyAlignment="0" applyProtection="0"/>
    <xf numFmtId="0" fontId="2" fillId="0" borderId="33" applyNumberFormat="0" applyFill="0" applyAlignment="0" applyProtection="0"/>
    <xf numFmtId="0" fontId="328" fillId="0" borderId="65" applyNumberFormat="0" applyFill="0" applyAlignment="0" applyProtection="0"/>
    <xf numFmtId="0" fontId="328" fillId="0" borderId="65" applyNumberFormat="0" applyFill="0" applyAlignment="0" applyProtection="0"/>
    <xf numFmtId="0" fontId="328" fillId="0" borderId="65" applyNumberFormat="0" applyFill="0" applyAlignment="0" applyProtection="0"/>
    <xf numFmtId="0" fontId="328" fillId="0" borderId="65" applyNumberFormat="0" applyFill="0" applyAlignment="0" applyProtection="0"/>
    <xf numFmtId="0" fontId="328" fillId="0" borderId="65" applyNumberFormat="0" applyFill="0" applyAlignment="0" applyProtection="0"/>
    <xf numFmtId="0" fontId="2" fillId="0" borderId="33" applyNumberFormat="0" applyFill="0" applyAlignment="0" applyProtection="0"/>
    <xf numFmtId="0" fontId="2" fillId="0" borderId="33" applyNumberFormat="0" applyFill="0" applyAlignment="0" applyProtection="0"/>
    <xf numFmtId="0" fontId="2" fillId="0" borderId="33" applyNumberFormat="0" applyFill="0" applyAlignment="0" applyProtection="0"/>
    <xf numFmtId="0" fontId="2" fillId="0" borderId="33" applyNumberFormat="0" applyFill="0" applyAlignment="0" applyProtection="0"/>
    <xf numFmtId="0" fontId="2" fillId="0" borderId="33" applyNumberFormat="0" applyFill="0" applyAlignment="0" applyProtection="0"/>
    <xf numFmtId="0" fontId="2" fillId="0" borderId="33" applyNumberFormat="0" applyFill="0" applyAlignment="0" applyProtection="0"/>
    <xf numFmtId="0" fontId="2" fillId="0" borderId="33" applyNumberFormat="0" applyFill="0" applyAlignment="0" applyProtection="0"/>
    <xf numFmtId="0" fontId="2" fillId="0" borderId="33" applyNumberFormat="0" applyFill="0" applyAlignment="0" applyProtection="0"/>
    <xf numFmtId="0" fontId="2" fillId="0" borderId="33" applyNumberFormat="0" applyFill="0" applyAlignment="0" applyProtection="0"/>
    <xf numFmtId="0" fontId="2" fillId="0" borderId="33" applyNumberFormat="0" applyFill="0" applyAlignment="0" applyProtection="0"/>
    <xf numFmtId="0" fontId="2" fillId="0" borderId="33" applyNumberFormat="0" applyFill="0" applyAlignment="0" applyProtection="0"/>
    <xf numFmtId="0" fontId="328" fillId="0" borderId="65" applyNumberFormat="0" applyFill="0" applyAlignment="0" applyProtection="0"/>
    <xf numFmtId="0" fontId="2" fillId="0" borderId="33" applyNumberFormat="0" applyFill="0" applyAlignment="0" applyProtection="0"/>
    <xf numFmtId="0" fontId="3" fillId="0" borderId="0"/>
    <xf numFmtId="0" fontId="1" fillId="39" borderId="0" applyNumberFormat="0" applyBorder="0" applyAlignment="0" applyProtection="0"/>
    <xf numFmtId="0" fontId="1" fillId="39"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66" fillId="41" borderId="0" applyNumberFormat="0" applyBorder="0" applyAlignment="0" applyProtection="0"/>
    <xf numFmtId="0" fontId="166" fillId="41" borderId="0" applyNumberFormat="0" applyBorder="0" applyAlignment="0" applyProtection="0"/>
    <xf numFmtId="0" fontId="166" fillId="45" borderId="0" applyNumberFormat="0" applyBorder="0" applyAlignment="0" applyProtection="0"/>
    <xf numFmtId="0" fontId="166" fillId="45" borderId="0" applyNumberFormat="0" applyBorder="0" applyAlignment="0" applyProtection="0"/>
    <xf numFmtId="0" fontId="166" fillId="49" borderId="0" applyNumberFormat="0" applyBorder="0" applyAlignment="0" applyProtection="0"/>
    <xf numFmtId="0" fontId="166" fillId="49" borderId="0" applyNumberFormat="0" applyBorder="0" applyAlignment="0" applyProtection="0"/>
    <xf numFmtId="0" fontId="166" fillId="53" borderId="0" applyNumberFormat="0" applyBorder="0" applyAlignment="0" applyProtection="0"/>
    <xf numFmtId="0" fontId="166" fillId="53" borderId="0" applyNumberFormat="0" applyBorder="0" applyAlignment="0" applyProtection="0"/>
    <xf numFmtId="0" fontId="166" fillId="57" borderId="0" applyNumberFormat="0" applyBorder="0" applyAlignment="0" applyProtection="0"/>
    <xf numFmtId="0" fontId="166" fillId="57" borderId="0" applyNumberFormat="0" applyBorder="0" applyAlignment="0" applyProtection="0"/>
    <xf numFmtId="0" fontId="166" fillId="61" borderId="0" applyNumberFormat="0" applyBorder="0" applyAlignment="0" applyProtection="0"/>
    <xf numFmtId="0" fontId="166" fillId="61" borderId="0" applyNumberFormat="0" applyBorder="0" applyAlignment="0" applyProtection="0"/>
    <xf numFmtId="0" fontId="158" fillId="31" borderId="0" applyNumberFormat="0" applyBorder="0" applyAlignment="0" applyProtection="0"/>
    <xf numFmtId="0" fontId="158" fillId="31" borderId="0" applyNumberFormat="0" applyBorder="0" applyAlignment="0" applyProtection="0"/>
    <xf numFmtId="0" fontId="162" fillId="35" borderId="28" applyNumberFormat="0" applyAlignment="0" applyProtection="0"/>
    <xf numFmtId="0" fontId="162" fillId="35" borderId="28" applyNumberFormat="0" applyAlignment="0" applyProtection="0"/>
    <xf numFmtId="0" fontId="164" fillId="36" borderId="31" applyNumberFormat="0" applyAlignment="0" applyProtection="0"/>
    <xf numFmtId="0" fontId="164" fillId="36" borderId="31" applyNumberFormat="0" applyAlignment="0" applyProtection="0"/>
    <xf numFmtId="0" fontId="163" fillId="0" borderId="30" applyNumberFormat="0" applyFill="0" applyAlignment="0" applyProtection="0"/>
    <xf numFmtId="0" fontId="163" fillId="0" borderId="30" applyNumberFormat="0" applyFill="0" applyAlignment="0" applyProtection="0"/>
    <xf numFmtId="0" fontId="166" fillId="38" borderId="0" applyNumberFormat="0" applyBorder="0" applyAlignment="0" applyProtection="0"/>
    <xf numFmtId="0" fontId="166" fillId="38" borderId="0" applyNumberFormat="0" applyBorder="0" applyAlignment="0" applyProtection="0"/>
    <xf numFmtId="0" fontId="166" fillId="42" borderId="0" applyNumberFormat="0" applyBorder="0" applyAlignment="0" applyProtection="0"/>
    <xf numFmtId="0" fontId="166" fillId="42" borderId="0" applyNumberFormat="0" applyBorder="0" applyAlignment="0" applyProtection="0"/>
    <xf numFmtId="0" fontId="166" fillId="46" borderId="0" applyNumberFormat="0" applyBorder="0" applyAlignment="0" applyProtection="0"/>
    <xf numFmtId="0" fontId="166" fillId="46" borderId="0" applyNumberFormat="0" applyBorder="0" applyAlignment="0" applyProtection="0"/>
    <xf numFmtId="0" fontId="166" fillId="50" borderId="0" applyNumberFormat="0" applyBorder="0" applyAlignment="0" applyProtection="0"/>
    <xf numFmtId="0" fontId="166" fillId="50" borderId="0" applyNumberFormat="0" applyBorder="0" applyAlignment="0" applyProtection="0"/>
    <xf numFmtId="0" fontId="166" fillId="54" borderId="0" applyNumberFormat="0" applyBorder="0" applyAlignment="0" applyProtection="0"/>
    <xf numFmtId="0" fontId="166" fillId="54" borderId="0" applyNumberFormat="0" applyBorder="0" applyAlignment="0" applyProtection="0"/>
    <xf numFmtId="0" fontId="166" fillId="58" borderId="0" applyNumberFormat="0" applyBorder="0" applyAlignment="0" applyProtection="0"/>
    <xf numFmtId="0" fontId="166" fillId="58" borderId="0" applyNumberFormat="0" applyBorder="0" applyAlignment="0" applyProtection="0"/>
    <xf numFmtId="0" fontId="160" fillId="34" borderId="28" applyNumberFormat="0" applyAlignment="0" applyProtection="0"/>
    <xf numFmtId="0" fontId="160" fillId="34" borderId="28" applyNumberFormat="0" applyAlignment="0" applyProtection="0"/>
    <xf numFmtId="0" fontId="159" fillId="32" borderId="0" applyNumberFormat="0" applyBorder="0" applyAlignment="0" applyProtection="0"/>
    <xf numFmtId="0" fontId="159" fillId="32" borderId="0" applyNumberFormat="0" applyBorder="0" applyAlignment="0" applyProtection="0"/>
    <xf numFmtId="0" fontId="326" fillId="33" borderId="0" applyNumberFormat="0" applyBorder="0" applyAlignment="0" applyProtection="0"/>
    <xf numFmtId="0" fontId="326" fillId="33" borderId="0" applyNumberFormat="0" applyBorder="0" applyAlignment="0" applyProtection="0"/>
    <xf numFmtId="0" fontId="1" fillId="0" borderId="0"/>
    <xf numFmtId="0" fontId="1" fillId="0" borderId="0"/>
    <xf numFmtId="0" fontId="167" fillId="69" borderId="7" applyNumberFormat="0" applyFont="0" applyAlignment="0" applyProtection="0"/>
    <xf numFmtId="0" fontId="1" fillId="37" borderId="32" applyNumberFormat="0" applyFont="0" applyAlignment="0" applyProtection="0"/>
    <xf numFmtId="0" fontId="1" fillId="37" borderId="32" applyNumberFormat="0" applyFont="0" applyAlignment="0" applyProtection="0"/>
    <xf numFmtId="0" fontId="161" fillId="35" borderId="29" applyNumberFormat="0" applyAlignment="0" applyProtection="0"/>
    <xf numFmtId="0" fontId="161" fillId="35" borderId="29" applyNumberFormat="0" applyAlignment="0" applyProtection="0"/>
    <xf numFmtId="43" fontId="3" fillId="0" borderId="0" applyFon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165" fillId="0" borderId="0" applyNumberFormat="0" applyFill="0" applyBorder="0" applyAlignment="0" applyProtection="0"/>
    <xf numFmtId="0" fontId="165" fillId="0" borderId="0" applyNumberFormat="0" applyFill="0" applyBorder="0" applyAlignment="0" applyProtection="0"/>
    <xf numFmtId="0" fontId="155" fillId="0" borderId="25" applyNumberFormat="0" applyFill="0" applyAlignment="0" applyProtection="0"/>
    <xf numFmtId="0" fontId="155" fillId="0" borderId="25" applyNumberFormat="0" applyFill="0" applyAlignment="0" applyProtection="0"/>
    <xf numFmtId="0" fontId="327" fillId="0" borderId="0" applyNumberFormat="0" applyFill="0" applyBorder="0" applyAlignment="0" applyProtection="0"/>
    <xf numFmtId="0" fontId="156" fillId="0" borderId="26" applyNumberFormat="0" applyFill="0" applyAlignment="0" applyProtection="0"/>
    <xf numFmtId="0" fontId="156" fillId="0" borderId="26" applyNumberFormat="0" applyFill="0" applyAlignment="0" applyProtection="0"/>
    <xf numFmtId="0" fontId="157" fillId="0" borderId="27" applyNumberFormat="0" applyFill="0" applyAlignment="0" applyProtection="0"/>
    <xf numFmtId="0" fontId="157" fillId="0" borderId="27" applyNumberFormat="0" applyFill="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327" fillId="0" borderId="0" applyNumberFormat="0" applyFill="0" applyBorder="0" applyAlignment="0" applyProtection="0"/>
    <xf numFmtId="0" fontId="328" fillId="0" borderId="65" applyNumberFormat="0" applyFill="0" applyAlignment="0" applyProtection="0"/>
    <xf numFmtId="0" fontId="2" fillId="0" borderId="33" applyNumberFormat="0" applyFill="0" applyAlignment="0" applyProtection="0"/>
    <xf numFmtId="0" fontId="2" fillId="0" borderId="33" applyNumberFormat="0" applyFill="0" applyAlignment="0" applyProtection="0"/>
    <xf numFmtId="0" fontId="327" fillId="0" borderId="0" applyNumberFormat="0" applyFill="0" applyBorder="0" applyAlignment="0" applyProtection="0"/>
    <xf numFmtId="0" fontId="1" fillId="0" borderId="0"/>
    <xf numFmtId="43" fontId="1" fillId="0" borderId="0" applyFont="0" applyFill="0" applyBorder="0" applyAlignment="0" applyProtection="0"/>
    <xf numFmtId="0" fontId="1" fillId="37" borderId="32" applyNumberFormat="0" applyFont="0" applyAlignment="0" applyProtection="0"/>
    <xf numFmtId="0" fontId="96" fillId="0" borderId="0"/>
    <xf numFmtId="43" fontId="96" fillId="0" borderId="0" applyFont="0" applyFill="0" applyBorder="0" applyAlignment="0" applyProtection="0"/>
    <xf numFmtId="0" fontId="291" fillId="0" borderId="0" applyFont="0" applyFill="0" applyBorder="0" applyAlignment="0" applyProtection="0"/>
    <xf numFmtId="2" fontId="291" fillId="0" borderId="0" applyFont="0" applyFill="0" applyBorder="0" applyAlignment="0" applyProtection="0"/>
    <xf numFmtId="0" fontId="1" fillId="0" borderId="0"/>
    <xf numFmtId="0" fontId="291" fillId="0" borderId="0" applyFont="0" applyFill="0" applyBorder="0" applyAlignment="0" applyProtection="0"/>
    <xf numFmtId="0" fontId="291" fillId="0" borderId="0" applyFont="0" applyFill="0" applyBorder="0" applyAlignment="0" applyProtection="0"/>
    <xf numFmtId="2" fontId="291" fillId="0" borderId="0" applyFont="0" applyFill="0" applyBorder="0" applyAlignment="0" applyProtection="0"/>
    <xf numFmtId="0" fontId="1" fillId="0" borderId="0"/>
    <xf numFmtId="2" fontId="291" fillId="0" borderId="0" applyFont="0" applyFill="0" applyBorder="0" applyAlignment="0" applyProtection="0"/>
    <xf numFmtId="0" fontId="291" fillId="0" borderId="0" applyFont="0" applyFill="0" applyBorder="0" applyAlignment="0" applyProtection="0"/>
    <xf numFmtId="0" fontId="1" fillId="0" borderId="0"/>
    <xf numFmtId="2" fontId="291" fillId="0" borderId="0" applyFont="0" applyFill="0" applyBorder="0" applyAlignment="0" applyProtection="0"/>
    <xf numFmtId="0" fontId="3" fillId="0" borderId="0"/>
    <xf numFmtId="288" fontId="3" fillId="0" borderId="0" applyFont="0" applyFill="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168" fontId="1" fillId="0" borderId="0" applyFont="0" applyFill="0" applyBorder="0" applyAlignment="0" applyProtection="0"/>
    <xf numFmtId="43" fontId="3" fillId="0" borderId="0" applyFont="0" applyFill="0" applyBorder="0" applyAlignment="0" applyProtection="0"/>
    <xf numFmtId="288" fontId="3" fillId="0" borderId="0" applyFont="0" applyFill="0" applyBorder="0" applyAlignment="0" applyProtection="0"/>
    <xf numFmtId="0" fontId="1" fillId="0" borderId="0"/>
    <xf numFmtId="0" fontId="3" fillId="0" borderId="0"/>
    <xf numFmtId="0" fontId="77" fillId="0" borderId="10" applyNumberFormat="0" applyFill="0" applyAlignment="0" applyProtection="0"/>
    <xf numFmtId="0" fontId="77" fillId="0" borderId="10" applyNumberFormat="0" applyFill="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20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0" fontId="3" fillId="0" borderId="0"/>
    <xf numFmtId="0" fontId="3" fillId="0" borderId="0"/>
    <xf numFmtId="211" fontId="14" fillId="0" borderId="10"/>
    <xf numFmtId="211" fontId="14" fillId="0" borderId="10"/>
    <xf numFmtId="0" fontId="3" fillId="0" borderId="0"/>
    <xf numFmtId="0" fontId="1" fillId="0" borderId="0"/>
    <xf numFmtId="209" fontId="3" fillId="0" borderId="0" applyFont="0" applyFill="0" applyBorder="0" applyAlignment="0" applyProtection="0"/>
    <xf numFmtId="3" fontId="76" fillId="87" borderId="10">
      <alignment horizontal="center"/>
    </xf>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207"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9"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89"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192" fontId="1" fillId="0" borderId="0" applyFont="0" applyFill="0" applyBorder="0" applyAlignment="0" applyProtection="0"/>
    <xf numFmtId="43" fontId="237" fillId="0" borderId="0" applyFont="0" applyFill="0" applyBorder="0" applyAlignment="0" applyProtection="0"/>
    <xf numFmtId="43" fontId="237" fillId="0" borderId="0" applyFont="0" applyFill="0" applyBorder="0" applyAlignment="0" applyProtection="0"/>
    <xf numFmtId="43" fontId="237"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237"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23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3"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69" fontId="1" fillId="0" borderId="0" applyFont="0" applyFill="0" applyBorder="0" applyAlignment="0" applyProtection="0"/>
    <xf numFmtId="196" fontId="1"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198" fontId="1"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169" fontId="1" fillId="0" borderId="0" applyFont="0" applyFill="0" applyBorder="0" applyAlignment="0" applyProtection="0"/>
    <xf numFmtId="221" fontId="1" fillId="0" borderId="0" applyFont="0" applyFill="0" applyBorder="0" applyAlignment="0" applyProtection="0"/>
    <xf numFmtId="43" fontId="3" fillId="0" borderId="0" applyFont="0" applyFill="0" applyBorder="0" applyAlignment="0" applyProtection="0"/>
    <xf numFmtId="193" fontId="1" fillId="0" borderId="0" applyFont="0" applyFill="0" applyBorder="0" applyAlignment="0" applyProtection="0"/>
    <xf numFmtId="171" fontId="1" fillId="0" borderId="0" applyFont="0" applyFill="0" applyBorder="0" applyAlignment="0" applyProtection="0"/>
    <xf numFmtId="43" fontId="3" fillId="0" borderId="0" applyFont="0" applyFill="0" applyBorder="0" applyAlignment="0" applyProtection="0"/>
    <xf numFmtId="195" fontId="1" fillId="0" borderId="0" applyFont="0" applyFill="0" applyBorder="0" applyAlignment="0" applyProtection="0"/>
    <xf numFmtId="41" fontId="1" fillId="0" borderId="0" applyFont="0" applyFill="0" applyBorder="0" applyAlignment="0" applyProtection="0"/>
    <xf numFmtId="41" fontId="167" fillId="0" borderId="0" applyFont="0" applyFill="0" applyBorder="0" applyAlignment="0" applyProtection="0"/>
    <xf numFmtId="41" fontId="167" fillId="0" borderId="0" applyFont="0" applyFill="0" applyBorder="0" applyAlignment="0" applyProtection="0"/>
    <xf numFmtId="41" fontId="167" fillId="0" borderId="0" applyFont="0" applyFill="0" applyBorder="0" applyAlignment="0" applyProtection="0"/>
    <xf numFmtId="41" fontId="167" fillId="0" borderId="0" applyFont="0" applyFill="0" applyBorder="0" applyAlignment="0" applyProtection="0"/>
    <xf numFmtId="41" fontId="167" fillId="0" borderId="0" applyFont="0" applyFill="0" applyBorder="0" applyAlignment="0" applyProtection="0"/>
    <xf numFmtId="41" fontId="167" fillId="0" borderId="0" applyFont="0" applyFill="0" applyBorder="0" applyAlignment="0" applyProtection="0"/>
    <xf numFmtId="17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192" fontId="1"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0" fontId="3" fillId="0" borderId="0"/>
    <xf numFmtId="0" fontId="3" fillId="0" borderId="0"/>
    <xf numFmtId="0" fontId="270" fillId="0" borderId="10" applyNumberFormat="0" applyProtection="0">
      <alignment horizontal="center"/>
    </xf>
    <xf numFmtId="3" fontId="76" fillId="14" borderId="10">
      <alignment horizontal="center" vertical="center"/>
    </xf>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4" fontId="1" fillId="0" borderId="0" applyFont="0" applyFill="0" applyBorder="0" applyAlignment="0" applyProtection="0"/>
    <xf numFmtId="0" fontId="1" fillId="0" borderId="0"/>
    <xf numFmtId="43" fontId="167" fillId="0" borderId="0" applyFont="0" applyFill="0" applyBorder="0" applyAlignment="0" applyProtection="0"/>
    <xf numFmtId="0" fontId="1" fillId="0" borderId="0"/>
    <xf numFmtId="43" fontId="3" fillId="0" borderId="0" applyFont="0" applyFill="0" applyBorder="0" applyAlignment="0" applyProtection="0"/>
    <xf numFmtId="43" fontId="3"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9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69" fontId="1" fillId="0" borderId="0" applyFont="0" applyFill="0" applyBorder="0" applyAlignment="0" applyProtection="0"/>
    <xf numFmtId="196" fontId="1" fillId="0" borderId="0" applyFont="0" applyFill="0" applyBorder="0" applyAlignment="0" applyProtection="0"/>
    <xf numFmtId="43" fontId="1" fillId="0" borderId="0" applyFont="0" applyFill="0" applyBorder="0" applyAlignment="0" applyProtection="0"/>
    <xf numFmtId="19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221" fontId="1" fillId="0" borderId="0" applyFont="0" applyFill="0" applyBorder="0" applyAlignment="0" applyProtection="0"/>
    <xf numFmtId="193" fontId="1" fillId="0" borderId="0" applyFont="0" applyFill="0" applyBorder="0" applyAlignment="0" applyProtection="0"/>
    <xf numFmtId="171" fontId="1" fillId="0" borderId="0" applyFont="0" applyFill="0" applyBorder="0" applyAlignment="0" applyProtection="0"/>
    <xf numFmtId="195" fontId="1" fillId="0" borderId="0" applyFont="0" applyFill="0" applyBorder="0" applyAlignment="0" applyProtection="0"/>
    <xf numFmtId="41" fontId="1" fillId="0" borderId="0" applyFont="0" applyFill="0" applyBorder="0" applyAlignment="0" applyProtection="0"/>
    <xf numFmtId="17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92"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4" fontId="1" fillId="0" borderId="0" applyFont="0" applyFill="0" applyBorder="0" applyAlignment="0" applyProtection="0"/>
    <xf numFmtId="0" fontId="1" fillId="0" borderId="0"/>
    <xf numFmtId="0" fontId="1" fillId="0" borderId="0"/>
    <xf numFmtId="43" fontId="3" fillId="0" borderId="0" applyFont="0" applyFill="0" applyBorder="0" applyAlignment="0" applyProtection="0"/>
    <xf numFmtId="0" fontId="3" fillId="0" borderId="0"/>
    <xf numFmtId="0" fontId="3" fillId="0" borderId="0"/>
    <xf numFmtId="0" fontId="3" fillId="0" borderId="0"/>
    <xf numFmtId="0" fontId="1" fillId="0" borderId="0"/>
    <xf numFmtId="191" fontId="3" fillId="0" borderId="0" applyFont="0" applyFill="0" applyBorder="0" applyAlignment="0" applyProtection="0"/>
    <xf numFmtId="0" fontId="3" fillId="0" borderId="0"/>
    <xf numFmtId="43" fontId="1" fillId="0" borderId="0" applyFont="0" applyFill="0" applyBorder="0" applyAlignment="0" applyProtection="0"/>
    <xf numFmtId="0" fontId="1" fillId="0" borderId="0"/>
    <xf numFmtId="191" fontId="3" fillId="0" borderId="0"/>
    <xf numFmtId="191" fontId="3" fillId="0" borderId="0"/>
    <xf numFmtId="0" fontId="1" fillId="0" borderId="0"/>
    <xf numFmtId="9" fontId="1" fillId="0" borderId="0" applyFont="0" applyFill="0" applyBorder="0" applyAlignment="0" applyProtection="0"/>
    <xf numFmtId="0" fontId="1" fillId="0" borderId="0"/>
    <xf numFmtId="43"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191" fontId="3" fillId="0" borderId="0"/>
    <xf numFmtId="191" fontId="3" fillId="0" borderId="0"/>
    <xf numFmtId="191" fontId="3" fillId="0" borderId="0"/>
    <xf numFmtId="191" fontId="3" fillId="0" borderId="0"/>
    <xf numFmtId="191" fontId="3" fillId="0" borderId="0"/>
    <xf numFmtId="191" fontId="3" fillId="0" borderId="0"/>
    <xf numFmtId="191" fontId="3" fillId="0" borderId="0"/>
    <xf numFmtId="191" fontId="3" fillId="0" borderId="0"/>
    <xf numFmtId="191" fontId="3" fillId="0" borderId="0"/>
    <xf numFmtId="191" fontId="3" fillId="0" borderId="0"/>
    <xf numFmtId="191" fontId="3" fillId="0" borderId="0"/>
    <xf numFmtId="191" fontId="3" fillId="0" borderId="0"/>
    <xf numFmtId="191"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1"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8" fillId="67" borderId="34" applyNumberFormat="0" applyAlignment="0" applyProtection="0"/>
    <xf numFmtId="0" fontId="3" fillId="0" borderId="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3" fillId="0" borderId="0"/>
    <xf numFmtId="0" fontId="178" fillId="67" borderId="34" applyNumberFormat="0" applyAlignment="0" applyProtection="0"/>
    <xf numFmtId="0" fontId="178" fillId="67" borderId="34" applyNumberFormat="0" applyAlignment="0" applyProtection="0"/>
    <xf numFmtId="0" fontId="3" fillId="0" borderId="0"/>
    <xf numFmtId="0" fontId="178" fillId="67" borderId="34" applyNumberFormat="0" applyAlignment="0" applyProtection="0"/>
    <xf numFmtId="0" fontId="3" fillId="0" borderId="0"/>
    <xf numFmtId="0" fontId="178" fillId="67" borderId="34" applyNumberFormat="0" applyAlignment="0" applyProtection="0"/>
    <xf numFmtId="0" fontId="3" fillId="0" borderId="0"/>
    <xf numFmtId="0" fontId="3" fillId="0" borderId="0"/>
    <xf numFmtId="0" fontId="3" fillId="74" borderId="7" applyNumberFormat="0" applyFont="0" applyAlignment="0" applyProtection="0"/>
    <xf numFmtId="0" fontId="3" fillId="74" borderId="7" applyNumberFormat="0" applyFont="0" applyAlignment="0" applyProtection="0"/>
    <xf numFmtId="0" fontId="3" fillId="74" borderId="7" applyNumberFormat="0" applyFont="0" applyAlignment="0" applyProtection="0"/>
    <xf numFmtId="0" fontId="3" fillId="74" borderId="7" applyNumberFormat="0" applyFont="0" applyAlignment="0" applyProtection="0"/>
    <xf numFmtId="0" fontId="3" fillId="74" borderId="7" applyNumberFormat="0" applyFont="0" applyAlignment="0" applyProtection="0"/>
    <xf numFmtId="0" fontId="3" fillId="74" borderId="7" applyNumberFormat="0" applyFont="0" applyAlignment="0" applyProtection="0"/>
    <xf numFmtId="0" fontId="3" fillId="69" borderId="7" applyNumberFormat="0" applyFont="0" applyAlignment="0" applyProtection="0"/>
    <xf numFmtId="0" fontId="3" fillId="69" borderId="7" applyNumberFormat="0" applyFont="0" applyAlignment="0" applyProtection="0"/>
    <xf numFmtId="0" fontId="3" fillId="69" borderId="7" applyNumberFormat="0" applyFont="0" applyAlignment="0" applyProtection="0"/>
    <xf numFmtId="0" fontId="167" fillId="69" borderId="7" applyNumberFormat="0" applyFont="0" applyAlignment="0" applyProtection="0"/>
    <xf numFmtId="0" fontId="3" fillId="69" borderId="7" applyNumberFormat="0" applyFont="0" applyAlignment="0" applyProtection="0"/>
    <xf numFmtId="0" fontId="3" fillId="69" borderId="7" applyNumberFormat="0" applyFont="0" applyAlignment="0" applyProtection="0"/>
    <xf numFmtId="0" fontId="167" fillId="69" borderId="7" applyNumberFormat="0" applyFont="0" applyAlignment="0" applyProtection="0"/>
    <xf numFmtId="0" fontId="3"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3" fillId="69" borderId="7" applyNumberFormat="0" applyFont="0" applyAlignment="0" applyProtection="0"/>
    <xf numFmtId="0" fontId="3" fillId="69" borderId="7" applyNumberFormat="0" applyFont="0" applyAlignment="0" applyProtection="0"/>
    <xf numFmtId="0" fontId="167" fillId="69" borderId="7" applyNumberFormat="0" applyFont="0" applyAlignment="0" applyProtection="0"/>
    <xf numFmtId="0" fontId="3"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3" fillId="69" borderId="7" applyNumberFormat="0" applyFont="0" applyAlignment="0" applyProtection="0"/>
    <xf numFmtId="0" fontId="3" fillId="69" borderId="7" applyNumberFormat="0" applyFont="0" applyAlignment="0" applyProtection="0"/>
    <xf numFmtId="0" fontId="167" fillId="69" borderId="7" applyNumberFormat="0" applyFont="0" applyAlignment="0" applyProtection="0"/>
    <xf numFmtId="0" fontId="3"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3" fillId="69" borderId="7" applyNumberFormat="0" applyFont="0" applyAlignment="0" applyProtection="0"/>
    <xf numFmtId="0" fontId="3" fillId="69" borderId="7" applyNumberFormat="0" applyFont="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0" fontId="178" fillId="67" borderId="34" applyNumberFormat="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250" fontId="243" fillId="2" borderId="57" applyProtection="0">
      <alignment horizontal="right" vertical="center"/>
    </xf>
    <xf numFmtId="250" fontId="243" fillId="2" borderId="57" applyProtection="0">
      <alignment horizontal="right" vertical="center"/>
    </xf>
    <xf numFmtId="250" fontId="243" fillId="2" borderId="57" applyProtection="0">
      <alignment horizontal="right" vertical="center"/>
    </xf>
    <xf numFmtId="250" fontId="243" fillId="2" borderId="57" applyProtection="0">
      <alignment horizontal="right" vertical="center"/>
    </xf>
    <xf numFmtId="250" fontId="243" fillId="2" borderId="57" applyProtection="0">
      <alignment horizontal="right" vertical="center"/>
    </xf>
    <xf numFmtId="250" fontId="243" fillId="2" borderId="57" applyProtection="0">
      <alignment horizontal="right" vertical="center"/>
    </xf>
    <xf numFmtId="0" fontId="3" fillId="0" borderId="0"/>
    <xf numFmtId="0" fontId="3" fillId="0" borderId="0"/>
    <xf numFmtId="0" fontId="178" fillId="67" borderId="34" applyNumberFormat="0" applyAlignment="0" applyProtection="0"/>
    <xf numFmtId="0" fontId="178" fillId="67" borderId="34" applyNumberFormat="0" applyAlignment="0" applyProtection="0"/>
    <xf numFmtId="0" fontId="170" fillId="84" borderId="34" applyNumberFormat="0" applyAlignment="0" applyProtection="0"/>
    <xf numFmtId="0" fontId="178" fillId="67" borderId="34" applyNumberFormat="0" applyAlignment="0" applyProtection="0"/>
    <xf numFmtId="0" fontId="178" fillId="67" borderId="34" applyNumberFormat="0" applyAlignment="0" applyProtection="0"/>
    <xf numFmtId="0" fontId="181" fillId="84" borderId="41" applyNumberFormat="0" applyAlignment="0" applyProtection="0"/>
    <xf numFmtId="43" fontId="3" fillId="0" borderId="0" applyFont="0" applyFill="0" applyBorder="0" applyAlignment="0" applyProtection="0"/>
    <xf numFmtId="43" fontId="3" fillId="0" borderId="0" applyFont="0" applyFill="0" applyBorder="0" applyAlignment="0" applyProtection="0"/>
    <xf numFmtId="0" fontId="186" fillId="0" borderId="42" applyNumberFormat="0" applyFill="0" applyAlignment="0" applyProtection="0"/>
    <xf numFmtId="0" fontId="187" fillId="0" borderId="38" applyNumberFormat="0" applyFill="0" applyAlignment="0" applyProtection="0"/>
    <xf numFmtId="0" fontId="1" fillId="0" borderId="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9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3"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43"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91" fontId="3" fillId="0" borderId="0"/>
    <xf numFmtId="191" fontId="3" fillId="0" borderId="0"/>
    <xf numFmtId="191" fontId="3" fillId="0" borderId="0"/>
    <xf numFmtId="191" fontId="3" fillId="0" borderId="0"/>
    <xf numFmtId="191" fontId="3" fillId="0" borderId="0"/>
    <xf numFmtId="191" fontId="3" fillId="0" borderId="0"/>
    <xf numFmtId="191" fontId="3" fillId="0" borderId="0"/>
    <xf numFmtId="0" fontId="3" fillId="0" borderId="0"/>
    <xf numFmtId="191" fontId="3" fillId="0" borderId="0"/>
    <xf numFmtId="0" fontId="3" fillId="0" borderId="0"/>
    <xf numFmtId="191" fontId="3" fillId="0" borderId="0"/>
    <xf numFmtId="191" fontId="3" fillId="0" borderId="0"/>
    <xf numFmtId="191" fontId="3" fillId="0" borderId="0"/>
    <xf numFmtId="0" fontId="3" fillId="0" borderId="0"/>
    <xf numFmtId="191" fontId="3" fillId="0" borderId="0"/>
    <xf numFmtId="191" fontId="3"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20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7" fillId="69" borderId="7"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207"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9"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89"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192" fontId="1" fillId="0" borderId="0" applyFont="0" applyFill="0" applyBorder="0" applyAlignment="0" applyProtection="0"/>
    <xf numFmtId="43" fontId="237" fillId="0" borderId="0" applyFont="0" applyFill="0" applyBorder="0" applyAlignment="0" applyProtection="0"/>
    <xf numFmtId="43" fontId="237" fillId="0" borderId="0" applyFont="0" applyFill="0" applyBorder="0" applyAlignment="0" applyProtection="0"/>
    <xf numFmtId="43" fontId="237"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237"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23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3"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69" fontId="1" fillId="0" borderId="0" applyFont="0" applyFill="0" applyBorder="0" applyAlignment="0" applyProtection="0"/>
    <xf numFmtId="196" fontId="1"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198" fontId="1"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169" fontId="1" fillId="0" borderId="0" applyFont="0" applyFill="0" applyBorder="0" applyAlignment="0" applyProtection="0"/>
    <xf numFmtId="221" fontId="1" fillId="0" borderId="0" applyFont="0" applyFill="0" applyBorder="0" applyAlignment="0" applyProtection="0"/>
    <xf numFmtId="43" fontId="3" fillId="0" borderId="0" applyFont="0" applyFill="0" applyBorder="0" applyAlignment="0" applyProtection="0"/>
    <xf numFmtId="193" fontId="1" fillId="0" borderId="0" applyFont="0" applyFill="0" applyBorder="0" applyAlignment="0" applyProtection="0"/>
    <xf numFmtId="171" fontId="1" fillId="0" borderId="0" applyFont="0" applyFill="0" applyBorder="0" applyAlignment="0" applyProtection="0"/>
    <xf numFmtId="43" fontId="3" fillId="0" borderId="0" applyFont="0" applyFill="0" applyBorder="0" applyAlignment="0" applyProtection="0"/>
    <xf numFmtId="195" fontId="1" fillId="0" borderId="0" applyFont="0" applyFill="0" applyBorder="0" applyAlignment="0" applyProtection="0"/>
    <xf numFmtId="41" fontId="1" fillId="0" borderId="0" applyFont="0" applyFill="0" applyBorder="0" applyAlignment="0" applyProtection="0"/>
    <xf numFmtId="41" fontId="167" fillId="0" borderId="0" applyFont="0" applyFill="0" applyBorder="0" applyAlignment="0" applyProtection="0"/>
    <xf numFmtId="41" fontId="167" fillId="0" borderId="0" applyFont="0" applyFill="0" applyBorder="0" applyAlignment="0" applyProtection="0"/>
    <xf numFmtId="41" fontId="167" fillId="0" borderId="0" applyFont="0" applyFill="0" applyBorder="0" applyAlignment="0" applyProtection="0"/>
    <xf numFmtId="41" fontId="167" fillId="0" borderId="0" applyFont="0" applyFill="0" applyBorder="0" applyAlignment="0" applyProtection="0"/>
    <xf numFmtId="41" fontId="167" fillId="0" borderId="0" applyFont="0" applyFill="0" applyBorder="0" applyAlignment="0" applyProtection="0"/>
    <xf numFmtId="41" fontId="167" fillId="0" borderId="0" applyFont="0" applyFill="0" applyBorder="0" applyAlignment="0" applyProtection="0"/>
    <xf numFmtId="17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192" fontId="1"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0" fontId="14" fillId="0" borderId="44" applyNumberFormat="0" applyFill="0" applyProtection="0">
      <alignment wrapText="1"/>
    </xf>
    <xf numFmtId="0" fontId="14" fillId="0" borderId="44" applyNumberFormat="0" applyFill="0" applyProtection="0">
      <alignment horizontal="center" wrapText="1"/>
    </xf>
    <xf numFmtId="0" fontId="1" fillId="0" borderId="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4" fontId="1" fillId="0" borderId="0" applyFont="0" applyFill="0" applyBorder="0" applyAlignment="0" applyProtection="0"/>
    <xf numFmtId="0" fontId="1" fillId="0" borderId="0"/>
    <xf numFmtId="43" fontId="167" fillId="0" borderId="0" applyFont="0" applyFill="0" applyBorder="0" applyAlignment="0" applyProtection="0"/>
    <xf numFmtId="0" fontId="1" fillId="0" borderId="0"/>
    <xf numFmtId="43" fontId="3" fillId="0" borderId="0" applyFont="0" applyFill="0" applyBorder="0" applyAlignment="0" applyProtection="0"/>
    <xf numFmtId="43" fontId="3"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20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204" fontId="12" fillId="0" borderId="0" applyFont="0" applyFill="0" applyBorder="0" applyAlignment="0"/>
    <xf numFmtId="183" fontId="3" fillId="0" borderId="0" applyFont="0" applyFill="0" applyBorder="0" applyAlignment="0"/>
    <xf numFmtId="205" fontId="3" fillId="0" borderId="0" applyFont="0" applyFill="0" applyBorder="0" applyAlignment="0" applyProtection="0"/>
    <xf numFmtId="182" fontId="12" fillId="0" borderId="0"/>
    <xf numFmtId="0" fontId="178" fillId="67" borderId="34" applyNumberFormat="0" applyAlignment="0" applyProtection="0"/>
    <xf numFmtId="183"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207"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9"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89"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3"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192" fontId="1" fillId="0" borderId="0" applyFont="0" applyFill="0" applyBorder="0" applyAlignment="0" applyProtection="0"/>
    <xf numFmtId="43" fontId="237" fillId="0" borderId="0" applyFont="0" applyFill="0" applyBorder="0" applyAlignment="0" applyProtection="0"/>
    <xf numFmtId="43" fontId="237" fillId="0" borderId="0" applyFont="0" applyFill="0" applyBorder="0" applyAlignment="0" applyProtection="0"/>
    <xf numFmtId="43" fontId="237"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237"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23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3"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69" fontId="1" fillId="0" borderId="0" applyFont="0" applyFill="0" applyBorder="0" applyAlignment="0" applyProtection="0"/>
    <xf numFmtId="196" fontId="1"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198" fontId="1"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169" fontId="1" fillId="0" borderId="0" applyFont="0" applyFill="0" applyBorder="0" applyAlignment="0" applyProtection="0"/>
    <xf numFmtId="221" fontId="1" fillId="0" borderId="0" applyFont="0" applyFill="0" applyBorder="0" applyAlignment="0" applyProtection="0"/>
    <xf numFmtId="43" fontId="3" fillId="0" borderId="0" applyFont="0" applyFill="0" applyBorder="0" applyAlignment="0" applyProtection="0"/>
    <xf numFmtId="193" fontId="1" fillId="0" borderId="0" applyFont="0" applyFill="0" applyBorder="0" applyAlignment="0" applyProtection="0"/>
    <xf numFmtId="171" fontId="1" fillId="0" borderId="0" applyFont="0" applyFill="0" applyBorder="0" applyAlignment="0" applyProtection="0"/>
    <xf numFmtId="43" fontId="3" fillId="0" borderId="0" applyFont="0" applyFill="0" applyBorder="0" applyAlignment="0" applyProtection="0"/>
    <xf numFmtId="195" fontId="1" fillId="0" borderId="0" applyFont="0" applyFill="0" applyBorder="0" applyAlignment="0" applyProtection="0"/>
    <xf numFmtId="41" fontId="1" fillId="0" borderId="0" applyFont="0" applyFill="0" applyBorder="0" applyAlignment="0" applyProtection="0"/>
    <xf numFmtId="41" fontId="167" fillId="0" borderId="0" applyFont="0" applyFill="0" applyBorder="0" applyAlignment="0" applyProtection="0"/>
    <xf numFmtId="41" fontId="167" fillId="0" borderId="0" applyFont="0" applyFill="0" applyBorder="0" applyAlignment="0" applyProtection="0"/>
    <xf numFmtId="41" fontId="167" fillId="0" borderId="0" applyFont="0" applyFill="0" applyBorder="0" applyAlignment="0" applyProtection="0"/>
    <xf numFmtId="41" fontId="167" fillId="0" borderId="0" applyFont="0" applyFill="0" applyBorder="0" applyAlignment="0" applyProtection="0"/>
    <xf numFmtId="41" fontId="167" fillId="0" borderId="0" applyFont="0" applyFill="0" applyBorder="0" applyAlignment="0" applyProtection="0"/>
    <xf numFmtId="41" fontId="167" fillId="0" borderId="0" applyFont="0" applyFill="0" applyBorder="0" applyAlignment="0" applyProtection="0"/>
    <xf numFmtId="17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192" fontId="1"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204" fontId="3" fillId="0" borderId="0" applyFont="0" applyFill="0" applyBorder="0" applyAlignment="0" applyProtection="0"/>
    <xf numFmtId="205" fontId="3" fillId="0" borderId="0" applyFont="0" applyFill="0" applyBorder="0" applyAlignment="0" applyProtection="0"/>
    <xf numFmtId="205" fontId="3"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4" fontId="1" fillId="0" borderId="0" applyFont="0" applyFill="0" applyBorder="0" applyAlignment="0" applyProtection="0"/>
    <xf numFmtId="0" fontId="1" fillId="0" borderId="0"/>
    <xf numFmtId="43" fontId="167" fillId="0" borderId="0" applyFont="0" applyFill="0" applyBorder="0" applyAlignment="0" applyProtection="0"/>
    <xf numFmtId="0" fontId="1" fillId="0" borderId="0"/>
    <xf numFmtId="43" fontId="3"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0" fontId="278" fillId="0" borderId="0" applyNumberForma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0" borderId="0"/>
    <xf numFmtId="0" fontId="184" fillId="0" borderId="0" applyNumberFormat="0" applyFill="0" applyBorder="0" applyAlignment="0" applyProtection="0">
      <alignment vertical="top"/>
      <protection locked="0"/>
    </xf>
    <xf numFmtId="0" fontId="178" fillId="67" borderId="34" applyNumberFormat="0" applyAlignment="0" applyProtection="0"/>
    <xf numFmtId="9"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 fillId="0" borderId="0"/>
    <xf numFmtId="0" fontId="178" fillId="67" borderId="34" applyNumberFormat="0" applyAlignment="0" applyProtection="0"/>
    <xf numFmtId="0" fontId="178" fillId="67" borderId="34" applyNumberFormat="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178" fillId="67" borderId="34" applyNumberFormat="0" applyAlignment="0" applyProtection="0"/>
    <xf numFmtId="0" fontId="178" fillId="67" borderId="34" applyNumberFormat="0" applyAlignment="0" applyProtection="0"/>
    <xf numFmtId="9"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178" fillId="67" borderId="34" applyNumberFormat="0" applyAlignment="0" applyProtection="0"/>
    <xf numFmtId="0" fontId="14" fillId="0" borderId="67" applyNumberFormat="0" applyFill="0" applyProtection="0">
      <alignment wrapText="1"/>
    </xf>
    <xf numFmtId="0" fontId="14" fillId="0" borderId="67" applyNumberFormat="0" applyFill="0" applyProtection="0">
      <alignment horizontal="center" wrapText="1"/>
    </xf>
    <xf numFmtId="0" fontId="340" fillId="0" borderId="0" applyNumberFormat="0" applyFill="0" applyBorder="0" applyAlignment="0" applyProtection="0">
      <alignment vertical="top"/>
      <protection locked="0"/>
    </xf>
    <xf numFmtId="41" fontId="3" fillId="0" borderId="0" applyFont="0" applyFill="0" applyBorder="0" applyAlignment="0" applyProtection="0"/>
    <xf numFmtId="43" fontId="3" fillId="0" borderId="0" applyFont="0" applyFill="0" applyBorder="0" applyAlignment="0" applyProtection="0"/>
    <xf numFmtId="167" fontId="3" fillId="0" borderId="0" applyFont="0" applyFill="0" applyBorder="0" applyAlignment="0" applyProtection="0"/>
    <xf numFmtId="168" fontId="3" fillId="0" borderId="0" applyFont="0" applyFill="0" applyBorder="0" applyAlignment="0" applyProtection="0"/>
    <xf numFmtId="10" fontId="3" fillId="0" borderId="0" applyFill="0" applyBorder="0" applyAlignment="0" applyProtection="0"/>
    <xf numFmtId="0" fontId="152" fillId="0" borderId="67" applyNumberFormat="0" applyFill="0" applyProtection="0">
      <alignment horizontal="left" wrapText="1"/>
    </xf>
    <xf numFmtId="43" fontId="3" fillId="0" borderId="0" applyFont="0" applyFill="0" applyBorder="0" applyAlignment="0" applyProtection="0"/>
    <xf numFmtId="9" fontId="3" fillId="0" borderId="0" applyFont="0" applyFill="0" applyBorder="0" applyAlignment="0" applyProtection="0"/>
    <xf numFmtId="0" fontId="3" fillId="0" borderId="0"/>
    <xf numFmtId="0" fontId="178" fillId="67" borderId="34" applyNumberFormat="0" applyAlignment="0" applyProtection="0"/>
    <xf numFmtId="0" fontId="178" fillId="67" borderId="34" applyNumberFormat="0" applyAlignment="0" applyProtection="0"/>
    <xf numFmtId="9" fontId="3" fillId="0" borderId="0" applyFont="0" applyFill="0" applyBorder="0" applyAlignment="0" applyProtection="0"/>
    <xf numFmtId="43" fontId="3" fillId="0" borderId="0" applyFont="0" applyFill="0" applyBorder="0" applyAlignment="0" applyProtection="0"/>
    <xf numFmtId="0" fontId="178" fillId="67" borderId="34" applyNumberFormat="0" applyAlignment="0" applyProtection="0"/>
    <xf numFmtId="9" fontId="3" fillId="0" borderId="0" applyFont="0" applyFill="0" applyBorder="0" applyAlignment="0" applyProtection="0"/>
    <xf numFmtId="0" fontId="178" fillId="67" borderId="34" applyNumberFormat="0" applyAlignment="0" applyProtection="0"/>
    <xf numFmtId="9" fontId="3" fillId="0" borderId="0" applyFont="0" applyFill="0" applyBorder="0" applyAlignment="0" applyProtection="0"/>
    <xf numFmtId="0" fontId="178" fillId="67" borderId="34" applyNumberFormat="0" applyAlignment="0" applyProtection="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1" fillId="0" borderId="0"/>
    <xf numFmtId="166" fontId="1" fillId="0" borderId="0" applyFont="0" applyFill="0" applyBorder="0" applyAlignment="0" applyProtection="0"/>
    <xf numFmtId="9" fontId="1" fillId="0" borderId="0" applyFont="0" applyFill="0" applyBorder="0" applyAlignment="0" applyProtection="0"/>
    <xf numFmtId="166" fontId="3" fillId="0" borderId="0" applyFont="0" applyFill="0" applyBorder="0" applyAlignment="0" applyProtection="0"/>
    <xf numFmtId="291"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58" fontId="192" fillId="0" borderId="11"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166" fontId="3" fillId="0" borderId="0" applyFont="0" applyFill="0" applyBorder="0" applyAlignment="0" applyProtection="0"/>
    <xf numFmtId="0" fontId="1" fillId="0" borderId="0"/>
    <xf numFmtId="0" fontId="291" fillId="0" borderId="0" applyFont="0" applyFill="0" applyBorder="0" applyAlignment="0" applyProtection="0"/>
    <xf numFmtId="17" fontId="295" fillId="0" borderId="11" applyFont="0" applyFill="0" applyBorder="0" applyAlignment="0" applyProtection="0"/>
    <xf numFmtId="0" fontId="1" fillId="0" borderId="0"/>
    <xf numFmtId="0" fontId="1" fillId="0" borderId="0"/>
    <xf numFmtId="0" fontId="1" fillId="0" borderId="0"/>
    <xf numFmtId="166" fontId="3" fillId="0" borderId="0" applyFont="0" applyFill="0" applyBorder="0" applyAlignment="0" applyProtection="0"/>
    <xf numFmtId="0" fontId="178" fillId="67" borderId="34" applyNumberFormat="0" applyAlignment="0" applyProtection="0"/>
    <xf numFmtId="0" fontId="1" fillId="0" borderId="0"/>
    <xf numFmtId="0" fontId="1" fillId="0" borderId="0"/>
    <xf numFmtId="2" fontId="29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0" fillId="68" borderId="34"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0" fillId="68" borderId="34" applyNumberFormat="0" applyAlignment="0" applyProtection="0"/>
    <xf numFmtId="0" fontId="3" fillId="69" borderId="7" applyNumberFormat="0" applyFont="0" applyAlignment="0" applyProtection="0"/>
    <xf numFmtId="0" fontId="170" fillId="68" borderId="34" applyNumberFormat="0" applyAlignment="0" applyProtection="0"/>
    <xf numFmtId="0" fontId="181" fillId="68" borderId="41" applyNumberFormat="0" applyAlignment="0" applyProtection="0"/>
    <xf numFmtId="0" fontId="3" fillId="90" borderId="64"/>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0" fontId="1" fillId="0" borderId="0"/>
    <xf numFmtId="0" fontId="1" fillId="0" borderId="0"/>
    <xf numFmtId="0" fontId="1" fillId="0" borderId="0"/>
    <xf numFmtId="0" fontId="1" fillId="0" borderId="0"/>
    <xf numFmtId="44" fontId="12" fillId="0" borderId="0" applyFill="0" applyBorder="0" applyProtection="0">
      <alignment horizontal="right" wrapText="1"/>
    </xf>
    <xf numFmtId="44" fontId="14" fillId="0" borderId="0" applyFill="0" applyBorder="0" applyProtection="0">
      <alignment horizontal="right" wrapText="1"/>
    </xf>
    <xf numFmtId="292" fontId="12" fillId="0" borderId="0" applyFill="0" applyBorder="0" applyProtection="0">
      <alignment horizontal="right" wrapText="1"/>
    </xf>
    <xf numFmtId="292" fontId="14" fillId="0" borderId="0" applyFill="0" applyBorder="0" applyProtection="0">
      <alignment horizontal="right" wrapText="1"/>
    </xf>
    <xf numFmtId="44" fontId="312" fillId="0" borderId="0" applyFill="0" applyBorder="0" applyProtection="0">
      <alignment horizontal="right"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0" fillId="68" borderId="34" applyNumberFormat="0" applyAlignment="0" applyProtection="0"/>
    <xf numFmtId="0" fontId="1" fillId="0" borderId="0"/>
    <xf numFmtId="0" fontId="1" fillId="0" borderId="0"/>
    <xf numFmtId="166"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81" fillId="68" borderId="41" applyNumberFormat="0" applyAlignment="0" applyProtection="0"/>
    <xf numFmtId="0" fontId="1" fillId="0" borderId="0"/>
    <xf numFmtId="0" fontId="170" fillId="68" borderId="34" applyNumberFormat="0" applyAlignment="0" applyProtection="0"/>
    <xf numFmtId="166" fontId="3" fillId="0" borderId="0" applyFont="0" applyFill="0" applyBorder="0" applyAlignment="0" applyProtection="0"/>
    <xf numFmtId="0" fontId="1" fillId="0" borderId="0"/>
    <xf numFmtId="0" fontId="1" fillId="0" borderId="0"/>
    <xf numFmtId="0" fontId="1" fillId="0" borderId="0"/>
    <xf numFmtId="0" fontId="181" fillId="68" borderId="41" applyNumberFormat="0" applyAlignment="0" applyProtection="0"/>
    <xf numFmtId="166" fontId="167" fillId="0" borderId="0" applyFont="0" applyFill="0" applyBorder="0" applyAlignment="0" applyProtection="0"/>
    <xf numFmtId="0" fontId="170" fillId="68" borderId="34" applyNumberFormat="0" applyAlignment="0" applyProtection="0"/>
    <xf numFmtId="0" fontId="3" fillId="69" borderId="7" applyNumberFormat="0" applyFont="0" applyAlignment="0" applyProtection="0"/>
    <xf numFmtId="0" fontId="170" fillId="68" borderId="34" applyNumberFormat="0" applyAlignment="0" applyProtection="0"/>
    <xf numFmtId="0" fontId="3" fillId="69" borderId="7" applyNumberFormat="0" applyFont="0" applyAlignment="0" applyProtection="0"/>
    <xf numFmtId="0" fontId="178" fillId="67" borderId="34" applyNumberFormat="0" applyAlignment="0" applyProtection="0"/>
    <xf numFmtId="0" fontId="1" fillId="0" borderId="0"/>
    <xf numFmtId="0" fontId="1" fillId="0" borderId="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 fillId="0" borderId="0"/>
    <xf numFmtId="0" fontId="1" fillId="0" borderId="0"/>
    <xf numFmtId="0" fontId="1" fillId="0" borderId="0"/>
    <xf numFmtId="0" fontId="1" fillId="0" borderId="0"/>
    <xf numFmtId="0" fontId="178" fillId="67" borderId="34" applyNumberFormat="0" applyAlignment="0" applyProtection="0"/>
    <xf numFmtId="0" fontId="328" fillId="0" borderId="65" applyNumberFormat="0" applyFill="0" applyAlignment="0" applyProtection="0"/>
    <xf numFmtId="0" fontId="3" fillId="69" borderId="7" applyNumberFormat="0" applyFont="0" applyAlignment="0" applyProtection="0"/>
    <xf numFmtId="0" fontId="3" fillId="69" borderId="7" applyNumberFormat="0" applyFont="0" applyAlignment="0" applyProtection="0"/>
    <xf numFmtId="0" fontId="170" fillId="68" borderId="34" applyNumberFormat="0" applyAlignment="0" applyProtection="0"/>
    <xf numFmtId="166" fontId="167" fillId="0" borderId="0" applyFont="0" applyFill="0" applyBorder="0" applyAlignment="0" applyProtection="0"/>
    <xf numFmtId="0" fontId="181" fillId="68" borderId="41" applyNumberFormat="0" applyAlignment="0" applyProtection="0"/>
    <xf numFmtId="166" fontId="3" fillId="0" borderId="0" applyFont="0" applyFill="0" applyBorder="0" applyAlignment="0" applyProtection="0"/>
    <xf numFmtId="0" fontId="170" fillId="68" borderId="34" applyNumberFormat="0" applyAlignment="0" applyProtection="0"/>
    <xf numFmtId="166" fontId="1" fillId="0" borderId="0" applyFont="0" applyFill="0" applyBorder="0" applyAlignment="0" applyProtection="0"/>
    <xf numFmtId="0" fontId="181" fillId="68" borderId="41" applyNumberFormat="0" applyAlignment="0" applyProtection="0"/>
    <xf numFmtId="0" fontId="1" fillId="0" borderId="0"/>
    <xf numFmtId="0" fontId="1" fillId="0" borderId="0"/>
    <xf numFmtId="0" fontId="1" fillId="0" borderId="0"/>
    <xf numFmtId="0" fontId="1" fillId="0" borderId="0"/>
    <xf numFmtId="166" fontId="3" fillId="0" borderId="0" applyFont="0" applyFill="0" applyBorder="0" applyAlignment="0" applyProtection="0"/>
    <xf numFmtId="0" fontId="170" fillId="68" borderId="34" applyNumberFormat="0" applyAlignment="0" applyProtection="0"/>
    <xf numFmtId="0" fontId="1" fillId="0" borderId="0"/>
    <xf numFmtId="0" fontId="178" fillId="67" borderId="34" applyNumberFormat="0" applyAlignment="0" applyProtection="0"/>
    <xf numFmtId="0" fontId="1" fillId="0" borderId="0"/>
    <xf numFmtId="0" fontId="1" fillId="0" borderId="0"/>
    <xf numFmtId="0" fontId="181" fillId="68" borderId="41" applyNumberFormat="0" applyAlignment="0" applyProtection="0"/>
    <xf numFmtId="0" fontId="1" fillId="0" borderId="0"/>
    <xf numFmtId="0" fontId="1" fillId="0" borderId="0"/>
    <xf numFmtId="0" fontId="1" fillId="0" borderId="0"/>
    <xf numFmtId="0" fontId="1" fillId="0" borderId="0"/>
    <xf numFmtId="166" fontId="3" fillId="0" borderId="0" applyFont="0" applyFill="0" applyBorder="0" applyAlignment="0" applyProtection="0"/>
    <xf numFmtId="0" fontId="3" fillId="69" borderId="7" applyNumberFormat="0" applyFont="0" applyAlignment="0" applyProtection="0"/>
    <xf numFmtId="0" fontId="1" fillId="0" borderId="0"/>
    <xf numFmtId="0" fontId="1" fillId="0" borderId="0"/>
    <xf numFmtId="0" fontId="1" fillId="0" borderId="0"/>
    <xf numFmtId="0" fontId="181" fillId="68" borderId="41" applyNumberFormat="0" applyAlignment="0" applyProtection="0"/>
    <xf numFmtId="0" fontId="1" fillId="0" borderId="0"/>
    <xf numFmtId="0" fontId="1" fillId="0" borderId="0"/>
    <xf numFmtId="0" fontId="1" fillId="0" borderId="0"/>
    <xf numFmtId="0" fontId="1" fillId="0" borderId="0"/>
    <xf numFmtId="166" fontId="3" fillId="0" borderId="0" applyFont="0" applyFill="0" applyBorder="0" applyAlignment="0" applyProtection="0"/>
    <xf numFmtId="0" fontId="3" fillId="69" borderId="7" applyNumberFormat="0" applyFont="0" applyAlignment="0" applyProtection="0"/>
    <xf numFmtId="0" fontId="1" fillId="0" borderId="0"/>
    <xf numFmtId="0" fontId="1" fillId="0" borderId="0"/>
    <xf numFmtId="0" fontId="181" fillId="68" borderId="41" applyNumberFormat="0" applyAlignment="0" applyProtection="0"/>
    <xf numFmtId="0" fontId="1" fillId="0" borderId="0"/>
    <xf numFmtId="0" fontId="1" fillId="0" borderId="0"/>
    <xf numFmtId="0" fontId="1" fillId="0" borderId="0"/>
    <xf numFmtId="166" fontId="3" fillId="0" borderId="0" applyFont="0" applyFill="0" applyBorder="0" applyAlignment="0" applyProtection="0"/>
    <xf numFmtId="0" fontId="3" fillId="69" borderId="7"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1" fillId="68" borderId="41" applyNumberFormat="0" applyAlignment="0" applyProtection="0"/>
    <xf numFmtId="0" fontId="1" fillId="0" borderId="0"/>
    <xf numFmtId="0" fontId="170" fillId="68" borderId="34" applyNumberFormat="0" applyAlignment="0" applyProtection="0"/>
    <xf numFmtId="166" fontId="3" fillId="0" borderId="0" applyFont="0" applyFill="0" applyBorder="0" applyAlignment="0" applyProtection="0"/>
    <xf numFmtId="0" fontId="181" fillId="68" borderId="41" applyNumberFormat="0" applyAlignment="0" applyProtection="0"/>
    <xf numFmtId="0" fontId="1" fillId="0" borderId="0"/>
    <xf numFmtId="0" fontId="1" fillId="0" borderId="0"/>
    <xf numFmtId="0" fontId="170" fillId="68" borderId="34" applyNumberFormat="0" applyAlignment="0" applyProtection="0"/>
    <xf numFmtId="0" fontId="3" fillId="69" borderId="7" applyNumberFormat="0" applyFont="0" applyAlignment="0" applyProtection="0"/>
    <xf numFmtId="0" fontId="170" fillId="68" borderId="34" applyNumberFormat="0" applyAlignment="0" applyProtection="0"/>
    <xf numFmtId="0" fontId="3" fillId="69" borderId="7" applyNumberFormat="0" applyFont="0" applyAlignment="0" applyProtection="0"/>
    <xf numFmtId="0" fontId="3" fillId="69" borderId="7" applyNumberFormat="0" applyFont="0" applyAlignment="0" applyProtection="0"/>
    <xf numFmtId="0" fontId="1" fillId="0" borderId="0"/>
    <xf numFmtId="166" fontId="1" fillId="0" borderId="0" applyFont="0" applyFill="0" applyBorder="0" applyAlignment="0" applyProtection="0"/>
    <xf numFmtId="0" fontId="1" fillId="0" borderId="0"/>
    <xf numFmtId="0" fontId="1" fillId="0" borderId="0"/>
    <xf numFmtId="0" fontId="1" fillId="0" borderId="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 fillId="0" borderId="0"/>
    <xf numFmtId="0" fontId="1" fillId="0" borderId="0"/>
    <xf numFmtId="0" fontId="1" fillId="0" borderId="0"/>
    <xf numFmtId="0" fontId="1" fillId="0" borderId="0"/>
    <xf numFmtId="0" fontId="1" fillId="0" borderId="0"/>
    <xf numFmtId="0" fontId="3" fillId="69" borderId="7" applyNumberFormat="0" applyFont="0" applyAlignment="0" applyProtection="0"/>
    <xf numFmtId="0" fontId="3" fillId="69" borderId="7" applyNumberFormat="0" applyFont="0" applyAlignment="0" applyProtection="0"/>
    <xf numFmtId="0" fontId="170" fillId="68" borderId="34" applyNumberFormat="0" applyAlignment="0" applyProtection="0"/>
    <xf numFmtId="0" fontId="181" fillId="68" borderId="41" applyNumberFormat="0" applyAlignment="0" applyProtection="0"/>
    <xf numFmtId="166" fontId="3" fillId="0" borderId="0" applyFont="0" applyFill="0" applyBorder="0" applyAlignment="0" applyProtection="0"/>
    <xf numFmtId="0" fontId="170" fillId="68" borderId="34" applyNumberFormat="0" applyAlignment="0" applyProtection="0"/>
    <xf numFmtId="0" fontId="181" fillId="68" borderId="41" applyNumberFormat="0" applyAlignment="0" applyProtection="0"/>
    <xf numFmtId="0" fontId="1" fillId="0" borderId="0"/>
    <xf numFmtId="0" fontId="1" fillId="0" borderId="0"/>
    <xf numFmtId="0" fontId="1" fillId="0" borderId="0"/>
    <xf numFmtId="166" fontId="3" fillId="0" borderId="0" applyFont="0" applyFill="0" applyBorder="0" applyAlignment="0" applyProtection="0"/>
    <xf numFmtId="0" fontId="1" fillId="0" borderId="0"/>
    <xf numFmtId="0" fontId="1" fillId="0" borderId="0"/>
    <xf numFmtId="0" fontId="1" fillId="0" borderId="0"/>
    <xf numFmtId="0" fontId="1" fillId="0" borderId="0"/>
    <xf numFmtId="0" fontId="181" fillId="68" borderId="41" applyNumberFormat="0" applyAlignment="0" applyProtection="0"/>
    <xf numFmtId="0" fontId="1" fillId="0" borderId="0"/>
    <xf numFmtId="0" fontId="1" fillId="0" borderId="0"/>
    <xf numFmtId="166" fontId="3" fillId="0" borderId="0" applyFont="0" applyFill="0" applyBorder="0" applyAlignment="0" applyProtection="0"/>
    <xf numFmtId="0" fontId="3" fillId="69" borderId="7" applyNumberFormat="0" applyFont="0" applyAlignment="0" applyProtection="0"/>
    <xf numFmtId="166"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6" fontId="3" fillId="0" borderId="0" applyFont="0" applyFill="0" applyBorder="0" applyAlignment="0" applyProtection="0"/>
    <xf numFmtId="0" fontId="181" fillId="68" borderId="41" applyNumberFormat="0" applyAlignment="0" applyProtection="0"/>
    <xf numFmtId="0" fontId="1" fillId="0" borderId="0"/>
    <xf numFmtId="0" fontId="1" fillId="0" borderId="0"/>
    <xf numFmtId="0" fontId="170" fillId="68" borderId="34" applyNumberFormat="0" applyAlignment="0" applyProtection="0"/>
    <xf numFmtId="0" fontId="178" fillId="67" borderId="34" applyNumberFormat="0" applyAlignment="0" applyProtection="0"/>
    <xf numFmtId="0" fontId="3" fillId="69" borderId="7" applyNumberFormat="0" applyFont="0" applyAlignment="0" applyProtection="0"/>
    <xf numFmtId="0" fontId="178" fillId="67" borderId="34" applyNumberFormat="0" applyAlignment="0" applyProtection="0"/>
    <xf numFmtId="0" fontId="178" fillId="67" borderId="34" applyNumberFormat="0" applyAlignment="0" applyProtection="0"/>
    <xf numFmtId="0" fontId="3" fillId="69" borderId="7" applyNumberFormat="0" applyFont="0" applyAlignment="0" applyProtection="0"/>
    <xf numFmtId="0" fontId="178" fillId="67" borderId="34" applyNumberFormat="0" applyAlignment="0" applyProtection="0"/>
    <xf numFmtId="0" fontId="170" fillId="68" borderId="34" applyNumberFormat="0" applyAlignment="0" applyProtection="0"/>
    <xf numFmtId="0" fontId="181" fillId="68" borderId="41" applyNumberFormat="0" applyAlignment="0" applyProtection="0"/>
    <xf numFmtId="166"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6" fontId="167" fillId="0" borderId="0" applyFont="0" applyFill="0" applyBorder="0" applyAlignment="0" applyProtection="0"/>
    <xf numFmtId="166" fontId="3" fillId="0" borderId="0" applyFont="0" applyFill="0" applyBorder="0" applyAlignment="0" applyProtection="0"/>
    <xf numFmtId="166" fontId="325" fillId="0" borderId="0" applyFont="0" applyFill="0" applyBorder="0" applyAlignment="0" applyProtection="0"/>
    <xf numFmtId="0" fontId="1" fillId="0" borderId="0"/>
    <xf numFmtId="0" fontId="1" fillId="39" borderId="0" applyNumberFormat="0" applyBorder="0" applyAlignment="0" applyProtection="0"/>
    <xf numFmtId="0" fontId="1" fillId="40"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0" borderId="0"/>
    <xf numFmtId="0" fontId="1" fillId="55" borderId="0" applyNumberFormat="0" applyBorder="0" applyAlignment="0" applyProtection="0"/>
    <xf numFmtId="0" fontId="1" fillId="56" borderId="0" applyNumberFormat="0" applyBorder="0" applyAlignment="0" applyProtection="0"/>
    <xf numFmtId="0" fontId="1" fillId="59" borderId="0" applyNumberFormat="0" applyBorder="0" applyAlignment="0" applyProtection="0"/>
    <xf numFmtId="0" fontId="1" fillId="60" borderId="0" applyNumberFormat="0" applyBorder="0" applyAlignment="0" applyProtection="0"/>
    <xf numFmtId="166" fontId="325" fillId="0" borderId="0" applyFont="0" applyFill="0" applyBorder="0" applyAlignment="0" applyProtection="0"/>
    <xf numFmtId="166" fontId="3" fillId="0" borderId="0" applyFont="0" applyFill="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0" borderId="0"/>
    <xf numFmtId="0" fontId="1" fillId="39" borderId="0" applyNumberFormat="0" applyBorder="0" applyAlignment="0" applyProtection="0"/>
    <xf numFmtId="0" fontId="1" fillId="0" borderId="0"/>
    <xf numFmtId="0" fontId="1" fillId="39" borderId="0" applyNumberFormat="0" applyBorder="0" applyAlignment="0" applyProtection="0"/>
    <xf numFmtId="0" fontId="1" fillId="39" borderId="0" applyNumberFormat="0" applyBorder="0" applyAlignment="0" applyProtection="0"/>
    <xf numFmtId="0" fontId="1" fillId="0" borderId="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43" borderId="0" applyNumberFormat="0" applyBorder="0" applyAlignment="0" applyProtection="0"/>
    <xf numFmtId="0" fontId="1" fillId="0" borderId="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7" borderId="0" applyNumberFormat="0" applyBorder="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0" borderId="0"/>
    <xf numFmtId="0" fontId="1" fillId="0" borderId="0"/>
    <xf numFmtId="0" fontId="1" fillId="47" borderId="0" applyNumberFormat="0" applyBorder="0" applyAlignment="0" applyProtection="0"/>
    <xf numFmtId="0" fontId="1" fillId="47" borderId="0" applyNumberFormat="0" applyBorder="0" applyAlignment="0" applyProtection="0"/>
    <xf numFmtId="0" fontId="170" fillId="68" borderId="34" applyNumberFormat="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0" borderId="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0" borderId="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0" borderId="0"/>
    <xf numFmtId="0" fontId="1" fillId="59" borderId="0" applyNumberFormat="0" applyBorder="0" applyAlignment="0" applyProtection="0"/>
    <xf numFmtId="0" fontId="1" fillId="0" borderId="0"/>
    <xf numFmtId="0" fontId="1" fillId="0" borderId="0"/>
    <xf numFmtId="0" fontId="1" fillId="0" borderId="0"/>
    <xf numFmtId="0" fontId="1" fillId="59" borderId="0" applyNumberFormat="0" applyBorder="0" applyAlignment="0" applyProtection="0"/>
    <xf numFmtId="0" fontId="1" fillId="59" borderId="0" applyNumberFormat="0" applyBorder="0" applyAlignment="0" applyProtection="0"/>
    <xf numFmtId="0" fontId="1" fillId="0" borderId="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0" borderId="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0" borderId="0"/>
    <xf numFmtId="0" fontId="1" fillId="59" borderId="0" applyNumberFormat="0" applyBorder="0" applyAlignment="0" applyProtection="0"/>
    <xf numFmtId="0" fontId="1" fillId="40" borderId="0" applyNumberFormat="0" applyBorder="0" applyAlignment="0" applyProtection="0"/>
    <xf numFmtId="0" fontId="1" fillId="0" borderId="0"/>
    <xf numFmtId="0" fontId="1" fillId="40" borderId="0" applyNumberFormat="0" applyBorder="0" applyAlignment="0" applyProtection="0"/>
    <xf numFmtId="0" fontId="1" fillId="0" borderId="0"/>
    <xf numFmtId="0" fontId="1" fillId="40" borderId="0" applyNumberFormat="0" applyBorder="0" applyAlignment="0" applyProtection="0"/>
    <xf numFmtId="0" fontId="1" fillId="0" borderId="0"/>
    <xf numFmtId="0" fontId="1" fillId="40" borderId="0" applyNumberFormat="0" applyBorder="0" applyAlignment="0" applyProtection="0"/>
    <xf numFmtId="0" fontId="1" fillId="0" borderId="0"/>
    <xf numFmtId="0" fontId="1" fillId="0" borderId="0"/>
    <xf numFmtId="0" fontId="1" fillId="0" borderId="0"/>
    <xf numFmtId="0" fontId="1" fillId="40" borderId="0" applyNumberFormat="0" applyBorder="0" applyAlignment="0" applyProtection="0"/>
    <xf numFmtId="0" fontId="1" fillId="40" borderId="0" applyNumberFormat="0" applyBorder="0" applyAlignment="0" applyProtection="0"/>
    <xf numFmtId="0" fontId="1" fillId="0" borderId="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0" borderId="0"/>
    <xf numFmtId="0" fontId="1" fillId="0" borderId="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0" borderId="0"/>
    <xf numFmtId="0" fontId="1" fillId="40" borderId="0" applyNumberFormat="0" applyBorder="0" applyAlignment="0" applyProtection="0"/>
    <xf numFmtId="0" fontId="1" fillId="44" borderId="0" applyNumberFormat="0" applyBorder="0" applyAlignment="0" applyProtection="0"/>
    <xf numFmtId="0" fontId="1" fillId="0" borderId="0"/>
    <xf numFmtId="0" fontId="1" fillId="44" borderId="0" applyNumberFormat="0" applyBorder="0" applyAlignment="0" applyProtection="0"/>
    <xf numFmtId="0" fontId="1" fillId="0" borderId="0"/>
    <xf numFmtId="0" fontId="1" fillId="44" borderId="0" applyNumberFormat="0" applyBorder="0" applyAlignment="0" applyProtection="0"/>
    <xf numFmtId="0" fontId="1" fillId="0" borderId="0"/>
    <xf numFmtId="0" fontId="1" fillId="44" borderId="0" applyNumberFormat="0" applyBorder="0" applyAlignment="0" applyProtection="0"/>
    <xf numFmtId="0" fontId="1" fillId="0" borderId="0"/>
    <xf numFmtId="0" fontId="1" fillId="0" borderId="0"/>
    <xf numFmtId="0" fontId="1" fillId="0" borderId="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0" borderId="0"/>
    <xf numFmtId="0" fontId="1" fillId="0" borderId="0"/>
    <xf numFmtId="0" fontId="1" fillId="0" borderId="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0" borderId="0"/>
    <xf numFmtId="0" fontId="1" fillId="44"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0" borderId="0"/>
    <xf numFmtId="0" fontId="1" fillId="48" borderId="0" applyNumberFormat="0" applyBorder="0" applyAlignment="0" applyProtection="0"/>
    <xf numFmtId="0" fontId="1" fillId="48" borderId="0" applyNumberFormat="0" applyBorder="0" applyAlignment="0" applyProtection="0"/>
    <xf numFmtId="0" fontId="1" fillId="0" borderId="0"/>
    <xf numFmtId="0" fontId="1" fillId="0" borderId="0"/>
    <xf numFmtId="0" fontId="1" fillId="48" borderId="0" applyNumberFormat="0" applyBorder="0" applyAlignment="0" applyProtection="0"/>
    <xf numFmtId="0" fontId="1" fillId="48" borderId="0" applyNumberFormat="0" applyBorder="0" applyAlignment="0" applyProtection="0"/>
    <xf numFmtId="0" fontId="1" fillId="0" borderId="0"/>
    <xf numFmtId="0" fontId="1" fillId="0" borderId="0"/>
    <xf numFmtId="0" fontId="1" fillId="0" borderId="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0" borderId="0"/>
    <xf numFmtId="0" fontId="1" fillId="48" borderId="0" applyNumberFormat="0" applyBorder="0" applyAlignment="0" applyProtection="0"/>
    <xf numFmtId="0" fontId="1" fillId="52" borderId="0" applyNumberFormat="0" applyBorder="0" applyAlignment="0" applyProtection="0"/>
    <xf numFmtId="0" fontId="1" fillId="0" borderId="0"/>
    <xf numFmtId="0" fontId="1" fillId="52" borderId="0" applyNumberFormat="0" applyBorder="0" applyAlignment="0" applyProtection="0"/>
    <xf numFmtId="0" fontId="1" fillId="0" borderId="0"/>
    <xf numFmtId="0" fontId="1" fillId="52" borderId="0" applyNumberFormat="0" applyBorder="0" applyAlignment="0" applyProtection="0"/>
    <xf numFmtId="0" fontId="1" fillId="52" borderId="0" applyNumberFormat="0" applyBorder="0" applyAlignment="0" applyProtection="0"/>
    <xf numFmtId="0" fontId="1" fillId="0" borderId="0"/>
    <xf numFmtId="0" fontId="1" fillId="0" borderId="0"/>
    <xf numFmtId="0" fontId="1" fillId="52" borderId="0" applyNumberFormat="0" applyBorder="0" applyAlignment="0" applyProtection="0"/>
    <xf numFmtId="0" fontId="1" fillId="52" borderId="0" applyNumberFormat="0" applyBorder="0" applyAlignment="0" applyProtection="0"/>
    <xf numFmtId="0" fontId="1" fillId="0" borderId="0"/>
    <xf numFmtId="0" fontId="1" fillId="0" borderId="0"/>
    <xf numFmtId="0" fontId="1" fillId="0" borderId="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0" borderId="0"/>
    <xf numFmtId="0" fontId="1" fillId="52"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78" fillId="67" borderId="34" applyNumberFormat="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20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0" fillId="68" borderId="34" applyNumberFormat="0" applyAlignment="0" applyProtection="0"/>
    <xf numFmtId="0" fontId="170" fillId="68" borderId="34" applyNumberFormat="0" applyAlignment="0" applyProtection="0"/>
    <xf numFmtId="2" fontId="291" fillId="0" borderId="0" applyFont="0" applyFill="0" applyBorder="0" applyAlignment="0" applyProtection="0"/>
    <xf numFmtId="0" fontId="3" fillId="69" borderId="7" applyNumberFormat="0" applyFont="0" applyAlignment="0" applyProtection="0"/>
    <xf numFmtId="166" fontId="3" fillId="0" borderId="0" applyFont="0" applyFill="0" applyBorder="0" applyAlignment="0" applyProtection="0"/>
    <xf numFmtId="166" fontId="3" fillId="0" borderId="0" applyFont="0" applyFill="0" applyBorder="0" applyAlignment="0" applyProtection="0"/>
    <xf numFmtId="166" fontId="96"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0" fontId="178" fillId="67" borderId="34" applyNumberFormat="0" applyAlignment="0" applyProtection="0"/>
    <xf numFmtId="0" fontId="170" fillId="68" borderId="34" applyNumberFormat="0" applyAlignment="0" applyProtection="0"/>
    <xf numFmtId="0" fontId="1" fillId="0" borderId="0"/>
    <xf numFmtId="0" fontId="1" fillId="0" borderId="0"/>
    <xf numFmtId="0" fontId="1" fillId="0" borderId="0"/>
    <xf numFmtId="0" fontId="1" fillId="0" borderId="0"/>
    <xf numFmtId="0" fontId="1" fillId="0" borderId="0"/>
    <xf numFmtId="0" fontId="178" fillId="67" borderId="34" applyNumberFormat="0" applyAlignment="0" applyProtection="0"/>
    <xf numFmtId="9" fontId="1" fillId="0" borderId="0" applyFont="0" applyFill="0" applyBorder="0" applyAlignment="0" applyProtection="0"/>
    <xf numFmtId="0" fontId="1" fillId="0" borderId="0"/>
    <xf numFmtId="0" fontId="167" fillId="69" borderId="7" applyNumberFormat="0" applyFont="0" applyAlignment="0" applyProtection="0"/>
    <xf numFmtId="0" fontId="1" fillId="0" borderId="0"/>
    <xf numFmtId="0" fontId="1" fillId="0" borderId="0"/>
    <xf numFmtId="0" fontId="1" fillId="0" borderId="0"/>
    <xf numFmtId="166" fontId="3" fillId="0" borderId="0" applyFont="0" applyFill="0" applyBorder="0" applyAlignment="0" applyProtection="0"/>
    <xf numFmtId="0" fontId="1" fillId="0" borderId="0"/>
    <xf numFmtId="0" fontId="14" fillId="0" borderId="44" applyNumberFormat="0" applyFill="0" applyProtection="0">
      <alignment wrapText="1"/>
    </xf>
    <xf numFmtId="0" fontId="1" fillId="0" borderId="0"/>
    <xf numFmtId="0" fontId="1" fillId="0" borderId="0"/>
    <xf numFmtId="0" fontId="1" fillId="0" borderId="0"/>
    <xf numFmtId="0" fontId="1" fillId="0" borderId="0"/>
    <xf numFmtId="0" fontId="14" fillId="0" borderId="44" applyNumberFormat="0" applyFill="0" applyProtection="0">
      <alignment horizontal="center" wrapText="1"/>
    </xf>
    <xf numFmtId="0" fontId="1" fillId="0" borderId="0"/>
    <xf numFmtId="0" fontId="1" fillId="0" borderId="0"/>
    <xf numFmtId="0" fontId="170" fillId="68"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 fillId="0" borderId="0"/>
    <xf numFmtId="0" fontId="1" fillId="0" borderId="0"/>
    <xf numFmtId="0" fontId="178" fillId="67" borderId="34" applyNumberFormat="0" applyAlignment="0" applyProtection="0"/>
    <xf numFmtId="0" fontId="1" fillId="0" borderId="0"/>
    <xf numFmtId="0" fontId="1" fillId="0" borderId="0"/>
    <xf numFmtId="0" fontId="1" fillId="0" borderId="0"/>
    <xf numFmtId="0" fontId="181" fillId="68" borderId="41"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70" fillId="68" borderId="34"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7" fillId="69" borderId="7" applyNumberFormat="0" applyFont="0" applyAlignment="0" applyProtection="0"/>
    <xf numFmtId="0" fontId="1" fillId="37" borderId="32" applyNumberFormat="0" applyFont="0" applyAlignment="0" applyProtection="0"/>
    <xf numFmtId="0" fontId="167" fillId="69" borderId="7" applyNumberFormat="0" applyFont="0" applyAlignment="0" applyProtection="0"/>
    <xf numFmtId="0" fontId="1" fillId="37" borderId="32" applyNumberFormat="0" applyFont="0" applyAlignment="0" applyProtection="0"/>
    <xf numFmtId="0" fontId="167" fillId="69" borderId="7" applyNumberFormat="0" applyFont="0" applyAlignment="0" applyProtection="0"/>
    <xf numFmtId="0" fontId="1" fillId="37" borderId="32" applyNumberFormat="0" applyFont="0" applyAlignment="0" applyProtection="0"/>
    <xf numFmtId="0" fontId="167" fillId="69" borderId="7" applyNumberFormat="0" applyFont="0" applyAlignment="0" applyProtection="0"/>
    <xf numFmtId="0" fontId="1" fillId="37" borderId="32"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1" fillId="37" borderId="32" applyNumberFormat="0" applyFont="0" applyAlignment="0" applyProtection="0"/>
    <xf numFmtId="0" fontId="1" fillId="37" borderId="32"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1" fillId="37" borderId="32" applyNumberFormat="0" applyFont="0" applyAlignment="0" applyProtection="0"/>
    <xf numFmtId="0" fontId="1" fillId="37" borderId="32" applyNumberFormat="0" applyFont="0" applyAlignment="0" applyProtection="0"/>
    <xf numFmtId="0" fontId="1" fillId="37" borderId="32"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1" fillId="37" borderId="32" applyNumberFormat="0" applyFont="0" applyAlignment="0" applyProtection="0"/>
    <xf numFmtId="0" fontId="1" fillId="37" borderId="32" applyNumberFormat="0" applyFont="0" applyAlignment="0" applyProtection="0"/>
    <xf numFmtId="0" fontId="1" fillId="37" borderId="32" applyNumberFormat="0" applyFont="0" applyAlignment="0" applyProtection="0"/>
    <xf numFmtId="0" fontId="1" fillId="37" borderId="32" applyNumberFormat="0" applyFont="0" applyAlignment="0" applyProtection="0"/>
    <xf numFmtId="0" fontId="1" fillId="37" borderId="32" applyNumberFormat="0" applyFont="0" applyAlignment="0" applyProtection="0"/>
    <xf numFmtId="0" fontId="1" fillId="37" borderId="32" applyNumberFormat="0" applyFont="0" applyAlignment="0" applyProtection="0"/>
    <xf numFmtId="0" fontId="1" fillId="37" borderId="32" applyNumberFormat="0" applyFont="0" applyAlignment="0" applyProtection="0"/>
    <xf numFmtId="0" fontId="1" fillId="37" borderId="32" applyNumberFormat="0" applyFont="0" applyAlignment="0" applyProtection="0"/>
    <xf numFmtId="0" fontId="1" fillId="37" borderId="32" applyNumberFormat="0" applyFont="0" applyAlignment="0" applyProtection="0"/>
    <xf numFmtId="0" fontId="1" fillId="37" borderId="32" applyNumberFormat="0" applyFont="0" applyAlignment="0" applyProtection="0"/>
    <xf numFmtId="0" fontId="1" fillId="37" borderId="32" applyNumberFormat="0" applyFont="0" applyAlignment="0" applyProtection="0"/>
    <xf numFmtId="0" fontId="167" fillId="69" borderId="7" applyNumberFormat="0" applyFont="0" applyAlignment="0" applyProtection="0"/>
    <xf numFmtId="0" fontId="1" fillId="37" borderId="32" applyNumberFormat="0" applyFont="0" applyAlignment="0" applyProtection="0"/>
    <xf numFmtId="0" fontId="1" fillId="0" borderId="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0" fontId="170" fillId="84" borderId="34" applyNumberFormat="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166" fontId="1" fillId="0" borderId="0" applyFont="0" applyFill="0" applyBorder="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0" fontId="1" fillId="0" borderId="0"/>
    <xf numFmtId="0" fontId="181" fillId="68" borderId="41" applyNumberFormat="0" applyAlignment="0" applyProtection="0"/>
    <xf numFmtId="166" fontId="3" fillId="0" borderId="0" applyFont="0" applyFill="0" applyBorder="0" applyAlignment="0" applyProtection="0"/>
    <xf numFmtId="166"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78" fillId="67" borderId="34"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29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1" fillId="0" borderId="0" applyFont="0" applyFill="0" applyBorder="0" applyAlignment="0" applyProtection="0"/>
    <xf numFmtId="0" fontId="1" fillId="0" borderId="0"/>
    <xf numFmtId="0" fontId="1" fillId="39" borderId="0" applyNumberFormat="0" applyBorder="0" applyAlignment="0" applyProtection="0"/>
    <xf numFmtId="0" fontId="1" fillId="39"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78" fillId="67" borderId="34" applyNumberFormat="0" applyAlignment="0" applyProtection="0"/>
    <xf numFmtId="166" fontId="1" fillId="0" borderId="0" applyFont="0" applyFill="0" applyBorder="0" applyAlignment="0" applyProtection="0"/>
    <xf numFmtId="0" fontId="181" fillId="68" borderId="41" applyNumberFormat="0" applyAlignment="0" applyProtection="0"/>
    <xf numFmtId="0" fontId="1" fillId="0" borderId="0"/>
    <xf numFmtId="0" fontId="1" fillId="0" borderId="0"/>
    <xf numFmtId="0" fontId="1" fillId="0" borderId="0"/>
    <xf numFmtId="0" fontId="1" fillId="0" borderId="0"/>
    <xf numFmtId="0" fontId="1" fillId="0" borderId="0"/>
    <xf numFmtId="0" fontId="167" fillId="69" borderId="7" applyNumberFormat="0" applyFont="0" applyAlignment="0" applyProtection="0"/>
    <xf numFmtId="0" fontId="1" fillId="37" borderId="32" applyNumberFormat="0" applyFont="0" applyAlignment="0" applyProtection="0"/>
    <xf numFmtId="0" fontId="1" fillId="37" borderId="32" applyNumberFormat="0" applyFont="0" applyAlignment="0" applyProtection="0"/>
    <xf numFmtId="166" fontId="3" fillId="0" borderId="0" applyFont="0" applyFill="0" applyBorder="0" applyAlignment="0" applyProtection="0"/>
    <xf numFmtId="0" fontId="1" fillId="0" borderId="0"/>
    <xf numFmtId="0" fontId="1" fillId="0" borderId="0"/>
    <xf numFmtId="0" fontId="1" fillId="0" borderId="0"/>
    <xf numFmtId="166" fontId="1" fillId="0" borderId="0" applyFont="0" applyFill="0" applyBorder="0" applyAlignment="0" applyProtection="0"/>
    <xf numFmtId="0" fontId="1" fillId="37" borderId="32" applyNumberFormat="0" applyFont="0" applyAlignment="0" applyProtection="0"/>
    <xf numFmtId="166" fontId="96" fillId="0" borderId="0" applyFont="0" applyFill="0" applyBorder="0" applyAlignment="0" applyProtection="0"/>
    <xf numFmtId="0" fontId="167" fillId="69" borderId="7"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8" fillId="67" borderId="34"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291" fillId="0" borderId="0" applyFont="0" applyFill="0" applyBorder="0" applyAlignment="0" applyProtection="0"/>
    <xf numFmtId="0" fontId="167" fillId="69" borderId="7" applyNumberFormat="0" applyFont="0" applyAlignment="0" applyProtection="0"/>
    <xf numFmtId="0" fontId="178" fillId="67" borderId="34" applyNumberFormat="0" applyAlignment="0" applyProtection="0"/>
    <xf numFmtId="2" fontId="291" fillId="0" borderId="0" applyFont="0" applyFill="0" applyBorder="0" applyAlignment="0" applyProtection="0"/>
    <xf numFmtId="0" fontId="29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6" fontId="3" fillId="0" borderId="0" applyFont="0" applyFill="0" applyBorder="0" applyAlignment="0" applyProtection="0"/>
    <xf numFmtId="0" fontId="178" fillId="67" borderId="34" applyNumberFormat="0" applyAlignment="0" applyProtection="0"/>
    <xf numFmtId="0" fontId="170" fillId="68" borderId="34"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0" fillId="68" borderId="34"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74" borderId="7" applyNumberFormat="0" applyFont="0" applyAlignment="0" applyProtection="0"/>
    <xf numFmtId="0" fontId="3" fillId="74" borderId="7" applyNumberFormat="0" applyFont="0" applyAlignment="0" applyProtection="0"/>
    <xf numFmtId="0" fontId="3" fillId="74" borderId="7" applyNumberFormat="0" applyFont="0" applyAlignment="0" applyProtection="0"/>
    <xf numFmtId="0" fontId="3" fillId="74" borderId="7" applyNumberFormat="0" applyFont="0" applyAlignment="0" applyProtection="0"/>
    <xf numFmtId="0" fontId="3" fillId="74" borderId="7" applyNumberFormat="0" applyFont="0" applyAlignment="0" applyProtection="0"/>
    <xf numFmtId="0" fontId="3" fillId="74" borderId="7" applyNumberFormat="0" applyFont="0" applyAlignment="0" applyProtection="0"/>
    <xf numFmtId="0" fontId="3" fillId="69" borderId="7" applyNumberFormat="0" applyFont="0" applyAlignment="0" applyProtection="0"/>
    <xf numFmtId="0" fontId="3" fillId="69" borderId="7" applyNumberFormat="0" applyFont="0" applyAlignment="0" applyProtection="0"/>
    <xf numFmtId="0" fontId="3" fillId="69" borderId="7" applyNumberFormat="0" applyFont="0" applyAlignment="0" applyProtection="0"/>
    <xf numFmtId="0" fontId="167" fillId="69" borderId="7" applyNumberFormat="0" applyFont="0" applyAlignment="0" applyProtection="0"/>
    <xf numFmtId="0" fontId="3" fillId="69" borderId="7" applyNumberFormat="0" applyFont="0" applyAlignment="0" applyProtection="0"/>
    <xf numFmtId="0" fontId="3" fillId="69" borderId="7" applyNumberFormat="0" applyFont="0" applyAlignment="0" applyProtection="0"/>
    <xf numFmtId="0" fontId="167" fillId="69" borderId="7" applyNumberFormat="0" applyFont="0" applyAlignment="0" applyProtection="0"/>
    <xf numFmtId="0" fontId="3"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3" fillId="69" borderId="7" applyNumberFormat="0" applyFont="0" applyAlignment="0" applyProtection="0"/>
    <xf numFmtId="0" fontId="3" fillId="69" borderId="7" applyNumberFormat="0" applyFont="0" applyAlignment="0" applyProtection="0"/>
    <xf numFmtId="0" fontId="167" fillId="69" borderId="7" applyNumberFormat="0" applyFont="0" applyAlignment="0" applyProtection="0"/>
    <xf numFmtId="0" fontId="3"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3" fillId="69" borderId="7" applyNumberFormat="0" applyFont="0" applyAlignment="0" applyProtection="0"/>
    <xf numFmtId="0" fontId="3" fillId="69" borderId="7" applyNumberFormat="0" applyFont="0" applyAlignment="0" applyProtection="0"/>
    <xf numFmtId="0" fontId="167" fillId="69" borderId="7" applyNumberFormat="0" applyFont="0" applyAlignment="0" applyProtection="0"/>
    <xf numFmtId="0" fontId="3"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3" fillId="69" borderId="7" applyNumberFormat="0" applyFont="0" applyAlignment="0" applyProtection="0"/>
    <xf numFmtId="0" fontId="3" fillId="69" borderId="7"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6" fontId="207"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89"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89"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92" fontId="1" fillId="0" borderId="0" applyFont="0" applyFill="0" applyBorder="0" applyAlignment="0" applyProtection="0"/>
    <xf numFmtId="166" fontId="237" fillId="0" borderId="0" applyFont="0" applyFill="0" applyBorder="0" applyAlignment="0" applyProtection="0"/>
    <xf numFmtId="166" fontId="237" fillId="0" borderId="0" applyFont="0" applyFill="0" applyBorder="0" applyAlignment="0" applyProtection="0"/>
    <xf numFmtId="166" fontId="237"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237"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23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3"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69" fontId="1" fillId="0" borderId="0" applyFont="0" applyFill="0" applyBorder="0" applyAlignment="0" applyProtection="0"/>
    <xf numFmtId="19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98"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9" fontId="1" fillId="0" borderId="0" applyFont="0" applyFill="0" applyBorder="0" applyAlignment="0" applyProtection="0"/>
    <xf numFmtId="221" fontId="1" fillId="0" borderId="0" applyFont="0" applyFill="0" applyBorder="0" applyAlignment="0" applyProtection="0"/>
    <xf numFmtId="166" fontId="3" fillId="0" borderId="0" applyFont="0" applyFill="0" applyBorder="0" applyAlignment="0" applyProtection="0"/>
    <xf numFmtId="193" fontId="1" fillId="0" borderId="0" applyFont="0" applyFill="0" applyBorder="0" applyAlignment="0" applyProtection="0"/>
    <xf numFmtId="171" fontId="1" fillId="0" borderId="0" applyFont="0" applyFill="0" applyBorder="0" applyAlignment="0" applyProtection="0"/>
    <xf numFmtId="166" fontId="3" fillId="0" borderId="0" applyFont="0" applyFill="0" applyBorder="0" applyAlignment="0" applyProtection="0"/>
    <xf numFmtId="195" fontId="1" fillId="0" borderId="0" applyFont="0" applyFill="0" applyBorder="0" applyAlignment="0" applyProtection="0"/>
    <xf numFmtId="164" fontId="1"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71"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92"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0" fontId="1" fillId="0" borderId="0"/>
    <xf numFmtId="166" fontId="1" fillId="0" borderId="0" applyFont="0" applyFill="0" applyBorder="0" applyAlignment="0" applyProtection="0"/>
    <xf numFmtId="9"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84" fontId="1" fillId="0" borderId="0" applyFont="0" applyFill="0" applyBorder="0" applyAlignment="0" applyProtection="0"/>
    <xf numFmtId="0" fontId="1" fillId="0" borderId="0"/>
    <xf numFmtId="166" fontId="167" fillId="0" borderId="0" applyFont="0" applyFill="0" applyBorder="0" applyAlignment="0" applyProtection="0"/>
    <xf numFmtId="0" fontId="1" fillId="0" borderId="0"/>
    <xf numFmtId="166" fontId="3" fillId="0" borderId="0" applyFont="0" applyFill="0" applyBorder="0" applyAlignment="0" applyProtection="0"/>
    <xf numFmtId="166" fontId="3" fillId="0" borderId="0" applyFont="0" applyFill="0" applyBorder="0" applyAlignment="0" applyProtection="0"/>
    <xf numFmtId="0" fontId="1" fillId="0" borderId="0"/>
    <xf numFmtId="0" fontId="1" fillId="0" borderId="0"/>
    <xf numFmtId="166" fontId="1" fillId="0" borderId="0" applyFont="0" applyFill="0" applyBorder="0" applyAlignment="0" applyProtection="0"/>
    <xf numFmtId="9" fontId="1" fillId="0" borderId="0" applyFont="0" applyFill="0" applyBorder="0" applyAlignment="0" applyProtection="0"/>
    <xf numFmtId="0" fontId="170" fillId="68" borderId="34" applyNumberFormat="0" applyAlignment="0" applyProtection="0"/>
    <xf numFmtId="187" fontId="3" fillId="0" borderId="0" applyFill="0" applyBorder="0" applyProtection="0">
      <alignment horizontal="right"/>
      <protection locked="0"/>
    </xf>
    <xf numFmtId="187" fontId="3" fillId="0" borderId="0">
      <protection locked="0"/>
    </xf>
    <xf numFmtId="0" fontId="170" fillId="68" borderId="34" applyNumberFormat="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2" fontId="291" fillId="0" borderId="0" applyFont="0" applyFill="0" applyBorder="0" applyAlignment="0" applyProtection="0"/>
    <xf numFmtId="185" fontId="3" fillId="0" borderId="0"/>
    <xf numFmtId="185" fontId="3" fillId="0" borderId="0"/>
    <xf numFmtId="185" fontId="3" fillId="0" borderId="0"/>
    <xf numFmtId="185" fontId="3" fillId="0" borderId="0"/>
    <xf numFmtId="185" fontId="3" fillId="0" borderId="0"/>
    <xf numFmtId="185" fontId="3" fillId="0" borderId="0"/>
    <xf numFmtId="185" fontId="3" fillId="0" borderId="0"/>
    <xf numFmtId="185" fontId="3" fillId="0" borderId="0"/>
    <xf numFmtId="166" fontId="3" fillId="0" borderId="0" applyFont="0" applyFill="0" applyBorder="0" applyAlignment="0" applyProtection="0"/>
    <xf numFmtId="186" fontId="3" fillId="0" borderId="0" applyFont="0" applyFill="0" applyBorder="0" applyAlignment="0" applyProtection="0">
      <protection locked="0"/>
    </xf>
    <xf numFmtId="0" fontId="1" fillId="0" borderId="0"/>
    <xf numFmtId="0" fontId="3" fillId="69" borderId="7" applyNumberFormat="0" applyFont="0" applyAlignment="0" applyProtection="0"/>
    <xf numFmtId="166" fontId="167" fillId="0" borderId="0" applyFont="0" applyFill="0" applyBorder="0" applyAlignment="0" applyProtection="0"/>
    <xf numFmtId="187" fontId="3" fillId="97" borderId="0" applyNumberFormat="0" applyFont="0" applyBorder="0" applyAlignment="0" applyProtection="0">
      <protection locked="0"/>
    </xf>
    <xf numFmtId="0" fontId="1" fillId="0" borderId="0"/>
    <xf numFmtId="166" fontId="1" fillId="0" borderId="0" applyFont="0" applyFill="0" applyBorder="0" applyAlignment="0" applyProtection="0"/>
    <xf numFmtId="9" fontId="1" fillId="0" borderId="0" applyFont="0" applyFill="0" applyBorder="0" applyAlignment="0" applyProtection="0"/>
    <xf numFmtId="0" fontId="170" fillId="68" borderId="34" applyNumberFormat="0" applyAlignment="0" applyProtection="0"/>
    <xf numFmtId="0" fontId="152" fillId="0" borderId="44" applyNumberFormat="0" applyFill="0" applyProtection="0">
      <alignment horizontal="left" wrapText="1"/>
    </xf>
    <xf numFmtId="0" fontId="3" fillId="69" borderId="7" applyNumberFormat="0" applyFont="0" applyAlignment="0" applyProtection="0"/>
    <xf numFmtId="0" fontId="3" fillId="69" borderId="7" applyNumberFormat="0" applyFont="0" applyAlignment="0" applyProtection="0"/>
    <xf numFmtId="0" fontId="3" fillId="69" borderId="7" applyNumberFormat="0" applyFont="0" applyAlignment="0" applyProtection="0"/>
    <xf numFmtId="0" fontId="3" fillId="69" borderId="7" applyNumberFormat="0" applyFont="0" applyAlignment="0" applyProtection="0"/>
    <xf numFmtId="0" fontId="3" fillId="69" borderId="7" applyNumberFormat="0" applyFont="0" applyAlignment="0" applyProtection="0"/>
    <xf numFmtId="0" fontId="178" fillId="67" borderId="34" applyNumberFormat="0" applyAlignment="0" applyProtection="0"/>
    <xf numFmtId="0" fontId="3" fillId="69" borderId="7" applyNumberFormat="0" applyFont="0" applyAlignment="0" applyProtection="0"/>
    <xf numFmtId="0" fontId="3" fillId="69" borderId="7" applyNumberFormat="0" applyFont="0" applyAlignment="0" applyProtection="0"/>
    <xf numFmtId="166" fontId="3" fillId="0" borderId="0" applyFont="0" applyFill="0" applyBorder="0" applyAlignment="0" applyProtection="0"/>
    <xf numFmtId="166" fontId="3" fillId="0" borderId="0" applyFont="0" applyFill="0" applyBorder="0" applyAlignment="0" applyProtection="0"/>
    <xf numFmtId="0" fontId="181" fillId="68" borderId="41" applyNumberFormat="0" applyAlignment="0" applyProtection="0"/>
    <xf numFmtId="0" fontId="3" fillId="69" borderId="7" applyNumberFormat="0" applyFont="0" applyAlignment="0" applyProtection="0"/>
    <xf numFmtId="166" fontId="3" fillId="0" borderId="0" applyFont="0" applyFill="0" applyBorder="0" applyAlignment="0" applyProtection="0"/>
    <xf numFmtId="166" fontId="3" fillId="0" borderId="0" applyFont="0" applyFill="0" applyBorder="0" applyAlignment="0" applyProtection="0"/>
    <xf numFmtId="0" fontId="181" fillId="68" borderId="41" applyNumberFormat="0" applyAlignment="0" applyProtection="0"/>
    <xf numFmtId="0" fontId="170" fillId="68" borderId="34" applyNumberFormat="0" applyAlignment="0" applyProtection="0"/>
    <xf numFmtId="166" fontId="325" fillId="0" borderId="0" applyFont="0" applyFill="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0" fontId="1" fillId="59" borderId="0" applyNumberFormat="0" applyBorder="0" applyAlignment="0" applyProtection="0"/>
    <xf numFmtId="0" fontId="1" fillId="60" borderId="0" applyNumberFormat="0" applyBorder="0" applyAlignment="0" applyProtection="0"/>
    <xf numFmtId="166" fontId="325" fillId="0" borderId="0" applyFont="0" applyFill="0" applyBorder="0" applyAlignment="0" applyProtection="0"/>
    <xf numFmtId="166" fontId="3" fillId="0" borderId="0" applyFont="0" applyFill="0" applyBorder="0" applyAlignment="0" applyProtection="0"/>
    <xf numFmtId="0" fontId="170" fillId="68" borderId="34" applyNumberFormat="0" applyAlignment="0" applyProtection="0"/>
    <xf numFmtId="0" fontId="3" fillId="69" borderId="7" applyNumberFormat="0" applyFont="0" applyAlignment="0" applyProtection="0"/>
    <xf numFmtId="0" fontId="291" fillId="0" borderId="0" applyFont="0" applyFill="0" applyBorder="0" applyAlignment="0" applyProtection="0"/>
    <xf numFmtId="0" fontId="1" fillId="0" borderId="0"/>
    <xf numFmtId="0" fontId="181" fillId="68" borderId="41" applyNumberFormat="0" applyAlignment="0" applyProtection="0"/>
    <xf numFmtId="0" fontId="181" fillId="68" borderId="41" applyNumberFormat="0" applyAlignment="0" applyProtection="0"/>
    <xf numFmtId="0" fontId="3" fillId="69" borderId="7" applyNumberFormat="0" applyFon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81" fillId="68" borderId="41" applyNumberFormat="0" applyAlignment="0" applyProtection="0"/>
    <xf numFmtId="0" fontId="3" fillId="69" borderId="7" applyNumberFormat="0" applyFont="0" applyAlignment="0" applyProtection="0"/>
    <xf numFmtId="0" fontId="181" fillId="68" borderId="41" applyNumberFormat="0" applyAlignment="0" applyProtection="0"/>
    <xf numFmtId="0" fontId="3" fillId="69" borderId="7" applyNumberFormat="0" applyFont="0" applyAlignment="0" applyProtection="0"/>
    <xf numFmtId="0" fontId="181" fillId="68" borderId="41" applyNumberFormat="0" applyAlignment="0" applyProtection="0"/>
    <xf numFmtId="0" fontId="3" fillId="69" borderId="7" applyNumberFormat="0" applyFon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81" fillId="68" borderId="41" applyNumberFormat="0" applyAlignment="0" applyProtection="0"/>
    <xf numFmtId="0" fontId="3" fillId="69" borderId="7" applyNumberFormat="0" applyFont="0" applyAlignment="0" applyProtection="0"/>
    <xf numFmtId="0" fontId="170" fillId="68" borderId="34" applyNumberFormat="0" applyAlignment="0" applyProtection="0"/>
    <xf numFmtId="0" fontId="328" fillId="0" borderId="65" applyNumberFormat="0" applyFill="0" applyAlignment="0" applyProtection="0"/>
    <xf numFmtId="0" fontId="328" fillId="0" borderId="65" applyNumberFormat="0" applyFill="0" applyAlignment="0" applyProtection="0"/>
    <xf numFmtId="0" fontId="328" fillId="0" borderId="65" applyNumberFormat="0" applyFill="0" applyAlignment="0" applyProtection="0"/>
    <xf numFmtId="0" fontId="328" fillId="0" borderId="65" applyNumberFormat="0" applyFill="0" applyAlignment="0" applyProtection="0"/>
    <xf numFmtId="0" fontId="328" fillId="0" borderId="65"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7"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1" fillId="37" borderId="32" applyNumberFormat="0" applyFont="0" applyAlignment="0" applyProtection="0"/>
    <xf numFmtId="0" fontId="1" fillId="37" borderId="32" applyNumberFormat="0" applyFont="0" applyAlignment="0" applyProtection="0"/>
    <xf numFmtId="0" fontId="1" fillId="37" borderId="32" applyNumberFormat="0" applyFont="0" applyAlignment="0" applyProtection="0"/>
    <xf numFmtId="0" fontId="1" fillId="37" borderId="32" applyNumberFormat="0" applyFont="0" applyAlignment="0" applyProtection="0"/>
    <xf numFmtId="0" fontId="1" fillId="37" borderId="32" applyNumberFormat="0" applyFont="0" applyAlignment="0" applyProtection="0"/>
    <xf numFmtId="0" fontId="1" fillId="37" borderId="32" applyNumberFormat="0" applyFont="0" applyAlignment="0" applyProtection="0"/>
    <xf numFmtId="166" fontId="3" fillId="0" borderId="0" applyFont="0" applyFill="0" applyBorder="0" applyAlignment="0" applyProtection="0"/>
    <xf numFmtId="166" fontId="1" fillId="0" borderId="0" applyFont="0" applyFill="0" applyBorder="0" applyAlignment="0" applyProtection="0"/>
    <xf numFmtId="0" fontId="3" fillId="69" borderId="7" applyNumberFormat="0" applyFont="0" applyAlignment="0" applyProtection="0"/>
    <xf numFmtId="0" fontId="178" fillId="67" borderId="34" applyNumberFormat="0" applyAlignment="0" applyProtection="0"/>
    <xf numFmtId="0" fontId="181" fillId="68" borderId="41" applyNumberFormat="0" applyAlignment="0" applyProtection="0"/>
    <xf numFmtId="0" fontId="1" fillId="0" borderId="0"/>
    <xf numFmtId="0" fontId="1" fillId="0" borderId="0"/>
    <xf numFmtId="166" fontId="3" fillId="0" borderId="0" applyFont="0" applyFill="0" applyBorder="0" applyAlignment="0" applyProtection="0"/>
    <xf numFmtId="0" fontId="1" fillId="0" borderId="0"/>
    <xf numFmtId="166" fontId="1" fillId="0" borderId="0" applyFont="0" applyFill="0" applyBorder="0" applyAlignment="0" applyProtection="0"/>
    <xf numFmtId="166" fontId="96" fillId="0" borderId="0" applyFont="0" applyFill="0" applyBorder="0" applyAlignment="0" applyProtection="0"/>
    <xf numFmtId="0" fontId="1" fillId="0" borderId="0"/>
    <xf numFmtId="0" fontId="1" fillId="0" borderId="0"/>
    <xf numFmtId="0" fontId="1" fillId="0" borderId="0"/>
    <xf numFmtId="0" fontId="3" fillId="0" borderId="0"/>
    <xf numFmtId="0" fontId="1" fillId="0" borderId="0"/>
    <xf numFmtId="9"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6" fontId="3" fillId="0" borderId="0" applyFont="0" applyFill="0" applyBorder="0" applyAlignment="0" applyProtection="0"/>
    <xf numFmtId="0" fontId="1" fillId="0" borderId="0"/>
    <xf numFmtId="0" fontId="3" fillId="0" borderId="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20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0" fontId="3" fillId="0" borderId="0"/>
    <xf numFmtId="0" fontId="3" fillId="0" borderId="0"/>
    <xf numFmtId="0" fontId="3"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6" fontId="207"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89"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89"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92" fontId="1" fillId="0" borderId="0" applyFont="0" applyFill="0" applyBorder="0" applyAlignment="0" applyProtection="0"/>
    <xf numFmtId="166" fontId="237" fillId="0" borderId="0" applyFont="0" applyFill="0" applyBorder="0" applyAlignment="0" applyProtection="0"/>
    <xf numFmtId="166" fontId="237" fillId="0" borderId="0" applyFont="0" applyFill="0" applyBorder="0" applyAlignment="0" applyProtection="0"/>
    <xf numFmtId="166" fontId="237"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237"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23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3"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69" fontId="1" fillId="0" borderId="0" applyFont="0" applyFill="0" applyBorder="0" applyAlignment="0" applyProtection="0"/>
    <xf numFmtId="19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98"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9" fontId="1" fillId="0" borderId="0" applyFont="0" applyFill="0" applyBorder="0" applyAlignment="0" applyProtection="0"/>
    <xf numFmtId="221" fontId="1" fillId="0" borderId="0" applyFont="0" applyFill="0" applyBorder="0" applyAlignment="0" applyProtection="0"/>
    <xf numFmtId="166" fontId="3" fillId="0" borderId="0" applyFont="0" applyFill="0" applyBorder="0" applyAlignment="0" applyProtection="0"/>
    <xf numFmtId="193" fontId="1" fillId="0" borderId="0" applyFont="0" applyFill="0" applyBorder="0" applyAlignment="0" applyProtection="0"/>
    <xf numFmtId="171" fontId="1" fillId="0" borderId="0" applyFont="0" applyFill="0" applyBorder="0" applyAlignment="0" applyProtection="0"/>
    <xf numFmtId="166" fontId="3" fillId="0" borderId="0" applyFont="0" applyFill="0" applyBorder="0" applyAlignment="0" applyProtection="0"/>
    <xf numFmtId="195" fontId="1" fillId="0" borderId="0" applyFont="0" applyFill="0" applyBorder="0" applyAlignment="0" applyProtection="0"/>
    <xf numFmtId="164" fontId="1"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71"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92"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0" fontId="3" fillId="0" borderId="0"/>
    <xf numFmtId="0" fontId="3" fillId="0" borderId="0"/>
    <xf numFmtId="0" fontId="1" fillId="0" borderId="0"/>
    <xf numFmtId="0" fontId="1" fillId="0" borderId="0"/>
    <xf numFmtId="166" fontId="1" fillId="0" borderId="0" applyFont="0" applyFill="0" applyBorder="0" applyAlignment="0" applyProtection="0"/>
    <xf numFmtId="9" fontId="1" fillId="0" borderId="0" applyFont="0" applyFill="0" applyBorder="0" applyAlignment="0" applyProtection="0"/>
    <xf numFmtId="0" fontId="1" fillId="0" borderId="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84" fontId="1" fillId="0" borderId="0" applyFont="0" applyFill="0" applyBorder="0" applyAlignment="0" applyProtection="0"/>
    <xf numFmtId="0" fontId="1" fillId="0" borderId="0"/>
    <xf numFmtId="166" fontId="167" fillId="0" borderId="0" applyFont="0" applyFill="0" applyBorder="0" applyAlignment="0" applyProtection="0"/>
    <xf numFmtId="0" fontId="1" fillId="0" borderId="0"/>
    <xf numFmtId="166" fontId="3" fillId="0" borderId="0" applyFont="0" applyFill="0" applyBorder="0" applyAlignment="0" applyProtection="0"/>
    <xf numFmtId="166" fontId="3" fillId="0" borderId="0" applyFont="0" applyFill="0" applyBorder="0" applyAlignment="0" applyProtection="0"/>
    <xf numFmtId="0" fontId="1" fillId="0" borderId="0"/>
    <xf numFmtId="0" fontId="1" fillId="0" borderId="0"/>
    <xf numFmtId="0" fontId="1" fillId="0" borderId="0"/>
    <xf numFmtId="0" fontId="1" fillId="0" borderId="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8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8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9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69" fontId="1" fillId="0" borderId="0" applyFont="0" applyFill="0" applyBorder="0" applyAlignment="0" applyProtection="0"/>
    <xf numFmtId="196" fontId="1" fillId="0" borderId="0" applyFont="0" applyFill="0" applyBorder="0" applyAlignment="0" applyProtection="0"/>
    <xf numFmtId="166" fontId="1" fillId="0" borderId="0" applyFont="0" applyFill="0" applyBorder="0" applyAlignment="0" applyProtection="0"/>
    <xf numFmtId="198"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9" fontId="1" fillId="0" borderId="0" applyFont="0" applyFill="0" applyBorder="0" applyAlignment="0" applyProtection="0"/>
    <xf numFmtId="221" fontId="1" fillId="0" borderId="0" applyFont="0" applyFill="0" applyBorder="0" applyAlignment="0" applyProtection="0"/>
    <xf numFmtId="193" fontId="1" fillId="0" borderId="0" applyFont="0" applyFill="0" applyBorder="0" applyAlignment="0" applyProtection="0"/>
    <xf numFmtId="171" fontId="1" fillId="0" borderId="0" applyFont="0" applyFill="0" applyBorder="0" applyAlignment="0" applyProtection="0"/>
    <xf numFmtId="195" fontId="1" fillId="0" borderId="0" applyFont="0" applyFill="0" applyBorder="0" applyAlignment="0" applyProtection="0"/>
    <xf numFmtId="164" fontId="1" fillId="0" borderId="0" applyFont="0" applyFill="0" applyBorder="0" applyAlignment="0" applyProtection="0"/>
    <xf numFmtId="171"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92" fontId="1" fillId="0" borderId="0" applyFont="0" applyFill="0" applyBorder="0" applyAlignment="0" applyProtection="0"/>
    <xf numFmtId="0" fontId="1" fillId="0" borderId="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84" fontId="1" fillId="0" borderId="0" applyFont="0" applyFill="0" applyBorder="0" applyAlignment="0" applyProtection="0"/>
    <xf numFmtId="0" fontId="1" fillId="0" borderId="0"/>
    <xf numFmtId="0" fontId="1" fillId="0" borderId="0"/>
    <xf numFmtId="166" fontId="3" fillId="0" borderId="0" applyFont="0" applyFill="0" applyBorder="0" applyAlignment="0" applyProtection="0"/>
    <xf numFmtId="0" fontId="1" fillId="0" borderId="0"/>
    <xf numFmtId="166"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166"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6" fontId="1"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6" fontId="1"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8" fillId="67" borderId="34" applyNumberFormat="0" applyAlignment="0" applyProtection="0"/>
    <xf numFmtId="0" fontId="3" fillId="0" borderId="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3" fillId="0" borderId="0"/>
    <xf numFmtId="0" fontId="178" fillId="67" borderId="34" applyNumberFormat="0" applyAlignment="0" applyProtection="0"/>
    <xf numFmtId="0" fontId="178" fillId="67" borderId="34" applyNumberFormat="0" applyAlignment="0" applyProtection="0"/>
    <xf numFmtId="0" fontId="3" fillId="0" borderId="0"/>
    <xf numFmtId="0" fontId="178" fillId="67" borderId="34" applyNumberFormat="0" applyAlignment="0" applyProtection="0"/>
    <xf numFmtId="0" fontId="3" fillId="0" borderId="0"/>
    <xf numFmtId="0" fontId="178" fillId="67" borderId="34" applyNumberFormat="0" applyAlignment="0" applyProtection="0"/>
    <xf numFmtId="0" fontId="3" fillId="0" borderId="0"/>
    <xf numFmtId="0" fontId="3" fillId="0" borderId="0"/>
    <xf numFmtId="0" fontId="3" fillId="74" borderId="7" applyNumberFormat="0" applyFont="0" applyAlignment="0" applyProtection="0"/>
    <xf numFmtId="0" fontId="3" fillId="74" borderId="7" applyNumberFormat="0" applyFont="0" applyAlignment="0" applyProtection="0"/>
    <xf numFmtId="0" fontId="3" fillId="74" borderId="7" applyNumberFormat="0" applyFont="0" applyAlignment="0" applyProtection="0"/>
    <xf numFmtId="0" fontId="3" fillId="74" borderId="7" applyNumberFormat="0" applyFont="0" applyAlignment="0" applyProtection="0"/>
    <xf numFmtId="0" fontId="3" fillId="74" borderId="7" applyNumberFormat="0" applyFont="0" applyAlignment="0" applyProtection="0"/>
    <xf numFmtId="0" fontId="3" fillId="74" borderId="7" applyNumberFormat="0" applyFont="0" applyAlignment="0" applyProtection="0"/>
    <xf numFmtId="0" fontId="3" fillId="69" borderId="7" applyNumberFormat="0" applyFont="0" applyAlignment="0" applyProtection="0"/>
    <xf numFmtId="0" fontId="3" fillId="69" borderId="7" applyNumberFormat="0" applyFont="0" applyAlignment="0" applyProtection="0"/>
    <xf numFmtId="0" fontId="3" fillId="69" borderId="7" applyNumberFormat="0" applyFont="0" applyAlignment="0" applyProtection="0"/>
    <xf numFmtId="0" fontId="167" fillId="69" borderId="7" applyNumberFormat="0" applyFont="0" applyAlignment="0" applyProtection="0"/>
    <xf numFmtId="0" fontId="3" fillId="69" borderId="7" applyNumberFormat="0" applyFont="0" applyAlignment="0" applyProtection="0"/>
    <xf numFmtId="0" fontId="3" fillId="69" borderId="7" applyNumberFormat="0" applyFont="0" applyAlignment="0" applyProtection="0"/>
    <xf numFmtId="0" fontId="167" fillId="69" borderId="7" applyNumberFormat="0" applyFont="0" applyAlignment="0" applyProtection="0"/>
    <xf numFmtId="0" fontId="3"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3" fillId="69" borderId="7" applyNumberFormat="0" applyFont="0" applyAlignment="0" applyProtection="0"/>
    <xf numFmtId="0" fontId="3" fillId="69" borderId="7" applyNumberFormat="0" applyFont="0" applyAlignment="0" applyProtection="0"/>
    <xf numFmtId="0" fontId="167" fillId="69" borderId="7" applyNumberFormat="0" applyFont="0" applyAlignment="0" applyProtection="0"/>
    <xf numFmtId="0" fontId="3"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3" fillId="69" borderId="7" applyNumberFormat="0" applyFont="0" applyAlignment="0" applyProtection="0"/>
    <xf numFmtId="0" fontId="3" fillId="69" borderId="7" applyNumberFormat="0" applyFont="0" applyAlignment="0" applyProtection="0"/>
    <xf numFmtId="0" fontId="167" fillId="69" borderId="7" applyNumberFormat="0" applyFont="0" applyAlignment="0" applyProtection="0"/>
    <xf numFmtId="0" fontId="3"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3" fillId="69" borderId="7" applyNumberFormat="0" applyFont="0" applyAlignment="0" applyProtection="0"/>
    <xf numFmtId="0" fontId="3" fillId="69" borderId="7" applyNumberFormat="0" applyFont="0" applyAlignment="0" applyProtection="0"/>
    <xf numFmtId="0" fontId="178" fillId="67" borderId="34" applyNumberFormat="0" applyAlignment="0" applyProtection="0"/>
    <xf numFmtId="0" fontId="3" fillId="0" borderId="0"/>
    <xf numFmtId="0" fontId="3" fillId="0" borderId="0"/>
    <xf numFmtId="0" fontId="178" fillId="67" borderId="34" applyNumberFormat="0" applyAlignment="0" applyProtection="0"/>
    <xf numFmtId="0" fontId="178" fillId="67" borderId="34" applyNumberFormat="0" applyAlignment="0" applyProtection="0"/>
    <xf numFmtId="0" fontId="170" fillId="84" borderId="34" applyNumberFormat="0" applyAlignment="0" applyProtection="0"/>
    <xf numFmtId="0" fontId="178" fillId="67" borderId="34" applyNumberFormat="0" applyAlignment="0" applyProtection="0"/>
    <xf numFmtId="0" fontId="178" fillId="67" borderId="34" applyNumberFormat="0" applyAlignment="0" applyProtection="0"/>
    <xf numFmtId="166" fontId="3" fillId="0" borderId="0" applyFont="0" applyFill="0" applyBorder="0" applyAlignment="0" applyProtection="0"/>
    <xf numFmtId="166" fontId="3" fillId="0" borderId="0" applyFont="0" applyFill="0" applyBorder="0" applyAlignment="0" applyProtection="0"/>
    <xf numFmtId="0" fontId="1" fillId="0" borderId="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96"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1" fillId="0" borderId="0"/>
    <xf numFmtId="166" fontId="1" fillId="0" borderId="0" applyFont="0" applyFill="0" applyBorder="0" applyAlignment="0" applyProtection="0"/>
    <xf numFmtId="0" fontId="1" fillId="0" borderId="0"/>
    <xf numFmtId="166" fontId="3" fillId="0" borderId="0" applyFont="0" applyFill="0" applyBorder="0" applyAlignment="0" applyProtection="0"/>
    <xf numFmtId="166"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166"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20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7" fillId="69" borderId="7"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6" fontId="207"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89"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89"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92" fontId="1" fillId="0" borderId="0" applyFont="0" applyFill="0" applyBorder="0" applyAlignment="0" applyProtection="0"/>
    <xf numFmtId="166" fontId="237" fillId="0" borderId="0" applyFont="0" applyFill="0" applyBorder="0" applyAlignment="0" applyProtection="0"/>
    <xf numFmtId="166" fontId="237" fillId="0" borderId="0" applyFont="0" applyFill="0" applyBorder="0" applyAlignment="0" applyProtection="0"/>
    <xf numFmtId="166" fontId="237"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237"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23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3"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69" fontId="1" fillId="0" borderId="0" applyFont="0" applyFill="0" applyBorder="0" applyAlignment="0" applyProtection="0"/>
    <xf numFmtId="19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98"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9" fontId="1" fillId="0" borderId="0" applyFont="0" applyFill="0" applyBorder="0" applyAlignment="0" applyProtection="0"/>
    <xf numFmtId="221" fontId="1" fillId="0" borderId="0" applyFont="0" applyFill="0" applyBorder="0" applyAlignment="0" applyProtection="0"/>
    <xf numFmtId="166" fontId="3" fillId="0" borderId="0" applyFont="0" applyFill="0" applyBorder="0" applyAlignment="0" applyProtection="0"/>
    <xf numFmtId="193" fontId="1" fillId="0" borderId="0" applyFont="0" applyFill="0" applyBorder="0" applyAlignment="0" applyProtection="0"/>
    <xf numFmtId="171" fontId="1" fillId="0" borderId="0" applyFont="0" applyFill="0" applyBorder="0" applyAlignment="0" applyProtection="0"/>
    <xf numFmtId="166" fontId="3" fillId="0" borderId="0" applyFont="0" applyFill="0" applyBorder="0" applyAlignment="0" applyProtection="0"/>
    <xf numFmtId="195" fontId="1" fillId="0" borderId="0" applyFont="0" applyFill="0" applyBorder="0" applyAlignment="0" applyProtection="0"/>
    <xf numFmtId="164" fontId="1"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71"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92"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0" fontId="1" fillId="0" borderId="0"/>
    <xf numFmtId="166" fontId="1" fillId="0" borderId="0" applyFont="0" applyFill="0" applyBorder="0" applyAlignment="0" applyProtection="0"/>
    <xf numFmtId="9"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84" fontId="1" fillId="0" borderId="0" applyFont="0" applyFill="0" applyBorder="0" applyAlignment="0" applyProtection="0"/>
    <xf numFmtId="0" fontId="1" fillId="0" borderId="0"/>
    <xf numFmtId="166" fontId="167" fillId="0" borderId="0" applyFont="0" applyFill="0" applyBorder="0" applyAlignment="0" applyProtection="0"/>
    <xf numFmtId="0" fontId="1" fillId="0" borderId="0"/>
    <xf numFmtId="166" fontId="3" fillId="0" borderId="0" applyFont="0" applyFill="0" applyBorder="0" applyAlignment="0" applyProtection="0"/>
    <xf numFmtId="166" fontId="3" fillId="0" borderId="0" applyFont="0" applyFill="0" applyBorder="0" applyAlignment="0" applyProtection="0"/>
    <xf numFmtId="0" fontId="1" fillId="0" borderId="0"/>
    <xf numFmtId="0" fontId="1" fillId="0" borderId="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20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0" fontId="178" fillId="67" borderId="34"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6" fontId="207"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89"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89"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92" fontId="1" fillId="0" borderId="0" applyFont="0" applyFill="0" applyBorder="0" applyAlignment="0" applyProtection="0"/>
    <xf numFmtId="166" fontId="237" fillId="0" borderId="0" applyFont="0" applyFill="0" applyBorder="0" applyAlignment="0" applyProtection="0"/>
    <xf numFmtId="166" fontId="237" fillId="0" borderId="0" applyFont="0" applyFill="0" applyBorder="0" applyAlignment="0" applyProtection="0"/>
    <xf numFmtId="166" fontId="237"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237"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23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3"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69" fontId="1" fillId="0" borderId="0" applyFont="0" applyFill="0" applyBorder="0" applyAlignment="0" applyProtection="0"/>
    <xf numFmtId="19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98"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9" fontId="1" fillId="0" borderId="0" applyFont="0" applyFill="0" applyBorder="0" applyAlignment="0" applyProtection="0"/>
    <xf numFmtId="221" fontId="1" fillId="0" borderId="0" applyFont="0" applyFill="0" applyBorder="0" applyAlignment="0" applyProtection="0"/>
    <xf numFmtId="166" fontId="3" fillId="0" borderId="0" applyFont="0" applyFill="0" applyBorder="0" applyAlignment="0" applyProtection="0"/>
    <xf numFmtId="193" fontId="1" fillId="0" borderId="0" applyFont="0" applyFill="0" applyBorder="0" applyAlignment="0" applyProtection="0"/>
    <xf numFmtId="171" fontId="1" fillId="0" borderId="0" applyFont="0" applyFill="0" applyBorder="0" applyAlignment="0" applyProtection="0"/>
    <xf numFmtId="166" fontId="3" fillId="0" borderId="0" applyFont="0" applyFill="0" applyBorder="0" applyAlignment="0" applyProtection="0"/>
    <xf numFmtId="195" fontId="1" fillId="0" borderId="0" applyFont="0" applyFill="0" applyBorder="0" applyAlignment="0" applyProtection="0"/>
    <xf numFmtId="164" fontId="1"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71"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92"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9"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84" fontId="1" fillId="0" borderId="0" applyFont="0" applyFill="0" applyBorder="0" applyAlignment="0" applyProtection="0"/>
    <xf numFmtId="0" fontId="1" fillId="0" borderId="0"/>
    <xf numFmtId="166" fontId="167" fillId="0" borderId="0" applyFont="0" applyFill="0" applyBorder="0" applyAlignment="0" applyProtection="0"/>
    <xf numFmtId="0" fontId="1" fillId="0" borderId="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0" fontId="3" fillId="69" borderId="7" applyNumberFormat="0" applyFont="0" applyAlignment="0" applyProtection="0"/>
    <xf numFmtId="0" fontId="170" fillId="68" borderId="34" applyNumberFormat="0" applyAlignment="0" applyProtection="0"/>
    <xf numFmtId="0" fontId="181" fillId="68" borderId="41" applyNumberFormat="0" applyAlignment="0" applyProtection="0"/>
    <xf numFmtId="0" fontId="1" fillId="0" borderId="0"/>
    <xf numFmtId="0" fontId="170" fillId="68" borderId="34" applyNumberFormat="0" applyAlignment="0" applyProtection="0"/>
    <xf numFmtId="0" fontId="3" fillId="69" borderId="7" applyNumberFormat="0" applyFont="0" applyAlignment="0" applyProtection="0"/>
    <xf numFmtId="0" fontId="170" fillId="68" borderId="34" applyNumberFormat="0" applyAlignment="0" applyProtection="0"/>
    <xf numFmtId="0" fontId="181" fillId="68" borderId="41" applyNumberFormat="0" applyAlignment="0" applyProtection="0"/>
    <xf numFmtId="0" fontId="170" fillId="68" borderId="34" applyNumberFormat="0" applyAlignment="0" applyProtection="0"/>
    <xf numFmtId="0" fontId="181" fillId="68" borderId="41"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0" fillId="68" borderId="34" applyNumberFormat="0" applyAlignment="0" applyProtection="0"/>
    <xf numFmtId="0" fontId="181" fillId="68" borderId="41" applyNumberFormat="0" applyAlignment="0" applyProtection="0"/>
    <xf numFmtId="0" fontId="1" fillId="0" borderId="0"/>
    <xf numFmtId="0" fontId="3" fillId="69" borderId="7" applyNumberFormat="0" applyFont="0" applyAlignment="0" applyProtection="0"/>
    <xf numFmtId="0" fontId="3" fillId="69" borderId="7" applyNumberFormat="0" applyFont="0" applyAlignment="0" applyProtection="0"/>
    <xf numFmtId="0" fontId="170" fillId="68" borderId="34" applyNumberFormat="0" applyAlignment="0" applyProtection="0"/>
    <xf numFmtId="0" fontId="178" fillId="67" borderId="34" applyNumberFormat="0" applyAlignment="0" applyProtection="0"/>
    <xf numFmtId="2" fontId="291" fillId="0" borderId="0" applyFont="0" applyFill="0" applyBorder="0" applyAlignment="0" applyProtection="0"/>
    <xf numFmtId="17" fontId="295" fillId="0" borderId="11" applyFont="0" applyFill="0" applyBorder="0" applyAlignment="0" applyProtection="0"/>
    <xf numFmtId="0" fontId="170" fillId="68" borderId="34" applyNumberFormat="0" applyAlignment="0" applyProtection="0"/>
    <xf numFmtId="0" fontId="170" fillId="68" borderId="34" applyNumberFormat="0" applyAlignment="0" applyProtection="0"/>
    <xf numFmtId="0" fontId="3" fillId="90" borderId="64"/>
    <xf numFmtId="258" fontId="192" fillId="0" borderId="11" applyAlignment="0" applyProtection="0"/>
    <xf numFmtId="0" fontId="328" fillId="0" borderId="65" applyNumberFormat="0" applyFill="0" applyAlignment="0" applyProtection="0"/>
    <xf numFmtId="0" fontId="328" fillId="0" borderId="65" applyNumberFormat="0" applyFill="0" applyAlignment="0" applyProtection="0"/>
    <xf numFmtId="0" fontId="328" fillId="0" borderId="65" applyNumberFormat="0" applyFill="0" applyAlignment="0" applyProtection="0"/>
    <xf numFmtId="0" fontId="328" fillId="0" borderId="65" applyNumberFormat="0" applyFill="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0" fontId="167"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291" fillId="0" borderId="0" applyFont="0" applyFill="0" applyBorder="0" applyAlignment="0" applyProtection="0"/>
    <xf numFmtId="0" fontId="328" fillId="0" borderId="65" applyNumberFormat="0" applyFill="0" applyAlignment="0" applyProtection="0"/>
    <xf numFmtId="0" fontId="181" fillId="68" borderId="41" applyNumberFormat="0" applyAlignment="0" applyProtection="0"/>
    <xf numFmtId="0" fontId="167" fillId="69" borderId="7" applyNumberFormat="0" applyFont="0" applyAlignment="0" applyProtection="0"/>
    <xf numFmtId="0" fontId="167" fillId="69" borderId="7" applyNumberFormat="0" applyFon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 fillId="0" borderId="0"/>
    <xf numFmtId="0" fontId="328" fillId="0" borderId="65" applyNumberFormat="0" applyFill="0" applyAlignment="0" applyProtection="0"/>
    <xf numFmtId="0" fontId="328" fillId="0" borderId="65" applyNumberFormat="0" applyFill="0" applyAlignment="0" applyProtection="0"/>
    <xf numFmtId="0" fontId="328" fillId="0" borderId="65" applyNumberFormat="0" applyFill="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0" fontId="181" fillId="68" borderId="41" applyNumberFormat="0" applyAlignment="0" applyProtection="0"/>
    <xf numFmtId="0" fontId="291" fillId="0" borderId="0" applyFont="0" applyFill="0" applyBorder="0" applyAlignment="0" applyProtection="0"/>
    <xf numFmtId="0" fontId="167"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178" fillId="67" borderId="34" applyNumberFormat="0" applyAlignment="0" applyProtection="0"/>
    <xf numFmtId="0" fontId="178" fillId="67"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328" fillId="0" borderId="65" applyNumberFormat="0" applyFill="0" applyAlignment="0" applyProtection="0"/>
    <xf numFmtId="0" fontId="328" fillId="0" borderId="65" applyNumberFormat="0" applyFill="0" applyAlignment="0" applyProtection="0"/>
    <xf numFmtId="0" fontId="328" fillId="0" borderId="65" applyNumberFormat="0" applyFill="0" applyAlignment="0" applyProtection="0"/>
    <xf numFmtId="0" fontId="181" fillId="68" borderId="41" applyNumberFormat="0" applyAlignment="0" applyProtection="0"/>
    <xf numFmtId="0" fontId="181" fillId="68" borderId="41" applyNumberFormat="0" applyAlignment="0" applyProtection="0"/>
    <xf numFmtId="0" fontId="167" fillId="69" borderId="7" applyNumberFormat="0" applyFont="0" applyAlignment="0" applyProtection="0"/>
    <xf numFmtId="0" fontId="167" fillId="69" borderId="7" applyNumberFormat="0" applyFont="0" applyAlignment="0" applyProtection="0"/>
    <xf numFmtId="0" fontId="167" fillId="69" borderId="7" applyNumberFormat="0" applyFont="0" applyAlignment="0" applyProtection="0"/>
    <xf numFmtId="0" fontId="178" fillId="67" borderId="34" applyNumberFormat="0" applyAlignment="0" applyProtection="0"/>
    <xf numFmtId="0" fontId="178" fillId="67"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0" fontId="170" fillId="68" borderId="34" applyNumberFormat="0" applyAlignment="0" applyProtection="0"/>
    <xf numFmtId="184"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78" fillId="67" borderId="34" applyNumberFormat="0" applyAlignment="0" applyProtection="0"/>
    <xf numFmtId="9" fontId="3" fillId="0" borderId="0" applyFont="0" applyFill="0" applyBorder="0" applyAlignment="0" applyProtection="0"/>
    <xf numFmtId="0" fontId="178" fillId="67" borderId="34" applyNumberFormat="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178" fillId="67" borderId="34" applyNumberFormat="0" applyAlignment="0" applyProtection="0"/>
    <xf numFmtId="0" fontId="178" fillId="67" borderId="34" applyNumberFormat="0" applyAlignment="0" applyProtection="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178" fillId="67" borderId="34" applyNumberFormat="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3" fillId="0" borderId="0"/>
    <xf numFmtId="0" fontId="178" fillId="67" borderId="34" applyNumberFormat="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0" fontId="178" fillId="67" borderId="34" applyNumberFormat="0" applyAlignment="0" applyProtection="0"/>
    <xf numFmtId="9" fontId="3" fillId="0" borderId="0" applyFont="0" applyFill="0" applyBorder="0" applyAlignment="0" applyProtection="0"/>
    <xf numFmtId="9"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0" fontId="3" fillId="0" borderId="0"/>
    <xf numFmtId="0" fontId="178" fillId="67" borderId="34" applyNumberFormat="0" applyAlignment="0" applyProtection="0"/>
    <xf numFmtId="9" fontId="3" fillId="0" borderId="0" applyFont="0" applyFill="0" applyBorder="0" applyAlignment="0" applyProtection="0"/>
    <xf numFmtId="43" fontId="3" fillId="0" borderId="0" applyFont="0" applyFill="0" applyBorder="0" applyAlignment="0" applyProtection="0"/>
    <xf numFmtId="0" fontId="178" fillId="67" borderId="34" applyNumberFormat="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0" fontId="3" fillId="0" borderId="0"/>
    <xf numFmtId="0" fontId="178" fillId="67" borderId="34" applyNumberFormat="0" applyAlignment="0" applyProtection="0"/>
    <xf numFmtId="9" fontId="3" fillId="0" borderId="0" applyFont="0" applyFill="0" applyBorder="0" applyAlignment="0" applyProtection="0"/>
    <xf numFmtId="43" fontId="3" fillId="0" borderId="0" applyFont="0" applyFill="0" applyBorder="0" applyAlignment="0" applyProtection="0"/>
    <xf numFmtId="0" fontId="178" fillId="67" borderId="34" applyNumberFormat="0" applyAlignment="0" applyProtection="0"/>
    <xf numFmtId="43" fontId="3" fillId="0" borderId="0" applyFont="0" applyFill="0" applyBorder="0" applyAlignment="0" applyProtection="0"/>
    <xf numFmtId="0" fontId="3" fillId="0" borderId="0"/>
    <xf numFmtId="0" fontId="3" fillId="0" borderId="0"/>
    <xf numFmtId="0" fontId="178" fillId="67" borderId="34" applyNumberFormat="0" applyAlignment="0" applyProtection="0"/>
    <xf numFmtId="0" fontId="3" fillId="0" borderId="0"/>
    <xf numFmtId="0" fontId="3" fillId="0" borderId="0"/>
    <xf numFmtId="9" fontId="3" fillId="0" borderId="0" applyFont="0" applyFill="0" applyBorder="0" applyAlignment="0" applyProtection="0"/>
    <xf numFmtId="0" fontId="178" fillId="67" borderId="34" applyNumberFormat="0" applyAlignment="0" applyProtection="0"/>
    <xf numFmtId="9" fontId="3" fillId="0" borderId="0" applyFont="0" applyFill="0" applyBorder="0" applyAlignment="0" applyProtection="0"/>
    <xf numFmtId="0" fontId="178" fillId="67" borderId="34" applyNumberFormat="0" applyAlignment="0" applyProtection="0"/>
    <xf numFmtId="43" fontId="3" fillId="0" borderId="0" applyFont="0" applyFill="0" applyBorder="0" applyAlignment="0" applyProtection="0"/>
    <xf numFmtId="43" fontId="3" fillId="0" borderId="0" applyFont="0" applyFill="0" applyBorder="0" applyAlignment="0" applyProtection="0"/>
    <xf numFmtId="0" fontId="178" fillId="67" borderId="34" applyNumberFormat="0" applyAlignment="0" applyProtection="0"/>
    <xf numFmtId="43" fontId="3"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178" fillId="67" borderId="34" applyNumberFormat="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178" fillId="67" borderId="34" applyNumberFormat="0" applyAlignment="0" applyProtection="0"/>
    <xf numFmtId="43"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178" fillId="67" borderId="34" applyNumberFormat="0" applyAlignment="0" applyProtection="0"/>
    <xf numFmtId="0" fontId="178" fillId="67" borderId="34" applyNumberFormat="0" applyAlignment="0" applyProtection="0"/>
    <xf numFmtId="43" fontId="3"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9"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0" fontId="3" fillId="0" borderId="0"/>
    <xf numFmtId="0" fontId="178" fillId="67" borderId="34" applyNumberFormat="0" applyAlignment="0" applyProtection="0"/>
    <xf numFmtId="9"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9" fontId="3" fillId="0" borderId="0" applyFont="0" applyFill="0" applyBorder="0" applyAlignment="0" applyProtection="0"/>
    <xf numFmtId="0" fontId="3" fillId="0" borderId="0"/>
    <xf numFmtId="0" fontId="3" fillId="0" borderId="0"/>
    <xf numFmtId="0" fontId="3" fillId="0" borderId="0"/>
    <xf numFmtId="9" fontId="3" fillId="0" borderId="0" applyFont="0" applyFill="0" applyBorder="0" applyAlignment="0" applyProtection="0"/>
    <xf numFmtId="166" fontId="3" fillId="0" borderId="0" applyFont="0" applyFill="0" applyBorder="0" applyAlignment="0" applyProtection="0"/>
    <xf numFmtId="0" fontId="3" fillId="0" borderId="0"/>
    <xf numFmtId="166"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66" fontId="3" fillId="0" borderId="0" applyFont="0" applyFill="0" applyBorder="0" applyAlignment="0" applyProtection="0"/>
    <xf numFmtId="9" fontId="3" fillId="0" borderId="0" applyFont="0" applyFill="0" applyBorder="0" applyAlignment="0" applyProtection="0"/>
    <xf numFmtId="0" fontId="3" fillId="0" borderId="0"/>
    <xf numFmtId="166" fontId="3" fillId="0" borderId="0" applyFont="0" applyFill="0" applyBorder="0" applyAlignment="0" applyProtection="0"/>
    <xf numFmtId="0" fontId="178" fillId="67" borderId="34" applyNumberFormat="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0" fontId="178" fillId="67" borderId="34" applyNumberFormat="0" applyAlignment="0" applyProtection="0"/>
    <xf numFmtId="166" fontId="3" fillId="0" borderId="0" applyFont="0" applyFill="0" applyBorder="0" applyAlignment="0" applyProtection="0"/>
    <xf numFmtId="166" fontId="3" fillId="0" borderId="0" applyFont="0" applyFill="0" applyBorder="0" applyAlignment="0" applyProtection="0"/>
    <xf numFmtId="9" fontId="3" fillId="0" borderId="0" applyFont="0" applyFill="0" applyBorder="0" applyAlignment="0" applyProtection="0"/>
    <xf numFmtId="0" fontId="178" fillId="67" borderId="34" applyNumberFormat="0" applyAlignment="0" applyProtection="0"/>
    <xf numFmtId="0" fontId="178" fillId="67" borderId="34" applyNumberFormat="0" applyAlignment="0" applyProtection="0"/>
    <xf numFmtId="0" fontId="3" fillId="0" borderId="0"/>
    <xf numFmtId="0" fontId="178" fillId="67" borderId="34" applyNumberFormat="0" applyAlignment="0" applyProtection="0"/>
    <xf numFmtId="0" fontId="178" fillId="67" borderId="34" applyNumberFormat="0" applyAlignment="0" applyProtection="0"/>
    <xf numFmtId="9" fontId="3" fillId="0" borderId="0" applyFont="0" applyFill="0" applyBorder="0" applyAlignment="0" applyProtection="0"/>
    <xf numFmtId="0" fontId="3" fillId="0" borderId="0"/>
    <xf numFmtId="0" fontId="178" fillId="67" borderId="34" applyNumberFormat="0" applyAlignment="0" applyProtection="0"/>
    <xf numFmtId="0" fontId="3" fillId="0" borderId="0"/>
    <xf numFmtId="9" fontId="3" fillId="0" borderId="0" applyFont="0" applyFill="0" applyBorder="0" applyAlignment="0" applyProtection="0"/>
    <xf numFmtId="0" fontId="3" fillId="0" borderId="0"/>
    <xf numFmtId="0" fontId="178" fillId="67" borderId="34" applyNumberFormat="0" applyAlignment="0" applyProtection="0"/>
    <xf numFmtId="0" fontId="3" fillId="0" borderId="0"/>
    <xf numFmtId="166" fontId="3" fillId="0" borderId="0" applyFont="0" applyFill="0" applyBorder="0" applyAlignment="0" applyProtection="0"/>
    <xf numFmtId="0" fontId="178" fillId="67" borderId="34" applyNumberFormat="0" applyAlignment="0" applyProtection="0"/>
    <xf numFmtId="0" fontId="178" fillId="67" borderId="34" applyNumberFormat="0" applyAlignment="0" applyProtection="0"/>
    <xf numFmtId="166"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66" fontId="3" fillId="0" borderId="0" applyFont="0" applyFill="0" applyBorder="0" applyAlignment="0" applyProtection="0"/>
    <xf numFmtId="0" fontId="3" fillId="0" borderId="0"/>
    <xf numFmtId="0" fontId="3" fillId="0" borderId="0"/>
    <xf numFmtId="166"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66" fontId="3" fillId="0" borderId="0" applyFont="0" applyFill="0" applyBorder="0" applyAlignment="0" applyProtection="0"/>
    <xf numFmtId="0" fontId="3" fillId="0" borderId="0"/>
    <xf numFmtId="166"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166" fontId="3" fillId="0" borderId="0" applyFont="0" applyFill="0" applyBorder="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166" fontId="3" fillId="0" borderId="0" applyFont="0" applyFill="0" applyBorder="0" applyAlignment="0" applyProtection="0"/>
    <xf numFmtId="0" fontId="3" fillId="0" borderId="0"/>
    <xf numFmtId="0" fontId="178" fillId="67" borderId="34" applyNumberFormat="0" applyAlignment="0" applyProtection="0"/>
    <xf numFmtId="9" fontId="3" fillId="0" borderId="0" applyFont="0" applyFill="0" applyBorder="0" applyAlignment="0" applyProtection="0"/>
    <xf numFmtId="0" fontId="3" fillId="0" borderId="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9" fontId="3" fillId="0" borderId="0" applyFont="0" applyFill="0" applyBorder="0" applyAlignment="0" applyProtection="0"/>
    <xf numFmtId="0" fontId="3" fillId="0" borderId="0"/>
    <xf numFmtId="0" fontId="178" fillId="67" borderId="34" applyNumberFormat="0" applyAlignment="0" applyProtection="0"/>
    <xf numFmtId="0" fontId="178" fillId="67" borderId="34" applyNumberFormat="0" applyAlignment="0" applyProtection="0"/>
    <xf numFmtId="166" fontId="3" fillId="0" borderId="0" applyFont="0" applyFill="0" applyBorder="0" applyAlignment="0" applyProtection="0"/>
    <xf numFmtId="0" fontId="3" fillId="0" borderId="0"/>
    <xf numFmtId="166"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178" fillId="67" borderId="34" applyNumberFormat="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5" fontId="12" fillId="0" borderId="0" applyFill="0" applyBorder="0" applyProtection="0">
      <alignment horizontal="right" wrapText="1"/>
    </xf>
    <xf numFmtId="165" fontId="14" fillId="0" borderId="0" applyFill="0" applyBorder="0" applyProtection="0">
      <alignment horizontal="right" wrapText="1"/>
    </xf>
    <xf numFmtId="165" fontId="312" fillId="0" borderId="0" applyFill="0" applyBorder="0" applyProtection="0">
      <alignment horizontal="right" wrapText="1"/>
    </xf>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0" fontId="3" fillId="0" borderId="0"/>
    <xf numFmtId="166" fontId="16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9" fontId="3" fillId="0" borderId="0" applyFont="0" applyFill="0" applyBorder="0" applyAlignment="0" applyProtection="0"/>
    <xf numFmtId="166" fontId="3" fillId="0" borderId="0" applyFont="0" applyFill="0" applyBorder="0" applyAlignment="0" applyProtection="0"/>
    <xf numFmtId="0" fontId="178" fillId="67" borderId="34" applyNumberFormat="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xf numFmtId="166" fontId="3"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25" fillId="0" borderId="0" applyFont="0" applyFill="0" applyBorder="0" applyAlignment="0" applyProtection="0"/>
    <xf numFmtId="166" fontId="325" fillId="0" borderId="0" applyFont="0" applyFill="0" applyBorder="0" applyAlignment="0" applyProtection="0"/>
    <xf numFmtId="166" fontId="3" fillId="0" borderId="0" applyFont="0" applyFill="0" applyBorder="0" applyAlignment="0" applyProtection="0"/>
    <xf numFmtId="0" fontId="178" fillId="67" borderId="34" applyNumberFormat="0" applyAlignment="0" applyProtection="0"/>
    <xf numFmtId="166" fontId="3" fillId="0" borderId="0" applyFont="0" applyFill="0" applyBorder="0" applyAlignment="0" applyProtection="0"/>
    <xf numFmtId="0" fontId="178" fillId="67" borderId="34" applyNumberFormat="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20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96"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9"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96" fillId="0" borderId="0" applyFont="0" applyFill="0" applyBorder="0" applyAlignment="0" applyProtection="0"/>
    <xf numFmtId="166"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78" fillId="67" borderId="34" applyNumberFormat="0" applyAlignment="0" applyProtection="0"/>
    <xf numFmtId="166" fontId="3" fillId="0" borderId="0" applyFont="0" applyFill="0" applyBorder="0" applyAlignment="0" applyProtection="0"/>
    <xf numFmtId="166" fontId="3" fillId="0" borderId="0" applyFont="0" applyFill="0" applyBorder="0" applyAlignment="0" applyProtection="0"/>
    <xf numFmtId="0" fontId="178" fillId="67" borderId="34" applyNumberFormat="0" applyAlignment="0" applyProtection="0"/>
    <xf numFmtId="166" fontId="3"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6" fontId="207"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89"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89"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237" fillId="0" borderId="0" applyFont="0" applyFill="0" applyBorder="0" applyAlignment="0" applyProtection="0"/>
    <xf numFmtId="166" fontId="237" fillId="0" borderId="0" applyFont="0" applyFill="0" applyBorder="0" applyAlignment="0" applyProtection="0"/>
    <xf numFmtId="166" fontId="237"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237"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23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4" fontId="1"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25" fillId="0" borderId="0" applyFont="0" applyFill="0" applyBorder="0" applyAlignment="0" applyProtection="0"/>
    <xf numFmtId="166" fontId="325"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96"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20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0" fontId="3" fillId="0" borderId="0"/>
    <xf numFmtId="0" fontId="178" fillId="67" borderId="34" applyNumberFormat="0" applyAlignment="0" applyProtection="0"/>
    <xf numFmtId="166"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78" fillId="67" borderId="34" applyNumberFormat="0" applyAlignment="0" applyProtection="0"/>
    <xf numFmtId="0" fontId="178" fillId="67" borderId="34" applyNumberFormat="0" applyAlignment="0" applyProtection="0"/>
    <xf numFmtId="9"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6" fontId="207"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89"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89"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237" fillId="0" borderId="0" applyFont="0" applyFill="0" applyBorder="0" applyAlignment="0" applyProtection="0"/>
    <xf numFmtId="166" fontId="237" fillId="0" borderId="0" applyFont="0" applyFill="0" applyBorder="0" applyAlignment="0" applyProtection="0"/>
    <xf numFmtId="166" fontId="237"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237"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23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4" fontId="1"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0" fontId="178" fillId="67" borderId="34" applyNumberFormat="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8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8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178" fillId="67" borderId="34" applyNumberFormat="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96"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20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166" fontId="3" fillId="0" borderId="0" applyFont="0" applyFill="0" applyBorder="0" applyAlignment="0" applyProtection="0"/>
    <xf numFmtId="9" fontId="3" fillId="0" borderId="0" applyFont="0" applyFill="0" applyBorder="0" applyAlignment="0" applyProtection="0"/>
    <xf numFmtId="0" fontId="3" fillId="0" borderId="0"/>
    <xf numFmtId="166" fontId="3"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6" fontId="207"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89"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89"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237" fillId="0" borderId="0" applyFont="0" applyFill="0" applyBorder="0" applyAlignment="0" applyProtection="0"/>
    <xf numFmtId="166" fontId="237" fillId="0" borderId="0" applyFont="0" applyFill="0" applyBorder="0" applyAlignment="0" applyProtection="0"/>
    <xf numFmtId="166" fontId="237"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237"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23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4" fontId="1"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20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0" fontId="3" fillId="0" borderId="0"/>
    <xf numFmtId="0" fontId="178" fillId="67" borderId="34" applyNumberFormat="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166" fontId="3" fillId="0" borderId="0" applyFont="0" applyFill="0" applyBorder="0" applyAlignment="0" applyProtection="0"/>
    <xf numFmtId="0" fontId="3" fillId="0" borderId="0"/>
    <xf numFmtId="166" fontId="1"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6" fontId="207"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89"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89"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237" fillId="0" borderId="0" applyFont="0" applyFill="0" applyBorder="0" applyAlignment="0" applyProtection="0"/>
    <xf numFmtId="166" fontId="237" fillId="0" borderId="0" applyFont="0" applyFill="0" applyBorder="0" applyAlignment="0" applyProtection="0"/>
    <xf numFmtId="166" fontId="237"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237"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23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189"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4" fontId="1"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64" fontId="16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6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6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84" fontId="3" fillId="0" borderId="0" applyFont="0" applyFill="0" applyBorder="0" applyAlignment="0" applyProtection="0"/>
    <xf numFmtId="0" fontId="3" fillId="0" borderId="0"/>
    <xf numFmtId="0" fontId="3" fillId="0" borderId="0"/>
    <xf numFmtId="166" fontId="3" fillId="0" borderId="0" applyFont="0" applyFill="0" applyBorder="0" applyAlignment="0" applyProtection="0"/>
    <xf numFmtId="0" fontId="3" fillId="0" borderId="0"/>
    <xf numFmtId="9" fontId="3" fillId="0" borderId="0" applyFont="0" applyFill="0" applyBorder="0" applyAlignment="0" applyProtection="0"/>
    <xf numFmtId="0" fontId="178" fillId="67" borderId="34" applyNumberFormat="0" applyAlignment="0" applyProtection="0"/>
    <xf numFmtId="0" fontId="178" fillId="67" borderId="34" applyNumberFormat="0" applyAlignment="0" applyProtection="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0" fontId="3" fillId="0" borderId="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cellStyleXfs>
  <cellXfs count="2174">
    <xf numFmtId="0" fontId="0" fillId="0" borderId="0" xfId="0"/>
    <xf numFmtId="37" fontId="11" fillId="5" borderId="0" xfId="1" applyNumberFormat="1" applyFont="1" applyFill="1" applyBorder="1" applyAlignment="1">
      <alignment horizontal="center" vertical="center"/>
    </xf>
    <xf numFmtId="37" fontId="11" fillId="5" borderId="0" xfId="1" applyNumberFormat="1" applyFont="1" applyFill="1" applyBorder="1" applyAlignment="1">
      <alignment vertical="center"/>
    </xf>
    <xf numFmtId="0" fontId="19" fillId="3" borderId="0" xfId="0" applyFont="1" applyFill="1" applyAlignment="1">
      <alignment horizontal="left"/>
    </xf>
    <xf numFmtId="37" fontId="9" fillId="3" borderId="0" xfId="3" applyNumberFormat="1" applyFont="1" applyFill="1" applyAlignment="1">
      <alignment horizontal="left"/>
    </xf>
    <xf numFmtId="37" fontId="3" fillId="3" borderId="0" xfId="1" applyNumberFormat="1" applyFont="1" applyFill="1" applyBorder="1" applyAlignment="1">
      <alignment vertical="center"/>
    </xf>
    <xf numFmtId="0" fontId="25" fillId="2" borderId="0" xfId="3" applyFont="1" applyFill="1"/>
    <xf numFmtId="169" fontId="27" fillId="2" borderId="0" xfId="13889" applyNumberFormat="1" applyFont="1" applyFill="1"/>
    <xf numFmtId="169" fontId="27" fillId="2" borderId="0" xfId="13889" applyNumberFormat="1" applyFont="1" applyFill="1" applyBorder="1"/>
    <xf numFmtId="169" fontId="28" fillId="2" borderId="0" xfId="13889" applyNumberFormat="1" applyFont="1" applyFill="1"/>
    <xf numFmtId="170" fontId="27" fillId="2" borderId="0" xfId="1" applyNumberFormat="1" applyFont="1" applyFill="1"/>
    <xf numFmtId="169" fontId="29" fillId="2" borderId="0" xfId="13889" applyNumberFormat="1" applyFont="1" applyFill="1" applyBorder="1"/>
    <xf numFmtId="169" fontId="27" fillId="3" borderId="0" xfId="13889" applyNumberFormat="1" applyFont="1" applyFill="1" applyBorder="1"/>
    <xf numFmtId="170" fontId="27" fillId="2" borderId="0" xfId="1" applyNumberFormat="1" applyFont="1" applyFill="1" applyBorder="1"/>
    <xf numFmtId="169" fontId="27" fillId="3" borderId="0" xfId="13889" applyNumberFormat="1" applyFont="1" applyFill="1"/>
    <xf numFmtId="166" fontId="27" fillId="2" borderId="0" xfId="1" applyFont="1" applyFill="1" applyBorder="1"/>
    <xf numFmtId="166" fontId="27" fillId="3" borderId="0" xfId="1" applyFont="1" applyFill="1" applyBorder="1"/>
    <xf numFmtId="0" fontId="27" fillId="2" borderId="0" xfId="3" applyFont="1" applyFill="1"/>
    <xf numFmtId="171" fontId="28" fillId="2" borderId="0" xfId="1" applyNumberFormat="1" applyFont="1" applyFill="1"/>
    <xf numFmtId="171" fontId="28" fillId="3" borderId="0" xfId="1" applyNumberFormat="1" applyFont="1" applyFill="1"/>
    <xf numFmtId="171" fontId="32" fillId="3" borderId="0" xfId="1" applyNumberFormat="1" applyFont="1" applyFill="1" applyBorder="1" applyAlignment="1">
      <alignment horizontal="center"/>
    </xf>
    <xf numFmtId="171" fontId="32" fillId="2" borderId="0" xfId="1" applyNumberFormat="1" applyFont="1" applyFill="1" applyBorder="1" applyAlignment="1">
      <alignment horizontal="center"/>
    </xf>
    <xf numFmtId="171" fontId="32" fillId="2" borderId="0" xfId="1" applyNumberFormat="1" applyFont="1" applyFill="1" applyBorder="1"/>
    <xf numFmtId="171" fontId="27" fillId="2" borderId="0" xfId="1" applyNumberFormat="1" applyFont="1" applyFill="1"/>
    <xf numFmtId="171" fontId="27" fillId="2" borderId="0" xfId="1" applyNumberFormat="1" applyFont="1" applyFill="1" applyBorder="1"/>
    <xf numFmtId="166" fontId="28" fillId="3" borderId="0" xfId="1" applyFont="1" applyFill="1"/>
    <xf numFmtId="166" fontId="27" fillId="3" borderId="0" xfId="1" applyFont="1" applyFill="1"/>
    <xf numFmtId="166" fontId="27" fillId="2" borderId="0" xfId="1" applyFont="1" applyFill="1"/>
    <xf numFmtId="170" fontId="27" fillId="2" borderId="0" xfId="3" applyNumberFormat="1" applyFont="1" applyFill="1"/>
    <xf numFmtId="171" fontId="27" fillId="2" borderId="0" xfId="3" applyNumberFormat="1" applyFont="1" applyFill="1"/>
    <xf numFmtId="1" fontId="25" fillId="2" borderId="0" xfId="1" applyNumberFormat="1" applyFont="1" applyFill="1"/>
    <xf numFmtId="166" fontId="25" fillId="2" borderId="0" xfId="1" applyFont="1" applyFill="1"/>
    <xf numFmtId="166" fontId="25" fillId="2" borderId="0" xfId="1" applyFont="1" applyFill="1" applyBorder="1"/>
    <xf numFmtId="171" fontId="25" fillId="2" borderId="0" xfId="1" applyNumberFormat="1" applyFont="1" applyFill="1"/>
    <xf numFmtId="171" fontId="25" fillId="2" borderId="0" xfId="1" applyNumberFormat="1" applyFont="1" applyFill="1" applyBorder="1"/>
    <xf numFmtId="2" fontId="27" fillId="2" borderId="0" xfId="13889" applyNumberFormat="1" applyFont="1" applyFill="1"/>
    <xf numFmtId="172" fontId="27" fillId="2" borderId="0" xfId="13889" applyNumberFormat="1" applyFont="1" applyFill="1"/>
    <xf numFmtId="172" fontId="34" fillId="2" borderId="0" xfId="13889" applyNumberFormat="1" applyFont="1" applyFill="1" applyBorder="1"/>
    <xf numFmtId="2" fontId="34" fillId="2" borderId="0" xfId="13889" applyNumberFormat="1" applyFont="1" applyFill="1" applyBorder="1"/>
    <xf numFmtId="2" fontId="34" fillId="13" borderId="0" xfId="3" applyNumberFormat="1" applyFont="1" applyFill="1" applyAlignment="1">
      <alignment horizontal="center"/>
    </xf>
    <xf numFmtId="0" fontId="36" fillId="2" borderId="0" xfId="3" applyFont="1" applyFill="1" applyAlignment="1">
      <alignment horizontal="center"/>
    </xf>
    <xf numFmtId="166" fontId="36" fillId="2" borderId="0" xfId="1" applyFont="1" applyFill="1" applyAlignment="1">
      <alignment horizontal="center"/>
    </xf>
    <xf numFmtId="169" fontId="37" fillId="2" borderId="0" xfId="13889" applyNumberFormat="1" applyFont="1" applyFill="1" applyAlignment="1">
      <alignment horizontal="center"/>
    </xf>
    <xf numFmtId="166" fontId="37" fillId="2" borderId="0" xfId="1" applyFont="1" applyFill="1" applyAlignment="1">
      <alignment horizontal="center"/>
    </xf>
    <xf numFmtId="0" fontId="37" fillId="2" borderId="0" xfId="3" applyFont="1" applyFill="1" applyAlignment="1">
      <alignment horizontal="center"/>
    </xf>
    <xf numFmtId="0" fontId="37" fillId="2" borderId="0" xfId="3" applyFont="1" applyFill="1"/>
    <xf numFmtId="166" fontId="37" fillId="2" borderId="0" xfId="1" applyFont="1" applyFill="1"/>
    <xf numFmtId="166" fontId="37" fillId="2" borderId="0" xfId="1" applyFont="1" applyFill="1" applyBorder="1"/>
    <xf numFmtId="170" fontId="34" fillId="2" borderId="0" xfId="1" applyNumberFormat="1" applyFont="1" applyFill="1"/>
    <xf numFmtId="170" fontId="34" fillId="2" borderId="0" xfId="1" applyNumberFormat="1" applyFont="1" applyFill="1" applyBorder="1" applyAlignment="1">
      <alignment horizontal="center"/>
    </xf>
    <xf numFmtId="0" fontId="34" fillId="2" borderId="0" xfId="3" applyFont="1" applyFill="1" applyAlignment="1">
      <alignment horizontal="center"/>
    </xf>
    <xf numFmtId="0" fontId="34" fillId="2" borderId="0" xfId="3" applyFont="1" applyFill="1" applyAlignment="1">
      <alignment horizontal="right"/>
    </xf>
    <xf numFmtId="166" fontId="34" fillId="2" borderId="0" xfId="1" applyFont="1" applyFill="1" applyAlignment="1">
      <alignment horizontal="center"/>
    </xf>
    <xf numFmtId="171" fontId="25" fillId="2" borderId="0" xfId="3" applyNumberFormat="1" applyFont="1" applyFill="1" applyAlignment="1">
      <alignment horizontal="center"/>
    </xf>
    <xf numFmtId="0" fontId="37" fillId="13" borderId="0" xfId="3" applyFont="1" applyFill="1" applyAlignment="1">
      <alignment horizontal="center"/>
    </xf>
    <xf numFmtId="169" fontId="37" fillId="2" borderId="0" xfId="13889" applyNumberFormat="1" applyFont="1" applyFill="1" applyAlignment="1">
      <alignment horizontal="right"/>
    </xf>
    <xf numFmtId="0" fontId="37" fillId="2" borderId="0" xfId="3" applyFont="1" applyFill="1" applyAlignment="1">
      <alignment horizontal="right"/>
    </xf>
    <xf numFmtId="170" fontId="34" fillId="14" borderId="0" xfId="1" applyNumberFormat="1" applyFont="1" applyFill="1" applyBorder="1" applyAlignment="1">
      <alignment horizontal="center"/>
    </xf>
    <xf numFmtId="43" fontId="34" fillId="14" borderId="0" xfId="1" applyNumberFormat="1" applyFont="1" applyFill="1" applyBorder="1" applyAlignment="1">
      <alignment horizontal="center"/>
    </xf>
    <xf numFmtId="170" fontId="34" fillId="14" borderId="0" xfId="1" applyNumberFormat="1" applyFont="1" applyFill="1" applyAlignment="1">
      <alignment horizontal="center"/>
    </xf>
    <xf numFmtId="0" fontId="34" fillId="6" borderId="0" xfId="3" applyFont="1" applyFill="1" applyAlignment="1">
      <alignment horizontal="center"/>
    </xf>
    <xf numFmtId="10" fontId="27" fillId="2" borderId="0" xfId="3" applyNumberFormat="1" applyFont="1" applyFill="1"/>
    <xf numFmtId="171" fontId="37" fillId="2" borderId="0" xfId="3" applyNumberFormat="1" applyFont="1" applyFill="1"/>
    <xf numFmtId="171" fontId="37" fillId="2" borderId="0" xfId="1" applyNumberFormat="1" applyFont="1" applyFill="1"/>
    <xf numFmtId="171" fontId="37" fillId="2" borderId="0" xfId="1" applyNumberFormat="1" applyFont="1" applyFill="1" applyBorder="1"/>
    <xf numFmtId="171" fontId="25" fillId="2" borderId="0" xfId="3" applyNumberFormat="1" applyFont="1" applyFill="1"/>
    <xf numFmtId="9" fontId="27" fillId="2" borderId="0" xfId="3" applyNumberFormat="1" applyFont="1" applyFill="1"/>
    <xf numFmtId="9" fontId="27" fillId="15" borderId="12" xfId="3" applyNumberFormat="1" applyFont="1" applyFill="1" applyBorder="1"/>
    <xf numFmtId="9" fontId="27" fillId="15" borderId="13" xfId="3" applyNumberFormat="1" applyFont="1" applyFill="1" applyBorder="1"/>
    <xf numFmtId="9" fontId="27" fillId="15" borderId="14" xfId="3" applyNumberFormat="1" applyFont="1" applyFill="1" applyBorder="1"/>
    <xf numFmtId="9" fontId="27" fillId="16" borderId="12" xfId="3" applyNumberFormat="1" applyFont="1" applyFill="1" applyBorder="1"/>
    <xf numFmtId="9" fontId="27" fillId="16" borderId="13" xfId="3" applyNumberFormat="1" applyFont="1" applyFill="1" applyBorder="1"/>
    <xf numFmtId="9" fontId="27" fillId="16" borderId="14" xfId="3" applyNumberFormat="1" applyFont="1" applyFill="1" applyBorder="1"/>
    <xf numFmtId="169" fontId="25" fillId="2" borderId="0" xfId="13889" applyNumberFormat="1" applyFont="1" applyFill="1"/>
    <xf numFmtId="9" fontId="25" fillId="2" borderId="0" xfId="13889" applyNumberFormat="1" applyFont="1" applyFill="1"/>
    <xf numFmtId="171" fontId="28" fillId="2" borderId="0" xfId="3" applyNumberFormat="1" applyFont="1" applyFill="1"/>
    <xf numFmtId="1" fontId="28" fillId="2" borderId="0" xfId="3" applyNumberFormat="1" applyFont="1" applyFill="1"/>
    <xf numFmtId="0" fontId="28" fillId="2" borderId="0" xfId="3" applyFont="1" applyFill="1"/>
    <xf numFmtId="0" fontId="39" fillId="2" borderId="0" xfId="3" applyFont="1" applyFill="1"/>
    <xf numFmtId="0" fontId="40" fillId="2" borderId="0" xfId="3" applyFont="1" applyFill="1"/>
    <xf numFmtId="171" fontId="39" fillId="2" borderId="0" xfId="3" applyNumberFormat="1" applyFont="1" applyFill="1"/>
    <xf numFmtId="171" fontId="40" fillId="2" borderId="0" xfId="3" applyNumberFormat="1" applyFont="1" applyFill="1"/>
    <xf numFmtId="171" fontId="41" fillId="2" borderId="0" xfId="1" applyNumberFormat="1" applyFont="1" applyFill="1"/>
    <xf numFmtId="169" fontId="37" fillId="2" borderId="0" xfId="13889" applyNumberFormat="1" applyFont="1" applyFill="1" applyBorder="1"/>
    <xf numFmtId="0" fontId="34" fillId="2" borderId="0" xfId="3" applyFont="1" applyFill="1"/>
    <xf numFmtId="9" fontId="27" fillId="2" borderId="0" xfId="13889" applyNumberFormat="1" applyFont="1" applyFill="1" applyBorder="1"/>
    <xf numFmtId="0" fontId="37" fillId="2" borderId="0" xfId="3" applyFont="1" applyFill="1" applyAlignment="1">
      <alignment horizontal="left"/>
    </xf>
    <xf numFmtId="0" fontId="36" fillId="2" borderId="0" xfId="3" applyFont="1" applyFill="1"/>
    <xf numFmtId="166" fontId="36" fillId="2" borderId="0" xfId="1" applyFont="1" applyFill="1"/>
    <xf numFmtId="0" fontId="36" fillId="2" borderId="0" xfId="3" applyFont="1" applyFill="1" applyAlignment="1">
      <alignment horizontal="left"/>
    </xf>
    <xf numFmtId="0" fontId="25" fillId="2" borderId="0" xfId="3" applyFont="1" applyFill="1" applyAlignment="1">
      <alignment horizontal="left"/>
    </xf>
    <xf numFmtId="169" fontId="45" fillId="2" borderId="0" xfId="13889" applyNumberFormat="1" applyFont="1" applyFill="1" applyBorder="1"/>
    <xf numFmtId="169" fontId="26" fillId="2" borderId="0" xfId="13889" applyNumberFormat="1" applyFont="1" applyFill="1"/>
    <xf numFmtId="169" fontId="26" fillId="2" borderId="0" xfId="13889" applyNumberFormat="1" applyFont="1" applyFill="1" applyBorder="1"/>
    <xf numFmtId="0" fontId="26" fillId="2" borderId="0" xfId="3" applyFont="1" applyFill="1"/>
    <xf numFmtId="169" fontId="36" fillId="2" borderId="0" xfId="13889" applyNumberFormat="1" applyFont="1" applyFill="1" applyBorder="1"/>
    <xf numFmtId="0" fontId="36" fillId="17" borderId="0" xfId="3" applyFont="1" applyFill="1"/>
    <xf numFmtId="169" fontId="36" fillId="17" borderId="0" xfId="13889" applyNumberFormat="1" applyFont="1" applyFill="1" applyBorder="1"/>
    <xf numFmtId="0" fontId="36" fillId="17" borderId="0" xfId="3" applyFont="1" applyFill="1" applyAlignment="1">
      <alignment horizontal="center"/>
    </xf>
    <xf numFmtId="171" fontId="36" fillId="17" borderId="0" xfId="3" applyNumberFormat="1" applyFont="1" applyFill="1"/>
    <xf numFmtId="171" fontId="34" fillId="17" borderId="0" xfId="3" applyNumberFormat="1" applyFont="1" applyFill="1"/>
    <xf numFmtId="171" fontId="36" fillId="17" borderId="0" xfId="1" applyNumberFormat="1" applyFont="1" applyFill="1"/>
    <xf numFmtId="171" fontId="34" fillId="2" borderId="0" xfId="3" applyNumberFormat="1" applyFont="1" applyFill="1"/>
    <xf numFmtId="0" fontId="47" fillId="2" borderId="0" xfId="3" applyFont="1" applyFill="1"/>
    <xf numFmtId="171" fontId="47" fillId="2" borderId="0" xfId="1" applyNumberFormat="1" applyFont="1" applyFill="1"/>
    <xf numFmtId="171" fontId="47" fillId="2" borderId="0" xfId="3" applyNumberFormat="1" applyFont="1" applyFill="1"/>
    <xf numFmtId="171" fontId="28" fillId="2" borderId="0" xfId="1" applyNumberFormat="1" applyFont="1" applyFill="1" applyBorder="1"/>
    <xf numFmtId="169" fontId="28" fillId="2" borderId="0" xfId="13889" applyNumberFormat="1" applyFont="1" applyFill="1" applyBorder="1"/>
    <xf numFmtId="10" fontId="27" fillId="2" borderId="0" xfId="13889" applyFont="1" applyFill="1"/>
    <xf numFmtId="171" fontId="39" fillId="2" borderId="0" xfId="1" applyNumberFormat="1" applyFont="1" applyFill="1"/>
    <xf numFmtId="10" fontId="37" fillId="2" borderId="0" xfId="13889" applyFont="1" applyFill="1"/>
    <xf numFmtId="169" fontId="37" fillId="2" borderId="0" xfId="13889" applyNumberFormat="1" applyFont="1" applyFill="1"/>
    <xf numFmtId="171" fontId="40" fillId="2" borderId="0" xfId="1" applyNumberFormat="1" applyFont="1" applyFill="1"/>
    <xf numFmtId="169" fontId="25" fillId="2" borderId="0" xfId="13889" applyNumberFormat="1" applyFont="1" applyFill="1" applyBorder="1"/>
    <xf numFmtId="169" fontId="27" fillId="0" borderId="0" xfId="13889" applyNumberFormat="1" applyFont="1" applyFill="1"/>
    <xf numFmtId="171" fontId="27" fillId="0" borderId="0" xfId="1" applyNumberFormat="1" applyFont="1" applyFill="1" applyBorder="1"/>
    <xf numFmtId="169" fontId="27" fillId="0" borderId="0" xfId="13889" applyNumberFormat="1" applyFont="1" applyFill="1" applyBorder="1"/>
    <xf numFmtId="176" fontId="27" fillId="0" borderId="0" xfId="13889" applyNumberFormat="1" applyFont="1" applyFill="1" applyBorder="1"/>
    <xf numFmtId="169" fontId="45" fillId="2" borderId="0" xfId="13889" applyNumberFormat="1" applyFont="1" applyFill="1"/>
    <xf numFmtId="0" fontId="45" fillId="2" borderId="0" xfId="3" applyFont="1" applyFill="1" applyAlignment="1">
      <alignment horizontal="center"/>
    </xf>
    <xf numFmtId="169" fontId="37" fillId="2" borderId="0" xfId="3" applyNumberFormat="1" applyFont="1" applyFill="1"/>
    <xf numFmtId="169" fontId="34" fillId="2" borderId="0" xfId="13889" applyNumberFormat="1" applyFont="1" applyFill="1" applyBorder="1"/>
    <xf numFmtId="0" fontId="34" fillId="2" borderId="0" xfId="3" applyFont="1" applyFill="1" applyAlignment="1">
      <alignment horizontal="left"/>
    </xf>
    <xf numFmtId="169" fontId="25" fillId="2" borderId="0" xfId="3" applyNumberFormat="1" applyFont="1" applyFill="1"/>
    <xf numFmtId="0" fontId="25" fillId="2" borderId="0" xfId="3" applyFont="1" applyFill="1" applyAlignment="1">
      <alignment horizontal="right"/>
    </xf>
    <xf numFmtId="169" fontId="52" fillId="2" borderId="0" xfId="13889" applyNumberFormat="1" applyFont="1" applyFill="1" applyBorder="1"/>
    <xf numFmtId="0" fontId="52" fillId="2" borderId="0" xfId="3" applyFont="1" applyFill="1" applyAlignment="1">
      <alignment horizontal="center"/>
    </xf>
    <xf numFmtId="171" fontId="27" fillId="0" borderId="0" xfId="3" applyNumberFormat="1" applyFont="1"/>
    <xf numFmtId="171" fontId="25" fillId="0" borderId="0" xfId="3" applyNumberFormat="1" applyFont="1"/>
    <xf numFmtId="169" fontId="27" fillId="2" borderId="0" xfId="3" applyNumberFormat="1" applyFont="1" applyFill="1"/>
    <xf numFmtId="171" fontId="27" fillId="2" borderId="0" xfId="1" applyNumberFormat="1" applyFont="1" applyFill="1" applyBorder="1" applyAlignment="1">
      <alignment horizontal="left"/>
    </xf>
    <xf numFmtId="169" fontId="47" fillId="2" borderId="0" xfId="3" applyNumberFormat="1" applyFont="1" applyFill="1"/>
    <xf numFmtId="171" fontId="34" fillId="0" borderId="0" xfId="3" applyNumberFormat="1" applyFont="1"/>
    <xf numFmtId="171" fontId="27" fillId="2" borderId="0" xfId="1" applyNumberFormat="1" applyFont="1" applyFill="1" applyBorder="1" applyAlignment="1">
      <alignment horizontal="right"/>
    </xf>
    <xf numFmtId="9" fontId="27" fillId="2" borderId="0" xfId="13889" applyNumberFormat="1" applyFont="1" applyFill="1"/>
    <xf numFmtId="171" fontId="54" fillId="2" borderId="0" xfId="1" applyNumberFormat="1" applyFont="1" applyFill="1"/>
    <xf numFmtId="171" fontId="41" fillId="2" borderId="0" xfId="1" applyNumberFormat="1" applyFont="1" applyFill="1" applyBorder="1"/>
    <xf numFmtId="171" fontId="25" fillId="14" borderId="0" xfId="1" applyNumberFormat="1" applyFont="1" applyFill="1" applyBorder="1"/>
    <xf numFmtId="171" fontId="25" fillId="14" borderId="0" xfId="3" applyNumberFormat="1" applyFont="1" applyFill="1"/>
    <xf numFmtId="171" fontId="55" fillId="14" borderId="0" xfId="1" applyNumberFormat="1" applyFont="1" applyFill="1" applyBorder="1"/>
    <xf numFmtId="171" fontId="55" fillId="14" borderId="0" xfId="3" applyNumberFormat="1" applyFont="1" applyFill="1"/>
    <xf numFmtId="0" fontId="34" fillId="14" borderId="0" xfId="3" applyFont="1" applyFill="1"/>
    <xf numFmtId="0" fontId="27" fillId="0" borderId="3" xfId="3" applyFont="1" applyBorder="1"/>
    <xf numFmtId="0" fontId="56" fillId="0" borderId="0" xfId="3" applyFont="1" applyAlignment="1">
      <alignment horizontal="center"/>
    </xf>
    <xf numFmtId="0" fontId="27" fillId="0" borderId="0" xfId="3" applyFont="1"/>
    <xf numFmtId="0" fontId="25" fillId="2" borderId="4" xfId="3" applyFont="1" applyFill="1" applyBorder="1"/>
    <xf numFmtId="39" fontId="27" fillId="18" borderId="3" xfId="3" applyNumberFormat="1" applyFont="1" applyFill="1" applyBorder="1"/>
    <xf numFmtId="39" fontId="27" fillId="0" borderId="0" xfId="3" applyNumberFormat="1" applyFont="1"/>
    <xf numFmtId="39" fontId="27" fillId="0" borderId="3" xfId="3" applyNumberFormat="1" applyFont="1" applyBorder="1"/>
    <xf numFmtId="39" fontId="27" fillId="18" borderId="0" xfId="3" applyNumberFormat="1" applyFont="1" applyFill="1"/>
    <xf numFmtId="0" fontId="26" fillId="0" borderId="0" xfId="3" applyFont="1"/>
    <xf numFmtId="0" fontId="25" fillId="2" borderId="3" xfId="3" applyFont="1" applyFill="1" applyBorder="1"/>
    <xf numFmtId="0" fontId="56" fillId="19" borderId="0" xfId="3" applyFont="1" applyFill="1" applyAlignment="1">
      <alignment horizontal="center"/>
    </xf>
    <xf numFmtId="0" fontId="27" fillId="19" borderId="0" xfId="3" applyFont="1" applyFill="1"/>
    <xf numFmtId="0" fontId="25" fillId="2" borderId="5" xfId="3" applyFont="1" applyFill="1" applyBorder="1"/>
    <xf numFmtId="0" fontId="25" fillId="2" borderId="11" xfId="3" applyFont="1" applyFill="1" applyBorder="1"/>
    <xf numFmtId="0" fontId="56" fillId="19" borderId="11" xfId="3" applyFont="1" applyFill="1" applyBorder="1" applyAlignment="1">
      <alignment horizontal="center"/>
    </xf>
    <xf numFmtId="0" fontId="27" fillId="19" borderId="11" xfId="3" applyFont="1" applyFill="1" applyBorder="1"/>
    <xf numFmtId="0" fontId="57" fillId="2" borderId="6" xfId="3" applyFont="1" applyFill="1" applyBorder="1" applyAlignment="1">
      <alignment horizontal="center"/>
    </xf>
    <xf numFmtId="0" fontId="25" fillId="20" borderId="0" xfId="3" applyFont="1" applyFill="1"/>
    <xf numFmtId="43" fontId="25" fillId="20" borderId="0" xfId="1" applyNumberFormat="1" applyFont="1" applyFill="1"/>
    <xf numFmtId="166" fontId="37" fillId="20" borderId="0" xfId="1" applyFont="1" applyFill="1"/>
    <xf numFmtId="43" fontId="37" fillId="20" borderId="0" xfId="3" applyNumberFormat="1" applyFont="1" applyFill="1"/>
    <xf numFmtId="43" fontId="25" fillId="20" borderId="0" xfId="3" applyNumberFormat="1" applyFont="1" applyFill="1"/>
    <xf numFmtId="43" fontId="58" fillId="20" borderId="0" xfId="1" applyNumberFormat="1" applyFont="1" applyFill="1"/>
    <xf numFmtId="2" fontId="25" fillId="20" borderId="0" xfId="1" applyNumberFormat="1" applyFont="1" applyFill="1"/>
    <xf numFmtId="172" fontId="25" fillId="20" borderId="0" xfId="1" applyNumberFormat="1" applyFont="1" applyFill="1"/>
    <xf numFmtId="2" fontId="25" fillId="20" borderId="0" xfId="3" applyNumberFormat="1" applyFont="1" applyFill="1"/>
    <xf numFmtId="169" fontId="27" fillId="20" borderId="0" xfId="13889" applyNumberFormat="1" applyFont="1" applyFill="1"/>
    <xf numFmtId="169" fontId="28" fillId="20" borderId="0" xfId="13889" applyNumberFormat="1" applyFont="1" applyFill="1"/>
    <xf numFmtId="169" fontId="28" fillId="20" borderId="0" xfId="13889" applyNumberFormat="1" applyFont="1" applyFill="1" applyBorder="1"/>
    <xf numFmtId="43" fontId="49" fillId="20" borderId="0" xfId="1" applyNumberFormat="1" applyFont="1" applyFill="1"/>
    <xf numFmtId="2" fontId="55" fillId="20" borderId="0" xfId="1" applyNumberFormat="1" applyFont="1" applyFill="1"/>
    <xf numFmtId="2" fontId="55" fillId="20" borderId="0" xfId="3" applyNumberFormat="1" applyFont="1" applyFill="1"/>
    <xf numFmtId="166" fontId="25" fillId="20" borderId="0" xfId="1" applyFont="1" applyFill="1"/>
    <xf numFmtId="171" fontId="25" fillId="20" borderId="0" xfId="1" applyNumberFormat="1" applyFont="1" applyFill="1"/>
    <xf numFmtId="171" fontId="25" fillId="20" borderId="0" xfId="1" applyNumberFormat="1" applyFont="1" applyFill="1" applyBorder="1"/>
    <xf numFmtId="171" fontId="49" fillId="20" borderId="0" xfId="1" applyNumberFormat="1" applyFont="1" applyFill="1"/>
    <xf numFmtId="166" fontId="49" fillId="20" borderId="0" xfId="1" applyFont="1" applyFill="1"/>
    <xf numFmtId="166" fontId="55" fillId="20" borderId="0" xfId="1" applyFont="1" applyFill="1"/>
    <xf numFmtId="166" fontId="40" fillId="20" borderId="0" xfId="1" applyFont="1" applyFill="1"/>
    <xf numFmtId="166" fontId="25" fillId="20" borderId="0" xfId="1" applyFont="1" applyFill="1" applyBorder="1"/>
    <xf numFmtId="166" fontId="27" fillId="20" borderId="0" xfId="1" applyFont="1" applyFill="1"/>
    <xf numFmtId="166" fontId="36" fillId="20" borderId="0" xfId="1" applyFont="1" applyFill="1"/>
    <xf numFmtId="166" fontId="34" fillId="20" borderId="0" xfId="1" applyFont="1" applyFill="1" applyBorder="1"/>
    <xf numFmtId="0" fontId="27" fillId="20" borderId="0" xfId="3" applyFont="1" applyFill="1"/>
    <xf numFmtId="166" fontId="27" fillId="20" borderId="0" xfId="1" applyFont="1" applyFill="1" applyBorder="1"/>
    <xf numFmtId="166" fontId="28" fillId="20" borderId="0" xfId="1" applyFont="1" applyFill="1"/>
    <xf numFmtId="166" fontId="60" fillId="20" borderId="0" xfId="1" applyFont="1" applyFill="1"/>
    <xf numFmtId="166" fontId="60" fillId="20" borderId="0" xfId="1" applyFont="1" applyFill="1" applyBorder="1"/>
    <xf numFmtId="43" fontId="27" fillId="20" borderId="0" xfId="3" applyNumberFormat="1" applyFont="1" applyFill="1"/>
    <xf numFmtId="169" fontId="29" fillId="20" borderId="0" xfId="13889" applyNumberFormat="1" applyFont="1" applyFill="1"/>
    <xf numFmtId="169" fontId="27" fillId="20" borderId="0" xfId="13889" applyNumberFormat="1" applyFont="1" applyFill="1" applyBorder="1"/>
    <xf numFmtId="9" fontId="61" fillId="20" borderId="0" xfId="13889" applyNumberFormat="1" applyFont="1" applyFill="1"/>
    <xf numFmtId="169" fontId="39" fillId="20" borderId="0" xfId="13889" applyNumberFormat="1" applyFont="1" applyFill="1"/>
    <xf numFmtId="43" fontId="25" fillId="2" borderId="0" xfId="3" applyNumberFormat="1" applyFont="1" applyFill="1"/>
    <xf numFmtId="166" fontId="55" fillId="2" borderId="0" xfId="1" applyFont="1" applyFill="1"/>
    <xf numFmtId="171" fontId="36" fillId="3" borderId="0" xfId="3" applyNumberFormat="1" applyFont="1" applyFill="1"/>
    <xf numFmtId="43" fontId="27" fillId="2" borderId="0" xfId="3" applyNumberFormat="1" applyFont="1" applyFill="1"/>
    <xf numFmtId="0" fontId="34" fillId="22" borderId="0" xfId="3" applyFont="1" applyFill="1"/>
    <xf numFmtId="43" fontId="34" fillId="22" borderId="0" xfId="3" applyNumberFormat="1" applyFont="1" applyFill="1"/>
    <xf numFmtId="166" fontId="34" fillId="22" borderId="0" xfId="1" applyFont="1" applyFill="1"/>
    <xf numFmtId="166" fontId="34" fillId="22" borderId="0" xfId="1" applyFont="1" applyFill="1" applyBorder="1"/>
    <xf numFmtId="171" fontId="44" fillId="22" borderId="0" xfId="1" applyNumberFormat="1" applyFont="1" applyFill="1"/>
    <xf numFmtId="166" fontId="44" fillId="22" borderId="0" xfId="1" applyFont="1" applyFill="1"/>
    <xf numFmtId="10" fontId="27" fillId="2" borderId="0" xfId="13889" applyFont="1" applyFill="1" applyBorder="1"/>
    <xf numFmtId="169" fontId="27" fillId="2" borderId="0" xfId="13889" applyNumberFormat="1" applyFont="1" applyFill="1" applyAlignment="1">
      <alignment horizontal="right"/>
    </xf>
    <xf numFmtId="169" fontId="27" fillId="2" borderId="0" xfId="13889" applyNumberFormat="1" applyFont="1" applyFill="1" applyBorder="1" applyAlignment="1">
      <alignment horizontal="right"/>
    </xf>
    <xf numFmtId="166" fontId="27" fillId="2" borderId="0" xfId="1" applyFont="1" applyFill="1" applyAlignment="1">
      <alignment horizontal="right"/>
    </xf>
    <xf numFmtId="0" fontId="27" fillId="2" borderId="0" xfId="13889" applyNumberFormat="1" applyFont="1" applyFill="1" applyBorder="1" applyAlignment="1">
      <alignment horizontal="right"/>
    </xf>
    <xf numFmtId="43" fontId="27" fillId="0" borderId="0" xfId="3" applyNumberFormat="1" applyFont="1"/>
    <xf numFmtId="166" fontId="36" fillId="23" borderId="0" xfId="1" applyFont="1" applyFill="1"/>
    <xf numFmtId="166" fontId="53" fillId="23" borderId="0" xfId="1" applyFont="1" applyFill="1"/>
    <xf numFmtId="10" fontId="28" fillId="2" borderId="0" xfId="13889" applyFont="1" applyFill="1"/>
    <xf numFmtId="10" fontId="29" fillId="2" borderId="0" xfId="13889" applyFont="1" applyFill="1"/>
    <xf numFmtId="166" fontId="27" fillId="2" borderId="0" xfId="1" applyFont="1" applyFill="1" applyAlignment="1">
      <alignment horizontal="center"/>
    </xf>
    <xf numFmtId="0" fontId="61" fillId="2" borderId="0" xfId="3" applyFont="1" applyFill="1"/>
    <xf numFmtId="169" fontId="61" fillId="2" borderId="0" xfId="13889" applyNumberFormat="1" applyFont="1" applyFill="1"/>
    <xf numFmtId="169" fontId="32" fillId="2" borderId="0" xfId="3" applyNumberFormat="1" applyFont="1" applyFill="1"/>
    <xf numFmtId="169" fontId="28" fillId="2" borderId="0" xfId="13889" applyNumberFormat="1" applyFont="1" applyFill="1" applyAlignment="1">
      <alignment horizontal="right"/>
    </xf>
    <xf numFmtId="169" fontId="27" fillId="8" borderId="16" xfId="13889" applyNumberFormat="1" applyFont="1" applyFill="1" applyBorder="1"/>
    <xf numFmtId="9" fontId="31" fillId="2" borderId="0" xfId="13889" applyNumberFormat="1" applyFont="1" applyFill="1" applyBorder="1"/>
    <xf numFmtId="9" fontId="31" fillId="2" borderId="0" xfId="13889" applyNumberFormat="1" applyFont="1" applyFill="1"/>
    <xf numFmtId="9" fontId="31" fillId="0" borderId="0" xfId="13889" applyNumberFormat="1" applyFont="1" applyFill="1"/>
    <xf numFmtId="177" fontId="31" fillId="0" borderId="0" xfId="1" applyNumberFormat="1" applyFont="1" applyBorder="1"/>
    <xf numFmtId="169" fontId="27" fillId="8" borderId="18" xfId="13889" applyNumberFormat="1" applyFont="1" applyFill="1" applyBorder="1"/>
    <xf numFmtId="178" fontId="27" fillId="0" borderId="0" xfId="1" applyNumberFormat="1" applyFont="1" applyBorder="1"/>
    <xf numFmtId="178" fontId="64" fillId="0" borderId="0" xfId="1" applyNumberFormat="1" applyFont="1" applyBorder="1"/>
    <xf numFmtId="0" fontId="65" fillId="0" borderId="0" xfId="0" applyFont="1" applyAlignment="1">
      <alignment horizontal="right"/>
    </xf>
    <xf numFmtId="43" fontId="25" fillId="0" borderId="0" xfId="3" applyNumberFormat="1" applyFont="1"/>
    <xf numFmtId="166" fontId="25" fillId="2" borderId="0" xfId="3" applyNumberFormat="1" applyFont="1" applyFill="1"/>
    <xf numFmtId="169" fontId="27" fillId="20" borderId="0" xfId="13889" applyNumberFormat="1" applyFont="1" applyFill="1" applyBorder="1" applyAlignment="1">
      <alignment horizontal="right"/>
    </xf>
    <xf numFmtId="169" fontId="28" fillId="20" borderId="0" xfId="13889" applyNumberFormat="1" applyFont="1" applyFill="1" applyBorder="1" applyAlignment="1">
      <alignment horizontal="right"/>
    </xf>
    <xf numFmtId="0" fontId="25" fillId="20" borderId="0" xfId="3" applyFont="1" applyFill="1" applyAlignment="1">
      <alignment horizontal="right"/>
    </xf>
    <xf numFmtId="166" fontId="25" fillId="20" borderId="0" xfId="1" applyFont="1" applyFill="1" applyBorder="1" applyAlignment="1">
      <alignment horizontal="right"/>
    </xf>
    <xf numFmtId="166" fontId="55" fillId="20" borderId="0" xfId="1" applyFont="1" applyFill="1" applyBorder="1" applyAlignment="1">
      <alignment horizontal="right"/>
    </xf>
    <xf numFmtId="169" fontId="25" fillId="20" borderId="0" xfId="13889" applyNumberFormat="1" applyFont="1" applyFill="1" applyBorder="1" applyAlignment="1">
      <alignment horizontal="right"/>
    </xf>
    <xf numFmtId="0" fontId="37" fillId="20" borderId="0" xfId="3" applyFont="1" applyFill="1" applyAlignment="1">
      <alignment horizontal="right"/>
    </xf>
    <xf numFmtId="166" fontId="37" fillId="20" borderId="0" xfId="1" applyFont="1" applyFill="1" applyBorder="1" applyAlignment="1">
      <alignment horizontal="right"/>
    </xf>
    <xf numFmtId="171" fontId="49" fillId="20" borderId="0" xfId="1" applyNumberFormat="1" applyFont="1" applyFill="1" applyBorder="1" applyAlignment="1">
      <alignment horizontal="right"/>
    </xf>
    <xf numFmtId="171" fontId="25" fillId="20" borderId="0" xfId="1" applyNumberFormat="1" applyFont="1" applyFill="1" applyBorder="1" applyAlignment="1">
      <alignment horizontal="right"/>
    </xf>
    <xf numFmtId="171" fontId="37" fillId="20" borderId="0" xfId="1" applyNumberFormat="1" applyFont="1" applyFill="1" applyBorder="1" applyAlignment="1">
      <alignment horizontal="right"/>
    </xf>
    <xf numFmtId="10" fontId="37" fillId="20" borderId="0" xfId="1" applyNumberFormat="1" applyFont="1" applyFill="1" applyBorder="1" applyAlignment="1">
      <alignment horizontal="right"/>
    </xf>
    <xf numFmtId="169" fontId="37" fillId="20" borderId="0" xfId="1" applyNumberFormat="1" applyFont="1" applyFill="1" applyBorder="1" applyAlignment="1">
      <alignment horizontal="right"/>
    </xf>
    <xf numFmtId="169" fontId="37" fillId="20" borderId="0" xfId="13889" applyNumberFormat="1" applyFont="1" applyFill="1" applyBorder="1" applyAlignment="1">
      <alignment horizontal="right"/>
    </xf>
    <xf numFmtId="0" fontId="36" fillId="20" borderId="0" xfId="3" applyFont="1" applyFill="1" applyAlignment="1">
      <alignment horizontal="right"/>
    </xf>
    <xf numFmtId="169" fontId="48" fillId="20" borderId="0" xfId="6" applyNumberFormat="1" applyFont="1" applyFill="1" applyBorder="1" applyAlignment="1">
      <alignment horizontal="right"/>
    </xf>
    <xf numFmtId="169" fontId="36" fillId="20" borderId="0" xfId="13889" applyNumberFormat="1" applyFont="1" applyFill="1" applyBorder="1" applyAlignment="1">
      <alignment horizontal="right"/>
    </xf>
    <xf numFmtId="169" fontId="48" fillId="20" borderId="0" xfId="1" applyNumberFormat="1" applyFont="1" applyFill="1" applyBorder="1" applyAlignment="1">
      <alignment horizontal="right"/>
    </xf>
    <xf numFmtId="10" fontId="36" fillId="20" borderId="0" xfId="1" applyNumberFormat="1" applyFont="1" applyFill="1" applyBorder="1" applyAlignment="1">
      <alignment horizontal="right"/>
    </xf>
    <xf numFmtId="171" fontId="53" fillId="20" borderId="0" xfId="1" applyNumberFormat="1" applyFont="1" applyFill="1" applyBorder="1" applyAlignment="1">
      <alignment horizontal="right"/>
    </xf>
    <xf numFmtId="0" fontId="34" fillId="20" borderId="0" xfId="3" applyFont="1" applyFill="1" applyAlignment="1">
      <alignment horizontal="right"/>
    </xf>
    <xf numFmtId="171" fontId="34" fillId="20" borderId="0" xfId="1" applyNumberFormat="1" applyFont="1" applyFill="1" applyBorder="1" applyAlignment="1">
      <alignment horizontal="right"/>
    </xf>
    <xf numFmtId="0" fontId="26" fillId="20" borderId="0" xfId="3" applyFont="1" applyFill="1" applyAlignment="1">
      <alignment horizontal="right"/>
    </xf>
    <xf numFmtId="171" fontId="35" fillId="20" borderId="0" xfId="1" applyNumberFormat="1" applyFont="1" applyFill="1" applyBorder="1" applyAlignment="1">
      <alignment horizontal="right"/>
    </xf>
    <xf numFmtId="0" fontId="27" fillId="20" borderId="0" xfId="3" applyFont="1" applyFill="1" applyAlignment="1">
      <alignment horizontal="right"/>
    </xf>
    <xf numFmtId="166" fontId="27" fillId="20" borderId="0" xfId="1" applyFont="1" applyFill="1" applyBorder="1" applyAlignment="1">
      <alignment horizontal="right"/>
    </xf>
    <xf numFmtId="172" fontId="27" fillId="20" borderId="0" xfId="3" applyNumberFormat="1" applyFont="1" applyFill="1" applyAlignment="1">
      <alignment horizontal="right"/>
    </xf>
    <xf numFmtId="169" fontId="29" fillId="20" borderId="0" xfId="13889" applyNumberFormat="1" applyFont="1" applyFill="1" applyBorder="1" applyAlignment="1">
      <alignment horizontal="right"/>
    </xf>
    <xf numFmtId="166" fontId="49" fillId="20" borderId="0" xfId="1" applyFont="1" applyFill="1" applyBorder="1" applyAlignment="1">
      <alignment horizontal="right"/>
    </xf>
    <xf numFmtId="0" fontId="34" fillId="14" borderId="20" xfId="3" applyFont="1" applyFill="1" applyBorder="1" applyAlignment="1">
      <alignment horizontal="center"/>
    </xf>
    <xf numFmtId="169" fontId="27" fillId="14" borderId="20" xfId="13889" applyNumberFormat="1" applyFont="1" applyFill="1" applyBorder="1" applyAlignment="1">
      <alignment horizontal="center"/>
    </xf>
    <xf numFmtId="0" fontId="34" fillId="14" borderId="18" xfId="3" applyFont="1" applyFill="1" applyBorder="1" applyAlignment="1">
      <alignment horizontal="center"/>
    </xf>
    <xf numFmtId="169" fontId="9" fillId="0" borderId="0" xfId="13889" applyNumberFormat="1" applyFont="1" applyAlignment="1">
      <alignment horizontal="center" vertical="center"/>
    </xf>
    <xf numFmtId="0" fontId="9" fillId="0" borderId="0" xfId="0" applyFont="1"/>
    <xf numFmtId="169" fontId="0" fillId="0" borderId="0" xfId="13889" applyNumberFormat="1" applyFont="1" applyAlignment="1">
      <alignment horizontal="center" vertical="center"/>
    </xf>
    <xf numFmtId="0" fontId="3" fillId="0" borderId="0" xfId="0" applyFont="1"/>
    <xf numFmtId="0" fontId="0" fillId="0" borderId="0" xfId="0" applyAlignment="1">
      <alignment horizontal="center" vertical="center"/>
    </xf>
    <xf numFmtId="171" fontId="9" fillId="0" borderId="0" xfId="1" applyNumberFormat="1" applyFont="1" applyAlignment="1">
      <alignment horizontal="center" vertical="center"/>
    </xf>
    <xf numFmtId="171" fontId="0" fillId="0" borderId="0" xfId="1" applyNumberFormat="1" applyFont="1"/>
    <xf numFmtId="171" fontId="0" fillId="0" borderId="0" xfId="1" applyNumberFormat="1" applyFont="1" applyAlignment="1">
      <alignment horizontal="center" vertical="center"/>
    </xf>
    <xf numFmtId="171" fontId="3" fillId="0" borderId="0" xfId="1" applyNumberFormat="1" applyFont="1" applyAlignment="1">
      <alignment horizontal="center" vertical="center"/>
    </xf>
    <xf numFmtId="17" fontId="9" fillId="0" borderId="21" xfId="0" applyNumberFormat="1" applyFont="1" applyBorder="1" applyAlignment="1">
      <alignment horizontal="center" vertical="center"/>
    </xf>
    <xf numFmtId="0" fontId="9" fillId="0" borderId="21" xfId="0" applyFont="1" applyBorder="1"/>
    <xf numFmtId="0" fontId="69" fillId="12" borderId="22" xfId="0" applyFont="1" applyFill="1" applyBorder="1"/>
    <xf numFmtId="0" fontId="6" fillId="2" borderId="0" xfId="7" applyFont="1" applyFill="1"/>
    <xf numFmtId="0" fontId="22" fillId="3" borderId="0" xfId="7" applyFont="1" applyFill="1"/>
    <xf numFmtId="0" fontId="6" fillId="3" borderId="0" xfId="7" applyFont="1" applyFill="1"/>
    <xf numFmtId="0" fontId="22" fillId="2" borderId="0" xfId="7" applyFont="1" applyFill="1"/>
    <xf numFmtId="174" fontId="6" fillId="2" borderId="0" xfId="1" applyNumberFormat="1" applyFont="1" applyFill="1"/>
    <xf numFmtId="174" fontId="70" fillId="3" borderId="23" xfId="1" applyNumberFormat="1" applyFont="1" applyFill="1" applyBorder="1"/>
    <xf numFmtId="174" fontId="70" fillId="2" borderId="23" xfId="1" applyNumberFormat="1" applyFont="1" applyFill="1" applyBorder="1"/>
    <xf numFmtId="174" fontId="70" fillId="2" borderId="3" xfId="1" applyNumberFormat="1" applyFont="1" applyFill="1" applyBorder="1"/>
    <xf numFmtId="43" fontId="70" fillId="3" borderId="23" xfId="1" applyNumberFormat="1" applyFont="1" applyFill="1" applyBorder="1"/>
    <xf numFmtId="174" fontId="72" fillId="2" borderId="23" xfId="1" applyNumberFormat="1" applyFont="1" applyFill="1" applyBorder="1"/>
    <xf numFmtId="9" fontId="70" fillId="2" borderId="23" xfId="13889" applyNumberFormat="1" applyFont="1" applyFill="1" applyBorder="1"/>
    <xf numFmtId="10" fontId="70" fillId="3" borderId="23" xfId="13889" applyFont="1" applyFill="1" applyBorder="1"/>
    <xf numFmtId="10" fontId="70" fillId="2" borderId="23" xfId="13889" applyFont="1" applyFill="1" applyBorder="1"/>
    <xf numFmtId="10" fontId="73" fillId="2" borderId="3" xfId="13889" applyFont="1" applyFill="1" applyBorder="1"/>
    <xf numFmtId="10" fontId="71" fillId="3" borderId="23" xfId="13889" applyFont="1" applyFill="1" applyBorder="1"/>
    <xf numFmtId="10" fontId="72" fillId="2" borderId="23" xfId="13889" applyFont="1" applyFill="1" applyBorder="1"/>
    <xf numFmtId="0" fontId="70" fillId="2" borderId="23" xfId="7" applyFont="1" applyFill="1" applyBorder="1"/>
    <xf numFmtId="10" fontId="70" fillId="2" borderId="3" xfId="13889" applyFont="1" applyFill="1" applyBorder="1"/>
    <xf numFmtId="10" fontId="71" fillId="3" borderId="3" xfId="13889" applyFont="1" applyFill="1" applyBorder="1"/>
    <xf numFmtId="10" fontId="70" fillId="3" borderId="3" xfId="13889" applyFont="1" applyFill="1" applyBorder="1"/>
    <xf numFmtId="10" fontId="70" fillId="3" borderId="24" xfId="13889" applyFont="1" applyFill="1" applyBorder="1"/>
    <xf numFmtId="179" fontId="75" fillId="3" borderId="0" xfId="8" applyFont="1" applyFill="1" applyAlignment="1">
      <alignment horizontal="center"/>
    </xf>
    <xf numFmtId="179" fontId="76" fillId="3" borderId="0" xfId="8" applyFont="1" applyFill="1" applyAlignment="1">
      <alignment horizontal="center"/>
    </xf>
    <xf numFmtId="179" fontId="76" fillId="2" borderId="0" xfId="8" applyFont="1" applyFill="1" applyAlignment="1">
      <alignment horizontal="center"/>
    </xf>
    <xf numFmtId="179" fontId="75" fillId="2" borderId="0" xfId="8" applyFont="1" applyFill="1" applyAlignment="1">
      <alignment horizontal="center"/>
    </xf>
    <xf numFmtId="179" fontId="77" fillId="2" borderId="0" xfId="8" applyFont="1" applyFill="1" applyAlignment="1">
      <alignment horizontal="center"/>
    </xf>
    <xf numFmtId="179" fontId="76" fillId="2" borderId="0" xfId="8" applyFont="1" applyFill="1"/>
    <xf numFmtId="0" fontId="0" fillId="3" borderId="0" xfId="0" applyFill="1"/>
    <xf numFmtId="0" fontId="0" fillId="3" borderId="0" xfId="3" applyFont="1" applyFill="1" applyAlignment="1">
      <alignment horizontal="center"/>
    </xf>
    <xf numFmtId="166" fontId="1" fillId="3" borderId="0" xfId="1" applyFill="1"/>
    <xf numFmtId="15" fontId="10" fillId="3" borderId="0" xfId="3" applyNumberFormat="1" applyFont="1" applyFill="1" applyAlignment="1">
      <alignment horizontal="center"/>
    </xf>
    <xf numFmtId="171" fontId="4" fillId="3" borderId="0" xfId="1" applyNumberFormat="1" applyFont="1" applyFill="1" applyBorder="1" applyAlignment="1">
      <alignment horizontal="center" vertical="center"/>
    </xf>
    <xf numFmtId="37" fontId="6" fillId="3" borderId="0" xfId="1" applyNumberFormat="1" applyFont="1" applyFill="1" applyBorder="1" applyAlignment="1">
      <alignment vertical="center"/>
    </xf>
    <xf numFmtId="37" fontId="6" fillId="3" borderId="0" xfId="1" applyNumberFormat="1" applyFont="1" applyFill="1" applyBorder="1" applyAlignment="1">
      <alignment horizontal="center" vertical="center"/>
    </xf>
    <xf numFmtId="0" fontId="0" fillId="3" borderId="0" xfId="3" applyFont="1" applyFill="1"/>
    <xf numFmtId="169" fontId="4" fillId="3" borderId="0" xfId="13889" applyNumberFormat="1" applyFont="1" applyFill="1" applyBorder="1" applyAlignment="1">
      <alignment vertical="center"/>
    </xf>
    <xf numFmtId="15" fontId="6" fillId="3" borderId="0" xfId="1" applyNumberFormat="1" applyFont="1" applyFill="1" applyBorder="1" applyAlignment="1">
      <alignment vertical="center"/>
    </xf>
    <xf numFmtId="37" fontId="10" fillId="3" borderId="0" xfId="1" applyNumberFormat="1" applyFont="1" applyFill="1" applyBorder="1" applyAlignment="1">
      <alignment vertical="center"/>
    </xf>
    <xf numFmtId="37" fontId="9" fillId="3" borderId="9" xfId="1" applyNumberFormat="1" applyFont="1" applyFill="1" applyBorder="1" applyAlignment="1">
      <alignment vertical="center"/>
    </xf>
    <xf numFmtId="37" fontId="8" fillId="3" borderId="8" xfId="1" applyNumberFormat="1" applyFont="1" applyFill="1" applyBorder="1" applyAlignment="1">
      <alignment vertical="center"/>
    </xf>
    <xf numFmtId="166" fontId="6" fillId="3" borderId="0" xfId="1" applyFont="1" applyFill="1" applyBorder="1" applyAlignment="1">
      <alignment vertical="center"/>
    </xf>
    <xf numFmtId="43" fontId="6" fillId="3" borderId="0" xfId="1" applyNumberFormat="1" applyFont="1" applyFill="1" applyBorder="1" applyAlignment="1">
      <alignment vertical="center"/>
    </xf>
    <xf numFmtId="172" fontId="6" fillId="3" borderId="0" xfId="1" applyNumberFormat="1" applyFont="1" applyFill="1" applyBorder="1" applyAlignment="1">
      <alignment vertical="center"/>
    </xf>
    <xf numFmtId="171" fontId="0" fillId="3" borderId="0" xfId="1" applyNumberFormat="1" applyFont="1" applyFill="1" applyBorder="1"/>
    <xf numFmtId="43" fontId="0" fillId="3" borderId="0" xfId="1" applyNumberFormat="1" applyFont="1" applyFill="1"/>
    <xf numFmtId="37" fontId="7" fillId="3" borderId="0" xfId="1" applyNumberFormat="1" applyFont="1" applyFill="1" applyBorder="1" applyAlignment="1">
      <alignment vertical="center"/>
    </xf>
    <xf numFmtId="166" fontId="4" fillId="3" borderId="7" xfId="1" applyFont="1" applyFill="1" applyBorder="1" applyAlignment="1">
      <alignment vertical="center"/>
    </xf>
    <xf numFmtId="169" fontId="6" fillId="3" borderId="0" xfId="13889" applyNumberFormat="1" applyFont="1" applyFill="1" applyBorder="1" applyAlignment="1">
      <alignment vertical="center"/>
    </xf>
    <xf numFmtId="171" fontId="0" fillId="3" borderId="0" xfId="3" applyNumberFormat="1" applyFont="1" applyFill="1"/>
    <xf numFmtId="37" fontId="5" fillId="3" borderId="0" xfId="1" applyNumberFormat="1" applyFont="1" applyFill="1" applyBorder="1" applyAlignment="1">
      <alignment vertical="center"/>
    </xf>
    <xf numFmtId="169" fontId="5" fillId="3" borderId="0" xfId="13889" applyNumberFormat="1" applyFont="1" applyFill="1" applyBorder="1" applyAlignment="1">
      <alignment vertical="center"/>
    </xf>
    <xf numFmtId="170" fontId="9" fillId="3" borderId="0" xfId="1" applyNumberFormat="1" applyFont="1" applyFill="1" applyBorder="1"/>
    <xf numFmtId="171" fontId="6" fillId="3" borderId="0" xfId="1" applyNumberFormat="1" applyFont="1" applyFill="1" applyBorder="1" applyAlignment="1">
      <alignment vertical="center"/>
    </xf>
    <xf numFmtId="0" fontId="3" fillId="3" borderId="6" xfId="3" applyFill="1" applyBorder="1"/>
    <xf numFmtId="37" fontId="0" fillId="3" borderId="5" xfId="3" applyNumberFormat="1" applyFont="1" applyFill="1" applyBorder="1"/>
    <xf numFmtId="0" fontId="9" fillId="3" borderId="0" xfId="3" applyFont="1" applyFill="1" applyAlignment="1">
      <alignment horizontal="right"/>
    </xf>
    <xf numFmtId="0" fontId="0" fillId="3" borderId="4" xfId="3" applyFont="1" applyFill="1" applyBorder="1"/>
    <xf numFmtId="169" fontId="4" fillId="3" borderId="3" xfId="3" applyNumberFormat="1" applyFont="1" applyFill="1" applyBorder="1"/>
    <xf numFmtId="43" fontId="0" fillId="3" borderId="0" xfId="3" applyNumberFormat="1" applyFont="1" applyFill="1"/>
    <xf numFmtId="172" fontId="9" fillId="3" borderId="0" xfId="3" applyNumberFormat="1" applyFont="1" applyFill="1"/>
    <xf numFmtId="169" fontId="0" fillId="3" borderId="3" xfId="3" applyNumberFormat="1" applyFont="1" applyFill="1" applyBorder="1"/>
    <xf numFmtId="10" fontId="0" fillId="3" borderId="3" xfId="3" applyNumberFormat="1" applyFont="1" applyFill="1" applyBorder="1"/>
    <xf numFmtId="0" fontId="0" fillId="3" borderId="2" xfId="3" applyFont="1" applyFill="1" applyBorder="1"/>
    <xf numFmtId="37" fontId="0" fillId="3" borderId="1" xfId="3" applyNumberFormat="1" applyFont="1" applyFill="1" applyBorder="1"/>
    <xf numFmtId="171" fontId="1" fillId="3" borderId="0" xfId="1" applyNumberFormat="1" applyFill="1"/>
    <xf numFmtId="170" fontId="18" fillId="3" borderId="0" xfId="1" applyNumberFormat="1" applyFont="1" applyFill="1" applyBorder="1" applyAlignment="1">
      <alignment horizontal="center"/>
    </xf>
    <xf numFmtId="0" fontId="9" fillId="3" borderId="0" xfId="3" applyFont="1" applyFill="1" applyAlignment="1">
      <alignment horizontal="center"/>
    </xf>
    <xf numFmtId="171" fontId="17" fillId="3" borderId="0" xfId="1" applyNumberFormat="1" applyFont="1" applyFill="1" applyBorder="1"/>
    <xf numFmtId="171" fontId="17" fillId="3" borderId="0" xfId="3" applyNumberFormat="1" applyFont="1" applyFill="1"/>
    <xf numFmtId="174" fontId="71" fillId="3" borderId="23" xfId="1" applyNumberFormat="1" applyFont="1" applyFill="1" applyBorder="1"/>
    <xf numFmtId="0" fontId="25" fillId="3" borderId="0" xfId="3" applyFont="1" applyFill="1"/>
    <xf numFmtId="169" fontId="34" fillId="3" borderId="0" xfId="13889" applyNumberFormat="1" applyFont="1" applyFill="1" applyBorder="1"/>
    <xf numFmtId="10" fontId="34" fillId="3" borderId="0" xfId="3" applyNumberFormat="1" applyFont="1" applyFill="1"/>
    <xf numFmtId="169" fontId="26" fillId="3" borderId="0" xfId="13889" applyNumberFormat="1" applyFont="1" applyFill="1" applyBorder="1"/>
    <xf numFmtId="10" fontId="26" fillId="3" borderId="0" xfId="3" applyNumberFormat="1" applyFont="1" applyFill="1"/>
    <xf numFmtId="10" fontId="31" fillId="3" borderId="0" xfId="3" applyNumberFormat="1" applyFont="1" applyFill="1"/>
    <xf numFmtId="0" fontId="29" fillId="3" borderId="0" xfId="3" applyFont="1" applyFill="1"/>
    <xf numFmtId="169" fontId="25" fillId="3" borderId="15" xfId="13889" applyNumberFormat="1" applyFont="1" applyFill="1" applyBorder="1"/>
    <xf numFmtId="171" fontId="25" fillId="3" borderId="15" xfId="1" applyNumberFormat="1" applyFont="1" applyFill="1" applyBorder="1"/>
    <xf numFmtId="0" fontId="25" fillId="3" borderId="15" xfId="3" applyFont="1" applyFill="1" applyBorder="1"/>
    <xf numFmtId="0" fontId="27" fillId="3" borderId="0" xfId="3" applyFont="1" applyFill="1"/>
    <xf numFmtId="171" fontId="27" fillId="3" borderId="0" xfId="1" applyNumberFormat="1" applyFont="1" applyFill="1"/>
    <xf numFmtId="171" fontId="27" fillId="3" borderId="0" xfId="1" applyNumberFormat="1" applyFont="1" applyFill="1" applyBorder="1"/>
    <xf numFmtId="170" fontId="27" fillId="3" borderId="0" xfId="1" applyNumberFormat="1" applyFont="1" applyFill="1" applyBorder="1"/>
    <xf numFmtId="0" fontId="2" fillId="0" borderId="0" xfId="0" applyFont="1"/>
    <xf numFmtId="0" fontId="45" fillId="3" borderId="0" xfId="3" applyFont="1" applyFill="1" applyAlignment="1">
      <alignment horizontal="center"/>
    </xf>
    <xf numFmtId="169" fontId="50" fillId="3" borderId="0" xfId="13889" applyNumberFormat="1" applyFont="1" applyFill="1" applyBorder="1"/>
    <xf numFmtId="166" fontId="50" fillId="3" borderId="0" xfId="1" applyFont="1" applyFill="1" applyBorder="1"/>
    <xf numFmtId="169" fontId="45" fillId="3" borderId="0" xfId="13889" applyNumberFormat="1" applyFont="1" applyFill="1"/>
    <xf numFmtId="171" fontId="45" fillId="3" borderId="0" xfId="1" applyNumberFormat="1" applyFont="1" applyFill="1"/>
    <xf numFmtId="169" fontId="50" fillId="3" borderId="0" xfId="13889" applyNumberFormat="1" applyFont="1" applyFill="1"/>
    <xf numFmtId="10" fontId="35" fillId="20" borderId="0" xfId="3" applyNumberFormat="1" applyFont="1" applyFill="1"/>
    <xf numFmtId="171" fontId="37" fillId="20" borderId="0" xfId="1" applyNumberFormat="1" applyFont="1" applyFill="1"/>
    <xf numFmtId="171" fontId="46" fillId="20" borderId="0" xfId="1" applyNumberFormat="1" applyFont="1" applyFill="1" applyBorder="1"/>
    <xf numFmtId="169" fontId="37" fillId="20" borderId="0" xfId="13889" applyNumberFormat="1" applyFont="1" applyFill="1" applyBorder="1"/>
    <xf numFmtId="171" fontId="35" fillId="20" borderId="0" xfId="3" applyNumberFormat="1" applyFont="1" applyFill="1"/>
    <xf numFmtId="169" fontId="47" fillId="20" borderId="0" xfId="13889" applyNumberFormat="1" applyFont="1" applyFill="1" applyBorder="1"/>
    <xf numFmtId="171" fontId="27" fillId="20" borderId="0" xfId="3" applyNumberFormat="1" applyFont="1" applyFill="1"/>
    <xf numFmtId="169" fontId="29" fillId="20" borderId="0" xfId="13889" applyNumberFormat="1" applyFont="1" applyFill="1" applyBorder="1"/>
    <xf numFmtId="169" fontId="25" fillId="20" borderId="0" xfId="3" applyNumberFormat="1" applyFont="1" applyFill="1"/>
    <xf numFmtId="169" fontId="50" fillId="20" borderId="0" xfId="13889" applyNumberFormat="1" applyFont="1" applyFill="1" applyBorder="1"/>
    <xf numFmtId="171" fontId="34" fillId="20" borderId="0" xfId="3" applyNumberFormat="1" applyFont="1" applyFill="1"/>
    <xf numFmtId="171" fontId="27" fillId="20" borderId="0" xfId="1" applyNumberFormat="1" applyFont="1" applyFill="1" applyBorder="1"/>
    <xf numFmtId="169" fontId="25" fillId="20" borderId="0" xfId="13889" applyNumberFormat="1" applyFont="1" applyFill="1" applyBorder="1"/>
    <xf numFmtId="169" fontId="25" fillId="20" borderId="0" xfId="13889" applyNumberFormat="1" applyFont="1" applyFill="1"/>
    <xf numFmtId="0" fontId="34" fillId="20" borderId="0" xfId="3" applyFont="1" applyFill="1" applyAlignment="1">
      <alignment horizontal="center"/>
    </xf>
    <xf numFmtId="171" fontId="27" fillId="20" borderId="0" xfId="1" applyNumberFormat="1" applyFont="1" applyFill="1"/>
    <xf numFmtId="169" fontId="37" fillId="20" borderId="0" xfId="13889" applyNumberFormat="1" applyFont="1" applyFill="1"/>
    <xf numFmtId="171" fontId="28" fillId="20" borderId="0" xfId="1" applyNumberFormat="1" applyFont="1" applyFill="1"/>
    <xf numFmtId="171" fontId="37" fillId="20" borderId="0" xfId="3" applyNumberFormat="1" applyFont="1" applyFill="1"/>
    <xf numFmtId="169" fontId="36" fillId="20" borderId="0" xfId="13889" applyNumberFormat="1" applyFont="1" applyFill="1" applyBorder="1"/>
    <xf numFmtId="169" fontId="31" fillId="20" borderId="0" xfId="13889" applyNumberFormat="1" applyFont="1" applyFill="1"/>
    <xf numFmtId="10" fontId="27" fillId="20" borderId="0" xfId="3" applyNumberFormat="1" applyFont="1" applyFill="1"/>
    <xf numFmtId="171" fontId="28" fillId="20" borderId="0" xfId="3" applyNumberFormat="1" applyFont="1" applyFill="1"/>
    <xf numFmtId="1" fontId="28" fillId="20" borderId="0" xfId="3" applyNumberFormat="1" applyFont="1" applyFill="1"/>
    <xf numFmtId="171" fontId="25" fillId="20" borderId="0" xfId="3" applyNumberFormat="1" applyFont="1" applyFill="1"/>
    <xf numFmtId="10" fontId="39" fillId="20" borderId="0" xfId="3" applyNumberFormat="1" applyFont="1" applyFill="1"/>
    <xf numFmtId="169" fontId="37" fillId="20" borderId="0" xfId="13889" applyNumberFormat="1" applyFont="1" applyFill="1" applyAlignment="1">
      <alignment horizontal="right"/>
    </xf>
    <xf numFmtId="166" fontId="34" fillId="20" borderId="0" xfId="1" applyFont="1" applyFill="1" applyAlignment="1">
      <alignment horizontal="center"/>
    </xf>
    <xf numFmtId="170" fontId="35" fillId="20" borderId="0" xfId="1" applyNumberFormat="1" applyFont="1" applyFill="1"/>
    <xf numFmtId="166" fontId="38" fillId="20" borderId="0" xfId="1" applyFont="1" applyFill="1" applyAlignment="1">
      <alignment horizontal="center"/>
    </xf>
    <xf numFmtId="172" fontId="35" fillId="20" borderId="0" xfId="13889" applyNumberFormat="1" applyFont="1" applyFill="1" applyBorder="1"/>
    <xf numFmtId="172" fontId="27" fillId="20" borderId="0" xfId="13889" applyNumberFormat="1" applyFont="1" applyFill="1"/>
    <xf numFmtId="0" fontId="0" fillId="20" borderId="0" xfId="0" applyFill="1"/>
    <xf numFmtId="171" fontId="39" fillId="20" borderId="0" xfId="1" applyNumberFormat="1" applyFont="1" applyFill="1" applyBorder="1"/>
    <xf numFmtId="0" fontId="37" fillId="20" borderId="0" xfId="3" applyFont="1" applyFill="1"/>
    <xf numFmtId="169" fontId="45" fillId="20" borderId="0" xfId="13889" applyNumberFormat="1" applyFont="1" applyFill="1"/>
    <xf numFmtId="171" fontId="45" fillId="20" borderId="0" xfId="1" applyNumberFormat="1" applyFont="1" applyFill="1"/>
    <xf numFmtId="0" fontId="47" fillId="20" borderId="0" xfId="3" applyFont="1" applyFill="1"/>
    <xf numFmtId="10" fontId="28" fillId="20" borderId="0" xfId="3" applyNumberFormat="1" applyFont="1" applyFill="1"/>
    <xf numFmtId="170" fontId="34" fillId="20" borderId="0" xfId="1" applyNumberFormat="1" applyFont="1" applyFill="1" applyBorder="1" applyAlignment="1">
      <alignment horizontal="center"/>
    </xf>
    <xf numFmtId="166" fontId="38" fillId="20" borderId="0" xfId="1" applyFont="1" applyFill="1"/>
    <xf numFmtId="0" fontId="36" fillId="20" borderId="0" xfId="3" applyFont="1" applyFill="1" applyAlignment="1">
      <alignment horizontal="center"/>
    </xf>
    <xf numFmtId="170" fontId="27" fillId="20" borderId="0" xfId="1" applyNumberFormat="1" applyFont="1" applyFill="1" applyBorder="1"/>
    <xf numFmtId="172" fontId="34" fillId="20" borderId="0" xfId="13889" applyNumberFormat="1" applyFont="1" applyFill="1" applyBorder="1"/>
    <xf numFmtId="2" fontId="27" fillId="20" borderId="0" xfId="13889" applyNumberFormat="1" applyFont="1" applyFill="1"/>
    <xf numFmtId="1" fontId="25" fillId="20" borderId="0" xfId="1" applyNumberFormat="1" applyFont="1" applyFill="1"/>
    <xf numFmtId="171" fontId="25" fillId="25" borderId="0" xfId="1" applyNumberFormat="1" applyFont="1" applyFill="1" applyBorder="1"/>
    <xf numFmtId="171" fontId="49" fillId="25" borderId="0" xfId="1" applyNumberFormat="1" applyFont="1" applyFill="1" applyBorder="1"/>
    <xf numFmtId="0" fontId="25" fillId="3" borderId="17" xfId="3" applyFont="1" applyFill="1" applyBorder="1" applyAlignment="1">
      <alignment horizontal="right"/>
    </xf>
    <xf numFmtId="0" fontId="25" fillId="3" borderId="0" xfId="3" applyFont="1" applyFill="1" applyAlignment="1">
      <alignment horizontal="right"/>
    </xf>
    <xf numFmtId="166" fontId="25" fillId="3" borderId="0" xfId="1" applyFont="1" applyFill="1" applyBorder="1" applyAlignment="1">
      <alignment horizontal="right"/>
    </xf>
    <xf numFmtId="169" fontId="27" fillId="3" borderId="17" xfId="13889" applyNumberFormat="1" applyFont="1" applyFill="1" applyBorder="1" applyAlignment="1">
      <alignment horizontal="right"/>
    </xf>
    <xf numFmtId="0" fontId="27" fillId="3" borderId="0" xfId="3" applyFont="1" applyFill="1" applyAlignment="1">
      <alignment horizontal="right"/>
    </xf>
    <xf numFmtId="169" fontId="27" fillId="3" borderId="0" xfId="13889" applyNumberFormat="1" applyFont="1" applyFill="1" applyBorder="1" applyAlignment="1">
      <alignment horizontal="right"/>
    </xf>
    <xf numFmtId="172" fontId="27" fillId="3" borderId="0" xfId="3" applyNumberFormat="1" applyFont="1" applyFill="1" applyAlignment="1">
      <alignment horizontal="right"/>
    </xf>
    <xf numFmtId="0" fontId="34" fillId="3" borderId="17" xfId="3" applyFont="1" applyFill="1" applyBorder="1" applyAlignment="1">
      <alignment horizontal="right"/>
    </xf>
    <xf numFmtId="171" fontId="26" fillId="3" borderId="0" xfId="1" applyNumberFormat="1" applyFont="1" applyFill="1" applyBorder="1" applyAlignment="1">
      <alignment horizontal="right"/>
    </xf>
    <xf numFmtId="171" fontId="34" fillId="3" borderId="0" xfId="1" applyNumberFormat="1" applyFont="1" applyFill="1" applyBorder="1" applyAlignment="1">
      <alignment horizontal="right"/>
    </xf>
    <xf numFmtId="0" fontId="36" fillId="3" borderId="17" xfId="3" applyFont="1" applyFill="1" applyBorder="1" applyAlignment="1">
      <alignment horizontal="right"/>
    </xf>
    <xf numFmtId="0" fontId="36" fillId="3" borderId="0" xfId="3" applyFont="1" applyFill="1" applyAlignment="1">
      <alignment horizontal="right"/>
    </xf>
    <xf numFmtId="166" fontId="36" fillId="3" borderId="0" xfId="1" applyFont="1" applyFill="1" applyBorder="1" applyAlignment="1">
      <alignment horizontal="right"/>
    </xf>
    <xf numFmtId="10" fontId="62" fillId="3" borderId="0" xfId="1" applyNumberFormat="1" applyFont="1" applyFill="1" applyBorder="1" applyAlignment="1">
      <alignment horizontal="right"/>
    </xf>
    <xf numFmtId="10" fontId="36" fillId="3" borderId="0" xfId="1" applyNumberFormat="1" applyFont="1" applyFill="1" applyBorder="1" applyAlignment="1">
      <alignment horizontal="right"/>
    </xf>
    <xf numFmtId="171" fontId="36" fillId="3" borderId="0" xfId="1" applyNumberFormat="1" applyFont="1" applyFill="1" applyBorder="1" applyAlignment="1">
      <alignment horizontal="right"/>
    </xf>
    <xf numFmtId="0" fontId="37" fillId="3" borderId="17" xfId="3" applyFont="1" applyFill="1" applyBorder="1" applyAlignment="1">
      <alignment horizontal="right"/>
    </xf>
    <xf numFmtId="0" fontId="37" fillId="3" borderId="0" xfId="3" applyFont="1" applyFill="1" applyAlignment="1">
      <alignment horizontal="right"/>
    </xf>
    <xf numFmtId="166" fontId="37" fillId="3" borderId="0" xfId="1" applyFont="1" applyFill="1" applyBorder="1" applyAlignment="1">
      <alignment horizontal="right"/>
    </xf>
    <xf numFmtId="10" fontId="37" fillId="3" borderId="0" xfId="1" applyNumberFormat="1" applyFont="1" applyFill="1" applyBorder="1" applyAlignment="1">
      <alignment horizontal="right"/>
    </xf>
    <xf numFmtId="10" fontId="25" fillId="3" borderId="0" xfId="1" applyNumberFormat="1" applyFont="1" applyFill="1" applyBorder="1" applyAlignment="1">
      <alignment horizontal="right"/>
    </xf>
    <xf numFmtId="171" fontId="25" fillId="3" borderId="0" xfId="1" applyNumberFormat="1" applyFont="1" applyFill="1" applyBorder="1" applyAlignment="1">
      <alignment horizontal="right"/>
    </xf>
    <xf numFmtId="169" fontId="36" fillId="3" borderId="0" xfId="6" applyNumberFormat="1" applyFont="1" applyFill="1" applyBorder="1" applyAlignment="1">
      <alignment horizontal="right"/>
    </xf>
    <xf numFmtId="172" fontId="27" fillId="3" borderId="0" xfId="13889" applyNumberFormat="1" applyFont="1" applyFill="1" applyBorder="1" applyAlignment="1">
      <alignment horizontal="right"/>
    </xf>
    <xf numFmtId="169" fontId="25" fillId="3" borderId="0" xfId="13889" applyNumberFormat="1" applyFont="1" applyFill="1" applyBorder="1" applyAlignment="1">
      <alignment horizontal="right"/>
    </xf>
    <xf numFmtId="169" fontId="45" fillId="3" borderId="0" xfId="13889" applyNumberFormat="1" applyFont="1" applyFill="1" applyBorder="1"/>
    <xf numFmtId="169" fontId="27" fillId="3" borderId="0" xfId="13889" applyNumberFormat="1" applyFont="1" applyFill="1" applyBorder="1" applyAlignment="1">
      <alignment horizontal="center"/>
    </xf>
    <xf numFmtId="166" fontId="25" fillId="3" borderId="0" xfId="1" applyFont="1" applyFill="1"/>
    <xf numFmtId="166" fontId="27" fillId="3" borderId="0" xfId="1" applyFont="1" applyFill="1" applyAlignment="1">
      <alignment horizontal="center"/>
    </xf>
    <xf numFmtId="169" fontId="25" fillId="3" borderId="0" xfId="13889" applyNumberFormat="1" applyFont="1" applyFill="1"/>
    <xf numFmtId="166" fontId="25" fillId="3" borderId="0" xfId="1" applyFont="1" applyFill="1" applyBorder="1"/>
    <xf numFmtId="166" fontId="27" fillId="3" borderId="0" xfId="1" applyFont="1" applyFill="1" applyBorder="1" applyAlignment="1">
      <alignment horizontal="center"/>
    </xf>
    <xf numFmtId="10" fontId="27" fillId="3" borderId="0" xfId="13889" applyFont="1" applyFill="1" applyAlignment="1">
      <alignment horizontal="center"/>
    </xf>
    <xf numFmtId="10" fontId="27" fillId="3" borderId="0" xfId="13889" applyFont="1" applyFill="1"/>
    <xf numFmtId="169" fontId="28" fillId="3" borderId="0" xfId="13889" applyNumberFormat="1" applyFont="1" applyFill="1"/>
    <xf numFmtId="169" fontId="28" fillId="3" borderId="0" xfId="13889" applyNumberFormat="1" applyFont="1" applyFill="1" applyBorder="1"/>
    <xf numFmtId="170" fontId="27" fillId="3" borderId="0" xfId="1" applyNumberFormat="1" applyFont="1" applyFill="1"/>
    <xf numFmtId="171" fontId="25" fillId="3" borderId="0" xfId="1" applyNumberFormat="1" applyFont="1" applyFill="1"/>
    <xf numFmtId="172" fontId="27" fillId="3" borderId="0" xfId="3" applyNumberFormat="1" applyFont="1" applyFill="1"/>
    <xf numFmtId="172" fontId="50" fillId="3" borderId="0" xfId="3" applyNumberFormat="1" applyFont="1" applyFill="1"/>
    <xf numFmtId="169" fontId="39" fillId="3" borderId="0" xfId="13889" applyNumberFormat="1" applyFont="1" applyFill="1"/>
    <xf numFmtId="169" fontId="29" fillId="3" borderId="0" xfId="13889" applyNumberFormat="1" applyFont="1" applyFill="1"/>
    <xf numFmtId="9" fontId="31" fillId="3" borderId="0" xfId="13889" applyNumberFormat="1" applyFont="1" applyFill="1" applyBorder="1" applyAlignment="1">
      <alignment horizontal="right"/>
    </xf>
    <xf numFmtId="9" fontId="31" fillId="3" borderId="0" xfId="13889" applyNumberFormat="1" applyFont="1" applyFill="1"/>
    <xf numFmtId="10" fontId="31" fillId="3" borderId="0" xfId="13889" applyFont="1" applyFill="1"/>
    <xf numFmtId="169" fontId="31" fillId="3" borderId="0" xfId="13889" applyNumberFormat="1" applyFont="1" applyFill="1"/>
    <xf numFmtId="169" fontId="31" fillId="3" borderId="0" xfId="13889" applyNumberFormat="1" applyFont="1" applyFill="1" applyBorder="1"/>
    <xf numFmtId="166" fontId="40" fillId="3" borderId="0" xfId="1" applyFont="1" applyFill="1"/>
    <xf numFmtId="170" fontId="40" fillId="3" borderId="0" xfId="1" applyNumberFormat="1" applyFont="1" applyFill="1"/>
    <xf numFmtId="0" fontId="40" fillId="3" borderId="0" xfId="3" applyFont="1" applyFill="1"/>
    <xf numFmtId="172" fontId="40" fillId="3" borderId="0" xfId="3" applyNumberFormat="1" applyFont="1" applyFill="1"/>
    <xf numFmtId="172" fontId="39" fillId="3" borderId="0" xfId="3" applyNumberFormat="1" applyFont="1" applyFill="1"/>
    <xf numFmtId="0" fontId="61" fillId="3" borderId="0" xfId="3" applyFont="1" applyFill="1"/>
    <xf numFmtId="166" fontId="50" fillId="3" borderId="0" xfId="1" applyFont="1" applyFill="1"/>
    <xf numFmtId="13" fontId="25" fillId="3" borderId="0" xfId="1" applyNumberFormat="1" applyFont="1" applyFill="1"/>
    <xf numFmtId="0" fontId="27" fillId="3" borderId="0" xfId="3" applyFont="1" applyFill="1" applyAlignment="1">
      <alignment horizontal="center"/>
    </xf>
    <xf numFmtId="10" fontId="27" fillId="3" borderId="0" xfId="13889" applyFont="1" applyFill="1" applyBorder="1"/>
    <xf numFmtId="169" fontId="39" fillId="3" borderId="0" xfId="13889" applyNumberFormat="1" applyFont="1" applyFill="1" applyBorder="1" applyAlignment="1">
      <alignment horizontal="right"/>
    </xf>
    <xf numFmtId="170" fontId="27" fillId="3" borderId="0" xfId="1" applyNumberFormat="1" applyFont="1" applyFill="1" applyBorder="1" applyAlignment="1">
      <alignment horizontal="right"/>
    </xf>
    <xf numFmtId="43" fontId="40" fillId="3" borderId="0" xfId="3" applyNumberFormat="1" applyFont="1" applyFill="1"/>
    <xf numFmtId="43" fontId="39" fillId="3" borderId="0" xfId="3" applyNumberFormat="1" applyFont="1" applyFill="1"/>
    <xf numFmtId="43" fontId="27" fillId="3" borderId="0" xfId="3" applyNumberFormat="1" applyFont="1" applyFill="1"/>
    <xf numFmtId="169" fontId="28" fillId="3" borderId="0" xfId="13889" applyNumberFormat="1" applyFont="1" applyFill="1" applyBorder="1" applyAlignment="1">
      <alignment horizontal="right"/>
    </xf>
    <xf numFmtId="10" fontId="25" fillId="3" borderId="0" xfId="13889" applyFont="1" applyFill="1"/>
    <xf numFmtId="169" fontId="25" fillId="3" borderId="0" xfId="13889" applyNumberFormat="1" applyFont="1" applyFill="1" applyBorder="1"/>
    <xf numFmtId="0" fontId="27" fillId="3" borderId="0" xfId="3" applyFont="1" applyFill="1" applyAlignment="1">
      <alignment horizontal="left"/>
    </xf>
    <xf numFmtId="169" fontId="32" fillId="3" borderId="0" xfId="13889" applyNumberFormat="1" applyFont="1" applyFill="1" applyBorder="1" applyAlignment="1">
      <alignment horizontal="right"/>
    </xf>
    <xf numFmtId="166" fontId="61" fillId="3" borderId="0" xfId="1" applyFont="1" applyFill="1"/>
    <xf numFmtId="169" fontId="61" fillId="3" borderId="0" xfId="13889" applyNumberFormat="1" applyFont="1" applyFill="1"/>
    <xf numFmtId="169" fontId="61" fillId="3" borderId="0" xfId="13889" applyNumberFormat="1" applyFont="1" applyFill="1" applyBorder="1"/>
    <xf numFmtId="166" fontId="27" fillId="3" borderId="0" xfId="1" applyFont="1" applyFill="1" applyBorder="1" applyAlignment="1">
      <alignment horizontal="right"/>
    </xf>
    <xf numFmtId="0" fontId="34" fillId="3" borderId="0" xfId="3" applyFont="1" applyFill="1"/>
    <xf numFmtId="166" fontId="44" fillId="3" borderId="0" xfId="1" applyFont="1" applyFill="1" applyBorder="1"/>
    <xf numFmtId="171" fontId="44" fillId="3" borderId="0" xfId="1" applyNumberFormat="1" applyFont="1" applyFill="1" applyBorder="1"/>
    <xf numFmtId="166" fontId="34" fillId="3" borderId="0" xfId="1" applyFont="1" applyFill="1" applyBorder="1"/>
    <xf numFmtId="171" fontId="34" fillId="3" borderId="0" xfId="1" applyNumberFormat="1" applyFont="1" applyFill="1" applyBorder="1"/>
    <xf numFmtId="43" fontId="34" fillId="3" borderId="0" xfId="3" applyNumberFormat="1" applyFont="1" applyFill="1"/>
    <xf numFmtId="171" fontId="55" fillId="3" borderId="0" xfId="1" applyNumberFormat="1" applyFont="1" applyFill="1" applyBorder="1"/>
    <xf numFmtId="171" fontId="63" fillId="3" borderId="0" xfId="1" applyNumberFormat="1" applyFont="1" applyFill="1" applyBorder="1"/>
    <xf numFmtId="171" fontId="49" fillId="3" borderId="0" xfId="1" applyNumberFormat="1" applyFont="1" applyFill="1" applyBorder="1"/>
    <xf numFmtId="171" fontId="25" fillId="3" borderId="0" xfId="1" applyNumberFormat="1" applyFont="1" applyFill="1" applyBorder="1"/>
    <xf numFmtId="171" fontId="34" fillId="3" borderId="0" xfId="3" applyNumberFormat="1" applyFont="1" applyFill="1"/>
    <xf numFmtId="169" fontId="32" fillId="3" borderId="0" xfId="13889" applyNumberFormat="1" applyFont="1" applyFill="1" applyBorder="1"/>
    <xf numFmtId="166" fontId="55" fillId="3" borderId="0" xfId="1" applyFont="1" applyFill="1" applyBorder="1"/>
    <xf numFmtId="171" fontId="40" fillId="3" borderId="0" xfId="1" applyNumberFormat="1" applyFont="1" applyFill="1" applyBorder="1"/>
    <xf numFmtId="43" fontId="25" fillId="3" borderId="0" xfId="3" applyNumberFormat="1" applyFont="1" applyFill="1"/>
    <xf numFmtId="9" fontId="25" fillId="3" borderId="0" xfId="13889" applyNumberFormat="1" applyFont="1" applyFill="1" applyBorder="1"/>
    <xf numFmtId="0" fontId="34" fillId="3" borderId="0" xfId="0" applyFont="1" applyFill="1"/>
    <xf numFmtId="166" fontId="40" fillId="3" borderId="0" xfId="1" applyFont="1" applyFill="1" applyBorder="1"/>
    <xf numFmtId="171" fontId="26" fillId="3" borderId="0" xfId="1" applyNumberFormat="1" applyFont="1" applyFill="1" applyBorder="1"/>
    <xf numFmtId="171" fontId="27" fillId="3" borderId="0" xfId="3" applyNumberFormat="1" applyFont="1" applyFill="1"/>
    <xf numFmtId="171" fontId="26" fillId="3" borderId="0" xfId="3" applyNumberFormat="1" applyFont="1" applyFill="1"/>
    <xf numFmtId="0" fontId="25" fillId="3" borderId="0" xfId="0" applyFont="1" applyFill="1"/>
    <xf numFmtId="171" fontId="39" fillId="3" borderId="0" xfId="1" applyNumberFormat="1" applyFont="1" applyFill="1" applyBorder="1"/>
    <xf numFmtId="0" fontId="27" fillId="3" borderId="0" xfId="0" applyFont="1" applyFill="1"/>
    <xf numFmtId="169" fontId="39" fillId="3" borderId="0" xfId="13889" applyNumberFormat="1" applyFont="1" applyFill="1" applyBorder="1"/>
    <xf numFmtId="0" fontId="31" fillId="3" borderId="0" xfId="0" applyFont="1" applyFill="1"/>
    <xf numFmtId="0" fontId="31" fillId="3" borderId="0" xfId="3" applyFont="1" applyFill="1"/>
    <xf numFmtId="166" fontId="31" fillId="3" borderId="0" xfId="1" applyFont="1" applyFill="1" applyBorder="1"/>
    <xf numFmtId="171" fontId="31" fillId="3" borderId="0" xfId="1" applyNumberFormat="1" applyFont="1" applyFill="1" applyBorder="1"/>
    <xf numFmtId="169" fontId="30" fillId="3" borderId="0" xfId="13889" applyNumberFormat="1" applyFont="1" applyFill="1" applyBorder="1"/>
    <xf numFmtId="43" fontId="31" fillId="3" borderId="0" xfId="3" applyNumberFormat="1" applyFont="1" applyFill="1"/>
    <xf numFmtId="171" fontId="31" fillId="3" borderId="0" xfId="3" applyNumberFormat="1" applyFont="1" applyFill="1"/>
    <xf numFmtId="171" fontId="35" fillId="3" borderId="0" xfId="1" applyNumberFormat="1" applyFont="1" applyFill="1" applyBorder="1"/>
    <xf numFmtId="171" fontId="35" fillId="3" borderId="0" xfId="3" applyNumberFormat="1" applyFont="1" applyFill="1"/>
    <xf numFmtId="169" fontId="40" fillId="3" borderId="0" xfId="13889" applyNumberFormat="1" applyFont="1" applyFill="1" applyBorder="1"/>
    <xf numFmtId="169" fontId="29" fillId="3" borderId="0" xfId="13889" applyNumberFormat="1" applyFont="1" applyFill="1" applyBorder="1"/>
    <xf numFmtId="0" fontId="27" fillId="3" borderId="10" xfId="3" applyFont="1" applyFill="1" applyBorder="1"/>
    <xf numFmtId="166" fontId="40" fillId="3" borderId="10" xfId="1" applyFont="1" applyFill="1" applyBorder="1"/>
    <xf numFmtId="171" fontId="50" fillId="3" borderId="10" xfId="1" applyNumberFormat="1" applyFont="1" applyFill="1" applyBorder="1"/>
    <xf numFmtId="43" fontId="27" fillId="3" borderId="10" xfId="3" applyNumberFormat="1" applyFont="1" applyFill="1" applyBorder="1"/>
    <xf numFmtId="171" fontId="50" fillId="3" borderId="10" xfId="3" applyNumberFormat="1" applyFont="1" applyFill="1" applyBorder="1"/>
    <xf numFmtId="171" fontId="29" fillId="3" borderId="10" xfId="3" applyNumberFormat="1" applyFont="1" applyFill="1" applyBorder="1"/>
    <xf numFmtId="0" fontId="27" fillId="3" borderId="11" xfId="3" applyFont="1" applyFill="1" applyBorder="1"/>
    <xf numFmtId="166" fontId="40" fillId="3" borderId="11" xfId="1" applyFont="1" applyFill="1" applyBorder="1"/>
    <xf numFmtId="171" fontId="50" fillId="3" borderId="11" xfId="1" applyNumberFormat="1" applyFont="1" applyFill="1" applyBorder="1"/>
    <xf numFmtId="171" fontId="40" fillId="3" borderId="11" xfId="1" applyNumberFormat="1" applyFont="1" applyFill="1" applyBorder="1"/>
    <xf numFmtId="170" fontId="27" fillId="3" borderId="11" xfId="1" applyNumberFormat="1" applyFont="1" applyFill="1" applyBorder="1"/>
    <xf numFmtId="171" fontId="27" fillId="3" borderId="11" xfId="1" applyNumberFormat="1" applyFont="1" applyFill="1" applyBorder="1"/>
    <xf numFmtId="43" fontId="27" fillId="3" borderId="11" xfId="3" applyNumberFormat="1" applyFont="1" applyFill="1" applyBorder="1"/>
    <xf numFmtId="171" fontId="27" fillId="3" borderId="11" xfId="3" applyNumberFormat="1" applyFont="1" applyFill="1" applyBorder="1"/>
    <xf numFmtId="171" fontId="50" fillId="3" borderId="0" xfId="1" applyNumberFormat="1" applyFont="1" applyFill="1" applyBorder="1"/>
    <xf numFmtId="166" fontId="44" fillId="3" borderId="0" xfId="1" applyFont="1" applyFill="1"/>
    <xf numFmtId="171" fontId="44" fillId="3" borderId="0" xfId="1" applyNumberFormat="1" applyFont="1" applyFill="1"/>
    <xf numFmtId="166" fontId="34" fillId="3" borderId="0" xfId="1" applyFont="1" applyFill="1"/>
    <xf numFmtId="169" fontId="40" fillId="3" borderId="0" xfId="13889" applyNumberFormat="1" applyFont="1" applyFill="1"/>
    <xf numFmtId="0" fontId="34" fillId="3" borderId="10" xfId="3" applyFont="1" applyFill="1" applyBorder="1"/>
    <xf numFmtId="166" fontId="44" fillId="3" borderId="10" xfId="1" applyFont="1" applyFill="1" applyBorder="1"/>
    <xf numFmtId="171" fontId="34" fillId="3" borderId="10" xfId="1" applyNumberFormat="1" applyFont="1" applyFill="1" applyBorder="1"/>
    <xf numFmtId="43" fontId="34" fillId="3" borderId="10" xfId="3" applyNumberFormat="1" applyFont="1" applyFill="1" applyBorder="1"/>
    <xf numFmtId="171" fontId="27" fillId="3" borderId="10" xfId="3" applyNumberFormat="1" applyFont="1" applyFill="1" applyBorder="1"/>
    <xf numFmtId="171" fontId="34" fillId="3" borderId="0" xfId="1" applyNumberFormat="1" applyFont="1" applyFill="1"/>
    <xf numFmtId="171" fontId="35" fillId="3" borderId="0" xfId="1" applyNumberFormat="1" applyFont="1" applyFill="1"/>
    <xf numFmtId="171" fontId="25" fillId="3" borderId="0" xfId="3" applyNumberFormat="1" applyFont="1" applyFill="1"/>
    <xf numFmtId="169" fontId="27" fillId="3" borderId="10" xfId="13889" applyNumberFormat="1" applyFont="1" applyFill="1" applyBorder="1"/>
    <xf numFmtId="169" fontId="40" fillId="3" borderId="10" xfId="13889" applyNumberFormat="1" applyFont="1" applyFill="1" applyBorder="1"/>
    <xf numFmtId="169" fontId="34" fillId="3" borderId="0" xfId="13889" applyNumberFormat="1" applyFont="1" applyFill="1"/>
    <xf numFmtId="9" fontId="34" fillId="3" borderId="0" xfId="13889" applyNumberFormat="1" applyFont="1" applyFill="1"/>
    <xf numFmtId="9" fontId="27" fillId="3" borderId="0" xfId="13889" applyNumberFormat="1" applyFont="1" applyFill="1"/>
    <xf numFmtId="171" fontId="40" fillId="3" borderId="0" xfId="1" applyNumberFormat="1" applyFont="1" applyFill="1"/>
    <xf numFmtId="171" fontId="39" fillId="3" borderId="0" xfId="1" applyNumberFormat="1" applyFont="1" applyFill="1"/>
    <xf numFmtId="9" fontId="29" fillId="3" borderId="0" xfId="13889" applyNumberFormat="1" applyFont="1" applyFill="1"/>
    <xf numFmtId="169" fontId="45" fillId="20" borderId="0" xfId="13889" applyNumberFormat="1" applyFont="1" applyFill="1" applyBorder="1"/>
    <xf numFmtId="166" fontId="27" fillId="20" borderId="0" xfId="1" applyFont="1" applyFill="1" applyAlignment="1">
      <alignment horizontal="center"/>
    </xf>
    <xf numFmtId="170" fontId="27" fillId="20" borderId="0" xfId="1" applyNumberFormat="1" applyFont="1" applyFill="1"/>
    <xf numFmtId="172" fontId="50" fillId="20" borderId="0" xfId="3" applyNumberFormat="1" applyFont="1" applyFill="1"/>
    <xf numFmtId="172" fontId="27" fillId="20" borderId="0" xfId="3" applyNumberFormat="1" applyFont="1" applyFill="1"/>
    <xf numFmtId="10" fontId="39" fillId="20" borderId="0" xfId="13889" applyFont="1" applyFill="1"/>
    <xf numFmtId="169" fontId="39" fillId="20" borderId="0" xfId="13889" applyNumberFormat="1" applyFont="1" applyFill="1" applyBorder="1" applyAlignment="1">
      <alignment horizontal="right"/>
    </xf>
    <xf numFmtId="170" fontId="39" fillId="20" borderId="0" xfId="1" applyNumberFormat="1" applyFont="1" applyFill="1" applyBorder="1" applyAlignment="1">
      <alignment horizontal="right"/>
    </xf>
    <xf numFmtId="169" fontId="32" fillId="20" borderId="0" xfId="13889" applyNumberFormat="1" applyFont="1" applyFill="1" applyBorder="1" applyAlignment="1">
      <alignment horizontal="right"/>
    </xf>
    <xf numFmtId="169" fontId="61" fillId="20" borderId="0" xfId="13889" applyNumberFormat="1" applyFont="1" applyFill="1"/>
    <xf numFmtId="10" fontId="29" fillId="20" borderId="0" xfId="13889" applyFont="1" applyFill="1"/>
    <xf numFmtId="169" fontId="29" fillId="20" borderId="0" xfId="1" applyNumberFormat="1" applyFont="1" applyFill="1"/>
    <xf numFmtId="10" fontId="27" fillId="20" borderId="0" xfId="13889" applyFont="1" applyFill="1"/>
    <xf numFmtId="169" fontId="26" fillId="20" borderId="0" xfId="13889" applyNumberFormat="1" applyFont="1" applyFill="1" applyBorder="1"/>
    <xf numFmtId="171" fontId="33" fillId="20" borderId="0" xfId="1" applyNumberFormat="1" applyFont="1" applyFill="1" applyBorder="1"/>
    <xf numFmtId="171" fontId="33" fillId="20" borderId="0" xfId="3" applyNumberFormat="1" applyFont="1" applyFill="1"/>
    <xf numFmtId="169" fontId="39" fillId="20" borderId="0" xfId="13889" applyNumberFormat="1" applyFont="1" applyFill="1" applyBorder="1"/>
    <xf numFmtId="169" fontId="30" fillId="20" borderId="0" xfId="13889" applyNumberFormat="1" applyFont="1" applyFill="1" applyBorder="1"/>
    <xf numFmtId="171" fontId="34" fillId="20" borderId="0" xfId="1" applyNumberFormat="1" applyFont="1" applyFill="1"/>
    <xf numFmtId="169" fontId="32" fillId="20" borderId="0" xfId="13889" applyNumberFormat="1" applyFont="1" applyFill="1"/>
    <xf numFmtId="169" fontId="50" fillId="20" borderId="0" xfId="13889" applyNumberFormat="1" applyFont="1" applyFill="1"/>
    <xf numFmtId="169" fontId="27" fillId="20" borderId="10" xfId="13889" applyNumberFormat="1" applyFont="1" applyFill="1" applyBorder="1"/>
    <xf numFmtId="171" fontId="78" fillId="20" borderId="0" xfId="1" applyNumberFormat="1" applyFont="1" applyFill="1"/>
    <xf numFmtId="172" fontId="28" fillId="3" borderId="0" xfId="3" applyNumberFormat="1" applyFont="1" applyFill="1"/>
    <xf numFmtId="169" fontId="31" fillId="20" borderId="0" xfId="13889" applyNumberFormat="1" applyFont="1" applyFill="1" applyBorder="1"/>
    <xf numFmtId="0" fontId="2" fillId="0" borderId="0" xfId="0" applyFont="1" applyAlignment="1">
      <alignment horizontal="center"/>
    </xf>
    <xf numFmtId="169" fontId="0" fillId="0" borderId="0" xfId="13889" applyNumberFormat="1" applyFont="1"/>
    <xf numFmtId="10" fontId="0" fillId="0" borderId="0" xfId="0" applyNumberFormat="1"/>
    <xf numFmtId="172" fontId="0" fillId="0" borderId="0" xfId="0" applyNumberFormat="1"/>
    <xf numFmtId="10" fontId="81" fillId="0" borderId="0" xfId="13889" applyFont="1"/>
    <xf numFmtId="10" fontId="80" fillId="8" borderId="0" xfId="13889" applyFont="1" applyFill="1"/>
    <xf numFmtId="166" fontId="80" fillId="8" borderId="0" xfId="1" applyFont="1" applyFill="1"/>
    <xf numFmtId="169" fontId="0" fillId="3" borderId="0" xfId="13889" applyNumberFormat="1" applyFont="1" applyFill="1"/>
    <xf numFmtId="37" fontId="2" fillId="3" borderId="0" xfId="1" applyNumberFormat="1" applyFont="1" applyFill="1" applyAlignment="1">
      <alignment vertical="center"/>
    </xf>
    <xf numFmtId="0" fontId="2" fillId="3" borderId="0" xfId="0" applyFont="1" applyFill="1"/>
    <xf numFmtId="9" fontId="29" fillId="20" borderId="0" xfId="13889" applyNumberFormat="1" applyFont="1" applyFill="1"/>
    <xf numFmtId="37" fontId="1" fillId="3" borderId="0" xfId="1" applyNumberFormat="1" applyFont="1" applyFill="1" applyAlignment="1">
      <alignment vertical="center"/>
    </xf>
    <xf numFmtId="37" fontId="1" fillId="2" borderId="0" xfId="1" applyNumberFormat="1" applyFont="1" applyFill="1" applyAlignment="1">
      <alignment vertical="center"/>
    </xf>
    <xf numFmtId="169" fontId="81" fillId="3" borderId="0" xfId="13889" applyNumberFormat="1" applyFont="1" applyFill="1" applyAlignment="1">
      <alignment vertical="center"/>
    </xf>
    <xf numFmtId="37" fontId="80" fillId="3" borderId="0" xfId="1" applyNumberFormat="1" applyFont="1" applyFill="1" applyAlignment="1">
      <alignment vertical="center"/>
    </xf>
    <xf numFmtId="43" fontId="71" fillId="3" borderId="3" xfId="1" applyNumberFormat="1" applyFont="1" applyFill="1" applyBorder="1"/>
    <xf numFmtId="37" fontId="2" fillId="3" borderId="4" xfId="1" applyNumberFormat="1" applyFont="1" applyFill="1" applyBorder="1" applyAlignment="1">
      <alignment vertical="center"/>
    </xf>
    <xf numFmtId="171" fontId="27" fillId="3" borderId="10" xfId="1" applyNumberFormat="1" applyFont="1" applyFill="1" applyBorder="1"/>
    <xf numFmtId="37" fontId="84" fillId="3" borderId="0" xfId="1" applyNumberFormat="1" applyFont="1" applyFill="1" applyAlignment="1">
      <alignment vertical="center"/>
    </xf>
    <xf numFmtId="166" fontId="25" fillId="20" borderId="0" xfId="3" applyNumberFormat="1" applyFont="1" applyFill="1"/>
    <xf numFmtId="10" fontId="72" fillId="3" borderId="23" xfId="13889" applyFont="1" applyFill="1" applyBorder="1"/>
    <xf numFmtId="43" fontId="72" fillId="3" borderId="23" xfId="1" applyNumberFormat="1" applyFont="1" applyFill="1" applyBorder="1"/>
    <xf numFmtId="1" fontId="27" fillId="2" borderId="0" xfId="3" applyNumberFormat="1" applyFont="1" applyFill="1"/>
    <xf numFmtId="10" fontId="29" fillId="20" borderId="0" xfId="3" applyNumberFormat="1" applyFont="1" applyFill="1"/>
    <xf numFmtId="169" fontId="29" fillId="8" borderId="0" xfId="13889" applyNumberFormat="1" applyFont="1" applyFill="1"/>
    <xf numFmtId="169" fontId="31" fillId="8" borderId="14" xfId="13889" applyNumberFormat="1" applyFont="1" applyFill="1" applyBorder="1"/>
    <xf numFmtId="169" fontId="31" fillId="8" borderId="13" xfId="13889" applyNumberFormat="1" applyFont="1" applyFill="1" applyBorder="1"/>
    <xf numFmtId="169" fontId="80" fillId="3" borderId="0" xfId="13889" applyNumberFormat="1" applyFont="1" applyFill="1" applyAlignment="1">
      <alignment vertical="center"/>
    </xf>
    <xf numFmtId="171" fontId="84" fillId="3" borderId="0" xfId="1" applyNumberFormat="1" applyFont="1" applyFill="1" applyAlignment="1">
      <alignment vertical="center"/>
    </xf>
    <xf numFmtId="178" fontId="27" fillId="20" borderId="0" xfId="1" applyNumberFormat="1" applyFont="1" applyFill="1"/>
    <xf numFmtId="10" fontId="29" fillId="20" borderId="0" xfId="1" applyNumberFormat="1" applyFont="1" applyFill="1"/>
    <xf numFmtId="169" fontId="82" fillId="20" borderId="0" xfId="13889" applyNumberFormat="1" applyFont="1" applyFill="1" applyBorder="1"/>
    <xf numFmtId="171" fontId="83" fillId="20" borderId="0" xfId="1" applyNumberFormat="1" applyFont="1" applyFill="1" applyBorder="1"/>
    <xf numFmtId="171" fontId="78" fillId="20" borderId="0" xfId="1" applyNumberFormat="1" applyFont="1" applyFill="1" applyBorder="1"/>
    <xf numFmtId="169" fontId="82" fillId="20" borderId="0" xfId="13889" applyNumberFormat="1" applyFont="1" applyFill="1"/>
    <xf numFmtId="0" fontId="83" fillId="20" borderId="0" xfId="3" applyFont="1" applyFill="1"/>
    <xf numFmtId="169" fontId="29" fillId="20" borderId="0" xfId="3" applyNumberFormat="1" applyFont="1" applyFill="1"/>
    <xf numFmtId="171" fontId="85" fillId="2" borderId="0" xfId="1" applyNumberFormat="1" applyFont="1" applyFill="1" applyBorder="1"/>
    <xf numFmtId="171" fontId="85" fillId="0" borderId="0" xfId="1" applyNumberFormat="1" applyFont="1" applyFill="1" applyBorder="1"/>
    <xf numFmtId="171" fontId="85" fillId="2" borderId="0" xfId="1" applyNumberFormat="1" applyFont="1" applyFill="1"/>
    <xf numFmtId="0" fontId="87" fillId="2" borderId="14" xfId="3" applyFont="1" applyFill="1" applyBorder="1"/>
    <xf numFmtId="0" fontId="87" fillId="2" borderId="13" xfId="3" applyFont="1" applyFill="1" applyBorder="1"/>
    <xf numFmtId="10" fontId="87" fillId="2" borderId="13" xfId="3" applyNumberFormat="1" applyFont="1" applyFill="1" applyBorder="1"/>
    <xf numFmtId="10" fontId="43" fillId="8" borderId="13" xfId="3" applyNumberFormat="1" applyFont="1" applyFill="1" applyBorder="1"/>
    <xf numFmtId="10" fontId="44" fillId="2" borderId="13" xfId="3" applyNumberFormat="1" applyFont="1" applyFill="1" applyBorder="1"/>
    <xf numFmtId="10" fontId="35" fillId="2" borderId="13" xfId="3" applyNumberFormat="1" applyFont="1" applyFill="1" applyBorder="1"/>
    <xf numFmtId="10" fontId="34" fillId="2" borderId="13" xfId="3" applyNumberFormat="1" applyFont="1" applyFill="1" applyBorder="1"/>
    <xf numFmtId="0" fontId="0" fillId="0" borderId="13" xfId="0" applyBorder="1"/>
    <xf numFmtId="166" fontId="88" fillId="3" borderId="0" xfId="1" applyFont="1" applyFill="1" applyBorder="1" applyAlignment="1">
      <alignment horizontal="right"/>
    </xf>
    <xf numFmtId="166" fontId="88" fillId="20" borderId="0" xfId="1" applyFont="1" applyFill="1" applyBorder="1" applyAlignment="1">
      <alignment horizontal="right"/>
    </xf>
    <xf numFmtId="10" fontId="89" fillId="3" borderId="0" xfId="1" applyNumberFormat="1" applyFont="1" applyFill="1" applyBorder="1" applyAlignment="1">
      <alignment horizontal="right"/>
    </xf>
    <xf numFmtId="169" fontId="89" fillId="3" borderId="0" xfId="1" applyNumberFormat="1" applyFont="1" applyFill="1" applyBorder="1" applyAlignment="1">
      <alignment horizontal="right"/>
    </xf>
    <xf numFmtId="169" fontId="89" fillId="20" borderId="0" xfId="1" applyNumberFormat="1" applyFont="1" applyFill="1" applyBorder="1" applyAlignment="1">
      <alignment horizontal="right"/>
    </xf>
    <xf numFmtId="169" fontId="89" fillId="3" borderId="0" xfId="6" applyNumberFormat="1" applyFont="1" applyFill="1" applyBorder="1" applyAlignment="1">
      <alignment horizontal="right"/>
    </xf>
    <xf numFmtId="171" fontId="90" fillId="20" borderId="0" xfId="1" applyNumberFormat="1" applyFont="1" applyFill="1"/>
    <xf numFmtId="171" fontId="88" fillId="3" borderId="0" xfId="1" applyNumberFormat="1" applyFont="1" applyFill="1"/>
    <xf numFmtId="171" fontId="88" fillId="3" borderId="0" xfId="1" applyNumberFormat="1" applyFont="1" applyFill="1" applyBorder="1"/>
    <xf numFmtId="171" fontId="88" fillId="20" borderId="0" xfId="1" applyNumberFormat="1" applyFont="1" applyFill="1"/>
    <xf numFmtId="43" fontId="88" fillId="20" borderId="0" xfId="1" applyNumberFormat="1" applyFont="1" applyFill="1"/>
    <xf numFmtId="43" fontId="88" fillId="20" borderId="0" xfId="1" applyNumberFormat="1" applyFont="1" applyFill="1" applyBorder="1"/>
    <xf numFmtId="171" fontId="34" fillId="2" borderId="0" xfId="1" applyNumberFormat="1" applyFont="1" applyFill="1" applyBorder="1"/>
    <xf numFmtId="171" fontId="35" fillId="20" borderId="0" xfId="1" applyNumberFormat="1" applyFont="1" applyFill="1" applyBorder="1"/>
    <xf numFmtId="171" fontId="34" fillId="2" borderId="0" xfId="1" applyNumberFormat="1" applyFont="1" applyFill="1" applyBorder="1" applyAlignment="1">
      <alignment horizontal="center"/>
    </xf>
    <xf numFmtId="169" fontId="34" fillId="20" borderId="0" xfId="13889" applyNumberFormat="1" applyFont="1" applyFill="1" applyBorder="1"/>
    <xf numFmtId="9" fontId="91" fillId="0" borderId="0" xfId="13889" applyNumberFormat="1" applyFont="1" applyAlignment="1">
      <alignment vertical="center"/>
    </xf>
    <xf numFmtId="179" fontId="77" fillId="3" borderId="0" xfId="8" applyFont="1" applyFill="1" applyAlignment="1">
      <alignment horizontal="center"/>
    </xf>
    <xf numFmtId="174" fontId="72" fillId="3" borderId="23" xfId="1" applyNumberFormat="1" applyFont="1" applyFill="1" applyBorder="1"/>
    <xf numFmtId="178" fontId="2" fillId="0" borderId="0" xfId="1" applyNumberFormat="1" applyFont="1"/>
    <xf numFmtId="178" fontId="0" fillId="0" borderId="0" xfId="1" applyNumberFormat="1" applyFont="1"/>
    <xf numFmtId="10" fontId="92" fillId="0" borderId="0" xfId="0" applyNumberFormat="1" applyFont="1"/>
    <xf numFmtId="9" fontId="92" fillId="0" borderId="0" xfId="0" applyNumberFormat="1" applyFont="1"/>
    <xf numFmtId="178" fontId="92" fillId="0" borderId="0" xfId="1" applyNumberFormat="1" applyFont="1"/>
    <xf numFmtId="10" fontId="2" fillId="0" borderId="0" xfId="0" applyNumberFormat="1" applyFont="1"/>
    <xf numFmtId="10" fontId="80" fillId="0" borderId="0" xfId="0" applyNumberFormat="1" applyFont="1"/>
    <xf numFmtId="178" fontId="80" fillId="0" borderId="0" xfId="0" applyNumberFormat="1" applyFont="1"/>
    <xf numFmtId="0" fontId="93" fillId="0" borderId="0" xfId="0" applyFont="1"/>
    <xf numFmtId="178" fontId="94" fillId="0" borderId="0" xfId="1" applyNumberFormat="1" applyFont="1"/>
    <xf numFmtId="178" fontId="2" fillId="0" borderId="0" xfId="0" applyNumberFormat="1" applyFont="1"/>
    <xf numFmtId="178" fontId="80" fillId="0" borderId="0" xfId="1" applyNumberFormat="1" applyFont="1"/>
    <xf numFmtId="178" fontId="95" fillId="0" borderId="0" xfId="1" applyNumberFormat="1" applyFont="1"/>
    <xf numFmtId="0" fontId="0" fillId="0" borderId="10" xfId="0" applyBorder="1"/>
    <xf numFmtId="169" fontId="80" fillId="0" borderId="0" xfId="13889" applyNumberFormat="1" applyFont="1"/>
    <xf numFmtId="0" fontId="2" fillId="0" borderId="0" xfId="0" applyFont="1" applyAlignment="1">
      <alignment horizontal="right"/>
    </xf>
    <xf numFmtId="0" fontId="34" fillId="2" borderId="24" xfId="3" applyFont="1" applyFill="1" applyBorder="1"/>
    <xf numFmtId="0" fontId="34" fillId="2" borderId="15" xfId="3" applyFont="1" applyFill="1" applyBorder="1"/>
    <xf numFmtId="171" fontId="34" fillId="2" borderId="15" xfId="3" applyNumberFormat="1" applyFont="1" applyFill="1" applyBorder="1"/>
    <xf numFmtId="171" fontId="35" fillId="20" borderId="15" xfId="3" applyNumberFormat="1" applyFont="1" applyFill="1" applyBorder="1"/>
    <xf numFmtId="0" fontId="2" fillId="0" borderId="15" xfId="0" applyFont="1" applyBorder="1"/>
    <xf numFmtId="0" fontId="0" fillId="0" borderId="15" xfId="0" applyBorder="1"/>
    <xf numFmtId="171" fontId="44" fillId="2" borderId="0" xfId="1" applyNumberFormat="1" applyFont="1" applyFill="1" applyBorder="1"/>
    <xf numFmtId="171" fontId="34" fillId="20" borderId="0" xfId="1" applyNumberFormat="1" applyFont="1" applyFill="1" applyBorder="1"/>
    <xf numFmtId="171" fontId="79" fillId="20" borderId="0" xfId="1" applyNumberFormat="1" applyFont="1" applyFill="1" applyBorder="1"/>
    <xf numFmtId="171" fontId="36" fillId="2" borderId="15" xfId="1" applyNumberFormat="1" applyFont="1" applyFill="1" applyBorder="1"/>
    <xf numFmtId="171" fontId="34" fillId="0" borderId="15" xfId="3" applyNumberFormat="1" applyFont="1" applyBorder="1"/>
    <xf numFmtId="169" fontId="78" fillId="20" borderId="0" xfId="13889" applyNumberFormat="1" applyFont="1" applyFill="1"/>
    <xf numFmtId="0" fontId="34" fillId="0" borderId="24" xfId="3" applyFont="1" applyBorder="1" applyAlignment="1">
      <alignment horizontal="left"/>
    </xf>
    <xf numFmtId="0" fontId="34" fillId="0" borderId="15" xfId="3" applyFont="1" applyBorder="1" applyAlignment="1">
      <alignment horizontal="left"/>
    </xf>
    <xf numFmtId="171" fontId="35" fillId="0" borderId="15" xfId="3" applyNumberFormat="1" applyFont="1" applyBorder="1"/>
    <xf numFmtId="169" fontId="82" fillId="0" borderId="0" xfId="13889" applyNumberFormat="1" applyFont="1" applyFill="1" applyBorder="1"/>
    <xf numFmtId="169" fontId="82" fillId="0" borderId="0" xfId="13889" applyNumberFormat="1" applyFont="1" applyFill="1"/>
    <xf numFmtId="0" fontId="34" fillId="0" borderId="0" xfId="3" applyFont="1" applyAlignment="1">
      <alignment horizontal="left"/>
    </xf>
    <xf numFmtId="0" fontId="25" fillId="0" borderId="0" xfId="3" applyFont="1"/>
    <xf numFmtId="169" fontId="37" fillId="0" borderId="0" xfId="13889" applyNumberFormat="1" applyFont="1" applyFill="1" applyBorder="1"/>
    <xf numFmtId="176" fontId="27" fillId="0" borderId="0" xfId="13889" applyNumberFormat="1" applyFont="1" applyFill="1"/>
    <xf numFmtId="0" fontId="83" fillId="0" borderId="0" xfId="3" applyFont="1"/>
    <xf numFmtId="0" fontId="96" fillId="0" borderId="0" xfId="0" applyFont="1"/>
    <xf numFmtId="0" fontId="34" fillId="9" borderId="0" xfId="3" applyFont="1" applyFill="1" applyAlignment="1">
      <alignment horizontal="left"/>
    </xf>
    <xf numFmtId="171" fontId="34" fillId="9" borderId="0" xfId="3" applyNumberFormat="1" applyFont="1" applyFill="1"/>
    <xf numFmtId="171" fontId="87" fillId="9" borderId="0" xfId="3" applyNumberFormat="1" applyFont="1" applyFill="1"/>
    <xf numFmtId="171" fontId="35" fillId="9" borderId="0" xfId="3" applyNumberFormat="1" applyFont="1" applyFill="1"/>
    <xf numFmtId="171" fontId="79" fillId="9" borderId="0" xfId="3" applyNumberFormat="1" applyFont="1" applyFill="1"/>
    <xf numFmtId="0" fontId="0" fillId="9" borderId="0" xfId="0" applyFill="1"/>
    <xf numFmtId="0" fontId="27" fillId="9" borderId="0" xfId="3" applyFont="1" applyFill="1"/>
    <xf numFmtId="169" fontId="27" fillId="9" borderId="0" xfId="13889" applyNumberFormat="1" applyFont="1" applyFill="1" applyBorder="1"/>
    <xf numFmtId="171" fontId="27" fillId="9" borderId="0" xfId="3" applyNumberFormat="1" applyFont="1" applyFill="1"/>
    <xf numFmtId="169" fontId="82" fillId="9" borderId="0" xfId="13889" applyNumberFormat="1" applyFont="1" applyFill="1" applyBorder="1"/>
    <xf numFmtId="169" fontId="32" fillId="9" borderId="0" xfId="13889" applyNumberFormat="1" applyFont="1" applyFill="1" applyBorder="1"/>
    <xf numFmtId="169" fontId="50" fillId="9" borderId="0" xfId="13889" applyNumberFormat="1" applyFont="1" applyFill="1" applyBorder="1"/>
    <xf numFmtId="0" fontId="31" fillId="9" borderId="0" xfId="3" applyFont="1" applyFill="1" applyAlignment="1">
      <alignment horizontal="left"/>
    </xf>
    <xf numFmtId="166" fontId="31" fillId="9" borderId="0" xfId="1" applyFont="1" applyFill="1" applyBorder="1"/>
    <xf numFmtId="166" fontId="26" fillId="9" borderId="0" xfId="1" applyFont="1" applyFill="1" applyBorder="1"/>
    <xf numFmtId="0" fontId="25" fillId="9" borderId="0" xfId="3" applyFont="1" applyFill="1"/>
    <xf numFmtId="171" fontId="25" fillId="9" borderId="0" xfId="3" applyNumberFormat="1" applyFont="1" applyFill="1"/>
    <xf numFmtId="169" fontId="27" fillId="9" borderId="0" xfId="13889" applyNumberFormat="1" applyFont="1" applyFill="1"/>
    <xf numFmtId="166" fontId="25" fillId="9" borderId="0" xfId="1" applyFont="1" applyFill="1" applyBorder="1"/>
    <xf numFmtId="166" fontId="83" fillId="9" borderId="0" xfId="1" applyFont="1" applyFill="1" applyBorder="1"/>
    <xf numFmtId="0" fontId="27" fillId="9" borderId="0" xfId="3" applyFont="1" applyFill="1" applyAlignment="1">
      <alignment horizontal="left"/>
    </xf>
    <xf numFmtId="169" fontId="28" fillId="9" borderId="0" xfId="13889" applyNumberFormat="1" applyFont="1" applyFill="1" applyBorder="1"/>
    <xf numFmtId="169" fontId="82" fillId="9" borderId="0" xfId="13889" applyNumberFormat="1" applyFont="1" applyFill="1"/>
    <xf numFmtId="166" fontId="45" fillId="9" borderId="0" xfId="1" applyFont="1" applyFill="1"/>
    <xf numFmtId="43" fontId="31" fillId="9" borderId="0" xfId="13889" applyNumberFormat="1" applyFont="1" applyFill="1"/>
    <xf numFmtId="166" fontId="26" fillId="9" borderId="0" xfId="1" applyFont="1" applyFill="1"/>
    <xf numFmtId="166" fontId="31" fillId="9" borderId="0" xfId="1" applyFont="1" applyFill="1"/>
    <xf numFmtId="166" fontId="50" fillId="9" borderId="0" xfId="1" applyFont="1" applyFill="1" applyBorder="1"/>
    <xf numFmtId="0" fontId="83" fillId="9" borderId="0" xfId="3" applyFont="1" applyFill="1"/>
    <xf numFmtId="0" fontId="37" fillId="9" borderId="0" xfId="3" applyFont="1" applyFill="1"/>
    <xf numFmtId="169" fontId="37" fillId="9" borderId="0" xfId="13889" applyNumberFormat="1" applyFont="1" applyFill="1" applyBorder="1"/>
    <xf numFmtId="171" fontId="25" fillId="9" borderId="0" xfId="1" applyNumberFormat="1" applyFont="1" applyFill="1" applyBorder="1"/>
    <xf numFmtId="171" fontId="25" fillId="9" borderId="0" xfId="1" applyNumberFormat="1" applyFont="1" applyFill="1"/>
    <xf numFmtId="0" fontId="25" fillId="9" borderId="0" xfId="3" applyFont="1" applyFill="1" applyAlignment="1">
      <alignment horizontal="left"/>
    </xf>
    <xf numFmtId="171" fontId="88" fillId="9" borderId="0" xfId="3" applyNumberFormat="1" applyFont="1" applyFill="1"/>
    <xf numFmtId="171" fontId="49" fillId="9" borderId="0" xfId="3" applyNumberFormat="1" applyFont="1" applyFill="1"/>
    <xf numFmtId="0" fontId="96" fillId="9" borderId="0" xfId="0" applyFont="1" applyFill="1"/>
    <xf numFmtId="169" fontId="29" fillId="9" borderId="0" xfId="13889" applyNumberFormat="1" applyFont="1" applyFill="1" applyBorder="1"/>
    <xf numFmtId="171" fontId="88" fillId="9" borderId="0" xfId="1" applyNumberFormat="1" applyFont="1" applyFill="1" applyBorder="1"/>
    <xf numFmtId="169" fontId="25" fillId="9" borderId="0" xfId="13889" applyNumberFormat="1" applyFont="1" applyFill="1" applyBorder="1"/>
    <xf numFmtId="171" fontId="27" fillId="9" borderId="0" xfId="1" applyNumberFormat="1" applyFont="1" applyFill="1" applyBorder="1"/>
    <xf numFmtId="171" fontId="25" fillId="9" borderId="0" xfId="1" applyNumberFormat="1" applyFont="1" applyFill="1" applyBorder="1" applyAlignment="1">
      <alignment horizontal="left"/>
    </xf>
    <xf numFmtId="171" fontId="27" fillId="9" borderId="0" xfId="1" applyNumberFormat="1" applyFont="1" applyFill="1" applyBorder="1" applyAlignment="1">
      <alignment horizontal="left"/>
    </xf>
    <xf numFmtId="171" fontId="49" fillId="9" borderId="0" xfId="1" applyNumberFormat="1" applyFont="1" applyFill="1" applyBorder="1"/>
    <xf numFmtId="171" fontId="28" fillId="9" borderId="0" xfId="3" applyNumberFormat="1" applyFont="1" applyFill="1"/>
    <xf numFmtId="0" fontId="98" fillId="2" borderId="0" xfId="3" applyFont="1" applyFill="1" applyAlignment="1">
      <alignment horizontal="center"/>
    </xf>
    <xf numFmtId="169" fontId="98" fillId="2" borderId="0" xfId="13889" applyNumberFormat="1" applyFont="1" applyFill="1" applyBorder="1"/>
    <xf numFmtId="169" fontId="98" fillId="20" borderId="0" xfId="13889" applyNumberFormat="1" applyFont="1" applyFill="1" applyBorder="1"/>
    <xf numFmtId="0" fontId="99" fillId="0" borderId="0" xfId="0" applyFont="1"/>
    <xf numFmtId="0" fontId="98" fillId="2" borderId="0" xfId="3" applyFont="1" applyFill="1"/>
    <xf numFmtId="0" fontId="100" fillId="0" borderId="0" xfId="0" applyFont="1"/>
    <xf numFmtId="0" fontId="34" fillId="26" borderId="0" xfId="3" applyFont="1" applyFill="1" applyAlignment="1">
      <alignment horizontal="center"/>
    </xf>
    <xf numFmtId="0" fontId="0" fillId="26" borderId="0" xfId="0" applyFill="1"/>
    <xf numFmtId="171" fontId="34" fillId="2" borderId="0" xfId="1" applyNumberFormat="1" applyFont="1" applyFill="1"/>
    <xf numFmtId="171" fontId="87" fillId="2" borderId="0" xfId="1" applyNumberFormat="1" applyFont="1" applyFill="1"/>
    <xf numFmtId="171" fontId="87" fillId="2" borderId="0" xfId="1" applyNumberFormat="1" applyFont="1" applyFill="1" applyBorder="1"/>
    <xf numFmtId="171" fontId="87" fillId="3" borderId="0" xfId="1" applyNumberFormat="1" applyFont="1" applyFill="1"/>
    <xf numFmtId="171" fontId="87" fillId="20" borderId="0" xfId="1" applyNumberFormat="1" applyFont="1" applyFill="1"/>
    <xf numFmtId="171" fontId="35" fillId="20" borderId="0" xfId="1" applyNumberFormat="1" applyFont="1" applyFill="1"/>
    <xf numFmtId="171" fontId="42" fillId="2" borderId="0" xfId="3" applyNumberFormat="1" applyFont="1" applyFill="1"/>
    <xf numFmtId="171" fontId="38" fillId="20" borderId="0" xfId="1" applyNumberFormat="1" applyFont="1" applyFill="1"/>
    <xf numFmtId="171" fontId="38" fillId="2" borderId="0" xfId="3" applyNumberFormat="1" applyFont="1" applyFill="1"/>
    <xf numFmtId="171" fontId="38" fillId="2" borderId="0" xfId="1" applyNumberFormat="1" applyFont="1" applyFill="1"/>
    <xf numFmtId="169" fontId="36" fillId="2" borderId="0" xfId="13889" applyNumberFormat="1" applyFont="1" applyFill="1"/>
    <xf numFmtId="171" fontId="47" fillId="20" borderId="0" xfId="1" applyNumberFormat="1" applyFont="1" applyFill="1"/>
    <xf numFmtId="169" fontId="85" fillId="2" borderId="0" xfId="13889" applyNumberFormat="1" applyFont="1" applyFill="1"/>
    <xf numFmtId="169" fontId="47" fillId="20" borderId="0" xfId="13889" applyNumberFormat="1" applyFont="1" applyFill="1"/>
    <xf numFmtId="169" fontId="47" fillId="2" borderId="0" xfId="13889" applyNumberFormat="1" applyFont="1" applyFill="1"/>
    <xf numFmtId="171" fontId="38" fillId="20" borderId="0" xfId="1" applyNumberFormat="1" applyFont="1" applyFill="1" applyBorder="1"/>
    <xf numFmtId="0" fontId="36" fillId="2" borderId="24" xfId="3" applyFont="1" applyFill="1" applyBorder="1" applyAlignment="1">
      <alignment horizontal="left"/>
    </xf>
    <xf numFmtId="0" fontId="36" fillId="2" borderId="15" xfId="3" applyFont="1" applyFill="1" applyBorder="1"/>
    <xf numFmtId="169" fontId="36" fillId="2" borderId="15" xfId="13889" applyNumberFormat="1" applyFont="1" applyFill="1" applyBorder="1"/>
    <xf numFmtId="171" fontId="101" fillId="20" borderId="15" xfId="1" applyNumberFormat="1" applyFont="1" applyFill="1" applyBorder="1"/>
    <xf numFmtId="170" fontId="97" fillId="14" borderId="0" xfId="1" applyNumberFormat="1" applyFont="1" applyFill="1" applyBorder="1" applyAlignment="1">
      <alignment horizontal="center"/>
    </xf>
    <xf numFmtId="170" fontId="36" fillId="2" borderId="0" xfId="1" applyNumberFormat="1" applyFont="1" applyFill="1"/>
    <xf numFmtId="170" fontId="36" fillId="2" borderId="0" xfId="1" applyNumberFormat="1" applyFont="1" applyFill="1" applyBorder="1"/>
    <xf numFmtId="170" fontId="36" fillId="2" borderId="0" xfId="1" applyNumberFormat="1" applyFont="1" applyFill="1" applyBorder="1" applyAlignment="1">
      <alignment horizontal="center"/>
    </xf>
    <xf numFmtId="170" fontId="48" fillId="20" borderId="0" xfId="1" applyNumberFormat="1" applyFont="1" applyFill="1" applyBorder="1" applyAlignment="1">
      <alignment horizontal="center"/>
    </xf>
    <xf numFmtId="170" fontId="36" fillId="3" borderId="0" xfId="1" applyNumberFormat="1" applyFont="1" applyFill="1" applyBorder="1" applyAlignment="1">
      <alignment horizontal="center"/>
    </xf>
    <xf numFmtId="170" fontId="53" fillId="20" borderId="0" xfId="1" applyNumberFormat="1" applyFont="1" applyFill="1" applyBorder="1"/>
    <xf numFmtId="170" fontId="48" fillId="20" borderId="0" xfId="1" applyNumberFormat="1" applyFont="1" applyFill="1"/>
    <xf numFmtId="170" fontId="36" fillId="20" borderId="0" xfId="1" applyNumberFormat="1" applyFont="1" applyFill="1" applyBorder="1"/>
    <xf numFmtId="170" fontId="97" fillId="14" borderId="0" xfId="1" applyNumberFormat="1" applyFont="1" applyFill="1" applyAlignment="1">
      <alignment horizontal="center"/>
    </xf>
    <xf numFmtId="169" fontId="103" fillId="20" borderId="0" xfId="13889" applyNumberFormat="1" applyFont="1" applyFill="1" applyAlignment="1">
      <alignment horizontal="right"/>
    </xf>
    <xf numFmtId="10" fontId="97" fillId="8" borderId="13" xfId="3" applyNumberFormat="1" applyFont="1" applyFill="1" applyBorder="1"/>
    <xf numFmtId="0" fontId="12" fillId="2" borderId="0" xfId="2" applyFont="1" applyFill="1"/>
    <xf numFmtId="0" fontId="14" fillId="2" borderId="0" xfId="2" applyFont="1" applyFill="1"/>
    <xf numFmtId="0" fontId="104" fillId="20" borderId="0" xfId="3" applyFont="1" applyFill="1"/>
    <xf numFmtId="166" fontId="104" fillId="20" borderId="0" xfId="1" applyFont="1" applyFill="1"/>
    <xf numFmtId="166" fontId="104" fillId="20" borderId="0" xfId="1" applyFont="1" applyFill="1" applyBorder="1"/>
    <xf numFmtId="43" fontId="104" fillId="20" borderId="0" xfId="3" applyNumberFormat="1" applyFont="1" applyFill="1"/>
    <xf numFmtId="0" fontId="105" fillId="0" borderId="0" xfId="0" applyFont="1"/>
    <xf numFmtId="39" fontId="34" fillId="14" borderId="0" xfId="3" applyNumberFormat="1" applyFont="1" applyFill="1" applyAlignment="1">
      <alignment horizontal="left"/>
    </xf>
    <xf numFmtId="39" fontId="34" fillId="14" borderId="0" xfId="1" applyNumberFormat="1" applyFont="1" applyFill="1"/>
    <xf numFmtId="39" fontId="34" fillId="14" borderId="0" xfId="1" applyNumberFormat="1" applyFont="1" applyFill="1" applyBorder="1"/>
    <xf numFmtId="39" fontId="35" fillId="14" borderId="0" xfId="1" applyNumberFormat="1" applyFont="1" applyFill="1"/>
    <xf numFmtId="39" fontId="34" fillId="14" borderId="0" xfId="3" applyNumberFormat="1" applyFont="1" applyFill="1"/>
    <xf numFmtId="39" fontId="25" fillId="20" borderId="0" xfId="3" applyNumberFormat="1" applyFont="1" applyFill="1"/>
    <xf numFmtId="39" fontId="25" fillId="20" borderId="0" xfId="1" applyNumberFormat="1" applyFont="1" applyFill="1"/>
    <xf numFmtId="39" fontId="88" fillId="20" borderId="0" xfId="1" applyNumberFormat="1" applyFont="1" applyFill="1"/>
    <xf numFmtId="39" fontId="88" fillId="20" borderId="0" xfId="1" applyNumberFormat="1" applyFont="1" applyFill="1" applyBorder="1"/>
    <xf numFmtId="39" fontId="49" fillId="20" borderId="0" xfId="1" applyNumberFormat="1" applyFont="1" applyFill="1"/>
    <xf numFmtId="39" fontId="34" fillId="20" borderId="0" xfId="3" applyNumberFormat="1" applyFont="1" applyFill="1"/>
    <xf numFmtId="39" fontId="34" fillId="20" borderId="0" xfId="1" applyNumberFormat="1" applyFont="1" applyFill="1"/>
    <xf numFmtId="39" fontId="34" fillId="20" borderId="0" xfId="1" applyNumberFormat="1" applyFont="1" applyFill="1" applyBorder="1"/>
    <xf numFmtId="39" fontId="35" fillId="20" borderId="0" xfId="1" applyNumberFormat="1" applyFont="1" applyFill="1"/>
    <xf numFmtId="39" fontId="58" fillId="20" borderId="0" xfId="1" applyNumberFormat="1" applyFont="1" applyFill="1"/>
    <xf numFmtId="39" fontId="96" fillId="0" borderId="0" xfId="0" applyNumberFormat="1" applyFont="1"/>
    <xf numFmtId="39" fontId="87" fillId="20" borderId="0" xfId="1" applyNumberFormat="1" applyFont="1" applyFill="1"/>
    <xf numFmtId="39" fontId="87" fillId="20" borderId="0" xfId="1" applyNumberFormat="1" applyFont="1" applyFill="1" applyBorder="1"/>
    <xf numFmtId="39" fontId="25" fillId="20" borderId="0" xfId="1" applyNumberFormat="1" applyFont="1" applyFill="1" applyBorder="1"/>
    <xf numFmtId="39" fontId="83" fillId="20" borderId="0" xfId="1" applyNumberFormat="1" applyFont="1" applyFill="1"/>
    <xf numFmtId="39" fontId="34" fillId="8" borderId="0" xfId="1" applyNumberFormat="1" applyFont="1" applyFill="1" applyBorder="1"/>
    <xf numFmtId="171" fontId="101" fillId="20" borderId="0" xfId="1" applyNumberFormat="1" applyFont="1" applyFill="1"/>
    <xf numFmtId="0" fontId="26" fillId="2" borderId="0" xfId="3" applyFont="1" applyFill="1" applyAlignment="1">
      <alignment horizontal="right"/>
    </xf>
    <xf numFmtId="169" fontId="106" fillId="20" borderId="0" xfId="13889" applyNumberFormat="1" applyFont="1" applyFill="1" applyBorder="1"/>
    <xf numFmtId="171" fontId="107" fillId="20" borderId="0" xfId="3" applyNumberFormat="1" applyFont="1" applyFill="1"/>
    <xf numFmtId="0" fontId="2" fillId="8" borderId="0" xfId="0" applyFont="1" applyFill="1"/>
    <xf numFmtId="0" fontId="0" fillId="8" borderId="0" xfId="0" applyFill="1"/>
    <xf numFmtId="178" fontId="90" fillId="20" borderId="0" xfId="1" applyNumberFormat="1" applyFont="1" applyFill="1" applyBorder="1"/>
    <xf numFmtId="0" fontId="32" fillId="20" borderId="0" xfId="3" applyFont="1" applyFill="1"/>
    <xf numFmtId="166" fontId="32" fillId="20" borderId="0" xfId="1" applyFont="1" applyFill="1"/>
    <xf numFmtId="43" fontId="32" fillId="20" borderId="0" xfId="3" applyNumberFormat="1" applyFont="1" applyFill="1"/>
    <xf numFmtId="0" fontId="91" fillId="0" borderId="0" xfId="0" applyFont="1"/>
    <xf numFmtId="39" fontId="90" fillId="20" borderId="0" xfId="1" applyNumberFormat="1" applyFont="1" applyFill="1"/>
    <xf numFmtId="39" fontId="97" fillId="20" borderId="0" xfId="1" applyNumberFormat="1" applyFont="1" applyFill="1"/>
    <xf numFmtId="37" fontId="95" fillId="3" borderId="0" xfId="1" applyNumberFormat="1" applyFont="1" applyFill="1" applyAlignment="1">
      <alignment vertical="center"/>
    </xf>
    <xf numFmtId="37" fontId="94" fillId="3" borderId="0" xfId="1" applyNumberFormat="1" applyFont="1" applyFill="1" applyAlignment="1">
      <alignment vertical="center"/>
    </xf>
    <xf numFmtId="10" fontId="80" fillId="3" borderId="0" xfId="13889" applyFont="1" applyFill="1" applyAlignment="1">
      <alignment vertical="center"/>
    </xf>
    <xf numFmtId="178" fontId="95" fillId="3" borderId="0" xfId="1" applyNumberFormat="1" applyFont="1" applyFill="1" applyAlignment="1">
      <alignment vertical="center"/>
    </xf>
    <xf numFmtId="178" fontId="91" fillId="3" borderId="0" xfId="1" applyNumberFormat="1" applyFont="1" applyFill="1" applyAlignment="1">
      <alignment vertical="center"/>
    </xf>
    <xf numFmtId="37" fontId="2" fillId="3" borderId="4" xfId="3" applyNumberFormat="1" applyFont="1" applyFill="1" applyBorder="1" applyAlignment="1">
      <alignment vertical="center"/>
    </xf>
    <xf numFmtId="171" fontId="2" fillId="3" borderId="0" xfId="1" applyNumberFormat="1" applyFont="1" applyFill="1" applyAlignment="1">
      <alignment vertical="center"/>
    </xf>
    <xf numFmtId="169" fontId="34" fillId="3" borderId="0" xfId="13889" applyNumberFormat="1" applyFont="1" applyFill="1" applyBorder="1" applyAlignment="1">
      <alignment horizontal="right"/>
    </xf>
    <xf numFmtId="172" fontId="87" fillId="3" borderId="0" xfId="3" applyNumberFormat="1" applyFont="1" applyFill="1"/>
    <xf numFmtId="172" fontId="87" fillId="20" borderId="0" xfId="3" applyNumberFormat="1" applyFont="1" applyFill="1"/>
    <xf numFmtId="172" fontId="35" fillId="20" borderId="0" xfId="3" applyNumberFormat="1" applyFont="1" applyFill="1"/>
    <xf numFmtId="169" fontId="34" fillId="0" borderId="0" xfId="13889" applyNumberFormat="1" applyFont="1" applyFill="1"/>
    <xf numFmtId="169" fontId="34" fillId="2" borderId="0" xfId="13889" applyNumberFormat="1" applyFont="1" applyFill="1"/>
    <xf numFmtId="166" fontId="25" fillId="2" borderId="0" xfId="1" applyFont="1" applyFill="1" applyAlignment="1">
      <alignment horizontal="center"/>
    </xf>
    <xf numFmtId="177" fontId="43" fillId="0" borderId="0" xfId="1" applyNumberFormat="1" applyFont="1" applyBorder="1"/>
    <xf numFmtId="172" fontId="88" fillId="3" borderId="0" xfId="3" applyNumberFormat="1" applyFont="1" applyFill="1"/>
    <xf numFmtId="172" fontId="25" fillId="3" borderId="0" xfId="3" applyNumberFormat="1" applyFont="1" applyFill="1"/>
    <xf numFmtId="0" fontId="108" fillId="0" borderId="0" xfId="0" applyFont="1"/>
    <xf numFmtId="170" fontId="44" fillId="3" borderId="0" xfId="1" applyNumberFormat="1" applyFont="1" applyFill="1"/>
    <xf numFmtId="0" fontId="44" fillId="3" borderId="0" xfId="3" applyFont="1" applyFill="1"/>
    <xf numFmtId="172" fontId="44" fillId="3" borderId="0" xfId="3" applyNumberFormat="1" applyFont="1" applyFill="1"/>
    <xf numFmtId="172" fontId="35" fillId="3" borderId="0" xfId="3" applyNumberFormat="1" applyFont="1" applyFill="1"/>
    <xf numFmtId="43" fontId="34" fillId="0" borderId="0" xfId="3" applyNumberFormat="1" applyFont="1"/>
    <xf numFmtId="43" fontId="34" fillId="2" borderId="0" xfId="3" applyNumberFormat="1" applyFont="1" applyFill="1"/>
    <xf numFmtId="166" fontId="34" fillId="3" borderId="0" xfId="1" applyFont="1" applyFill="1" applyAlignment="1">
      <alignment horizontal="center"/>
    </xf>
    <xf numFmtId="166" fontId="35" fillId="3" borderId="0" xfId="1" applyFont="1" applyFill="1"/>
    <xf numFmtId="166" fontId="87" fillId="3" borderId="0" xfId="1" applyFont="1" applyFill="1"/>
    <xf numFmtId="166" fontId="87" fillId="3" borderId="0" xfId="1" applyFont="1" applyFill="1" applyBorder="1"/>
    <xf numFmtId="166" fontId="87" fillId="20" borderId="0" xfId="1" applyFont="1" applyFill="1"/>
    <xf numFmtId="166" fontId="43" fillId="20" borderId="0" xfId="1" applyFont="1" applyFill="1"/>
    <xf numFmtId="166" fontId="43" fillId="3" borderId="0" xfId="1" applyFont="1" applyFill="1"/>
    <xf numFmtId="171" fontId="87" fillId="3" borderId="0" xfId="1" applyNumberFormat="1" applyFont="1" applyFill="1" applyBorder="1"/>
    <xf numFmtId="171" fontId="87" fillId="20" borderId="0" xfId="1" applyNumberFormat="1" applyFont="1" applyFill="1" applyBorder="1"/>
    <xf numFmtId="0" fontId="96" fillId="3" borderId="0" xfId="0" applyFont="1" applyFill="1"/>
    <xf numFmtId="171" fontId="79" fillId="20" borderId="0" xfId="1" applyNumberFormat="1" applyFont="1" applyFill="1"/>
    <xf numFmtId="0" fontId="109" fillId="2" borderId="0" xfId="3" applyFont="1" applyFill="1"/>
    <xf numFmtId="169" fontId="109" fillId="2" borderId="0" xfId="13889" applyNumberFormat="1" applyFont="1" applyFill="1"/>
    <xf numFmtId="39" fontId="34" fillId="23" borderId="0" xfId="3" applyNumberFormat="1" applyFont="1" applyFill="1"/>
    <xf numFmtId="39" fontId="34" fillId="23" borderId="0" xfId="1" applyNumberFormat="1" applyFont="1" applyFill="1"/>
    <xf numFmtId="39" fontId="44" fillId="23" borderId="0" xfId="1" applyNumberFormat="1" applyFont="1" applyFill="1"/>
    <xf numFmtId="39" fontId="34" fillId="23" borderId="0" xfId="1" applyNumberFormat="1" applyFont="1" applyFill="1" applyBorder="1"/>
    <xf numFmtId="39" fontId="35" fillId="23" borderId="0" xfId="1" applyNumberFormat="1" applyFont="1" applyFill="1"/>
    <xf numFmtId="170" fontId="25" fillId="3" borderId="0" xfId="1" applyNumberFormat="1" applyFont="1" applyFill="1"/>
    <xf numFmtId="170" fontId="88" fillId="3" borderId="0" xfId="1" applyNumberFormat="1" applyFont="1" applyFill="1" applyBorder="1" applyAlignment="1">
      <alignment horizontal="right"/>
    </xf>
    <xf numFmtId="170" fontId="88" fillId="3" borderId="0" xfId="1" applyNumberFormat="1" applyFont="1" applyFill="1" applyAlignment="1">
      <alignment horizontal="right"/>
    </xf>
    <xf numFmtId="170" fontId="88" fillId="20" borderId="0" xfId="1" applyNumberFormat="1" applyFont="1" applyFill="1" applyAlignment="1">
      <alignment horizontal="right"/>
    </xf>
    <xf numFmtId="170" fontId="49" fillId="20" borderId="0" xfId="1" applyNumberFormat="1" applyFont="1" applyFill="1" applyAlignment="1">
      <alignment horizontal="right"/>
    </xf>
    <xf numFmtId="170" fontId="88" fillId="3" borderId="0" xfId="1" applyNumberFormat="1" applyFont="1" applyFill="1"/>
    <xf numFmtId="170" fontId="88" fillId="3" borderId="0" xfId="1" applyNumberFormat="1" applyFont="1" applyFill="1" applyBorder="1"/>
    <xf numFmtId="170" fontId="88" fillId="20" borderId="0" xfId="1" applyNumberFormat="1" applyFont="1" applyFill="1"/>
    <xf numFmtId="170" fontId="49" fillId="20" borderId="0" xfId="1" applyNumberFormat="1" applyFont="1" applyFill="1"/>
    <xf numFmtId="0" fontId="64" fillId="0" borderId="0" xfId="0" applyFont="1"/>
    <xf numFmtId="0" fontId="64" fillId="3" borderId="0" xfId="0" applyFont="1" applyFill="1"/>
    <xf numFmtId="43" fontId="16" fillId="2" borderId="0" xfId="2" applyNumberFormat="1" applyFont="1" applyFill="1"/>
    <xf numFmtId="169" fontId="64" fillId="3" borderId="0" xfId="13889" applyNumberFormat="1" applyFont="1" applyFill="1" applyBorder="1"/>
    <xf numFmtId="171" fontId="87" fillId="20" borderId="4" xfId="1" applyNumberFormat="1" applyFont="1" applyFill="1" applyBorder="1"/>
    <xf numFmtId="169" fontId="27" fillId="3" borderId="4" xfId="13889" applyNumberFormat="1" applyFont="1" applyFill="1" applyBorder="1"/>
    <xf numFmtId="0" fontId="115" fillId="28" borderId="7" xfId="9" applyFont="1" applyFill="1" applyBorder="1" applyAlignment="1">
      <alignment vertical="center"/>
    </xf>
    <xf numFmtId="0" fontId="116" fillId="28" borderId="0" xfId="3" applyFont="1" applyFill="1"/>
    <xf numFmtId="166" fontId="117" fillId="28" borderId="0" xfId="1" applyFont="1" applyFill="1" applyBorder="1"/>
    <xf numFmtId="171" fontId="117" fillId="28" borderId="0" xfId="1" applyNumberFormat="1" applyFont="1" applyFill="1" applyBorder="1"/>
    <xf numFmtId="166" fontId="116" fillId="28" borderId="0" xfId="1" applyFont="1" applyFill="1" applyBorder="1"/>
    <xf numFmtId="171" fontId="116" fillId="28" borderId="0" xfId="1" applyNumberFormat="1" applyFont="1" applyFill="1" applyBorder="1"/>
    <xf numFmtId="43" fontId="116" fillId="28" borderId="0" xfId="3" applyNumberFormat="1" applyFont="1" applyFill="1"/>
    <xf numFmtId="0" fontId="118" fillId="28" borderId="0" xfId="0" applyFont="1" applyFill="1"/>
    <xf numFmtId="39" fontId="34" fillId="0" borderId="0" xfId="3" applyNumberFormat="1" applyFont="1" applyAlignment="1">
      <alignment horizontal="left"/>
    </xf>
    <xf numFmtId="39" fontId="34" fillId="0" borderId="0" xfId="1" applyNumberFormat="1" applyFont="1" applyFill="1"/>
    <xf numFmtId="39" fontId="34" fillId="0" borderId="0" xfId="1" applyNumberFormat="1" applyFont="1" applyFill="1" applyBorder="1"/>
    <xf numFmtId="39" fontId="35" fillId="0" borderId="0" xfId="1" applyNumberFormat="1" applyFont="1" applyFill="1"/>
    <xf numFmtId="39" fontId="34" fillId="0" borderId="0" xfId="3" applyNumberFormat="1" applyFont="1"/>
    <xf numFmtId="0" fontId="93" fillId="3" borderId="0" xfId="0" applyFont="1" applyFill="1"/>
    <xf numFmtId="0" fontId="36" fillId="3" borderId="0" xfId="0" applyFont="1" applyFill="1"/>
    <xf numFmtId="0" fontId="37" fillId="3" borderId="0" xfId="3" applyFont="1" applyFill="1"/>
    <xf numFmtId="166" fontId="41" fillId="3" borderId="0" xfId="1" applyFont="1" applyFill="1" applyBorder="1"/>
    <xf numFmtId="171" fontId="41" fillId="3" borderId="0" xfId="1" applyNumberFormat="1" applyFont="1" applyFill="1" applyBorder="1"/>
    <xf numFmtId="171" fontId="36" fillId="3" borderId="0" xfId="1" applyNumberFormat="1" applyFont="1" applyFill="1" applyBorder="1"/>
    <xf numFmtId="171" fontId="53" fillId="20" borderId="0" xfId="1" applyNumberFormat="1" applyFont="1" applyFill="1" applyBorder="1"/>
    <xf numFmtId="43" fontId="37" fillId="3" borderId="0" xfId="3" applyNumberFormat="1" applyFont="1" applyFill="1"/>
    <xf numFmtId="171" fontId="37" fillId="3" borderId="0" xfId="3" applyNumberFormat="1" applyFont="1" applyFill="1"/>
    <xf numFmtId="170" fontId="88" fillId="20" borderId="4" xfId="1" applyNumberFormat="1" applyFont="1" applyFill="1" applyBorder="1"/>
    <xf numFmtId="166" fontId="43" fillId="20" borderId="4" xfId="1" applyFont="1" applyFill="1" applyBorder="1"/>
    <xf numFmtId="169" fontId="27" fillId="20" borderId="4" xfId="13889" applyNumberFormat="1" applyFont="1" applyFill="1" applyBorder="1"/>
    <xf numFmtId="170" fontId="34" fillId="2" borderId="4" xfId="1" applyNumberFormat="1" applyFont="1" applyFill="1" applyBorder="1"/>
    <xf numFmtId="10" fontId="27" fillId="2" borderId="4" xfId="13889" applyFont="1" applyFill="1" applyBorder="1"/>
    <xf numFmtId="171" fontId="88" fillId="9" borderId="4" xfId="3" applyNumberFormat="1" applyFont="1" applyFill="1" applyBorder="1"/>
    <xf numFmtId="169" fontId="27" fillId="9" borderId="4" xfId="13889" applyNumberFormat="1" applyFont="1" applyFill="1" applyBorder="1"/>
    <xf numFmtId="37" fontId="1" fillId="0" borderId="0" xfId="1" applyNumberFormat="1" applyFont="1" applyAlignment="1">
      <alignment vertical="center"/>
    </xf>
    <xf numFmtId="166" fontId="1" fillId="0" borderId="0" xfId="1" applyFont="1" applyAlignment="1">
      <alignment vertical="center"/>
    </xf>
    <xf numFmtId="166" fontId="1" fillId="3" borderId="0" xfId="1" applyFont="1" applyFill="1" applyAlignment="1">
      <alignment vertical="center"/>
    </xf>
    <xf numFmtId="166" fontId="1" fillId="3" borderId="0" xfId="1" applyFont="1" applyFill="1" applyBorder="1" applyAlignment="1">
      <alignment vertical="center"/>
    </xf>
    <xf numFmtId="171" fontId="1" fillId="3" borderId="0" xfId="1" applyNumberFormat="1" applyFont="1" applyFill="1" applyAlignment="1">
      <alignment vertical="center"/>
    </xf>
    <xf numFmtId="0" fontId="1" fillId="3" borderId="0" xfId="0" applyFont="1" applyFill="1"/>
    <xf numFmtId="0" fontId="1" fillId="0" borderId="0" xfId="0" applyFont="1"/>
    <xf numFmtId="37" fontId="111" fillId="5" borderId="0" xfId="1" applyNumberFormat="1" applyFont="1" applyFill="1" applyAlignment="1">
      <alignment vertical="center"/>
    </xf>
    <xf numFmtId="17" fontId="111" fillId="5" borderId="0" xfId="1" applyNumberFormat="1" applyFont="1" applyFill="1" applyAlignment="1">
      <alignment horizontal="center" vertical="center"/>
    </xf>
    <xf numFmtId="37" fontId="1" fillId="3" borderId="4" xfId="1" applyNumberFormat="1" applyFont="1" applyFill="1" applyBorder="1" applyAlignment="1">
      <alignment vertical="center"/>
    </xf>
    <xf numFmtId="37" fontId="1" fillId="0" borderId="4" xfId="1" applyNumberFormat="1" applyFont="1" applyBorder="1" applyAlignment="1">
      <alignment vertical="center"/>
    </xf>
    <xf numFmtId="37" fontId="1" fillId="3" borderId="0" xfId="1" applyNumberFormat="1" applyFont="1" applyFill="1" applyBorder="1" applyAlignment="1">
      <alignment vertical="center"/>
    </xf>
    <xf numFmtId="169" fontId="1" fillId="3" borderId="0" xfId="13889" applyNumberFormat="1" applyFont="1" applyFill="1" applyAlignment="1">
      <alignment vertical="center"/>
    </xf>
    <xf numFmtId="37" fontId="1" fillId="3" borderId="4" xfId="3" applyNumberFormat="1" applyFont="1" applyFill="1" applyBorder="1" applyAlignment="1">
      <alignment vertical="center"/>
    </xf>
    <xf numFmtId="37" fontId="1" fillId="3" borderId="0" xfId="3" applyNumberFormat="1" applyFont="1" applyFill="1" applyAlignment="1">
      <alignment vertical="center"/>
    </xf>
    <xf numFmtId="39" fontId="1" fillId="3" borderId="0" xfId="1" applyNumberFormat="1" applyFont="1" applyFill="1" applyAlignment="1">
      <alignment vertical="center"/>
    </xf>
    <xf numFmtId="39" fontId="1" fillId="3" borderId="0" xfId="1" applyNumberFormat="1" applyFont="1" applyFill="1" applyBorder="1" applyAlignment="1">
      <alignment vertical="center"/>
    </xf>
    <xf numFmtId="169" fontId="1" fillId="3" borderId="4" xfId="13889" applyNumberFormat="1" applyFont="1" applyFill="1" applyBorder="1" applyAlignment="1">
      <alignment vertical="center"/>
    </xf>
    <xf numFmtId="175" fontId="1" fillId="3" borderId="0" xfId="1" applyNumberFormat="1" applyFont="1" applyFill="1" applyAlignment="1">
      <alignment vertical="center"/>
    </xf>
    <xf numFmtId="10" fontId="1" fillId="3" borderId="0" xfId="13889" applyFont="1" applyFill="1" applyAlignment="1">
      <alignment vertical="center"/>
    </xf>
    <xf numFmtId="9" fontId="1" fillId="3" borderId="0" xfId="13889" applyNumberFormat="1" applyFont="1" applyFill="1" applyAlignment="1">
      <alignment vertical="center"/>
    </xf>
    <xf numFmtId="43" fontId="1" fillId="3" borderId="0" xfId="1" applyNumberFormat="1" applyFont="1" applyFill="1" applyAlignment="1">
      <alignment vertical="center"/>
    </xf>
    <xf numFmtId="10" fontId="1" fillId="3" borderId="0" xfId="13889" applyFont="1" applyFill="1" applyBorder="1" applyAlignment="1">
      <alignment vertical="center"/>
    </xf>
    <xf numFmtId="171" fontId="1" fillId="27" borderId="0" xfId="1" applyNumberFormat="1" applyFont="1" applyFill="1" applyAlignment="1">
      <alignment vertical="center"/>
    </xf>
    <xf numFmtId="37" fontId="1" fillId="27" borderId="0" xfId="1" applyNumberFormat="1" applyFont="1" applyFill="1" applyAlignment="1">
      <alignment vertical="center"/>
    </xf>
    <xf numFmtId="0" fontId="1" fillId="27" borderId="0" xfId="0" applyFont="1" applyFill="1"/>
    <xf numFmtId="178" fontId="1" fillId="3" borderId="0" xfId="1" applyNumberFormat="1" applyFont="1" applyFill="1" applyAlignment="1">
      <alignment vertical="center"/>
    </xf>
    <xf numFmtId="169" fontId="1" fillId="3" borderId="0" xfId="13889" applyNumberFormat="1" applyFont="1" applyFill="1" applyBorder="1" applyAlignment="1">
      <alignment vertical="center"/>
    </xf>
    <xf numFmtId="43" fontId="1" fillId="3" borderId="0" xfId="1" applyNumberFormat="1" applyFont="1" applyFill="1" applyBorder="1" applyAlignment="1">
      <alignment vertical="center"/>
    </xf>
    <xf numFmtId="37" fontId="1" fillId="10" borderId="0" xfId="1" applyNumberFormat="1" applyFont="1" applyFill="1" applyAlignment="1">
      <alignment vertical="center"/>
    </xf>
    <xf numFmtId="37" fontId="1" fillId="10" borderId="0" xfId="1" applyNumberFormat="1" applyFont="1" applyFill="1" applyBorder="1" applyAlignment="1">
      <alignment vertical="center"/>
    </xf>
    <xf numFmtId="169" fontId="1" fillId="0" borderId="0" xfId="13889" applyNumberFormat="1" applyFont="1" applyAlignment="1">
      <alignment vertical="center"/>
    </xf>
    <xf numFmtId="171" fontId="1" fillId="3" borderId="0" xfId="1" applyNumberFormat="1" applyFont="1" applyFill="1" applyBorder="1" applyAlignment="1">
      <alignment vertical="center"/>
    </xf>
    <xf numFmtId="180" fontId="1" fillId="3" borderId="0" xfId="1" applyNumberFormat="1" applyFont="1" applyFill="1" applyAlignment="1">
      <alignment vertical="center"/>
    </xf>
    <xf numFmtId="9" fontId="1" fillId="3" borderId="0" xfId="13889" applyNumberFormat="1" applyFont="1" applyFill="1" applyBorder="1" applyAlignment="1">
      <alignment vertical="center"/>
    </xf>
    <xf numFmtId="37" fontId="1" fillId="0" borderId="0" xfId="1" applyNumberFormat="1" applyFont="1" applyBorder="1" applyAlignment="1">
      <alignment vertical="center"/>
    </xf>
    <xf numFmtId="169" fontId="113" fillId="4" borderId="0" xfId="13889" applyNumberFormat="1" applyFont="1" applyFill="1" applyAlignment="1">
      <alignment vertical="center"/>
    </xf>
    <xf numFmtId="37" fontId="112" fillId="5" borderId="0" xfId="1" applyNumberFormat="1" applyFont="1" applyFill="1" applyAlignment="1">
      <alignment vertical="center"/>
    </xf>
    <xf numFmtId="17" fontId="112" fillId="5" borderId="0" xfId="1" applyNumberFormat="1" applyFont="1" applyFill="1" applyAlignment="1">
      <alignment horizontal="center" vertical="center"/>
    </xf>
    <xf numFmtId="17" fontId="112" fillId="5" borderId="0" xfId="1" applyNumberFormat="1" applyFont="1" applyFill="1" applyBorder="1" applyAlignment="1">
      <alignment horizontal="center" vertical="center"/>
    </xf>
    <xf numFmtId="37" fontId="81" fillId="3" borderId="0" xfId="1" applyNumberFormat="1" applyFont="1" applyFill="1" applyAlignment="1">
      <alignment vertical="center"/>
    </xf>
    <xf numFmtId="37" fontId="81" fillId="3" borderId="0" xfId="1" applyNumberFormat="1" applyFont="1" applyFill="1" applyBorder="1" applyAlignment="1">
      <alignment vertical="center"/>
    </xf>
    <xf numFmtId="37" fontId="121" fillId="3" borderId="0" xfId="1" applyNumberFormat="1" applyFont="1" applyFill="1" applyAlignment="1">
      <alignment vertical="center"/>
    </xf>
    <xf numFmtId="37" fontId="122" fillId="3" borderId="0" xfId="1" applyNumberFormat="1" applyFont="1" applyFill="1" applyAlignment="1">
      <alignment vertical="center"/>
    </xf>
    <xf numFmtId="37" fontId="113" fillId="3" borderId="0" xfId="1" applyNumberFormat="1" applyFont="1" applyFill="1" applyAlignment="1">
      <alignment vertical="center"/>
    </xf>
    <xf numFmtId="37" fontId="113" fillId="3" borderId="4" xfId="1" applyNumberFormat="1" applyFont="1" applyFill="1" applyBorder="1" applyAlignment="1">
      <alignment vertical="center"/>
    </xf>
    <xf numFmtId="37" fontId="113" fillId="3" borderId="0" xfId="1" applyNumberFormat="1" applyFont="1" applyFill="1" applyBorder="1" applyAlignment="1">
      <alignment vertical="center"/>
    </xf>
    <xf numFmtId="37" fontId="123" fillId="3" borderId="0" xfId="1" applyNumberFormat="1" applyFont="1" applyFill="1" applyAlignment="1">
      <alignment vertical="center"/>
    </xf>
    <xf numFmtId="37" fontId="124" fillId="3" borderId="0" xfId="1" applyNumberFormat="1" applyFont="1" applyFill="1" applyAlignment="1">
      <alignment vertical="center"/>
    </xf>
    <xf numFmtId="37" fontId="125" fillId="3" borderId="0" xfId="1" applyNumberFormat="1" applyFont="1" applyFill="1" applyAlignment="1">
      <alignment vertical="center"/>
    </xf>
    <xf numFmtId="37" fontId="81" fillId="3" borderId="4" xfId="1" applyNumberFormat="1" applyFont="1" applyFill="1" applyBorder="1" applyAlignment="1">
      <alignment vertical="center"/>
    </xf>
    <xf numFmtId="37" fontId="114" fillId="3" borderId="0" xfId="1" applyNumberFormat="1" applyFont="1" applyFill="1" applyAlignment="1">
      <alignment vertical="center"/>
    </xf>
    <xf numFmtId="37" fontId="126" fillId="3" borderId="0" xfId="1" applyNumberFormat="1" applyFont="1" applyFill="1" applyAlignment="1">
      <alignment vertical="center"/>
    </xf>
    <xf numFmtId="37" fontId="92" fillId="3" borderId="0" xfId="1" applyNumberFormat="1" applyFont="1" applyFill="1" applyAlignment="1">
      <alignment vertical="center"/>
    </xf>
    <xf numFmtId="169" fontId="127" fillId="3" borderId="0" xfId="13889" applyNumberFormat="1" applyFont="1" applyFill="1" applyAlignment="1">
      <alignment vertical="center"/>
    </xf>
    <xf numFmtId="171" fontId="81" fillId="3" borderId="0" xfId="1" applyNumberFormat="1" applyFont="1" applyFill="1" applyAlignment="1">
      <alignment vertical="center"/>
    </xf>
    <xf numFmtId="171" fontId="81" fillId="3" borderId="0" xfId="1" applyNumberFormat="1" applyFont="1" applyFill="1" applyBorder="1" applyAlignment="1">
      <alignment vertical="center"/>
    </xf>
    <xf numFmtId="171" fontId="125" fillId="3" borderId="0" xfId="1" applyNumberFormat="1" applyFont="1" applyFill="1" applyAlignment="1">
      <alignment vertical="center"/>
    </xf>
    <xf numFmtId="169" fontId="125" fillId="3" borderId="0" xfId="13889" applyNumberFormat="1" applyFont="1" applyFill="1" applyAlignment="1">
      <alignment vertical="center"/>
    </xf>
    <xf numFmtId="37" fontId="112" fillId="11" borderId="0" xfId="1" applyNumberFormat="1" applyFont="1" applyFill="1" applyAlignment="1">
      <alignment vertical="center"/>
    </xf>
    <xf numFmtId="37" fontId="112" fillId="11" borderId="0" xfId="1" applyNumberFormat="1" applyFont="1" applyFill="1" applyBorder="1" applyAlignment="1">
      <alignment vertical="center"/>
    </xf>
    <xf numFmtId="166" fontId="112" fillId="11" borderId="0" xfId="1" applyFont="1" applyFill="1" applyAlignment="1">
      <alignment vertical="center"/>
    </xf>
    <xf numFmtId="37" fontId="128" fillId="3" borderId="0" xfId="1" applyNumberFormat="1" applyFont="1" applyFill="1" applyAlignment="1">
      <alignment vertical="center"/>
    </xf>
    <xf numFmtId="37" fontId="121" fillId="8" borderId="0" xfId="1" applyNumberFormat="1" applyFont="1" applyFill="1" applyAlignment="1">
      <alignment vertical="center"/>
    </xf>
    <xf numFmtId="37" fontId="125" fillId="12" borderId="0" xfId="1" applyNumberFormat="1" applyFont="1" applyFill="1" applyAlignment="1">
      <alignment vertical="center"/>
    </xf>
    <xf numFmtId="37" fontId="122" fillId="0" borderId="0" xfId="1" applyNumberFormat="1" applyFont="1" applyAlignment="1">
      <alignment vertical="center"/>
    </xf>
    <xf numFmtId="37" fontId="81" fillId="2" borderId="0" xfId="1" applyNumberFormat="1" applyFont="1" applyFill="1" applyAlignment="1">
      <alignment vertical="center"/>
    </xf>
    <xf numFmtId="37" fontId="129" fillId="3" borderId="0" xfId="1" applyNumberFormat="1" applyFont="1" applyFill="1" applyAlignment="1">
      <alignment vertical="center"/>
    </xf>
    <xf numFmtId="37" fontId="91" fillId="3" borderId="0" xfId="1" applyNumberFormat="1" applyFont="1" applyFill="1" applyAlignment="1">
      <alignment vertical="center"/>
    </xf>
    <xf numFmtId="37" fontId="81" fillId="3" borderId="0" xfId="1" quotePrefix="1" applyNumberFormat="1" applyFont="1" applyFill="1" applyAlignment="1">
      <alignment vertical="center"/>
    </xf>
    <xf numFmtId="37" fontId="130" fillId="3" borderId="0" xfId="1" applyNumberFormat="1" applyFont="1" applyFill="1" applyAlignment="1">
      <alignment vertical="center"/>
    </xf>
    <xf numFmtId="39" fontId="130" fillId="3" borderId="0" xfId="1" applyNumberFormat="1" applyFont="1" applyFill="1" applyAlignment="1">
      <alignment vertical="center"/>
    </xf>
    <xf numFmtId="171" fontId="80" fillId="3" borderId="0" xfId="1" applyNumberFormat="1" applyFont="1" applyFill="1" applyAlignment="1">
      <alignment vertical="center"/>
    </xf>
    <xf numFmtId="171" fontId="91" fillId="3" borderId="0" xfId="1" applyNumberFormat="1" applyFont="1" applyFill="1" applyAlignment="1">
      <alignment vertical="center"/>
    </xf>
    <xf numFmtId="175" fontId="80" fillId="3" borderId="0" xfId="1" applyNumberFormat="1" applyFont="1" applyFill="1" applyAlignment="1">
      <alignment vertical="center"/>
    </xf>
    <xf numFmtId="43" fontId="81" fillId="3" borderId="0" xfId="1" applyNumberFormat="1" applyFont="1" applyFill="1" applyAlignment="1">
      <alignment vertical="center"/>
    </xf>
    <xf numFmtId="169" fontId="91" fillId="3" borderId="0" xfId="13889" applyNumberFormat="1" applyFont="1" applyFill="1" applyAlignment="1">
      <alignment vertical="center"/>
    </xf>
    <xf numFmtId="39" fontId="125" fillId="3" borderId="0" xfId="1" applyNumberFormat="1" applyFont="1" applyFill="1" applyAlignment="1">
      <alignment vertical="center"/>
    </xf>
    <xf numFmtId="37" fontId="81" fillId="3" borderId="4" xfId="3" applyNumberFormat="1" applyFont="1" applyFill="1" applyBorder="1" applyAlignment="1">
      <alignment vertical="center"/>
    </xf>
    <xf numFmtId="10" fontId="81" fillId="3" borderId="0" xfId="13889" applyFont="1" applyFill="1" applyAlignment="1">
      <alignment vertical="center"/>
    </xf>
    <xf numFmtId="10" fontId="125" fillId="3" borderId="0" xfId="13889" applyFont="1" applyFill="1" applyAlignment="1">
      <alignment vertical="center"/>
    </xf>
    <xf numFmtId="37" fontId="81" fillId="3" borderId="0" xfId="3" applyNumberFormat="1" applyFont="1" applyFill="1" applyAlignment="1">
      <alignment vertical="center"/>
    </xf>
    <xf numFmtId="39" fontId="122" fillId="3" borderId="0" xfId="1" applyNumberFormat="1" applyFont="1" applyFill="1" applyAlignment="1">
      <alignment vertical="center"/>
    </xf>
    <xf numFmtId="9" fontId="81" fillId="3" borderId="0" xfId="13889" applyNumberFormat="1" applyFont="1" applyFill="1" applyAlignment="1">
      <alignment vertical="center"/>
    </xf>
    <xf numFmtId="9" fontId="125" fillId="3" borderId="0" xfId="13889" applyNumberFormat="1" applyFont="1" applyFill="1" applyAlignment="1">
      <alignment vertical="center"/>
    </xf>
    <xf numFmtId="10" fontId="128" fillId="3" borderId="0" xfId="13889" applyFont="1" applyFill="1" applyAlignment="1">
      <alignment vertical="center"/>
    </xf>
    <xf numFmtId="10" fontId="125" fillId="3" borderId="0" xfId="13889" applyFont="1" applyFill="1" applyBorder="1" applyAlignment="1">
      <alignment vertical="center"/>
    </xf>
    <xf numFmtId="171" fontId="128" fillId="3" borderId="0" xfId="1" applyNumberFormat="1" applyFont="1" applyFill="1" applyAlignment="1">
      <alignment vertical="center"/>
    </xf>
    <xf numFmtId="173" fontId="128" fillId="3" borderId="0" xfId="1" applyNumberFormat="1" applyFont="1" applyFill="1" applyAlignment="1">
      <alignment vertical="center"/>
    </xf>
    <xf numFmtId="174" fontId="125" fillId="3" borderId="0" xfId="1" applyNumberFormat="1" applyFont="1" applyFill="1" applyAlignment="1">
      <alignment vertical="center"/>
    </xf>
    <xf numFmtId="166" fontId="125" fillId="3" borderId="0" xfId="1" applyFont="1" applyFill="1" applyAlignment="1">
      <alignment vertical="center"/>
    </xf>
    <xf numFmtId="166" fontId="125" fillId="3" borderId="0" xfId="1" applyFont="1" applyFill="1" applyBorder="1" applyAlignment="1">
      <alignment vertical="center"/>
    </xf>
    <xf numFmtId="37" fontId="81" fillId="27" borderId="0" xfId="1" applyNumberFormat="1" applyFont="1" applyFill="1" applyAlignment="1">
      <alignment vertical="center"/>
    </xf>
    <xf numFmtId="37" fontId="81" fillId="27" borderId="4" xfId="3" applyNumberFormat="1" applyFont="1" applyFill="1" applyBorder="1" applyAlignment="1">
      <alignment vertical="center"/>
    </xf>
    <xf numFmtId="171" fontId="81" fillId="27" borderId="0" xfId="1" applyNumberFormat="1" applyFont="1" applyFill="1" applyAlignment="1">
      <alignment vertical="center"/>
    </xf>
    <xf numFmtId="37" fontId="92" fillId="27" borderId="0" xfId="1" applyNumberFormat="1" applyFont="1" applyFill="1" applyAlignment="1">
      <alignment vertical="center"/>
    </xf>
    <xf numFmtId="37" fontId="92" fillId="27" borderId="0" xfId="1" applyNumberFormat="1" applyFont="1" applyFill="1" applyBorder="1" applyAlignment="1">
      <alignment vertical="center"/>
    </xf>
    <xf numFmtId="37" fontId="80" fillId="27" borderId="0" xfId="1" applyNumberFormat="1" applyFont="1" applyFill="1" applyAlignment="1">
      <alignment vertical="center"/>
    </xf>
    <xf numFmtId="37" fontId="125" fillId="27" borderId="0" xfId="1" applyNumberFormat="1" applyFont="1" applyFill="1" applyAlignment="1">
      <alignment vertical="center"/>
    </xf>
    <xf numFmtId="37" fontId="121" fillId="27" borderId="0" xfId="1" applyNumberFormat="1" applyFont="1" applyFill="1" applyAlignment="1">
      <alignment vertical="center"/>
    </xf>
    <xf numFmtId="37" fontId="92" fillId="3" borderId="0" xfId="1" applyNumberFormat="1" applyFont="1" applyFill="1" applyBorder="1" applyAlignment="1">
      <alignment vertical="center"/>
    </xf>
    <xf numFmtId="10" fontId="122" fillId="3" borderId="0" xfId="13889" applyFont="1" applyFill="1" applyAlignment="1">
      <alignment vertical="center"/>
    </xf>
    <xf numFmtId="171" fontId="113" fillId="3" borderId="0" xfId="1" applyNumberFormat="1" applyFont="1" applyFill="1" applyAlignment="1">
      <alignment vertical="center"/>
    </xf>
    <xf numFmtId="37" fontId="130" fillId="3" borderId="4" xfId="3" applyNumberFormat="1" applyFont="1" applyFill="1" applyBorder="1" applyAlignment="1">
      <alignment vertical="center"/>
    </xf>
    <xf numFmtId="10" fontId="130" fillId="3" borderId="0" xfId="13889" applyFont="1" applyFill="1" applyAlignment="1">
      <alignment vertical="center"/>
    </xf>
    <xf numFmtId="10" fontId="130" fillId="3" borderId="0" xfId="13889" applyFont="1" applyFill="1" applyBorder="1" applyAlignment="1">
      <alignment vertical="center"/>
    </xf>
    <xf numFmtId="37" fontId="113" fillId="3" borderId="4" xfId="3" applyNumberFormat="1" applyFont="1" applyFill="1" applyBorder="1" applyAlignment="1">
      <alignment vertical="center"/>
    </xf>
    <xf numFmtId="43" fontId="113" fillId="3" borderId="0" xfId="1" applyNumberFormat="1" applyFont="1" applyFill="1" applyAlignment="1">
      <alignment vertical="center"/>
    </xf>
    <xf numFmtId="43" fontId="113" fillId="3" borderId="0" xfId="1" applyNumberFormat="1" applyFont="1" applyFill="1" applyBorder="1" applyAlignment="1">
      <alignment vertical="center"/>
    </xf>
    <xf numFmtId="37" fontId="81" fillId="10" borderId="4" xfId="1" applyNumberFormat="1" applyFont="1" applyFill="1" applyBorder="1" applyAlignment="1">
      <alignment vertical="center"/>
    </xf>
    <xf numFmtId="169" fontId="122" fillId="3" borderId="0" xfId="13889" applyNumberFormat="1" applyFont="1" applyFill="1" applyAlignment="1">
      <alignment vertical="center"/>
    </xf>
    <xf numFmtId="169" fontId="80" fillId="9" borderId="0" xfId="13889" applyNumberFormat="1" applyFont="1" applyFill="1" applyAlignment="1">
      <alignment vertical="center"/>
    </xf>
    <xf numFmtId="169" fontId="91" fillId="0" borderId="0" xfId="13889" applyNumberFormat="1" applyFont="1" applyAlignment="1">
      <alignment vertical="center"/>
    </xf>
    <xf numFmtId="169" fontId="125" fillId="9" borderId="0" xfId="13889" applyNumberFormat="1" applyFont="1" applyFill="1" applyAlignment="1">
      <alignment vertical="center"/>
    </xf>
    <xf numFmtId="169" fontId="128" fillId="3" borderId="0" xfId="13889" applyNumberFormat="1" applyFont="1" applyFill="1" applyAlignment="1">
      <alignment vertical="center"/>
    </xf>
    <xf numFmtId="169" fontId="125" fillId="3" borderId="0" xfId="13889" applyNumberFormat="1" applyFont="1" applyFill="1" applyBorder="1" applyAlignment="1">
      <alignment vertical="center"/>
    </xf>
    <xf numFmtId="169" fontId="121" fillId="3" borderId="0" xfId="13889" applyNumberFormat="1" applyFont="1" applyFill="1" applyAlignment="1">
      <alignment vertical="center"/>
    </xf>
    <xf numFmtId="37" fontId="131" fillId="3" borderId="0" xfId="1" applyNumberFormat="1" applyFont="1" applyFill="1" applyAlignment="1">
      <alignment vertical="center"/>
    </xf>
    <xf numFmtId="37" fontId="132" fillId="3" borderId="0" xfId="1" applyNumberFormat="1" applyFont="1" applyFill="1" applyAlignment="1">
      <alignment vertical="center"/>
    </xf>
    <xf numFmtId="169" fontId="84" fillId="3" borderId="0" xfId="13889" applyNumberFormat="1" applyFont="1" applyFill="1" applyBorder="1" applyAlignment="1">
      <alignment vertical="center"/>
    </xf>
    <xf numFmtId="9" fontId="80" fillId="3" borderId="0" xfId="13889" applyNumberFormat="1" applyFont="1" applyFill="1" applyAlignment="1">
      <alignment vertical="center"/>
    </xf>
    <xf numFmtId="9" fontId="80" fillId="8" borderId="0" xfId="13889" applyNumberFormat="1" applyFont="1" applyFill="1" applyAlignment="1">
      <alignment vertical="center"/>
    </xf>
    <xf numFmtId="169" fontId="80" fillId="0" borderId="0" xfId="13889" applyNumberFormat="1" applyFont="1" applyAlignment="1">
      <alignment vertical="center"/>
    </xf>
    <xf numFmtId="37" fontId="128" fillId="3" borderId="0" xfId="1" applyNumberFormat="1" applyFont="1" applyFill="1" applyBorder="1" applyAlignment="1">
      <alignment vertical="center"/>
    </xf>
    <xf numFmtId="169" fontId="122" fillId="3" borderId="0" xfId="13889" applyNumberFormat="1" applyFont="1" applyFill="1" applyBorder="1" applyAlignment="1">
      <alignment vertical="center"/>
    </xf>
    <xf numFmtId="9" fontId="125" fillId="3" borderId="0" xfId="13889" applyNumberFormat="1" applyFont="1" applyFill="1" applyBorder="1" applyAlignment="1">
      <alignment vertical="center"/>
    </xf>
    <xf numFmtId="9" fontId="127" fillId="3" borderId="0" xfId="13889" applyNumberFormat="1" applyFont="1" applyFill="1" applyAlignment="1">
      <alignment vertical="center"/>
    </xf>
    <xf numFmtId="9" fontId="91" fillId="3" borderId="0" xfId="13889" applyNumberFormat="1" applyFont="1" applyFill="1" applyAlignment="1">
      <alignment vertical="center"/>
    </xf>
    <xf numFmtId="37" fontId="81" fillId="0" borderId="0" xfId="1" applyNumberFormat="1" applyFont="1" applyAlignment="1">
      <alignment vertical="center"/>
    </xf>
    <xf numFmtId="169" fontId="80" fillId="8" borderId="0" xfId="13889" applyNumberFormat="1" applyFont="1" applyFill="1" applyAlignment="1">
      <alignment vertical="center"/>
    </xf>
    <xf numFmtId="169" fontId="91" fillId="3" borderId="0" xfId="13889" applyNumberFormat="1" applyFont="1" applyFill="1" applyBorder="1" applyAlignment="1">
      <alignment vertical="center"/>
    </xf>
    <xf numFmtId="37" fontId="119" fillId="0" borderId="0" xfId="1" applyNumberFormat="1" applyFont="1" applyFill="1" applyBorder="1" applyAlignment="1">
      <alignment vertical="center"/>
    </xf>
    <xf numFmtId="166" fontId="119" fillId="0" borderId="0" xfId="1" applyFont="1" applyFill="1" applyBorder="1" applyAlignment="1">
      <alignment vertical="center"/>
    </xf>
    <xf numFmtId="37" fontId="124" fillId="0" borderId="0" xfId="1" applyNumberFormat="1" applyFont="1" applyFill="1" applyBorder="1" applyAlignment="1">
      <alignment vertical="center"/>
    </xf>
    <xf numFmtId="37" fontId="124" fillId="0" borderId="15" xfId="1" applyNumberFormat="1" applyFont="1" applyFill="1" applyBorder="1" applyAlignment="1">
      <alignment vertical="center"/>
    </xf>
    <xf numFmtId="10" fontId="124" fillId="0" borderId="15" xfId="13889" applyFont="1" applyFill="1" applyBorder="1" applyAlignment="1">
      <alignment vertical="center"/>
    </xf>
    <xf numFmtId="39" fontId="87" fillId="0" borderId="0" xfId="1" applyNumberFormat="1" applyFont="1" applyFill="1" applyBorder="1" applyAlignment="1">
      <alignment vertical="center"/>
    </xf>
    <xf numFmtId="37" fontId="120" fillId="0" borderId="0" xfId="1" applyNumberFormat="1" applyFont="1" applyFill="1" applyBorder="1" applyAlignment="1">
      <alignment vertical="center"/>
    </xf>
    <xf numFmtId="10" fontId="120" fillId="0" borderId="0" xfId="13889" applyFont="1" applyFill="1" applyBorder="1" applyAlignment="1">
      <alignment vertical="center"/>
    </xf>
    <xf numFmtId="169" fontId="59" fillId="0" borderId="0" xfId="13889" applyNumberFormat="1" applyFont="1" applyFill="1" applyBorder="1" applyAlignment="1">
      <alignment vertical="center"/>
    </xf>
    <xf numFmtId="169" fontId="119" fillId="0" borderId="0" xfId="13889" applyNumberFormat="1" applyFont="1" applyFill="1" applyBorder="1" applyAlignment="1">
      <alignment vertical="center"/>
    </xf>
    <xf numFmtId="10" fontId="119" fillId="0" borderId="0" xfId="13889" applyFont="1" applyFill="1" applyBorder="1" applyAlignment="1">
      <alignment vertical="center"/>
    </xf>
    <xf numFmtId="37" fontId="119" fillId="0" borderId="0" xfId="4" applyNumberFormat="1" applyFont="1" applyFill="1" applyBorder="1" applyAlignment="1">
      <alignment horizontal="left" vertical="center" indent="1"/>
    </xf>
    <xf numFmtId="10" fontId="58" fillId="0" borderId="0" xfId="13889" applyFont="1" applyFill="1" applyBorder="1" applyAlignment="1">
      <alignment vertical="center"/>
    </xf>
    <xf numFmtId="10" fontId="59" fillId="0" borderId="0" xfId="13889" applyFont="1" applyFill="1" applyBorder="1" applyAlignment="1">
      <alignment vertical="center"/>
    </xf>
    <xf numFmtId="39" fontId="58" fillId="0" borderId="0" xfId="1" applyNumberFormat="1" applyFont="1" applyFill="1" applyBorder="1" applyAlignment="1">
      <alignment vertical="center"/>
    </xf>
    <xf numFmtId="39" fontId="59" fillId="0" borderId="0" xfId="1" applyNumberFormat="1" applyFont="1" applyFill="1" applyBorder="1" applyAlignment="1">
      <alignment vertical="center"/>
    </xf>
    <xf numFmtId="37" fontId="119" fillId="15" borderId="15" xfId="1" applyNumberFormat="1" applyFont="1" applyFill="1" applyBorder="1" applyAlignment="1">
      <alignment vertical="center"/>
    </xf>
    <xf numFmtId="37" fontId="119" fillId="4" borderId="15" xfId="1" applyNumberFormat="1" applyFont="1" applyFill="1" applyBorder="1" applyAlignment="1">
      <alignment vertical="center"/>
    </xf>
    <xf numFmtId="37" fontId="119" fillId="0" borderId="15" xfId="1" applyNumberFormat="1" applyFont="1" applyFill="1" applyBorder="1" applyAlignment="1">
      <alignment vertical="center"/>
    </xf>
    <xf numFmtId="169" fontId="120" fillId="0" borderId="0" xfId="13889" applyNumberFormat="1" applyFont="1" applyFill="1" applyBorder="1" applyAlignment="1">
      <alignment vertical="center"/>
    </xf>
    <xf numFmtId="169" fontId="119" fillId="0" borderId="0" xfId="13889" applyNumberFormat="1" applyFont="1" applyFill="1" applyBorder="1" applyAlignment="1">
      <alignment horizontal="left" vertical="center"/>
    </xf>
    <xf numFmtId="39" fontId="119" fillId="0" borderId="0" xfId="1" applyNumberFormat="1" applyFont="1" applyFill="1" applyBorder="1" applyAlignment="1">
      <alignment vertical="center"/>
    </xf>
    <xf numFmtId="171" fontId="119" fillId="0" borderId="0" xfId="1" applyNumberFormat="1" applyFont="1" applyFill="1" applyBorder="1" applyAlignment="1">
      <alignment vertical="center"/>
    </xf>
    <xf numFmtId="43" fontId="0" fillId="0" borderId="0" xfId="0" applyNumberFormat="1"/>
    <xf numFmtId="10" fontId="27" fillId="3" borderId="4" xfId="13889" applyFont="1" applyFill="1" applyBorder="1"/>
    <xf numFmtId="170" fontId="25" fillId="2" borderId="0" xfId="1" applyNumberFormat="1" applyFont="1" applyFill="1"/>
    <xf numFmtId="175" fontId="36" fillId="23" borderId="0" xfId="3" applyNumberFormat="1" applyFont="1" applyFill="1"/>
    <xf numFmtId="175" fontId="36" fillId="23" borderId="0" xfId="1" applyNumberFormat="1" applyFont="1" applyFill="1"/>
    <xf numFmtId="175" fontId="89" fillId="23" borderId="0" xfId="1" applyNumberFormat="1" applyFont="1" applyFill="1"/>
    <xf numFmtId="175" fontId="89" fillId="23" borderId="0" xfId="1" applyNumberFormat="1" applyFont="1" applyFill="1" applyBorder="1"/>
    <xf numFmtId="175" fontId="53" fillId="23" borderId="0" xfId="1" applyNumberFormat="1" applyFont="1" applyFill="1"/>
    <xf numFmtId="175" fontId="53" fillId="23" borderId="0" xfId="3" applyNumberFormat="1" applyFont="1" applyFill="1"/>
    <xf numFmtId="175" fontId="0" fillId="0" borderId="0" xfId="0" applyNumberFormat="1"/>
    <xf numFmtId="169" fontId="26" fillId="3" borderId="0" xfId="13889" applyNumberFormat="1" applyFont="1" applyFill="1" applyBorder="1" applyAlignment="1">
      <alignment horizontal="center"/>
    </xf>
    <xf numFmtId="169" fontId="26" fillId="3" borderId="0" xfId="13889" applyNumberFormat="1" applyFont="1" applyFill="1" applyBorder="1" applyAlignment="1">
      <alignment horizontal="right"/>
    </xf>
    <xf numFmtId="169" fontId="26" fillId="2" borderId="0" xfId="13889" applyNumberFormat="1" applyFont="1" applyFill="1" applyAlignment="1">
      <alignment horizontal="right"/>
    </xf>
    <xf numFmtId="169" fontId="26" fillId="20" borderId="0" xfId="13889" applyNumberFormat="1" applyFont="1" applyFill="1" applyBorder="1" applyAlignment="1">
      <alignment horizontal="right"/>
    </xf>
    <xf numFmtId="169" fontId="26" fillId="2" borderId="0" xfId="13889" applyNumberFormat="1" applyFont="1" applyFill="1" applyBorder="1" applyAlignment="1">
      <alignment horizontal="right"/>
    </xf>
    <xf numFmtId="169" fontId="133" fillId="3" borderId="0" xfId="13889" applyNumberFormat="1" applyFont="1" applyFill="1" applyBorder="1" applyAlignment="1">
      <alignment horizontal="right"/>
    </xf>
    <xf numFmtId="169" fontId="133" fillId="3" borderId="0" xfId="13889" applyNumberFormat="1" applyFont="1" applyFill="1"/>
    <xf numFmtId="169" fontId="133" fillId="20" borderId="0" xfId="13889" applyNumberFormat="1" applyFont="1" applyFill="1"/>
    <xf numFmtId="169" fontId="133" fillId="0" borderId="0" xfId="13889" applyNumberFormat="1" applyFont="1" applyFill="1"/>
    <xf numFmtId="169" fontId="133" fillId="2" borderId="0" xfId="13889" applyNumberFormat="1" applyFont="1" applyFill="1"/>
    <xf numFmtId="169" fontId="133" fillId="2" borderId="0" xfId="13889" applyNumberFormat="1" applyFont="1" applyFill="1" applyBorder="1"/>
    <xf numFmtId="0" fontId="133" fillId="0" borderId="0" xfId="0" applyFont="1"/>
    <xf numFmtId="0" fontId="81" fillId="2" borderId="0" xfId="2" applyFont="1" applyFill="1"/>
    <xf numFmtId="37" fontId="134" fillId="2" borderId="0" xfId="1" applyNumberFormat="1" applyFont="1" applyFill="1" applyAlignment="1">
      <alignment vertical="center"/>
    </xf>
    <xf numFmtId="3" fontId="136" fillId="29" borderId="0" xfId="0" applyNumberFormat="1" applyFont="1" applyFill="1" applyAlignment="1">
      <alignment horizontal="center" vertical="center" wrapText="1"/>
    </xf>
    <xf numFmtId="0" fontId="113" fillId="2" borderId="0" xfId="2" applyFont="1" applyFill="1"/>
    <xf numFmtId="0" fontId="137" fillId="2" borderId="0" xfId="2" applyFont="1" applyFill="1"/>
    <xf numFmtId="171" fontId="113" fillId="2" borderId="0" xfId="1" applyNumberFormat="1" applyFont="1" applyFill="1" applyBorder="1"/>
    <xf numFmtId="171" fontId="81" fillId="2" borderId="0" xfId="1" applyNumberFormat="1" applyFont="1" applyFill="1" applyBorder="1"/>
    <xf numFmtId="169" fontId="81" fillId="2" borderId="0" xfId="13889" applyNumberFormat="1" applyFont="1" applyFill="1"/>
    <xf numFmtId="0" fontId="135" fillId="29" borderId="0" xfId="0" applyFont="1" applyFill="1" applyAlignment="1">
      <alignment horizontal="center" vertical="center" wrapText="1"/>
    </xf>
    <xf numFmtId="37" fontId="113" fillId="0" borderId="0" xfId="1" applyNumberFormat="1" applyFont="1" applyAlignment="1">
      <alignment vertical="center"/>
    </xf>
    <xf numFmtId="169" fontId="64" fillId="0" borderId="0" xfId="13889" applyNumberFormat="1" applyFont="1" applyBorder="1"/>
    <xf numFmtId="0" fontId="81" fillId="2" borderId="0" xfId="2" applyFont="1" applyFill="1" applyAlignment="1">
      <alignment horizontal="right"/>
    </xf>
    <xf numFmtId="37" fontId="134" fillId="2" borderId="0" xfId="1" applyNumberFormat="1" applyFont="1" applyFill="1" applyAlignment="1">
      <alignment horizontal="right" vertical="center"/>
    </xf>
    <xf numFmtId="0" fontId="113" fillId="2" borderId="0" xfId="2" applyFont="1" applyFill="1" applyAlignment="1">
      <alignment horizontal="right"/>
    </xf>
    <xf numFmtId="0" fontId="136" fillId="29" borderId="0" xfId="0" applyFont="1" applyFill="1" applyAlignment="1">
      <alignment horizontal="right" vertical="center" wrapText="1"/>
    </xf>
    <xf numFmtId="169" fontId="136" fillId="29" borderId="0" xfId="13889" applyNumberFormat="1" applyFont="1" applyFill="1" applyAlignment="1">
      <alignment horizontal="right" vertical="center" wrapText="1"/>
    </xf>
    <xf numFmtId="0" fontId="135" fillId="29" borderId="0" xfId="0" applyFont="1" applyFill="1" applyAlignment="1">
      <alignment horizontal="right" vertical="center" wrapText="1"/>
    </xf>
    <xf numFmtId="37" fontId="113" fillId="0" borderId="0" xfId="1" applyNumberFormat="1" applyFont="1" applyAlignment="1">
      <alignment horizontal="right" vertical="center"/>
    </xf>
    <xf numFmtId="37" fontId="81" fillId="0" borderId="0" xfId="1" applyNumberFormat="1" applyFont="1" applyAlignment="1">
      <alignment horizontal="right" vertical="center"/>
    </xf>
    <xf numFmtId="0" fontId="81" fillId="2" borderId="0" xfId="2" applyFont="1" applyFill="1" applyAlignment="1">
      <alignment horizontal="center"/>
    </xf>
    <xf numFmtId="0" fontId="113" fillId="2" borderId="0" xfId="2" applyFont="1" applyFill="1" applyAlignment="1">
      <alignment horizontal="center"/>
    </xf>
    <xf numFmtId="178" fontId="113" fillId="2" borderId="0" xfId="1" applyNumberFormat="1" applyFont="1" applyFill="1"/>
    <xf numFmtId="178" fontId="136" fillId="29" borderId="0" xfId="1" applyNumberFormat="1" applyFont="1" applyFill="1" applyAlignment="1">
      <alignment horizontal="center" vertical="center" wrapText="1"/>
    </xf>
    <xf numFmtId="178" fontId="81" fillId="2" borderId="0" xfId="1" applyNumberFormat="1" applyFont="1" applyFill="1"/>
    <xf numFmtId="178" fontId="135" fillId="29" borderId="0" xfId="1" applyNumberFormat="1" applyFont="1" applyFill="1" applyAlignment="1">
      <alignment horizontal="center" vertical="center" wrapText="1"/>
    </xf>
    <xf numFmtId="43" fontId="81" fillId="2" borderId="0" xfId="2" applyNumberFormat="1" applyFont="1" applyFill="1"/>
    <xf numFmtId="0" fontId="68" fillId="0" borderId="0" xfId="0" applyFont="1" applyAlignment="1">
      <alignment horizontal="center" vertical="center"/>
    </xf>
    <xf numFmtId="171" fontId="37" fillId="9" borderId="0" xfId="1" applyNumberFormat="1" applyFont="1" applyFill="1" applyBorder="1"/>
    <xf numFmtId="171" fontId="34" fillId="9" borderId="0" xfId="1" applyNumberFormat="1" applyFont="1" applyFill="1" applyBorder="1"/>
    <xf numFmtId="9" fontId="27" fillId="9" borderId="0" xfId="13889" applyNumberFormat="1" applyFont="1" applyFill="1" applyBorder="1"/>
    <xf numFmtId="171" fontId="37" fillId="9" borderId="0" xfId="3" applyNumberFormat="1" applyFont="1" applyFill="1"/>
    <xf numFmtId="0" fontId="36" fillId="9" borderId="0" xfId="3" applyFont="1" applyFill="1"/>
    <xf numFmtId="0" fontId="52" fillId="9" borderId="0" xfId="3" applyFont="1" applyFill="1"/>
    <xf numFmtId="0" fontId="34" fillId="9" borderId="0" xfId="3" applyFont="1" applyFill="1"/>
    <xf numFmtId="43" fontId="25" fillId="9" borderId="0" xfId="3" applyNumberFormat="1" applyFont="1" applyFill="1"/>
    <xf numFmtId="169" fontId="45" fillId="9" borderId="0" xfId="13889" applyNumberFormat="1" applyFont="1" applyFill="1" applyBorder="1"/>
    <xf numFmtId="0" fontId="34" fillId="9" borderId="0" xfId="3" applyFont="1" applyFill="1" applyAlignment="1">
      <alignment horizontal="center"/>
    </xf>
    <xf numFmtId="0" fontId="43" fillId="9" borderId="0" xfId="3" applyFont="1" applyFill="1" applyAlignment="1">
      <alignment horizontal="center"/>
    </xf>
    <xf numFmtId="0" fontId="48" fillId="9" borderId="0" xfId="3" applyFont="1" applyFill="1" applyAlignment="1">
      <alignment horizontal="center"/>
    </xf>
    <xf numFmtId="0" fontId="31" fillId="9" borderId="0" xfId="3" applyFont="1" applyFill="1" applyAlignment="1">
      <alignment horizontal="center"/>
    </xf>
    <xf numFmtId="171" fontId="48" fillId="9" borderId="0" xfId="1" applyNumberFormat="1" applyFont="1" applyFill="1" applyBorder="1" applyAlignment="1">
      <alignment horizontal="center"/>
    </xf>
    <xf numFmtId="169" fontId="48" fillId="9" borderId="0" xfId="13889" applyNumberFormat="1" applyFont="1" applyFill="1" applyBorder="1" applyAlignment="1">
      <alignment horizontal="center"/>
    </xf>
    <xf numFmtId="0" fontId="48" fillId="9" borderId="0" xfId="3" quotePrefix="1" applyFont="1" applyFill="1" applyAlignment="1">
      <alignment horizontal="center"/>
    </xf>
    <xf numFmtId="169" fontId="36" fillId="9" borderId="0" xfId="13889" applyNumberFormat="1" applyFont="1" applyFill="1" applyBorder="1"/>
    <xf numFmtId="169" fontId="36" fillId="9" borderId="15" xfId="13889" applyNumberFormat="1" applyFont="1" applyFill="1" applyBorder="1"/>
    <xf numFmtId="166" fontId="36" fillId="9" borderId="0" xfId="1" applyFont="1" applyFill="1" applyBorder="1"/>
    <xf numFmtId="166" fontId="37" fillId="9" borderId="0" xfId="1" applyFont="1" applyFill="1" applyBorder="1"/>
    <xf numFmtId="0" fontId="34" fillId="9" borderId="13" xfId="3" applyFont="1" applyFill="1" applyBorder="1"/>
    <xf numFmtId="43" fontId="34" fillId="9" borderId="0" xfId="1" applyNumberFormat="1" applyFont="1" applyFill="1" applyBorder="1" applyAlignment="1">
      <alignment horizontal="center"/>
    </xf>
    <xf numFmtId="169" fontId="37" fillId="9" borderId="0" xfId="13889" applyNumberFormat="1" applyFont="1" applyFill="1" applyBorder="1" applyAlignment="1">
      <alignment horizontal="right"/>
    </xf>
    <xf numFmtId="166" fontId="34" fillId="9" borderId="0" xfId="1" applyFont="1" applyFill="1" applyBorder="1" applyAlignment="1">
      <alignment horizontal="center"/>
    </xf>
    <xf numFmtId="170" fontId="34" fillId="9" borderId="0" xfId="1" applyNumberFormat="1" applyFont="1" applyFill="1" applyBorder="1"/>
    <xf numFmtId="169" fontId="37" fillId="9" borderId="0" xfId="13889" applyNumberFormat="1" applyFont="1" applyFill="1" applyBorder="1" applyAlignment="1">
      <alignment horizontal="center"/>
    </xf>
    <xf numFmtId="2" fontId="34" fillId="9" borderId="0" xfId="13889" applyNumberFormat="1" applyFont="1" applyFill="1" applyBorder="1"/>
    <xf numFmtId="166" fontId="27" fillId="9" borderId="0" xfId="1" applyFont="1" applyFill="1" applyBorder="1"/>
    <xf numFmtId="170" fontId="36" fillId="9" borderId="0" xfId="1" applyNumberFormat="1" applyFont="1" applyFill="1" applyBorder="1"/>
    <xf numFmtId="170" fontId="27" fillId="9" borderId="0" xfId="1" applyNumberFormat="1" applyFont="1" applyFill="1" applyBorder="1"/>
    <xf numFmtId="170" fontId="102" fillId="9" borderId="0" xfId="1" applyNumberFormat="1" applyFont="1" applyFill="1"/>
    <xf numFmtId="169" fontId="139" fillId="9" borderId="0" xfId="13889" applyNumberFormat="1" applyFont="1" applyFill="1" applyBorder="1" applyAlignment="1">
      <alignment horizontal="left"/>
    </xf>
    <xf numFmtId="169" fontId="140" fillId="9" borderId="0" xfId="13889" applyNumberFormat="1" applyFont="1" applyFill="1" applyBorder="1" applyAlignment="1">
      <alignment horizontal="left"/>
    </xf>
    <xf numFmtId="169" fontId="36" fillId="9" borderId="0" xfId="3" applyNumberFormat="1" applyFont="1" applyFill="1" applyAlignment="1">
      <alignment horizontal="left"/>
    </xf>
    <xf numFmtId="169" fontId="141" fillId="9" borderId="0" xfId="13889" applyNumberFormat="1" applyFont="1" applyFill="1" applyBorder="1" applyAlignment="1">
      <alignment horizontal="left"/>
    </xf>
    <xf numFmtId="169" fontId="142" fillId="9" borderId="0" xfId="13889" applyNumberFormat="1" applyFont="1" applyFill="1" applyBorder="1" applyAlignment="1">
      <alignment horizontal="left"/>
    </xf>
    <xf numFmtId="169" fontId="143" fillId="9" borderId="0" xfId="13889" applyNumberFormat="1" applyFont="1" applyFill="1" applyBorder="1" applyAlignment="1">
      <alignment horizontal="left"/>
    </xf>
    <xf numFmtId="169" fontId="144" fillId="9" borderId="0" xfId="13889" applyNumberFormat="1" applyFont="1" applyFill="1" applyBorder="1" applyAlignment="1">
      <alignment horizontal="left"/>
    </xf>
    <xf numFmtId="169" fontId="145" fillId="9" borderId="0" xfId="13889" applyNumberFormat="1" applyFont="1" applyFill="1" applyBorder="1" applyAlignment="1">
      <alignment horizontal="left"/>
    </xf>
    <xf numFmtId="169" fontId="146" fillId="9" borderId="0" xfId="13889" applyNumberFormat="1" applyFont="1" applyFill="1" applyBorder="1" applyAlignment="1">
      <alignment horizontal="left"/>
    </xf>
    <xf numFmtId="169" fontId="146" fillId="9" borderId="0" xfId="13889" quotePrefix="1" applyNumberFormat="1" applyFont="1" applyFill="1" applyBorder="1" applyAlignment="1">
      <alignment horizontal="left"/>
    </xf>
    <xf numFmtId="169" fontId="147" fillId="9" borderId="0" xfId="13889" applyNumberFormat="1" applyFont="1" applyFill="1" applyBorder="1" applyAlignment="1">
      <alignment horizontal="left"/>
    </xf>
    <xf numFmtId="169" fontId="148" fillId="9" borderId="0" xfId="13889" applyNumberFormat="1" applyFont="1" applyFill="1" applyAlignment="1">
      <alignment horizontal="left"/>
    </xf>
    <xf numFmtId="169" fontId="149" fillId="9" borderId="0" xfId="13889" applyNumberFormat="1" applyFont="1" applyFill="1" applyAlignment="1">
      <alignment horizontal="left"/>
    </xf>
    <xf numFmtId="166" fontId="25" fillId="0" borderId="0" xfId="1" applyFont="1" applyFill="1"/>
    <xf numFmtId="169" fontId="37" fillId="20" borderId="0" xfId="3" applyNumberFormat="1" applyFont="1" applyFill="1"/>
    <xf numFmtId="10" fontId="25" fillId="20" borderId="0" xfId="13889" applyFont="1" applyFill="1"/>
    <xf numFmtId="178" fontId="27" fillId="2" borderId="0" xfId="1" applyNumberFormat="1" applyFont="1" applyFill="1" applyBorder="1"/>
    <xf numFmtId="169" fontId="97" fillId="2" borderId="0" xfId="13889" applyNumberFormat="1" applyFont="1" applyFill="1" applyBorder="1"/>
    <xf numFmtId="166" fontId="1" fillId="3" borderId="0" xfId="1" applyFont="1" applyFill="1" applyBorder="1" applyAlignment="1"/>
    <xf numFmtId="178" fontId="81" fillId="2" borderId="0" xfId="1" applyNumberFormat="1" applyFont="1" applyFill="1" applyBorder="1" applyAlignment="1"/>
    <xf numFmtId="0" fontId="65" fillId="3" borderId="0" xfId="0" applyFont="1" applyFill="1"/>
    <xf numFmtId="0" fontId="65" fillId="0" borderId="0" xfId="0" applyFont="1"/>
    <xf numFmtId="169" fontId="14" fillId="2" borderId="0" xfId="13889" applyNumberFormat="1" applyFont="1" applyFill="1" applyBorder="1"/>
    <xf numFmtId="0" fontId="150" fillId="2" borderId="0" xfId="2" applyFont="1" applyFill="1"/>
    <xf numFmtId="43" fontId="151" fillId="2" borderId="0" xfId="2" applyNumberFormat="1" applyFont="1" applyFill="1"/>
    <xf numFmtId="0" fontId="37" fillId="2" borderId="0" xfId="2" applyFont="1" applyFill="1" applyAlignment="1">
      <alignment horizontal="right"/>
    </xf>
    <xf numFmtId="43" fontId="151" fillId="2" borderId="0" xfId="2" applyNumberFormat="1" applyFont="1" applyFill="1" applyAlignment="1">
      <alignment horizontal="right"/>
    </xf>
    <xf numFmtId="171" fontId="151" fillId="2" borderId="0" xfId="2" applyNumberFormat="1" applyFont="1" applyFill="1"/>
    <xf numFmtId="0" fontId="152" fillId="2" borderId="0" xfId="2" applyFont="1" applyFill="1"/>
    <xf numFmtId="43" fontId="153" fillId="2" borderId="0" xfId="2" applyNumberFormat="1" applyFont="1" applyFill="1"/>
    <xf numFmtId="178" fontId="92" fillId="3" borderId="0" xfId="1" applyNumberFormat="1" applyFont="1" applyFill="1" applyBorder="1" applyAlignment="1"/>
    <xf numFmtId="169" fontId="31" fillId="2" borderId="0" xfId="13889" applyNumberFormat="1" applyFont="1" applyFill="1" applyBorder="1"/>
    <xf numFmtId="178" fontId="6" fillId="3" borderId="0" xfId="1" applyNumberFormat="1" applyFont="1" applyFill="1" applyBorder="1" applyAlignment="1">
      <alignment vertical="center"/>
    </xf>
    <xf numFmtId="169" fontId="107" fillId="20" borderId="0" xfId="13889" applyNumberFormat="1" applyFont="1" applyFill="1" applyBorder="1"/>
    <xf numFmtId="171" fontId="103" fillId="20" borderId="0" xfId="1" applyNumberFormat="1" applyFont="1" applyFill="1" applyBorder="1"/>
    <xf numFmtId="169" fontId="103" fillId="20" borderId="0" xfId="13889" applyNumberFormat="1" applyFont="1" applyFill="1"/>
    <xf numFmtId="171" fontId="103" fillId="20" borderId="0" xfId="1" applyNumberFormat="1" applyFont="1" applyFill="1"/>
    <xf numFmtId="169" fontId="107" fillId="20" borderId="0" xfId="13889" applyNumberFormat="1" applyFont="1" applyFill="1"/>
    <xf numFmtId="169" fontId="34" fillId="2" borderId="13" xfId="13889" applyNumberFormat="1" applyFont="1" applyFill="1" applyBorder="1"/>
    <xf numFmtId="178" fontId="94" fillId="0" borderId="0" xfId="0" applyNumberFormat="1" applyFont="1"/>
    <xf numFmtId="171" fontId="96" fillId="0" borderId="0" xfId="0" applyNumberFormat="1" applyFont="1"/>
    <xf numFmtId="171" fontId="131" fillId="0" borderId="0" xfId="0" applyNumberFormat="1" applyFont="1"/>
    <xf numFmtId="171" fontId="2" fillId="0" borderId="0" xfId="0" applyNumberFormat="1" applyFont="1"/>
    <xf numFmtId="178" fontId="81" fillId="0" borderId="0" xfId="1" applyNumberFormat="1" applyFont="1"/>
    <xf numFmtId="170" fontId="154" fillId="20" borderId="0" xfId="1" applyNumberFormat="1" applyFont="1" applyFill="1" applyBorder="1"/>
    <xf numFmtId="170" fontId="101" fillId="20" borderId="0" xfId="1" applyNumberFormat="1" applyFont="1" applyFill="1" applyBorder="1"/>
    <xf numFmtId="178" fontId="25" fillId="0" borderId="0" xfId="1" applyNumberFormat="1" applyFont="1" applyFill="1"/>
    <xf numFmtId="169" fontId="0" fillId="0" borderId="0" xfId="13889" applyNumberFormat="1" applyFont="1" applyFill="1" applyAlignment="1">
      <alignment horizontal="right"/>
    </xf>
    <xf numFmtId="0" fontId="0" fillId="30" borderId="0" xfId="0" applyFill="1" applyAlignment="1">
      <alignment horizontal="right"/>
    </xf>
    <xf numFmtId="10" fontId="80" fillId="0" borderId="0" xfId="13889" applyFont="1" applyAlignment="1">
      <alignment horizontal="right"/>
    </xf>
    <xf numFmtId="0" fontId="2" fillId="23" borderId="0" xfId="0" applyFont="1" applyFill="1"/>
    <xf numFmtId="0" fontId="2" fillId="23" borderId="0" xfId="0" applyFont="1" applyFill="1" applyAlignment="1">
      <alignment horizontal="center"/>
    </xf>
    <xf numFmtId="169" fontId="2" fillId="23" borderId="0" xfId="13889" applyNumberFormat="1" applyFont="1" applyFill="1" applyAlignment="1">
      <alignment horizontal="right"/>
    </xf>
    <xf numFmtId="169" fontId="2" fillId="0" borderId="0" xfId="13889" applyNumberFormat="1" applyFont="1" applyFill="1" applyAlignment="1">
      <alignment horizontal="right"/>
    </xf>
    <xf numFmtId="10" fontId="131" fillId="23" borderId="0" xfId="13889" applyFont="1" applyFill="1" applyAlignment="1">
      <alignment horizontal="right"/>
    </xf>
    <xf numFmtId="178" fontId="0" fillId="9" borderId="0" xfId="1" applyNumberFormat="1" applyFont="1" applyFill="1"/>
    <xf numFmtId="178" fontId="0" fillId="8" borderId="0" xfId="1" applyNumberFormat="1" applyFont="1" applyFill="1"/>
    <xf numFmtId="169" fontId="149" fillId="0" borderId="0" xfId="13889" applyNumberFormat="1" applyFont="1" applyAlignment="1">
      <alignment horizontal="right"/>
    </xf>
    <xf numFmtId="169" fontId="149" fillId="9" borderId="0" xfId="13889" applyNumberFormat="1" applyFont="1" applyFill="1"/>
    <xf numFmtId="169" fontId="149" fillId="0" borderId="0" xfId="13889" applyNumberFormat="1" applyFont="1" applyFill="1" applyAlignment="1">
      <alignment horizontal="right"/>
    </xf>
    <xf numFmtId="169" fontId="149" fillId="8" borderId="0" xfId="13889" applyNumberFormat="1" applyFont="1" applyFill="1"/>
    <xf numFmtId="0" fontId="0" fillId="23" borderId="0" xfId="0" applyFill="1"/>
    <xf numFmtId="178" fontId="0" fillId="0" borderId="0" xfId="1" applyNumberFormat="1" applyFont="1" applyAlignment="1">
      <alignment horizontal="right"/>
    </xf>
    <xf numFmtId="178" fontId="2" fillId="9" borderId="0" xfId="1" applyNumberFormat="1" applyFont="1" applyFill="1"/>
    <xf numFmtId="178" fontId="2" fillId="8" borderId="0" xfId="1" applyNumberFormat="1" applyFont="1" applyFill="1"/>
    <xf numFmtId="169" fontId="108" fillId="0" borderId="0" xfId="13889" applyNumberFormat="1" applyFont="1" applyFill="1" applyAlignment="1">
      <alignment horizontal="right"/>
    </xf>
    <xf numFmtId="169" fontId="105" fillId="3" borderId="0" xfId="13889" applyNumberFormat="1" applyFont="1" applyFill="1" applyAlignment="1">
      <alignment horizontal="left" vertical="center"/>
    </xf>
    <xf numFmtId="171" fontId="97" fillId="20" borderId="0" xfId="1" applyNumberFormat="1" applyFont="1" applyFill="1"/>
    <xf numFmtId="0" fontId="0" fillId="99" borderId="0" xfId="0" applyFill="1" applyAlignment="1">
      <alignment horizontal="right"/>
    </xf>
    <xf numFmtId="17" fontId="2" fillId="0" borderId="0" xfId="0" applyNumberFormat="1" applyFont="1" applyAlignment="1">
      <alignment horizontal="right"/>
    </xf>
    <xf numFmtId="0" fontId="0" fillId="0" borderId="0" xfId="0" applyAlignment="1">
      <alignment horizontal="right"/>
    </xf>
    <xf numFmtId="0" fontId="278" fillId="0" borderId="0" xfId="13851"/>
    <xf numFmtId="9" fontId="0" fillId="0" borderId="0" xfId="13889" applyNumberFormat="1" applyFont="1"/>
    <xf numFmtId="0" fontId="9" fillId="0" borderId="0" xfId="0" applyFont="1" applyAlignment="1">
      <alignment horizontal="center"/>
    </xf>
    <xf numFmtId="43" fontId="0" fillId="99" borderId="0" xfId="0" applyNumberFormat="1" applyFill="1" applyAlignment="1">
      <alignment horizontal="right"/>
    </xf>
    <xf numFmtId="171" fontId="0" fillId="0" borderId="0" xfId="13852" applyNumberFormat="1" applyFont="1"/>
    <xf numFmtId="0" fontId="3" fillId="99" borderId="0" xfId="0" applyFont="1" applyFill="1" applyAlignment="1">
      <alignment horizontal="right"/>
    </xf>
    <xf numFmtId="171" fontId="0" fillId="0" borderId="0" xfId="0" applyNumberFormat="1"/>
    <xf numFmtId="169" fontId="0" fillId="99" borderId="0" xfId="13853" applyNumberFormat="1" applyFont="1" applyFill="1" applyAlignment="1">
      <alignment horizontal="right"/>
    </xf>
    <xf numFmtId="9" fontId="0" fillId="99" borderId="0" xfId="0" applyNumberFormat="1" applyFill="1" applyAlignment="1">
      <alignment horizontal="right"/>
    </xf>
    <xf numFmtId="9" fontId="0" fillId="99" borderId="0" xfId="13853" applyFont="1" applyFill="1" applyAlignment="1">
      <alignment horizontal="right"/>
    </xf>
    <xf numFmtId="10" fontId="3" fillId="99" borderId="0" xfId="0" applyNumberFormat="1" applyFont="1" applyFill="1" applyAlignment="1">
      <alignment horizontal="right"/>
    </xf>
    <xf numFmtId="0" fontId="111" fillId="5" borderId="0" xfId="1" applyNumberFormat="1" applyFont="1" applyFill="1" applyAlignment="1">
      <alignment horizontal="center" vertical="center"/>
    </xf>
    <xf numFmtId="169" fontId="2" fillId="3" borderId="0" xfId="13889" applyNumberFormat="1" applyFont="1" applyFill="1" applyAlignment="1">
      <alignment vertical="center"/>
    </xf>
    <xf numFmtId="169" fontId="43" fillId="2" borderId="0" xfId="13889" applyNumberFormat="1" applyFont="1" applyFill="1"/>
    <xf numFmtId="169" fontId="25" fillId="0" borderId="0" xfId="13889" applyNumberFormat="1" applyFont="1" applyFill="1"/>
    <xf numFmtId="169" fontId="29" fillId="0" borderId="0" xfId="13889" applyNumberFormat="1" applyFont="1" applyFill="1" applyBorder="1"/>
    <xf numFmtId="169" fontId="25" fillId="0" borderId="0" xfId="13889" applyNumberFormat="1" applyFont="1" applyFill="1" applyBorder="1"/>
    <xf numFmtId="166" fontId="25" fillId="0" borderId="0" xfId="1" applyFont="1" applyFill="1" applyBorder="1"/>
    <xf numFmtId="169" fontId="98" fillId="0" borderId="0" xfId="13889" applyNumberFormat="1" applyFont="1" applyFill="1" applyBorder="1"/>
    <xf numFmtId="169" fontId="31" fillId="0" borderId="0" xfId="13889" applyNumberFormat="1" applyFont="1" applyFill="1" applyBorder="1"/>
    <xf numFmtId="169" fontId="50" fillId="0" borderId="0" xfId="13889" applyNumberFormat="1" applyFont="1" applyFill="1" applyBorder="1"/>
    <xf numFmtId="171" fontId="34" fillId="0" borderId="0" xfId="1" applyNumberFormat="1" applyFont="1" applyFill="1" applyBorder="1"/>
    <xf numFmtId="169" fontId="34" fillId="0" borderId="0" xfId="13889" applyNumberFormat="1" applyFont="1" applyFill="1" applyBorder="1"/>
    <xf numFmtId="171" fontId="37" fillId="0" borderId="0" xfId="1" applyNumberFormat="1" applyFont="1" applyFill="1"/>
    <xf numFmtId="171" fontId="87" fillId="0" borderId="0" xfId="1" applyNumberFormat="1" applyFont="1" applyFill="1"/>
    <xf numFmtId="171" fontId="85" fillId="0" borderId="0" xfId="1" applyNumberFormat="1" applyFont="1" applyFill="1"/>
    <xf numFmtId="169" fontId="37" fillId="0" borderId="0" xfId="13889" applyNumberFormat="1" applyFont="1" applyFill="1"/>
    <xf numFmtId="169" fontId="28" fillId="0" borderId="0" xfId="13889" applyNumberFormat="1" applyFont="1" applyFill="1"/>
    <xf numFmtId="169" fontId="85" fillId="0" borderId="0" xfId="13889" applyNumberFormat="1" applyFont="1" applyFill="1"/>
    <xf numFmtId="171" fontId="28" fillId="0" borderId="0" xfId="1" applyNumberFormat="1" applyFont="1" applyFill="1"/>
    <xf numFmtId="171" fontId="27" fillId="0" borderId="0" xfId="1" applyNumberFormat="1" applyFont="1" applyFill="1"/>
    <xf numFmtId="171" fontId="37" fillId="0" borderId="0" xfId="3" applyNumberFormat="1" applyFont="1"/>
    <xf numFmtId="10" fontId="3" fillId="20" borderId="0" xfId="13889" applyFill="1"/>
    <xf numFmtId="171" fontId="64" fillId="0" borderId="0" xfId="0" applyNumberFormat="1" applyFont="1"/>
    <xf numFmtId="170" fontId="108" fillId="0" borderId="0" xfId="0" applyNumberFormat="1" applyFont="1"/>
    <xf numFmtId="169" fontId="37" fillId="0" borderId="0" xfId="3" applyNumberFormat="1" applyFont="1"/>
    <xf numFmtId="169" fontId="45" fillId="0" borderId="0" xfId="13889" applyNumberFormat="1" applyFont="1" applyFill="1"/>
    <xf numFmtId="171" fontId="45" fillId="0" borderId="0" xfId="1" applyNumberFormat="1" applyFont="1" applyFill="1"/>
    <xf numFmtId="0" fontId="47" fillId="0" borderId="0" xfId="3" applyFont="1"/>
    <xf numFmtId="171" fontId="28" fillId="0" borderId="0" xfId="3" applyNumberFormat="1" applyFont="1"/>
    <xf numFmtId="171" fontId="25" fillId="0" borderId="0" xfId="1" applyNumberFormat="1" applyFont="1" applyFill="1"/>
    <xf numFmtId="10" fontId="37" fillId="0" borderId="0" xfId="13889" applyFont="1" applyFill="1"/>
    <xf numFmtId="0" fontId="37" fillId="0" borderId="0" xfId="3" applyFont="1"/>
    <xf numFmtId="169" fontId="36" fillId="0" borderId="0" xfId="13889" applyNumberFormat="1" applyFont="1" applyFill="1" applyBorder="1"/>
    <xf numFmtId="171" fontId="36" fillId="0" borderId="15" xfId="1" applyNumberFormat="1" applyFont="1" applyFill="1" applyBorder="1"/>
    <xf numFmtId="166" fontId="36" fillId="0" borderId="0" xfId="1" applyFont="1" applyFill="1"/>
    <xf numFmtId="166" fontId="37" fillId="0" borderId="0" xfId="1" applyFont="1" applyFill="1"/>
    <xf numFmtId="10" fontId="27" fillId="0" borderId="0" xfId="3" applyNumberFormat="1" applyFont="1"/>
    <xf numFmtId="10" fontId="28" fillId="0" borderId="0" xfId="3" applyNumberFormat="1" applyFont="1"/>
    <xf numFmtId="169" fontId="37" fillId="0" borderId="0" xfId="13889" applyNumberFormat="1" applyFont="1" applyFill="1" applyAlignment="1">
      <alignment horizontal="right"/>
    </xf>
    <xf numFmtId="0" fontId="34" fillId="0" borderId="0" xfId="3" applyFont="1" applyAlignment="1">
      <alignment horizontal="center"/>
    </xf>
    <xf numFmtId="170" fontId="34" fillId="0" borderId="0" xfId="1" applyNumberFormat="1" applyFont="1" applyFill="1" applyBorder="1" applyAlignment="1">
      <alignment horizontal="center"/>
    </xf>
    <xf numFmtId="0" fontId="36" fillId="0" borderId="0" xfId="3" applyFont="1" applyAlignment="1">
      <alignment horizontal="center"/>
    </xf>
    <xf numFmtId="170" fontId="27" fillId="0" borderId="0" xfId="1" applyNumberFormat="1" applyFont="1" applyFill="1" applyBorder="1"/>
    <xf numFmtId="172" fontId="34" fillId="0" borderId="0" xfId="13889" applyNumberFormat="1" applyFont="1" applyFill="1" applyBorder="1"/>
    <xf numFmtId="2" fontId="27" fillId="0" borderId="0" xfId="13889" applyNumberFormat="1" applyFont="1" applyFill="1"/>
    <xf numFmtId="1" fontId="25" fillId="0" borderId="0" xfId="1" applyNumberFormat="1" applyFont="1" applyFill="1"/>
    <xf numFmtId="170" fontId="36" fillId="0" borderId="0" xfId="1" applyNumberFormat="1" applyFont="1" applyFill="1" applyBorder="1" applyAlignment="1">
      <alignment horizontal="center"/>
    </xf>
    <xf numFmtId="166" fontId="28" fillId="0" borderId="0" xfId="1" applyFont="1" applyFill="1"/>
    <xf numFmtId="166" fontId="27" fillId="0" borderId="0" xfId="1" applyFont="1" applyFill="1" applyBorder="1"/>
    <xf numFmtId="166" fontId="25" fillId="0" borderId="0" xfId="3" applyNumberFormat="1" applyFont="1"/>
    <xf numFmtId="170" fontId="27" fillId="0" borderId="0" xfId="1" applyNumberFormat="1" applyFont="1" applyFill="1"/>
    <xf numFmtId="9" fontId="25" fillId="0" borderId="0" xfId="13889" applyNumberFormat="1" applyFont="1" applyFill="1"/>
    <xf numFmtId="171" fontId="36" fillId="0" borderId="0" xfId="1" applyNumberFormat="1" applyFont="1" applyFill="1"/>
    <xf numFmtId="169" fontId="47" fillId="0" borderId="0" xfId="3" applyNumberFormat="1" applyFont="1"/>
    <xf numFmtId="171" fontId="37" fillId="0" borderId="15" xfId="1" applyNumberFormat="1" applyFont="1" applyFill="1" applyBorder="1"/>
    <xf numFmtId="169" fontId="52" fillId="0" borderId="0" xfId="13889" applyNumberFormat="1" applyFont="1" applyFill="1" applyBorder="1"/>
    <xf numFmtId="169" fontId="26" fillId="0" borderId="0" xfId="13889" applyNumberFormat="1" applyFont="1" applyFill="1" applyBorder="1"/>
    <xf numFmtId="10" fontId="34" fillId="0" borderId="0" xfId="3" applyNumberFormat="1" applyFont="1"/>
    <xf numFmtId="169" fontId="37" fillId="0" borderId="0" xfId="13889" applyNumberFormat="1" applyFont="1" applyFill="1" applyBorder="1" applyAlignment="1">
      <alignment horizontal="right"/>
    </xf>
    <xf numFmtId="166" fontId="34" fillId="0" borderId="0" xfId="1" applyFont="1" applyFill="1" applyAlignment="1">
      <alignment horizontal="center"/>
    </xf>
    <xf numFmtId="166" fontId="34" fillId="0" borderId="0" xfId="1" applyFont="1" applyFill="1" applyBorder="1" applyAlignment="1">
      <alignment horizontal="center"/>
    </xf>
    <xf numFmtId="170" fontId="87" fillId="0" borderId="0" xfId="1" applyNumberFormat="1" applyFont="1" applyFill="1"/>
    <xf numFmtId="170" fontId="87" fillId="0" borderId="0" xfId="1" applyNumberFormat="1" applyFont="1" applyFill="1" applyBorder="1"/>
    <xf numFmtId="166" fontId="37" fillId="0" borderId="0" xfId="1" applyFont="1" applyFill="1" applyAlignment="1">
      <alignment horizontal="center"/>
    </xf>
    <xf numFmtId="2" fontId="87" fillId="0" borderId="0" xfId="13889" applyNumberFormat="1" applyFont="1" applyFill="1" applyBorder="1"/>
    <xf numFmtId="172" fontId="87" fillId="0" borderId="0" xfId="13889" applyNumberFormat="1" applyFont="1" applyFill="1" applyBorder="1"/>
    <xf numFmtId="172" fontId="27" fillId="0" borderId="0" xfId="13889" applyNumberFormat="1" applyFont="1" applyFill="1"/>
    <xf numFmtId="172" fontId="27" fillId="0" borderId="0" xfId="13889" applyNumberFormat="1" applyFont="1" applyFill="1" applyBorder="1"/>
    <xf numFmtId="171" fontId="25" fillId="0" borderId="0" xfId="1" applyNumberFormat="1" applyFont="1" applyFill="1" applyBorder="1"/>
    <xf numFmtId="170" fontId="89" fillId="0" borderId="0" xfId="1" applyNumberFormat="1" applyFont="1" applyFill="1" applyBorder="1" applyAlignment="1">
      <alignment horizontal="center"/>
    </xf>
    <xf numFmtId="166" fontId="27" fillId="0" borderId="0" xfId="1" applyFont="1" applyFill="1"/>
    <xf numFmtId="170" fontId="89" fillId="0" borderId="0" xfId="1" applyNumberFormat="1" applyFont="1" applyFill="1"/>
    <xf numFmtId="170" fontId="89" fillId="0" borderId="0" xfId="1" applyNumberFormat="1" applyFont="1" applyFill="1" applyBorder="1"/>
    <xf numFmtId="166" fontId="37" fillId="0" borderId="0" xfId="1" applyFont="1" applyFill="1" applyBorder="1"/>
    <xf numFmtId="10" fontId="87" fillId="0" borderId="13" xfId="3" applyNumberFormat="1" applyFont="1" applyBorder="1"/>
    <xf numFmtId="1" fontId="27" fillId="0" borderId="0" xfId="3" applyNumberFormat="1" applyFont="1"/>
    <xf numFmtId="1" fontId="28" fillId="0" borderId="0" xfId="3" applyNumberFormat="1" applyFont="1"/>
    <xf numFmtId="10" fontId="39" fillId="0" borderId="0" xfId="3" applyNumberFormat="1" applyFont="1"/>
    <xf numFmtId="178" fontId="37" fillId="0" borderId="0" xfId="1" applyNumberFormat="1" applyFont="1" applyFill="1" applyBorder="1"/>
    <xf numFmtId="171" fontId="37" fillId="0" borderId="0" xfId="1" applyNumberFormat="1" applyFont="1" applyFill="1" applyBorder="1"/>
    <xf numFmtId="169" fontId="28" fillId="0" borderId="0" xfId="13889" applyNumberFormat="1" applyFont="1" applyFill="1" applyBorder="1"/>
    <xf numFmtId="169" fontId="47" fillId="0" borderId="0" xfId="13889" applyNumberFormat="1" applyFont="1" applyFill="1" applyBorder="1"/>
    <xf numFmtId="171" fontId="86" fillId="0" borderId="0" xfId="3" applyNumberFormat="1" applyFont="1"/>
    <xf numFmtId="171" fontId="34" fillId="2" borderId="14" xfId="1" applyNumberFormat="1" applyFont="1" applyFill="1" applyBorder="1"/>
    <xf numFmtId="171" fontId="34" fillId="2" borderId="13" xfId="1" applyNumberFormat="1" applyFont="1" applyFill="1" applyBorder="1"/>
    <xf numFmtId="171" fontId="34" fillId="0" borderId="13" xfId="1" applyNumberFormat="1" applyFont="1" applyFill="1" applyBorder="1"/>
    <xf numFmtId="171" fontId="35" fillId="20" borderId="13" xfId="1" applyNumberFormat="1" applyFont="1" applyFill="1" applyBorder="1"/>
    <xf numFmtId="171" fontId="34" fillId="0" borderId="13" xfId="3" applyNumberFormat="1" applyFont="1" applyBorder="1"/>
    <xf numFmtId="0" fontId="2" fillId="0" borderId="13" xfId="0" applyFont="1" applyBorder="1"/>
    <xf numFmtId="171" fontId="34" fillId="2" borderId="24" xfId="1" applyNumberFormat="1" applyFont="1" applyFill="1" applyBorder="1"/>
    <xf numFmtId="171" fontId="34" fillId="2" borderId="15" xfId="1" applyNumberFormat="1" applyFont="1" applyFill="1" applyBorder="1"/>
    <xf numFmtId="171" fontId="34" fillId="0" borderId="15" xfId="1" applyNumberFormat="1" applyFont="1" applyFill="1" applyBorder="1"/>
    <xf numFmtId="171" fontId="35" fillId="20" borderId="15" xfId="1" applyNumberFormat="1" applyFont="1" applyFill="1" applyBorder="1"/>
    <xf numFmtId="171" fontId="34" fillId="9" borderId="15" xfId="1" applyNumberFormat="1" applyFont="1" applyFill="1" applyBorder="1"/>
    <xf numFmtId="0" fontId="34" fillId="23" borderId="24" xfId="3" applyFont="1" applyFill="1" applyBorder="1"/>
    <xf numFmtId="0" fontId="34" fillId="23" borderId="15" xfId="3" applyFont="1" applyFill="1" applyBorder="1"/>
    <xf numFmtId="171" fontId="34" fillId="23" borderId="15" xfId="3" applyNumberFormat="1" applyFont="1" applyFill="1" applyBorder="1"/>
    <xf numFmtId="171" fontId="97" fillId="23" borderId="15" xfId="3" applyNumberFormat="1" applyFont="1" applyFill="1" applyBorder="1"/>
    <xf numFmtId="169" fontId="140" fillId="23" borderId="15" xfId="13889" applyNumberFormat="1" applyFont="1" applyFill="1" applyBorder="1" applyAlignment="1">
      <alignment horizontal="left"/>
    </xf>
    <xf numFmtId="0" fontId="2" fillId="23" borderId="15" xfId="0" applyFont="1" applyFill="1" applyBorder="1"/>
    <xf numFmtId="0" fontId="25" fillId="23" borderId="0" xfId="3" applyFont="1" applyFill="1"/>
    <xf numFmtId="169" fontId="25" fillId="23" borderId="0" xfId="13889" applyNumberFormat="1" applyFont="1" applyFill="1"/>
    <xf numFmtId="169" fontId="25" fillId="23" borderId="0" xfId="13889" applyNumberFormat="1" applyFont="1" applyFill="1" applyBorder="1"/>
    <xf numFmtId="0" fontId="27" fillId="23" borderId="0" xfId="3" applyFont="1" applyFill="1"/>
    <xf numFmtId="171" fontId="27" fillId="23" borderId="0" xfId="3" applyNumberFormat="1" applyFont="1" applyFill="1"/>
    <xf numFmtId="169" fontId="27" fillId="23" borderId="0" xfId="13889" applyNumberFormat="1" applyFont="1" applyFill="1" applyBorder="1"/>
    <xf numFmtId="169" fontId="29" fillId="23" borderId="0" xfId="13889" applyNumberFormat="1" applyFont="1" applyFill="1" applyBorder="1"/>
    <xf numFmtId="0" fontId="34" fillId="23" borderId="0" xfId="3" applyFont="1" applyFill="1" applyAlignment="1">
      <alignment horizontal="right"/>
    </xf>
    <xf numFmtId="0" fontId="34" fillId="23" borderId="0" xfId="3" applyFont="1" applyFill="1"/>
    <xf numFmtId="171" fontId="34" fillId="23" borderId="0" xfId="3" applyNumberFormat="1" applyFont="1" applyFill="1"/>
    <xf numFmtId="0" fontId="329" fillId="0" borderId="66" xfId="13854" applyFont="1" applyBorder="1" applyAlignment="1">
      <alignment horizontal="left" vertical="center" indent="2"/>
    </xf>
    <xf numFmtId="178" fontId="36" fillId="2" borderId="0" xfId="1" applyNumberFormat="1" applyFont="1" applyFill="1" applyBorder="1"/>
    <xf numFmtId="178" fontId="37" fillId="2" borderId="0" xfId="1" applyNumberFormat="1" applyFont="1" applyFill="1" applyBorder="1"/>
    <xf numFmtId="171" fontId="34" fillId="2" borderId="0" xfId="1" applyNumberFormat="1" applyFont="1" applyFill="1" applyBorder="1" applyAlignment="1">
      <alignment horizontal="left"/>
    </xf>
    <xf numFmtId="0" fontId="98" fillId="2" borderId="0" xfId="3" applyFont="1" applyFill="1" applyAlignment="1">
      <alignment horizontal="left"/>
    </xf>
    <xf numFmtId="169" fontId="37" fillId="2" borderId="0" xfId="13889" applyNumberFormat="1" applyFont="1" applyFill="1" applyBorder="1" applyAlignment="1">
      <alignment horizontal="right"/>
    </xf>
    <xf numFmtId="0" fontId="330" fillId="2" borderId="0" xfId="3" applyFont="1" applyFill="1" applyAlignment="1">
      <alignment horizontal="right"/>
    </xf>
    <xf numFmtId="0" fontId="329" fillId="0" borderId="66" xfId="13854" applyFont="1" applyBorder="1" applyAlignment="1">
      <alignment horizontal="left" vertical="center" wrapText="1" indent="2"/>
    </xf>
    <xf numFmtId="178" fontId="25" fillId="2" borderId="0" xfId="1" applyNumberFormat="1" applyFont="1" applyFill="1" applyBorder="1"/>
    <xf numFmtId="178" fontId="88" fillId="2" borderId="0" xfId="1" applyNumberFormat="1" applyFont="1" applyFill="1" applyBorder="1"/>
    <xf numFmtId="178" fontId="88" fillId="0" borderId="0" xfId="1" applyNumberFormat="1" applyFont="1" applyFill="1" applyBorder="1"/>
    <xf numFmtId="171" fontId="87" fillId="2" borderId="13" xfId="1" applyNumberFormat="1" applyFont="1" applyFill="1" applyBorder="1"/>
    <xf numFmtId="169" fontId="140" fillId="9" borderId="13" xfId="13889" applyNumberFormat="1" applyFont="1" applyFill="1" applyBorder="1" applyAlignment="1">
      <alignment horizontal="left"/>
    </xf>
    <xf numFmtId="169" fontId="31" fillId="2" borderId="0" xfId="13889" applyNumberFormat="1" applyFont="1" applyFill="1" applyBorder="1" applyAlignment="1">
      <alignment horizontal="right"/>
    </xf>
    <xf numFmtId="169" fontId="31" fillId="9" borderId="0" xfId="13889" applyNumberFormat="1" applyFont="1" applyFill="1" applyBorder="1"/>
    <xf numFmtId="0" fontId="131" fillId="0" borderId="0" xfId="0" applyFont="1"/>
    <xf numFmtId="10" fontId="37" fillId="0" borderId="0" xfId="13889" applyFont="1" applyFill="1" applyBorder="1"/>
    <xf numFmtId="0" fontId="329" fillId="0" borderId="66" xfId="13854" applyFont="1" applyBorder="1" applyAlignment="1">
      <alignment horizontal="right" vertical="center" indent="2"/>
    </xf>
    <xf numFmtId="169" fontId="58" fillId="20" borderId="0" xfId="13889" applyNumberFormat="1" applyFont="1" applyFill="1" applyBorder="1"/>
    <xf numFmtId="177" fontId="58" fillId="20" borderId="0" xfId="1" applyNumberFormat="1" applyFont="1" applyFill="1" applyBorder="1"/>
    <xf numFmtId="0" fontId="34" fillId="100" borderId="0" xfId="3" applyFont="1" applyFill="1" applyAlignment="1">
      <alignment horizontal="left"/>
    </xf>
    <xf numFmtId="0" fontId="34" fillId="100" borderId="0" xfId="3" applyFont="1" applyFill="1"/>
    <xf numFmtId="171" fontId="34" fillId="100" borderId="0" xfId="3" applyNumberFormat="1" applyFont="1" applyFill="1"/>
    <xf numFmtId="171" fontId="34" fillId="100" borderId="0" xfId="1" applyNumberFormat="1" applyFont="1" applyFill="1" applyBorder="1"/>
    <xf numFmtId="169" fontId="34" fillId="100" borderId="0" xfId="13889" applyNumberFormat="1" applyFont="1" applyFill="1" applyBorder="1"/>
    <xf numFmtId="178" fontId="34" fillId="100" borderId="0" xfId="1" applyNumberFormat="1" applyFont="1" applyFill="1" applyBorder="1"/>
    <xf numFmtId="43" fontId="34" fillId="100" borderId="0" xfId="3" applyNumberFormat="1" applyFont="1" applyFill="1"/>
    <xf numFmtId="171" fontId="34" fillId="100" borderId="0" xfId="1" applyNumberFormat="1" applyFont="1" applyFill="1"/>
    <xf numFmtId="0" fontId="2" fillId="100" borderId="0" xfId="0" applyFont="1" applyFill="1"/>
    <xf numFmtId="171" fontId="87" fillId="2" borderId="15" xfId="1" applyNumberFormat="1" applyFont="1" applyFill="1" applyBorder="1"/>
    <xf numFmtId="171" fontId="34" fillId="20" borderId="15" xfId="1" applyNumberFormat="1" applyFont="1" applyFill="1" applyBorder="1"/>
    <xf numFmtId="0" fontId="27" fillId="0" borderId="0" xfId="3" applyFont="1" applyAlignment="1">
      <alignment horizontal="left"/>
    </xf>
    <xf numFmtId="0" fontId="25" fillId="9" borderId="0" xfId="3" applyFont="1" applyFill="1" applyAlignment="1">
      <alignment horizontal="right"/>
    </xf>
    <xf numFmtId="0" fontId="27" fillId="9" borderId="0" xfId="3" applyFont="1" applyFill="1" applyAlignment="1">
      <alignment horizontal="right"/>
    </xf>
    <xf numFmtId="9" fontId="25" fillId="9" borderId="0" xfId="13889" applyNumberFormat="1" applyFont="1" applyFill="1" applyBorder="1" applyAlignment="1">
      <alignment horizontal="right"/>
    </xf>
    <xf numFmtId="9" fontId="27" fillId="9" borderId="0" xfId="13889" applyNumberFormat="1" applyFont="1" applyFill="1" applyBorder="1" applyAlignment="1">
      <alignment horizontal="right"/>
    </xf>
    <xf numFmtId="169" fontId="27" fillId="9" borderId="0" xfId="13889" applyNumberFormat="1" applyFont="1" applyFill="1" applyBorder="1" applyAlignment="1">
      <alignment horizontal="right"/>
    </xf>
    <xf numFmtId="171" fontId="88" fillId="9" borderId="3" xfId="3" applyNumberFormat="1" applyFont="1" applyFill="1" applyBorder="1"/>
    <xf numFmtId="169" fontId="27" fillId="9" borderId="3" xfId="13889" applyNumberFormat="1" applyFont="1" applyFill="1" applyBorder="1"/>
    <xf numFmtId="171" fontId="87" fillId="9" borderId="0" xfId="1" applyNumberFormat="1" applyFont="1" applyFill="1" applyBorder="1"/>
    <xf numFmtId="169" fontId="34" fillId="9" borderId="0" xfId="13889" applyNumberFormat="1" applyFont="1" applyFill="1" applyBorder="1"/>
    <xf numFmtId="171" fontId="34" fillId="9" borderId="0" xfId="1" applyNumberFormat="1" applyFont="1" applyFill="1"/>
    <xf numFmtId="0" fontId="108" fillId="9" borderId="0" xfId="0" applyFont="1" applyFill="1"/>
    <xf numFmtId="178" fontId="25" fillId="0" borderId="0" xfId="1" applyNumberFormat="1" applyFont="1"/>
    <xf numFmtId="0" fontId="27" fillId="23" borderId="0" xfId="3" applyFont="1" applyFill="1" applyAlignment="1">
      <alignment horizontal="right"/>
    </xf>
    <xf numFmtId="169" fontId="34" fillId="23" borderId="0" xfId="13889" applyNumberFormat="1" applyFont="1" applyFill="1"/>
    <xf numFmtId="171" fontId="35" fillId="23" borderId="0" xfId="3" applyNumberFormat="1" applyFont="1" applyFill="1"/>
    <xf numFmtId="171" fontId="33" fillId="23" borderId="0" xfId="3" applyNumberFormat="1" applyFont="1" applyFill="1"/>
    <xf numFmtId="171" fontId="87" fillId="23" borderId="0" xfId="3" applyNumberFormat="1" applyFont="1" applyFill="1"/>
    <xf numFmtId="0" fontId="37" fillId="23" borderId="0" xfId="3" applyFont="1" applyFill="1" applyAlignment="1">
      <alignment horizontal="right"/>
    </xf>
    <xf numFmtId="0" fontId="37" fillId="23" borderId="0" xfId="3" applyFont="1" applyFill="1"/>
    <xf numFmtId="169" fontId="37" fillId="23" borderId="0" xfId="13889" applyNumberFormat="1" applyFont="1" applyFill="1"/>
    <xf numFmtId="171" fontId="37" fillId="23" borderId="0" xfId="3" applyNumberFormat="1" applyFont="1" applyFill="1"/>
    <xf numFmtId="171" fontId="103" fillId="23" borderId="0" xfId="3" applyNumberFormat="1" applyFont="1" applyFill="1"/>
    <xf numFmtId="0" fontId="93" fillId="23" borderId="0" xfId="0" applyFont="1" applyFill="1"/>
    <xf numFmtId="169" fontId="37" fillId="23" borderId="0" xfId="13889" applyNumberFormat="1" applyFont="1" applyFill="1" applyBorder="1"/>
    <xf numFmtId="169" fontId="38" fillId="23" borderId="0" xfId="13889" applyNumberFormat="1" applyFont="1" applyFill="1" applyBorder="1"/>
    <xf numFmtId="10" fontId="38" fillId="23" borderId="0" xfId="13889" applyFont="1" applyFill="1" applyBorder="1"/>
    <xf numFmtId="43" fontId="37" fillId="23" borderId="0" xfId="3" applyNumberFormat="1" applyFont="1" applyFill="1"/>
    <xf numFmtId="171" fontId="37" fillId="23" borderId="0" xfId="1" applyNumberFormat="1" applyFont="1" applyFill="1" applyBorder="1"/>
    <xf numFmtId="178" fontId="103" fillId="23" borderId="0" xfId="1" applyNumberFormat="1" applyFont="1" applyFill="1" applyBorder="1"/>
    <xf numFmtId="0" fontId="331" fillId="23" borderId="0" xfId="3" applyFont="1" applyFill="1" applyAlignment="1">
      <alignment horizontal="right"/>
    </xf>
    <xf numFmtId="0" fontId="331" fillId="23" borderId="0" xfId="3" applyFont="1" applyFill="1"/>
    <xf numFmtId="171" fontId="331" fillId="23" borderId="0" xfId="3" applyNumberFormat="1" applyFont="1" applyFill="1"/>
    <xf numFmtId="169" fontId="331" fillId="23" borderId="0" xfId="13889" applyNumberFormat="1" applyFont="1" applyFill="1" applyBorder="1"/>
    <xf numFmtId="43" fontId="331" fillId="23" borderId="0" xfId="3" applyNumberFormat="1" applyFont="1" applyFill="1"/>
    <xf numFmtId="171" fontId="331" fillId="23" borderId="0" xfId="1" applyNumberFormat="1" applyFont="1" applyFill="1" applyBorder="1"/>
    <xf numFmtId="0" fontId="331" fillId="23" borderId="0" xfId="0" applyFont="1" applyFill="1"/>
    <xf numFmtId="0" fontId="36" fillId="23" borderId="0" xfId="3" applyFont="1" applyFill="1" applyAlignment="1">
      <alignment horizontal="right"/>
    </xf>
    <xf numFmtId="0" fontId="36" fillId="23" borderId="0" xfId="3" applyFont="1" applyFill="1"/>
    <xf numFmtId="171" fontId="36" fillId="23" borderId="0" xfId="3" applyNumberFormat="1" applyFont="1" applyFill="1"/>
    <xf numFmtId="178" fontId="101" fillId="23" borderId="0" xfId="1" applyNumberFormat="1" applyFont="1" applyFill="1" applyBorder="1"/>
    <xf numFmtId="43" fontId="36" fillId="23" borderId="0" xfId="3" applyNumberFormat="1" applyFont="1" applyFill="1"/>
    <xf numFmtId="169" fontId="36" fillId="23" borderId="0" xfId="13889" applyNumberFormat="1" applyFont="1" applyFill="1" applyBorder="1"/>
    <xf numFmtId="171" fontId="36" fillId="23" borderId="0" xfId="1" applyNumberFormat="1" applyFont="1" applyFill="1" applyBorder="1"/>
    <xf numFmtId="0" fontId="332" fillId="23" borderId="0" xfId="0" applyFont="1" applyFill="1"/>
    <xf numFmtId="171" fontId="37" fillId="23" borderId="0" xfId="1" applyNumberFormat="1" applyFont="1" applyFill="1"/>
    <xf numFmtId="171" fontId="25" fillId="9" borderId="3" xfId="3" applyNumberFormat="1" applyFont="1" applyFill="1" applyBorder="1"/>
    <xf numFmtId="171" fontId="90" fillId="9" borderId="0" xfId="1" applyNumberFormat="1" applyFont="1" applyFill="1"/>
    <xf numFmtId="171" fontId="36" fillId="2" borderId="0" xfId="3" applyNumberFormat="1" applyFont="1" applyFill="1"/>
    <xf numFmtId="171" fontId="36" fillId="0" borderId="0" xfId="3" applyNumberFormat="1" applyFont="1"/>
    <xf numFmtId="171" fontId="101" fillId="20" borderId="0" xfId="3" applyNumberFormat="1" applyFont="1" applyFill="1"/>
    <xf numFmtId="0" fontId="332" fillId="0" borderId="0" xfId="0" applyFont="1"/>
    <xf numFmtId="0" fontId="51" fillId="2" borderId="0" xfId="3" applyFont="1" applyFill="1" applyAlignment="1">
      <alignment horizontal="right"/>
    </xf>
    <xf numFmtId="169" fontId="51" fillId="2" borderId="0" xfId="13889" applyNumberFormat="1" applyFont="1" applyFill="1" applyBorder="1" applyAlignment="1">
      <alignment horizontal="right"/>
    </xf>
    <xf numFmtId="169" fontId="51" fillId="0" borderId="0" xfId="13889" applyNumberFormat="1" applyFont="1" applyFill="1" applyBorder="1" applyAlignment="1">
      <alignment horizontal="right"/>
    </xf>
    <xf numFmtId="169" fontId="51" fillId="20" borderId="0" xfId="13889" applyNumberFormat="1" applyFont="1" applyFill="1" applyBorder="1" applyAlignment="1">
      <alignment horizontal="right"/>
    </xf>
    <xf numFmtId="0" fontId="51" fillId="9" borderId="0" xfId="3" applyFont="1" applyFill="1" applyAlignment="1">
      <alignment horizontal="right"/>
    </xf>
    <xf numFmtId="0" fontId="27" fillId="2" borderId="0" xfId="3" applyFont="1" applyFill="1" applyAlignment="1">
      <alignment horizontal="right"/>
    </xf>
    <xf numFmtId="178" fontId="27" fillId="0" borderId="0" xfId="1" applyNumberFormat="1" applyFont="1" applyFill="1" applyBorder="1" applyAlignment="1">
      <alignment horizontal="right"/>
    </xf>
    <xf numFmtId="0" fontId="52" fillId="2" borderId="0" xfId="3" applyFont="1" applyFill="1" applyAlignment="1">
      <alignment horizontal="left"/>
    </xf>
    <xf numFmtId="0" fontId="334" fillId="2" borderId="0" xfId="3" applyFont="1" applyFill="1" applyAlignment="1">
      <alignment horizontal="left"/>
    </xf>
    <xf numFmtId="0" fontId="334" fillId="2" borderId="0" xfId="3" applyFont="1" applyFill="1" applyAlignment="1">
      <alignment horizontal="center"/>
    </xf>
    <xf numFmtId="169" fontId="334" fillId="2" borderId="0" xfId="13889" applyNumberFormat="1" applyFont="1" applyFill="1" applyBorder="1"/>
    <xf numFmtId="169" fontId="334" fillId="0" borderId="0" xfId="13889" applyNumberFormat="1" applyFont="1" applyFill="1" applyBorder="1"/>
    <xf numFmtId="169" fontId="101" fillId="20" borderId="0" xfId="13889" applyNumberFormat="1" applyFont="1" applyFill="1" applyBorder="1"/>
    <xf numFmtId="37" fontId="2" fillId="3" borderId="0" xfId="1" applyNumberFormat="1" applyFont="1" applyFill="1" applyBorder="1" applyAlignment="1">
      <alignment vertical="center"/>
    </xf>
    <xf numFmtId="37" fontId="333" fillId="3" borderId="0" xfId="1" applyNumberFormat="1" applyFont="1" applyFill="1" applyAlignment="1">
      <alignment vertical="center"/>
    </xf>
    <xf numFmtId="37" fontId="335" fillId="3" borderId="4" xfId="3" applyNumberFormat="1" applyFont="1" applyFill="1" applyBorder="1" applyAlignment="1">
      <alignment vertical="center"/>
    </xf>
    <xf numFmtId="37" fontId="335" fillId="3" borderId="0" xfId="1" applyNumberFormat="1" applyFont="1" applyFill="1" applyAlignment="1">
      <alignment vertical="center"/>
    </xf>
    <xf numFmtId="37" fontId="335" fillId="3" borderId="0" xfId="1" applyNumberFormat="1" applyFont="1" applyFill="1" applyBorder="1" applyAlignment="1">
      <alignment vertical="center"/>
    </xf>
    <xf numFmtId="37" fontId="336" fillId="3" borderId="0" xfId="1" applyNumberFormat="1" applyFont="1" applyFill="1" applyAlignment="1">
      <alignment vertical="center"/>
    </xf>
    <xf numFmtId="37" fontId="337" fillId="3" borderId="0" xfId="1" applyNumberFormat="1" applyFont="1" applyFill="1" applyAlignment="1">
      <alignment vertical="center"/>
    </xf>
    <xf numFmtId="0" fontId="335" fillId="3" borderId="0" xfId="0" applyFont="1" applyFill="1"/>
    <xf numFmtId="37" fontId="91" fillId="3" borderId="0" xfId="1" applyNumberFormat="1" applyFont="1" applyFill="1" applyBorder="1" applyAlignment="1">
      <alignment vertical="center"/>
    </xf>
    <xf numFmtId="0" fontId="91" fillId="3" borderId="0" xfId="0" applyFont="1" applyFill="1"/>
    <xf numFmtId="166" fontId="32" fillId="3" borderId="0" xfId="1" applyFont="1" applyFill="1" applyAlignment="1">
      <alignment vertical="center"/>
    </xf>
    <xf numFmtId="166" fontId="32" fillId="3" borderId="4" xfId="1" applyFont="1" applyFill="1" applyBorder="1" applyAlignment="1">
      <alignment vertical="center"/>
    </xf>
    <xf numFmtId="166" fontId="32" fillId="3" borderId="0" xfId="1" applyFont="1" applyFill="1" applyBorder="1" applyAlignment="1">
      <alignment vertical="center"/>
    </xf>
    <xf numFmtId="166" fontId="32" fillId="3" borderId="0" xfId="1" applyFont="1" applyFill="1"/>
    <xf numFmtId="171" fontId="34" fillId="9" borderId="15" xfId="3" applyNumberFormat="1" applyFont="1" applyFill="1" applyBorder="1"/>
    <xf numFmtId="169" fontId="34" fillId="3" borderId="17" xfId="13889" applyNumberFormat="1" applyFont="1" applyFill="1" applyBorder="1" applyAlignment="1">
      <alignment horizontal="right"/>
    </xf>
    <xf numFmtId="178" fontId="37" fillId="20" borderId="0" xfId="1" applyNumberFormat="1" applyFont="1" applyFill="1" applyBorder="1" applyAlignment="1">
      <alignment horizontal="right"/>
    </xf>
    <xf numFmtId="170" fontId="329" fillId="0" borderId="66" xfId="13852" applyNumberFormat="1" applyFont="1" applyFill="1" applyBorder="1" applyAlignment="1">
      <alignment horizontal="right" vertical="center"/>
    </xf>
    <xf numFmtId="0" fontId="25" fillId="3" borderId="17" xfId="3" applyFont="1" applyFill="1" applyBorder="1" applyAlignment="1">
      <alignment horizontal="left"/>
    </xf>
    <xf numFmtId="0" fontId="113" fillId="3" borderId="17" xfId="3" applyFont="1" applyFill="1" applyBorder="1" applyAlignment="1">
      <alignment horizontal="left"/>
    </xf>
    <xf numFmtId="166" fontId="45" fillId="20" borderId="0" xfId="1" applyFont="1" applyFill="1" applyBorder="1"/>
    <xf numFmtId="37" fontId="91" fillId="3" borderId="4" xfId="1" applyNumberFormat="1" applyFont="1" applyFill="1" applyBorder="1" applyAlignment="1">
      <alignment vertical="center"/>
    </xf>
    <xf numFmtId="43" fontId="85" fillId="2" borderId="0" xfId="1" applyNumberFormat="1" applyFont="1" applyFill="1"/>
    <xf numFmtId="43" fontId="85" fillId="0" borderId="0" xfId="1" applyNumberFormat="1" applyFont="1" applyFill="1"/>
    <xf numFmtId="289" fontId="85" fillId="2" borderId="0" xfId="1" applyNumberFormat="1" applyFont="1" applyFill="1"/>
    <xf numFmtId="289" fontId="85" fillId="2" borderId="0" xfId="1" applyNumberFormat="1" applyFont="1" applyFill="1" applyBorder="1"/>
    <xf numFmtId="289" fontId="85" fillId="0" borderId="0" xfId="1" applyNumberFormat="1" applyFont="1" applyFill="1"/>
    <xf numFmtId="43" fontId="37" fillId="20" borderId="0" xfId="1" applyNumberFormat="1" applyFont="1" applyFill="1"/>
    <xf numFmtId="43" fontId="36" fillId="17" borderId="0" xfId="1" applyNumberFormat="1" applyFont="1" applyFill="1"/>
    <xf numFmtId="290" fontId="329" fillId="0" borderId="0" xfId="1" applyNumberFormat="1" applyFont="1" applyFill="1" applyBorder="1" applyAlignment="1">
      <alignment horizontal="right" vertical="center"/>
    </xf>
    <xf numFmtId="289" fontId="38" fillId="20" borderId="0" xfId="1" applyNumberFormat="1" applyFont="1" applyFill="1" applyBorder="1"/>
    <xf numFmtId="0" fontId="36" fillId="21" borderId="0" xfId="3" applyFont="1" applyFill="1"/>
    <xf numFmtId="166" fontId="62" fillId="21" borderId="0" xfId="1" applyFont="1" applyFill="1"/>
    <xf numFmtId="171" fontId="36" fillId="21" borderId="0" xfId="1" applyNumberFormat="1" applyFont="1" applyFill="1"/>
    <xf numFmtId="3" fontId="36" fillId="21" borderId="0" xfId="13889" applyNumberFormat="1" applyFont="1" applyFill="1"/>
    <xf numFmtId="3" fontId="36" fillId="21" borderId="0" xfId="13889" applyNumberFormat="1" applyFont="1" applyFill="1" applyBorder="1"/>
    <xf numFmtId="169" fontId="338" fillId="9" borderId="0" xfId="13889" applyNumberFormat="1" applyFont="1" applyFill="1" applyBorder="1" applyAlignment="1">
      <alignment horizontal="left"/>
    </xf>
    <xf numFmtId="43" fontId="36" fillId="21" borderId="0" xfId="3" applyNumberFormat="1" applyFont="1" applyFill="1"/>
    <xf numFmtId="171" fontId="36" fillId="21" borderId="0" xfId="3" applyNumberFormat="1" applyFont="1" applyFill="1"/>
    <xf numFmtId="0" fontId="37" fillId="21" borderId="0" xfId="3" applyFont="1" applyFill="1"/>
    <xf numFmtId="166" fontId="41" fillId="21" borderId="0" xfId="1" applyFont="1" applyFill="1"/>
    <xf numFmtId="171" fontId="37" fillId="21" borderId="0" xfId="1" applyNumberFormat="1" applyFont="1" applyFill="1"/>
    <xf numFmtId="3" fontId="37" fillId="21" borderId="0" xfId="1" applyNumberFormat="1" applyFont="1" applyFill="1"/>
    <xf numFmtId="3" fontId="85" fillId="21" borderId="0" xfId="1" applyNumberFormat="1" applyFont="1" applyFill="1"/>
    <xf numFmtId="3" fontId="85" fillId="21" borderId="0" xfId="13889" applyNumberFormat="1" applyFont="1" applyFill="1" applyBorder="1"/>
    <xf numFmtId="3" fontId="89" fillId="21" borderId="0" xfId="13889" applyNumberFormat="1" applyFont="1" applyFill="1"/>
    <xf numFmtId="3" fontId="53" fillId="21" borderId="0" xfId="13889" applyNumberFormat="1" applyFont="1" applyFill="1"/>
    <xf numFmtId="43" fontId="37" fillId="21" borderId="0" xfId="3" applyNumberFormat="1" applyFont="1" applyFill="1"/>
    <xf numFmtId="171" fontId="37" fillId="21" borderId="0" xfId="3" applyNumberFormat="1" applyFont="1" applyFill="1"/>
    <xf numFmtId="9" fontId="37" fillId="21" borderId="0" xfId="13889" applyNumberFormat="1" applyFont="1" applyFill="1"/>
    <xf numFmtId="169" fontId="37" fillId="21" borderId="0" xfId="13889" applyNumberFormat="1" applyFont="1" applyFill="1"/>
    <xf numFmtId="169" fontId="38" fillId="21" borderId="0" xfId="13889" applyNumberFormat="1" applyFont="1" applyFill="1"/>
    <xf numFmtId="169" fontId="37" fillId="21" borderId="0" xfId="3" applyNumberFormat="1" applyFont="1" applyFill="1"/>
    <xf numFmtId="37" fontId="37" fillId="21" borderId="0" xfId="3" applyNumberFormat="1" applyFont="1" applyFill="1"/>
    <xf numFmtId="37" fontId="41" fillId="21" borderId="0" xfId="1" applyNumberFormat="1" applyFont="1" applyFill="1"/>
    <xf numFmtId="37" fontId="37" fillId="21" borderId="0" xfId="1" applyNumberFormat="1" applyFont="1" applyFill="1"/>
    <xf numFmtId="37" fontId="37" fillId="21" borderId="0" xfId="13889" applyNumberFormat="1" applyFont="1" applyFill="1"/>
    <xf numFmtId="37" fontId="85" fillId="21" borderId="0" xfId="13889" applyNumberFormat="1" applyFont="1" applyFill="1"/>
    <xf numFmtId="37" fontId="85" fillId="21" borderId="0" xfId="13889" applyNumberFormat="1" applyFont="1" applyFill="1" applyBorder="1"/>
    <xf numFmtId="37" fontId="93" fillId="0" borderId="0" xfId="0" applyNumberFormat="1" applyFont="1"/>
    <xf numFmtId="3" fontId="89" fillId="8" borderId="0" xfId="13889" applyNumberFormat="1" applyFont="1" applyFill="1"/>
    <xf numFmtId="10" fontId="37" fillId="21" borderId="0" xfId="13889" applyFont="1" applyFill="1"/>
    <xf numFmtId="9" fontId="37" fillId="21" borderId="0" xfId="13889" applyNumberFormat="1" applyFont="1" applyFill="1" applyBorder="1"/>
    <xf numFmtId="166" fontId="37" fillId="21" borderId="0" xfId="1" applyFont="1" applyFill="1"/>
    <xf numFmtId="169" fontId="47" fillId="21" borderId="0" xfId="1" applyNumberFormat="1" applyFont="1" applyFill="1"/>
    <xf numFmtId="3" fontId="53" fillId="21" borderId="0" xfId="13889" applyNumberFormat="1" applyFont="1" applyFill="1" applyBorder="1"/>
    <xf numFmtId="169" fontId="47" fillId="21" borderId="0" xfId="3" applyNumberFormat="1" applyFont="1" applyFill="1"/>
    <xf numFmtId="169" fontId="38" fillId="21" borderId="0" xfId="13889" applyNumberFormat="1" applyFont="1" applyFill="1" applyBorder="1"/>
    <xf numFmtId="171" fontId="37" fillId="3" borderId="0" xfId="1" applyNumberFormat="1" applyFont="1" applyFill="1"/>
    <xf numFmtId="171" fontId="41" fillId="3" borderId="0" xfId="1" applyNumberFormat="1" applyFont="1" applyFill="1"/>
    <xf numFmtId="171" fontId="46" fillId="3" borderId="0" xfId="1" applyNumberFormat="1" applyFont="1" applyFill="1"/>
    <xf numFmtId="171" fontId="85" fillId="3" borderId="0" xfId="1" applyNumberFormat="1" applyFont="1" applyFill="1"/>
    <xf numFmtId="171" fontId="85" fillId="3" borderId="0" xfId="1" applyNumberFormat="1" applyFont="1" applyFill="1" applyBorder="1"/>
    <xf numFmtId="171" fontId="85" fillId="20" borderId="0" xfId="1" applyNumberFormat="1" applyFont="1" applyFill="1" applyBorder="1"/>
    <xf numFmtId="171" fontId="47" fillId="3" borderId="0" xfId="1" applyNumberFormat="1" applyFont="1" applyFill="1"/>
    <xf numFmtId="171" fontId="37" fillId="3" borderId="0" xfId="1" applyNumberFormat="1" applyFont="1" applyFill="1" applyBorder="1"/>
    <xf numFmtId="171" fontId="46" fillId="3" borderId="0" xfId="1" applyNumberFormat="1" applyFont="1" applyFill="1" applyBorder="1"/>
    <xf numFmtId="171" fontId="85" fillId="20" borderId="0" xfId="1" applyNumberFormat="1" applyFont="1" applyFill="1"/>
    <xf numFmtId="171" fontId="46" fillId="20" borderId="0" xfId="1" applyNumberFormat="1" applyFont="1" applyFill="1"/>
    <xf numFmtId="169" fontId="37" fillId="3" borderId="0" xfId="13889" applyNumberFormat="1" applyFont="1" applyFill="1"/>
    <xf numFmtId="169" fontId="38" fillId="20" borderId="0" xfId="13889" applyNumberFormat="1" applyFont="1" applyFill="1"/>
    <xf numFmtId="178" fontId="37" fillId="3" borderId="0" xfId="1" applyNumberFormat="1" applyFont="1" applyFill="1"/>
    <xf numFmtId="178" fontId="41" fillId="3" borderId="0" xfId="1" applyNumberFormat="1" applyFont="1" applyFill="1"/>
    <xf numFmtId="178" fontId="46" fillId="3" borderId="0" xfId="1" applyNumberFormat="1" applyFont="1" applyFill="1"/>
    <xf numFmtId="178" fontId="85" fillId="3" borderId="0" xfId="1" applyNumberFormat="1" applyFont="1" applyFill="1"/>
    <xf numFmtId="178" fontId="103" fillId="3" borderId="0" xfId="1" applyNumberFormat="1" applyFont="1" applyFill="1"/>
    <xf numFmtId="178" fontId="38" fillId="20" borderId="0" xfId="1" applyNumberFormat="1" applyFont="1" applyFill="1"/>
    <xf numFmtId="178" fontId="140" fillId="9" borderId="0" xfId="1" applyNumberFormat="1" applyFont="1" applyFill="1" applyBorder="1" applyAlignment="1">
      <alignment horizontal="left"/>
    </xf>
    <xf numFmtId="178" fontId="47" fillId="3" borderId="0" xfId="1" applyNumberFormat="1" applyFont="1" applyFill="1"/>
    <xf numFmtId="178" fontId="93" fillId="3" borderId="0" xfId="1" applyNumberFormat="1" applyFont="1" applyFill="1"/>
    <xf numFmtId="169" fontId="38" fillId="3" borderId="0" xfId="13889" applyNumberFormat="1" applyFont="1" applyFill="1"/>
    <xf numFmtId="0" fontId="37" fillId="3" borderId="0" xfId="0" applyFont="1" applyFill="1"/>
    <xf numFmtId="0" fontId="36" fillId="10" borderId="0" xfId="3" applyFont="1" applyFill="1"/>
    <xf numFmtId="166" fontId="36" fillId="10" borderId="0" xfId="1" applyFont="1" applyFill="1"/>
    <xf numFmtId="169" fontId="36" fillId="10" borderId="0" xfId="13889" applyNumberFormat="1" applyFont="1" applyFill="1"/>
    <xf numFmtId="169" fontId="339" fillId="10" borderId="0" xfId="1" applyNumberFormat="1" applyFont="1" applyFill="1"/>
    <xf numFmtId="171" fontId="89" fillId="10" borderId="0" xfId="1" applyNumberFormat="1" applyFont="1" applyFill="1"/>
    <xf numFmtId="171" fontId="36" fillId="10" borderId="0" xfId="1" applyNumberFormat="1" applyFont="1" applyFill="1" applyBorder="1"/>
    <xf numFmtId="171" fontId="36" fillId="10" borderId="0" xfId="1" applyNumberFormat="1" applyFont="1" applyFill="1"/>
    <xf numFmtId="169" fontId="339" fillId="10" borderId="0" xfId="3" applyNumberFormat="1" applyFont="1" applyFill="1"/>
    <xf numFmtId="0" fontId="37" fillId="10" borderId="0" xfId="3" applyFont="1" applyFill="1"/>
    <xf numFmtId="166" fontId="37" fillId="10" borderId="0" xfId="1" applyFont="1" applyFill="1"/>
    <xf numFmtId="169" fontId="37" fillId="10" borderId="0" xfId="13889" applyNumberFormat="1" applyFont="1" applyFill="1"/>
    <xf numFmtId="169" fontId="47" fillId="10" borderId="0" xfId="1" applyNumberFormat="1" applyFont="1" applyFill="1"/>
    <xf numFmtId="171" fontId="85" fillId="10" borderId="0" xfId="1" applyNumberFormat="1" applyFont="1" applyFill="1"/>
    <xf numFmtId="171" fontId="85" fillId="10" borderId="0" xfId="1" applyNumberFormat="1" applyFont="1" applyFill="1" applyBorder="1"/>
    <xf numFmtId="171" fontId="46" fillId="10" borderId="0" xfId="1" applyNumberFormat="1" applyFont="1" applyFill="1" applyBorder="1"/>
    <xf numFmtId="169" fontId="47" fillId="10" borderId="0" xfId="3" applyNumberFormat="1" applyFont="1" applyFill="1"/>
    <xf numFmtId="169" fontId="37" fillId="10" borderId="0" xfId="3" applyNumberFormat="1" applyFont="1" applyFill="1"/>
    <xf numFmtId="171" fontId="37" fillId="10" borderId="0" xfId="1" applyNumberFormat="1" applyFont="1" applyFill="1" applyBorder="1"/>
    <xf numFmtId="169" fontId="37" fillId="10" borderId="0" xfId="13889" applyNumberFormat="1" applyFont="1" applyFill="1" applyBorder="1"/>
    <xf numFmtId="169" fontId="38" fillId="10" borderId="0" xfId="13889" applyNumberFormat="1" applyFont="1" applyFill="1" applyBorder="1"/>
    <xf numFmtId="171" fontId="46" fillId="10" borderId="0" xfId="1" applyNumberFormat="1" applyFont="1" applyFill="1"/>
    <xf numFmtId="3" fontId="36" fillId="10" borderId="0" xfId="13889" applyNumberFormat="1" applyFont="1" applyFill="1"/>
    <xf numFmtId="171" fontId="53" fillId="10" borderId="0" xfId="1" applyNumberFormat="1" applyFont="1" applyFill="1" applyBorder="1"/>
    <xf numFmtId="171" fontId="37" fillId="10" borderId="0" xfId="1" applyNumberFormat="1" applyFont="1" applyFill="1"/>
    <xf numFmtId="169" fontId="38" fillId="10" borderId="0" xfId="13889" applyNumberFormat="1" applyFont="1" applyFill="1"/>
    <xf numFmtId="0" fontId="93" fillId="10" borderId="0" xfId="0" applyFont="1" applyFill="1"/>
    <xf numFmtId="170" fontId="37" fillId="2" borderId="0" xfId="1" applyNumberFormat="1" applyFont="1" applyFill="1"/>
    <xf numFmtId="170" fontId="37" fillId="0" borderId="0" xfId="1" applyNumberFormat="1" applyFont="1" applyFill="1"/>
    <xf numFmtId="10" fontId="97" fillId="20" borderId="0" xfId="3" applyNumberFormat="1" applyFont="1" applyFill="1"/>
    <xf numFmtId="171" fontId="90" fillId="14" borderId="0" xfId="1" applyNumberFormat="1" applyFont="1" applyFill="1" applyBorder="1"/>
    <xf numFmtId="171" fontId="107" fillId="20" borderId="0" xfId="1" applyNumberFormat="1" applyFont="1" applyFill="1"/>
    <xf numFmtId="166" fontId="90" fillId="2" borderId="0" xfId="3" applyNumberFormat="1" applyFont="1" applyFill="1"/>
    <xf numFmtId="171" fontId="103" fillId="2" borderId="0" xfId="1" applyNumberFormat="1" applyFont="1" applyFill="1"/>
    <xf numFmtId="169" fontId="107" fillId="2" borderId="0" xfId="13889" applyNumberFormat="1" applyFont="1" applyFill="1"/>
    <xf numFmtId="0" fontId="90" fillId="20" borderId="0" xfId="3" applyFont="1" applyFill="1"/>
    <xf numFmtId="171" fontId="97" fillId="20" borderId="0" xfId="1" applyNumberFormat="1" applyFont="1" applyFill="1" applyBorder="1"/>
    <xf numFmtId="171" fontId="101" fillId="2" borderId="15" xfId="1" applyNumberFormat="1" applyFont="1" applyFill="1" applyBorder="1"/>
    <xf numFmtId="169" fontId="103" fillId="20" borderId="0" xfId="13889" applyNumberFormat="1" applyFont="1" applyFill="1" applyBorder="1"/>
    <xf numFmtId="171" fontId="103" fillId="2" borderId="15" xfId="1" applyNumberFormat="1" applyFont="1" applyFill="1" applyBorder="1"/>
    <xf numFmtId="169" fontId="103" fillId="20" borderId="0" xfId="3" applyNumberFormat="1" applyFont="1" applyFill="1"/>
    <xf numFmtId="169" fontId="107" fillId="3" borderId="0" xfId="13889" applyNumberFormat="1" applyFont="1" applyFill="1" applyBorder="1"/>
    <xf numFmtId="169" fontId="107" fillId="2" borderId="0" xfId="13889" applyNumberFormat="1" applyFont="1" applyFill="1" applyBorder="1"/>
    <xf numFmtId="0" fontId="25" fillId="0" borderId="0" xfId="3" applyFont="1" applyAlignment="1">
      <alignment horizontal="left"/>
    </xf>
    <xf numFmtId="10" fontId="27" fillId="0" borderId="0" xfId="13889" applyFont="1" applyFill="1"/>
    <xf numFmtId="169" fontId="25" fillId="0" borderId="0" xfId="13889" applyNumberFormat="1" applyFont="1"/>
    <xf numFmtId="3" fontId="85" fillId="8" borderId="0" xfId="1" applyNumberFormat="1" applyFont="1" applyFill="1"/>
    <xf numFmtId="37" fontId="85" fillId="8" borderId="0" xfId="13889" applyNumberFormat="1" applyFont="1" applyFill="1"/>
    <xf numFmtId="177" fontId="27" fillId="2" borderId="0" xfId="1" applyNumberFormat="1" applyFont="1" applyFill="1" applyAlignment="1">
      <alignment horizontal="right"/>
    </xf>
    <xf numFmtId="0" fontId="3" fillId="0" borderId="0" xfId="0" applyFont="1" applyAlignment="1">
      <alignment horizontal="right"/>
    </xf>
    <xf numFmtId="17" fontId="2" fillId="0" borderId="0" xfId="0" applyNumberFormat="1" applyFont="1"/>
    <xf numFmtId="177" fontId="3" fillId="99" borderId="0" xfId="1" applyNumberFormat="1" applyFont="1" applyFill="1" applyAlignment="1">
      <alignment horizontal="right"/>
    </xf>
    <xf numFmtId="169" fontId="334" fillId="9" borderId="0" xfId="3" applyNumberFormat="1" applyFont="1" applyFill="1"/>
    <xf numFmtId="166" fontId="37" fillId="3" borderId="0" xfId="1" applyFont="1" applyFill="1"/>
    <xf numFmtId="169" fontId="3" fillId="3" borderId="0" xfId="13889" applyNumberFormat="1" applyFill="1" applyAlignment="1">
      <alignment vertical="center"/>
    </xf>
    <xf numFmtId="37" fontId="139" fillId="3" borderId="0" xfId="1" applyNumberFormat="1" applyFont="1" applyFill="1" applyAlignment="1">
      <alignment vertical="center"/>
    </xf>
    <xf numFmtId="0" fontId="149" fillId="0" borderId="0" xfId="0" applyFont="1" applyAlignment="1">
      <alignment horizontal="right"/>
    </xf>
    <xf numFmtId="37" fontId="149" fillId="3" borderId="0" xfId="1" applyNumberFormat="1" applyFont="1" applyFill="1" applyAlignment="1">
      <alignment vertical="center"/>
    </xf>
    <xf numFmtId="37" fontId="342" fillId="3" borderId="0" xfId="1" applyNumberFormat="1" applyFont="1" applyFill="1" applyAlignment="1">
      <alignment vertical="center"/>
    </xf>
    <xf numFmtId="171" fontId="149" fillId="3" borderId="0" xfId="1" applyNumberFormat="1" applyFont="1" applyFill="1" applyAlignment="1">
      <alignment vertical="center"/>
    </xf>
    <xf numFmtId="171" fontId="139" fillId="3" borderId="0" xfId="1" applyNumberFormat="1" applyFont="1" applyFill="1" applyAlignment="1">
      <alignment vertical="center"/>
    </xf>
    <xf numFmtId="0" fontId="149" fillId="3" borderId="0" xfId="0" applyFont="1" applyFill="1"/>
    <xf numFmtId="10" fontId="341" fillId="3" borderId="0" xfId="13889" applyFont="1" applyFill="1" applyAlignment="1">
      <alignment vertical="center"/>
    </xf>
    <xf numFmtId="10" fontId="22" fillId="3" borderId="0" xfId="13889" applyFont="1" applyFill="1" applyAlignment="1">
      <alignment vertical="center"/>
    </xf>
    <xf numFmtId="10" fontId="2" fillId="3" borderId="0" xfId="13889" applyFont="1" applyFill="1" applyAlignment="1">
      <alignment vertical="center"/>
    </xf>
    <xf numFmtId="10" fontId="2" fillId="3" borderId="0" xfId="13889" applyFont="1" applyFill="1" applyBorder="1" applyAlignment="1">
      <alignment vertical="center"/>
    </xf>
    <xf numFmtId="178" fontId="2" fillId="3" borderId="0" xfId="1" applyNumberFormat="1" applyFont="1" applyFill="1" applyAlignment="1">
      <alignment vertical="center"/>
    </xf>
    <xf numFmtId="178" fontId="332" fillId="0" borderId="0" xfId="1" applyNumberFormat="1" applyFont="1"/>
    <xf numFmtId="0" fontId="93" fillId="0" borderId="0" xfId="0" applyFont="1" applyAlignment="1">
      <alignment horizontal="center"/>
    </xf>
    <xf numFmtId="0" fontId="58" fillId="0" borderId="0" xfId="0" applyFont="1"/>
    <xf numFmtId="178" fontId="37" fillId="10" borderId="0" xfId="1" applyNumberFormat="1" applyFont="1" applyFill="1"/>
    <xf numFmtId="171" fontId="87" fillId="0" borderId="15" xfId="1" applyNumberFormat="1" applyFont="1" applyFill="1" applyBorder="1"/>
    <xf numFmtId="177" fontId="27" fillId="20" borderId="0" xfId="1" applyNumberFormat="1" applyFont="1" applyFill="1"/>
    <xf numFmtId="169" fontId="52" fillId="8" borderId="0" xfId="13889" applyNumberFormat="1" applyFont="1" applyFill="1" applyBorder="1"/>
    <xf numFmtId="178" fontId="38" fillId="10" borderId="0" xfId="1" applyNumberFormat="1" applyFont="1" applyFill="1" applyBorder="1"/>
    <xf numFmtId="171" fontId="34" fillId="27" borderId="13" xfId="1" applyNumberFormat="1" applyFont="1" applyFill="1" applyBorder="1"/>
    <xf numFmtId="2" fontId="37" fillId="20" borderId="0" xfId="1" applyNumberFormat="1" applyFont="1" applyFill="1" applyBorder="1" applyAlignment="1">
      <alignment horizontal="right"/>
    </xf>
    <xf numFmtId="171" fontId="36" fillId="20" borderId="0" xfId="1" applyNumberFormat="1" applyFont="1" applyFill="1" applyBorder="1" applyAlignment="1">
      <alignment horizontal="right"/>
    </xf>
    <xf numFmtId="2" fontId="27" fillId="0" borderId="0" xfId="13889" applyNumberFormat="1" applyFont="1" applyFill="1" applyBorder="1"/>
    <xf numFmtId="10" fontId="3" fillId="3" borderId="0" xfId="13889" applyFill="1"/>
    <xf numFmtId="10" fontId="3" fillId="20" borderId="0" xfId="13889" applyFill="1" applyBorder="1" applyAlignment="1">
      <alignment horizontal="right"/>
    </xf>
    <xf numFmtId="169" fontId="131" fillId="3" borderId="0" xfId="13889" applyNumberFormat="1" applyFont="1" applyFill="1" applyAlignment="1">
      <alignment vertical="center"/>
    </xf>
    <xf numFmtId="171" fontId="131" fillId="3" borderId="0" xfId="1" applyNumberFormat="1" applyFont="1" applyFill="1" applyAlignment="1">
      <alignment vertical="center"/>
    </xf>
    <xf numFmtId="169" fontId="69" fillId="3" borderId="0" xfId="13889" applyNumberFormat="1" applyFont="1" applyFill="1" applyAlignment="1">
      <alignment vertical="center"/>
    </xf>
    <xf numFmtId="10" fontId="69" fillId="3" borderId="0" xfId="13889" applyFont="1" applyFill="1" applyAlignment="1">
      <alignment vertical="center"/>
    </xf>
    <xf numFmtId="0" fontId="131" fillId="3" borderId="0" xfId="0" applyFont="1" applyFill="1"/>
    <xf numFmtId="0" fontId="3" fillId="0" borderId="0" xfId="147"/>
    <xf numFmtId="0" fontId="9" fillId="0" borderId="0" xfId="147" applyFont="1" applyAlignment="1">
      <alignment horizontal="center"/>
    </xf>
    <xf numFmtId="170" fontId="0" fillId="0" borderId="0" xfId="13859" applyNumberFormat="1" applyFont="1"/>
    <xf numFmtId="43" fontId="3" fillId="0" borderId="0" xfId="147" applyNumberFormat="1"/>
    <xf numFmtId="169" fontId="0" fillId="0" borderId="0" xfId="13853" applyNumberFormat="1" applyFont="1"/>
    <xf numFmtId="9" fontId="0" fillId="0" borderId="0" xfId="13853" applyFont="1"/>
    <xf numFmtId="169" fontId="0" fillId="8" borderId="0" xfId="13853" applyNumberFormat="1" applyFont="1" applyFill="1"/>
    <xf numFmtId="9" fontId="3" fillId="0" borderId="0" xfId="147" applyNumberFormat="1"/>
    <xf numFmtId="0" fontId="2" fillId="3" borderId="0" xfId="147" applyFont="1" applyFill="1"/>
    <xf numFmtId="169" fontId="0" fillId="3" borderId="0" xfId="13853" applyNumberFormat="1" applyFont="1" applyFill="1"/>
    <xf numFmtId="169" fontId="22" fillId="3" borderId="0" xfId="13853" applyNumberFormat="1" applyFont="1" applyFill="1"/>
    <xf numFmtId="169" fontId="80" fillId="0" borderId="0" xfId="13853" applyNumberFormat="1" applyFont="1"/>
    <xf numFmtId="43" fontId="22" fillId="3" borderId="0" xfId="13859" applyFont="1" applyFill="1"/>
    <xf numFmtId="10" fontId="80" fillId="0" borderId="0" xfId="13853" applyNumberFormat="1" applyFont="1"/>
    <xf numFmtId="10" fontId="80" fillId="8" borderId="0" xfId="13853" applyNumberFormat="1" applyFont="1" applyFill="1"/>
    <xf numFmtId="10" fontId="81" fillId="0" borderId="0" xfId="13853" applyNumberFormat="1" applyFont="1"/>
    <xf numFmtId="43" fontId="80" fillId="8" borderId="0" xfId="13859" applyFont="1" applyFill="1"/>
    <xf numFmtId="0" fontId="150" fillId="0" borderId="0" xfId="147" applyFont="1"/>
    <xf numFmtId="43" fontId="150" fillId="2" borderId="0" xfId="13859" applyFont="1" applyFill="1"/>
    <xf numFmtId="0" fontId="150" fillId="2" borderId="0" xfId="147" applyFont="1" applyFill="1"/>
    <xf numFmtId="166" fontId="0" fillId="0" borderId="0" xfId="1" applyFont="1"/>
    <xf numFmtId="169" fontId="84" fillId="0" borderId="0" xfId="13853" applyNumberFormat="1" applyFont="1"/>
    <xf numFmtId="171" fontId="80" fillId="0" borderId="0" xfId="13859" applyNumberFormat="1" applyFont="1"/>
    <xf numFmtId="169" fontId="150" fillId="0" borderId="0" xfId="13889" applyNumberFormat="1" applyFont="1"/>
    <xf numFmtId="169" fontId="0" fillId="0" borderId="0" xfId="13853" applyNumberFormat="1" applyFont="1" applyFill="1"/>
    <xf numFmtId="10" fontId="131" fillId="9" borderId="0" xfId="13853" applyNumberFormat="1" applyFont="1" applyFill="1"/>
    <xf numFmtId="169" fontId="150" fillId="9" borderId="0" xfId="13889" applyNumberFormat="1" applyFont="1" applyFill="1"/>
    <xf numFmtId="0" fontId="9" fillId="0" borderId="68" xfId="147" applyFont="1" applyBorder="1"/>
    <xf numFmtId="172" fontId="9" fillId="0" borderId="69" xfId="147" applyNumberFormat="1" applyFont="1" applyBorder="1"/>
    <xf numFmtId="0" fontId="9" fillId="9" borderId="0" xfId="147" applyFont="1" applyFill="1"/>
    <xf numFmtId="0" fontId="9" fillId="0" borderId="0" xfId="147" applyFont="1" applyAlignment="1">
      <alignment horizontal="right"/>
    </xf>
    <xf numFmtId="169" fontId="80" fillId="3" borderId="0" xfId="13853" applyNumberFormat="1" applyFont="1" applyFill="1"/>
    <xf numFmtId="43" fontId="71" fillId="3" borderId="23" xfId="1" applyNumberFormat="1" applyFont="1" applyFill="1" applyBorder="1"/>
    <xf numFmtId="0" fontId="3" fillId="3" borderId="0" xfId="7" applyFill="1"/>
    <xf numFmtId="0" fontId="12" fillId="3" borderId="0" xfId="3" applyFont="1" applyFill="1"/>
    <xf numFmtId="169" fontId="3" fillId="3" borderId="0" xfId="13889" applyNumberFormat="1" applyFill="1"/>
    <xf numFmtId="0" fontId="81" fillId="3" borderId="0" xfId="0" applyFont="1" applyFill="1"/>
    <xf numFmtId="0" fontId="112" fillId="5" borderId="0" xfId="1" applyNumberFormat="1" applyFont="1" applyFill="1" applyAlignment="1">
      <alignment horizontal="center" vertical="center"/>
    </xf>
    <xf numFmtId="169" fontId="343" fillId="101" borderId="10" xfId="13889" applyNumberFormat="1" applyFont="1" applyFill="1" applyBorder="1"/>
    <xf numFmtId="17" fontId="343" fillId="101" borderId="10" xfId="3" applyNumberFormat="1" applyFont="1" applyFill="1" applyBorder="1"/>
    <xf numFmtId="17" fontId="343" fillId="101" borderId="0" xfId="3" applyNumberFormat="1" applyFont="1" applyFill="1"/>
    <xf numFmtId="0" fontId="344" fillId="101" borderId="0" xfId="3" applyFont="1" applyFill="1"/>
    <xf numFmtId="0" fontId="343" fillId="101" borderId="0" xfId="3" applyFont="1" applyFill="1"/>
    <xf numFmtId="0" fontId="166" fillId="101" borderId="0" xfId="0" applyFont="1" applyFill="1"/>
    <xf numFmtId="2" fontId="25" fillId="9" borderId="0" xfId="13889" applyNumberFormat="1" applyFont="1" applyFill="1" applyBorder="1"/>
    <xf numFmtId="10" fontId="3" fillId="20" borderId="0" xfId="13889" applyFill="1" applyAlignment="1">
      <alignment horizontal="right"/>
    </xf>
    <xf numFmtId="169" fontId="26" fillId="0" borderId="0" xfId="13889" applyNumberFormat="1" applyFont="1" applyFill="1" applyBorder="1" applyAlignment="1">
      <alignment horizontal="right"/>
    </xf>
    <xf numFmtId="0" fontId="0" fillId="0" borderId="0" xfId="0" applyAlignment="1">
      <alignment wrapText="1"/>
    </xf>
    <xf numFmtId="0" fontId="48" fillId="9" borderId="0" xfId="3" applyFont="1" applyFill="1" applyAlignment="1">
      <alignment horizontal="right"/>
    </xf>
    <xf numFmtId="169" fontId="36" fillId="2" borderId="0" xfId="13889" applyNumberFormat="1" applyFont="1" applyFill="1" applyAlignment="1">
      <alignment horizontal="right"/>
    </xf>
    <xf numFmtId="171" fontId="36" fillId="2" borderId="0" xfId="1" applyNumberFormat="1" applyFont="1" applyFill="1" applyAlignment="1">
      <alignment horizontal="right"/>
    </xf>
    <xf numFmtId="169" fontId="345" fillId="0" borderId="0" xfId="13853" applyNumberFormat="1" applyFont="1" applyFill="1" applyBorder="1" applyAlignment="1">
      <alignment horizontal="right" vertical="center"/>
    </xf>
    <xf numFmtId="171" fontId="48" fillId="20" borderId="0" xfId="1" applyNumberFormat="1" applyFont="1" applyFill="1" applyBorder="1" applyAlignment="1">
      <alignment horizontal="right"/>
    </xf>
    <xf numFmtId="43" fontId="36" fillId="2" borderId="0" xfId="1" applyNumberFormat="1" applyFont="1" applyFill="1" applyAlignment="1">
      <alignment horizontal="right"/>
    </xf>
    <xf numFmtId="43" fontId="36" fillId="0" borderId="0" xfId="1" applyNumberFormat="1" applyFont="1" applyFill="1" applyAlignment="1">
      <alignment horizontal="right"/>
    </xf>
    <xf numFmtId="43" fontId="48" fillId="2" borderId="0" xfId="1" applyNumberFormat="1" applyFont="1" applyFill="1" applyAlignment="1">
      <alignment horizontal="right"/>
    </xf>
    <xf numFmtId="0" fontId="332" fillId="0" borderId="0" xfId="0" applyFont="1" applyAlignment="1">
      <alignment horizontal="right"/>
    </xf>
    <xf numFmtId="178" fontId="346" fillId="2" borderId="0" xfId="1" applyNumberFormat="1" applyFont="1" applyFill="1" applyAlignment="1">
      <alignment horizontal="left"/>
    </xf>
    <xf numFmtId="178" fontId="43" fillId="2" borderId="0" xfId="1" applyNumberFormat="1" applyFont="1" applyFill="1" applyBorder="1"/>
    <xf numFmtId="178" fontId="346" fillId="20" borderId="0" xfId="1" applyNumberFormat="1" applyFont="1" applyFill="1" applyBorder="1"/>
    <xf numFmtId="178" fontId="346" fillId="9" borderId="0" xfId="1" applyNumberFormat="1" applyFont="1" applyFill="1" applyBorder="1"/>
    <xf numFmtId="178" fontId="346" fillId="2" borderId="0" xfId="1" applyNumberFormat="1" applyFont="1" applyFill="1"/>
    <xf numFmtId="178" fontId="108" fillId="0" borderId="0" xfId="1" applyNumberFormat="1" applyFont="1"/>
    <xf numFmtId="178" fontId="34" fillId="0" borderId="0" xfId="1" applyNumberFormat="1" applyFont="1" applyFill="1" applyBorder="1"/>
    <xf numFmtId="171" fontId="49" fillId="8" borderId="0" xfId="3" applyNumberFormat="1" applyFont="1" applyFill="1"/>
    <xf numFmtId="169" fontId="29" fillId="8" borderId="0" xfId="13889" applyNumberFormat="1" applyFont="1" applyFill="1" applyBorder="1"/>
    <xf numFmtId="0" fontId="29" fillId="0" borderId="0" xfId="0" applyFont="1"/>
    <xf numFmtId="0" fontId="80" fillId="2" borderId="0" xfId="2" applyFont="1" applyFill="1" applyAlignment="1">
      <alignment horizontal="right"/>
    </xf>
    <xf numFmtId="0" fontId="80" fillId="2" borderId="0" xfId="2" applyFont="1" applyFill="1"/>
    <xf numFmtId="0" fontId="29" fillId="3" borderId="0" xfId="0" applyFont="1" applyFill="1"/>
    <xf numFmtId="0" fontId="27" fillId="2" borderId="0" xfId="2" applyFont="1" applyFill="1"/>
    <xf numFmtId="43" fontId="347" fillId="2" borderId="0" xfId="2" applyNumberFormat="1" applyFont="1" applyFill="1"/>
    <xf numFmtId="37" fontId="348" fillId="2" borderId="0" xfId="1" applyNumberFormat="1" applyFont="1" applyFill="1" applyBorder="1" applyAlignment="1">
      <alignment vertical="center"/>
    </xf>
    <xf numFmtId="0" fontId="26" fillId="2" borderId="0" xfId="2" applyFont="1" applyFill="1"/>
    <xf numFmtId="37" fontId="26" fillId="2" borderId="4" xfId="2" applyNumberFormat="1" applyFont="1" applyFill="1" applyBorder="1"/>
    <xf numFmtId="37" fontId="27" fillId="2" borderId="4" xfId="2" applyNumberFormat="1" applyFont="1" applyFill="1" applyBorder="1"/>
    <xf numFmtId="0" fontId="52" fillId="2" borderId="0" xfId="2" applyFont="1" applyFill="1"/>
    <xf numFmtId="169" fontId="347" fillId="2" borderId="0" xfId="13889" applyNumberFormat="1" applyFont="1" applyFill="1" applyBorder="1"/>
    <xf numFmtId="169" fontId="347" fillId="8" borderId="0" xfId="13889" applyNumberFormat="1" applyFont="1" applyFill="1" applyBorder="1"/>
    <xf numFmtId="0" fontId="348" fillId="2" borderId="0" xfId="1" applyNumberFormat="1" applyFont="1" applyFill="1" applyBorder="1" applyAlignment="1">
      <alignment vertical="center"/>
    </xf>
    <xf numFmtId="0" fontId="349" fillId="7" borderId="4" xfId="1" applyNumberFormat="1" applyFont="1" applyFill="1" applyBorder="1" applyAlignment="1">
      <alignment vertical="center"/>
    </xf>
    <xf numFmtId="37" fontId="26" fillId="3" borderId="4" xfId="2" applyNumberFormat="1" applyFont="1" applyFill="1" applyBorder="1"/>
    <xf numFmtId="37" fontId="27" fillId="3" borderId="4" xfId="2" applyNumberFormat="1" applyFont="1" applyFill="1" applyBorder="1"/>
    <xf numFmtId="181" fontId="27" fillId="2" borderId="0" xfId="10" applyFont="1" applyFill="1"/>
    <xf numFmtId="169" fontId="347" fillId="3" borderId="4" xfId="13889" applyNumberFormat="1" applyFont="1" applyFill="1" applyBorder="1"/>
    <xf numFmtId="37" fontId="27" fillId="0" borderId="0" xfId="1" applyNumberFormat="1" applyFont="1" applyFill="1" applyBorder="1" applyAlignment="1">
      <alignment vertical="center"/>
    </xf>
    <xf numFmtId="0" fontId="26" fillId="3" borderId="4" xfId="2" applyFont="1" applyFill="1" applyBorder="1"/>
    <xf numFmtId="0" fontId="34" fillId="2" borderId="0" xfId="2" applyFont="1" applyFill="1"/>
    <xf numFmtId="0" fontId="25" fillId="2" borderId="0" xfId="2" applyFont="1" applyFill="1"/>
    <xf numFmtId="0" fontId="36" fillId="2" borderId="0" xfId="2" applyFont="1" applyFill="1" applyAlignment="1">
      <alignment horizontal="center" wrapText="1"/>
    </xf>
    <xf numFmtId="9" fontId="36" fillId="2" borderId="0" xfId="2" applyNumberFormat="1" applyFont="1" applyFill="1" applyAlignment="1">
      <alignment horizontal="center" wrapText="1"/>
    </xf>
    <xf numFmtId="169" fontId="34" fillId="8" borderId="0" xfId="3992" applyNumberFormat="1" applyFont="1" applyFill="1"/>
    <xf numFmtId="171" fontId="25" fillId="2" borderId="0" xfId="2" applyNumberFormat="1" applyFont="1" applyFill="1"/>
    <xf numFmtId="169" fontId="25" fillId="2" borderId="0" xfId="2" applyNumberFormat="1" applyFont="1" applyFill="1"/>
    <xf numFmtId="170" fontId="25" fillId="2" borderId="0" xfId="2" applyNumberFormat="1" applyFont="1" applyFill="1"/>
    <xf numFmtId="178" fontId="25" fillId="2" borderId="6" xfId="1" applyNumberFormat="1" applyFont="1" applyFill="1" applyBorder="1"/>
    <xf numFmtId="169" fontId="25" fillId="2" borderId="11" xfId="3992" applyNumberFormat="1" applyFont="1" applyFill="1" applyBorder="1"/>
    <xf numFmtId="178" fontId="25" fillId="2" borderId="11" xfId="1" applyNumberFormat="1" applyFont="1" applyFill="1" applyBorder="1"/>
    <xf numFmtId="177" fontId="25" fillId="30" borderId="5" xfId="1" applyNumberFormat="1" applyFont="1" applyFill="1" applyBorder="1"/>
    <xf numFmtId="177" fontId="25" fillId="30" borderId="0" xfId="1" applyNumberFormat="1" applyFont="1" applyFill="1" applyBorder="1"/>
    <xf numFmtId="178" fontId="25" fillId="2" borderId="4" xfId="1" applyNumberFormat="1" applyFont="1" applyFill="1" applyBorder="1"/>
    <xf numFmtId="169" fontId="25" fillId="2" borderId="0" xfId="3992" applyNumberFormat="1" applyFont="1" applyFill="1" applyBorder="1"/>
    <xf numFmtId="177" fontId="25" fillId="30" borderId="3" xfId="1" applyNumberFormat="1" applyFont="1" applyFill="1" applyBorder="1"/>
    <xf numFmtId="177" fontId="58" fillId="30" borderId="3" xfId="1" applyNumberFormat="1" applyFont="1" applyFill="1" applyBorder="1"/>
    <xf numFmtId="177" fontId="58" fillId="30" borderId="0" xfId="1" applyNumberFormat="1" applyFont="1" applyFill="1" applyBorder="1"/>
    <xf numFmtId="0" fontId="347" fillId="3" borderId="4" xfId="2" applyFont="1" applyFill="1" applyBorder="1"/>
    <xf numFmtId="178" fontId="25" fillId="2" borderId="2" xfId="1" applyNumberFormat="1" applyFont="1" applyFill="1" applyBorder="1"/>
    <xf numFmtId="169" fontId="25" fillId="2" borderId="10" xfId="3992" applyNumberFormat="1" applyFont="1" applyFill="1" applyBorder="1"/>
    <xf numFmtId="178" fontId="25" fillId="2" borderId="10" xfId="1" applyNumberFormat="1" applyFont="1" applyFill="1" applyBorder="1"/>
    <xf numFmtId="177" fontId="25" fillId="30" borderId="1" xfId="1" applyNumberFormat="1" applyFont="1" applyFill="1" applyBorder="1"/>
    <xf numFmtId="177" fontId="58" fillId="30" borderId="1" xfId="1" applyNumberFormat="1" applyFont="1" applyFill="1" applyBorder="1"/>
    <xf numFmtId="0" fontId="34" fillId="2" borderId="0" xfId="2" applyFont="1" applyFill="1" applyAlignment="1">
      <alignment horizontal="right"/>
    </xf>
    <xf numFmtId="37" fontId="34" fillId="2" borderId="4" xfId="2" applyNumberFormat="1" applyFont="1" applyFill="1" applyBorder="1"/>
    <xf numFmtId="37" fontId="34" fillId="2" borderId="4" xfId="2" applyNumberFormat="1" applyFont="1" applyFill="1" applyBorder="1" applyAlignment="1">
      <alignment horizontal="right"/>
    </xf>
    <xf numFmtId="37" fontId="25" fillId="2" borderId="4" xfId="2" applyNumberFormat="1" applyFont="1" applyFill="1" applyBorder="1"/>
    <xf numFmtId="37" fontId="351" fillId="2" borderId="4" xfId="2" applyNumberFormat="1" applyFont="1" applyFill="1" applyBorder="1"/>
    <xf numFmtId="10" fontId="98" fillId="0" borderId="0" xfId="13889" applyFont="1" applyBorder="1"/>
    <xf numFmtId="171" fontId="43" fillId="0" borderId="0" xfId="0" applyNumberFormat="1" applyFont="1"/>
    <xf numFmtId="9" fontId="25" fillId="2" borderId="4" xfId="2" applyNumberFormat="1" applyFont="1" applyFill="1" applyBorder="1"/>
    <xf numFmtId="37" fontId="58" fillId="2" borderId="4" xfId="2" applyNumberFormat="1" applyFont="1" applyFill="1" applyBorder="1" applyAlignment="1">
      <alignment horizontal="right"/>
    </xf>
    <xf numFmtId="10" fontId="58" fillId="0" borderId="0" xfId="13889" applyFont="1"/>
    <xf numFmtId="37" fontId="25" fillId="2" borderId="4" xfId="2" applyNumberFormat="1" applyFont="1" applyFill="1" applyBorder="1" applyAlignment="1">
      <alignment horizontal="right"/>
    </xf>
    <xf numFmtId="169" fontId="34" fillId="0" borderId="0" xfId="13889" applyNumberFormat="1" applyFont="1"/>
    <xf numFmtId="171" fontId="108" fillId="0" borderId="0" xfId="0" applyNumberFormat="1" applyFont="1"/>
    <xf numFmtId="171" fontId="97" fillId="0" borderId="0" xfId="0" applyNumberFormat="1" applyFont="1"/>
    <xf numFmtId="171" fontId="34" fillId="0" borderId="0" xfId="0" applyNumberFormat="1" applyFont="1"/>
    <xf numFmtId="171" fontId="34" fillId="2" borderId="0" xfId="2" applyNumberFormat="1" applyFont="1" applyFill="1"/>
    <xf numFmtId="0" fontId="34" fillId="8" borderId="6" xfId="2" applyFont="1" applyFill="1" applyBorder="1"/>
    <xf numFmtId="0" fontId="25" fillId="2" borderId="11" xfId="2" applyFont="1" applyFill="1" applyBorder="1"/>
    <xf numFmtId="14" fontId="25" fillId="2" borderId="11" xfId="2" applyNumberFormat="1" applyFont="1" applyFill="1" applyBorder="1"/>
    <xf numFmtId="0" fontId="96" fillId="0" borderId="11" xfId="0" applyFont="1" applyBorder="1"/>
    <xf numFmtId="0" fontId="351" fillId="2" borderId="11" xfId="2" applyFont="1" applyFill="1" applyBorder="1"/>
    <xf numFmtId="43" fontId="351" fillId="2" borderId="11" xfId="2" applyNumberFormat="1" applyFont="1" applyFill="1" applyBorder="1"/>
    <xf numFmtId="43" fontId="351" fillId="2" borderId="0" xfId="2" applyNumberFormat="1" applyFont="1" applyFill="1"/>
    <xf numFmtId="37" fontId="111" fillId="7" borderId="4" xfId="1" applyNumberFormat="1" applyFont="1" applyFill="1" applyBorder="1" applyAlignment="1">
      <alignment vertical="center"/>
    </xf>
    <xf numFmtId="17" fontId="111" fillId="7" borderId="0" xfId="1" applyNumberFormat="1" applyFont="1" applyFill="1" applyBorder="1" applyAlignment="1">
      <alignment horizontal="center" vertical="center"/>
    </xf>
    <xf numFmtId="0" fontId="111" fillId="7" borderId="0" xfId="1" applyNumberFormat="1" applyFont="1" applyFill="1" applyBorder="1" applyAlignment="1">
      <alignment horizontal="center" vertical="center"/>
    </xf>
    <xf numFmtId="37" fontId="352" fillId="2" borderId="4" xfId="2" applyNumberFormat="1" applyFont="1" applyFill="1" applyBorder="1" applyAlignment="1">
      <alignment horizontal="left"/>
    </xf>
    <xf numFmtId="169" fontId="352" fillId="2" borderId="0" xfId="13889" applyNumberFormat="1" applyFont="1" applyFill="1" applyBorder="1"/>
    <xf numFmtId="171" fontId="96" fillId="2" borderId="0" xfId="1" applyNumberFormat="1" applyFont="1" applyFill="1" applyBorder="1"/>
    <xf numFmtId="169" fontId="351" fillId="2" borderId="0" xfId="13889" applyNumberFormat="1" applyFont="1" applyFill="1" applyBorder="1"/>
    <xf numFmtId="10" fontId="25" fillId="2" borderId="0" xfId="13889" applyFont="1" applyFill="1" applyBorder="1"/>
    <xf numFmtId="37" fontId="139" fillId="2" borderId="4" xfId="2" applyNumberFormat="1" applyFont="1" applyFill="1" applyBorder="1" applyAlignment="1">
      <alignment horizontal="right"/>
    </xf>
    <xf numFmtId="169" fontId="96" fillId="2" borderId="0" xfId="13889" applyNumberFormat="1" applyFont="1" applyFill="1" applyBorder="1"/>
    <xf numFmtId="0" fontId="111" fillId="7" borderId="4" xfId="1" applyNumberFormat="1" applyFont="1" applyFill="1" applyBorder="1" applyAlignment="1">
      <alignment vertical="center"/>
    </xf>
    <xf numFmtId="37" fontId="34" fillId="3" borderId="4" xfId="2" applyNumberFormat="1" applyFont="1" applyFill="1" applyBorder="1"/>
    <xf numFmtId="37" fontId="25" fillId="3" borderId="4" xfId="2" applyNumberFormat="1" applyFont="1" applyFill="1" applyBorder="1"/>
    <xf numFmtId="169" fontId="351" fillId="3" borderId="4" xfId="13889" applyNumberFormat="1" applyFont="1" applyFill="1" applyBorder="1"/>
    <xf numFmtId="169" fontId="351" fillId="3" borderId="0" xfId="13889" applyNumberFormat="1" applyFont="1" applyFill="1" applyBorder="1"/>
    <xf numFmtId="10" fontId="25" fillId="3" borderId="0" xfId="13889" applyFont="1" applyFill="1" applyBorder="1"/>
    <xf numFmtId="0" fontId="34" fillId="27" borderId="4" xfId="2" applyFont="1" applyFill="1" applyBorder="1"/>
    <xf numFmtId="171" fontId="34" fillId="27" borderId="0" xfId="1" applyNumberFormat="1" applyFont="1" applyFill="1" applyBorder="1"/>
    <xf numFmtId="169" fontId="351" fillId="27" borderId="4" xfId="13889" applyNumberFormat="1" applyFont="1" applyFill="1" applyBorder="1"/>
    <xf numFmtId="169" fontId="351" fillId="27" borderId="0" xfId="13889" applyNumberFormat="1" applyFont="1" applyFill="1" applyBorder="1"/>
    <xf numFmtId="169" fontId="353" fillId="27" borderId="4" xfId="13889" applyNumberFormat="1" applyFont="1" applyFill="1" applyBorder="1" applyAlignment="1">
      <alignment horizontal="right"/>
    </xf>
    <xf numFmtId="10" fontId="25" fillId="27" borderId="0" xfId="13889" applyFont="1" applyFill="1" applyBorder="1"/>
    <xf numFmtId="0" fontId="34" fillId="27" borderId="4" xfId="2" applyFont="1" applyFill="1" applyBorder="1" applyAlignment="1">
      <alignment horizontal="right"/>
    </xf>
    <xf numFmtId="169" fontId="351" fillId="27" borderId="4" xfId="13889" applyNumberFormat="1" applyFont="1" applyFill="1" applyBorder="1" applyAlignment="1">
      <alignment horizontal="right"/>
    </xf>
    <xf numFmtId="169" fontId="351" fillId="30" borderId="0" xfId="13889" applyNumberFormat="1" applyFont="1" applyFill="1" applyBorder="1"/>
    <xf numFmtId="0" fontId="34" fillId="30" borderId="4" xfId="2" applyFont="1" applyFill="1" applyBorder="1"/>
    <xf numFmtId="171" fontId="34" fillId="30" borderId="0" xfId="1" applyNumberFormat="1" applyFont="1" applyFill="1" applyBorder="1"/>
    <xf numFmtId="169" fontId="351" fillId="30" borderId="4" xfId="13889" applyNumberFormat="1" applyFont="1" applyFill="1" applyBorder="1"/>
    <xf numFmtId="0" fontId="34" fillId="30" borderId="4" xfId="2" applyFont="1" applyFill="1" applyBorder="1" applyAlignment="1">
      <alignment horizontal="right"/>
    </xf>
    <xf numFmtId="169" fontId="351" fillId="30" borderId="4" xfId="13889" applyNumberFormat="1" applyFont="1" applyFill="1" applyBorder="1" applyAlignment="1">
      <alignment horizontal="right"/>
    </xf>
    <xf numFmtId="37" fontId="34" fillId="3" borderId="4" xfId="1" applyNumberFormat="1" applyFont="1" applyFill="1" applyBorder="1" applyAlignment="1">
      <alignment vertical="center"/>
    </xf>
    <xf numFmtId="171" fontId="34" fillId="3" borderId="0" xfId="1" applyNumberFormat="1" applyFont="1" applyFill="1" applyBorder="1" applyAlignment="1">
      <alignment horizontal="center" vertical="center"/>
    </xf>
    <xf numFmtId="37" fontId="25" fillId="3" borderId="4" xfId="1" applyNumberFormat="1" applyFont="1" applyFill="1" applyBorder="1" applyAlignment="1">
      <alignment vertical="center"/>
    </xf>
    <xf numFmtId="171" fontId="25" fillId="3" borderId="0" xfId="1" applyNumberFormat="1" applyFont="1" applyFill="1" applyBorder="1" applyAlignment="1">
      <alignment horizontal="center" vertical="center"/>
    </xf>
    <xf numFmtId="17" fontId="34" fillId="3" borderId="0" xfId="1" applyNumberFormat="1" applyFont="1" applyFill="1" applyBorder="1" applyAlignment="1">
      <alignment horizontal="center" vertical="center"/>
    </xf>
    <xf numFmtId="169" fontId="34" fillId="3" borderId="0" xfId="13889" applyNumberFormat="1" applyFont="1" applyFill="1" applyBorder="1" applyAlignment="1">
      <alignment horizontal="center" vertical="center"/>
    </xf>
    <xf numFmtId="43" fontId="96" fillId="3" borderId="0" xfId="1" applyNumberFormat="1" applyFont="1" applyFill="1" applyBorder="1"/>
    <xf numFmtId="43" fontId="108" fillId="3" borderId="0" xfId="1" applyNumberFormat="1" applyFont="1" applyFill="1" applyBorder="1"/>
    <xf numFmtId="0" fontId="25" fillId="3" borderId="4" xfId="2" applyFont="1" applyFill="1" applyBorder="1"/>
    <xf numFmtId="170" fontId="96" fillId="3" borderId="0" xfId="1" applyNumberFormat="1" applyFont="1" applyFill="1" applyBorder="1"/>
    <xf numFmtId="0" fontId="34" fillId="3" borderId="4" xfId="2" applyFont="1" applyFill="1" applyBorder="1"/>
    <xf numFmtId="170" fontId="34" fillId="3" borderId="0" xfId="1" applyNumberFormat="1" applyFont="1" applyFill="1" applyBorder="1"/>
    <xf numFmtId="170" fontId="34" fillId="8" borderId="0" xfId="1" applyNumberFormat="1" applyFont="1" applyFill="1" applyBorder="1"/>
    <xf numFmtId="169" fontId="25" fillId="3" borderId="0" xfId="2" applyNumberFormat="1" applyFont="1" applyFill="1"/>
    <xf numFmtId="0" fontId="25" fillId="3" borderId="4" xfId="5" applyFont="1" applyFill="1" applyBorder="1"/>
    <xf numFmtId="0" fontId="25" fillId="3" borderId="2" xfId="5" applyFont="1" applyFill="1" applyBorder="1"/>
    <xf numFmtId="170" fontId="96" fillId="3" borderId="10" xfId="1" applyNumberFormat="1" applyFont="1" applyFill="1" applyBorder="1"/>
    <xf numFmtId="171" fontId="108" fillId="2" borderId="0" xfId="1" applyNumberFormat="1" applyFont="1" applyFill="1" applyBorder="1"/>
    <xf numFmtId="171" fontId="25" fillId="0" borderId="0" xfId="0" applyNumberFormat="1" applyFont="1"/>
    <xf numFmtId="10" fontId="25" fillId="0" borderId="0" xfId="13889" applyFont="1"/>
    <xf numFmtId="166" fontId="81" fillId="0" borderId="0" xfId="1" applyFont="1" applyFill="1" applyBorder="1"/>
    <xf numFmtId="10" fontId="43" fillId="0" borderId="0" xfId="13889" applyFont="1"/>
    <xf numFmtId="0" fontId="354" fillId="0" borderId="0" xfId="0" applyFont="1" applyAlignment="1">
      <alignment horizontal="right"/>
    </xf>
    <xf numFmtId="37" fontId="350" fillId="2" borderId="4" xfId="2" applyNumberFormat="1" applyFont="1" applyFill="1" applyBorder="1" applyAlignment="1">
      <alignment horizontal="right"/>
    </xf>
    <xf numFmtId="171" fontId="354" fillId="0" borderId="0" xfId="0" applyNumberFormat="1" applyFont="1" applyAlignment="1">
      <alignment horizontal="right"/>
    </xf>
    <xf numFmtId="0" fontId="99" fillId="2" borderId="0" xfId="2" applyFont="1" applyFill="1" applyAlignment="1">
      <alignment horizontal="right"/>
    </xf>
    <xf numFmtId="0" fontId="354" fillId="3" borderId="0" xfId="0" applyFont="1" applyFill="1" applyAlignment="1">
      <alignment horizontal="right"/>
    </xf>
    <xf numFmtId="43" fontId="108" fillId="0" borderId="0" xfId="0" applyNumberFormat="1" applyFont="1"/>
    <xf numFmtId="37" fontId="140" fillId="2" borderId="4" xfId="2" applyNumberFormat="1" applyFont="1" applyFill="1" applyBorder="1" applyAlignment="1">
      <alignment horizontal="right"/>
    </xf>
    <xf numFmtId="0" fontId="149" fillId="0" borderId="0" xfId="0" applyFont="1"/>
    <xf numFmtId="0" fontId="147" fillId="0" borderId="0" xfId="0" applyFont="1"/>
    <xf numFmtId="10" fontId="139" fillId="0" borderId="0" xfId="13889" applyFont="1"/>
    <xf numFmtId="10" fontId="147" fillId="0" borderId="0" xfId="13889" applyFont="1"/>
    <xf numFmtId="9" fontId="147" fillId="0" borderId="0" xfId="0" applyNumberFormat="1" applyFont="1"/>
    <xf numFmtId="172" fontId="25" fillId="0" borderId="0" xfId="3992" applyNumberFormat="1" applyFont="1" applyFill="1" applyBorder="1"/>
    <xf numFmtId="172" fontId="25" fillId="0" borderId="0" xfId="1" applyNumberFormat="1" applyFont="1" applyFill="1" applyBorder="1"/>
    <xf numFmtId="172" fontId="25" fillId="0" borderId="0" xfId="0" applyNumberFormat="1" applyFont="1"/>
    <xf numFmtId="172" fontId="25" fillId="0" borderId="11" xfId="3992" applyNumberFormat="1" applyFont="1" applyFill="1" applyBorder="1"/>
    <xf numFmtId="172" fontId="25" fillId="0" borderId="11" xfId="1" applyNumberFormat="1" applyFont="1" applyFill="1" applyBorder="1"/>
    <xf numFmtId="172" fontId="25" fillId="0" borderId="11" xfId="0" applyNumberFormat="1" applyFont="1" applyBorder="1"/>
    <xf numFmtId="172" fontId="25" fillId="2" borderId="6" xfId="2" applyNumberFormat="1" applyFont="1" applyFill="1" applyBorder="1"/>
    <xf numFmtId="172" fontId="25" fillId="0" borderId="4" xfId="1" applyNumberFormat="1" applyFont="1" applyFill="1" applyBorder="1"/>
    <xf numFmtId="0" fontId="65" fillId="0" borderId="0" xfId="0" applyFont="1" applyAlignment="1">
      <alignment horizontal="left"/>
    </xf>
    <xf numFmtId="169" fontId="43" fillId="0" borderId="0" xfId="2" applyNumberFormat="1" applyFont="1"/>
    <xf numFmtId="172" fontId="34" fillId="0" borderId="11" xfId="1" applyNumberFormat="1" applyFont="1" applyFill="1" applyBorder="1"/>
    <xf numFmtId="176" fontId="3" fillId="2" borderId="11" xfId="13889" applyNumberFormat="1" applyFill="1" applyBorder="1"/>
    <xf numFmtId="0" fontId="34" fillId="2" borderId="4" xfId="2" applyFont="1" applyFill="1" applyBorder="1"/>
    <xf numFmtId="0" fontId="96" fillId="0" borderId="4" xfId="0" applyFont="1" applyBorder="1" applyAlignment="1">
      <alignment horizontal="right"/>
    </xf>
    <xf numFmtId="0" fontId="64" fillId="0" borderId="4" xfId="0" applyFont="1" applyBorder="1"/>
    <xf numFmtId="0" fontId="27" fillId="2" borderId="4" xfId="2" applyFont="1" applyFill="1" applyBorder="1"/>
    <xf numFmtId="178" fontId="355" fillId="2" borderId="0" xfId="1" applyNumberFormat="1" applyFont="1" applyFill="1" applyBorder="1"/>
    <xf numFmtId="178" fontId="355" fillId="30" borderId="4" xfId="1" applyNumberFormat="1" applyFont="1" applyFill="1" applyBorder="1" applyAlignment="1">
      <alignment horizontal="right"/>
    </xf>
    <xf numFmtId="178" fontId="355" fillId="30" borderId="0" xfId="1" applyNumberFormat="1" applyFont="1" applyFill="1" applyBorder="1"/>
    <xf numFmtId="178" fontId="331" fillId="29" borderId="0" xfId="1" applyNumberFormat="1" applyFont="1" applyFill="1" applyAlignment="1">
      <alignment horizontal="right" vertical="center" wrapText="1"/>
    </xf>
    <xf numFmtId="178" fontId="331" fillId="2" borderId="0" xfId="1" applyNumberFormat="1" applyFont="1" applyFill="1"/>
    <xf numFmtId="178" fontId="331" fillId="3" borderId="0" xfId="1" applyNumberFormat="1" applyFont="1" applyFill="1" applyBorder="1"/>
    <xf numFmtId="178" fontId="331" fillId="0" borderId="0" xfId="1" applyNumberFormat="1" applyFont="1" applyBorder="1"/>
    <xf numFmtId="10" fontId="45" fillId="2" borderId="0" xfId="13889" applyFont="1" applyFill="1" applyBorder="1"/>
    <xf numFmtId="10" fontId="351" fillId="27" borderId="4" xfId="13889" applyFont="1" applyFill="1" applyBorder="1" applyAlignment="1">
      <alignment horizontal="right"/>
    </xf>
    <xf numFmtId="10" fontId="351" fillId="27" borderId="0" xfId="13889" applyFont="1" applyFill="1" applyBorder="1"/>
    <xf numFmtId="10" fontId="347" fillId="2" borderId="0" xfId="13889" applyFont="1" applyFill="1" applyBorder="1"/>
    <xf numFmtId="10" fontId="136" fillId="29" borderId="0" xfId="13889" applyFont="1" applyFill="1" applyAlignment="1">
      <alignment horizontal="right" vertical="center" wrapText="1"/>
    </xf>
    <xf numFmtId="10" fontId="64" fillId="3" borderId="0" xfId="13889" applyFont="1" applyFill="1" applyBorder="1"/>
    <xf numFmtId="10" fontId="64" fillId="0" borderId="0" xfId="13889" applyFont="1" applyBorder="1"/>
    <xf numFmtId="177" fontId="27" fillId="9" borderId="0" xfId="1" applyNumberFormat="1" applyFont="1" applyFill="1"/>
    <xf numFmtId="169" fontId="122" fillId="3" borderId="0" xfId="1" applyNumberFormat="1" applyFont="1" applyFill="1" applyAlignment="1">
      <alignment vertical="center"/>
    </xf>
    <xf numFmtId="177" fontId="81" fillId="0" borderId="6" xfId="1" applyNumberFormat="1" applyFont="1" applyBorder="1"/>
    <xf numFmtId="177" fontId="81" fillId="0" borderId="11" xfId="1" applyNumberFormat="1" applyFont="1" applyFill="1" applyBorder="1"/>
    <xf numFmtId="177" fontId="113" fillId="0" borderId="11" xfId="1" applyNumberFormat="1" applyFont="1" applyFill="1" applyBorder="1"/>
    <xf numFmtId="177" fontId="81" fillId="0" borderId="4" xfId="1" applyNumberFormat="1" applyFont="1" applyBorder="1"/>
    <xf numFmtId="177" fontId="81" fillId="0" borderId="0" xfId="1" applyNumberFormat="1" applyFont="1" applyFill="1" applyBorder="1"/>
    <xf numFmtId="0" fontId="116" fillId="2" borderId="0" xfId="2" applyFont="1" applyFill="1" applyAlignment="1">
      <alignment vertical="center" textRotation="90"/>
    </xf>
    <xf numFmtId="178" fontId="96" fillId="0" borderId="0" xfId="1" applyNumberFormat="1" applyFont="1"/>
    <xf numFmtId="169" fontId="25" fillId="2" borderId="10" xfId="2" applyNumberFormat="1" applyFont="1" applyFill="1" applyBorder="1"/>
    <xf numFmtId="169" fontId="43" fillId="0" borderId="10" xfId="2" applyNumberFormat="1" applyFont="1" applyBorder="1"/>
    <xf numFmtId="178" fontId="96" fillId="0" borderId="6" xfId="1" applyNumberFormat="1" applyFont="1" applyBorder="1"/>
    <xf numFmtId="178" fontId="96" fillId="0" borderId="4" xfId="1" applyNumberFormat="1" applyFont="1" applyBorder="1"/>
    <xf numFmtId="41" fontId="356" fillId="0" borderId="66" xfId="744" applyNumberFormat="1" applyFont="1" applyFill="1" applyBorder="1" applyAlignment="1">
      <alignment vertical="center"/>
    </xf>
    <xf numFmtId="294" fontId="27" fillId="20" borderId="0" xfId="3" applyNumberFormat="1" applyFont="1" applyFill="1" applyAlignment="1">
      <alignment horizontal="right"/>
    </xf>
    <xf numFmtId="172" fontId="34" fillId="8" borderId="0" xfId="3992" applyNumberFormat="1" applyFont="1" applyFill="1" applyAlignment="1">
      <alignment horizontal="right"/>
    </xf>
    <xf numFmtId="169" fontId="43" fillId="0" borderId="0" xfId="2" applyNumberFormat="1" applyFont="1" applyAlignment="1">
      <alignment horizontal="right"/>
    </xf>
    <xf numFmtId="10" fontId="25" fillId="2" borderId="0" xfId="2" applyNumberFormat="1" applyFont="1" applyFill="1" applyAlignment="1">
      <alignment horizontal="right"/>
    </xf>
    <xf numFmtId="166" fontId="81" fillId="0" borderId="0" xfId="1" applyFont="1" applyFill="1" applyBorder="1" applyAlignment="1">
      <alignment horizontal="right"/>
    </xf>
    <xf numFmtId="178" fontId="34" fillId="8" borderId="0" xfId="1" applyNumberFormat="1" applyFont="1" applyFill="1" applyAlignment="1">
      <alignment horizontal="right"/>
    </xf>
    <xf numFmtId="169" fontId="25" fillId="2" borderId="0" xfId="2" applyNumberFormat="1" applyFont="1" applyFill="1" applyAlignment="1">
      <alignment horizontal="right"/>
    </xf>
    <xf numFmtId="172" fontId="25" fillId="0" borderId="0" xfId="1" applyNumberFormat="1" applyFont="1" applyFill="1" applyBorder="1" applyAlignment="1">
      <alignment horizontal="right"/>
    </xf>
    <xf numFmtId="170" fontId="34" fillId="0" borderId="0" xfId="1" applyNumberFormat="1" applyFont="1" applyFill="1" applyBorder="1"/>
    <xf numFmtId="0" fontId="113" fillId="8" borderId="0" xfId="2" applyFont="1" applyFill="1"/>
    <xf numFmtId="9" fontId="81" fillId="2" borderId="0" xfId="2" applyNumberFormat="1" applyFont="1" applyFill="1"/>
    <xf numFmtId="178" fontId="81" fillId="2" borderId="0" xfId="2" applyNumberFormat="1" applyFont="1" applyFill="1"/>
    <xf numFmtId="169" fontId="81" fillId="2" borderId="0" xfId="2" applyNumberFormat="1" applyFont="1" applyFill="1"/>
    <xf numFmtId="178" fontId="135" fillId="29" borderId="0" xfId="0" applyNumberFormat="1" applyFont="1" applyFill="1" applyAlignment="1">
      <alignment horizontal="center" vertical="center" wrapText="1"/>
    </xf>
    <xf numFmtId="0" fontId="81" fillId="0" borderId="0" xfId="2" applyFont="1"/>
    <xf numFmtId="0" fontId="113" fillId="0" borderId="0" xfId="2" applyFont="1" applyAlignment="1">
      <alignment horizontal="center"/>
    </xf>
    <xf numFmtId="0" fontId="112" fillId="0" borderId="0" xfId="1" applyNumberFormat="1" applyFont="1" applyFill="1" applyBorder="1" applyAlignment="1">
      <alignment horizontal="center" vertical="center"/>
    </xf>
    <xf numFmtId="178" fontId="81" fillId="0" borderId="0" xfId="1" applyNumberFormat="1" applyFont="1" applyFill="1"/>
    <xf numFmtId="169" fontId="43" fillId="0" borderId="0" xfId="13889" applyNumberFormat="1" applyFont="1" applyFill="1"/>
    <xf numFmtId="3" fontId="136" fillId="0" borderId="0" xfId="0" applyNumberFormat="1" applyFont="1" applyAlignment="1">
      <alignment horizontal="center" vertical="center" wrapText="1"/>
    </xf>
    <xf numFmtId="0" fontId="113" fillId="0" borderId="0" xfId="2" applyFont="1"/>
    <xf numFmtId="178" fontId="136" fillId="0" borderId="0" xfId="1" applyNumberFormat="1" applyFont="1" applyFill="1" applyAlignment="1">
      <alignment horizontal="center" vertical="center" wrapText="1"/>
    </xf>
    <xf numFmtId="169" fontId="136" fillId="0" borderId="0" xfId="13889" applyNumberFormat="1" applyFont="1" applyFill="1" applyAlignment="1">
      <alignment horizontal="right" vertical="center" wrapText="1"/>
    </xf>
    <xf numFmtId="171" fontId="113" fillId="0" borderId="0" xfId="1" applyNumberFormat="1" applyFont="1" applyFill="1" applyBorder="1"/>
    <xf numFmtId="171" fontId="81" fillId="0" borderId="0" xfId="1" applyNumberFormat="1" applyFont="1" applyFill="1" applyBorder="1"/>
    <xf numFmtId="169" fontId="81" fillId="0" borderId="0" xfId="13889" applyNumberFormat="1" applyFont="1" applyFill="1"/>
    <xf numFmtId="178" fontId="113" fillId="0" borderId="0" xfId="1" applyNumberFormat="1" applyFont="1" applyFill="1"/>
    <xf numFmtId="0" fontId="135" fillId="0" borderId="0" xfId="0" applyFont="1" applyAlignment="1">
      <alignment horizontal="center" vertical="center" wrapText="1"/>
    </xf>
    <xf numFmtId="10" fontId="136" fillId="0" borderId="0" xfId="13889" applyFont="1" applyFill="1" applyAlignment="1">
      <alignment horizontal="right" vertical="center" wrapText="1"/>
    </xf>
    <xf numFmtId="178" fontId="331" fillId="0" borderId="0" xfId="1" applyNumberFormat="1" applyFont="1" applyFill="1" applyAlignment="1">
      <alignment horizontal="right" vertical="center" wrapText="1"/>
    </xf>
    <xf numFmtId="37" fontId="113" fillId="0" borderId="0" xfId="1" applyNumberFormat="1" applyFont="1" applyFill="1" applyAlignment="1">
      <alignment vertical="center"/>
    </xf>
    <xf numFmtId="37" fontId="81" fillId="0" borderId="0" xfId="1" applyNumberFormat="1" applyFont="1" applyFill="1" applyAlignment="1">
      <alignment vertical="center"/>
    </xf>
    <xf numFmtId="43" fontId="81" fillId="0" borderId="0" xfId="2" applyNumberFormat="1" applyFont="1"/>
    <xf numFmtId="0" fontId="80" fillId="0" borderId="0" xfId="2" applyFont="1"/>
    <xf numFmtId="0" fontId="99" fillId="0" borderId="0" xfId="2" applyFont="1" applyAlignment="1">
      <alignment horizontal="right"/>
    </xf>
    <xf numFmtId="0" fontId="113" fillId="8" borderId="0" xfId="2" applyFont="1" applyFill="1" applyAlignment="1">
      <alignment horizontal="right"/>
    </xf>
    <xf numFmtId="0" fontId="112" fillId="5" borderId="0" xfId="1" applyNumberFormat="1" applyFont="1" applyFill="1" applyBorder="1" applyAlignment="1">
      <alignment horizontal="right" vertical="center"/>
    </xf>
    <xf numFmtId="178" fontId="81" fillId="2" borderId="0" xfId="1" applyNumberFormat="1" applyFont="1" applyFill="1" applyAlignment="1">
      <alignment horizontal="right"/>
    </xf>
    <xf numFmtId="169" fontId="43" fillId="2" borderId="0" xfId="13889" applyNumberFormat="1" applyFont="1" applyFill="1" applyAlignment="1">
      <alignment horizontal="right"/>
    </xf>
    <xf numFmtId="178" fontId="81" fillId="2" borderId="0" xfId="2" applyNumberFormat="1" applyFont="1" applyFill="1" applyAlignment="1">
      <alignment horizontal="right"/>
    </xf>
    <xf numFmtId="3" fontId="136" fillId="29" borderId="0" xfId="0" applyNumberFormat="1" applyFont="1" applyFill="1" applyAlignment="1">
      <alignment horizontal="right" vertical="center" wrapText="1"/>
    </xf>
    <xf numFmtId="178" fontId="136" fillId="29" borderId="0" xfId="1" applyNumberFormat="1" applyFont="1" applyFill="1" applyAlignment="1">
      <alignment horizontal="right" vertical="center" wrapText="1"/>
    </xf>
    <xf numFmtId="9" fontId="81" fillId="2" borderId="0" xfId="2" applyNumberFormat="1" applyFont="1" applyFill="1" applyAlignment="1">
      <alignment horizontal="right"/>
    </xf>
    <xf numFmtId="171" fontId="113" fillId="2" borderId="0" xfId="1" applyNumberFormat="1" applyFont="1" applyFill="1" applyBorder="1" applyAlignment="1">
      <alignment horizontal="right"/>
    </xf>
    <xf numFmtId="171" fontId="81" fillId="2" borderId="0" xfId="1" applyNumberFormat="1" applyFont="1" applyFill="1" applyBorder="1" applyAlignment="1">
      <alignment horizontal="right"/>
    </xf>
    <xf numFmtId="293" fontId="81" fillId="2" borderId="0" xfId="13889" applyNumberFormat="1" applyFont="1" applyFill="1" applyAlignment="1">
      <alignment horizontal="right"/>
    </xf>
    <xf numFmtId="178" fontId="113" fillId="2" borderId="0" xfId="1" applyNumberFormat="1" applyFont="1" applyFill="1" applyAlignment="1">
      <alignment horizontal="right"/>
    </xf>
    <xf numFmtId="169" fontId="81" fillId="2" borderId="0" xfId="2" applyNumberFormat="1" applyFont="1" applyFill="1" applyAlignment="1">
      <alignment horizontal="right"/>
    </xf>
    <xf numFmtId="178" fontId="135" fillId="29" borderId="0" xfId="0" applyNumberFormat="1" applyFont="1" applyFill="1" applyAlignment="1">
      <alignment horizontal="right" vertical="center" wrapText="1"/>
    </xf>
    <xf numFmtId="43" fontId="81" fillId="2" borderId="0" xfId="2" applyNumberFormat="1" applyFont="1" applyFill="1" applyAlignment="1">
      <alignment horizontal="right"/>
    </xf>
    <xf numFmtId="0" fontId="64" fillId="0" borderId="0" xfId="0" applyFont="1" applyAlignment="1">
      <alignment horizontal="right"/>
    </xf>
    <xf numFmtId="0" fontId="113" fillId="8" borderId="0" xfId="2" applyFont="1" applyFill="1" applyAlignment="1">
      <alignment horizontal="left"/>
    </xf>
    <xf numFmtId="169" fontId="81" fillId="2" borderId="0" xfId="13889" applyNumberFormat="1" applyFont="1" applyFill="1" applyAlignment="1">
      <alignment horizontal="right"/>
    </xf>
    <xf numFmtId="178" fontId="26" fillId="2" borderId="0" xfId="1" applyNumberFormat="1" applyFont="1" applyFill="1"/>
    <xf numFmtId="178" fontId="34" fillId="30" borderId="4" xfId="1" applyNumberFormat="1" applyFont="1" applyFill="1" applyBorder="1" applyAlignment="1">
      <alignment horizontal="right"/>
    </xf>
    <xf numFmtId="178" fontId="34" fillId="30" borderId="0" xfId="1" applyNumberFormat="1" applyFont="1" applyFill="1" applyBorder="1"/>
    <xf numFmtId="178" fontId="347" fillId="2" borderId="0" xfId="1" applyNumberFormat="1" applyFont="1" applyFill="1"/>
    <xf numFmtId="178" fontId="135" fillId="29" borderId="0" xfId="1" applyNumberFormat="1" applyFont="1" applyFill="1" applyAlignment="1">
      <alignment horizontal="right" vertical="center" wrapText="1"/>
    </xf>
    <xf numFmtId="178" fontId="64" fillId="3" borderId="0" xfId="1" applyNumberFormat="1" applyFont="1" applyFill="1"/>
    <xf numFmtId="178" fontId="135" fillId="0" borderId="0" xfId="1" applyNumberFormat="1" applyFont="1" applyFill="1" applyAlignment="1">
      <alignment horizontal="center" vertical="center" wrapText="1"/>
    </xf>
    <xf numFmtId="178" fontId="64" fillId="0" borderId="0" xfId="1" applyNumberFormat="1" applyFont="1"/>
    <xf numFmtId="10" fontId="3" fillId="3" borderId="0" xfId="13889" applyFill="1" applyBorder="1" applyAlignment="1">
      <alignment horizontal="center" vertical="center"/>
    </xf>
    <xf numFmtId="166" fontId="1" fillId="0" borderId="0" xfId="0" applyNumberFormat="1" applyFont="1"/>
    <xf numFmtId="37" fontId="0" fillId="3" borderId="0" xfId="0" applyNumberFormat="1" applyFill="1"/>
    <xf numFmtId="43" fontId="27" fillId="2" borderId="0" xfId="2" applyNumberFormat="1" applyFont="1" applyFill="1"/>
    <xf numFmtId="166" fontId="81" fillId="2" borderId="0" xfId="1" applyFont="1" applyFill="1"/>
    <xf numFmtId="166" fontId="81" fillId="2" borderId="0" xfId="1" applyFont="1" applyFill="1" applyAlignment="1">
      <alignment horizontal="right"/>
    </xf>
    <xf numFmtId="3" fontId="2" fillId="3" borderId="0" xfId="0" applyNumberFormat="1" applyFont="1" applyFill="1"/>
    <xf numFmtId="37" fontId="119" fillId="15" borderId="11" xfId="1" applyNumberFormat="1" applyFont="1" applyFill="1" applyBorder="1" applyAlignment="1">
      <alignment vertical="center"/>
    </xf>
    <xf numFmtId="169" fontId="3" fillId="0" borderId="12" xfId="13889" applyNumberFormat="1" applyFill="1" applyBorder="1" applyAlignment="1">
      <alignment vertical="center"/>
    </xf>
    <xf numFmtId="169" fontId="150" fillId="0" borderId="14" xfId="13889" applyNumberFormat="1" applyFont="1" applyFill="1" applyBorder="1" applyAlignment="1">
      <alignment vertical="center"/>
    </xf>
    <xf numFmtId="172" fontId="25" fillId="20" borderId="0" xfId="3" applyNumberFormat="1" applyFont="1" applyFill="1"/>
    <xf numFmtId="166" fontId="88" fillId="102" borderId="0" xfId="1" applyFont="1" applyFill="1" applyBorder="1" applyAlignment="1">
      <alignment horizontal="right"/>
    </xf>
    <xf numFmtId="166" fontId="49" fillId="102" borderId="0" xfId="1" applyFont="1" applyFill="1" applyBorder="1" applyAlignment="1">
      <alignment horizontal="right"/>
    </xf>
    <xf numFmtId="169" fontId="27" fillId="102" borderId="0" xfId="13889" applyNumberFormat="1" applyFont="1" applyFill="1" applyBorder="1" applyAlignment="1">
      <alignment horizontal="right"/>
    </xf>
    <xf numFmtId="169" fontId="29" fillId="102" borderId="0" xfId="13889" applyNumberFormat="1" applyFont="1" applyFill="1" applyBorder="1" applyAlignment="1">
      <alignment horizontal="right"/>
    </xf>
    <xf numFmtId="172" fontId="90" fillId="20" borderId="0" xfId="3" applyNumberFormat="1" applyFont="1" applyFill="1"/>
    <xf numFmtId="0" fontId="88" fillId="20" borderId="0" xfId="3" applyFont="1" applyFill="1"/>
    <xf numFmtId="39" fontId="88" fillId="20" borderId="0" xfId="3" applyNumberFormat="1" applyFont="1" applyFill="1"/>
    <xf numFmtId="39" fontId="58" fillId="20" borderId="0" xfId="3" applyNumberFormat="1" applyFont="1" applyFill="1"/>
    <xf numFmtId="0" fontId="58" fillId="102" borderId="0" xfId="3" applyFont="1" applyFill="1"/>
    <xf numFmtId="41" fontId="329" fillId="0" borderId="66" xfId="744" applyNumberFormat="1" applyFont="1" applyFill="1" applyBorder="1" applyAlignment="1">
      <alignment vertical="center"/>
    </xf>
    <xf numFmtId="170" fontId="354" fillId="3" borderId="0" xfId="1" applyNumberFormat="1" applyFont="1" applyFill="1" applyBorder="1" applyAlignment="1">
      <alignment horizontal="right"/>
    </xf>
    <xf numFmtId="169" fontId="354" fillId="2" borderId="0" xfId="13889" applyNumberFormat="1" applyFont="1" applyFill="1" applyBorder="1" applyAlignment="1">
      <alignment horizontal="right"/>
    </xf>
    <xf numFmtId="169" fontId="354" fillId="2" borderId="0" xfId="13889" applyNumberFormat="1" applyFont="1" applyFill="1" applyAlignment="1">
      <alignment horizontal="right"/>
    </xf>
    <xf numFmtId="169" fontId="354" fillId="3" borderId="0" xfId="13889" applyNumberFormat="1" applyFont="1" applyFill="1" applyBorder="1" applyAlignment="1">
      <alignment horizontal="center"/>
    </xf>
    <xf numFmtId="0" fontId="331" fillId="3" borderId="0" xfId="3" applyFont="1" applyFill="1"/>
    <xf numFmtId="169" fontId="331" fillId="0" borderId="0" xfId="13889" applyNumberFormat="1" applyFont="1" applyFill="1"/>
    <xf numFmtId="169" fontId="331" fillId="2" borderId="0" xfId="13889" applyNumberFormat="1" applyFont="1" applyFill="1" applyBorder="1"/>
    <xf numFmtId="170" fontId="354" fillId="3" borderId="0" xfId="1" applyNumberFormat="1" applyFont="1" applyFill="1" applyAlignment="1">
      <alignment horizontal="right"/>
    </xf>
    <xf numFmtId="0" fontId="331" fillId="0" borderId="0" xfId="0" applyFont="1"/>
    <xf numFmtId="169" fontId="357" fillId="9" borderId="0" xfId="13889" applyNumberFormat="1" applyFont="1" applyFill="1" applyBorder="1" applyAlignment="1">
      <alignment horizontal="left"/>
    </xf>
    <xf numFmtId="170" fontId="354" fillId="20" borderId="0" xfId="1" applyNumberFormat="1" applyFont="1" applyFill="1" applyAlignment="1">
      <alignment horizontal="right"/>
    </xf>
    <xf numFmtId="169" fontId="331" fillId="20" borderId="0" xfId="13889" applyNumberFormat="1" applyFont="1" applyFill="1"/>
    <xf numFmtId="169" fontId="354" fillId="3" borderId="0" xfId="13889" applyNumberFormat="1" applyFont="1" applyFill="1" applyBorder="1" applyAlignment="1">
      <alignment horizontal="right"/>
    </xf>
    <xf numFmtId="169" fontId="12" fillId="0" borderId="0" xfId="13889" applyNumberFormat="1" applyFont="1" applyFill="1" applyBorder="1"/>
    <xf numFmtId="10" fontId="331" fillId="2" borderId="0" xfId="13889" applyFont="1" applyFill="1"/>
    <xf numFmtId="169" fontId="331" fillId="3" borderId="0" xfId="13889" applyNumberFormat="1" applyFont="1" applyFill="1"/>
    <xf numFmtId="10" fontId="331" fillId="3" borderId="0" xfId="13889" applyFont="1" applyFill="1"/>
    <xf numFmtId="169" fontId="331" fillId="2" borderId="0" xfId="13889" applyNumberFormat="1" applyFont="1" applyFill="1"/>
    <xf numFmtId="178" fontId="37" fillId="21" borderId="0" xfId="1" applyNumberFormat="1" applyFont="1" applyFill="1"/>
    <xf numFmtId="178" fontId="103" fillId="21" borderId="0" xfId="1" applyNumberFormat="1" applyFont="1" applyFill="1"/>
    <xf numFmtId="178" fontId="41" fillId="21" borderId="0" xfId="1" applyNumberFormat="1" applyFont="1" applyFill="1"/>
    <xf numFmtId="178" fontId="338" fillId="9" borderId="0" xfId="1" applyNumberFormat="1" applyFont="1" applyFill="1" applyBorder="1" applyAlignment="1">
      <alignment horizontal="left"/>
    </xf>
    <xf numFmtId="178" fontId="93" fillId="0" borderId="0" xfId="1" applyNumberFormat="1" applyFont="1"/>
    <xf numFmtId="10" fontId="36" fillId="21" borderId="0" xfId="13889" applyFont="1" applyFill="1"/>
    <xf numFmtId="169" fontId="36" fillId="21" borderId="0" xfId="13889" applyNumberFormat="1" applyFont="1" applyFill="1"/>
    <xf numFmtId="169" fontId="36" fillId="21" borderId="0" xfId="3" applyNumberFormat="1" applyFont="1" applyFill="1"/>
    <xf numFmtId="178" fontId="103" fillId="20" borderId="0" xfId="1" applyNumberFormat="1" applyFont="1" applyFill="1" applyBorder="1" applyAlignment="1">
      <alignment horizontal="right"/>
    </xf>
    <xf numFmtId="178" fontId="81" fillId="3" borderId="0" xfId="1" applyNumberFormat="1" applyFont="1" applyFill="1" applyAlignment="1">
      <alignment vertical="center"/>
    </xf>
    <xf numFmtId="178" fontId="1" fillId="3" borderId="0" xfId="1" applyNumberFormat="1" applyFont="1" applyFill="1"/>
    <xf numFmtId="178" fontId="122" fillId="3" borderId="0" xfId="1" applyNumberFormat="1" applyFont="1" applyFill="1" applyAlignment="1">
      <alignment vertical="center"/>
    </xf>
    <xf numFmtId="0" fontId="27" fillId="2" borderId="10" xfId="2" applyFont="1" applyFill="1" applyBorder="1"/>
    <xf numFmtId="37" fontId="25" fillId="2" borderId="2" xfId="2" applyNumberFormat="1" applyFont="1" applyFill="1" applyBorder="1"/>
    <xf numFmtId="171" fontId="96" fillId="2" borderId="10" xfId="1" applyNumberFormat="1" applyFont="1" applyFill="1" applyBorder="1"/>
    <xf numFmtId="43" fontId="347" fillId="2" borderId="10" xfId="2" applyNumberFormat="1" applyFont="1" applyFill="1" applyBorder="1"/>
    <xf numFmtId="0" fontId="136" fillId="29" borderId="10" xfId="0" applyFont="1" applyFill="1" applyBorder="1" applyAlignment="1">
      <alignment horizontal="right" vertical="center" wrapText="1"/>
    </xf>
    <xf numFmtId="171" fontId="81" fillId="2" borderId="10" xfId="1" applyNumberFormat="1" applyFont="1" applyFill="1" applyBorder="1" applyAlignment="1">
      <alignment horizontal="right"/>
    </xf>
    <xf numFmtId="0" fontId="81" fillId="2" borderId="10" xfId="2" applyFont="1" applyFill="1" applyBorder="1"/>
    <xf numFmtId="0" fontId="64" fillId="3" borderId="10" xfId="0" applyFont="1" applyFill="1" applyBorder="1"/>
    <xf numFmtId="171" fontId="81" fillId="0" borderId="10" xfId="1" applyNumberFormat="1" applyFont="1" applyFill="1" applyBorder="1"/>
    <xf numFmtId="171" fontId="81" fillId="2" borderId="10" xfId="1" applyNumberFormat="1" applyFont="1" applyFill="1" applyBorder="1"/>
    <xf numFmtId="0" fontId="64" fillId="0" borderId="10" xfId="0" applyFont="1" applyBorder="1"/>
    <xf numFmtId="169" fontId="27" fillId="8" borderId="0" xfId="13889" applyNumberFormat="1" applyFont="1" applyFill="1"/>
    <xf numFmtId="166" fontId="25" fillId="25" borderId="0" xfId="1" applyFont="1" applyFill="1" applyBorder="1" applyAlignment="1">
      <alignment horizontal="right"/>
    </xf>
    <xf numFmtId="169" fontId="27" fillId="25" borderId="0" xfId="13889" applyNumberFormat="1" applyFont="1" applyFill="1" applyBorder="1" applyAlignment="1">
      <alignment horizontal="right"/>
    </xf>
    <xf numFmtId="169" fontId="29" fillId="25" borderId="0" xfId="13889" applyNumberFormat="1" applyFont="1" applyFill="1" applyBorder="1" applyAlignment="1">
      <alignment horizontal="right"/>
    </xf>
    <xf numFmtId="10" fontId="87" fillId="3" borderId="0" xfId="1" applyNumberFormat="1" applyFont="1" applyFill="1" applyBorder="1" applyAlignment="1">
      <alignment horizontal="right"/>
    </xf>
    <xf numFmtId="169" fontId="43" fillId="20" borderId="0" xfId="13889" applyNumberFormat="1" applyFont="1" applyFill="1" applyBorder="1" applyAlignment="1">
      <alignment horizontal="right"/>
    </xf>
    <xf numFmtId="169" fontId="34" fillId="20" borderId="0" xfId="13889" applyNumberFormat="1" applyFont="1" applyFill="1" applyBorder="1" applyAlignment="1">
      <alignment horizontal="right"/>
    </xf>
    <xf numFmtId="10" fontId="34" fillId="20" borderId="0" xfId="13889" applyFont="1" applyFill="1" applyBorder="1" applyAlignment="1">
      <alignment horizontal="right"/>
    </xf>
    <xf numFmtId="10" fontId="36" fillId="3" borderId="0" xfId="1" applyNumberFormat="1" applyFont="1" applyFill="1"/>
    <xf numFmtId="10" fontId="36" fillId="20" borderId="0" xfId="13889" applyFont="1" applyFill="1"/>
    <xf numFmtId="10" fontId="36" fillId="20" borderId="0" xfId="1" applyNumberFormat="1" applyFont="1" applyFill="1"/>
    <xf numFmtId="10" fontId="358" fillId="9" borderId="0" xfId="13889" applyFont="1" applyFill="1" applyBorder="1" applyAlignment="1">
      <alignment horizontal="left"/>
    </xf>
    <xf numFmtId="10" fontId="36" fillId="3" borderId="0" xfId="0" applyNumberFormat="1" applyFont="1" applyFill="1"/>
    <xf numFmtId="178" fontId="350" fillId="2" borderId="0" xfId="1" applyNumberFormat="1" applyFont="1" applyFill="1"/>
    <xf numFmtId="178" fontId="350" fillId="27" borderId="4" xfId="1" applyNumberFormat="1" applyFont="1" applyFill="1" applyBorder="1" applyAlignment="1">
      <alignment horizontal="right"/>
    </xf>
    <xf numFmtId="178" fontId="350" fillId="27" borderId="0" xfId="1" applyNumberFormat="1" applyFont="1" applyFill="1"/>
    <xf numFmtId="178" fontId="350" fillId="29" borderId="0" xfId="1" applyNumberFormat="1" applyFont="1" applyFill="1" applyAlignment="1">
      <alignment horizontal="right" vertical="center" wrapText="1"/>
    </xf>
    <xf numFmtId="178" fontId="350" fillId="3" borderId="0" xfId="1" applyNumberFormat="1" applyFont="1" applyFill="1"/>
    <xf numFmtId="178" fontId="350" fillId="0" borderId="0" xfId="1" applyNumberFormat="1" applyFont="1" applyFill="1" applyAlignment="1">
      <alignment horizontal="right" vertical="center" wrapText="1"/>
    </xf>
    <xf numFmtId="178" fontId="350" fillId="0" borderId="0" xfId="1" applyNumberFormat="1" applyFont="1"/>
    <xf numFmtId="0" fontId="81" fillId="9" borderId="0" xfId="0" applyFont="1" applyFill="1"/>
    <xf numFmtId="41" fontId="359" fillId="0" borderId="66" xfId="744" applyNumberFormat="1" applyFont="1" applyFill="1" applyBorder="1" applyAlignment="1">
      <alignment vertical="center"/>
    </xf>
    <xf numFmtId="10" fontId="80" fillId="0" borderId="0" xfId="13889" applyFont="1"/>
    <xf numFmtId="43" fontId="27" fillId="9" borderId="0" xfId="13889" applyNumberFormat="1" applyFont="1" applyFill="1"/>
    <xf numFmtId="0" fontId="192" fillId="3" borderId="0" xfId="172" applyFill="1"/>
    <xf numFmtId="171" fontId="101" fillId="10" borderId="0" xfId="1" applyNumberFormat="1" applyFont="1" applyFill="1"/>
    <xf numFmtId="171" fontId="360" fillId="10" borderId="0" xfId="1" applyNumberFormat="1" applyFont="1" applyFill="1"/>
    <xf numFmtId="169" fontId="358" fillId="9" borderId="0" xfId="13889" applyNumberFormat="1" applyFont="1" applyFill="1" applyBorder="1" applyAlignment="1">
      <alignment horizontal="left"/>
    </xf>
    <xf numFmtId="169" fontId="36" fillId="10" borderId="0" xfId="3" applyNumberFormat="1" applyFont="1" applyFill="1"/>
    <xf numFmtId="169" fontId="48" fillId="10" borderId="0" xfId="13889" applyNumberFormat="1" applyFont="1" applyFill="1"/>
    <xf numFmtId="166" fontId="36" fillId="21" borderId="0" xfId="1" applyFont="1" applyFill="1"/>
    <xf numFmtId="169" fontId="339" fillId="21" borderId="0" xfId="1" applyNumberFormat="1" applyFont="1" applyFill="1"/>
    <xf numFmtId="171" fontId="101" fillId="21" borderId="0" xfId="1" applyNumberFormat="1" applyFont="1" applyFill="1"/>
    <xf numFmtId="171" fontId="360" fillId="21" borderId="0" xfId="1" applyNumberFormat="1" applyFont="1" applyFill="1"/>
    <xf numFmtId="169" fontId="339" fillId="21" borderId="0" xfId="3" applyNumberFormat="1" applyFont="1" applyFill="1"/>
    <xf numFmtId="169" fontId="48" fillId="21" borderId="0" xfId="13889" applyNumberFormat="1" applyFont="1" applyFill="1"/>
    <xf numFmtId="169" fontId="88" fillId="2" borderId="0" xfId="13889" applyNumberFormat="1" applyFont="1" applyFill="1"/>
    <xf numFmtId="169" fontId="88" fillId="0" borderId="0" xfId="13889" applyNumberFormat="1" applyFont="1" applyFill="1"/>
    <xf numFmtId="171" fontId="58" fillId="20" borderId="0" xfId="1" applyNumberFormat="1" applyFont="1" applyFill="1" applyBorder="1"/>
    <xf numFmtId="43" fontId="25" fillId="2" borderId="0" xfId="1" applyNumberFormat="1" applyFont="1" applyFill="1"/>
    <xf numFmtId="43" fontId="25" fillId="0" borderId="0" xfId="1" applyNumberFormat="1" applyFont="1" applyFill="1"/>
    <xf numFmtId="43" fontId="58" fillId="2" borderId="0" xfId="1" applyNumberFormat="1" applyFont="1" applyFill="1"/>
    <xf numFmtId="169" fontId="90" fillId="0" borderId="0" xfId="13889" applyNumberFormat="1" applyFont="1" applyFill="1"/>
    <xf numFmtId="169" fontId="36" fillId="0" borderId="0" xfId="13889" applyNumberFormat="1" applyFont="1" applyFill="1"/>
    <xf numFmtId="171" fontId="36" fillId="20" borderId="0" xfId="1" applyNumberFormat="1" applyFont="1" applyFill="1"/>
    <xf numFmtId="171" fontId="36" fillId="2" borderId="0" xfId="1" applyNumberFormat="1" applyFont="1" applyFill="1"/>
    <xf numFmtId="0" fontId="339" fillId="2" borderId="0" xfId="3" applyFont="1" applyFill="1"/>
    <xf numFmtId="0" fontId="339" fillId="0" borderId="0" xfId="3" applyFont="1"/>
    <xf numFmtId="0" fontId="339" fillId="20" borderId="0" xfId="3" applyFont="1" applyFill="1"/>
    <xf numFmtId="169" fontId="361" fillId="0" borderId="0" xfId="13853" applyNumberFormat="1" applyFont="1" applyFill="1" applyBorder="1" applyAlignment="1">
      <alignment horizontal="right" vertical="center"/>
    </xf>
    <xf numFmtId="171" fontId="101" fillId="0" borderId="0" xfId="1" applyNumberFormat="1" applyFont="1" applyFill="1"/>
    <xf numFmtId="169" fontId="101" fillId="0" borderId="0" xfId="13889" applyNumberFormat="1" applyFont="1" applyFill="1"/>
    <xf numFmtId="10" fontId="103" fillId="0" borderId="0" xfId="13889" applyFont="1" applyFill="1"/>
    <xf numFmtId="178" fontId="25" fillId="9" borderId="0" xfId="1" applyNumberFormat="1" applyFont="1" applyFill="1" applyBorder="1"/>
    <xf numFmtId="0" fontId="362" fillId="0" borderId="0" xfId="0" applyFont="1" applyAlignment="1">
      <alignment horizontal="right" vertical="center" wrapText="1" indent="1"/>
    </xf>
    <xf numFmtId="0" fontId="363" fillId="0" borderId="0" xfId="0" applyFont="1" applyAlignment="1">
      <alignment horizontal="right" vertical="center" wrapText="1" indent="1"/>
    </xf>
    <xf numFmtId="0" fontId="363" fillId="103" borderId="0" xfId="0" applyFont="1" applyFill="1" applyAlignment="1">
      <alignment horizontal="right" vertical="center" wrapText="1" indent="1"/>
    </xf>
    <xf numFmtId="10" fontId="362" fillId="0" borderId="0" xfId="0" applyNumberFormat="1" applyFont="1" applyAlignment="1">
      <alignment horizontal="right" vertical="center" wrapText="1" indent="1"/>
    </xf>
    <xf numFmtId="171" fontId="81" fillId="2" borderId="0" xfId="2" applyNumberFormat="1" applyFont="1" applyFill="1" applyAlignment="1">
      <alignment horizontal="right"/>
    </xf>
    <xf numFmtId="0" fontId="364" fillId="104" borderId="70" xfId="0" applyFont="1" applyFill="1" applyBorder="1" applyAlignment="1">
      <alignment horizontal="right" vertical="top" wrapText="1"/>
    </xf>
    <xf numFmtId="0" fontId="364" fillId="29" borderId="70" xfId="0" applyFont="1" applyFill="1" applyBorder="1" applyAlignment="1">
      <alignment horizontal="right" vertical="top" wrapText="1"/>
    </xf>
    <xf numFmtId="3" fontId="14" fillId="0" borderId="0" xfId="0" applyNumberFormat="1" applyFont="1" applyAlignment="1">
      <alignment horizontal="right" vertical="center"/>
    </xf>
    <xf numFmtId="3" fontId="12" fillId="0" borderId="0" xfId="0" applyNumberFormat="1" applyFont="1" applyAlignment="1">
      <alignment horizontal="right"/>
    </xf>
    <xf numFmtId="3" fontId="12" fillId="0" borderId="0" xfId="0" applyNumberFormat="1" applyFont="1"/>
    <xf numFmtId="3" fontId="12" fillId="0" borderId="0" xfId="0" applyNumberFormat="1" applyFont="1" applyAlignment="1">
      <alignment horizontal="right" vertical="center"/>
    </xf>
    <xf numFmtId="3" fontId="14" fillId="0" borderId="71" xfId="0" applyNumberFormat="1" applyFont="1" applyBorder="1" applyAlignment="1">
      <alignment horizontal="right" vertical="center"/>
    </xf>
    <xf numFmtId="169" fontId="27" fillId="2" borderId="0" xfId="2" applyNumberFormat="1" applyFont="1" applyFill="1"/>
    <xf numFmtId="169" fontId="139" fillId="2" borderId="4" xfId="2" applyNumberFormat="1" applyFont="1" applyFill="1" applyBorder="1" applyAlignment="1">
      <alignment horizontal="right"/>
    </xf>
    <xf numFmtId="169" fontId="96" fillId="2" borderId="0" xfId="1" applyNumberFormat="1" applyFont="1" applyFill="1" applyBorder="1"/>
    <xf numFmtId="169" fontId="347" fillId="2" borderId="0" xfId="2" applyNumberFormat="1" applyFont="1" applyFill="1"/>
    <xf numFmtId="169" fontId="136" fillId="29" borderId="0" xfId="0" applyNumberFormat="1" applyFont="1" applyFill="1" applyAlignment="1">
      <alignment horizontal="right" vertical="center" wrapText="1"/>
    </xf>
    <xf numFmtId="169" fontId="12" fillId="2" borderId="0" xfId="13889" applyNumberFormat="1" applyFont="1" applyFill="1" applyBorder="1" applyAlignment="1">
      <alignment horizontal="right"/>
    </xf>
    <xf numFmtId="169" fontId="64" fillId="3" borderId="0" xfId="0" applyNumberFormat="1" applyFont="1" applyFill="1"/>
    <xf numFmtId="169" fontId="81" fillId="0" borderId="0" xfId="1" applyNumberFormat="1" applyFont="1" applyFill="1" applyBorder="1"/>
    <xf numFmtId="169" fontId="64" fillId="0" borderId="0" xfId="0" applyNumberFormat="1" applyFont="1"/>
    <xf numFmtId="3" fontId="14" fillId="105" borderId="0" xfId="0" applyNumberFormat="1" applyFont="1" applyFill="1" applyAlignment="1">
      <alignment horizontal="right"/>
    </xf>
    <xf numFmtId="3" fontId="14" fillId="105" borderId="0" xfId="0" applyNumberFormat="1" applyFont="1" applyFill="1"/>
    <xf numFmtId="178" fontId="136" fillId="29" borderId="0" xfId="0" applyNumberFormat="1" applyFont="1" applyFill="1" applyAlignment="1">
      <alignment horizontal="right" vertical="center" wrapText="1"/>
    </xf>
    <xf numFmtId="178" fontId="350" fillId="29" borderId="0" xfId="1" applyNumberFormat="1" applyFont="1" applyFill="1" applyAlignment="1">
      <alignment horizontal="left" vertical="center" wrapText="1"/>
    </xf>
    <xf numFmtId="0" fontId="64" fillId="0" borderId="0" xfId="0" applyFont="1" applyAlignment="1">
      <alignment horizontal="left"/>
    </xf>
    <xf numFmtId="0" fontId="27" fillId="2" borderId="0" xfId="2" applyFont="1" applyFill="1" applyAlignment="1">
      <alignment horizontal="left"/>
    </xf>
    <xf numFmtId="37" fontId="348" fillId="2" borderId="0" xfId="1" applyNumberFormat="1" applyFont="1" applyFill="1" applyAlignment="1">
      <alignment horizontal="left" vertical="center"/>
    </xf>
    <xf numFmtId="0" fontId="365" fillId="29" borderId="0" xfId="0" applyFont="1" applyFill="1" applyAlignment="1">
      <alignment horizontal="left" vertical="center" wrapText="1"/>
    </xf>
    <xf numFmtId="0" fontId="26" fillId="2" borderId="0" xfId="2" applyFont="1" applyFill="1" applyAlignment="1">
      <alignment horizontal="left"/>
    </xf>
    <xf numFmtId="0" fontId="366" fillId="29" borderId="0" xfId="0" applyFont="1" applyFill="1" applyAlignment="1">
      <alignment horizontal="left" vertical="center" wrapText="1"/>
    </xf>
    <xf numFmtId="169" fontId="365" fillId="29" borderId="0" xfId="0" applyNumberFormat="1" applyFont="1" applyFill="1" applyAlignment="1">
      <alignment horizontal="left" vertical="center" wrapText="1"/>
    </xf>
    <xf numFmtId="0" fontId="365" fillId="29" borderId="10" xfId="0" applyFont="1" applyFill="1" applyBorder="1" applyAlignment="1">
      <alignment horizontal="left" vertical="center" wrapText="1"/>
    </xf>
    <xf numFmtId="169" fontId="365" fillId="29" borderId="0" xfId="13889" applyNumberFormat="1" applyFont="1" applyFill="1" applyAlignment="1">
      <alignment horizontal="left" vertical="center" wrapText="1"/>
    </xf>
    <xf numFmtId="10" fontId="365" fillId="29" borderId="0" xfId="13889" applyFont="1" applyFill="1" applyAlignment="1">
      <alignment horizontal="left" vertical="center" wrapText="1"/>
    </xf>
    <xf numFmtId="178" fontId="366" fillId="29" borderId="0" xfId="1" applyNumberFormat="1" applyFont="1" applyFill="1" applyAlignment="1">
      <alignment horizontal="left" vertical="center" wrapText="1"/>
    </xf>
    <xf numFmtId="178" fontId="354" fillId="29" borderId="0" xfId="1" applyNumberFormat="1" applyFont="1" applyFill="1" applyAlignment="1">
      <alignment horizontal="left" vertical="center" wrapText="1"/>
    </xf>
    <xf numFmtId="37" fontId="26" fillId="0" borderId="0" xfId="1" applyNumberFormat="1" applyFont="1" applyAlignment="1">
      <alignment horizontal="left" vertical="center"/>
    </xf>
    <xf numFmtId="37" fontId="27" fillId="0" borderId="0" xfId="1" applyNumberFormat="1" applyFont="1" applyAlignment="1">
      <alignment horizontal="left" vertical="center"/>
    </xf>
    <xf numFmtId="0" fontId="26" fillId="2" borderId="0" xfId="2" applyFont="1" applyFill="1" applyAlignment="1">
      <alignment horizontal="left" vertical="center" textRotation="90"/>
    </xf>
    <xf numFmtId="0" fontId="29" fillId="2" borderId="0" xfId="2" applyFont="1" applyFill="1" applyAlignment="1">
      <alignment horizontal="left"/>
    </xf>
    <xf numFmtId="0" fontId="354" fillId="2" borderId="0" xfId="2" applyFont="1" applyFill="1" applyAlignment="1">
      <alignment horizontal="left"/>
    </xf>
    <xf numFmtId="169" fontId="12" fillId="29" borderId="0" xfId="13889" applyNumberFormat="1" applyFont="1" applyFill="1" applyAlignment="1">
      <alignment horizontal="left" vertical="center" wrapText="1"/>
    </xf>
    <xf numFmtId="169" fontId="12" fillId="2" borderId="0" xfId="13889" applyNumberFormat="1" applyFont="1" applyFill="1" applyAlignment="1">
      <alignment horizontal="right"/>
    </xf>
    <xf numFmtId="10" fontId="3" fillId="2" borderId="0" xfId="13889" applyFill="1"/>
    <xf numFmtId="169" fontId="52" fillId="9" borderId="0" xfId="3" applyNumberFormat="1" applyFont="1" applyFill="1"/>
    <xf numFmtId="178" fontId="2" fillId="0" borderId="0" xfId="1" applyNumberFormat="1" applyFont="1" applyAlignment="1">
      <alignment horizontal="right"/>
    </xf>
    <xf numFmtId="10" fontId="1" fillId="30" borderId="0" xfId="13889" applyFont="1" applyFill="1" applyAlignment="1">
      <alignment horizontal="right"/>
    </xf>
    <xf numFmtId="10" fontId="149" fillId="30" borderId="0" xfId="13889" applyFont="1" applyFill="1" applyAlignment="1">
      <alignment horizontal="right"/>
    </xf>
    <xf numFmtId="177" fontId="108" fillId="8" borderId="0" xfId="1" applyNumberFormat="1" applyFont="1" applyFill="1"/>
    <xf numFmtId="178" fontId="0" fillId="0" borderId="0" xfId="1" applyNumberFormat="1" applyFont="1" applyFill="1"/>
    <xf numFmtId="10" fontId="0" fillId="0" borderId="0" xfId="13889" applyFont="1" applyFill="1" applyAlignment="1">
      <alignment horizontal="right"/>
    </xf>
    <xf numFmtId="10" fontId="80" fillId="0" borderId="0" xfId="13889" applyFont="1" applyFill="1" applyAlignment="1">
      <alignment horizontal="right"/>
    </xf>
    <xf numFmtId="169" fontId="149" fillId="0" borderId="0" xfId="13889" applyNumberFormat="1" applyFont="1" applyFill="1"/>
    <xf numFmtId="10" fontId="147" fillId="0" borderId="0" xfId="13889" applyFont="1" applyFill="1" applyAlignment="1">
      <alignment horizontal="right"/>
    </xf>
    <xf numFmtId="169" fontId="36" fillId="3" borderId="0" xfId="13889" applyNumberFormat="1" applyFont="1" applyFill="1" applyBorder="1"/>
    <xf numFmtId="169" fontId="330" fillId="3" borderId="0" xfId="13889" applyNumberFormat="1" applyFont="1" applyFill="1" applyBorder="1"/>
    <xf numFmtId="166" fontId="36" fillId="20" borderId="0" xfId="1" applyFont="1" applyFill="1" applyBorder="1"/>
    <xf numFmtId="169" fontId="330" fillId="20" borderId="0" xfId="13889" applyNumberFormat="1" applyFont="1" applyFill="1" applyBorder="1"/>
    <xf numFmtId="169" fontId="330" fillId="2" borderId="0" xfId="13889" applyNumberFormat="1" applyFont="1" applyFill="1" applyBorder="1"/>
    <xf numFmtId="169" fontId="37" fillId="3" borderId="17" xfId="13889" applyNumberFormat="1" applyFont="1" applyFill="1" applyBorder="1" applyAlignment="1">
      <alignment horizontal="right"/>
    </xf>
    <xf numFmtId="169" fontId="37" fillId="3" borderId="0" xfId="13889" applyNumberFormat="1" applyFont="1" applyFill="1" applyBorder="1" applyAlignment="1">
      <alignment horizontal="right"/>
    </xf>
    <xf numFmtId="169" fontId="47" fillId="20" borderId="0" xfId="13889" applyNumberFormat="1" applyFont="1" applyFill="1" applyBorder="1" applyAlignment="1">
      <alignment horizontal="right"/>
    </xf>
    <xf numFmtId="171" fontId="46" fillId="23" borderId="0" xfId="3" applyNumberFormat="1" applyFont="1" applyFill="1"/>
    <xf numFmtId="37" fontId="103" fillId="21" borderId="0" xfId="1" applyNumberFormat="1" applyFont="1" applyFill="1"/>
    <xf numFmtId="178" fontId="34" fillId="3" borderId="0" xfId="1" applyNumberFormat="1" applyFont="1" applyFill="1"/>
    <xf numFmtId="178" fontId="44" fillId="3" borderId="0" xfId="1" applyNumberFormat="1" applyFont="1" applyFill="1"/>
    <xf numFmtId="178" fontId="35" fillId="3" borderId="0" xfId="1" applyNumberFormat="1" applyFont="1" applyFill="1"/>
    <xf numFmtId="178" fontId="43" fillId="20" borderId="0" xfId="1" applyNumberFormat="1" applyFont="1" applyFill="1"/>
    <xf numFmtId="178" fontId="141" fillId="9" borderId="0" xfId="1" applyNumberFormat="1" applyFont="1" applyFill="1" applyBorder="1" applyAlignment="1">
      <alignment horizontal="left"/>
    </xf>
    <xf numFmtId="178" fontId="42" fillId="3" borderId="0" xfId="1" applyNumberFormat="1" applyFont="1" applyFill="1"/>
    <xf numFmtId="178" fontId="108" fillId="3" borderId="0" xfId="1" applyNumberFormat="1" applyFont="1" applyFill="1"/>
    <xf numFmtId="178" fontId="97" fillId="3" borderId="0" xfId="1" applyNumberFormat="1" applyFont="1" applyFill="1"/>
    <xf numFmtId="39" fontId="34" fillId="27" borderId="15" xfId="3" applyNumberFormat="1" applyFont="1" applyFill="1" applyBorder="1"/>
    <xf numFmtId="39" fontId="34" fillId="27" borderId="15" xfId="1" applyNumberFormat="1" applyFont="1" applyFill="1" applyBorder="1"/>
    <xf numFmtId="169" fontId="139" fillId="27" borderId="0" xfId="13889" applyNumberFormat="1" applyFont="1" applyFill="1" applyBorder="1" applyAlignment="1">
      <alignment horizontal="left"/>
    </xf>
    <xf numFmtId="39" fontId="0" fillId="27" borderId="0" xfId="0" applyNumberFormat="1" applyFill="1"/>
    <xf numFmtId="169" fontId="45" fillId="27" borderId="0" xfId="13889" applyNumberFormat="1" applyFont="1" applyFill="1" applyBorder="1"/>
    <xf numFmtId="0" fontId="0" fillId="27" borderId="0" xfId="0" applyFill="1"/>
    <xf numFmtId="169" fontId="27" fillId="27" borderId="0" xfId="13889" applyNumberFormat="1" applyFont="1" applyFill="1" applyBorder="1"/>
    <xf numFmtId="10" fontId="27" fillId="27" borderId="0" xfId="13889" applyFont="1" applyFill="1"/>
    <xf numFmtId="10" fontId="27" fillId="27" borderId="0" xfId="13889" applyFont="1" applyFill="1" applyBorder="1"/>
    <xf numFmtId="171" fontId="88" fillId="8" borderId="0" xfId="3" applyNumberFormat="1" applyFont="1" applyFill="1"/>
    <xf numFmtId="43" fontId="3" fillId="0" borderId="0" xfId="13859" applyFont="1"/>
    <xf numFmtId="43" fontId="80" fillId="0" borderId="0" xfId="13859" applyFont="1"/>
    <xf numFmtId="43" fontId="0" fillId="0" borderId="0" xfId="13859" applyFont="1"/>
    <xf numFmtId="178" fontId="81" fillId="0" borderId="0" xfId="13859" applyNumberFormat="1" applyFont="1"/>
    <xf numFmtId="178" fontId="80" fillId="0" borderId="0" xfId="13859" applyNumberFormat="1" applyFont="1"/>
    <xf numFmtId="169" fontId="2" fillId="0" borderId="0" xfId="0" applyNumberFormat="1" applyFont="1"/>
    <xf numFmtId="43" fontId="2" fillId="0" borderId="72" xfId="13859" applyFont="1" applyBorder="1"/>
    <xf numFmtId="169" fontId="80" fillId="0" borderId="0" xfId="0" applyNumberFormat="1" applyFont="1"/>
    <xf numFmtId="43" fontId="149" fillId="0" borderId="74" xfId="13859" applyFont="1" applyBorder="1"/>
    <xf numFmtId="169" fontId="149" fillId="0" borderId="75" xfId="13853" applyNumberFormat="1" applyFont="1" applyBorder="1"/>
    <xf numFmtId="169" fontId="0" fillId="0" borderId="0" xfId="0" applyNumberFormat="1"/>
    <xf numFmtId="43" fontId="2" fillId="0" borderId="76" xfId="13859" applyFont="1" applyBorder="1"/>
    <xf numFmtId="295" fontId="2" fillId="0" borderId="77" xfId="0" applyNumberFormat="1" applyFont="1" applyBorder="1"/>
    <xf numFmtId="178" fontId="0" fillId="0" borderId="0" xfId="13859" applyNumberFormat="1" applyFont="1" applyBorder="1"/>
    <xf numFmtId="43" fontId="2" fillId="106" borderId="0" xfId="13859" applyFont="1" applyFill="1"/>
    <xf numFmtId="9" fontId="131" fillId="106" borderId="0" xfId="0" applyNumberFormat="1" applyFont="1" applyFill="1"/>
    <xf numFmtId="43" fontId="2" fillId="0" borderId="0" xfId="13859" applyFont="1" applyFill="1"/>
    <xf numFmtId="9" fontId="131" fillId="0" borderId="0" xfId="0" applyNumberFormat="1" applyFont="1"/>
    <xf numFmtId="43" fontId="2" fillId="3" borderId="6" xfId="13859" applyFont="1" applyFill="1" applyBorder="1"/>
    <xf numFmtId="169" fontId="0" fillId="3" borderId="5" xfId="13853" applyNumberFormat="1" applyFont="1" applyFill="1" applyBorder="1"/>
    <xf numFmtId="169" fontId="0" fillId="0" borderId="0" xfId="13853" applyNumberFormat="1" applyFont="1" applyFill="1" applyBorder="1"/>
    <xf numFmtId="43" fontId="0" fillId="0" borderId="4" xfId="13859" applyFont="1" applyBorder="1"/>
    <xf numFmtId="169" fontId="367" fillId="3" borderId="3" xfId="13853" applyNumberFormat="1" applyFont="1" applyFill="1" applyBorder="1"/>
    <xf numFmtId="169" fontId="368" fillId="0" borderId="0" xfId="13853" applyNumberFormat="1" applyFont="1" applyFill="1" applyBorder="1"/>
    <xf numFmtId="0" fontId="0" fillId="0" borderId="4" xfId="0" applyBorder="1"/>
    <xf numFmtId="169" fontId="22" fillId="3" borderId="3" xfId="13853" applyNumberFormat="1" applyFont="1" applyFill="1" applyBorder="1"/>
    <xf numFmtId="169" fontId="22" fillId="0" borderId="0" xfId="13853" applyNumberFormat="1" applyFont="1" applyFill="1" applyBorder="1"/>
    <xf numFmtId="43" fontId="81" fillId="0" borderId="4" xfId="13859" applyFont="1" applyBorder="1"/>
    <xf numFmtId="169" fontId="3" fillId="0" borderId="0" xfId="13853" applyNumberFormat="1" applyFont="1" applyFill="1" applyBorder="1"/>
    <xf numFmtId="0" fontId="81" fillId="0" borderId="4" xfId="0" applyFont="1" applyBorder="1"/>
    <xf numFmtId="169" fontId="80" fillId="0" borderId="3" xfId="13853" applyNumberFormat="1" applyFont="1" applyBorder="1"/>
    <xf numFmtId="169" fontId="80" fillId="0" borderId="0" xfId="13853" applyNumberFormat="1" applyFont="1" applyFill="1" applyBorder="1"/>
    <xf numFmtId="169" fontId="0" fillId="0" borderId="3" xfId="13853" applyNumberFormat="1" applyFont="1" applyBorder="1"/>
    <xf numFmtId="171" fontId="22" fillId="3" borderId="3" xfId="13859" applyNumberFormat="1" applyFont="1" applyFill="1" applyBorder="1"/>
    <xf numFmtId="171" fontId="22" fillId="0" borderId="0" xfId="13859" applyNumberFormat="1" applyFont="1" applyFill="1" applyBorder="1"/>
    <xf numFmtId="169" fontId="0" fillId="3" borderId="3" xfId="13853" applyNumberFormat="1" applyFont="1" applyFill="1" applyBorder="1"/>
    <xf numFmtId="169" fontId="80" fillId="0" borderId="3" xfId="13853" applyNumberFormat="1" applyFont="1" applyFill="1" applyBorder="1"/>
    <xf numFmtId="43" fontId="0" fillId="8" borderId="4" xfId="13859" applyFont="1" applyFill="1" applyBorder="1"/>
    <xf numFmtId="169" fontId="80" fillId="8" borderId="3" xfId="13853" applyNumberFormat="1" applyFont="1" applyFill="1" applyBorder="1"/>
    <xf numFmtId="0" fontId="0" fillId="8" borderId="4" xfId="0" applyFill="1" applyBorder="1"/>
    <xf numFmtId="43" fontId="80" fillId="0" borderId="3" xfId="13859" applyFont="1" applyFill="1" applyBorder="1"/>
    <xf numFmtId="43" fontId="80" fillId="0" borderId="0" xfId="13859" applyFont="1" applyFill="1" applyBorder="1"/>
    <xf numFmtId="43" fontId="9" fillId="0" borderId="2" xfId="13859" applyFont="1" applyBorder="1"/>
    <xf numFmtId="170" fontId="9" fillId="0" borderId="1" xfId="13859" applyNumberFormat="1" applyFont="1" applyBorder="1"/>
    <xf numFmtId="170" fontId="9" fillId="0" borderId="0" xfId="13859" applyNumberFormat="1" applyFont="1" applyFill="1" applyBorder="1"/>
    <xf numFmtId="0" fontId="9" fillId="0" borderId="2" xfId="0" applyFont="1" applyBorder="1"/>
    <xf numFmtId="171" fontId="0" fillId="3" borderId="0" xfId="0" applyNumberFormat="1" applyFill="1"/>
    <xf numFmtId="177" fontId="345" fillId="0" borderId="0" xfId="1" applyNumberFormat="1" applyFont="1" applyFill="1" applyBorder="1" applyAlignment="1">
      <alignment horizontal="right" vertical="center"/>
    </xf>
    <xf numFmtId="178" fontId="345" fillId="0" borderId="0" xfId="1" applyNumberFormat="1" applyFont="1" applyFill="1" applyBorder="1" applyAlignment="1">
      <alignment horizontal="right" vertical="center"/>
    </xf>
    <xf numFmtId="177" fontId="37" fillId="10" borderId="0" xfId="1" applyNumberFormat="1" applyFont="1" applyFill="1"/>
    <xf numFmtId="37" fontId="1" fillId="3" borderId="0" xfId="0" applyNumberFormat="1" applyFont="1" applyFill="1"/>
    <xf numFmtId="169" fontId="26" fillId="9" borderId="0" xfId="13889" applyNumberFormat="1" applyFont="1" applyFill="1"/>
    <xf numFmtId="169" fontId="26" fillId="9" borderId="0" xfId="13889" applyNumberFormat="1" applyFont="1" applyFill="1" applyBorder="1"/>
    <xf numFmtId="0" fontId="26" fillId="9" borderId="0" xfId="3" applyFont="1" applyFill="1" applyAlignment="1">
      <alignment horizontal="left"/>
    </xf>
    <xf numFmtId="9" fontId="45" fillId="9" borderId="0" xfId="13889" applyNumberFormat="1" applyFont="1" applyFill="1"/>
    <xf numFmtId="171" fontId="26" fillId="9" borderId="0" xfId="1" applyNumberFormat="1" applyFont="1" applyFill="1"/>
    <xf numFmtId="169" fontId="31" fillId="9" borderId="0" xfId="13889" applyNumberFormat="1" applyFont="1" applyFill="1"/>
    <xf numFmtId="169" fontId="45" fillId="9" borderId="0" xfId="13889" applyNumberFormat="1" applyFont="1" applyFill="1"/>
    <xf numFmtId="0" fontId="26" fillId="9" borderId="0" xfId="3" applyFont="1" applyFill="1"/>
    <xf numFmtId="10" fontId="124" fillId="0" borderId="0" xfId="13889" applyFont="1" applyFill="1" applyBorder="1" applyAlignment="1">
      <alignment vertical="center"/>
    </xf>
    <xf numFmtId="169" fontId="369" fillId="0" borderId="0" xfId="13889" applyNumberFormat="1" applyFont="1"/>
    <xf numFmtId="169" fontId="29" fillId="0" borderId="0" xfId="13889" applyNumberFormat="1" applyFont="1" applyFill="1"/>
    <xf numFmtId="169" fontId="370" fillId="9" borderId="0" xfId="13889" applyNumberFormat="1" applyFont="1" applyFill="1" applyBorder="1" applyAlignment="1">
      <alignment horizontal="left"/>
    </xf>
    <xf numFmtId="39" fontId="370" fillId="0" borderId="0" xfId="0" applyNumberFormat="1" applyFont="1"/>
    <xf numFmtId="39" fontId="370" fillId="14" borderId="0" xfId="3" applyNumberFormat="1" applyFont="1" applyFill="1" applyAlignment="1">
      <alignment horizontal="left"/>
    </xf>
    <xf numFmtId="39" fontId="370" fillId="14" borderId="0" xfId="1" applyNumberFormat="1" applyFont="1" applyFill="1"/>
    <xf numFmtId="166" fontId="370" fillId="14" borderId="0" xfId="1" applyFont="1" applyFill="1" applyBorder="1"/>
    <xf numFmtId="39" fontId="370" fillId="14" borderId="0" xfId="3" applyNumberFormat="1" applyFont="1" applyFill="1"/>
    <xf numFmtId="170" fontId="2" fillId="0" borderId="73" xfId="13859" applyNumberFormat="1" applyFont="1" applyBorder="1"/>
    <xf numFmtId="166" fontId="38" fillId="2" borderId="0" xfId="1" applyFont="1" applyFill="1" applyAlignment="1">
      <alignment horizontal="center"/>
    </xf>
    <xf numFmtId="0" fontId="116" fillId="2" borderId="0" xfId="2" applyFont="1" applyFill="1" applyAlignment="1">
      <alignment horizontal="center" vertical="center" textRotation="90"/>
    </xf>
    <xf numFmtId="0" fontId="113" fillId="2" borderId="0" xfId="2" applyFont="1" applyFill="1" applyAlignment="1">
      <alignment horizontal="center" wrapText="1"/>
    </xf>
    <xf numFmtId="0" fontId="34" fillId="2" borderId="0" xfId="2" applyFont="1" applyFill="1" applyAlignment="1">
      <alignment horizontal="right" vertical="center" textRotation="90"/>
    </xf>
    <xf numFmtId="0" fontId="68" fillId="0" borderId="0" xfId="0" applyFont="1" applyAlignment="1">
      <alignment horizontal="center" vertical="center"/>
    </xf>
  </cellXfs>
  <cellStyles count="24186">
    <cellStyle name="_x000a_386grabber=M" xfId="172" xr:uid="{00000000-0005-0000-0000-000000000000}"/>
    <cellStyle name="_x000a_386grabber=M 2" xfId="173" xr:uid="{00000000-0005-0000-0000-000001000000}"/>
    <cellStyle name="_x000a_386grabber=M 2 2" xfId="174" xr:uid="{00000000-0005-0000-0000-000002000000}"/>
    <cellStyle name="_x000a_386grabber=M 3" xfId="175" xr:uid="{00000000-0005-0000-0000-000003000000}"/>
    <cellStyle name="_x000a_386grabber=M 4" xfId="176" xr:uid="{00000000-0005-0000-0000-000004000000}"/>
    <cellStyle name="_x000a_386grabber=M 5" xfId="177" xr:uid="{00000000-0005-0000-0000-000005000000}"/>
    <cellStyle name="%" xfId="3" xr:uid="{00000000-0005-0000-0000-000006000000}"/>
    <cellStyle name="(Red)" xfId="4921" xr:uid="{00000000-0005-0000-0000-000007000000}"/>
    <cellStyle name="_%(SignOnly)" xfId="4922" xr:uid="{00000000-0005-0000-0000-000008000000}"/>
    <cellStyle name="_%(SignSpaceOnly)" xfId="4923" xr:uid="{00000000-0005-0000-0000-000009000000}"/>
    <cellStyle name="_Comma" xfId="4924" xr:uid="{00000000-0005-0000-0000-00000A000000}"/>
    <cellStyle name="_Currency" xfId="4925" xr:uid="{00000000-0005-0000-0000-00000B000000}"/>
    <cellStyle name="_Currency 2" xfId="13914" xr:uid="{11AB6450-3273-492C-9A0D-A166847A4B23}"/>
    <cellStyle name="_CurrencySpace" xfId="4926" xr:uid="{00000000-0005-0000-0000-00000C000000}"/>
    <cellStyle name="_Euro" xfId="4927" xr:uid="{00000000-0005-0000-0000-00000D000000}"/>
    <cellStyle name="_Heading" xfId="4928" xr:uid="{00000000-0005-0000-0000-00000E000000}"/>
    <cellStyle name="_Highlight" xfId="4929" xr:uid="{00000000-0005-0000-0000-00000F000000}"/>
    <cellStyle name="_Multiple" xfId="4930" xr:uid="{00000000-0005-0000-0000-000010000000}"/>
    <cellStyle name="_MultipleSpace" xfId="4931" xr:uid="{00000000-0005-0000-0000-000011000000}"/>
    <cellStyle name="_Percent" xfId="4932" xr:uid="{00000000-0005-0000-0000-000012000000}"/>
    <cellStyle name="_SubHeading" xfId="4933" xr:uid="{00000000-0005-0000-0000-000013000000}"/>
    <cellStyle name="_Table" xfId="4934" xr:uid="{00000000-0005-0000-0000-000014000000}"/>
    <cellStyle name="_TableHead" xfId="4935" xr:uid="{00000000-0005-0000-0000-000015000000}"/>
    <cellStyle name="_TableRowHead" xfId="4936" xr:uid="{00000000-0005-0000-0000-000016000000}"/>
    <cellStyle name="_TableSuperHead" xfId="4937" xr:uid="{00000000-0005-0000-0000-000017000000}"/>
    <cellStyle name="£ BP" xfId="178" xr:uid="{00000000-0005-0000-0000-000018000000}"/>
    <cellStyle name="¥ JY" xfId="179" xr:uid="{00000000-0005-0000-0000-000019000000}"/>
    <cellStyle name="¶W³sµ²" xfId="4938" xr:uid="{00000000-0005-0000-0000-00001A000000}"/>
    <cellStyle name="10" xfId="4939" xr:uid="{00000000-0005-0000-0000-00001B000000}"/>
    <cellStyle name="1o.nível" xfId="180" xr:uid="{00000000-0005-0000-0000-00001C000000}"/>
    <cellStyle name="20% - Accent1 2" xfId="109" xr:uid="{00000000-0005-0000-0000-00001D000000}"/>
    <cellStyle name="20% - Accent1 3" xfId="181" xr:uid="{00000000-0005-0000-0000-00001E000000}"/>
    <cellStyle name="20% - Accent1 4" xfId="182" xr:uid="{00000000-0005-0000-0000-00001F000000}"/>
    <cellStyle name="20% - Accent1 5" xfId="183" xr:uid="{00000000-0005-0000-0000-000020000000}"/>
    <cellStyle name="20% - Accent1 6" xfId="184" xr:uid="{00000000-0005-0000-0000-000021000000}"/>
    <cellStyle name="20% - Accent1 7" xfId="185" xr:uid="{00000000-0005-0000-0000-000022000000}"/>
    <cellStyle name="20% - Accent1 8" xfId="14" xr:uid="{00000000-0005-0000-0000-000023000000}"/>
    <cellStyle name="20% - Accent2 2" xfId="110" xr:uid="{00000000-0005-0000-0000-000024000000}"/>
    <cellStyle name="20% - Accent2 3" xfId="186" xr:uid="{00000000-0005-0000-0000-000025000000}"/>
    <cellStyle name="20% - Accent2 4" xfId="187" xr:uid="{00000000-0005-0000-0000-000026000000}"/>
    <cellStyle name="20% - Accent2 5" xfId="188" xr:uid="{00000000-0005-0000-0000-000027000000}"/>
    <cellStyle name="20% - Accent2 6" xfId="189" xr:uid="{00000000-0005-0000-0000-000028000000}"/>
    <cellStyle name="20% - Accent2 7" xfId="190" xr:uid="{00000000-0005-0000-0000-000029000000}"/>
    <cellStyle name="20% - Accent2 8" xfId="15" xr:uid="{00000000-0005-0000-0000-00002A000000}"/>
    <cellStyle name="20% - Accent3 2" xfId="111" xr:uid="{00000000-0005-0000-0000-00002B000000}"/>
    <cellStyle name="20% - Accent3 3" xfId="191" xr:uid="{00000000-0005-0000-0000-00002C000000}"/>
    <cellStyle name="20% - Accent3 4" xfId="192" xr:uid="{00000000-0005-0000-0000-00002D000000}"/>
    <cellStyle name="20% - Accent3 5" xfId="193" xr:uid="{00000000-0005-0000-0000-00002E000000}"/>
    <cellStyle name="20% - Accent3 6" xfId="194" xr:uid="{00000000-0005-0000-0000-00002F000000}"/>
    <cellStyle name="20% - Accent3 7" xfId="195" xr:uid="{00000000-0005-0000-0000-000030000000}"/>
    <cellStyle name="20% - Accent3 8" xfId="16" xr:uid="{00000000-0005-0000-0000-000031000000}"/>
    <cellStyle name="20% - Accent4 2" xfId="112" xr:uid="{00000000-0005-0000-0000-000032000000}"/>
    <cellStyle name="20% - Accent4 3" xfId="196" xr:uid="{00000000-0005-0000-0000-000033000000}"/>
    <cellStyle name="20% - Accent4 4" xfId="197" xr:uid="{00000000-0005-0000-0000-000034000000}"/>
    <cellStyle name="20% - Accent4 5" xfId="198" xr:uid="{00000000-0005-0000-0000-000035000000}"/>
    <cellStyle name="20% - Accent4 6" xfId="199" xr:uid="{00000000-0005-0000-0000-000036000000}"/>
    <cellStyle name="20% - Accent4 7" xfId="200" xr:uid="{00000000-0005-0000-0000-000037000000}"/>
    <cellStyle name="20% - Accent4 8" xfId="17" xr:uid="{00000000-0005-0000-0000-000038000000}"/>
    <cellStyle name="20% - Accent5 2" xfId="113" xr:uid="{00000000-0005-0000-0000-000039000000}"/>
    <cellStyle name="20% - Accent5 3" xfId="201" xr:uid="{00000000-0005-0000-0000-00003A000000}"/>
    <cellStyle name="20% - Accent5 4" xfId="202" xr:uid="{00000000-0005-0000-0000-00003B000000}"/>
    <cellStyle name="20% - Accent5 5" xfId="203" xr:uid="{00000000-0005-0000-0000-00003C000000}"/>
    <cellStyle name="20% - Accent5 6" xfId="204" xr:uid="{00000000-0005-0000-0000-00003D000000}"/>
    <cellStyle name="20% - Accent5 7" xfId="205" xr:uid="{00000000-0005-0000-0000-00003E000000}"/>
    <cellStyle name="20% - Accent5 8" xfId="18" xr:uid="{00000000-0005-0000-0000-00003F000000}"/>
    <cellStyle name="20% - Accent6 2" xfId="114" xr:uid="{00000000-0005-0000-0000-000040000000}"/>
    <cellStyle name="20% - Accent6 3" xfId="206" xr:uid="{00000000-0005-0000-0000-000041000000}"/>
    <cellStyle name="20% - Accent6 4" xfId="207" xr:uid="{00000000-0005-0000-0000-000042000000}"/>
    <cellStyle name="20% - Accent6 5" xfId="208" xr:uid="{00000000-0005-0000-0000-000043000000}"/>
    <cellStyle name="20% - Accent6 6" xfId="209" xr:uid="{00000000-0005-0000-0000-000044000000}"/>
    <cellStyle name="20% - Accent6 7" xfId="210" xr:uid="{00000000-0005-0000-0000-000045000000}"/>
    <cellStyle name="20% - Accent6 8" xfId="19" xr:uid="{00000000-0005-0000-0000-000046000000}"/>
    <cellStyle name="20% - Ênfase1" xfId="20" xr:uid="{00000000-0005-0000-0000-000047000000}"/>
    <cellStyle name="20% - Ênfase1 10" xfId="5488" xr:uid="{00000000-0005-0000-0000-000048000000}"/>
    <cellStyle name="20% - Ênfase1 11" xfId="5601" xr:uid="{00000000-0005-0000-0000-000049000000}"/>
    <cellStyle name="20% - Ênfase1 12" xfId="5630" xr:uid="{00000000-0005-0000-0000-00004A000000}"/>
    <cellStyle name="20% - Ênfase1 13" xfId="5655" xr:uid="{00000000-0005-0000-0000-00004B000000}"/>
    <cellStyle name="20% - Ênfase1 14" xfId="5668" xr:uid="{00000000-0005-0000-0000-00004C000000}"/>
    <cellStyle name="20% - Ênfase1 15" xfId="5683" xr:uid="{00000000-0005-0000-0000-00004D000000}"/>
    <cellStyle name="20% - Ênfase1 16" xfId="5751" xr:uid="{00000000-0005-0000-0000-00004E000000}"/>
    <cellStyle name="20% - Ênfase1 17" xfId="5783" xr:uid="{00000000-0005-0000-0000-00004F000000}"/>
    <cellStyle name="20% - Ênfase1 17 2" xfId="16149" xr:uid="{0082CE66-7426-40AA-952B-FBD4F7117938}"/>
    <cellStyle name="20% - Ênfase1 18" xfId="14184" xr:uid="{D44ACC68-20BD-42C0-BC91-D587AE6728E1}"/>
    <cellStyle name="20% - Ênfase1 2" xfId="4940" xr:uid="{00000000-0005-0000-0000-000050000000}"/>
    <cellStyle name="20% - Ênfase1 2 2" xfId="5811" xr:uid="{00000000-0005-0000-0000-000051000000}"/>
    <cellStyle name="20% - Ênfase1 2 2 2" xfId="5812" xr:uid="{00000000-0005-0000-0000-000052000000}"/>
    <cellStyle name="20% - Ênfase1 2 2 2 2" xfId="5813" xr:uid="{00000000-0005-0000-0000-000053000000}"/>
    <cellStyle name="20% - Ênfase1 2 2 2 2 2" xfId="5814" xr:uid="{00000000-0005-0000-0000-000054000000}"/>
    <cellStyle name="20% - Ênfase1 2 2 2 2 2 2" xfId="5815" xr:uid="{00000000-0005-0000-0000-000055000000}"/>
    <cellStyle name="20% - Ênfase1 2 2 2 2 2 2 2" xfId="5816" xr:uid="{00000000-0005-0000-0000-000056000000}"/>
    <cellStyle name="20% - Ênfase1 2 2 2 2 2 2 2 2" xfId="5817" xr:uid="{00000000-0005-0000-0000-000057000000}"/>
    <cellStyle name="20% - Ênfase1 2 2 2 2 2 2 2 3" xfId="14203" xr:uid="{87A65260-CB43-45D3-B039-2580373676B4}"/>
    <cellStyle name="20% - Ênfase1 2 2 2 2 2 2 3" xfId="5818" xr:uid="{00000000-0005-0000-0000-000058000000}"/>
    <cellStyle name="20% - Ênfase1 2 2 2 2 2 3" xfId="5819" xr:uid="{00000000-0005-0000-0000-000059000000}"/>
    <cellStyle name="20% - Ênfase1 2 2 2 2 2 3 2" xfId="5820" xr:uid="{00000000-0005-0000-0000-00005A000000}"/>
    <cellStyle name="20% - Ênfase1 2 2 2 2 2 3 2 2" xfId="14205" xr:uid="{921223AF-A0FE-4DA1-8202-2DA1C319A9FA}"/>
    <cellStyle name="20% - Ênfase1 2 2 2 2 2 4" xfId="14201" xr:uid="{BA868F18-5730-4E52-923D-98CC733FDF6B}"/>
    <cellStyle name="20% - Ênfase1 2 2 2 2 3" xfId="5821" xr:uid="{00000000-0005-0000-0000-00005B000000}"/>
    <cellStyle name="20% - Ênfase1 2 2 2 2 3 2" xfId="5822" xr:uid="{00000000-0005-0000-0000-00005C000000}"/>
    <cellStyle name="20% - Ênfase1 2 2 2 2 3 3" xfId="14206" xr:uid="{E3D9CFBC-B002-4E4A-B3EA-6D2F2CA10EEC}"/>
    <cellStyle name="20% - Ênfase1 2 2 2 3" xfId="5823" xr:uid="{00000000-0005-0000-0000-00005D000000}"/>
    <cellStyle name="20% - Ênfase1 2 2 2 4" xfId="5824" xr:uid="{00000000-0005-0000-0000-00005E000000}"/>
    <cellStyle name="20% - Ênfase1 2 2 2 4 2" xfId="5825" xr:uid="{00000000-0005-0000-0000-00005F000000}"/>
    <cellStyle name="20% - Ênfase1 2 2 2 4 2 2" xfId="14208" xr:uid="{9390FF2F-B331-4E48-A5A7-1DE3869D0632}"/>
    <cellStyle name="20% - Ênfase1 2 2 2 5" xfId="14200" xr:uid="{47F3829C-5671-45F2-9821-AFA7F5B14E24}"/>
    <cellStyle name="20% - Ênfase1 2 2 3" xfId="5826" xr:uid="{00000000-0005-0000-0000-000060000000}"/>
    <cellStyle name="20% - Ênfase1 2 2 3 2" xfId="14209" xr:uid="{CA4643BE-5D0B-4865-BDF0-D11097E1B1F0}"/>
    <cellStyle name="20% - Ênfase1 2 2 4" xfId="5827" xr:uid="{00000000-0005-0000-0000-000061000000}"/>
    <cellStyle name="20% - Ênfase1 2 2 4 2" xfId="5828" xr:uid="{00000000-0005-0000-0000-000062000000}"/>
    <cellStyle name="20% - Ênfase1 2 2 4 3" xfId="14210" xr:uid="{E738C2B3-7492-4E49-AF26-211FBC7CDE73}"/>
    <cellStyle name="20% - Ênfase1 2 3" xfId="5829" xr:uid="{00000000-0005-0000-0000-000063000000}"/>
    <cellStyle name="20% - Ênfase1 2 4" xfId="5830" xr:uid="{00000000-0005-0000-0000-000064000000}"/>
    <cellStyle name="20% - Ênfase1 2 5" xfId="5831" xr:uid="{00000000-0005-0000-0000-000065000000}"/>
    <cellStyle name="20% - Ênfase1 2 6" xfId="5832" xr:uid="{00000000-0005-0000-0000-000066000000}"/>
    <cellStyle name="20% - Ênfase1 2 6 2" xfId="5833" xr:uid="{00000000-0005-0000-0000-000067000000}"/>
    <cellStyle name="20% - Ênfase1 2 6 2 2" xfId="14211" xr:uid="{D531E9E6-57EC-418B-AE24-7BCFA584F780}"/>
    <cellStyle name="20% - Ênfase1 2 7" xfId="5810" xr:uid="{00000000-0005-0000-0000-000068000000}"/>
    <cellStyle name="20% - Ênfase1 2 7 2" xfId="14199" xr:uid="{EDC37219-367F-44E3-90DB-4A516326319E}"/>
    <cellStyle name="20% - Ênfase1 3" xfId="5205" xr:uid="{00000000-0005-0000-0000-000069000000}"/>
    <cellStyle name="20% - Ênfase1 3 2" xfId="5835" xr:uid="{00000000-0005-0000-0000-00006A000000}"/>
    <cellStyle name="20% - Ênfase1 3 2 2" xfId="14213" xr:uid="{1E233F82-58A0-42B3-AFAA-B1D26CB2C700}"/>
    <cellStyle name="20% - Ênfase1 3 3" xfId="5836" xr:uid="{00000000-0005-0000-0000-00006B000000}"/>
    <cellStyle name="20% - Ênfase1 3 3 2" xfId="14214" xr:uid="{F12B7FA6-31FE-4132-BEA8-31775823F8DF}"/>
    <cellStyle name="20% - Ênfase1 3 4" xfId="5837" xr:uid="{00000000-0005-0000-0000-00006C000000}"/>
    <cellStyle name="20% - Ênfase1 3 4 2" xfId="14215" xr:uid="{493A7AEA-6FEB-401E-909D-E0FE04C92809}"/>
    <cellStyle name="20% - Ênfase1 3 5" xfId="5834" xr:uid="{00000000-0005-0000-0000-00006D000000}"/>
    <cellStyle name="20% - Ênfase1 3 5 2" xfId="14212" xr:uid="{F8D153EB-52DA-4BD7-B33B-27526FAB7A0B}"/>
    <cellStyle name="20% - Ênfase1 4" xfId="5337" xr:uid="{00000000-0005-0000-0000-00006E000000}"/>
    <cellStyle name="20% - Ênfase1 4 2" xfId="5839" xr:uid="{00000000-0005-0000-0000-00006F000000}"/>
    <cellStyle name="20% - Ênfase1 4 2 2" xfId="14217" xr:uid="{4330B149-F9F5-449A-A260-17F9FE523A72}"/>
    <cellStyle name="20% - Ênfase1 4 3" xfId="5840" xr:uid="{00000000-0005-0000-0000-000070000000}"/>
    <cellStyle name="20% - Ênfase1 4 3 2" xfId="14218" xr:uid="{B16D89B7-9052-4998-BC06-DD4DC7D2267F}"/>
    <cellStyle name="20% - Ênfase1 4 4" xfId="5838" xr:uid="{00000000-0005-0000-0000-000071000000}"/>
    <cellStyle name="20% - Ênfase1 4 4 2" xfId="14216" xr:uid="{CF7B3E10-F56E-4197-84A0-DCD24F96C1D6}"/>
    <cellStyle name="20% - Ênfase1 5" xfId="5366" xr:uid="{00000000-0005-0000-0000-000072000000}"/>
    <cellStyle name="20% - Ênfase1 5 2" xfId="5842" xr:uid="{00000000-0005-0000-0000-000073000000}"/>
    <cellStyle name="20% - Ênfase1 5 2 2" xfId="14220" xr:uid="{F20E0C4C-C916-42D4-B2EA-84A64E2EC7E6}"/>
    <cellStyle name="20% - Ênfase1 5 3" xfId="5841" xr:uid="{00000000-0005-0000-0000-000074000000}"/>
    <cellStyle name="20% - Ênfase1 5 3 2" xfId="14219" xr:uid="{F00F0835-D059-4131-9F8F-8BB134C63773}"/>
    <cellStyle name="20% - Ênfase1 6" xfId="5394" xr:uid="{00000000-0005-0000-0000-000075000000}"/>
    <cellStyle name="20% - Ênfase1 6 2" xfId="5844" xr:uid="{00000000-0005-0000-0000-000076000000}"/>
    <cellStyle name="20% - Ênfase1 6 3" xfId="7304" xr:uid="{00000000-0005-0000-0000-000077000000}"/>
    <cellStyle name="20% - Ênfase1 6 3 2" xfId="14746" xr:uid="{11C06118-017C-4973-9223-6F23CCFD9C36}"/>
    <cellStyle name="20% - Ênfase1 6 4" xfId="5843" xr:uid="{00000000-0005-0000-0000-000078000000}"/>
    <cellStyle name="20% - Ênfase1 6 4 2" xfId="14221" xr:uid="{120854D8-8312-489B-9C1B-F163FC04BAF3}"/>
    <cellStyle name="20% - Ênfase1 7" xfId="5421" xr:uid="{00000000-0005-0000-0000-000079000000}"/>
    <cellStyle name="20% - Ênfase1 7 2" xfId="7305" xr:uid="{00000000-0005-0000-0000-00007A000000}"/>
    <cellStyle name="20% - Ênfase1 7 2 2" xfId="14747" xr:uid="{0BB6769F-CAFB-4BD6-B5AD-5F3756519081}"/>
    <cellStyle name="20% - Ênfase1 7 3" xfId="5845" xr:uid="{00000000-0005-0000-0000-00007B000000}"/>
    <cellStyle name="20% - Ênfase1 7 3 2" xfId="14222" xr:uid="{0C4E476D-DC70-43EA-BF83-464C4BCC0AAF}"/>
    <cellStyle name="20% - Ênfase1 8" xfId="5446" xr:uid="{00000000-0005-0000-0000-00007C000000}"/>
    <cellStyle name="20% - Ênfase1 9" xfId="5459" xr:uid="{00000000-0005-0000-0000-00007D000000}"/>
    <cellStyle name="20% - Ênfase2" xfId="21" xr:uid="{00000000-0005-0000-0000-00007E000000}"/>
    <cellStyle name="20% - Ênfase2 10" xfId="5489" xr:uid="{00000000-0005-0000-0000-00007F000000}"/>
    <cellStyle name="20% - Ênfase2 11" xfId="5600" xr:uid="{00000000-0005-0000-0000-000080000000}"/>
    <cellStyle name="20% - Ênfase2 12" xfId="5629" xr:uid="{00000000-0005-0000-0000-000081000000}"/>
    <cellStyle name="20% - Ênfase2 13" xfId="5654" xr:uid="{00000000-0005-0000-0000-000082000000}"/>
    <cellStyle name="20% - Ênfase2 14" xfId="5667" xr:uid="{00000000-0005-0000-0000-000083000000}"/>
    <cellStyle name="20% - Ênfase2 15" xfId="5684" xr:uid="{00000000-0005-0000-0000-000084000000}"/>
    <cellStyle name="20% - Ênfase2 16" xfId="5750" xr:uid="{00000000-0005-0000-0000-000085000000}"/>
    <cellStyle name="20% - Ênfase2 17" xfId="5787" xr:uid="{00000000-0005-0000-0000-000086000000}"/>
    <cellStyle name="20% - Ênfase2 17 2" xfId="16151" xr:uid="{BCD2FDE7-CDE3-4F11-B2EF-205B360764FC}"/>
    <cellStyle name="20% - Ênfase2 18" xfId="14186" xr:uid="{6DFECC1F-EAC6-4F24-8DD4-7B997F890D11}"/>
    <cellStyle name="20% - Ênfase2 2" xfId="4941" xr:uid="{00000000-0005-0000-0000-000087000000}"/>
    <cellStyle name="20% - Ênfase2 2 2" xfId="5847" xr:uid="{00000000-0005-0000-0000-000088000000}"/>
    <cellStyle name="20% - Ênfase2 2 2 2" xfId="5848" xr:uid="{00000000-0005-0000-0000-000089000000}"/>
    <cellStyle name="20% - Ênfase2 2 2 2 2" xfId="5849" xr:uid="{00000000-0005-0000-0000-00008A000000}"/>
    <cellStyle name="20% - Ênfase2 2 2 2 2 2" xfId="5850" xr:uid="{00000000-0005-0000-0000-00008B000000}"/>
    <cellStyle name="20% - Ênfase2 2 2 2 2 2 2" xfId="5851" xr:uid="{00000000-0005-0000-0000-00008C000000}"/>
    <cellStyle name="20% - Ênfase2 2 2 2 2 2 2 2" xfId="5852" xr:uid="{00000000-0005-0000-0000-00008D000000}"/>
    <cellStyle name="20% - Ênfase2 2 2 2 2 2 2 2 2" xfId="5853" xr:uid="{00000000-0005-0000-0000-00008E000000}"/>
    <cellStyle name="20% - Ênfase2 2 2 2 2 2 2 2 3" xfId="14227" xr:uid="{C8A44625-9B32-4572-9AF1-165FAFF8715C}"/>
    <cellStyle name="20% - Ênfase2 2 2 2 2 2 2 3" xfId="5854" xr:uid="{00000000-0005-0000-0000-00008F000000}"/>
    <cellStyle name="20% - Ênfase2 2 2 2 2 2 3" xfId="5855" xr:uid="{00000000-0005-0000-0000-000090000000}"/>
    <cellStyle name="20% - Ênfase2 2 2 2 2 2 3 2" xfId="5856" xr:uid="{00000000-0005-0000-0000-000091000000}"/>
    <cellStyle name="20% - Ênfase2 2 2 2 2 2 3 2 2" xfId="14228" xr:uid="{0EA87080-0EA9-4CF8-9DD1-590AAF67AD64}"/>
    <cellStyle name="20% - Ênfase2 2 2 2 2 2 4" xfId="14226" xr:uid="{B001E5B3-AF0D-4A8C-9171-81CFEFD539E0}"/>
    <cellStyle name="20% - Ênfase2 2 2 2 2 3" xfId="5857" xr:uid="{00000000-0005-0000-0000-000092000000}"/>
    <cellStyle name="20% - Ênfase2 2 2 2 2 3 2" xfId="5858" xr:uid="{00000000-0005-0000-0000-000093000000}"/>
    <cellStyle name="20% - Ênfase2 2 2 2 2 3 3" xfId="14229" xr:uid="{175ED154-8673-4FD4-9269-B4AC6AED4F28}"/>
    <cellStyle name="20% - Ênfase2 2 2 2 3" xfId="5859" xr:uid="{00000000-0005-0000-0000-000094000000}"/>
    <cellStyle name="20% - Ênfase2 2 2 2 4" xfId="5860" xr:uid="{00000000-0005-0000-0000-000095000000}"/>
    <cellStyle name="20% - Ênfase2 2 2 2 4 2" xfId="5861" xr:uid="{00000000-0005-0000-0000-000096000000}"/>
    <cellStyle name="20% - Ênfase2 2 2 2 4 2 2" xfId="14230" xr:uid="{D3035ADD-FCB2-40E5-905B-67808FE84EC6}"/>
    <cellStyle name="20% - Ênfase2 2 2 2 5" xfId="14225" xr:uid="{8A34EA64-513F-455E-BDF4-FA2218B1FD0D}"/>
    <cellStyle name="20% - Ênfase2 2 2 3" xfId="5862" xr:uid="{00000000-0005-0000-0000-000097000000}"/>
    <cellStyle name="20% - Ênfase2 2 2 3 2" xfId="14231" xr:uid="{14183CCC-1B0C-4A0A-97C6-AE02B5F7800F}"/>
    <cellStyle name="20% - Ênfase2 2 2 4" xfId="5863" xr:uid="{00000000-0005-0000-0000-000098000000}"/>
    <cellStyle name="20% - Ênfase2 2 2 4 2" xfId="5864" xr:uid="{00000000-0005-0000-0000-000099000000}"/>
    <cellStyle name="20% - Ênfase2 2 2 4 3" xfId="14232" xr:uid="{9C713212-EA64-4B23-995C-BB0C0498887D}"/>
    <cellStyle name="20% - Ênfase2 2 3" xfId="5865" xr:uid="{00000000-0005-0000-0000-00009A000000}"/>
    <cellStyle name="20% - Ênfase2 2 4" xfId="5866" xr:uid="{00000000-0005-0000-0000-00009B000000}"/>
    <cellStyle name="20% - Ênfase2 2 5" xfId="5867" xr:uid="{00000000-0005-0000-0000-00009C000000}"/>
    <cellStyle name="20% - Ênfase2 2 6" xfId="5868" xr:uid="{00000000-0005-0000-0000-00009D000000}"/>
    <cellStyle name="20% - Ênfase2 2 6 2" xfId="5869" xr:uid="{00000000-0005-0000-0000-00009E000000}"/>
    <cellStyle name="20% - Ênfase2 2 6 2 2" xfId="14233" xr:uid="{0D6ECA6E-970A-4250-98E4-8838ABBF0B2D}"/>
    <cellStyle name="20% - Ênfase2 2 7" xfId="5846" xr:uid="{00000000-0005-0000-0000-00009F000000}"/>
    <cellStyle name="20% - Ênfase2 2 7 2" xfId="14223" xr:uid="{A8BAA34C-DFD9-4B69-BA43-F1FF7D7CF573}"/>
    <cellStyle name="20% - Ênfase2 3" xfId="5206" xr:uid="{00000000-0005-0000-0000-0000A0000000}"/>
    <cellStyle name="20% - Ênfase2 3 2" xfId="5871" xr:uid="{00000000-0005-0000-0000-0000A1000000}"/>
    <cellStyle name="20% - Ênfase2 3 2 2" xfId="14235" xr:uid="{93D788F4-990E-4661-87C8-FD98A6F1549E}"/>
    <cellStyle name="20% - Ênfase2 3 3" xfId="5872" xr:uid="{00000000-0005-0000-0000-0000A2000000}"/>
    <cellStyle name="20% - Ênfase2 3 3 2" xfId="14236" xr:uid="{0B9B6872-BD26-4B3F-A5BD-0871ED4046DB}"/>
    <cellStyle name="20% - Ênfase2 3 4" xfId="5873" xr:uid="{00000000-0005-0000-0000-0000A3000000}"/>
    <cellStyle name="20% - Ênfase2 3 4 2" xfId="14237" xr:uid="{00A7DC24-5C7B-4FB6-9DAC-9EEDDD3B40ED}"/>
    <cellStyle name="20% - Ênfase2 3 5" xfId="5870" xr:uid="{00000000-0005-0000-0000-0000A4000000}"/>
    <cellStyle name="20% - Ênfase2 3 5 2" xfId="14234" xr:uid="{50C0F73F-30E2-4DB3-B924-D18F4BD0A9EE}"/>
    <cellStyle name="20% - Ênfase2 4" xfId="5336" xr:uid="{00000000-0005-0000-0000-0000A5000000}"/>
    <cellStyle name="20% - Ênfase2 4 2" xfId="5875" xr:uid="{00000000-0005-0000-0000-0000A6000000}"/>
    <cellStyle name="20% - Ênfase2 4 2 2" xfId="14239" xr:uid="{01A11B86-170F-49EA-A669-2A66CB88D5D0}"/>
    <cellStyle name="20% - Ênfase2 4 3" xfId="5876" xr:uid="{00000000-0005-0000-0000-0000A7000000}"/>
    <cellStyle name="20% - Ênfase2 4 3 2" xfId="14240" xr:uid="{7D10E63B-77FC-42D1-A565-EF4D08014212}"/>
    <cellStyle name="20% - Ênfase2 4 4" xfId="5874" xr:uid="{00000000-0005-0000-0000-0000A8000000}"/>
    <cellStyle name="20% - Ênfase2 4 4 2" xfId="14238" xr:uid="{93263A3A-DBD5-4F0E-9FF2-B59C9E11262A}"/>
    <cellStyle name="20% - Ênfase2 5" xfId="5365" xr:uid="{00000000-0005-0000-0000-0000A9000000}"/>
    <cellStyle name="20% - Ênfase2 5 2" xfId="5878" xr:uid="{00000000-0005-0000-0000-0000AA000000}"/>
    <cellStyle name="20% - Ênfase2 5 2 2" xfId="14242" xr:uid="{5E9E9DDF-7FE0-4296-90B8-B8767EB23287}"/>
    <cellStyle name="20% - Ênfase2 5 3" xfId="5877" xr:uid="{00000000-0005-0000-0000-0000AB000000}"/>
    <cellStyle name="20% - Ênfase2 5 3 2" xfId="14241" xr:uid="{EDFC966A-3E05-4EF1-B88E-068F47250AEC}"/>
    <cellStyle name="20% - Ênfase2 6" xfId="5393" xr:uid="{00000000-0005-0000-0000-0000AC000000}"/>
    <cellStyle name="20% - Ênfase2 6 2" xfId="5880" xr:uid="{00000000-0005-0000-0000-0000AD000000}"/>
    <cellStyle name="20% - Ênfase2 6 3" xfId="7306" xr:uid="{00000000-0005-0000-0000-0000AE000000}"/>
    <cellStyle name="20% - Ênfase2 6 3 2" xfId="14748" xr:uid="{D921D882-4131-4B3D-9F6D-9CD7D5CAF405}"/>
    <cellStyle name="20% - Ênfase2 6 4" xfId="5879" xr:uid="{00000000-0005-0000-0000-0000AF000000}"/>
    <cellStyle name="20% - Ênfase2 6 4 2" xfId="14243" xr:uid="{4B80E3AD-F2C3-4977-B38C-C143FB065CA7}"/>
    <cellStyle name="20% - Ênfase2 7" xfId="5420" xr:uid="{00000000-0005-0000-0000-0000B0000000}"/>
    <cellStyle name="20% - Ênfase2 7 2" xfId="7307" xr:uid="{00000000-0005-0000-0000-0000B1000000}"/>
    <cellStyle name="20% - Ênfase2 7 2 2" xfId="14749" xr:uid="{84452A89-D5AE-4773-8B67-3FC73CC4AE5F}"/>
    <cellStyle name="20% - Ênfase2 7 3" xfId="5881" xr:uid="{00000000-0005-0000-0000-0000B2000000}"/>
    <cellStyle name="20% - Ênfase2 7 3 2" xfId="14244" xr:uid="{2678069A-5CF6-44F1-B28D-1FB0819ADFA3}"/>
    <cellStyle name="20% - Ênfase2 8" xfId="5445" xr:uid="{00000000-0005-0000-0000-0000B3000000}"/>
    <cellStyle name="20% - Ênfase2 9" xfId="5458" xr:uid="{00000000-0005-0000-0000-0000B4000000}"/>
    <cellStyle name="20% - Ênfase3" xfId="22" xr:uid="{00000000-0005-0000-0000-0000B5000000}"/>
    <cellStyle name="20% - Ênfase3 10" xfId="5490" xr:uid="{00000000-0005-0000-0000-0000B6000000}"/>
    <cellStyle name="20% - Ênfase3 11" xfId="5599" xr:uid="{00000000-0005-0000-0000-0000B7000000}"/>
    <cellStyle name="20% - Ênfase3 12" xfId="5628" xr:uid="{00000000-0005-0000-0000-0000B8000000}"/>
    <cellStyle name="20% - Ênfase3 13" xfId="5653" xr:uid="{00000000-0005-0000-0000-0000B9000000}"/>
    <cellStyle name="20% - Ênfase3 14" xfId="5666" xr:uid="{00000000-0005-0000-0000-0000BA000000}"/>
    <cellStyle name="20% - Ênfase3 15" xfId="5685" xr:uid="{00000000-0005-0000-0000-0000BB000000}"/>
    <cellStyle name="20% - Ênfase3 16" xfId="5749" xr:uid="{00000000-0005-0000-0000-0000BC000000}"/>
    <cellStyle name="20% - Ênfase3 17" xfId="5791" xr:uid="{00000000-0005-0000-0000-0000BD000000}"/>
    <cellStyle name="20% - Ênfase3 17 2" xfId="16153" xr:uid="{DE3F8DD2-FB9A-489C-B153-F8525D17EA08}"/>
    <cellStyle name="20% - Ênfase3 18" xfId="14188" xr:uid="{077F2FF2-8C19-45B5-9743-467D1E234897}"/>
    <cellStyle name="20% - Ênfase3 2" xfId="4942" xr:uid="{00000000-0005-0000-0000-0000BE000000}"/>
    <cellStyle name="20% - Ênfase3 2 2" xfId="5883" xr:uid="{00000000-0005-0000-0000-0000BF000000}"/>
    <cellStyle name="20% - Ênfase3 2 2 2" xfId="5884" xr:uid="{00000000-0005-0000-0000-0000C0000000}"/>
    <cellStyle name="20% - Ênfase3 2 2 2 2" xfId="5885" xr:uid="{00000000-0005-0000-0000-0000C1000000}"/>
    <cellStyle name="20% - Ênfase3 2 2 2 2 2" xfId="5886" xr:uid="{00000000-0005-0000-0000-0000C2000000}"/>
    <cellStyle name="20% - Ênfase3 2 2 2 2 2 2" xfId="5887" xr:uid="{00000000-0005-0000-0000-0000C3000000}"/>
    <cellStyle name="20% - Ênfase3 2 2 2 2 2 2 2" xfId="5888" xr:uid="{00000000-0005-0000-0000-0000C4000000}"/>
    <cellStyle name="20% - Ênfase3 2 2 2 2 2 2 2 2" xfId="5889" xr:uid="{00000000-0005-0000-0000-0000C5000000}"/>
    <cellStyle name="20% - Ênfase3 2 2 2 2 2 2 2 3" xfId="14249" xr:uid="{71C78919-F7F9-4EEA-BC84-3A6AE49111CB}"/>
    <cellStyle name="20% - Ênfase3 2 2 2 2 2 2 3" xfId="5890" xr:uid="{00000000-0005-0000-0000-0000C6000000}"/>
    <cellStyle name="20% - Ênfase3 2 2 2 2 2 3" xfId="5891" xr:uid="{00000000-0005-0000-0000-0000C7000000}"/>
    <cellStyle name="20% - Ênfase3 2 2 2 2 2 3 2" xfId="5892" xr:uid="{00000000-0005-0000-0000-0000C8000000}"/>
    <cellStyle name="20% - Ênfase3 2 2 2 2 2 3 2 2" xfId="14252" xr:uid="{EB73FDC3-38F5-47FB-B66C-8A123B48E7D7}"/>
    <cellStyle name="20% - Ênfase3 2 2 2 2 2 4" xfId="14248" xr:uid="{20D6523F-5973-44F5-ACD8-424E7B38C99C}"/>
    <cellStyle name="20% - Ênfase3 2 2 2 2 3" xfId="5893" xr:uid="{00000000-0005-0000-0000-0000C9000000}"/>
    <cellStyle name="20% - Ênfase3 2 2 2 2 3 2" xfId="5894" xr:uid="{00000000-0005-0000-0000-0000CA000000}"/>
    <cellStyle name="20% - Ênfase3 2 2 2 2 3 3" xfId="14253" xr:uid="{5EDF5F35-E6E2-40F7-B7E3-92CFA50B3F1D}"/>
    <cellStyle name="20% - Ênfase3 2 2 2 3" xfId="5895" xr:uid="{00000000-0005-0000-0000-0000CB000000}"/>
    <cellStyle name="20% - Ênfase3 2 2 2 4" xfId="5896" xr:uid="{00000000-0005-0000-0000-0000CC000000}"/>
    <cellStyle name="20% - Ênfase3 2 2 2 4 2" xfId="5897" xr:uid="{00000000-0005-0000-0000-0000CD000000}"/>
    <cellStyle name="20% - Ênfase3 2 2 2 4 2 2" xfId="14255" xr:uid="{AFA058AE-D015-4415-92FB-D202CEA40A04}"/>
    <cellStyle name="20% - Ênfase3 2 2 2 5" xfId="14247" xr:uid="{C098262F-82B6-42F6-B379-1656F369FCAE}"/>
    <cellStyle name="20% - Ênfase3 2 2 3" xfId="5898" xr:uid="{00000000-0005-0000-0000-0000CE000000}"/>
    <cellStyle name="20% - Ênfase3 2 2 3 2" xfId="14256" xr:uid="{39632376-B578-45D5-B98E-22CE2770004D}"/>
    <cellStyle name="20% - Ênfase3 2 2 4" xfId="5899" xr:uid="{00000000-0005-0000-0000-0000CF000000}"/>
    <cellStyle name="20% - Ênfase3 2 2 4 2" xfId="5900" xr:uid="{00000000-0005-0000-0000-0000D0000000}"/>
    <cellStyle name="20% - Ênfase3 2 2 4 3" xfId="14257" xr:uid="{07BD9D81-B607-428C-9D91-149A533DF186}"/>
    <cellStyle name="20% - Ênfase3 2 3" xfId="5901" xr:uid="{00000000-0005-0000-0000-0000D1000000}"/>
    <cellStyle name="20% - Ênfase3 2 4" xfId="5902" xr:uid="{00000000-0005-0000-0000-0000D2000000}"/>
    <cellStyle name="20% - Ênfase3 2 5" xfId="5903" xr:uid="{00000000-0005-0000-0000-0000D3000000}"/>
    <cellStyle name="20% - Ênfase3 2 6" xfId="5904" xr:uid="{00000000-0005-0000-0000-0000D4000000}"/>
    <cellStyle name="20% - Ênfase3 2 6 2" xfId="5905" xr:uid="{00000000-0005-0000-0000-0000D5000000}"/>
    <cellStyle name="20% - Ênfase3 2 6 2 2" xfId="14259" xr:uid="{145C9737-2A25-4F60-BE03-5889F728AEF5}"/>
    <cellStyle name="20% - Ênfase3 2 7" xfId="5882" xr:uid="{00000000-0005-0000-0000-0000D6000000}"/>
    <cellStyle name="20% - Ênfase3 2 7 2" xfId="14245" xr:uid="{619E9216-ABB8-40C7-9787-E07C1CD7E3DF}"/>
    <cellStyle name="20% - Ênfase3 3" xfId="5207" xr:uid="{00000000-0005-0000-0000-0000D7000000}"/>
    <cellStyle name="20% - Ênfase3 3 2" xfId="5907" xr:uid="{00000000-0005-0000-0000-0000D8000000}"/>
    <cellStyle name="20% - Ênfase3 3 2 2" xfId="14261" xr:uid="{5BC19B54-D4C9-472D-A210-70EBC14A83C7}"/>
    <cellStyle name="20% - Ênfase3 3 3" xfId="5908" xr:uid="{00000000-0005-0000-0000-0000D9000000}"/>
    <cellStyle name="20% - Ênfase3 3 3 2" xfId="14262" xr:uid="{34A5BC0D-0638-4278-BFB0-43522FAE68EF}"/>
    <cellStyle name="20% - Ênfase3 3 4" xfId="5909" xr:uid="{00000000-0005-0000-0000-0000DA000000}"/>
    <cellStyle name="20% - Ênfase3 3 4 2" xfId="14263" xr:uid="{1F1C5666-F847-4A73-AFBC-55A40D74C54D}"/>
    <cellStyle name="20% - Ênfase3 3 5" xfId="5906" xr:uid="{00000000-0005-0000-0000-0000DB000000}"/>
    <cellStyle name="20% - Ênfase3 3 5 2" xfId="14260" xr:uid="{0C09A3E2-D160-4585-B2F3-ED8928790761}"/>
    <cellStyle name="20% - Ênfase3 4" xfId="5335" xr:uid="{00000000-0005-0000-0000-0000DC000000}"/>
    <cellStyle name="20% - Ênfase3 4 2" xfId="5911" xr:uid="{00000000-0005-0000-0000-0000DD000000}"/>
    <cellStyle name="20% - Ênfase3 4 2 2" xfId="14265" xr:uid="{0760DDDF-2554-4157-B8FF-02238D262202}"/>
    <cellStyle name="20% - Ênfase3 4 3" xfId="5912" xr:uid="{00000000-0005-0000-0000-0000DE000000}"/>
    <cellStyle name="20% - Ênfase3 4 3 2" xfId="14266" xr:uid="{AFF9F83D-D63C-427A-8EAB-F54D2031D27F}"/>
    <cellStyle name="20% - Ênfase3 4 4" xfId="5910" xr:uid="{00000000-0005-0000-0000-0000DF000000}"/>
    <cellStyle name="20% - Ênfase3 4 4 2" xfId="14264" xr:uid="{52AE5488-3D2F-4DB8-93CC-B9D92F9F6665}"/>
    <cellStyle name="20% - Ênfase3 5" xfId="5364" xr:uid="{00000000-0005-0000-0000-0000E0000000}"/>
    <cellStyle name="20% - Ênfase3 5 2" xfId="5914" xr:uid="{00000000-0005-0000-0000-0000E1000000}"/>
    <cellStyle name="20% - Ênfase3 5 2 2" xfId="14268" xr:uid="{46EF60BB-9F1D-475E-BCEA-26AE9551A672}"/>
    <cellStyle name="20% - Ênfase3 5 3" xfId="5913" xr:uid="{00000000-0005-0000-0000-0000E2000000}"/>
    <cellStyle name="20% - Ênfase3 5 3 2" xfId="14267" xr:uid="{C3B289AC-01E7-4ED6-BF3A-27B0C9728F2C}"/>
    <cellStyle name="20% - Ênfase3 6" xfId="5392" xr:uid="{00000000-0005-0000-0000-0000E3000000}"/>
    <cellStyle name="20% - Ênfase3 6 2" xfId="5916" xr:uid="{00000000-0005-0000-0000-0000E4000000}"/>
    <cellStyle name="20% - Ênfase3 6 3" xfId="7308" xr:uid="{00000000-0005-0000-0000-0000E5000000}"/>
    <cellStyle name="20% - Ênfase3 6 3 2" xfId="14750" xr:uid="{AB9D60DC-537B-44E1-8A55-8EBB76177871}"/>
    <cellStyle name="20% - Ênfase3 6 4" xfId="5915" xr:uid="{00000000-0005-0000-0000-0000E6000000}"/>
    <cellStyle name="20% - Ênfase3 6 4 2" xfId="14269" xr:uid="{5E5A0A9A-EDC5-4075-8AA1-FF5E49FB2897}"/>
    <cellStyle name="20% - Ênfase3 7" xfId="5419" xr:uid="{00000000-0005-0000-0000-0000E7000000}"/>
    <cellStyle name="20% - Ênfase3 7 2" xfId="7309" xr:uid="{00000000-0005-0000-0000-0000E8000000}"/>
    <cellStyle name="20% - Ênfase3 7 2 2" xfId="14751" xr:uid="{741AD425-6DFC-457D-8A04-C348B286CD06}"/>
    <cellStyle name="20% - Ênfase3 7 3" xfId="5917" xr:uid="{00000000-0005-0000-0000-0000E9000000}"/>
    <cellStyle name="20% - Ênfase3 7 3 2" xfId="14270" xr:uid="{3CEB3CEC-1394-4E8C-9A03-19CEE6ACAB5F}"/>
    <cellStyle name="20% - Ênfase3 8" xfId="5444" xr:uid="{00000000-0005-0000-0000-0000EA000000}"/>
    <cellStyle name="20% - Ênfase3 9" xfId="5457" xr:uid="{00000000-0005-0000-0000-0000EB000000}"/>
    <cellStyle name="20% - Ênfase4" xfId="23" xr:uid="{00000000-0005-0000-0000-0000EC000000}"/>
    <cellStyle name="20% - Ênfase4 10" xfId="5491" xr:uid="{00000000-0005-0000-0000-0000ED000000}"/>
    <cellStyle name="20% - Ênfase4 11" xfId="5598" xr:uid="{00000000-0005-0000-0000-0000EE000000}"/>
    <cellStyle name="20% - Ênfase4 12" xfId="5627" xr:uid="{00000000-0005-0000-0000-0000EF000000}"/>
    <cellStyle name="20% - Ênfase4 13" xfId="5652" xr:uid="{00000000-0005-0000-0000-0000F0000000}"/>
    <cellStyle name="20% - Ênfase4 14" xfId="5665" xr:uid="{00000000-0005-0000-0000-0000F1000000}"/>
    <cellStyle name="20% - Ênfase4 15" xfId="5686" xr:uid="{00000000-0005-0000-0000-0000F2000000}"/>
    <cellStyle name="20% - Ênfase4 16" xfId="5748" xr:uid="{00000000-0005-0000-0000-0000F3000000}"/>
    <cellStyle name="20% - Ênfase4 17" xfId="5795" xr:uid="{00000000-0005-0000-0000-0000F4000000}"/>
    <cellStyle name="20% - Ênfase4 17 2" xfId="16155" xr:uid="{89CE9BE2-DED1-485A-ABB1-98C377A99A45}"/>
    <cellStyle name="20% - Ênfase4 18" xfId="14190" xr:uid="{705407FB-AD11-4D89-8AAF-014A51B148F6}"/>
    <cellStyle name="20% - Ênfase4 2" xfId="4943" xr:uid="{00000000-0005-0000-0000-0000F5000000}"/>
    <cellStyle name="20% - Ênfase4 2 2" xfId="5919" xr:uid="{00000000-0005-0000-0000-0000F6000000}"/>
    <cellStyle name="20% - Ênfase4 2 2 2" xfId="5920" xr:uid="{00000000-0005-0000-0000-0000F7000000}"/>
    <cellStyle name="20% - Ênfase4 2 2 2 2" xfId="5921" xr:uid="{00000000-0005-0000-0000-0000F8000000}"/>
    <cellStyle name="20% - Ênfase4 2 2 2 2 2" xfId="5922" xr:uid="{00000000-0005-0000-0000-0000F9000000}"/>
    <cellStyle name="20% - Ênfase4 2 2 2 2 2 2" xfId="5923" xr:uid="{00000000-0005-0000-0000-0000FA000000}"/>
    <cellStyle name="20% - Ênfase4 2 2 2 2 2 2 2" xfId="5924" xr:uid="{00000000-0005-0000-0000-0000FB000000}"/>
    <cellStyle name="20% - Ênfase4 2 2 2 2 2 2 2 2" xfId="5925" xr:uid="{00000000-0005-0000-0000-0000FC000000}"/>
    <cellStyle name="20% - Ênfase4 2 2 2 2 2 2 2 3" xfId="14275" xr:uid="{D9F3BFE0-3F3C-4F6E-AD33-EC7774548CC2}"/>
    <cellStyle name="20% - Ênfase4 2 2 2 2 2 2 3" xfId="5926" xr:uid="{00000000-0005-0000-0000-0000FD000000}"/>
    <cellStyle name="20% - Ênfase4 2 2 2 2 2 3" xfId="5927" xr:uid="{00000000-0005-0000-0000-0000FE000000}"/>
    <cellStyle name="20% - Ênfase4 2 2 2 2 2 3 2" xfId="5928" xr:uid="{00000000-0005-0000-0000-0000FF000000}"/>
    <cellStyle name="20% - Ênfase4 2 2 2 2 2 3 2 2" xfId="14276" xr:uid="{EC726E48-723A-4987-9F75-30D299795346}"/>
    <cellStyle name="20% - Ênfase4 2 2 2 2 2 4" xfId="14273" xr:uid="{C2F3A707-89E3-4276-A0EE-DCC95528E4AA}"/>
    <cellStyle name="20% - Ênfase4 2 2 2 2 3" xfId="5929" xr:uid="{00000000-0005-0000-0000-000000010000}"/>
    <cellStyle name="20% - Ênfase4 2 2 2 2 3 2" xfId="5930" xr:uid="{00000000-0005-0000-0000-000001010000}"/>
    <cellStyle name="20% - Ênfase4 2 2 2 2 3 3" xfId="14277" xr:uid="{8EF0C80B-F98C-42DC-8A85-FF03A26E9715}"/>
    <cellStyle name="20% - Ênfase4 2 2 2 3" xfId="5931" xr:uid="{00000000-0005-0000-0000-000002010000}"/>
    <cellStyle name="20% - Ênfase4 2 2 2 4" xfId="5932" xr:uid="{00000000-0005-0000-0000-000003010000}"/>
    <cellStyle name="20% - Ênfase4 2 2 2 4 2" xfId="5933" xr:uid="{00000000-0005-0000-0000-000004010000}"/>
    <cellStyle name="20% - Ênfase4 2 2 2 4 2 2" xfId="14278" xr:uid="{E180F920-E1FB-410E-9707-BC8820818ACF}"/>
    <cellStyle name="20% - Ênfase4 2 2 2 5" xfId="14272" xr:uid="{3E5D5AEE-4991-41A0-8EF5-AD484DB26D26}"/>
    <cellStyle name="20% - Ênfase4 2 2 3" xfId="5934" xr:uid="{00000000-0005-0000-0000-000005010000}"/>
    <cellStyle name="20% - Ênfase4 2 2 3 2" xfId="14279" xr:uid="{1F27F474-4776-41D9-9ACB-8A1BC6013863}"/>
    <cellStyle name="20% - Ênfase4 2 2 4" xfId="5935" xr:uid="{00000000-0005-0000-0000-000006010000}"/>
    <cellStyle name="20% - Ênfase4 2 2 4 2" xfId="5936" xr:uid="{00000000-0005-0000-0000-000007010000}"/>
    <cellStyle name="20% - Ênfase4 2 2 4 3" xfId="14280" xr:uid="{AF3B7F9C-CCCD-4B03-AE6C-6F6EA0D2C071}"/>
    <cellStyle name="20% - Ênfase4 2 3" xfId="5937" xr:uid="{00000000-0005-0000-0000-000008010000}"/>
    <cellStyle name="20% - Ênfase4 2 4" xfId="5938" xr:uid="{00000000-0005-0000-0000-000009010000}"/>
    <cellStyle name="20% - Ênfase4 2 5" xfId="5939" xr:uid="{00000000-0005-0000-0000-00000A010000}"/>
    <cellStyle name="20% - Ênfase4 2 6" xfId="5940" xr:uid="{00000000-0005-0000-0000-00000B010000}"/>
    <cellStyle name="20% - Ênfase4 2 6 2" xfId="5941" xr:uid="{00000000-0005-0000-0000-00000C010000}"/>
    <cellStyle name="20% - Ênfase4 2 6 2 2" xfId="14281" xr:uid="{A4FD7421-A795-44F9-9629-D7E0A35A31C8}"/>
    <cellStyle name="20% - Ênfase4 2 7" xfId="5918" xr:uid="{00000000-0005-0000-0000-00000D010000}"/>
    <cellStyle name="20% - Ênfase4 2 7 2" xfId="14271" xr:uid="{5C612E17-2B4B-40AF-96EE-DB61243EF550}"/>
    <cellStyle name="20% - Ênfase4 3" xfId="5208" xr:uid="{00000000-0005-0000-0000-00000E010000}"/>
    <cellStyle name="20% - Ênfase4 3 2" xfId="5943" xr:uid="{00000000-0005-0000-0000-00000F010000}"/>
    <cellStyle name="20% - Ênfase4 3 2 2" xfId="14283" xr:uid="{1E0AFC92-9F17-4720-8836-163DDDD39BD1}"/>
    <cellStyle name="20% - Ênfase4 3 3" xfId="5944" xr:uid="{00000000-0005-0000-0000-000010010000}"/>
    <cellStyle name="20% - Ênfase4 3 3 2" xfId="14284" xr:uid="{4527D43A-17A6-4C84-9953-72109A366A4A}"/>
    <cellStyle name="20% - Ênfase4 3 4" xfId="5945" xr:uid="{00000000-0005-0000-0000-000011010000}"/>
    <cellStyle name="20% - Ênfase4 3 4 2" xfId="14285" xr:uid="{148EB369-94AA-4CED-B160-ADA7F677942E}"/>
    <cellStyle name="20% - Ênfase4 3 5" xfId="5942" xr:uid="{00000000-0005-0000-0000-000012010000}"/>
    <cellStyle name="20% - Ênfase4 3 5 2" xfId="14282" xr:uid="{ED2B8F5A-BC57-4CAF-BE0D-548C97539518}"/>
    <cellStyle name="20% - Ênfase4 4" xfId="5334" xr:uid="{00000000-0005-0000-0000-000013010000}"/>
    <cellStyle name="20% - Ênfase4 4 2" xfId="5947" xr:uid="{00000000-0005-0000-0000-000014010000}"/>
    <cellStyle name="20% - Ênfase4 4 2 2" xfId="14287" xr:uid="{61F869B9-47AD-48B1-9724-80223FA45530}"/>
    <cellStyle name="20% - Ênfase4 4 3" xfId="5948" xr:uid="{00000000-0005-0000-0000-000015010000}"/>
    <cellStyle name="20% - Ênfase4 4 3 2" xfId="14288" xr:uid="{2723DC07-D7C9-48F1-9CA4-DA595E33CC72}"/>
    <cellStyle name="20% - Ênfase4 4 4" xfId="5946" xr:uid="{00000000-0005-0000-0000-000016010000}"/>
    <cellStyle name="20% - Ênfase4 4 4 2" xfId="14286" xr:uid="{1CBA8C73-9510-45FF-9EFA-7A6F6A884807}"/>
    <cellStyle name="20% - Ênfase4 5" xfId="5363" xr:uid="{00000000-0005-0000-0000-000017010000}"/>
    <cellStyle name="20% - Ênfase4 5 2" xfId="5950" xr:uid="{00000000-0005-0000-0000-000018010000}"/>
    <cellStyle name="20% - Ênfase4 5 2 2" xfId="14290" xr:uid="{2121645C-68CD-4C8C-ACD0-80637B6DC0DD}"/>
    <cellStyle name="20% - Ênfase4 5 3" xfId="5949" xr:uid="{00000000-0005-0000-0000-000019010000}"/>
    <cellStyle name="20% - Ênfase4 5 3 2" xfId="14289" xr:uid="{FC299BA2-C971-40D8-92A0-01C33443FBD0}"/>
    <cellStyle name="20% - Ênfase4 6" xfId="5391" xr:uid="{00000000-0005-0000-0000-00001A010000}"/>
    <cellStyle name="20% - Ênfase4 6 2" xfId="5952" xr:uid="{00000000-0005-0000-0000-00001B010000}"/>
    <cellStyle name="20% - Ênfase4 6 3" xfId="7310" xr:uid="{00000000-0005-0000-0000-00001C010000}"/>
    <cellStyle name="20% - Ênfase4 6 3 2" xfId="14752" xr:uid="{40DA06E1-D947-4647-A29F-ED8AAB99C30B}"/>
    <cellStyle name="20% - Ênfase4 6 4" xfId="5951" xr:uid="{00000000-0005-0000-0000-00001D010000}"/>
    <cellStyle name="20% - Ênfase4 6 4 2" xfId="14291" xr:uid="{E5E6F129-A791-496E-9324-CFF837FF69FE}"/>
    <cellStyle name="20% - Ênfase4 7" xfId="5418" xr:uid="{00000000-0005-0000-0000-00001E010000}"/>
    <cellStyle name="20% - Ênfase4 7 2" xfId="7311" xr:uid="{00000000-0005-0000-0000-00001F010000}"/>
    <cellStyle name="20% - Ênfase4 7 2 2" xfId="14753" xr:uid="{6D240CD7-F475-4473-90BA-06EF6B2AB7C6}"/>
    <cellStyle name="20% - Ênfase4 7 3" xfId="5953" xr:uid="{00000000-0005-0000-0000-000020010000}"/>
    <cellStyle name="20% - Ênfase4 7 3 2" xfId="14292" xr:uid="{2F4B1D2F-5201-4F7F-96BF-A8E9487AAC21}"/>
    <cellStyle name="20% - Ênfase4 8" xfId="5443" xr:uid="{00000000-0005-0000-0000-000021010000}"/>
    <cellStyle name="20% - Ênfase4 9" xfId="5456" xr:uid="{00000000-0005-0000-0000-000022010000}"/>
    <cellStyle name="20% - Ênfase5" xfId="24" xr:uid="{00000000-0005-0000-0000-000023010000}"/>
    <cellStyle name="20% - Ênfase5 10" xfId="5492" xr:uid="{00000000-0005-0000-0000-000024010000}"/>
    <cellStyle name="20% - Ênfase5 11" xfId="5597" xr:uid="{00000000-0005-0000-0000-000025010000}"/>
    <cellStyle name="20% - Ênfase5 12" xfId="5626" xr:uid="{00000000-0005-0000-0000-000026010000}"/>
    <cellStyle name="20% - Ênfase5 13" xfId="5651" xr:uid="{00000000-0005-0000-0000-000027010000}"/>
    <cellStyle name="20% - Ênfase5 14" xfId="5664" xr:uid="{00000000-0005-0000-0000-000028010000}"/>
    <cellStyle name="20% - Ênfase5 15" xfId="5687" xr:uid="{00000000-0005-0000-0000-000029010000}"/>
    <cellStyle name="20% - Ênfase5 16" xfId="5747" xr:uid="{00000000-0005-0000-0000-00002A010000}"/>
    <cellStyle name="20% - Ênfase5 17" xfId="5799" xr:uid="{00000000-0005-0000-0000-00002B010000}"/>
    <cellStyle name="20% - Ênfase5 17 2" xfId="16157" xr:uid="{437803A6-4AA4-4502-AE13-021C23E986A4}"/>
    <cellStyle name="20% - Ênfase5 18" xfId="14193" xr:uid="{434C2620-33D2-4516-BC03-1793C4FEEECB}"/>
    <cellStyle name="20% - Ênfase5 2" xfId="4944" xr:uid="{00000000-0005-0000-0000-00002C010000}"/>
    <cellStyle name="20% - Ênfase5 2 2" xfId="5955" xr:uid="{00000000-0005-0000-0000-00002D010000}"/>
    <cellStyle name="20% - Ênfase5 2 2 2" xfId="5956" xr:uid="{00000000-0005-0000-0000-00002E010000}"/>
    <cellStyle name="20% - Ênfase5 2 2 2 2" xfId="5957" xr:uid="{00000000-0005-0000-0000-00002F010000}"/>
    <cellStyle name="20% - Ênfase5 2 2 2 2 2" xfId="5958" xr:uid="{00000000-0005-0000-0000-000030010000}"/>
    <cellStyle name="20% - Ênfase5 2 2 2 2 2 2" xfId="5959" xr:uid="{00000000-0005-0000-0000-000031010000}"/>
    <cellStyle name="20% - Ênfase5 2 2 2 2 2 2 2" xfId="5960" xr:uid="{00000000-0005-0000-0000-000032010000}"/>
    <cellStyle name="20% - Ênfase5 2 2 2 2 2 2 2 2" xfId="5961" xr:uid="{00000000-0005-0000-0000-000033010000}"/>
    <cellStyle name="20% - Ênfase5 2 2 2 2 2 2 2 3" xfId="14296" xr:uid="{D0B17EBF-F0D5-4BE1-8D68-9DA688F11CC8}"/>
    <cellStyle name="20% - Ênfase5 2 2 2 2 2 2 3" xfId="5962" xr:uid="{00000000-0005-0000-0000-000034010000}"/>
    <cellStyle name="20% - Ênfase5 2 2 2 2 2 3" xfId="5963" xr:uid="{00000000-0005-0000-0000-000035010000}"/>
    <cellStyle name="20% - Ênfase5 2 2 2 2 2 3 2" xfId="5964" xr:uid="{00000000-0005-0000-0000-000036010000}"/>
    <cellStyle name="20% - Ênfase5 2 2 2 2 2 3 2 2" xfId="14297" xr:uid="{4C4E6BDA-54D9-4733-B1D1-AE3113768366}"/>
    <cellStyle name="20% - Ênfase5 2 2 2 2 2 4" xfId="14295" xr:uid="{F2944200-B826-4ACB-A4CF-0555887EC3E3}"/>
    <cellStyle name="20% - Ênfase5 2 2 2 2 3" xfId="5965" xr:uid="{00000000-0005-0000-0000-000037010000}"/>
    <cellStyle name="20% - Ênfase5 2 2 2 2 3 2" xfId="5966" xr:uid="{00000000-0005-0000-0000-000038010000}"/>
    <cellStyle name="20% - Ênfase5 2 2 2 2 3 3" xfId="14298" xr:uid="{384E1F55-D6B5-49A2-94C7-0DAF4FD4C23D}"/>
    <cellStyle name="20% - Ênfase5 2 2 2 3" xfId="5967" xr:uid="{00000000-0005-0000-0000-000039010000}"/>
    <cellStyle name="20% - Ênfase5 2 2 2 4" xfId="5968" xr:uid="{00000000-0005-0000-0000-00003A010000}"/>
    <cellStyle name="20% - Ênfase5 2 2 2 4 2" xfId="5969" xr:uid="{00000000-0005-0000-0000-00003B010000}"/>
    <cellStyle name="20% - Ênfase5 2 2 2 4 2 2" xfId="14299" xr:uid="{F5890236-60E9-44A5-A7AC-8C76CE33A725}"/>
    <cellStyle name="20% - Ênfase5 2 2 2 5" xfId="14294" xr:uid="{EA496DB8-F61A-4707-A64D-DD50AD232D59}"/>
    <cellStyle name="20% - Ênfase5 2 2 3" xfId="5970" xr:uid="{00000000-0005-0000-0000-00003C010000}"/>
    <cellStyle name="20% - Ênfase5 2 2 3 2" xfId="14300" xr:uid="{02D5BE18-25FD-469E-BBDE-38078C881864}"/>
    <cellStyle name="20% - Ênfase5 2 2 4" xfId="5971" xr:uid="{00000000-0005-0000-0000-00003D010000}"/>
    <cellStyle name="20% - Ênfase5 2 2 4 2" xfId="5972" xr:uid="{00000000-0005-0000-0000-00003E010000}"/>
    <cellStyle name="20% - Ênfase5 2 2 4 3" xfId="14301" xr:uid="{CE680570-CB1C-4B4A-BE74-5230131DF32F}"/>
    <cellStyle name="20% - Ênfase5 2 3" xfId="5973" xr:uid="{00000000-0005-0000-0000-00003F010000}"/>
    <cellStyle name="20% - Ênfase5 2 4" xfId="5974" xr:uid="{00000000-0005-0000-0000-000040010000}"/>
    <cellStyle name="20% - Ênfase5 2 5" xfId="5975" xr:uid="{00000000-0005-0000-0000-000041010000}"/>
    <cellStyle name="20% - Ênfase5 2 6" xfId="5976" xr:uid="{00000000-0005-0000-0000-000042010000}"/>
    <cellStyle name="20% - Ênfase5 2 6 2" xfId="5977" xr:uid="{00000000-0005-0000-0000-000043010000}"/>
    <cellStyle name="20% - Ênfase5 2 6 2 2" xfId="14302" xr:uid="{CCE9F545-C6A8-4B58-A63B-8A44053B10F3}"/>
    <cellStyle name="20% - Ênfase5 2 7" xfId="5954" xr:uid="{00000000-0005-0000-0000-000044010000}"/>
    <cellStyle name="20% - Ênfase5 2 7 2" xfId="14293" xr:uid="{46C70350-55E0-4AAB-AE70-8EE34A2B8670}"/>
    <cellStyle name="20% - Ênfase5 3" xfId="5209" xr:uid="{00000000-0005-0000-0000-000045010000}"/>
    <cellStyle name="20% - Ênfase5 3 2" xfId="5979" xr:uid="{00000000-0005-0000-0000-000046010000}"/>
    <cellStyle name="20% - Ênfase5 3 2 2" xfId="14304" xr:uid="{DA615F81-D666-437A-8237-3DDE7FC88C67}"/>
    <cellStyle name="20% - Ênfase5 3 3" xfId="5980" xr:uid="{00000000-0005-0000-0000-000047010000}"/>
    <cellStyle name="20% - Ênfase5 3 3 2" xfId="14305" xr:uid="{610DCAD7-BA3B-403C-9137-D47E3F1D7390}"/>
    <cellStyle name="20% - Ênfase5 3 4" xfId="5981" xr:uid="{00000000-0005-0000-0000-000048010000}"/>
    <cellStyle name="20% - Ênfase5 3 4 2" xfId="14306" xr:uid="{67F7A70F-5C31-4228-B191-1617A1C292ED}"/>
    <cellStyle name="20% - Ênfase5 3 5" xfId="5978" xr:uid="{00000000-0005-0000-0000-000049010000}"/>
    <cellStyle name="20% - Ênfase5 3 5 2" xfId="14303" xr:uid="{BA638B5D-F921-4E66-BD09-EC23E9D54325}"/>
    <cellStyle name="20% - Ênfase5 4" xfId="5333" xr:uid="{00000000-0005-0000-0000-00004A010000}"/>
    <cellStyle name="20% - Ênfase5 4 2" xfId="5983" xr:uid="{00000000-0005-0000-0000-00004B010000}"/>
    <cellStyle name="20% - Ênfase5 4 2 2" xfId="14308" xr:uid="{F90EDF39-E80C-4832-9576-15A628FB2BEC}"/>
    <cellStyle name="20% - Ênfase5 4 3" xfId="5984" xr:uid="{00000000-0005-0000-0000-00004C010000}"/>
    <cellStyle name="20% - Ênfase5 4 3 2" xfId="14309" xr:uid="{07B486FB-BBE8-4156-8E2B-F4446D8B14D3}"/>
    <cellStyle name="20% - Ênfase5 4 4" xfId="5982" xr:uid="{00000000-0005-0000-0000-00004D010000}"/>
    <cellStyle name="20% - Ênfase5 4 4 2" xfId="14307" xr:uid="{CDD160FE-3B5E-4F5F-A1FB-38AA1BE18F88}"/>
    <cellStyle name="20% - Ênfase5 5" xfId="5362" xr:uid="{00000000-0005-0000-0000-00004E010000}"/>
    <cellStyle name="20% - Ênfase5 5 2" xfId="5986" xr:uid="{00000000-0005-0000-0000-00004F010000}"/>
    <cellStyle name="20% - Ênfase5 5 2 2" xfId="14311" xr:uid="{74268E8F-A737-457A-B4F5-DBAE1805F9E1}"/>
    <cellStyle name="20% - Ênfase5 5 3" xfId="5985" xr:uid="{00000000-0005-0000-0000-000050010000}"/>
    <cellStyle name="20% - Ênfase5 5 3 2" xfId="14310" xr:uid="{0D674BCD-4B3D-436D-BA96-AF0E35900EDD}"/>
    <cellStyle name="20% - Ênfase5 6" xfId="5390" xr:uid="{00000000-0005-0000-0000-000051010000}"/>
    <cellStyle name="20% - Ênfase5 6 2" xfId="5988" xr:uid="{00000000-0005-0000-0000-000052010000}"/>
    <cellStyle name="20% - Ênfase5 6 3" xfId="7312" xr:uid="{00000000-0005-0000-0000-000053010000}"/>
    <cellStyle name="20% - Ênfase5 6 3 2" xfId="14754" xr:uid="{100525B4-DC4E-4EB2-BC98-FA1F8F23FF24}"/>
    <cellStyle name="20% - Ênfase5 6 4" xfId="5987" xr:uid="{00000000-0005-0000-0000-000054010000}"/>
    <cellStyle name="20% - Ênfase5 6 4 2" xfId="14312" xr:uid="{4BC18A0B-3476-4597-92E4-C9E246A7E48F}"/>
    <cellStyle name="20% - Ênfase5 7" xfId="5417" xr:uid="{00000000-0005-0000-0000-000055010000}"/>
    <cellStyle name="20% - Ênfase5 7 2" xfId="7313" xr:uid="{00000000-0005-0000-0000-000056010000}"/>
    <cellStyle name="20% - Ênfase5 7 2 2" xfId="14755" xr:uid="{F9A43BA7-5B68-4546-9EBC-E640D10EE880}"/>
    <cellStyle name="20% - Ênfase5 7 3" xfId="5989" xr:uid="{00000000-0005-0000-0000-000057010000}"/>
    <cellStyle name="20% - Ênfase5 7 3 2" xfId="14313" xr:uid="{11CA8F4F-8719-4654-A3F1-018D243FF169}"/>
    <cellStyle name="20% - Ênfase5 8" xfId="5442" xr:uid="{00000000-0005-0000-0000-000058010000}"/>
    <cellStyle name="20% - Ênfase5 9" xfId="5455" xr:uid="{00000000-0005-0000-0000-000059010000}"/>
    <cellStyle name="20% - Ênfase6" xfId="25" xr:uid="{00000000-0005-0000-0000-00005A010000}"/>
    <cellStyle name="20% - Ênfase6 10" xfId="5493" xr:uid="{00000000-0005-0000-0000-00005B010000}"/>
    <cellStyle name="20% - Ênfase6 11" xfId="5596" xr:uid="{00000000-0005-0000-0000-00005C010000}"/>
    <cellStyle name="20% - Ênfase6 12" xfId="5625" xr:uid="{00000000-0005-0000-0000-00005D010000}"/>
    <cellStyle name="20% - Ênfase6 13" xfId="5650" xr:uid="{00000000-0005-0000-0000-00005E010000}"/>
    <cellStyle name="20% - Ênfase6 14" xfId="5663" xr:uid="{00000000-0005-0000-0000-00005F010000}"/>
    <cellStyle name="20% - Ênfase6 15" xfId="5688" xr:uid="{00000000-0005-0000-0000-000060010000}"/>
    <cellStyle name="20% - Ênfase6 16" xfId="5746" xr:uid="{00000000-0005-0000-0000-000061010000}"/>
    <cellStyle name="20% - Ênfase6 17" xfId="5803" xr:uid="{00000000-0005-0000-0000-000062010000}"/>
    <cellStyle name="20% - Ênfase6 17 2" xfId="16159" xr:uid="{B6CABD4F-F426-47ED-8A5E-102264722531}"/>
    <cellStyle name="20% - Ênfase6 18" xfId="14195" xr:uid="{FA6FC6A6-9960-4D61-887A-C98AEB898B0C}"/>
    <cellStyle name="20% - Ênfase6 2" xfId="4945" xr:uid="{00000000-0005-0000-0000-000063010000}"/>
    <cellStyle name="20% - Ênfase6 2 2" xfId="5991" xr:uid="{00000000-0005-0000-0000-000064010000}"/>
    <cellStyle name="20% - Ênfase6 2 2 2" xfId="5992" xr:uid="{00000000-0005-0000-0000-000065010000}"/>
    <cellStyle name="20% - Ênfase6 2 2 2 2" xfId="5993" xr:uid="{00000000-0005-0000-0000-000066010000}"/>
    <cellStyle name="20% - Ênfase6 2 2 2 2 2" xfId="5994" xr:uid="{00000000-0005-0000-0000-000067010000}"/>
    <cellStyle name="20% - Ênfase6 2 2 2 2 2 2" xfId="5995" xr:uid="{00000000-0005-0000-0000-000068010000}"/>
    <cellStyle name="20% - Ênfase6 2 2 2 2 2 2 2" xfId="5996" xr:uid="{00000000-0005-0000-0000-000069010000}"/>
    <cellStyle name="20% - Ênfase6 2 2 2 2 2 2 2 2" xfId="5997" xr:uid="{00000000-0005-0000-0000-00006A010000}"/>
    <cellStyle name="20% - Ênfase6 2 2 2 2 2 2 2 3" xfId="14318" xr:uid="{50E3FAD7-753B-4FBA-BBDF-06595D7AE5F0}"/>
    <cellStyle name="20% - Ênfase6 2 2 2 2 2 2 3" xfId="5998" xr:uid="{00000000-0005-0000-0000-00006B010000}"/>
    <cellStyle name="20% - Ênfase6 2 2 2 2 2 3" xfId="5999" xr:uid="{00000000-0005-0000-0000-00006C010000}"/>
    <cellStyle name="20% - Ênfase6 2 2 2 2 2 3 2" xfId="6000" xr:uid="{00000000-0005-0000-0000-00006D010000}"/>
    <cellStyle name="20% - Ênfase6 2 2 2 2 2 3 2 2" xfId="14322" xr:uid="{5A309F06-F2EF-48D3-B6E1-F995E0293AF8}"/>
    <cellStyle name="20% - Ênfase6 2 2 2 2 2 4" xfId="14316" xr:uid="{44B35380-93FC-4BD1-A66D-9F5A6C22AEB5}"/>
    <cellStyle name="20% - Ênfase6 2 2 2 2 3" xfId="6001" xr:uid="{00000000-0005-0000-0000-00006E010000}"/>
    <cellStyle name="20% - Ênfase6 2 2 2 2 3 2" xfId="6002" xr:uid="{00000000-0005-0000-0000-00006F010000}"/>
    <cellStyle name="20% - Ênfase6 2 2 2 2 3 3" xfId="14323" xr:uid="{453A4128-EAE7-4437-8B25-E789A9F45FC5}"/>
    <cellStyle name="20% - Ênfase6 2 2 2 3" xfId="6003" xr:uid="{00000000-0005-0000-0000-000070010000}"/>
    <cellStyle name="20% - Ênfase6 2 2 2 4" xfId="6004" xr:uid="{00000000-0005-0000-0000-000071010000}"/>
    <cellStyle name="20% - Ênfase6 2 2 2 4 2" xfId="6005" xr:uid="{00000000-0005-0000-0000-000072010000}"/>
    <cellStyle name="20% - Ênfase6 2 2 2 4 2 2" xfId="14325" xr:uid="{58178E64-E9C2-4400-AFED-5546924A8892}"/>
    <cellStyle name="20% - Ênfase6 2 2 2 5" xfId="14315" xr:uid="{070A7E96-E936-484B-A5C3-1395124F9B1D}"/>
    <cellStyle name="20% - Ênfase6 2 2 3" xfId="6006" xr:uid="{00000000-0005-0000-0000-000073010000}"/>
    <cellStyle name="20% - Ênfase6 2 2 3 2" xfId="14326" xr:uid="{70741DDD-B721-410F-B1A2-F97998695FFE}"/>
    <cellStyle name="20% - Ênfase6 2 2 4" xfId="6007" xr:uid="{00000000-0005-0000-0000-000074010000}"/>
    <cellStyle name="20% - Ênfase6 2 2 4 2" xfId="6008" xr:uid="{00000000-0005-0000-0000-000075010000}"/>
    <cellStyle name="20% - Ênfase6 2 2 4 3" xfId="14327" xr:uid="{FDCC34AB-0457-4E5E-87F3-18AC514544F1}"/>
    <cellStyle name="20% - Ênfase6 2 3" xfId="6009" xr:uid="{00000000-0005-0000-0000-000076010000}"/>
    <cellStyle name="20% - Ênfase6 2 4" xfId="6010" xr:uid="{00000000-0005-0000-0000-000077010000}"/>
    <cellStyle name="20% - Ênfase6 2 5" xfId="6011" xr:uid="{00000000-0005-0000-0000-000078010000}"/>
    <cellStyle name="20% - Ênfase6 2 6" xfId="6012" xr:uid="{00000000-0005-0000-0000-000079010000}"/>
    <cellStyle name="20% - Ênfase6 2 6 2" xfId="6013" xr:uid="{00000000-0005-0000-0000-00007A010000}"/>
    <cellStyle name="20% - Ênfase6 2 6 2 2" xfId="14329" xr:uid="{4BCE99DB-981B-4E56-9F35-FC1BFC89A087}"/>
    <cellStyle name="20% - Ênfase6 2 7" xfId="5990" xr:uid="{00000000-0005-0000-0000-00007B010000}"/>
    <cellStyle name="20% - Ênfase6 2 7 2" xfId="14314" xr:uid="{8288E07A-6B4D-47E1-9052-6697A0A4DD96}"/>
    <cellStyle name="20% - Ênfase6 3" xfId="5210" xr:uid="{00000000-0005-0000-0000-00007C010000}"/>
    <cellStyle name="20% - Ênfase6 3 2" xfId="6015" xr:uid="{00000000-0005-0000-0000-00007D010000}"/>
    <cellStyle name="20% - Ênfase6 3 2 2" xfId="14331" xr:uid="{861DD2ED-DFBF-462D-A22E-64F9A64D3043}"/>
    <cellStyle name="20% - Ênfase6 3 3" xfId="6016" xr:uid="{00000000-0005-0000-0000-00007E010000}"/>
    <cellStyle name="20% - Ênfase6 3 3 2" xfId="14332" xr:uid="{F2B7F542-AB93-46C3-A05A-25577C6F9A59}"/>
    <cellStyle name="20% - Ênfase6 3 4" xfId="6017" xr:uid="{00000000-0005-0000-0000-00007F010000}"/>
    <cellStyle name="20% - Ênfase6 3 4 2" xfId="14333" xr:uid="{CCB9D4FC-C2A6-437B-A04E-B917DC45098C}"/>
    <cellStyle name="20% - Ênfase6 3 5" xfId="6014" xr:uid="{00000000-0005-0000-0000-000080010000}"/>
    <cellStyle name="20% - Ênfase6 3 5 2" xfId="14330" xr:uid="{E20E9C64-4993-450A-804D-6DDAFF04E6A0}"/>
    <cellStyle name="20% - Ênfase6 4" xfId="5332" xr:uid="{00000000-0005-0000-0000-000081010000}"/>
    <cellStyle name="20% - Ênfase6 4 2" xfId="6019" xr:uid="{00000000-0005-0000-0000-000082010000}"/>
    <cellStyle name="20% - Ênfase6 4 2 2" xfId="14335" xr:uid="{49826302-5599-4EFA-809B-213F211B2B03}"/>
    <cellStyle name="20% - Ênfase6 4 3" xfId="6020" xr:uid="{00000000-0005-0000-0000-000083010000}"/>
    <cellStyle name="20% - Ênfase6 4 3 2" xfId="14336" xr:uid="{D2E8AD0D-AEDA-47AB-BDE7-F6496A9F1838}"/>
    <cellStyle name="20% - Ênfase6 4 4" xfId="6018" xr:uid="{00000000-0005-0000-0000-000084010000}"/>
    <cellStyle name="20% - Ênfase6 4 4 2" xfId="14334" xr:uid="{9308A182-4D21-41C7-941E-79FAD5C1AE27}"/>
    <cellStyle name="20% - Ênfase6 5" xfId="5361" xr:uid="{00000000-0005-0000-0000-000085010000}"/>
    <cellStyle name="20% - Ênfase6 5 2" xfId="6022" xr:uid="{00000000-0005-0000-0000-000086010000}"/>
    <cellStyle name="20% - Ênfase6 5 2 2" xfId="14338" xr:uid="{7FDC6637-8EF4-40EE-95F7-3EDC3453F39D}"/>
    <cellStyle name="20% - Ênfase6 5 3" xfId="6021" xr:uid="{00000000-0005-0000-0000-000087010000}"/>
    <cellStyle name="20% - Ênfase6 5 3 2" xfId="14337" xr:uid="{A8530CFD-5512-495E-B247-BC49238D18E4}"/>
    <cellStyle name="20% - Ênfase6 6" xfId="5389" xr:uid="{00000000-0005-0000-0000-000088010000}"/>
    <cellStyle name="20% - Ênfase6 6 2" xfId="6024" xr:uid="{00000000-0005-0000-0000-000089010000}"/>
    <cellStyle name="20% - Ênfase6 6 3" xfId="7314" xr:uid="{00000000-0005-0000-0000-00008A010000}"/>
    <cellStyle name="20% - Ênfase6 6 3 2" xfId="14756" xr:uid="{60EA55FF-B061-4A47-AC93-5950C21C82E3}"/>
    <cellStyle name="20% - Ênfase6 6 4" xfId="6023" xr:uid="{00000000-0005-0000-0000-00008B010000}"/>
    <cellStyle name="20% - Ênfase6 6 4 2" xfId="14339" xr:uid="{4410A944-2757-4CDA-B501-17C791EA9778}"/>
    <cellStyle name="20% - Ênfase6 7" xfId="5416" xr:uid="{00000000-0005-0000-0000-00008C010000}"/>
    <cellStyle name="20% - Ênfase6 7 2" xfId="7315" xr:uid="{00000000-0005-0000-0000-00008D010000}"/>
    <cellStyle name="20% - Ênfase6 7 2 2" xfId="14757" xr:uid="{E57C2003-FC5E-453D-ACA8-DB7470219A43}"/>
    <cellStyle name="20% - Ênfase6 7 3" xfId="6025" xr:uid="{00000000-0005-0000-0000-00008E010000}"/>
    <cellStyle name="20% - Ênfase6 7 3 2" xfId="14341" xr:uid="{DFC3CB99-F33B-4C84-9762-B1BC010D3548}"/>
    <cellStyle name="20% - Ênfase6 8" xfId="5441" xr:uid="{00000000-0005-0000-0000-00008F010000}"/>
    <cellStyle name="20% - Ênfase6 9" xfId="5454" xr:uid="{00000000-0005-0000-0000-000090010000}"/>
    <cellStyle name="20% - Énfasis1" xfId="211" xr:uid="{00000000-0005-0000-0000-000091010000}"/>
    <cellStyle name="20% - Énfasis1 2" xfId="212" xr:uid="{00000000-0005-0000-0000-000092010000}"/>
    <cellStyle name="20% - Énfasis1 3" xfId="213" xr:uid="{00000000-0005-0000-0000-000093010000}"/>
    <cellStyle name="20% - Énfasis1 4" xfId="214" xr:uid="{00000000-0005-0000-0000-000094010000}"/>
    <cellStyle name="20% - Énfasis1 5" xfId="215" xr:uid="{00000000-0005-0000-0000-000095010000}"/>
    <cellStyle name="20% - Énfasis1 6" xfId="216" xr:uid="{00000000-0005-0000-0000-000096010000}"/>
    <cellStyle name="20% - Énfasis1 7" xfId="217" xr:uid="{00000000-0005-0000-0000-000097010000}"/>
    <cellStyle name="20% - Énfasis2" xfId="218" xr:uid="{00000000-0005-0000-0000-000098010000}"/>
    <cellStyle name="20% - Énfasis2 2" xfId="219" xr:uid="{00000000-0005-0000-0000-000099010000}"/>
    <cellStyle name="20% - Énfasis2 3" xfId="220" xr:uid="{00000000-0005-0000-0000-00009A010000}"/>
    <cellStyle name="20% - Énfasis2 4" xfId="221" xr:uid="{00000000-0005-0000-0000-00009B010000}"/>
    <cellStyle name="20% - Énfasis2 5" xfId="222" xr:uid="{00000000-0005-0000-0000-00009C010000}"/>
    <cellStyle name="20% - Énfasis2 6" xfId="223" xr:uid="{00000000-0005-0000-0000-00009D010000}"/>
    <cellStyle name="20% - Énfasis2 7" xfId="224" xr:uid="{00000000-0005-0000-0000-00009E010000}"/>
    <cellStyle name="20% - Énfasis3" xfId="225" xr:uid="{00000000-0005-0000-0000-00009F010000}"/>
    <cellStyle name="20% - Énfasis3 2" xfId="226" xr:uid="{00000000-0005-0000-0000-0000A0010000}"/>
    <cellStyle name="20% - Énfasis3 3" xfId="227" xr:uid="{00000000-0005-0000-0000-0000A1010000}"/>
    <cellStyle name="20% - Énfasis3 4" xfId="228" xr:uid="{00000000-0005-0000-0000-0000A2010000}"/>
    <cellStyle name="20% - Énfasis3 5" xfId="229" xr:uid="{00000000-0005-0000-0000-0000A3010000}"/>
    <cellStyle name="20% - Énfasis3 6" xfId="230" xr:uid="{00000000-0005-0000-0000-0000A4010000}"/>
    <cellStyle name="20% - Énfasis3 7" xfId="231" xr:uid="{00000000-0005-0000-0000-0000A5010000}"/>
    <cellStyle name="20% - Énfasis4" xfId="232" xr:uid="{00000000-0005-0000-0000-0000A6010000}"/>
    <cellStyle name="20% - Énfasis4 2" xfId="233" xr:uid="{00000000-0005-0000-0000-0000A7010000}"/>
    <cellStyle name="20% - Énfasis4 3" xfId="234" xr:uid="{00000000-0005-0000-0000-0000A8010000}"/>
    <cellStyle name="20% - Énfasis4 4" xfId="235" xr:uid="{00000000-0005-0000-0000-0000A9010000}"/>
    <cellStyle name="20% - Énfasis4 5" xfId="236" xr:uid="{00000000-0005-0000-0000-0000AA010000}"/>
    <cellStyle name="20% - Énfasis4 6" xfId="237" xr:uid="{00000000-0005-0000-0000-0000AB010000}"/>
    <cellStyle name="20% - Énfasis4 7" xfId="238" xr:uid="{00000000-0005-0000-0000-0000AC010000}"/>
    <cellStyle name="20% - Énfasis5" xfId="239" xr:uid="{00000000-0005-0000-0000-0000AD010000}"/>
    <cellStyle name="20% - Énfasis5 2" xfId="240" xr:uid="{00000000-0005-0000-0000-0000AE010000}"/>
    <cellStyle name="20% - Énfasis5 3" xfId="241" xr:uid="{00000000-0005-0000-0000-0000AF010000}"/>
    <cellStyle name="20% - Énfasis5 4" xfId="242" xr:uid="{00000000-0005-0000-0000-0000B0010000}"/>
    <cellStyle name="20% - Énfasis5 5" xfId="243" xr:uid="{00000000-0005-0000-0000-0000B1010000}"/>
    <cellStyle name="20% - Énfasis5 6" xfId="244" xr:uid="{00000000-0005-0000-0000-0000B2010000}"/>
    <cellStyle name="20% - Énfasis5 7" xfId="245" xr:uid="{00000000-0005-0000-0000-0000B3010000}"/>
    <cellStyle name="20% - Énfasis6" xfId="246" xr:uid="{00000000-0005-0000-0000-0000B4010000}"/>
    <cellStyle name="20% - Énfasis6 2" xfId="247" xr:uid="{00000000-0005-0000-0000-0000B5010000}"/>
    <cellStyle name="20% - Énfasis6 3" xfId="248" xr:uid="{00000000-0005-0000-0000-0000B6010000}"/>
    <cellStyle name="20% - Énfasis6 4" xfId="249" xr:uid="{00000000-0005-0000-0000-0000B7010000}"/>
    <cellStyle name="20% - Énfasis6 5" xfId="250" xr:uid="{00000000-0005-0000-0000-0000B8010000}"/>
    <cellStyle name="20% - Énfasis6 6" xfId="251" xr:uid="{00000000-0005-0000-0000-0000B9010000}"/>
    <cellStyle name="20% - Énfasis6 7" xfId="252" xr:uid="{00000000-0005-0000-0000-0000BA010000}"/>
    <cellStyle name="2o.nível" xfId="253" xr:uid="{00000000-0005-0000-0000-0000BB010000}"/>
    <cellStyle name="³f¹ô [0]_ATT4" xfId="4946" xr:uid="{00000000-0005-0000-0000-0000BC010000}"/>
    <cellStyle name="³f¹ô[0]_Template 12 - Bank (3)" xfId="4947" xr:uid="{00000000-0005-0000-0000-0000BD010000}"/>
    <cellStyle name="³f¹ô_ATT4" xfId="4948" xr:uid="{00000000-0005-0000-0000-0000BE010000}"/>
    <cellStyle name="40% - Accent1 2" xfId="115" xr:uid="{00000000-0005-0000-0000-0000BF010000}"/>
    <cellStyle name="40% - Accent1 3" xfId="254" xr:uid="{00000000-0005-0000-0000-0000C0010000}"/>
    <cellStyle name="40% - Accent1 4" xfId="255" xr:uid="{00000000-0005-0000-0000-0000C1010000}"/>
    <cellStyle name="40% - Accent1 5" xfId="256" xr:uid="{00000000-0005-0000-0000-0000C2010000}"/>
    <cellStyle name="40% - Accent1 6" xfId="257" xr:uid="{00000000-0005-0000-0000-0000C3010000}"/>
    <cellStyle name="40% - Accent1 7" xfId="258" xr:uid="{00000000-0005-0000-0000-0000C4010000}"/>
    <cellStyle name="40% - Accent1 8" xfId="26" xr:uid="{00000000-0005-0000-0000-0000C5010000}"/>
    <cellStyle name="40% - Accent2 2" xfId="116" xr:uid="{00000000-0005-0000-0000-0000C6010000}"/>
    <cellStyle name="40% - Accent2 3" xfId="259" xr:uid="{00000000-0005-0000-0000-0000C7010000}"/>
    <cellStyle name="40% - Accent2 4" xfId="260" xr:uid="{00000000-0005-0000-0000-0000C8010000}"/>
    <cellStyle name="40% - Accent2 5" xfId="261" xr:uid="{00000000-0005-0000-0000-0000C9010000}"/>
    <cellStyle name="40% - Accent2 6" xfId="262" xr:uid="{00000000-0005-0000-0000-0000CA010000}"/>
    <cellStyle name="40% - Accent2 7" xfId="263" xr:uid="{00000000-0005-0000-0000-0000CB010000}"/>
    <cellStyle name="40% - Accent2 8" xfId="27" xr:uid="{00000000-0005-0000-0000-0000CC010000}"/>
    <cellStyle name="40% - Accent3 2" xfId="117" xr:uid="{00000000-0005-0000-0000-0000CD010000}"/>
    <cellStyle name="40% - Accent3 3" xfId="264" xr:uid="{00000000-0005-0000-0000-0000CE010000}"/>
    <cellStyle name="40% - Accent3 4" xfId="265" xr:uid="{00000000-0005-0000-0000-0000CF010000}"/>
    <cellStyle name="40% - Accent3 5" xfId="266" xr:uid="{00000000-0005-0000-0000-0000D0010000}"/>
    <cellStyle name="40% - Accent3 6" xfId="267" xr:uid="{00000000-0005-0000-0000-0000D1010000}"/>
    <cellStyle name="40% - Accent3 7" xfId="268" xr:uid="{00000000-0005-0000-0000-0000D2010000}"/>
    <cellStyle name="40% - Accent3 8" xfId="28" xr:uid="{00000000-0005-0000-0000-0000D3010000}"/>
    <cellStyle name="40% - Accent4 2" xfId="118" xr:uid="{00000000-0005-0000-0000-0000D4010000}"/>
    <cellStyle name="40% - Accent4 3" xfId="269" xr:uid="{00000000-0005-0000-0000-0000D5010000}"/>
    <cellStyle name="40% - Accent4 4" xfId="270" xr:uid="{00000000-0005-0000-0000-0000D6010000}"/>
    <cellStyle name="40% - Accent4 5" xfId="271" xr:uid="{00000000-0005-0000-0000-0000D7010000}"/>
    <cellStyle name="40% - Accent4 6" xfId="272" xr:uid="{00000000-0005-0000-0000-0000D8010000}"/>
    <cellStyle name="40% - Accent4 7" xfId="273" xr:uid="{00000000-0005-0000-0000-0000D9010000}"/>
    <cellStyle name="40% - Accent4 8" xfId="29" xr:uid="{00000000-0005-0000-0000-0000DA010000}"/>
    <cellStyle name="40% - Accent5 2" xfId="119" xr:uid="{00000000-0005-0000-0000-0000DB010000}"/>
    <cellStyle name="40% - Accent5 3" xfId="274" xr:uid="{00000000-0005-0000-0000-0000DC010000}"/>
    <cellStyle name="40% - Accent5 4" xfId="275" xr:uid="{00000000-0005-0000-0000-0000DD010000}"/>
    <cellStyle name="40% - Accent5 5" xfId="276" xr:uid="{00000000-0005-0000-0000-0000DE010000}"/>
    <cellStyle name="40% - Accent5 6" xfId="277" xr:uid="{00000000-0005-0000-0000-0000DF010000}"/>
    <cellStyle name="40% - Accent5 7" xfId="278" xr:uid="{00000000-0005-0000-0000-0000E0010000}"/>
    <cellStyle name="40% - Accent5 8" xfId="30" xr:uid="{00000000-0005-0000-0000-0000E1010000}"/>
    <cellStyle name="40% - Accent6 2" xfId="120" xr:uid="{00000000-0005-0000-0000-0000E2010000}"/>
    <cellStyle name="40% - Accent6 3" xfId="279" xr:uid="{00000000-0005-0000-0000-0000E3010000}"/>
    <cellStyle name="40% - Accent6 4" xfId="280" xr:uid="{00000000-0005-0000-0000-0000E4010000}"/>
    <cellStyle name="40% - Accent6 5" xfId="281" xr:uid="{00000000-0005-0000-0000-0000E5010000}"/>
    <cellStyle name="40% - Accent6 6" xfId="282" xr:uid="{00000000-0005-0000-0000-0000E6010000}"/>
    <cellStyle name="40% - Accent6 7" xfId="283" xr:uid="{00000000-0005-0000-0000-0000E7010000}"/>
    <cellStyle name="40% - Accent6 8" xfId="31" xr:uid="{00000000-0005-0000-0000-0000E8010000}"/>
    <cellStyle name="40% - Ênfase1" xfId="32" xr:uid="{00000000-0005-0000-0000-0000E9010000}"/>
    <cellStyle name="40% - Ênfase1 10" xfId="5498" xr:uid="{00000000-0005-0000-0000-0000EA010000}"/>
    <cellStyle name="40% - Ênfase1 11" xfId="5594" xr:uid="{00000000-0005-0000-0000-0000EB010000}"/>
    <cellStyle name="40% - Ênfase1 12" xfId="5474" xr:uid="{00000000-0005-0000-0000-0000EC010000}"/>
    <cellStyle name="40% - Ênfase1 13" xfId="5621" xr:uid="{00000000-0005-0000-0000-0000ED010000}"/>
    <cellStyle name="40% - Ênfase1 14" xfId="5649" xr:uid="{00000000-0005-0000-0000-0000EE010000}"/>
    <cellStyle name="40% - Ênfase1 15" xfId="5691" xr:uid="{00000000-0005-0000-0000-0000EF010000}"/>
    <cellStyle name="40% - Ênfase1 16" xfId="5745" xr:uid="{00000000-0005-0000-0000-0000F0010000}"/>
    <cellStyle name="40% - Ênfase1 17" xfId="5784" xr:uid="{00000000-0005-0000-0000-0000F1010000}"/>
    <cellStyle name="40% - Ênfase1 17 2" xfId="16150" xr:uid="{758FB40C-7103-4C5D-8038-64D554F93B89}"/>
    <cellStyle name="40% - Ênfase1 18" xfId="14185" xr:uid="{2DBDD704-4DE2-42EB-813D-B0B21FD7378E}"/>
    <cellStyle name="40% - Ênfase1 2" xfId="4949" xr:uid="{00000000-0005-0000-0000-0000F2010000}"/>
    <cellStyle name="40% - Ênfase1 2 2" xfId="6027" xr:uid="{00000000-0005-0000-0000-0000F3010000}"/>
    <cellStyle name="40% - Ênfase1 2 2 2" xfId="6028" xr:uid="{00000000-0005-0000-0000-0000F4010000}"/>
    <cellStyle name="40% - Ênfase1 2 2 2 2" xfId="6029" xr:uid="{00000000-0005-0000-0000-0000F5010000}"/>
    <cellStyle name="40% - Ênfase1 2 2 2 2 2" xfId="6030" xr:uid="{00000000-0005-0000-0000-0000F6010000}"/>
    <cellStyle name="40% - Ênfase1 2 2 2 2 2 2" xfId="6031" xr:uid="{00000000-0005-0000-0000-0000F7010000}"/>
    <cellStyle name="40% - Ênfase1 2 2 2 2 2 2 2" xfId="6032" xr:uid="{00000000-0005-0000-0000-0000F8010000}"/>
    <cellStyle name="40% - Ênfase1 2 2 2 2 2 2 2 2" xfId="6033" xr:uid="{00000000-0005-0000-0000-0000F9010000}"/>
    <cellStyle name="40% - Ênfase1 2 2 2 2 2 2 2 3" xfId="14348" xr:uid="{52A4C5F1-4A38-4EB7-A2E1-EA75B185206A}"/>
    <cellStyle name="40% - Ênfase1 2 2 2 2 2 2 3" xfId="6034" xr:uid="{00000000-0005-0000-0000-0000FA010000}"/>
    <cellStyle name="40% - Ênfase1 2 2 2 2 2 3" xfId="6035" xr:uid="{00000000-0005-0000-0000-0000FB010000}"/>
    <cellStyle name="40% - Ênfase1 2 2 2 2 2 3 2" xfId="6036" xr:uid="{00000000-0005-0000-0000-0000FC010000}"/>
    <cellStyle name="40% - Ênfase1 2 2 2 2 2 3 2 2" xfId="14352" xr:uid="{175F7D45-C1C8-428C-B98C-7FA53C712E17}"/>
    <cellStyle name="40% - Ênfase1 2 2 2 2 2 4" xfId="14346" xr:uid="{F818677C-11E3-4642-927F-615B454FC8F6}"/>
    <cellStyle name="40% - Ênfase1 2 2 2 2 3" xfId="6037" xr:uid="{00000000-0005-0000-0000-0000FD010000}"/>
    <cellStyle name="40% - Ênfase1 2 2 2 2 3 2" xfId="6038" xr:uid="{00000000-0005-0000-0000-0000FE010000}"/>
    <cellStyle name="40% - Ênfase1 2 2 2 2 3 3" xfId="14353" xr:uid="{EC5DD8B8-0E7E-49E4-9063-BB2F657D5A23}"/>
    <cellStyle name="40% - Ênfase1 2 2 2 3" xfId="6039" xr:uid="{00000000-0005-0000-0000-0000FF010000}"/>
    <cellStyle name="40% - Ênfase1 2 2 2 4" xfId="6040" xr:uid="{00000000-0005-0000-0000-000000020000}"/>
    <cellStyle name="40% - Ênfase1 2 2 2 4 2" xfId="6041" xr:uid="{00000000-0005-0000-0000-000001020000}"/>
    <cellStyle name="40% - Ênfase1 2 2 2 4 2 2" xfId="14355" xr:uid="{D825F905-FB7A-439E-9326-AD58F6EC06ED}"/>
    <cellStyle name="40% - Ênfase1 2 2 2 5" xfId="14344" xr:uid="{8B1D6017-62DF-44E4-8792-6B7AF94D9E47}"/>
    <cellStyle name="40% - Ênfase1 2 2 3" xfId="6042" xr:uid="{00000000-0005-0000-0000-000002020000}"/>
    <cellStyle name="40% - Ênfase1 2 2 3 2" xfId="14356" xr:uid="{57B28632-977E-4C97-81A6-E4BCEF7E32BC}"/>
    <cellStyle name="40% - Ênfase1 2 2 4" xfId="6043" xr:uid="{00000000-0005-0000-0000-000003020000}"/>
    <cellStyle name="40% - Ênfase1 2 2 4 2" xfId="6044" xr:uid="{00000000-0005-0000-0000-000004020000}"/>
    <cellStyle name="40% - Ênfase1 2 2 4 3" xfId="14357" xr:uid="{5D718AC9-FB17-4658-A701-BEC1C2B1E5AF}"/>
    <cellStyle name="40% - Ênfase1 2 3" xfId="6045" xr:uid="{00000000-0005-0000-0000-000005020000}"/>
    <cellStyle name="40% - Ênfase1 2 4" xfId="6046" xr:uid="{00000000-0005-0000-0000-000006020000}"/>
    <cellStyle name="40% - Ênfase1 2 5" xfId="6047" xr:uid="{00000000-0005-0000-0000-000007020000}"/>
    <cellStyle name="40% - Ênfase1 2 6" xfId="6048" xr:uid="{00000000-0005-0000-0000-000008020000}"/>
    <cellStyle name="40% - Ênfase1 2 6 2" xfId="6049" xr:uid="{00000000-0005-0000-0000-000009020000}"/>
    <cellStyle name="40% - Ênfase1 2 6 2 2" xfId="14360" xr:uid="{14CD1EBE-DB6A-450D-ABF7-29B2F4731BD2}"/>
    <cellStyle name="40% - Ênfase1 2 7" xfId="6026" xr:uid="{00000000-0005-0000-0000-00000A020000}"/>
    <cellStyle name="40% - Ênfase1 2 7 2" xfId="14342" xr:uid="{37098CE1-594F-466F-97EF-F9CC823985EC}"/>
    <cellStyle name="40% - Ênfase1 3" xfId="5213" xr:uid="{00000000-0005-0000-0000-00000B020000}"/>
    <cellStyle name="40% - Ênfase1 3 2" xfId="6051" xr:uid="{00000000-0005-0000-0000-00000C020000}"/>
    <cellStyle name="40% - Ênfase1 3 2 2" xfId="14362" xr:uid="{656E1657-5D15-4D77-9678-39176DC381AD}"/>
    <cellStyle name="40% - Ênfase1 3 3" xfId="6052" xr:uid="{00000000-0005-0000-0000-00000D020000}"/>
    <cellStyle name="40% - Ênfase1 3 3 2" xfId="14363" xr:uid="{AAC63F1A-DC37-41F7-A4DB-83E93E1CECB6}"/>
    <cellStyle name="40% - Ênfase1 3 4" xfId="6053" xr:uid="{00000000-0005-0000-0000-00000E020000}"/>
    <cellStyle name="40% - Ênfase1 3 4 2" xfId="14364" xr:uid="{4A9E1810-CED7-464D-BA62-1BE24998C541}"/>
    <cellStyle name="40% - Ênfase1 3 5" xfId="6050" xr:uid="{00000000-0005-0000-0000-00000F020000}"/>
    <cellStyle name="40% - Ênfase1 3 5 2" xfId="14361" xr:uid="{D83E8498-1632-480D-97CC-24A99A084D7C}"/>
    <cellStyle name="40% - Ênfase1 4" xfId="5329" xr:uid="{00000000-0005-0000-0000-000010020000}"/>
    <cellStyle name="40% - Ênfase1 4 2" xfId="6055" xr:uid="{00000000-0005-0000-0000-000011020000}"/>
    <cellStyle name="40% - Ênfase1 4 2 2" xfId="14366" xr:uid="{EB5A9EF2-1889-44BC-A830-0CA22B28D5D1}"/>
    <cellStyle name="40% - Ênfase1 4 3" xfId="6056" xr:uid="{00000000-0005-0000-0000-000012020000}"/>
    <cellStyle name="40% - Ênfase1 4 3 2" xfId="14367" xr:uid="{0AE2F155-2806-49DA-94A4-0900D85946E9}"/>
    <cellStyle name="40% - Ênfase1 4 4" xfId="6054" xr:uid="{00000000-0005-0000-0000-000013020000}"/>
    <cellStyle name="40% - Ênfase1 4 4 2" xfId="14365" xr:uid="{923EEBED-74DF-43F4-92B7-DCE4818E8086}"/>
    <cellStyle name="40% - Ênfase1 5" xfId="5190" xr:uid="{00000000-0005-0000-0000-000014020000}"/>
    <cellStyle name="40% - Ênfase1 5 2" xfId="6058" xr:uid="{00000000-0005-0000-0000-000015020000}"/>
    <cellStyle name="40% - Ênfase1 5 2 2" xfId="14369" xr:uid="{9B3B1D5D-0328-4B33-849E-0CDEEBBF035A}"/>
    <cellStyle name="40% - Ênfase1 5 3" xfId="6057" xr:uid="{00000000-0005-0000-0000-000016020000}"/>
    <cellStyle name="40% - Ênfase1 5 3 2" xfId="14368" xr:uid="{AF32ADAD-DE76-4705-8C98-1865F6A114AE}"/>
    <cellStyle name="40% - Ênfase1 6" xfId="5358" xr:uid="{00000000-0005-0000-0000-000017020000}"/>
    <cellStyle name="40% - Ênfase1 6 2" xfId="6060" xr:uid="{00000000-0005-0000-0000-000018020000}"/>
    <cellStyle name="40% - Ênfase1 6 3" xfId="7316" xr:uid="{00000000-0005-0000-0000-000019020000}"/>
    <cellStyle name="40% - Ênfase1 6 3 2" xfId="14758" xr:uid="{EF0D04EA-4F14-4A24-AF07-CFBBCBC55039}"/>
    <cellStyle name="40% - Ênfase1 6 4" xfId="6059" xr:uid="{00000000-0005-0000-0000-00001A020000}"/>
    <cellStyle name="40% - Ênfase1 6 4 2" xfId="14370" xr:uid="{36C8B4CE-B6AA-4AB3-A405-40AA1FC22961}"/>
    <cellStyle name="40% - Ênfase1 7" xfId="5387" xr:uid="{00000000-0005-0000-0000-00001B020000}"/>
    <cellStyle name="40% - Ênfase1 7 2" xfId="7317" xr:uid="{00000000-0005-0000-0000-00001C020000}"/>
    <cellStyle name="40% - Ênfase1 7 2 2" xfId="14759" xr:uid="{C7C8DF7A-DB1B-4F69-BD85-B3CD4D051CF4}"/>
    <cellStyle name="40% - Ênfase1 7 3" xfId="6061" xr:uid="{00000000-0005-0000-0000-00001D020000}"/>
    <cellStyle name="40% - Ênfase1 7 3 2" xfId="14372" xr:uid="{A0E93821-2E14-47C8-9FCB-5819F69E374B}"/>
    <cellStyle name="40% - Ênfase1 8" xfId="5414" xr:uid="{00000000-0005-0000-0000-00001E020000}"/>
    <cellStyle name="40% - Ênfase1 9" xfId="5440" xr:uid="{00000000-0005-0000-0000-00001F020000}"/>
    <cellStyle name="40% - Ênfase2" xfId="33" xr:uid="{00000000-0005-0000-0000-000020020000}"/>
    <cellStyle name="40% - Ênfase2 10" xfId="5499" xr:uid="{00000000-0005-0000-0000-000021020000}"/>
    <cellStyle name="40% - Ênfase2 11" xfId="5593" xr:uid="{00000000-0005-0000-0000-000022020000}"/>
    <cellStyle name="40% - Ênfase2 12" xfId="5475" xr:uid="{00000000-0005-0000-0000-000023020000}"/>
    <cellStyle name="40% - Ênfase2 13" xfId="5620" xr:uid="{00000000-0005-0000-0000-000024020000}"/>
    <cellStyle name="40% - Ênfase2 14" xfId="5648" xr:uid="{00000000-0005-0000-0000-000025020000}"/>
    <cellStyle name="40% - Ênfase2 15" xfId="5692" xr:uid="{00000000-0005-0000-0000-000026020000}"/>
    <cellStyle name="40% - Ênfase2 16" xfId="5744" xr:uid="{00000000-0005-0000-0000-000027020000}"/>
    <cellStyle name="40% - Ênfase2 17" xfId="5788" xr:uid="{00000000-0005-0000-0000-000028020000}"/>
    <cellStyle name="40% - Ênfase2 17 2" xfId="16152" xr:uid="{A559D9EC-51FE-4882-903A-C4D6DE1A4DA4}"/>
    <cellStyle name="40% - Ênfase2 18" xfId="14187" xr:uid="{083BE4A3-E67A-4B25-BC09-01479346B7B4}"/>
    <cellStyle name="40% - Ênfase2 2" xfId="4950" xr:uid="{00000000-0005-0000-0000-000029020000}"/>
    <cellStyle name="40% - Ênfase2 2 2" xfId="6063" xr:uid="{00000000-0005-0000-0000-00002A020000}"/>
    <cellStyle name="40% - Ênfase2 2 2 2" xfId="6064" xr:uid="{00000000-0005-0000-0000-00002B020000}"/>
    <cellStyle name="40% - Ênfase2 2 2 2 2" xfId="6065" xr:uid="{00000000-0005-0000-0000-00002C020000}"/>
    <cellStyle name="40% - Ênfase2 2 2 2 2 2" xfId="6066" xr:uid="{00000000-0005-0000-0000-00002D020000}"/>
    <cellStyle name="40% - Ênfase2 2 2 2 2 2 2" xfId="6067" xr:uid="{00000000-0005-0000-0000-00002E020000}"/>
    <cellStyle name="40% - Ênfase2 2 2 2 2 2 2 2" xfId="6068" xr:uid="{00000000-0005-0000-0000-00002F020000}"/>
    <cellStyle name="40% - Ênfase2 2 2 2 2 2 2 2 2" xfId="6069" xr:uid="{00000000-0005-0000-0000-000030020000}"/>
    <cellStyle name="40% - Ênfase2 2 2 2 2 2 2 2 3" xfId="14379" xr:uid="{8ED339F7-700C-4892-B27F-A18D8595ECD3}"/>
    <cellStyle name="40% - Ênfase2 2 2 2 2 2 2 3" xfId="6070" xr:uid="{00000000-0005-0000-0000-000031020000}"/>
    <cellStyle name="40% - Ênfase2 2 2 2 2 2 3" xfId="6071" xr:uid="{00000000-0005-0000-0000-000032020000}"/>
    <cellStyle name="40% - Ênfase2 2 2 2 2 2 3 2" xfId="6072" xr:uid="{00000000-0005-0000-0000-000033020000}"/>
    <cellStyle name="40% - Ênfase2 2 2 2 2 2 3 2 2" xfId="14383" xr:uid="{6013A4A9-573C-48D8-9220-1D227E6E44A6}"/>
    <cellStyle name="40% - Ênfase2 2 2 2 2 2 4" xfId="14377" xr:uid="{0203EABE-E666-45CC-8C41-46B47F0FA223}"/>
    <cellStyle name="40% - Ênfase2 2 2 2 2 3" xfId="6073" xr:uid="{00000000-0005-0000-0000-000034020000}"/>
    <cellStyle name="40% - Ênfase2 2 2 2 2 3 2" xfId="6074" xr:uid="{00000000-0005-0000-0000-000035020000}"/>
    <cellStyle name="40% - Ênfase2 2 2 2 2 3 3" xfId="14384" xr:uid="{96088DF9-68B1-44B0-B996-7B79C6AD22E0}"/>
    <cellStyle name="40% - Ênfase2 2 2 2 3" xfId="6075" xr:uid="{00000000-0005-0000-0000-000036020000}"/>
    <cellStyle name="40% - Ênfase2 2 2 2 4" xfId="6076" xr:uid="{00000000-0005-0000-0000-000037020000}"/>
    <cellStyle name="40% - Ênfase2 2 2 2 4 2" xfId="6077" xr:uid="{00000000-0005-0000-0000-000038020000}"/>
    <cellStyle name="40% - Ênfase2 2 2 2 4 2 2" xfId="14385" xr:uid="{0250B52A-A5C4-4FDD-91F8-469C44D947A9}"/>
    <cellStyle name="40% - Ênfase2 2 2 2 5" xfId="14375" xr:uid="{752D15AF-A951-421B-9BFE-8017339FDD2C}"/>
    <cellStyle name="40% - Ênfase2 2 2 3" xfId="6078" xr:uid="{00000000-0005-0000-0000-000039020000}"/>
    <cellStyle name="40% - Ênfase2 2 2 3 2" xfId="14386" xr:uid="{BC9FD73C-7ECA-40A6-986A-EDCE185B467D}"/>
    <cellStyle name="40% - Ênfase2 2 2 4" xfId="6079" xr:uid="{00000000-0005-0000-0000-00003A020000}"/>
    <cellStyle name="40% - Ênfase2 2 2 4 2" xfId="6080" xr:uid="{00000000-0005-0000-0000-00003B020000}"/>
    <cellStyle name="40% - Ênfase2 2 2 4 3" xfId="14387" xr:uid="{502B947F-3BF4-4140-9DE6-92EB3FBB83B9}"/>
    <cellStyle name="40% - Ênfase2 2 3" xfId="6081" xr:uid="{00000000-0005-0000-0000-00003C020000}"/>
    <cellStyle name="40% - Ênfase2 2 4" xfId="6082" xr:uid="{00000000-0005-0000-0000-00003D020000}"/>
    <cellStyle name="40% - Ênfase2 2 5" xfId="6083" xr:uid="{00000000-0005-0000-0000-00003E020000}"/>
    <cellStyle name="40% - Ênfase2 2 6" xfId="6084" xr:uid="{00000000-0005-0000-0000-00003F020000}"/>
    <cellStyle name="40% - Ênfase2 2 6 2" xfId="6085" xr:uid="{00000000-0005-0000-0000-000040020000}"/>
    <cellStyle name="40% - Ênfase2 2 6 2 2" xfId="14391" xr:uid="{6134EDB7-3608-4707-A698-2510A23A6476}"/>
    <cellStyle name="40% - Ênfase2 2 7" xfId="6062" xr:uid="{00000000-0005-0000-0000-000041020000}"/>
    <cellStyle name="40% - Ênfase2 2 7 2" xfId="14373" xr:uid="{6F87FD05-11A1-4594-82C9-718D917A8C40}"/>
    <cellStyle name="40% - Ênfase2 3" xfId="5214" xr:uid="{00000000-0005-0000-0000-000042020000}"/>
    <cellStyle name="40% - Ênfase2 3 2" xfId="6087" xr:uid="{00000000-0005-0000-0000-000043020000}"/>
    <cellStyle name="40% - Ênfase2 3 2 2" xfId="14393" xr:uid="{0CB7ABE3-121D-4ABA-859E-D25E9240F8F3}"/>
    <cellStyle name="40% - Ênfase2 3 3" xfId="6088" xr:uid="{00000000-0005-0000-0000-000044020000}"/>
    <cellStyle name="40% - Ênfase2 3 3 2" xfId="14394" xr:uid="{EFC9DAD9-37E2-4A76-A394-ACB79D26826C}"/>
    <cellStyle name="40% - Ênfase2 3 4" xfId="6089" xr:uid="{00000000-0005-0000-0000-000045020000}"/>
    <cellStyle name="40% - Ênfase2 3 4 2" xfId="14395" xr:uid="{C9F33466-1607-4279-9E11-29C31066A6F9}"/>
    <cellStyle name="40% - Ênfase2 3 5" xfId="6086" xr:uid="{00000000-0005-0000-0000-000046020000}"/>
    <cellStyle name="40% - Ênfase2 3 5 2" xfId="14392" xr:uid="{2207A054-7C64-41DA-8CD4-88CF83D00BDD}"/>
    <cellStyle name="40% - Ênfase2 4" xfId="5328" xr:uid="{00000000-0005-0000-0000-000047020000}"/>
    <cellStyle name="40% - Ênfase2 4 2" xfId="6091" xr:uid="{00000000-0005-0000-0000-000048020000}"/>
    <cellStyle name="40% - Ênfase2 4 2 2" xfId="14397" xr:uid="{0D27832A-3804-42A6-846C-96336A00087A}"/>
    <cellStyle name="40% - Ênfase2 4 3" xfId="6092" xr:uid="{00000000-0005-0000-0000-000049020000}"/>
    <cellStyle name="40% - Ênfase2 4 3 2" xfId="14398" xr:uid="{48C93CC4-1500-441E-ACE8-B6552C7C33BF}"/>
    <cellStyle name="40% - Ênfase2 4 4" xfId="6090" xr:uid="{00000000-0005-0000-0000-00004A020000}"/>
    <cellStyle name="40% - Ênfase2 4 4 2" xfId="14396" xr:uid="{47AD0F65-0635-44BB-BC9D-7D22E42D7349}"/>
    <cellStyle name="40% - Ênfase2 5" xfId="5191" xr:uid="{00000000-0005-0000-0000-00004B020000}"/>
    <cellStyle name="40% - Ênfase2 5 2" xfId="6094" xr:uid="{00000000-0005-0000-0000-00004C020000}"/>
    <cellStyle name="40% - Ênfase2 5 2 2" xfId="14400" xr:uid="{B80D4AC4-E3DB-4A88-ACE3-9DD6D8DF0425}"/>
    <cellStyle name="40% - Ênfase2 5 3" xfId="6093" xr:uid="{00000000-0005-0000-0000-00004D020000}"/>
    <cellStyle name="40% - Ênfase2 5 3 2" xfId="14399" xr:uid="{F9819C0F-BBE6-4B6F-9063-6826BDF22023}"/>
    <cellStyle name="40% - Ênfase2 6" xfId="5357" xr:uid="{00000000-0005-0000-0000-00004E020000}"/>
    <cellStyle name="40% - Ênfase2 6 2" xfId="6096" xr:uid="{00000000-0005-0000-0000-00004F020000}"/>
    <cellStyle name="40% - Ênfase2 6 3" xfId="7318" xr:uid="{00000000-0005-0000-0000-000050020000}"/>
    <cellStyle name="40% - Ênfase2 6 3 2" xfId="14760" xr:uid="{93583688-8B56-49BC-BE9D-2E82B9AB72CE}"/>
    <cellStyle name="40% - Ênfase2 6 4" xfId="6095" xr:uid="{00000000-0005-0000-0000-000051020000}"/>
    <cellStyle name="40% - Ênfase2 6 4 2" xfId="14401" xr:uid="{8E28360A-5DD7-4129-9B73-E88DD0B8C388}"/>
    <cellStyle name="40% - Ênfase2 7" xfId="5386" xr:uid="{00000000-0005-0000-0000-000052020000}"/>
    <cellStyle name="40% - Ênfase2 7 2" xfId="7319" xr:uid="{00000000-0005-0000-0000-000053020000}"/>
    <cellStyle name="40% - Ênfase2 7 2 2" xfId="14761" xr:uid="{95C2DB52-162D-4D52-95E7-1D860EC18957}"/>
    <cellStyle name="40% - Ênfase2 7 3" xfId="6097" xr:uid="{00000000-0005-0000-0000-000054020000}"/>
    <cellStyle name="40% - Ênfase2 7 3 2" xfId="14403" xr:uid="{92FF17DF-7234-4968-A892-88428BAE31BD}"/>
    <cellStyle name="40% - Ênfase2 8" xfId="5413" xr:uid="{00000000-0005-0000-0000-000055020000}"/>
    <cellStyle name="40% - Ênfase2 9" xfId="5439" xr:uid="{00000000-0005-0000-0000-000056020000}"/>
    <cellStyle name="40% - Ênfase3" xfId="34" xr:uid="{00000000-0005-0000-0000-000057020000}"/>
    <cellStyle name="40% - Ênfase3 10" xfId="5500" xr:uid="{00000000-0005-0000-0000-000058020000}"/>
    <cellStyle name="40% - Ênfase3 11" xfId="5592" xr:uid="{00000000-0005-0000-0000-000059020000}"/>
    <cellStyle name="40% - Ênfase3 12" xfId="5476" xr:uid="{00000000-0005-0000-0000-00005A020000}"/>
    <cellStyle name="40% - Ênfase3 13" xfId="5619" xr:uid="{00000000-0005-0000-0000-00005B020000}"/>
    <cellStyle name="40% - Ênfase3 14" xfId="5647" xr:uid="{00000000-0005-0000-0000-00005C020000}"/>
    <cellStyle name="40% - Ênfase3 15" xfId="5693" xr:uid="{00000000-0005-0000-0000-00005D020000}"/>
    <cellStyle name="40% - Ênfase3 16" xfId="5743" xr:uid="{00000000-0005-0000-0000-00005E020000}"/>
    <cellStyle name="40% - Ênfase3 17" xfId="5792" xr:uid="{00000000-0005-0000-0000-00005F020000}"/>
    <cellStyle name="40% - Ênfase3 17 2" xfId="16154" xr:uid="{32A8E70E-E003-46E0-AD70-780C5C0E5C75}"/>
    <cellStyle name="40% - Ênfase3 18" xfId="14189" xr:uid="{96932F12-156B-47A9-A8EF-6B557DB83588}"/>
    <cellStyle name="40% - Ênfase3 2" xfId="4951" xr:uid="{00000000-0005-0000-0000-000060020000}"/>
    <cellStyle name="40% - Ênfase3 2 2" xfId="6099" xr:uid="{00000000-0005-0000-0000-000061020000}"/>
    <cellStyle name="40% - Ênfase3 2 2 2" xfId="6100" xr:uid="{00000000-0005-0000-0000-000062020000}"/>
    <cellStyle name="40% - Ênfase3 2 2 2 2" xfId="6101" xr:uid="{00000000-0005-0000-0000-000063020000}"/>
    <cellStyle name="40% - Ênfase3 2 2 2 2 2" xfId="6102" xr:uid="{00000000-0005-0000-0000-000064020000}"/>
    <cellStyle name="40% - Ênfase3 2 2 2 2 2 2" xfId="6103" xr:uid="{00000000-0005-0000-0000-000065020000}"/>
    <cellStyle name="40% - Ênfase3 2 2 2 2 2 2 2" xfId="6104" xr:uid="{00000000-0005-0000-0000-000066020000}"/>
    <cellStyle name="40% - Ênfase3 2 2 2 2 2 2 2 2" xfId="6105" xr:uid="{00000000-0005-0000-0000-000067020000}"/>
    <cellStyle name="40% - Ênfase3 2 2 2 2 2 2 2 3" xfId="14408" xr:uid="{0FC72B27-E30B-41D3-BA3D-6B46E01D62D4}"/>
    <cellStyle name="40% - Ênfase3 2 2 2 2 2 2 3" xfId="6106" xr:uid="{00000000-0005-0000-0000-000068020000}"/>
    <cellStyle name="40% - Ênfase3 2 2 2 2 2 3" xfId="6107" xr:uid="{00000000-0005-0000-0000-000069020000}"/>
    <cellStyle name="40% - Ênfase3 2 2 2 2 2 3 2" xfId="6108" xr:uid="{00000000-0005-0000-0000-00006A020000}"/>
    <cellStyle name="40% - Ênfase3 2 2 2 2 2 3 2 2" xfId="14411" xr:uid="{20185801-EDC6-42BA-A325-7AC48082F0C8}"/>
    <cellStyle name="40% - Ênfase3 2 2 2 2 2 4" xfId="14407" xr:uid="{AF224C05-A41D-407D-A2EC-1D16D6EF769D}"/>
    <cellStyle name="40% - Ênfase3 2 2 2 2 3" xfId="6109" xr:uid="{00000000-0005-0000-0000-00006B020000}"/>
    <cellStyle name="40% - Ênfase3 2 2 2 2 3 2" xfId="6110" xr:uid="{00000000-0005-0000-0000-00006C020000}"/>
    <cellStyle name="40% - Ênfase3 2 2 2 2 3 3" xfId="14412" xr:uid="{2EC2214A-E24D-4D6D-B3B5-460BA0D303AB}"/>
    <cellStyle name="40% - Ênfase3 2 2 2 3" xfId="6111" xr:uid="{00000000-0005-0000-0000-00006D020000}"/>
    <cellStyle name="40% - Ênfase3 2 2 2 4" xfId="6112" xr:uid="{00000000-0005-0000-0000-00006E020000}"/>
    <cellStyle name="40% - Ênfase3 2 2 2 4 2" xfId="6113" xr:uid="{00000000-0005-0000-0000-00006F020000}"/>
    <cellStyle name="40% - Ênfase3 2 2 2 4 2 2" xfId="14416" xr:uid="{E5445380-7DD9-4B0D-B257-04AFA6A634DA}"/>
    <cellStyle name="40% - Ênfase3 2 2 2 5" xfId="14405" xr:uid="{AF102BAA-C1D4-4E60-A0B6-DD7EBB4FD6F7}"/>
    <cellStyle name="40% - Ênfase3 2 2 3" xfId="6114" xr:uid="{00000000-0005-0000-0000-000070020000}"/>
    <cellStyle name="40% - Ênfase3 2 2 3 2" xfId="14417" xr:uid="{8E679CEE-95A1-44A5-88AA-0C68F4973DEB}"/>
    <cellStyle name="40% - Ênfase3 2 2 4" xfId="6115" xr:uid="{00000000-0005-0000-0000-000071020000}"/>
    <cellStyle name="40% - Ênfase3 2 2 4 2" xfId="6116" xr:uid="{00000000-0005-0000-0000-000072020000}"/>
    <cellStyle name="40% - Ênfase3 2 2 4 3" xfId="14418" xr:uid="{23FC7035-ED94-430E-8D38-C90C0569EF93}"/>
    <cellStyle name="40% - Ênfase3 2 3" xfId="6117" xr:uid="{00000000-0005-0000-0000-000073020000}"/>
    <cellStyle name="40% - Ênfase3 2 4" xfId="6118" xr:uid="{00000000-0005-0000-0000-000074020000}"/>
    <cellStyle name="40% - Ênfase3 2 5" xfId="6119" xr:uid="{00000000-0005-0000-0000-000075020000}"/>
    <cellStyle name="40% - Ênfase3 2 6" xfId="6120" xr:uid="{00000000-0005-0000-0000-000076020000}"/>
    <cellStyle name="40% - Ênfase3 2 6 2" xfId="6121" xr:uid="{00000000-0005-0000-0000-000077020000}"/>
    <cellStyle name="40% - Ênfase3 2 6 2 2" xfId="14424" xr:uid="{FC970EA1-D2BC-4E27-8EED-A91828D45D7B}"/>
    <cellStyle name="40% - Ênfase3 2 7" xfId="6098" xr:uid="{00000000-0005-0000-0000-000078020000}"/>
    <cellStyle name="40% - Ênfase3 2 7 2" xfId="14404" xr:uid="{1CE34FC4-43A0-4B21-A180-C456B5928C78}"/>
    <cellStyle name="40% - Ênfase3 3" xfId="5215" xr:uid="{00000000-0005-0000-0000-000079020000}"/>
    <cellStyle name="40% - Ênfase3 3 2" xfId="6123" xr:uid="{00000000-0005-0000-0000-00007A020000}"/>
    <cellStyle name="40% - Ênfase3 3 2 2" xfId="14426" xr:uid="{A77ECAE2-8B8E-4410-9DC9-947178509902}"/>
    <cellStyle name="40% - Ênfase3 3 3" xfId="6124" xr:uid="{00000000-0005-0000-0000-00007B020000}"/>
    <cellStyle name="40% - Ênfase3 3 3 2" xfId="14427" xr:uid="{430DFDA5-9DB4-492C-AD40-6E8F9388D2CE}"/>
    <cellStyle name="40% - Ênfase3 3 4" xfId="6125" xr:uid="{00000000-0005-0000-0000-00007C020000}"/>
    <cellStyle name="40% - Ênfase3 3 4 2" xfId="14428" xr:uid="{E61B17DA-4EED-48BA-973A-80FF40FF0FF8}"/>
    <cellStyle name="40% - Ênfase3 3 5" xfId="6122" xr:uid="{00000000-0005-0000-0000-00007D020000}"/>
    <cellStyle name="40% - Ênfase3 3 5 2" xfId="14425" xr:uid="{29543492-68F8-4108-95CA-B393E32B0DEC}"/>
    <cellStyle name="40% - Ênfase3 4" xfId="5327" xr:uid="{00000000-0005-0000-0000-00007E020000}"/>
    <cellStyle name="40% - Ênfase3 4 2" xfId="6127" xr:uid="{00000000-0005-0000-0000-00007F020000}"/>
    <cellStyle name="40% - Ênfase3 4 2 2" xfId="14430" xr:uid="{962145CC-ED3F-4379-8E24-7BADC1B9D121}"/>
    <cellStyle name="40% - Ênfase3 4 3" xfId="6128" xr:uid="{00000000-0005-0000-0000-000080020000}"/>
    <cellStyle name="40% - Ênfase3 4 3 2" xfId="14431" xr:uid="{7C549509-47AD-43A2-8179-7C6FA92F4461}"/>
    <cellStyle name="40% - Ênfase3 4 4" xfId="6126" xr:uid="{00000000-0005-0000-0000-000081020000}"/>
    <cellStyle name="40% - Ênfase3 4 4 2" xfId="14429" xr:uid="{879D0EA8-8506-4AC6-BC95-AD0409AE138A}"/>
    <cellStyle name="40% - Ênfase3 5" xfId="5192" xr:uid="{00000000-0005-0000-0000-000082020000}"/>
    <cellStyle name="40% - Ênfase3 5 2" xfId="6130" xr:uid="{00000000-0005-0000-0000-000083020000}"/>
    <cellStyle name="40% - Ênfase3 5 2 2" xfId="14433" xr:uid="{64429F29-0996-4F15-ADFD-306ED5F64C12}"/>
    <cellStyle name="40% - Ênfase3 5 3" xfId="6129" xr:uid="{00000000-0005-0000-0000-000084020000}"/>
    <cellStyle name="40% - Ênfase3 5 3 2" xfId="14432" xr:uid="{BEFD5D8F-BE59-49B5-B2B0-CAB60585CB7C}"/>
    <cellStyle name="40% - Ênfase3 6" xfId="5356" xr:uid="{00000000-0005-0000-0000-000085020000}"/>
    <cellStyle name="40% - Ênfase3 6 2" xfId="6132" xr:uid="{00000000-0005-0000-0000-000086020000}"/>
    <cellStyle name="40% - Ênfase3 6 3" xfId="7320" xr:uid="{00000000-0005-0000-0000-000087020000}"/>
    <cellStyle name="40% - Ênfase3 6 3 2" xfId="14762" xr:uid="{8C9CE640-1D62-4E06-A3A5-31E88249A069}"/>
    <cellStyle name="40% - Ênfase3 6 4" xfId="6131" xr:uid="{00000000-0005-0000-0000-000088020000}"/>
    <cellStyle name="40% - Ênfase3 6 4 2" xfId="14434" xr:uid="{E8467361-A555-4051-9497-8F86A83E2830}"/>
    <cellStyle name="40% - Ênfase3 7" xfId="5385" xr:uid="{00000000-0005-0000-0000-000089020000}"/>
    <cellStyle name="40% - Ênfase3 7 2" xfId="7321" xr:uid="{00000000-0005-0000-0000-00008A020000}"/>
    <cellStyle name="40% - Ênfase3 7 2 2" xfId="14763" xr:uid="{D7287C23-9AA9-4CD9-A6AE-3AD6513EDDAF}"/>
    <cellStyle name="40% - Ênfase3 7 3" xfId="6133" xr:uid="{00000000-0005-0000-0000-00008B020000}"/>
    <cellStyle name="40% - Ênfase3 7 3 2" xfId="14436" xr:uid="{E20C584D-C8E0-477D-B3A6-CB366C3D3CB2}"/>
    <cellStyle name="40% - Ênfase3 8" xfId="5412" xr:uid="{00000000-0005-0000-0000-00008C020000}"/>
    <cellStyle name="40% - Ênfase3 9" xfId="5438" xr:uid="{00000000-0005-0000-0000-00008D020000}"/>
    <cellStyle name="40% - Ênfase4" xfId="35" xr:uid="{00000000-0005-0000-0000-00008E020000}"/>
    <cellStyle name="40% - Ênfase4 10" xfId="5501" xr:uid="{00000000-0005-0000-0000-00008F020000}"/>
    <cellStyle name="40% - Ênfase4 11" xfId="5591" xr:uid="{00000000-0005-0000-0000-000090020000}"/>
    <cellStyle name="40% - Ênfase4 12" xfId="5477" xr:uid="{00000000-0005-0000-0000-000091020000}"/>
    <cellStyle name="40% - Ênfase4 13" xfId="5618" xr:uid="{00000000-0005-0000-0000-000092020000}"/>
    <cellStyle name="40% - Ênfase4 14" xfId="5646" xr:uid="{00000000-0005-0000-0000-000093020000}"/>
    <cellStyle name="40% - Ênfase4 15" xfId="5694" xr:uid="{00000000-0005-0000-0000-000094020000}"/>
    <cellStyle name="40% - Ênfase4 16" xfId="5742" xr:uid="{00000000-0005-0000-0000-000095020000}"/>
    <cellStyle name="40% - Ênfase4 17" xfId="5796" xr:uid="{00000000-0005-0000-0000-000096020000}"/>
    <cellStyle name="40% - Ênfase4 17 2" xfId="16156" xr:uid="{E108FC0C-F89D-4B4F-943E-5E5527F35580}"/>
    <cellStyle name="40% - Ênfase4 18" xfId="14191" xr:uid="{7BBD4346-E202-42B3-BADF-CEC8276876B4}"/>
    <cellStyle name="40% - Ênfase4 2" xfId="4952" xr:uid="{00000000-0005-0000-0000-000097020000}"/>
    <cellStyle name="40% - Ênfase4 2 2" xfId="6135" xr:uid="{00000000-0005-0000-0000-000098020000}"/>
    <cellStyle name="40% - Ênfase4 2 2 2" xfId="6136" xr:uid="{00000000-0005-0000-0000-000099020000}"/>
    <cellStyle name="40% - Ênfase4 2 2 2 2" xfId="6137" xr:uid="{00000000-0005-0000-0000-00009A020000}"/>
    <cellStyle name="40% - Ênfase4 2 2 2 2 2" xfId="6138" xr:uid="{00000000-0005-0000-0000-00009B020000}"/>
    <cellStyle name="40% - Ênfase4 2 2 2 2 2 2" xfId="6139" xr:uid="{00000000-0005-0000-0000-00009C020000}"/>
    <cellStyle name="40% - Ênfase4 2 2 2 2 2 2 2" xfId="6140" xr:uid="{00000000-0005-0000-0000-00009D020000}"/>
    <cellStyle name="40% - Ênfase4 2 2 2 2 2 2 2 2" xfId="6141" xr:uid="{00000000-0005-0000-0000-00009E020000}"/>
    <cellStyle name="40% - Ênfase4 2 2 2 2 2 2 2 3" xfId="14442" xr:uid="{F3E654E6-8091-4606-8776-D5ACF37D1B4C}"/>
    <cellStyle name="40% - Ênfase4 2 2 2 2 2 2 3" xfId="6142" xr:uid="{00000000-0005-0000-0000-00009F020000}"/>
    <cellStyle name="40% - Ênfase4 2 2 2 2 2 3" xfId="6143" xr:uid="{00000000-0005-0000-0000-0000A0020000}"/>
    <cellStyle name="40% - Ênfase4 2 2 2 2 2 3 2" xfId="6144" xr:uid="{00000000-0005-0000-0000-0000A1020000}"/>
    <cellStyle name="40% - Ênfase4 2 2 2 2 2 3 2 2" xfId="14445" xr:uid="{7191681F-D692-49F2-A2F1-5265CDE206BA}"/>
    <cellStyle name="40% - Ênfase4 2 2 2 2 2 4" xfId="14441" xr:uid="{1AE92A4C-049B-4EE2-9238-19AAB400EC2B}"/>
    <cellStyle name="40% - Ênfase4 2 2 2 2 3" xfId="6145" xr:uid="{00000000-0005-0000-0000-0000A2020000}"/>
    <cellStyle name="40% - Ênfase4 2 2 2 2 3 2" xfId="6146" xr:uid="{00000000-0005-0000-0000-0000A3020000}"/>
    <cellStyle name="40% - Ênfase4 2 2 2 2 3 3" xfId="14446" xr:uid="{B230F958-C7D3-457B-9941-707C520DD9ED}"/>
    <cellStyle name="40% - Ênfase4 2 2 2 3" xfId="6147" xr:uid="{00000000-0005-0000-0000-0000A4020000}"/>
    <cellStyle name="40% - Ênfase4 2 2 2 4" xfId="6148" xr:uid="{00000000-0005-0000-0000-0000A5020000}"/>
    <cellStyle name="40% - Ênfase4 2 2 2 4 2" xfId="6149" xr:uid="{00000000-0005-0000-0000-0000A6020000}"/>
    <cellStyle name="40% - Ênfase4 2 2 2 4 2 2" xfId="14450" xr:uid="{1C71BFC3-C006-4790-A5EF-90AE3B28259C}"/>
    <cellStyle name="40% - Ênfase4 2 2 2 5" xfId="14439" xr:uid="{469735BC-EE44-4D57-BF3D-59AB12A80D33}"/>
    <cellStyle name="40% - Ênfase4 2 2 3" xfId="6150" xr:uid="{00000000-0005-0000-0000-0000A7020000}"/>
    <cellStyle name="40% - Ênfase4 2 2 3 2" xfId="14451" xr:uid="{AB754822-2DD3-4F15-9EE7-E521EA36D194}"/>
    <cellStyle name="40% - Ênfase4 2 2 4" xfId="6151" xr:uid="{00000000-0005-0000-0000-0000A8020000}"/>
    <cellStyle name="40% - Ênfase4 2 2 4 2" xfId="6152" xr:uid="{00000000-0005-0000-0000-0000A9020000}"/>
    <cellStyle name="40% - Ênfase4 2 2 4 3" xfId="14452" xr:uid="{114783AD-2569-4353-A315-80778776501A}"/>
    <cellStyle name="40% - Ênfase4 2 3" xfId="6153" xr:uid="{00000000-0005-0000-0000-0000AA020000}"/>
    <cellStyle name="40% - Ênfase4 2 4" xfId="6154" xr:uid="{00000000-0005-0000-0000-0000AB020000}"/>
    <cellStyle name="40% - Ênfase4 2 5" xfId="6155" xr:uid="{00000000-0005-0000-0000-0000AC020000}"/>
    <cellStyle name="40% - Ênfase4 2 6" xfId="6156" xr:uid="{00000000-0005-0000-0000-0000AD020000}"/>
    <cellStyle name="40% - Ênfase4 2 6 2" xfId="6157" xr:uid="{00000000-0005-0000-0000-0000AE020000}"/>
    <cellStyle name="40% - Ênfase4 2 6 2 2" xfId="14458" xr:uid="{780145B8-411B-4F37-B894-149D45768860}"/>
    <cellStyle name="40% - Ênfase4 2 7" xfId="6134" xr:uid="{00000000-0005-0000-0000-0000AF020000}"/>
    <cellStyle name="40% - Ênfase4 2 7 2" xfId="14437" xr:uid="{0FAF458E-1407-4F20-80E7-4C3AAD58227A}"/>
    <cellStyle name="40% - Ênfase4 3" xfId="5216" xr:uid="{00000000-0005-0000-0000-0000B0020000}"/>
    <cellStyle name="40% - Ênfase4 3 2" xfId="6159" xr:uid="{00000000-0005-0000-0000-0000B1020000}"/>
    <cellStyle name="40% - Ênfase4 3 2 2" xfId="14460" xr:uid="{DDC614BF-A5E0-4D52-B46C-D0B383146680}"/>
    <cellStyle name="40% - Ênfase4 3 3" xfId="6160" xr:uid="{00000000-0005-0000-0000-0000B2020000}"/>
    <cellStyle name="40% - Ênfase4 3 3 2" xfId="14461" xr:uid="{86F14EEF-3C25-4A4B-8662-6A1067090000}"/>
    <cellStyle name="40% - Ênfase4 3 4" xfId="6161" xr:uid="{00000000-0005-0000-0000-0000B3020000}"/>
    <cellStyle name="40% - Ênfase4 3 4 2" xfId="14462" xr:uid="{A767E1D8-7391-448B-8B30-8345C29A8395}"/>
    <cellStyle name="40% - Ênfase4 3 5" xfId="6158" xr:uid="{00000000-0005-0000-0000-0000B4020000}"/>
    <cellStyle name="40% - Ênfase4 3 5 2" xfId="14459" xr:uid="{AC4625D2-414C-48B0-B748-4D9023FE1D5A}"/>
    <cellStyle name="40% - Ênfase4 4" xfId="5326" xr:uid="{00000000-0005-0000-0000-0000B5020000}"/>
    <cellStyle name="40% - Ênfase4 4 2" xfId="6163" xr:uid="{00000000-0005-0000-0000-0000B6020000}"/>
    <cellStyle name="40% - Ênfase4 4 2 2" xfId="14464" xr:uid="{EC9AC0E3-8549-457C-9ECD-478E72AE2A45}"/>
    <cellStyle name="40% - Ênfase4 4 3" xfId="6164" xr:uid="{00000000-0005-0000-0000-0000B7020000}"/>
    <cellStyle name="40% - Ênfase4 4 3 2" xfId="14465" xr:uid="{652786F0-E927-4213-905D-BFF12D60374C}"/>
    <cellStyle name="40% - Ênfase4 4 4" xfId="6162" xr:uid="{00000000-0005-0000-0000-0000B8020000}"/>
    <cellStyle name="40% - Ênfase4 4 4 2" xfId="14463" xr:uid="{D245AF30-BA03-41F3-965B-889D814601FE}"/>
    <cellStyle name="40% - Ênfase4 5" xfId="5193" xr:uid="{00000000-0005-0000-0000-0000B9020000}"/>
    <cellStyle name="40% - Ênfase4 5 2" xfId="6166" xr:uid="{00000000-0005-0000-0000-0000BA020000}"/>
    <cellStyle name="40% - Ênfase4 5 2 2" xfId="14467" xr:uid="{565BC5EF-80A3-4DA2-B288-09E82EE7531E}"/>
    <cellStyle name="40% - Ênfase4 5 3" xfId="6165" xr:uid="{00000000-0005-0000-0000-0000BB020000}"/>
    <cellStyle name="40% - Ênfase4 5 3 2" xfId="14466" xr:uid="{08E8883F-D07B-47A4-ABAF-F1544221E5B4}"/>
    <cellStyle name="40% - Ênfase4 6" xfId="5355" xr:uid="{00000000-0005-0000-0000-0000BC020000}"/>
    <cellStyle name="40% - Ênfase4 6 2" xfId="6168" xr:uid="{00000000-0005-0000-0000-0000BD020000}"/>
    <cellStyle name="40% - Ênfase4 6 3" xfId="7322" xr:uid="{00000000-0005-0000-0000-0000BE020000}"/>
    <cellStyle name="40% - Ênfase4 6 3 2" xfId="14764" xr:uid="{CD9C8263-D116-4BB2-A668-35146B57E486}"/>
    <cellStyle name="40% - Ênfase4 6 4" xfId="6167" xr:uid="{00000000-0005-0000-0000-0000BF020000}"/>
    <cellStyle name="40% - Ênfase4 6 4 2" xfId="14468" xr:uid="{BED03F68-C23D-4228-B384-CE65ADE8A929}"/>
    <cellStyle name="40% - Ênfase4 7" xfId="5384" xr:uid="{00000000-0005-0000-0000-0000C0020000}"/>
    <cellStyle name="40% - Ênfase4 7 2" xfId="7323" xr:uid="{00000000-0005-0000-0000-0000C1020000}"/>
    <cellStyle name="40% - Ênfase4 7 2 2" xfId="14765" xr:uid="{67D5243D-E034-421F-A7C0-BF442FF1767F}"/>
    <cellStyle name="40% - Ênfase4 7 3" xfId="6169" xr:uid="{00000000-0005-0000-0000-0000C2020000}"/>
    <cellStyle name="40% - Ênfase4 7 3 2" xfId="14470" xr:uid="{9574D129-50FD-4013-B406-0E65840C0EFF}"/>
    <cellStyle name="40% - Ênfase4 8" xfId="5411" xr:uid="{00000000-0005-0000-0000-0000C3020000}"/>
    <cellStyle name="40% - Ênfase4 9" xfId="5437" xr:uid="{00000000-0005-0000-0000-0000C4020000}"/>
    <cellStyle name="40% - Ênfase5" xfId="36" xr:uid="{00000000-0005-0000-0000-0000C5020000}"/>
    <cellStyle name="40% - Ênfase5 10" xfId="5502" xr:uid="{00000000-0005-0000-0000-0000C6020000}"/>
    <cellStyle name="40% - Ênfase5 11" xfId="5590" xr:uid="{00000000-0005-0000-0000-0000C7020000}"/>
    <cellStyle name="40% - Ênfase5 12" xfId="5478" xr:uid="{00000000-0005-0000-0000-0000C8020000}"/>
    <cellStyle name="40% - Ênfase5 13" xfId="5617" xr:uid="{00000000-0005-0000-0000-0000C9020000}"/>
    <cellStyle name="40% - Ênfase5 14" xfId="5645" xr:uid="{00000000-0005-0000-0000-0000CA020000}"/>
    <cellStyle name="40% - Ênfase5 15" xfId="5695" xr:uid="{00000000-0005-0000-0000-0000CB020000}"/>
    <cellStyle name="40% - Ênfase5 16" xfId="5741" xr:uid="{00000000-0005-0000-0000-0000CC020000}"/>
    <cellStyle name="40% - Ênfase5 17" xfId="5800" xr:uid="{00000000-0005-0000-0000-0000CD020000}"/>
    <cellStyle name="40% - Ênfase5 17 2" xfId="16158" xr:uid="{3191EC86-8020-4700-B377-75C4B5C3594E}"/>
    <cellStyle name="40% - Ênfase5 18" xfId="14194" xr:uid="{52E9B55C-0C7C-441D-B3CD-39598C1828B6}"/>
    <cellStyle name="40% - Ênfase5 2" xfId="4953" xr:uid="{00000000-0005-0000-0000-0000CE020000}"/>
    <cellStyle name="40% - Ênfase5 2 2" xfId="6171" xr:uid="{00000000-0005-0000-0000-0000CF020000}"/>
    <cellStyle name="40% - Ênfase5 2 2 2" xfId="6172" xr:uid="{00000000-0005-0000-0000-0000D0020000}"/>
    <cellStyle name="40% - Ênfase5 2 2 2 2" xfId="6173" xr:uid="{00000000-0005-0000-0000-0000D1020000}"/>
    <cellStyle name="40% - Ênfase5 2 2 2 2 2" xfId="6174" xr:uid="{00000000-0005-0000-0000-0000D2020000}"/>
    <cellStyle name="40% - Ênfase5 2 2 2 2 2 2" xfId="6175" xr:uid="{00000000-0005-0000-0000-0000D3020000}"/>
    <cellStyle name="40% - Ênfase5 2 2 2 2 2 2 2" xfId="6176" xr:uid="{00000000-0005-0000-0000-0000D4020000}"/>
    <cellStyle name="40% - Ênfase5 2 2 2 2 2 2 2 2" xfId="6177" xr:uid="{00000000-0005-0000-0000-0000D5020000}"/>
    <cellStyle name="40% - Ênfase5 2 2 2 2 2 2 2 3" xfId="14474" xr:uid="{9051CE2C-1DAB-4698-9EA5-C5BD1D63B36C}"/>
    <cellStyle name="40% - Ênfase5 2 2 2 2 2 2 3" xfId="6178" xr:uid="{00000000-0005-0000-0000-0000D6020000}"/>
    <cellStyle name="40% - Ênfase5 2 2 2 2 2 3" xfId="6179" xr:uid="{00000000-0005-0000-0000-0000D7020000}"/>
    <cellStyle name="40% - Ênfase5 2 2 2 2 2 3 2" xfId="6180" xr:uid="{00000000-0005-0000-0000-0000D8020000}"/>
    <cellStyle name="40% - Ênfase5 2 2 2 2 2 3 2 2" xfId="14475" xr:uid="{BA07F6F1-EA9D-4F3B-AEB0-A191A24EC85F}"/>
    <cellStyle name="40% - Ênfase5 2 2 2 2 2 4" xfId="14473" xr:uid="{FD95C92A-1AC7-4E13-B148-61D88F857181}"/>
    <cellStyle name="40% - Ênfase5 2 2 2 2 3" xfId="6181" xr:uid="{00000000-0005-0000-0000-0000D9020000}"/>
    <cellStyle name="40% - Ênfase5 2 2 2 2 3 2" xfId="6182" xr:uid="{00000000-0005-0000-0000-0000DA020000}"/>
    <cellStyle name="40% - Ênfase5 2 2 2 2 3 3" xfId="14476" xr:uid="{302E603F-2A6C-46C5-B4D2-30786AE68B88}"/>
    <cellStyle name="40% - Ênfase5 2 2 2 3" xfId="6183" xr:uid="{00000000-0005-0000-0000-0000DB020000}"/>
    <cellStyle name="40% - Ênfase5 2 2 2 4" xfId="6184" xr:uid="{00000000-0005-0000-0000-0000DC020000}"/>
    <cellStyle name="40% - Ênfase5 2 2 2 4 2" xfId="6185" xr:uid="{00000000-0005-0000-0000-0000DD020000}"/>
    <cellStyle name="40% - Ênfase5 2 2 2 4 2 2" xfId="14477" xr:uid="{712CEC25-ACFD-47EC-85F4-30789B5802EC}"/>
    <cellStyle name="40% - Ênfase5 2 2 2 5" xfId="14472" xr:uid="{D3916330-5336-4935-B986-72F4AC69CD87}"/>
    <cellStyle name="40% - Ênfase5 2 2 3" xfId="6186" xr:uid="{00000000-0005-0000-0000-0000DE020000}"/>
    <cellStyle name="40% - Ênfase5 2 2 3 2" xfId="14478" xr:uid="{0AC941AF-66C8-4F4E-94E0-97BF7651D10C}"/>
    <cellStyle name="40% - Ênfase5 2 2 4" xfId="6187" xr:uid="{00000000-0005-0000-0000-0000DF020000}"/>
    <cellStyle name="40% - Ênfase5 2 2 4 2" xfId="6188" xr:uid="{00000000-0005-0000-0000-0000E0020000}"/>
    <cellStyle name="40% - Ênfase5 2 2 4 3" xfId="14479" xr:uid="{5FCEC18B-A58F-4D44-8CA1-DE3B7AA9891F}"/>
    <cellStyle name="40% - Ênfase5 2 3" xfId="6189" xr:uid="{00000000-0005-0000-0000-0000E1020000}"/>
    <cellStyle name="40% - Ênfase5 2 4" xfId="6190" xr:uid="{00000000-0005-0000-0000-0000E2020000}"/>
    <cellStyle name="40% - Ênfase5 2 5" xfId="6191" xr:uid="{00000000-0005-0000-0000-0000E3020000}"/>
    <cellStyle name="40% - Ênfase5 2 6" xfId="6192" xr:uid="{00000000-0005-0000-0000-0000E4020000}"/>
    <cellStyle name="40% - Ênfase5 2 6 2" xfId="6193" xr:uid="{00000000-0005-0000-0000-0000E5020000}"/>
    <cellStyle name="40% - Ênfase5 2 6 2 2" xfId="14480" xr:uid="{2A9B34E7-D4E8-4450-8896-C9DBD37FF732}"/>
    <cellStyle name="40% - Ênfase5 2 7" xfId="6170" xr:uid="{00000000-0005-0000-0000-0000E6020000}"/>
    <cellStyle name="40% - Ênfase5 2 7 2" xfId="14471" xr:uid="{793D5348-881B-4304-97B9-23DDE70FF2A6}"/>
    <cellStyle name="40% - Ênfase5 3" xfId="5217" xr:uid="{00000000-0005-0000-0000-0000E7020000}"/>
    <cellStyle name="40% - Ênfase5 3 2" xfId="6195" xr:uid="{00000000-0005-0000-0000-0000E8020000}"/>
    <cellStyle name="40% - Ênfase5 3 2 2" xfId="14482" xr:uid="{6F1D33C9-1399-45B4-BE41-191EBBF9B9CE}"/>
    <cellStyle name="40% - Ênfase5 3 3" xfId="6196" xr:uid="{00000000-0005-0000-0000-0000E9020000}"/>
    <cellStyle name="40% - Ênfase5 3 3 2" xfId="14483" xr:uid="{FFC1ADE6-06BD-41CB-8872-3D13EF782E41}"/>
    <cellStyle name="40% - Ênfase5 3 4" xfId="6197" xr:uid="{00000000-0005-0000-0000-0000EA020000}"/>
    <cellStyle name="40% - Ênfase5 3 4 2" xfId="14484" xr:uid="{A12BE285-DB7F-444A-8A64-CD36456CBCFB}"/>
    <cellStyle name="40% - Ênfase5 3 5" xfId="6194" xr:uid="{00000000-0005-0000-0000-0000EB020000}"/>
    <cellStyle name="40% - Ênfase5 3 5 2" xfId="14481" xr:uid="{A2E19E7E-C049-4259-8B39-8F960823FF87}"/>
    <cellStyle name="40% - Ênfase5 4" xfId="5325" xr:uid="{00000000-0005-0000-0000-0000EC020000}"/>
    <cellStyle name="40% - Ênfase5 4 2" xfId="6199" xr:uid="{00000000-0005-0000-0000-0000ED020000}"/>
    <cellStyle name="40% - Ênfase5 4 2 2" xfId="14486" xr:uid="{2C661BCB-ED13-4C09-A5CB-12B54DDF1C9A}"/>
    <cellStyle name="40% - Ênfase5 4 3" xfId="6200" xr:uid="{00000000-0005-0000-0000-0000EE020000}"/>
    <cellStyle name="40% - Ênfase5 4 3 2" xfId="14487" xr:uid="{691D303C-DFAD-4DF3-94A1-9511B4853B82}"/>
    <cellStyle name="40% - Ênfase5 4 4" xfId="6198" xr:uid="{00000000-0005-0000-0000-0000EF020000}"/>
    <cellStyle name="40% - Ênfase5 4 4 2" xfId="14485" xr:uid="{97545546-4773-4BCE-95A5-6F60AAD19C41}"/>
    <cellStyle name="40% - Ênfase5 5" xfId="5194" xr:uid="{00000000-0005-0000-0000-0000F0020000}"/>
    <cellStyle name="40% - Ênfase5 5 2" xfId="6202" xr:uid="{00000000-0005-0000-0000-0000F1020000}"/>
    <cellStyle name="40% - Ênfase5 5 2 2" xfId="14489" xr:uid="{D4E95880-15D3-438D-8FA6-62756512863C}"/>
    <cellStyle name="40% - Ênfase5 5 3" xfId="6201" xr:uid="{00000000-0005-0000-0000-0000F2020000}"/>
    <cellStyle name="40% - Ênfase5 5 3 2" xfId="14488" xr:uid="{29C544F5-3C73-4512-A450-BBF404287D54}"/>
    <cellStyle name="40% - Ênfase5 6" xfId="5354" xr:uid="{00000000-0005-0000-0000-0000F3020000}"/>
    <cellStyle name="40% - Ênfase5 6 2" xfId="6204" xr:uid="{00000000-0005-0000-0000-0000F4020000}"/>
    <cellStyle name="40% - Ênfase5 6 3" xfId="7324" xr:uid="{00000000-0005-0000-0000-0000F5020000}"/>
    <cellStyle name="40% - Ênfase5 6 3 2" xfId="14766" xr:uid="{2E010CBE-35C5-4294-B47F-97C9D363254E}"/>
    <cellStyle name="40% - Ênfase5 6 4" xfId="6203" xr:uid="{00000000-0005-0000-0000-0000F6020000}"/>
    <cellStyle name="40% - Ênfase5 6 4 2" xfId="14490" xr:uid="{D73B1452-738D-4C2E-93B4-2AFBB3D68676}"/>
    <cellStyle name="40% - Ênfase5 7" xfId="5383" xr:uid="{00000000-0005-0000-0000-0000F7020000}"/>
    <cellStyle name="40% - Ênfase5 7 2" xfId="7325" xr:uid="{00000000-0005-0000-0000-0000F8020000}"/>
    <cellStyle name="40% - Ênfase5 7 2 2" xfId="14767" xr:uid="{98FDF113-FFB1-43F4-B43C-8F52CF4BBAF4}"/>
    <cellStyle name="40% - Ênfase5 7 3" xfId="6205" xr:uid="{00000000-0005-0000-0000-0000F9020000}"/>
    <cellStyle name="40% - Ênfase5 7 3 2" xfId="14491" xr:uid="{DF67E6DF-2D6C-45D0-A58C-381CF391022E}"/>
    <cellStyle name="40% - Ênfase5 8" xfId="5410" xr:uid="{00000000-0005-0000-0000-0000FA020000}"/>
    <cellStyle name="40% - Ênfase5 9" xfId="5436" xr:uid="{00000000-0005-0000-0000-0000FB020000}"/>
    <cellStyle name="40% - Ênfase6" xfId="37" xr:uid="{00000000-0005-0000-0000-0000FC020000}"/>
    <cellStyle name="40% - Ênfase6 10" xfId="5503" xr:uid="{00000000-0005-0000-0000-0000FD020000}"/>
    <cellStyle name="40% - Ênfase6 11" xfId="5589" xr:uid="{00000000-0005-0000-0000-0000FE020000}"/>
    <cellStyle name="40% - Ênfase6 12" xfId="5479" xr:uid="{00000000-0005-0000-0000-0000FF020000}"/>
    <cellStyle name="40% - Ênfase6 13" xfId="5616" xr:uid="{00000000-0005-0000-0000-000000030000}"/>
    <cellStyle name="40% - Ênfase6 14" xfId="5644" xr:uid="{00000000-0005-0000-0000-000001030000}"/>
    <cellStyle name="40% - Ênfase6 15" xfId="5696" xr:uid="{00000000-0005-0000-0000-000002030000}"/>
    <cellStyle name="40% - Ênfase6 16" xfId="5740" xr:uid="{00000000-0005-0000-0000-000003030000}"/>
    <cellStyle name="40% - Ênfase6 17" xfId="5804" xr:uid="{00000000-0005-0000-0000-000004030000}"/>
    <cellStyle name="40% - Ênfase6 17 2" xfId="16160" xr:uid="{58CD8AC8-3E09-4B89-9E99-D0309EB4F761}"/>
    <cellStyle name="40% - Ênfase6 18" xfId="14196" xr:uid="{E7C52D57-B212-4B68-82A7-C43C1203810A}"/>
    <cellStyle name="40% - Ênfase6 2" xfId="4954" xr:uid="{00000000-0005-0000-0000-000005030000}"/>
    <cellStyle name="40% - Ênfase6 2 2" xfId="6207" xr:uid="{00000000-0005-0000-0000-000006030000}"/>
    <cellStyle name="40% - Ênfase6 2 2 2" xfId="6208" xr:uid="{00000000-0005-0000-0000-000007030000}"/>
    <cellStyle name="40% - Ênfase6 2 2 2 2" xfId="6209" xr:uid="{00000000-0005-0000-0000-000008030000}"/>
    <cellStyle name="40% - Ênfase6 2 2 2 2 2" xfId="6210" xr:uid="{00000000-0005-0000-0000-000009030000}"/>
    <cellStyle name="40% - Ênfase6 2 2 2 2 2 2" xfId="6211" xr:uid="{00000000-0005-0000-0000-00000A030000}"/>
    <cellStyle name="40% - Ênfase6 2 2 2 2 2 2 2" xfId="6212" xr:uid="{00000000-0005-0000-0000-00000B030000}"/>
    <cellStyle name="40% - Ênfase6 2 2 2 2 2 2 2 2" xfId="6213" xr:uid="{00000000-0005-0000-0000-00000C030000}"/>
    <cellStyle name="40% - Ênfase6 2 2 2 2 2 2 2 3" xfId="14495" xr:uid="{3543DD0E-867B-4062-9EAD-9773F2E2EAEF}"/>
    <cellStyle name="40% - Ênfase6 2 2 2 2 2 2 3" xfId="6214" xr:uid="{00000000-0005-0000-0000-00000D030000}"/>
    <cellStyle name="40% - Ênfase6 2 2 2 2 2 3" xfId="6215" xr:uid="{00000000-0005-0000-0000-00000E030000}"/>
    <cellStyle name="40% - Ênfase6 2 2 2 2 2 3 2" xfId="6216" xr:uid="{00000000-0005-0000-0000-00000F030000}"/>
    <cellStyle name="40% - Ênfase6 2 2 2 2 2 3 2 2" xfId="14496" xr:uid="{21E2C030-2290-4C67-B41B-B247C0792D28}"/>
    <cellStyle name="40% - Ênfase6 2 2 2 2 2 4" xfId="14494" xr:uid="{89A6BA2B-ECC1-432F-8295-51905D976F0B}"/>
    <cellStyle name="40% - Ênfase6 2 2 2 2 3" xfId="6217" xr:uid="{00000000-0005-0000-0000-000010030000}"/>
    <cellStyle name="40% - Ênfase6 2 2 2 2 3 2" xfId="6218" xr:uid="{00000000-0005-0000-0000-000011030000}"/>
    <cellStyle name="40% - Ênfase6 2 2 2 2 3 3" xfId="14497" xr:uid="{FDBF09D7-D080-4F64-AB0D-74549423E226}"/>
    <cellStyle name="40% - Ênfase6 2 2 2 3" xfId="6219" xr:uid="{00000000-0005-0000-0000-000012030000}"/>
    <cellStyle name="40% - Ênfase6 2 2 2 4" xfId="6220" xr:uid="{00000000-0005-0000-0000-000013030000}"/>
    <cellStyle name="40% - Ênfase6 2 2 2 4 2" xfId="6221" xr:uid="{00000000-0005-0000-0000-000014030000}"/>
    <cellStyle name="40% - Ênfase6 2 2 2 4 2 2" xfId="14498" xr:uid="{F4875BF0-04A8-47ED-95FB-8B979DF0EA12}"/>
    <cellStyle name="40% - Ênfase6 2 2 2 5" xfId="14493" xr:uid="{1247D6AE-7B5C-4FEE-9F00-C2804E035F9E}"/>
    <cellStyle name="40% - Ênfase6 2 2 3" xfId="6222" xr:uid="{00000000-0005-0000-0000-000015030000}"/>
    <cellStyle name="40% - Ênfase6 2 2 3 2" xfId="14499" xr:uid="{D65F690B-7AE4-4EE5-8BA7-824E977312CD}"/>
    <cellStyle name="40% - Ênfase6 2 2 4" xfId="6223" xr:uid="{00000000-0005-0000-0000-000016030000}"/>
    <cellStyle name="40% - Ênfase6 2 2 4 2" xfId="6224" xr:uid="{00000000-0005-0000-0000-000017030000}"/>
    <cellStyle name="40% - Ênfase6 2 2 4 3" xfId="14500" xr:uid="{2355090A-2272-40DA-A64B-43A3D066CBAD}"/>
    <cellStyle name="40% - Ênfase6 2 3" xfId="6225" xr:uid="{00000000-0005-0000-0000-000018030000}"/>
    <cellStyle name="40% - Ênfase6 2 4" xfId="6226" xr:uid="{00000000-0005-0000-0000-000019030000}"/>
    <cellStyle name="40% - Ênfase6 2 5" xfId="6227" xr:uid="{00000000-0005-0000-0000-00001A030000}"/>
    <cellStyle name="40% - Ênfase6 2 6" xfId="6228" xr:uid="{00000000-0005-0000-0000-00001B030000}"/>
    <cellStyle name="40% - Ênfase6 2 6 2" xfId="6229" xr:uid="{00000000-0005-0000-0000-00001C030000}"/>
    <cellStyle name="40% - Ênfase6 2 6 2 2" xfId="14501" xr:uid="{BC33B57F-0290-4D60-995B-DA0CD1146928}"/>
    <cellStyle name="40% - Ênfase6 2 7" xfId="6206" xr:uid="{00000000-0005-0000-0000-00001D030000}"/>
    <cellStyle name="40% - Ênfase6 2 7 2" xfId="14492" xr:uid="{640361A6-5DB3-4EA5-992F-641560A45AC1}"/>
    <cellStyle name="40% - Ênfase6 3" xfId="5218" xr:uid="{00000000-0005-0000-0000-00001E030000}"/>
    <cellStyle name="40% - Ênfase6 3 2" xfId="6231" xr:uid="{00000000-0005-0000-0000-00001F030000}"/>
    <cellStyle name="40% - Ênfase6 3 2 2" xfId="14503" xr:uid="{9E49FEA0-1825-46FF-B910-15B943C02014}"/>
    <cellStyle name="40% - Ênfase6 3 3" xfId="6232" xr:uid="{00000000-0005-0000-0000-000020030000}"/>
    <cellStyle name="40% - Ênfase6 3 3 2" xfId="14504" xr:uid="{9061D76E-33FD-485E-B44F-2B1B2B958655}"/>
    <cellStyle name="40% - Ênfase6 3 4" xfId="6233" xr:uid="{00000000-0005-0000-0000-000021030000}"/>
    <cellStyle name="40% - Ênfase6 3 4 2" xfId="14505" xr:uid="{DD3C6D8E-6706-410C-8A54-3C94DFAD1CE9}"/>
    <cellStyle name="40% - Ênfase6 3 5" xfId="6230" xr:uid="{00000000-0005-0000-0000-000022030000}"/>
    <cellStyle name="40% - Ênfase6 3 5 2" xfId="14502" xr:uid="{5F82A3CF-C5EC-4187-8AB6-A9669795EDCC}"/>
    <cellStyle name="40% - Ênfase6 4" xfId="5324" xr:uid="{00000000-0005-0000-0000-000023030000}"/>
    <cellStyle name="40% - Ênfase6 4 2" xfId="6235" xr:uid="{00000000-0005-0000-0000-000024030000}"/>
    <cellStyle name="40% - Ênfase6 4 2 2" xfId="14507" xr:uid="{A9B1CF05-EAA2-44C9-B031-C6941926E6C5}"/>
    <cellStyle name="40% - Ênfase6 4 3" xfId="6236" xr:uid="{00000000-0005-0000-0000-000025030000}"/>
    <cellStyle name="40% - Ênfase6 4 3 2" xfId="14508" xr:uid="{4A264FA2-EE2A-425D-990B-0CB0F5CE303A}"/>
    <cellStyle name="40% - Ênfase6 4 4" xfId="6234" xr:uid="{00000000-0005-0000-0000-000026030000}"/>
    <cellStyle name="40% - Ênfase6 4 4 2" xfId="14506" xr:uid="{826FCFB5-BDBA-4D9C-BBA6-1D801E7782DB}"/>
    <cellStyle name="40% - Ênfase6 5" xfId="5195" xr:uid="{00000000-0005-0000-0000-000027030000}"/>
    <cellStyle name="40% - Ênfase6 5 2" xfId="6238" xr:uid="{00000000-0005-0000-0000-000028030000}"/>
    <cellStyle name="40% - Ênfase6 5 2 2" xfId="14510" xr:uid="{6013F61E-D18E-4DAD-AEEE-F8E96231F038}"/>
    <cellStyle name="40% - Ênfase6 5 3" xfId="6237" xr:uid="{00000000-0005-0000-0000-000029030000}"/>
    <cellStyle name="40% - Ênfase6 5 3 2" xfId="14509" xr:uid="{37DCAFDE-7AA5-4354-BCF3-F54F8091F5FA}"/>
    <cellStyle name="40% - Ênfase6 6" xfId="5353" xr:uid="{00000000-0005-0000-0000-00002A030000}"/>
    <cellStyle name="40% - Ênfase6 6 2" xfId="6240" xr:uid="{00000000-0005-0000-0000-00002B030000}"/>
    <cellStyle name="40% - Ênfase6 6 3" xfId="7326" xr:uid="{00000000-0005-0000-0000-00002C030000}"/>
    <cellStyle name="40% - Ênfase6 6 3 2" xfId="14768" xr:uid="{AB15956E-4A45-42B1-B020-A1E5C58AAFB6}"/>
    <cellStyle name="40% - Ênfase6 6 4" xfId="6239" xr:uid="{00000000-0005-0000-0000-00002D030000}"/>
    <cellStyle name="40% - Ênfase6 6 4 2" xfId="14511" xr:uid="{4E2E8836-2593-46D3-9BFE-E931D944B0AE}"/>
    <cellStyle name="40% - Ênfase6 7" xfId="5382" xr:uid="{00000000-0005-0000-0000-00002E030000}"/>
    <cellStyle name="40% - Ênfase6 7 2" xfId="7327" xr:uid="{00000000-0005-0000-0000-00002F030000}"/>
    <cellStyle name="40% - Ênfase6 7 2 2" xfId="14769" xr:uid="{01232D07-F5C6-47F4-AFDC-400133457117}"/>
    <cellStyle name="40% - Ênfase6 7 3" xfId="6241" xr:uid="{00000000-0005-0000-0000-000030030000}"/>
    <cellStyle name="40% - Ênfase6 7 3 2" xfId="14512" xr:uid="{FE27FB01-2522-4C84-9296-CABFCDC736C7}"/>
    <cellStyle name="40% - Ênfase6 8" xfId="5409" xr:uid="{00000000-0005-0000-0000-000031030000}"/>
    <cellStyle name="40% - Ênfase6 9" xfId="5435" xr:uid="{00000000-0005-0000-0000-000032030000}"/>
    <cellStyle name="40% - Énfasis1" xfId="284" xr:uid="{00000000-0005-0000-0000-000033030000}"/>
    <cellStyle name="40% - Énfasis1 2" xfId="285" xr:uid="{00000000-0005-0000-0000-000034030000}"/>
    <cellStyle name="40% - Énfasis1 3" xfId="286" xr:uid="{00000000-0005-0000-0000-000035030000}"/>
    <cellStyle name="40% - Énfasis1 4" xfId="287" xr:uid="{00000000-0005-0000-0000-000036030000}"/>
    <cellStyle name="40% - Énfasis1 5" xfId="288" xr:uid="{00000000-0005-0000-0000-000037030000}"/>
    <cellStyle name="40% - Énfasis1 6" xfId="289" xr:uid="{00000000-0005-0000-0000-000038030000}"/>
    <cellStyle name="40% - Énfasis1 7" xfId="290" xr:uid="{00000000-0005-0000-0000-000039030000}"/>
    <cellStyle name="40% - Énfasis2" xfId="291" xr:uid="{00000000-0005-0000-0000-00003A030000}"/>
    <cellStyle name="40% - Énfasis2 2" xfId="292" xr:uid="{00000000-0005-0000-0000-00003B030000}"/>
    <cellStyle name="40% - Énfasis2 3" xfId="293" xr:uid="{00000000-0005-0000-0000-00003C030000}"/>
    <cellStyle name="40% - Énfasis2 4" xfId="294" xr:uid="{00000000-0005-0000-0000-00003D030000}"/>
    <cellStyle name="40% - Énfasis2 5" xfId="295" xr:uid="{00000000-0005-0000-0000-00003E030000}"/>
    <cellStyle name="40% - Énfasis2 6" xfId="296" xr:uid="{00000000-0005-0000-0000-00003F030000}"/>
    <cellStyle name="40% - Énfasis2 7" xfId="297" xr:uid="{00000000-0005-0000-0000-000040030000}"/>
    <cellStyle name="40% - Énfasis3" xfId="298" xr:uid="{00000000-0005-0000-0000-000041030000}"/>
    <cellStyle name="40% - Énfasis3 2" xfId="299" xr:uid="{00000000-0005-0000-0000-000042030000}"/>
    <cellStyle name="40% - Énfasis3 3" xfId="300" xr:uid="{00000000-0005-0000-0000-000043030000}"/>
    <cellStyle name="40% - Énfasis3 4" xfId="301" xr:uid="{00000000-0005-0000-0000-000044030000}"/>
    <cellStyle name="40% - Énfasis3 5" xfId="302" xr:uid="{00000000-0005-0000-0000-000045030000}"/>
    <cellStyle name="40% - Énfasis3 6" xfId="303" xr:uid="{00000000-0005-0000-0000-000046030000}"/>
    <cellStyle name="40% - Énfasis3 7" xfId="304" xr:uid="{00000000-0005-0000-0000-000047030000}"/>
    <cellStyle name="40% - Énfasis4" xfId="305" xr:uid="{00000000-0005-0000-0000-000048030000}"/>
    <cellStyle name="40% - Énfasis4 2" xfId="306" xr:uid="{00000000-0005-0000-0000-000049030000}"/>
    <cellStyle name="40% - Énfasis4 3" xfId="307" xr:uid="{00000000-0005-0000-0000-00004A030000}"/>
    <cellStyle name="40% - Énfasis4 4" xfId="308" xr:uid="{00000000-0005-0000-0000-00004B030000}"/>
    <cellStyle name="40% - Énfasis4 5" xfId="309" xr:uid="{00000000-0005-0000-0000-00004C030000}"/>
    <cellStyle name="40% - Énfasis4 6" xfId="310" xr:uid="{00000000-0005-0000-0000-00004D030000}"/>
    <cellStyle name="40% - Énfasis4 7" xfId="311" xr:uid="{00000000-0005-0000-0000-00004E030000}"/>
    <cellStyle name="40% - Énfasis5" xfId="312" xr:uid="{00000000-0005-0000-0000-00004F030000}"/>
    <cellStyle name="40% - Énfasis5 2" xfId="313" xr:uid="{00000000-0005-0000-0000-000050030000}"/>
    <cellStyle name="40% - Énfasis5 3" xfId="314" xr:uid="{00000000-0005-0000-0000-000051030000}"/>
    <cellStyle name="40% - Énfasis5 4" xfId="315" xr:uid="{00000000-0005-0000-0000-000052030000}"/>
    <cellStyle name="40% - Énfasis5 5" xfId="316" xr:uid="{00000000-0005-0000-0000-000053030000}"/>
    <cellStyle name="40% - Énfasis5 6" xfId="317" xr:uid="{00000000-0005-0000-0000-000054030000}"/>
    <cellStyle name="40% - Énfasis5 7" xfId="318" xr:uid="{00000000-0005-0000-0000-000055030000}"/>
    <cellStyle name="40% - Énfasis6" xfId="319" xr:uid="{00000000-0005-0000-0000-000056030000}"/>
    <cellStyle name="40% - Énfasis6 2" xfId="320" xr:uid="{00000000-0005-0000-0000-000057030000}"/>
    <cellStyle name="40% - Énfasis6 3" xfId="321" xr:uid="{00000000-0005-0000-0000-000058030000}"/>
    <cellStyle name="40% - Énfasis6 4" xfId="322" xr:uid="{00000000-0005-0000-0000-000059030000}"/>
    <cellStyle name="40% - Énfasis6 5" xfId="323" xr:uid="{00000000-0005-0000-0000-00005A030000}"/>
    <cellStyle name="40% - Énfasis6 6" xfId="324" xr:uid="{00000000-0005-0000-0000-00005B030000}"/>
    <cellStyle name="40% - Énfasis6 7" xfId="325" xr:uid="{00000000-0005-0000-0000-00005C030000}"/>
    <cellStyle name="60% - Accent1 2" xfId="38" xr:uid="{00000000-0005-0000-0000-00005D030000}"/>
    <cellStyle name="60% - Accent2 2" xfId="39" xr:uid="{00000000-0005-0000-0000-00005E030000}"/>
    <cellStyle name="60% - Accent3 2" xfId="40" xr:uid="{00000000-0005-0000-0000-00005F030000}"/>
    <cellStyle name="60% - Accent4 2" xfId="41" xr:uid="{00000000-0005-0000-0000-000060030000}"/>
    <cellStyle name="60% - Accent5 2" xfId="42" xr:uid="{00000000-0005-0000-0000-000061030000}"/>
    <cellStyle name="60% - Accent6 2" xfId="43" xr:uid="{00000000-0005-0000-0000-000062030000}"/>
    <cellStyle name="60% - Ênfase1" xfId="44" xr:uid="{00000000-0005-0000-0000-000063030000}"/>
    <cellStyle name="60% - Ênfase1 10" xfId="5505" xr:uid="{00000000-0005-0000-0000-000064030000}"/>
    <cellStyle name="60% - Ênfase1 11" xfId="5586" xr:uid="{00000000-0005-0000-0000-000065030000}"/>
    <cellStyle name="60% - Ênfase1 12" xfId="5482" xr:uid="{00000000-0005-0000-0000-000066030000}"/>
    <cellStyle name="60% - Ênfase1 13" xfId="5609" xr:uid="{00000000-0005-0000-0000-000067030000}"/>
    <cellStyle name="60% - Ênfase1 14" xfId="5638" xr:uid="{00000000-0005-0000-0000-000068030000}"/>
    <cellStyle name="60% - Ênfase1 15" xfId="5697" xr:uid="{00000000-0005-0000-0000-000069030000}"/>
    <cellStyle name="60% - Ênfase1 16" xfId="5739" xr:uid="{00000000-0005-0000-0000-00006A030000}"/>
    <cellStyle name="60% - Ênfase1 17" xfId="5785" xr:uid="{00000000-0005-0000-0000-00006B030000}"/>
    <cellStyle name="60% - Ênfase1 2" xfId="4955" xr:uid="{00000000-0005-0000-0000-00006C030000}"/>
    <cellStyle name="60% - Ênfase1 2 2" xfId="6243" xr:uid="{00000000-0005-0000-0000-00006D030000}"/>
    <cellStyle name="60% - Ênfase1 2 2 2" xfId="6244" xr:uid="{00000000-0005-0000-0000-00006E030000}"/>
    <cellStyle name="60% - Ênfase1 2 2 2 2" xfId="6245" xr:uid="{00000000-0005-0000-0000-00006F030000}"/>
    <cellStyle name="60% - Ênfase1 2 2 2 2 2" xfId="6246" xr:uid="{00000000-0005-0000-0000-000070030000}"/>
    <cellStyle name="60% - Ênfase1 2 2 2 2 2 2" xfId="6247" xr:uid="{00000000-0005-0000-0000-000071030000}"/>
    <cellStyle name="60% - Ênfase1 2 2 2 2 2 2 2" xfId="6248" xr:uid="{00000000-0005-0000-0000-000072030000}"/>
    <cellStyle name="60% - Ênfase1 2 2 2 2 2 2 2 2" xfId="6249" xr:uid="{00000000-0005-0000-0000-000073030000}"/>
    <cellStyle name="60% - Ênfase1 2 2 2 2 2 2 3" xfId="6250" xr:uid="{00000000-0005-0000-0000-000074030000}"/>
    <cellStyle name="60% - Ênfase1 2 2 2 2 2 3" xfId="6251" xr:uid="{00000000-0005-0000-0000-000075030000}"/>
    <cellStyle name="60% - Ênfase1 2 2 2 2 2 3 2" xfId="6252" xr:uid="{00000000-0005-0000-0000-000076030000}"/>
    <cellStyle name="60% - Ênfase1 2 2 2 2 3" xfId="6253" xr:uid="{00000000-0005-0000-0000-000077030000}"/>
    <cellStyle name="60% - Ênfase1 2 2 2 2 3 2" xfId="6254" xr:uid="{00000000-0005-0000-0000-000078030000}"/>
    <cellStyle name="60% - Ênfase1 2 2 2 3" xfId="6255" xr:uid="{00000000-0005-0000-0000-000079030000}"/>
    <cellStyle name="60% - Ênfase1 2 2 2 4" xfId="6256" xr:uid="{00000000-0005-0000-0000-00007A030000}"/>
    <cellStyle name="60% - Ênfase1 2 2 2 4 2" xfId="6257" xr:uid="{00000000-0005-0000-0000-00007B030000}"/>
    <cellStyle name="60% - Ênfase1 2 2 3" xfId="6258" xr:uid="{00000000-0005-0000-0000-00007C030000}"/>
    <cellStyle name="60% - Ênfase1 2 2 4" xfId="6259" xr:uid="{00000000-0005-0000-0000-00007D030000}"/>
    <cellStyle name="60% - Ênfase1 2 2 4 2" xfId="6260" xr:uid="{00000000-0005-0000-0000-00007E030000}"/>
    <cellStyle name="60% - Ênfase1 2 3" xfId="6261" xr:uid="{00000000-0005-0000-0000-00007F030000}"/>
    <cellStyle name="60% - Ênfase1 2 4" xfId="6262" xr:uid="{00000000-0005-0000-0000-000080030000}"/>
    <cellStyle name="60% - Ênfase1 2 5" xfId="6263" xr:uid="{00000000-0005-0000-0000-000081030000}"/>
    <cellStyle name="60% - Ênfase1 2 6" xfId="6264" xr:uid="{00000000-0005-0000-0000-000082030000}"/>
    <cellStyle name="60% - Ênfase1 2 6 2" xfId="6265" xr:uid="{00000000-0005-0000-0000-000083030000}"/>
    <cellStyle name="60% - Ênfase1 2 7" xfId="6242" xr:uid="{00000000-0005-0000-0000-000084030000}"/>
    <cellStyle name="60% - Ênfase1 3" xfId="5222" xr:uid="{00000000-0005-0000-0000-000085030000}"/>
    <cellStyle name="60% - Ênfase1 3 2" xfId="6267" xr:uid="{00000000-0005-0000-0000-000086030000}"/>
    <cellStyle name="60% - Ênfase1 3 3" xfId="6268" xr:uid="{00000000-0005-0000-0000-000087030000}"/>
    <cellStyle name="60% - Ênfase1 3 4" xfId="6269" xr:uid="{00000000-0005-0000-0000-000088030000}"/>
    <cellStyle name="60% - Ênfase1 3 5" xfId="6266" xr:uid="{00000000-0005-0000-0000-000089030000}"/>
    <cellStyle name="60% - Ênfase1 4" xfId="5320" xr:uid="{00000000-0005-0000-0000-00008A030000}"/>
    <cellStyle name="60% - Ênfase1 4 2" xfId="6271" xr:uid="{00000000-0005-0000-0000-00008B030000}"/>
    <cellStyle name="60% - Ênfase1 4 3" xfId="6272" xr:uid="{00000000-0005-0000-0000-00008C030000}"/>
    <cellStyle name="60% - Ênfase1 4 4" xfId="6270" xr:uid="{00000000-0005-0000-0000-00008D030000}"/>
    <cellStyle name="60% - Ênfase1 5" xfId="5199" xr:uid="{00000000-0005-0000-0000-00008E030000}"/>
    <cellStyle name="60% - Ênfase1 5 2" xfId="6274" xr:uid="{00000000-0005-0000-0000-00008F030000}"/>
    <cellStyle name="60% - Ênfase1 5 3" xfId="6273" xr:uid="{00000000-0005-0000-0000-000090030000}"/>
    <cellStyle name="60% - Ênfase1 6" xfId="5345" xr:uid="{00000000-0005-0000-0000-000091030000}"/>
    <cellStyle name="60% - Ênfase1 6 2" xfId="6276" xr:uid="{00000000-0005-0000-0000-000092030000}"/>
    <cellStyle name="60% - Ênfase1 6 3" xfId="7328" xr:uid="{00000000-0005-0000-0000-000093030000}"/>
    <cellStyle name="60% - Ênfase1 6 4" xfId="6275" xr:uid="{00000000-0005-0000-0000-000094030000}"/>
    <cellStyle name="60% - Ênfase1 7" xfId="5374" xr:uid="{00000000-0005-0000-0000-000095030000}"/>
    <cellStyle name="60% - Ênfase1 7 2" xfId="7329" xr:uid="{00000000-0005-0000-0000-000096030000}"/>
    <cellStyle name="60% - Ênfase1 7 3" xfId="6277" xr:uid="{00000000-0005-0000-0000-000097030000}"/>
    <cellStyle name="60% - Ênfase1 8" xfId="5402" xr:uid="{00000000-0005-0000-0000-000098030000}"/>
    <cellStyle name="60% - Ênfase1 9" xfId="5429" xr:uid="{00000000-0005-0000-0000-000099030000}"/>
    <cellStyle name="60% - Ênfase2" xfId="45" xr:uid="{00000000-0005-0000-0000-00009A030000}"/>
    <cellStyle name="60% - Ênfase2 10" xfId="5506" xr:uid="{00000000-0005-0000-0000-00009B030000}"/>
    <cellStyle name="60% - Ênfase2 11" xfId="5585" xr:uid="{00000000-0005-0000-0000-00009C030000}"/>
    <cellStyle name="60% - Ênfase2 12" xfId="5483" xr:uid="{00000000-0005-0000-0000-00009D030000}"/>
    <cellStyle name="60% - Ênfase2 13" xfId="5606" xr:uid="{00000000-0005-0000-0000-00009E030000}"/>
    <cellStyle name="60% - Ênfase2 14" xfId="5635" xr:uid="{00000000-0005-0000-0000-00009F030000}"/>
    <cellStyle name="60% - Ênfase2 15" xfId="5698" xr:uid="{00000000-0005-0000-0000-0000A0030000}"/>
    <cellStyle name="60% - Ênfase2 16" xfId="5738" xr:uid="{00000000-0005-0000-0000-0000A1030000}"/>
    <cellStyle name="60% - Ênfase2 17" xfId="5789" xr:uid="{00000000-0005-0000-0000-0000A2030000}"/>
    <cellStyle name="60% - Ênfase2 2" xfId="4956" xr:uid="{00000000-0005-0000-0000-0000A3030000}"/>
    <cellStyle name="60% - Ênfase2 2 2" xfId="6279" xr:uid="{00000000-0005-0000-0000-0000A4030000}"/>
    <cellStyle name="60% - Ênfase2 2 2 2" xfId="6280" xr:uid="{00000000-0005-0000-0000-0000A5030000}"/>
    <cellStyle name="60% - Ênfase2 2 2 2 2" xfId="6281" xr:uid="{00000000-0005-0000-0000-0000A6030000}"/>
    <cellStyle name="60% - Ênfase2 2 2 2 2 2" xfId="6282" xr:uid="{00000000-0005-0000-0000-0000A7030000}"/>
    <cellStyle name="60% - Ênfase2 2 2 2 2 2 2" xfId="6283" xr:uid="{00000000-0005-0000-0000-0000A8030000}"/>
    <cellStyle name="60% - Ênfase2 2 2 2 2 2 2 2" xfId="6284" xr:uid="{00000000-0005-0000-0000-0000A9030000}"/>
    <cellStyle name="60% - Ênfase2 2 2 2 2 2 2 2 2" xfId="6285" xr:uid="{00000000-0005-0000-0000-0000AA030000}"/>
    <cellStyle name="60% - Ênfase2 2 2 2 2 2 2 3" xfId="6286" xr:uid="{00000000-0005-0000-0000-0000AB030000}"/>
    <cellStyle name="60% - Ênfase2 2 2 2 2 2 3" xfId="6287" xr:uid="{00000000-0005-0000-0000-0000AC030000}"/>
    <cellStyle name="60% - Ênfase2 2 2 2 2 2 3 2" xfId="6288" xr:uid="{00000000-0005-0000-0000-0000AD030000}"/>
    <cellStyle name="60% - Ênfase2 2 2 2 2 3" xfId="6289" xr:uid="{00000000-0005-0000-0000-0000AE030000}"/>
    <cellStyle name="60% - Ênfase2 2 2 2 2 3 2" xfId="6290" xr:uid="{00000000-0005-0000-0000-0000AF030000}"/>
    <cellStyle name="60% - Ênfase2 2 2 2 3" xfId="6291" xr:uid="{00000000-0005-0000-0000-0000B0030000}"/>
    <cellStyle name="60% - Ênfase2 2 2 2 4" xfId="6292" xr:uid="{00000000-0005-0000-0000-0000B1030000}"/>
    <cellStyle name="60% - Ênfase2 2 2 2 4 2" xfId="6293" xr:uid="{00000000-0005-0000-0000-0000B2030000}"/>
    <cellStyle name="60% - Ênfase2 2 2 3" xfId="6294" xr:uid="{00000000-0005-0000-0000-0000B3030000}"/>
    <cellStyle name="60% - Ênfase2 2 2 4" xfId="6295" xr:uid="{00000000-0005-0000-0000-0000B4030000}"/>
    <cellStyle name="60% - Ênfase2 2 2 4 2" xfId="6296" xr:uid="{00000000-0005-0000-0000-0000B5030000}"/>
    <cellStyle name="60% - Ênfase2 2 3" xfId="6297" xr:uid="{00000000-0005-0000-0000-0000B6030000}"/>
    <cellStyle name="60% - Ênfase2 2 4" xfId="6298" xr:uid="{00000000-0005-0000-0000-0000B7030000}"/>
    <cellStyle name="60% - Ênfase2 2 5" xfId="6299" xr:uid="{00000000-0005-0000-0000-0000B8030000}"/>
    <cellStyle name="60% - Ênfase2 2 6" xfId="6300" xr:uid="{00000000-0005-0000-0000-0000B9030000}"/>
    <cellStyle name="60% - Ênfase2 2 6 2" xfId="6301" xr:uid="{00000000-0005-0000-0000-0000BA030000}"/>
    <cellStyle name="60% - Ênfase2 2 7" xfId="6278" xr:uid="{00000000-0005-0000-0000-0000BB030000}"/>
    <cellStyle name="60% - Ênfase2 3" xfId="5223" xr:uid="{00000000-0005-0000-0000-0000BC030000}"/>
    <cellStyle name="60% - Ênfase2 3 2" xfId="6303" xr:uid="{00000000-0005-0000-0000-0000BD030000}"/>
    <cellStyle name="60% - Ênfase2 3 3" xfId="6304" xr:uid="{00000000-0005-0000-0000-0000BE030000}"/>
    <cellStyle name="60% - Ênfase2 3 4" xfId="6305" xr:uid="{00000000-0005-0000-0000-0000BF030000}"/>
    <cellStyle name="60% - Ênfase2 3 5" xfId="6302" xr:uid="{00000000-0005-0000-0000-0000C0030000}"/>
    <cellStyle name="60% - Ênfase2 4" xfId="5319" xr:uid="{00000000-0005-0000-0000-0000C1030000}"/>
    <cellStyle name="60% - Ênfase2 4 2" xfId="6307" xr:uid="{00000000-0005-0000-0000-0000C2030000}"/>
    <cellStyle name="60% - Ênfase2 4 3" xfId="6308" xr:uid="{00000000-0005-0000-0000-0000C3030000}"/>
    <cellStyle name="60% - Ênfase2 4 4" xfId="6306" xr:uid="{00000000-0005-0000-0000-0000C4030000}"/>
    <cellStyle name="60% - Ênfase2 5" xfId="5200" xr:uid="{00000000-0005-0000-0000-0000C5030000}"/>
    <cellStyle name="60% - Ênfase2 5 2" xfId="6310" xr:uid="{00000000-0005-0000-0000-0000C6030000}"/>
    <cellStyle name="60% - Ênfase2 5 3" xfId="6309" xr:uid="{00000000-0005-0000-0000-0000C7030000}"/>
    <cellStyle name="60% - Ênfase2 6" xfId="5342" xr:uid="{00000000-0005-0000-0000-0000C8030000}"/>
    <cellStyle name="60% - Ênfase2 6 2" xfId="6312" xr:uid="{00000000-0005-0000-0000-0000C9030000}"/>
    <cellStyle name="60% - Ênfase2 6 3" xfId="7330" xr:uid="{00000000-0005-0000-0000-0000CA030000}"/>
    <cellStyle name="60% - Ênfase2 6 4" xfId="6311" xr:uid="{00000000-0005-0000-0000-0000CB030000}"/>
    <cellStyle name="60% - Ênfase2 7" xfId="5371" xr:uid="{00000000-0005-0000-0000-0000CC030000}"/>
    <cellStyle name="60% - Ênfase2 7 2" xfId="7331" xr:uid="{00000000-0005-0000-0000-0000CD030000}"/>
    <cellStyle name="60% - Ênfase2 7 3" xfId="6313" xr:uid="{00000000-0005-0000-0000-0000CE030000}"/>
    <cellStyle name="60% - Ênfase2 8" xfId="5399" xr:uid="{00000000-0005-0000-0000-0000CF030000}"/>
    <cellStyle name="60% - Ênfase2 9" xfId="5426" xr:uid="{00000000-0005-0000-0000-0000D0030000}"/>
    <cellStyle name="60% - Ênfase3" xfId="46" xr:uid="{00000000-0005-0000-0000-0000D1030000}"/>
    <cellStyle name="60% - Ênfase3 10" xfId="5507" xr:uid="{00000000-0005-0000-0000-0000D2030000}"/>
    <cellStyle name="60% - Ênfase3 11" xfId="5584" xr:uid="{00000000-0005-0000-0000-0000D3030000}"/>
    <cellStyle name="60% - Ênfase3 12" xfId="5484" xr:uid="{00000000-0005-0000-0000-0000D4030000}"/>
    <cellStyle name="60% - Ênfase3 13" xfId="5605" xr:uid="{00000000-0005-0000-0000-0000D5030000}"/>
    <cellStyle name="60% - Ênfase3 14" xfId="5634" xr:uid="{00000000-0005-0000-0000-0000D6030000}"/>
    <cellStyle name="60% - Ênfase3 15" xfId="5699" xr:uid="{00000000-0005-0000-0000-0000D7030000}"/>
    <cellStyle name="60% - Ênfase3 16" xfId="5737" xr:uid="{00000000-0005-0000-0000-0000D8030000}"/>
    <cellStyle name="60% - Ênfase3 17" xfId="5793" xr:uid="{00000000-0005-0000-0000-0000D9030000}"/>
    <cellStyle name="60% - Ênfase3 2" xfId="4957" xr:uid="{00000000-0005-0000-0000-0000DA030000}"/>
    <cellStyle name="60% - Ênfase3 2 2" xfId="6315" xr:uid="{00000000-0005-0000-0000-0000DB030000}"/>
    <cellStyle name="60% - Ênfase3 2 2 2" xfId="6316" xr:uid="{00000000-0005-0000-0000-0000DC030000}"/>
    <cellStyle name="60% - Ênfase3 2 2 2 2" xfId="6317" xr:uid="{00000000-0005-0000-0000-0000DD030000}"/>
    <cellStyle name="60% - Ênfase3 2 2 2 2 2" xfId="6318" xr:uid="{00000000-0005-0000-0000-0000DE030000}"/>
    <cellStyle name="60% - Ênfase3 2 2 2 2 2 2" xfId="6319" xr:uid="{00000000-0005-0000-0000-0000DF030000}"/>
    <cellStyle name="60% - Ênfase3 2 2 2 2 2 2 2" xfId="6320" xr:uid="{00000000-0005-0000-0000-0000E0030000}"/>
    <cellStyle name="60% - Ênfase3 2 2 2 2 2 2 2 2" xfId="6321" xr:uid="{00000000-0005-0000-0000-0000E1030000}"/>
    <cellStyle name="60% - Ênfase3 2 2 2 2 2 2 3" xfId="6322" xr:uid="{00000000-0005-0000-0000-0000E2030000}"/>
    <cellStyle name="60% - Ênfase3 2 2 2 2 2 3" xfId="6323" xr:uid="{00000000-0005-0000-0000-0000E3030000}"/>
    <cellStyle name="60% - Ênfase3 2 2 2 2 2 3 2" xfId="6324" xr:uid="{00000000-0005-0000-0000-0000E4030000}"/>
    <cellStyle name="60% - Ênfase3 2 2 2 2 3" xfId="6325" xr:uid="{00000000-0005-0000-0000-0000E5030000}"/>
    <cellStyle name="60% - Ênfase3 2 2 2 2 3 2" xfId="6326" xr:uid="{00000000-0005-0000-0000-0000E6030000}"/>
    <cellStyle name="60% - Ênfase3 2 2 2 3" xfId="6327" xr:uid="{00000000-0005-0000-0000-0000E7030000}"/>
    <cellStyle name="60% - Ênfase3 2 2 2 4" xfId="6328" xr:uid="{00000000-0005-0000-0000-0000E8030000}"/>
    <cellStyle name="60% - Ênfase3 2 2 2 4 2" xfId="6329" xr:uid="{00000000-0005-0000-0000-0000E9030000}"/>
    <cellStyle name="60% - Ênfase3 2 2 3" xfId="6330" xr:uid="{00000000-0005-0000-0000-0000EA030000}"/>
    <cellStyle name="60% - Ênfase3 2 2 4" xfId="6331" xr:uid="{00000000-0005-0000-0000-0000EB030000}"/>
    <cellStyle name="60% - Ênfase3 2 2 4 2" xfId="6332" xr:uid="{00000000-0005-0000-0000-0000EC030000}"/>
    <cellStyle name="60% - Ênfase3 2 3" xfId="6333" xr:uid="{00000000-0005-0000-0000-0000ED030000}"/>
    <cellStyle name="60% - Ênfase3 2 4" xfId="6334" xr:uid="{00000000-0005-0000-0000-0000EE030000}"/>
    <cellStyle name="60% - Ênfase3 2 5" xfId="6335" xr:uid="{00000000-0005-0000-0000-0000EF030000}"/>
    <cellStyle name="60% - Ênfase3 2 6" xfId="6336" xr:uid="{00000000-0005-0000-0000-0000F0030000}"/>
    <cellStyle name="60% - Ênfase3 2 6 2" xfId="6337" xr:uid="{00000000-0005-0000-0000-0000F1030000}"/>
    <cellStyle name="60% - Ênfase3 2 7" xfId="6314" xr:uid="{00000000-0005-0000-0000-0000F2030000}"/>
    <cellStyle name="60% - Ênfase3 3" xfId="5224" xr:uid="{00000000-0005-0000-0000-0000F3030000}"/>
    <cellStyle name="60% - Ênfase3 3 2" xfId="6339" xr:uid="{00000000-0005-0000-0000-0000F4030000}"/>
    <cellStyle name="60% - Ênfase3 3 3" xfId="6340" xr:uid="{00000000-0005-0000-0000-0000F5030000}"/>
    <cellStyle name="60% - Ênfase3 3 4" xfId="6341" xr:uid="{00000000-0005-0000-0000-0000F6030000}"/>
    <cellStyle name="60% - Ênfase3 3 5" xfId="6338" xr:uid="{00000000-0005-0000-0000-0000F7030000}"/>
    <cellStyle name="60% - Ênfase3 4" xfId="5318" xr:uid="{00000000-0005-0000-0000-0000F8030000}"/>
    <cellStyle name="60% - Ênfase3 4 2" xfId="6343" xr:uid="{00000000-0005-0000-0000-0000F9030000}"/>
    <cellStyle name="60% - Ênfase3 4 3" xfId="6344" xr:uid="{00000000-0005-0000-0000-0000FA030000}"/>
    <cellStyle name="60% - Ênfase3 4 4" xfId="6342" xr:uid="{00000000-0005-0000-0000-0000FB030000}"/>
    <cellStyle name="60% - Ênfase3 5" xfId="5201" xr:uid="{00000000-0005-0000-0000-0000FC030000}"/>
    <cellStyle name="60% - Ênfase3 5 2" xfId="6346" xr:uid="{00000000-0005-0000-0000-0000FD030000}"/>
    <cellStyle name="60% - Ênfase3 5 3" xfId="6345" xr:uid="{00000000-0005-0000-0000-0000FE030000}"/>
    <cellStyle name="60% - Ênfase3 6" xfId="5341" xr:uid="{00000000-0005-0000-0000-0000FF030000}"/>
    <cellStyle name="60% - Ênfase3 6 2" xfId="6348" xr:uid="{00000000-0005-0000-0000-000000040000}"/>
    <cellStyle name="60% - Ênfase3 6 3" xfId="7332" xr:uid="{00000000-0005-0000-0000-000001040000}"/>
    <cellStyle name="60% - Ênfase3 6 4" xfId="6347" xr:uid="{00000000-0005-0000-0000-000002040000}"/>
    <cellStyle name="60% - Ênfase3 7" xfId="5370" xr:uid="{00000000-0005-0000-0000-000003040000}"/>
    <cellStyle name="60% - Ênfase3 7 2" xfId="7333" xr:uid="{00000000-0005-0000-0000-000004040000}"/>
    <cellStyle name="60% - Ênfase3 7 3" xfId="6349" xr:uid="{00000000-0005-0000-0000-000005040000}"/>
    <cellStyle name="60% - Ênfase3 8" xfId="5398" xr:uid="{00000000-0005-0000-0000-000006040000}"/>
    <cellStyle name="60% - Ênfase3 9" xfId="5425" xr:uid="{00000000-0005-0000-0000-000007040000}"/>
    <cellStyle name="60% - Ênfase4" xfId="47" xr:uid="{00000000-0005-0000-0000-000008040000}"/>
    <cellStyle name="60% - Ênfase4 10" xfId="5508" xr:uid="{00000000-0005-0000-0000-000009040000}"/>
    <cellStyle name="60% - Ênfase4 11" xfId="5583" xr:uid="{00000000-0005-0000-0000-00000A040000}"/>
    <cellStyle name="60% - Ênfase4 12" xfId="5485" xr:uid="{00000000-0005-0000-0000-00000B040000}"/>
    <cellStyle name="60% - Ênfase4 13" xfId="5604" xr:uid="{00000000-0005-0000-0000-00000C040000}"/>
    <cellStyle name="60% - Ênfase4 14" xfId="5633" xr:uid="{00000000-0005-0000-0000-00000D040000}"/>
    <cellStyle name="60% - Ênfase4 15" xfId="5700" xr:uid="{00000000-0005-0000-0000-00000E040000}"/>
    <cellStyle name="60% - Ênfase4 16" xfId="5736" xr:uid="{00000000-0005-0000-0000-00000F040000}"/>
    <cellStyle name="60% - Ênfase4 17" xfId="5797" xr:uid="{00000000-0005-0000-0000-000010040000}"/>
    <cellStyle name="60% - Ênfase4 2" xfId="4958" xr:uid="{00000000-0005-0000-0000-000011040000}"/>
    <cellStyle name="60% - Ênfase4 2 2" xfId="6351" xr:uid="{00000000-0005-0000-0000-000012040000}"/>
    <cellStyle name="60% - Ênfase4 2 2 2" xfId="6352" xr:uid="{00000000-0005-0000-0000-000013040000}"/>
    <cellStyle name="60% - Ênfase4 2 2 2 2" xfId="6353" xr:uid="{00000000-0005-0000-0000-000014040000}"/>
    <cellStyle name="60% - Ênfase4 2 2 2 2 2" xfId="6354" xr:uid="{00000000-0005-0000-0000-000015040000}"/>
    <cellStyle name="60% - Ênfase4 2 2 2 2 2 2" xfId="6355" xr:uid="{00000000-0005-0000-0000-000016040000}"/>
    <cellStyle name="60% - Ênfase4 2 2 2 2 2 2 2" xfId="6356" xr:uid="{00000000-0005-0000-0000-000017040000}"/>
    <cellStyle name="60% - Ênfase4 2 2 2 2 2 2 2 2" xfId="6357" xr:uid="{00000000-0005-0000-0000-000018040000}"/>
    <cellStyle name="60% - Ênfase4 2 2 2 2 2 2 3" xfId="6358" xr:uid="{00000000-0005-0000-0000-000019040000}"/>
    <cellStyle name="60% - Ênfase4 2 2 2 2 2 3" xfId="6359" xr:uid="{00000000-0005-0000-0000-00001A040000}"/>
    <cellStyle name="60% - Ênfase4 2 2 2 2 2 3 2" xfId="6360" xr:uid="{00000000-0005-0000-0000-00001B040000}"/>
    <cellStyle name="60% - Ênfase4 2 2 2 2 3" xfId="6361" xr:uid="{00000000-0005-0000-0000-00001C040000}"/>
    <cellStyle name="60% - Ênfase4 2 2 2 2 3 2" xfId="6362" xr:uid="{00000000-0005-0000-0000-00001D040000}"/>
    <cellStyle name="60% - Ênfase4 2 2 2 3" xfId="6363" xr:uid="{00000000-0005-0000-0000-00001E040000}"/>
    <cellStyle name="60% - Ênfase4 2 2 2 4" xfId="6364" xr:uid="{00000000-0005-0000-0000-00001F040000}"/>
    <cellStyle name="60% - Ênfase4 2 2 2 4 2" xfId="6365" xr:uid="{00000000-0005-0000-0000-000020040000}"/>
    <cellStyle name="60% - Ênfase4 2 2 3" xfId="6366" xr:uid="{00000000-0005-0000-0000-000021040000}"/>
    <cellStyle name="60% - Ênfase4 2 2 4" xfId="6367" xr:uid="{00000000-0005-0000-0000-000022040000}"/>
    <cellStyle name="60% - Ênfase4 2 2 4 2" xfId="6368" xr:uid="{00000000-0005-0000-0000-000023040000}"/>
    <cellStyle name="60% - Ênfase4 2 3" xfId="6369" xr:uid="{00000000-0005-0000-0000-000024040000}"/>
    <cellStyle name="60% - Ênfase4 2 4" xfId="6370" xr:uid="{00000000-0005-0000-0000-000025040000}"/>
    <cellStyle name="60% - Ênfase4 2 5" xfId="6371" xr:uid="{00000000-0005-0000-0000-000026040000}"/>
    <cellStyle name="60% - Ênfase4 2 6" xfId="6372" xr:uid="{00000000-0005-0000-0000-000027040000}"/>
    <cellStyle name="60% - Ênfase4 2 6 2" xfId="6373" xr:uid="{00000000-0005-0000-0000-000028040000}"/>
    <cellStyle name="60% - Ênfase4 2 7" xfId="6350" xr:uid="{00000000-0005-0000-0000-000029040000}"/>
    <cellStyle name="60% - Ênfase4 3" xfId="5225" xr:uid="{00000000-0005-0000-0000-00002A040000}"/>
    <cellStyle name="60% - Ênfase4 3 2" xfId="6375" xr:uid="{00000000-0005-0000-0000-00002B040000}"/>
    <cellStyle name="60% - Ênfase4 3 3" xfId="6376" xr:uid="{00000000-0005-0000-0000-00002C040000}"/>
    <cellStyle name="60% - Ênfase4 3 4" xfId="6377" xr:uid="{00000000-0005-0000-0000-00002D040000}"/>
    <cellStyle name="60% - Ênfase4 3 5" xfId="6374" xr:uid="{00000000-0005-0000-0000-00002E040000}"/>
    <cellStyle name="60% - Ênfase4 4" xfId="5317" xr:uid="{00000000-0005-0000-0000-00002F040000}"/>
    <cellStyle name="60% - Ênfase4 4 2" xfId="6379" xr:uid="{00000000-0005-0000-0000-000030040000}"/>
    <cellStyle name="60% - Ênfase4 4 3" xfId="6380" xr:uid="{00000000-0005-0000-0000-000031040000}"/>
    <cellStyle name="60% - Ênfase4 4 4" xfId="6378" xr:uid="{00000000-0005-0000-0000-000032040000}"/>
    <cellStyle name="60% - Ênfase4 5" xfId="5202" xr:uid="{00000000-0005-0000-0000-000033040000}"/>
    <cellStyle name="60% - Ênfase4 5 2" xfId="6382" xr:uid="{00000000-0005-0000-0000-000034040000}"/>
    <cellStyle name="60% - Ênfase4 5 3" xfId="6381" xr:uid="{00000000-0005-0000-0000-000035040000}"/>
    <cellStyle name="60% - Ênfase4 6" xfId="5340" xr:uid="{00000000-0005-0000-0000-000036040000}"/>
    <cellStyle name="60% - Ênfase4 6 2" xfId="6384" xr:uid="{00000000-0005-0000-0000-000037040000}"/>
    <cellStyle name="60% - Ênfase4 6 3" xfId="7334" xr:uid="{00000000-0005-0000-0000-000038040000}"/>
    <cellStyle name="60% - Ênfase4 6 4" xfId="6383" xr:uid="{00000000-0005-0000-0000-000039040000}"/>
    <cellStyle name="60% - Ênfase4 7" xfId="5369" xr:uid="{00000000-0005-0000-0000-00003A040000}"/>
    <cellStyle name="60% - Ênfase4 7 2" xfId="7335" xr:uid="{00000000-0005-0000-0000-00003B040000}"/>
    <cellStyle name="60% - Ênfase4 7 3" xfId="6385" xr:uid="{00000000-0005-0000-0000-00003C040000}"/>
    <cellStyle name="60% - Ênfase4 8" xfId="5397" xr:uid="{00000000-0005-0000-0000-00003D040000}"/>
    <cellStyle name="60% - Ênfase4 9" xfId="5424" xr:uid="{00000000-0005-0000-0000-00003E040000}"/>
    <cellStyle name="60% - Ênfase5" xfId="48" xr:uid="{00000000-0005-0000-0000-00003F040000}"/>
    <cellStyle name="60% - Ênfase5 10" xfId="5509" xr:uid="{00000000-0005-0000-0000-000040040000}"/>
    <cellStyle name="60% - Ênfase5 11" xfId="5582" xr:uid="{00000000-0005-0000-0000-000041040000}"/>
    <cellStyle name="60% - Ênfase5 12" xfId="5486" xr:uid="{00000000-0005-0000-0000-000042040000}"/>
    <cellStyle name="60% - Ênfase5 13" xfId="5603" xr:uid="{00000000-0005-0000-0000-000043040000}"/>
    <cellStyle name="60% - Ênfase5 14" xfId="5632" xr:uid="{00000000-0005-0000-0000-000044040000}"/>
    <cellStyle name="60% - Ênfase5 15" xfId="5701" xr:uid="{00000000-0005-0000-0000-000045040000}"/>
    <cellStyle name="60% - Ênfase5 16" xfId="5735" xr:uid="{00000000-0005-0000-0000-000046040000}"/>
    <cellStyle name="60% - Ênfase5 17" xfId="5801" xr:uid="{00000000-0005-0000-0000-000047040000}"/>
    <cellStyle name="60% - Ênfase5 2" xfId="4959" xr:uid="{00000000-0005-0000-0000-000048040000}"/>
    <cellStyle name="60% - Ênfase5 2 2" xfId="6387" xr:uid="{00000000-0005-0000-0000-000049040000}"/>
    <cellStyle name="60% - Ênfase5 2 2 2" xfId="6388" xr:uid="{00000000-0005-0000-0000-00004A040000}"/>
    <cellStyle name="60% - Ênfase5 2 2 2 2" xfId="6389" xr:uid="{00000000-0005-0000-0000-00004B040000}"/>
    <cellStyle name="60% - Ênfase5 2 2 2 2 2" xfId="6390" xr:uid="{00000000-0005-0000-0000-00004C040000}"/>
    <cellStyle name="60% - Ênfase5 2 2 2 2 2 2" xfId="6391" xr:uid="{00000000-0005-0000-0000-00004D040000}"/>
    <cellStyle name="60% - Ênfase5 2 2 2 2 2 2 2" xfId="6392" xr:uid="{00000000-0005-0000-0000-00004E040000}"/>
    <cellStyle name="60% - Ênfase5 2 2 2 2 2 2 2 2" xfId="6393" xr:uid="{00000000-0005-0000-0000-00004F040000}"/>
    <cellStyle name="60% - Ênfase5 2 2 2 2 2 2 3" xfId="6394" xr:uid="{00000000-0005-0000-0000-000050040000}"/>
    <cellStyle name="60% - Ênfase5 2 2 2 2 2 3" xfId="6395" xr:uid="{00000000-0005-0000-0000-000051040000}"/>
    <cellStyle name="60% - Ênfase5 2 2 2 2 2 3 2" xfId="6396" xr:uid="{00000000-0005-0000-0000-000052040000}"/>
    <cellStyle name="60% - Ênfase5 2 2 2 2 3" xfId="6397" xr:uid="{00000000-0005-0000-0000-000053040000}"/>
    <cellStyle name="60% - Ênfase5 2 2 2 2 3 2" xfId="6398" xr:uid="{00000000-0005-0000-0000-000054040000}"/>
    <cellStyle name="60% - Ênfase5 2 2 2 3" xfId="6399" xr:uid="{00000000-0005-0000-0000-000055040000}"/>
    <cellStyle name="60% - Ênfase5 2 2 2 4" xfId="6400" xr:uid="{00000000-0005-0000-0000-000056040000}"/>
    <cellStyle name="60% - Ênfase5 2 2 2 4 2" xfId="6401" xr:uid="{00000000-0005-0000-0000-000057040000}"/>
    <cellStyle name="60% - Ênfase5 2 2 3" xfId="6402" xr:uid="{00000000-0005-0000-0000-000058040000}"/>
    <cellStyle name="60% - Ênfase5 2 2 4" xfId="6403" xr:uid="{00000000-0005-0000-0000-000059040000}"/>
    <cellStyle name="60% - Ênfase5 2 2 4 2" xfId="6404" xr:uid="{00000000-0005-0000-0000-00005A040000}"/>
    <cellStyle name="60% - Ênfase5 2 3" xfId="6405" xr:uid="{00000000-0005-0000-0000-00005B040000}"/>
    <cellStyle name="60% - Ênfase5 2 4" xfId="6406" xr:uid="{00000000-0005-0000-0000-00005C040000}"/>
    <cellStyle name="60% - Ênfase5 2 5" xfId="6407" xr:uid="{00000000-0005-0000-0000-00005D040000}"/>
    <cellStyle name="60% - Ênfase5 2 6" xfId="6408" xr:uid="{00000000-0005-0000-0000-00005E040000}"/>
    <cellStyle name="60% - Ênfase5 2 6 2" xfId="6409" xr:uid="{00000000-0005-0000-0000-00005F040000}"/>
    <cellStyle name="60% - Ênfase5 2 7" xfId="6386" xr:uid="{00000000-0005-0000-0000-000060040000}"/>
    <cellStyle name="60% - Ênfase5 3" xfId="5226" xr:uid="{00000000-0005-0000-0000-000061040000}"/>
    <cellStyle name="60% - Ênfase5 3 2" xfId="6411" xr:uid="{00000000-0005-0000-0000-000062040000}"/>
    <cellStyle name="60% - Ênfase5 3 3" xfId="6412" xr:uid="{00000000-0005-0000-0000-000063040000}"/>
    <cellStyle name="60% - Ênfase5 3 4" xfId="6413" xr:uid="{00000000-0005-0000-0000-000064040000}"/>
    <cellStyle name="60% - Ênfase5 3 5" xfId="6410" xr:uid="{00000000-0005-0000-0000-000065040000}"/>
    <cellStyle name="60% - Ênfase5 4" xfId="5316" xr:uid="{00000000-0005-0000-0000-000066040000}"/>
    <cellStyle name="60% - Ênfase5 4 2" xfId="6415" xr:uid="{00000000-0005-0000-0000-000067040000}"/>
    <cellStyle name="60% - Ênfase5 4 3" xfId="6416" xr:uid="{00000000-0005-0000-0000-000068040000}"/>
    <cellStyle name="60% - Ênfase5 4 4" xfId="6414" xr:uid="{00000000-0005-0000-0000-000069040000}"/>
    <cellStyle name="60% - Ênfase5 5" xfId="5203" xr:uid="{00000000-0005-0000-0000-00006A040000}"/>
    <cellStyle name="60% - Ênfase5 5 2" xfId="6418" xr:uid="{00000000-0005-0000-0000-00006B040000}"/>
    <cellStyle name="60% - Ênfase5 5 3" xfId="6417" xr:uid="{00000000-0005-0000-0000-00006C040000}"/>
    <cellStyle name="60% - Ênfase5 6" xfId="5339" xr:uid="{00000000-0005-0000-0000-00006D040000}"/>
    <cellStyle name="60% - Ênfase5 6 2" xfId="6420" xr:uid="{00000000-0005-0000-0000-00006E040000}"/>
    <cellStyle name="60% - Ênfase5 6 3" xfId="7336" xr:uid="{00000000-0005-0000-0000-00006F040000}"/>
    <cellStyle name="60% - Ênfase5 6 4" xfId="6419" xr:uid="{00000000-0005-0000-0000-000070040000}"/>
    <cellStyle name="60% - Ênfase5 7" xfId="5368" xr:uid="{00000000-0005-0000-0000-000071040000}"/>
    <cellStyle name="60% - Ênfase5 7 2" xfId="7337" xr:uid="{00000000-0005-0000-0000-000072040000}"/>
    <cellStyle name="60% - Ênfase5 7 3" xfId="6421" xr:uid="{00000000-0005-0000-0000-000073040000}"/>
    <cellStyle name="60% - Ênfase5 8" xfId="5396" xr:uid="{00000000-0005-0000-0000-000074040000}"/>
    <cellStyle name="60% - Ênfase5 9" xfId="5423" xr:uid="{00000000-0005-0000-0000-000075040000}"/>
    <cellStyle name="60% - Ênfase6" xfId="49" xr:uid="{00000000-0005-0000-0000-000076040000}"/>
    <cellStyle name="60% - Ênfase6 10" xfId="5510" xr:uid="{00000000-0005-0000-0000-000077040000}"/>
    <cellStyle name="60% - Ênfase6 11" xfId="5581" xr:uid="{00000000-0005-0000-0000-000078040000}"/>
    <cellStyle name="60% - Ênfase6 12" xfId="5487" xr:uid="{00000000-0005-0000-0000-000079040000}"/>
    <cellStyle name="60% - Ênfase6 13" xfId="5602" xr:uid="{00000000-0005-0000-0000-00007A040000}"/>
    <cellStyle name="60% - Ênfase6 14" xfId="5631" xr:uid="{00000000-0005-0000-0000-00007B040000}"/>
    <cellStyle name="60% - Ênfase6 15" xfId="5702" xr:uid="{00000000-0005-0000-0000-00007C040000}"/>
    <cellStyle name="60% - Ênfase6 16" xfId="5734" xr:uid="{00000000-0005-0000-0000-00007D040000}"/>
    <cellStyle name="60% - Ênfase6 17" xfId="5805" xr:uid="{00000000-0005-0000-0000-00007E040000}"/>
    <cellStyle name="60% - Ênfase6 2" xfId="4960" xr:uid="{00000000-0005-0000-0000-00007F040000}"/>
    <cellStyle name="60% - Ênfase6 2 2" xfId="6423" xr:uid="{00000000-0005-0000-0000-000080040000}"/>
    <cellStyle name="60% - Ênfase6 2 2 2" xfId="6424" xr:uid="{00000000-0005-0000-0000-000081040000}"/>
    <cellStyle name="60% - Ênfase6 2 2 2 2" xfId="6425" xr:uid="{00000000-0005-0000-0000-000082040000}"/>
    <cellStyle name="60% - Ênfase6 2 2 2 2 2" xfId="6426" xr:uid="{00000000-0005-0000-0000-000083040000}"/>
    <cellStyle name="60% - Ênfase6 2 2 2 2 2 2" xfId="6427" xr:uid="{00000000-0005-0000-0000-000084040000}"/>
    <cellStyle name="60% - Ênfase6 2 2 2 2 2 2 2" xfId="6428" xr:uid="{00000000-0005-0000-0000-000085040000}"/>
    <cellStyle name="60% - Ênfase6 2 2 2 2 2 2 2 2" xfId="6429" xr:uid="{00000000-0005-0000-0000-000086040000}"/>
    <cellStyle name="60% - Ênfase6 2 2 2 2 2 2 3" xfId="6430" xr:uid="{00000000-0005-0000-0000-000087040000}"/>
    <cellStyle name="60% - Ênfase6 2 2 2 2 2 3" xfId="6431" xr:uid="{00000000-0005-0000-0000-000088040000}"/>
    <cellStyle name="60% - Ênfase6 2 2 2 2 2 3 2" xfId="6432" xr:uid="{00000000-0005-0000-0000-000089040000}"/>
    <cellStyle name="60% - Ênfase6 2 2 2 2 3" xfId="6433" xr:uid="{00000000-0005-0000-0000-00008A040000}"/>
    <cellStyle name="60% - Ênfase6 2 2 2 2 3 2" xfId="6434" xr:uid="{00000000-0005-0000-0000-00008B040000}"/>
    <cellStyle name="60% - Ênfase6 2 2 2 3" xfId="6435" xr:uid="{00000000-0005-0000-0000-00008C040000}"/>
    <cellStyle name="60% - Ênfase6 2 2 2 4" xfId="6436" xr:uid="{00000000-0005-0000-0000-00008D040000}"/>
    <cellStyle name="60% - Ênfase6 2 2 2 4 2" xfId="6437" xr:uid="{00000000-0005-0000-0000-00008E040000}"/>
    <cellStyle name="60% - Ênfase6 2 2 3" xfId="6438" xr:uid="{00000000-0005-0000-0000-00008F040000}"/>
    <cellStyle name="60% - Ênfase6 2 2 4" xfId="6439" xr:uid="{00000000-0005-0000-0000-000090040000}"/>
    <cellStyle name="60% - Ênfase6 2 2 4 2" xfId="6440" xr:uid="{00000000-0005-0000-0000-000091040000}"/>
    <cellStyle name="60% - Ênfase6 2 3" xfId="6441" xr:uid="{00000000-0005-0000-0000-000092040000}"/>
    <cellStyle name="60% - Ênfase6 2 4" xfId="6442" xr:uid="{00000000-0005-0000-0000-000093040000}"/>
    <cellStyle name="60% - Ênfase6 2 5" xfId="6443" xr:uid="{00000000-0005-0000-0000-000094040000}"/>
    <cellStyle name="60% - Ênfase6 2 6" xfId="6444" xr:uid="{00000000-0005-0000-0000-000095040000}"/>
    <cellStyle name="60% - Ênfase6 2 6 2" xfId="6445" xr:uid="{00000000-0005-0000-0000-000096040000}"/>
    <cellStyle name="60% - Ênfase6 2 7" xfId="6422" xr:uid="{00000000-0005-0000-0000-000097040000}"/>
    <cellStyle name="60% - Ênfase6 3" xfId="5227" xr:uid="{00000000-0005-0000-0000-000098040000}"/>
    <cellStyle name="60% - Ênfase6 3 2" xfId="6447" xr:uid="{00000000-0005-0000-0000-000099040000}"/>
    <cellStyle name="60% - Ênfase6 3 3" xfId="6448" xr:uid="{00000000-0005-0000-0000-00009A040000}"/>
    <cellStyle name="60% - Ênfase6 3 4" xfId="6449" xr:uid="{00000000-0005-0000-0000-00009B040000}"/>
    <cellStyle name="60% - Ênfase6 3 5" xfId="6446" xr:uid="{00000000-0005-0000-0000-00009C040000}"/>
    <cellStyle name="60% - Ênfase6 4" xfId="5315" xr:uid="{00000000-0005-0000-0000-00009D040000}"/>
    <cellStyle name="60% - Ênfase6 4 2" xfId="6451" xr:uid="{00000000-0005-0000-0000-00009E040000}"/>
    <cellStyle name="60% - Ênfase6 4 3" xfId="6452" xr:uid="{00000000-0005-0000-0000-00009F040000}"/>
    <cellStyle name="60% - Ênfase6 4 4" xfId="6450" xr:uid="{00000000-0005-0000-0000-0000A0040000}"/>
    <cellStyle name="60% - Ênfase6 5" xfId="5204" xr:uid="{00000000-0005-0000-0000-0000A1040000}"/>
    <cellStyle name="60% - Ênfase6 5 2" xfId="6454" xr:uid="{00000000-0005-0000-0000-0000A2040000}"/>
    <cellStyle name="60% - Ênfase6 5 3" xfId="6453" xr:uid="{00000000-0005-0000-0000-0000A3040000}"/>
    <cellStyle name="60% - Ênfase6 6" xfId="5338" xr:uid="{00000000-0005-0000-0000-0000A4040000}"/>
    <cellStyle name="60% - Ênfase6 6 2" xfId="6456" xr:uid="{00000000-0005-0000-0000-0000A5040000}"/>
    <cellStyle name="60% - Ênfase6 6 3" xfId="7338" xr:uid="{00000000-0005-0000-0000-0000A6040000}"/>
    <cellStyle name="60% - Ênfase6 6 4" xfId="6455" xr:uid="{00000000-0005-0000-0000-0000A7040000}"/>
    <cellStyle name="60% - Ênfase6 7" xfId="5367" xr:uid="{00000000-0005-0000-0000-0000A8040000}"/>
    <cellStyle name="60% - Ênfase6 7 2" xfId="7339" xr:uid="{00000000-0005-0000-0000-0000A9040000}"/>
    <cellStyle name="60% - Ênfase6 7 3" xfId="6457" xr:uid="{00000000-0005-0000-0000-0000AA040000}"/>
    <cellStyle name="60% - Ênfase6 8" xfId="5395" xr:uid="{00000000-0005-0000-0000-0000AB040000}"/>
    <cellStyle name="60% - Ênfase6 9" xfId="5422" xr:uid="{00000000-0005-0000-0000-0000AC040000}"/>
    <cellStyle name="60% - Énfasis1" xfId="326" xr:uid="{00000000-0005-0000-0000-0000AD040000}"/>
    <cellStyle name="60% - Énfasis2" xfId="327" xr:uid="{00000000-0005-0000-0000-0000AE040000}"/>
    <cellStyle name="60% - Énfasis3" xfId="328" xr:uid="{00000000-0005-0000-0000-0000AF040000}"/>
    <cellStyle name="60% - Énfasis4" xfId="329" xr:uid="{00000000-0005-0000-0000-0000B0040000}"/>
    <cellStyle name="60% - Énfasis5" xfId="330" xr:uid="{00000000-0005-0000-0000-0000B1040000}"/>
    <cellStyle name="60% - Énfasis6" xfId="331" xr:uid="{00000000-0005-0000-0000-0000B2040000}"/>
    <cellStyle name="a_Divisão" xfId="332" xr:uid="{00000000-0005-0000-0000-0000B3040000}"/>
    <cellStyle name="a_normal" xfId="333" xr:uid="{00000000-0005-0000-0000-0000B4040000}"/>
    <cellStyle name="a_quebra_1" xfId="334" xr:uid="{00000000-0005-0000-0000-0000B5040000}"/>
    <cellStyle name="a_quebra_2" xfId="335" xr:uid="{00000000-0005-0000-0000-0000B6040000}"/>
    <cellStyle name="A3 297 x 420 mm" xfId="336" xr:uid="{00000000-0005-0000-0000-0000B7040000}"/>
    <cellStyle name="A3 297 x 420 mm 10" xfId="337" xr:uid="{00000000-0005-0000-0000-0000B8040000}"/>
    <cellStyle name="A3 297 x 420 mm 11" xfId="338" xr:uid="{00000000-0005-0000-0000-0000B9040000}"/>
    <cellStyle name="A3 297 x 420 mm 12" xfId="339" xr:uid="{00000000-0005-0000-0000-0000BA040000}"/>
    <cellStyle name="A3 297 x 420 mm 13" xfId="340" xr:uid="{00000000-0005-0000-0000-0000BB040000}"/>
    <cellStyle name="A3 297 x 420 mm 14" xfId="341" xr:uid="{00000000-0005-0000-0000-0000BC040000}"/>
    <cellStyle name="A3 297 x 420 mm 15" xfId="342" xr:uid="{00000000-0005-0000-0000-0000BD040000}"/>
    <cellStyle name="A3 297 x 420 mm 16" xfId="343" xr:uid="{00000000-0005-0000-0000-0000BE040000}"/>
    <cellStyle name="A3 297 x 420 mm 17" xfId="344" xr:uid="{00000000-0005-0000-0000-0000BF040000}"/>
    <cellStyle name="A3 297 x 420 mm 18" xfId="345" xr:uid="{00000000-0005-0000-0000-0000C0040000}"/>
    <cellStyle name="A3 297 x 420 mm 19" xfId="346" xr:uid="{00000000-0005-0000-0000-0000C1040000}"/>
    <cellStyle name="A3 297 x 420 mm 2" xfId="347" xr:uid="{00000000-0005-0000-0000-0000C2040000}"/>
    <cellStyle name="A3 297 x 420 mm 2 10" xfId="348" xr:uid="{00000000-0005-0000-0000-0000C3040000}"/>
    <cellStyle name="A3 297 x 420 mm 2 11" xfId="349" xr:uid="{00000000-0005-0000-0000-0000C4040000}"/>
    <cellStyle name="A3 297 x 420 mm 2 12" xfId="350" xr:uid="{00000000-0005-0000-0000-0000C5040000}"/>
    <cellStyle name="A3 297 x 420 mm 2 13" xfId="351" xr:uid="{00000000-0005-0000-0000-0000C6040000}"/>
    <cellStyle name="A3 297 x 420 mm 2 14" xfId="352" xr:uid="{00000000-0005-0000-0000-0000C7040000}"/>
    <cellStyle name="A3 297 x 420 mm 2 15" xfId="353" xr:uid="{00000000-0005-0000-0000-0000C8040000}"/>
    <cellStyle name="A3 297 x 420 mm 2 16" xfId="354" xr:uid="{00000000-0005-0000-0000-0000C9040000}"/>
    <cellStyle name="A3 297 x 420 mm 2 17" xfId="355" xr:uid="{00000000-0005-0000-0000-0000CA040000}"/>
    <cellStyle name="A3 297 x 420 mm 2 18" xfId="356" xr:uid="{00000000-0005-0000-0000-0000CB040000}"/>
    <cellStyle name="A3 297 x 420 mm 2 19" xfId="357" xr:uid="{00000000-0005-0000-0000-0000CC040000}"/>
    <cellStyle name="A3 297 x 420 mm 2 2" xfId="358" xr:uid="{00000000-0005-0000-0000-0000CD040000}"/>
    <cellStyle name="A3 297 x 420 mm 2 2 10" xfId="359" xr:uid="{00000000-0005-0000-0000-0000CE040000}"/>
    <cellStyle name="A3 297 x 420 mm 2 2 11" xfId="360" xr:uid="{00000000-0005-0000-0000-0000CF040000}"/>
    <cellStyle name="A3 297 x 420 mm 2 2 12" xfId="361" xr:uid="{00000000-0005-0000-0000-0000D0040000}"/>
    <cellStyle name="A3 297 x 420 mm 2 2 13" xfId="362" xr:uid="{00000000-0005-0000-0000-0000D1040000}"/>
    <cellStyle name="A3 297 x 420 mm 2 2 14" xfId="363" xr:uid="{00000000-0005-0000-0000-0000D2040000}"/>
    <cellStyle name="A3 297 x 420 mm 2 2 15" xfId="364" xr:uid="{00000000-0005-0000-0000-0000D3040000}"/>
    <cellStyle name="A3 297 x 420 mm 2 2 16" xfId="365" xr:uid="{00000000-0005-0000-0000-0000D4040000}"/>
    <cellStyle name="A3 297 x 420 mm 2 2 17" xfId="366" xr:uid="{00000000-0005-0000-0000-0000D5040000}"/>
    <cellStyle name="A3 297 x 420 mm 2 2 18" xfId="367" xr:uid="{00000000-0005-0000-0000-0000D6040000}"/>
    <cellStyle name="A3 297 x 420 mm 2 2 19" xfId="368" xr:uid="{00000000-0005-0000-0000-0000D7040000}"/>
    <cellStyle name="A3 297 x 420 mm 2 2 2" xfId="369" xr:uid="{00000000-0005-0000-0000-0000D8040000}"/>
    <cellStyle name="A3 297 x 420 mm 2 2 20" xfId="370" xr:uid="{00000000-0005-0000-0000-0000D9040000}"/>
    <cellStyle name="A3 297 x 420 mm 2 2 21" xfId="371" xr:uid="{00000000-0005-0000-0000-0000DA040000}"/>
    <cellStyle name="A3 297 x 420 mm 2 2 22" xfId="372" xr:uid="{00000000-0005-0000-0000-0000DB040000}"/>
    <cellStyle name="A3 297 x 420 mm 2 2 23" xfId="373" xr:uid="{00000000-0005-0000-0000-0000DC040000}"/>
    <cellStyle name="A3 297 x 420 mm 2 2 24" xfId="374" xr:uid="{00000000-0005-0000-0000-0000DD040000}"/>
    <cellStyle name="A3 297 x 420 mm 2 2 25" xfId="375" xr:uid="{00000000-0005-0000-0000-0000DE040000}"/>
    <cellStyle name="A3 297 x 420 mm 2 2 26" xfId="376" xr:uid="{00000000-0005-0000-0000-0000DF040000}"/>
    <cellStyle name="A3 297 x 420 mm 2 2 27" xfId="377" xr:uid="{00000000-0005-0000-0000-0000E0040000}"/>
    <cellStyle name="A3 297 x 420 mm 2 2 28" xfId="378" xr:uid="{00000000-0005-0000-0000-0000E1040000}"/>
    <cellStyle name="A3 297 x 420 mm 2 2 29" xfId="379" xr:uid="{00000000-0005-0000-0000-0000E2040000}"/>
    <cellStyle name="A3 297 x 420 mm 2 2 3" xfId="380" xr:uid="{00000000-0005-0000-0000-0000E3040000}"/>
    <cellStyle name="A3 297 x 420 mm 2 2 30" xfId="381" xr:uid="{00000000-0005-0000-0000-0000E4040000}"/>
    <cellStyle name="A3 297 x 420 mm 2 2 31" xfId="382" xr:uid="{00000000-0005-0000-0000-0000E5040000}"/>
    <cellStyle name="A3 297 x 420 mm 2 2 32" xfId="383" xr:uid="{00000000-0005-0000-0000-0000E6040000}"/>
    <cellStyle name="A3 297 x 420 mm 2 2 33" xfId="384" xr:uid="{00000000-0005-0000-0000-0000E7040000}"/>
    <cellStyle name="A3 297 x 420 mm 2 2 34" xfId="385" xr:uid="{00000000-0005-0000-0000-0000E8040000}"/>
    <cellStyle name="A3 297 x 420 mm 2 2 35" xfId="386" xr:uid="{00000000-0005-0000-0000-0000E9040000}"/>
    <cellStyle name="A3 297 x 420 mm 2 2 36" xfId="387" xr:uid="{00000000-0005-0000-0000-0000EA040000}"/>
    <cellStyle name="A3 297 x 420 mm 2 2 37" xfId="388" xr:uid="{00000000-0005-0000-0000-0000EB040000}"/>
    <cellStyle name="A3 297 x 420 mm 2 2 38" xfId="389" xr:uid="{00000000-0005-0000-0000-0000EC040000}"/>
    <cellStyle name="A3 297 x 420 mm 2 2 39" xfId="390" xr:uid="{00000000-0005-0000-0000-0000ED040000}"/>
    <cellStyle name="A3 297 x 420 mm 2 2 4" xfId="391" xr:uid="{00000000-0005-0000-0000-0000EE040000}"/>
    <cellStyle name="A3 297 x 420 mm 2 2 40" xfId="392" xr:uid="{00000000-0005-0000-0000-0000EF040000}"/>
    <cellStyle name="A3 297 x 420 mm 2 2 5" xfId="393" xr:uid="{00000000-0005-0000-0000-0000F0040000}"/>
    <cellStyle name="A3 297 x 420 mm 2 2 6" xfId="394" xr:uid="{00000000-0005-0000-0000-0000F1040000}"/>
    <cellStyle name="A3 297 x 420 mm 2 2 7" xfId="395" xr:uid="{00000000-0005-0000-0000-0000F2040000}"/>
    <cellStyle name="A3 297 x 420 mm 2 2 8" xfId="396" xr:uid="{00000000-0005-0000-0000-0000F3040000}"/>
    <cellStyle name="A3 297 x 420 mm 2 2 9" xfId="397" xr:uid="{00000000-0005-0000-0000-0000F4040000}"/>
    <cellStyle name="A3 297 x 420 mm 2 20" xfId="398" xr:uid="{00000000-0005-0000-0000-0000F5040000}"/>
    <cellStyle name="A3 297 x 420 mm 2 21" xfId="399" xr:uid="{00000000-0005-0000-0000-0000F6040000}"/>
    <cellStyle name="A3 297 x 420 mm 2 22" xfId="400" xr:uid="{00000000-0005-0000-0000-0000F7040000}"/>
    <cellStyle name="A3 297 x 420 mm 2 23" xfId="401" xr:uid="{00000000-0005-0000-0000-0000F8040000}"/>
    <cellStyle name="A3 297 x 420 mm 2 24" xfId="402" xr:uid="{00000000-0005-0000-0000-0000F9040000}"/>
    <cellStyle name="A3 297 x 420 mm 2 25" xfId="403" xr:uid="{00000000-0005-0000-0000-0000FA040000}"/>
    <cellStyle name="A3 297 x 420 mm 2 26" xfId="404" xr:uid="{00000000-0005-0000-0000-0000FB040000}"/>
    <cellStyle name="A3 297 x 420 mm 2 27" xfId="405" xr:uid="{00000000-0005-0000-0000-0000FC040000}"/>
    <cellStyle name="A3 297 x 420 mm 2 28" xfId="406" xr:uid="{00000000-0005-0000-0000-0000FD040000}"/>
    <cellStyle name="A3 297 x 420 mm 2 29" xfId="407" xr:uid="{00000000-0005-0000-0000-0000FE040000}"/>
    <cellStyle name="A3 297 x 420 mm 2 3" xfId="408" xr:uid="{00000000-0005-0000-0000-0000FF040000}"/>
    <cellStyle name="A3 297 x 420 mm 2 30" xfId="409" xr:uid="{00000000-0005-0000-0000-000000050000}"/>
    <cellStyle name="A3 297 x 420 mm 2 31" xfId="410" xr:uid="{00000000-0005-0000-0000-000001050000}"/>
    <cellStyle name="A3 297 x 420 mm 2 32" xfId="411" xr:uid="{00000000-0005-0000-0000-000002050000}"/>
    <cellStyle name="A3 297 x 420 mm 2 33" xfId="412" xr:uid="{00000000-0005-0000-0000-000003050000}"/>
    <cellStyle name="A3 297 x 420 mm 2 34" xfId="413" xr:uid="{00000000-0005-0000-0000-000004050000}"/>
    <cellStyle name="A3 297 x 420 mm 2 35" xfId="414" xr:uid="{00000000-0005-0000-0000-000005050000}"/>
    <cellStyle name="A3 297 x 420 mm 2 36" xfId="415" xr:uid="{00000000-0005-0000-0000-000006050000}"/>
    <cellStyle name="A3 297 x 420 mm 2 37" xfId="416" xr:uid="{00000000-0005-0000-0000-000007050000}"/>
    <cellStyle name="A3 297 x 420 mm 2 38" xfId="417" xr:uid="{00000000-0005-0000-0000-000008050000}"/>
    <cellStyle name="A3 297 x 420 mm 2 39" xfId="418" xr:uid="{00000000-0005-0000-0000-000009050000}"/>
    <cellStyle name="A3 297 x 420 mm 2 4" xfId="419" xr:uid="{00000000-0005-0000-0000-00000A050000}"/>
    <cellStyle name="A3 297 x 420 mm 2 40" xfId="420" xr:uid="{00000000-0005-0000-0000-00000B050000}"/>
    <cellStyle name="A3 297 x 420 mm 2 41" xfId="421" xr:uid="{00000000-0005-0000-0000-00000C050000}"/>
    <cellStyle name="A3 297 x 420 mm 2 5" xfId="422" xr:uid="{00000000-0005-0000-0000-00000D050000}"/>
    <cellStyle name="A3 297 x 420 mm 2 6" xfId="423" xr:uid="{00000000-0005-0000-0000-00000E050000}"/>
    <cellStyle name="A3 297 x 420 mm 2 7" xfId="424" xr:uid="{00000000-0005-0000-0000-00000F050000}"/>
    <cellStyle name="A3 297 x 420 mm 2 8" xfId="425" xr:uid="{00000000-0005-0000-0000-000010050000}"/>
    <cellStyle name="A3 297 x 420 mm 2 9" xfId="426" xr:uid="{00000000-0005-0000-0000-000011050000}"/>
    <cellStyle name="A3 297 x 420 mm 20" xfId="427" xr:uid="{00000000-0005-0000-0000-000012050000}"/>
    <cellStyle name="A3 297 x 420 mm 21" xfId="428" xr:uid="{00000000-0005-0000-0000-000013050000}"/>
    <cellStyle name="A3 297 x 420 mm 22" xfId="429" xr:uid="{00000000-0005-0000-0000-000014050000}"/>
    <cellStyle name="A3 297 x 420 mm 23" xfId="430" xr:uid="{00000000-0005-0000-0000-000015050000}"/>
    <cellStyle name="A3 297 x 420 mm 24" xfId="431" xr:uid="{00000000-0005-0000-0000-000016050000}"/>
    <cellStyle name="A3 297 x 420 mm 25" xfId="432" xr:uid="{00000000-0005-0000-0000-000017050000}"/>
    <cellStyle name="A3 297 x 420 mm 26" xfId="433" xr:uid="{00000000-0005-0000-0000-000018050000}"/>
    <cellStyle name="A3 297 x 420 mm 27" xfId="434" xr:uid="{00000000-0005-0000-0000-000019050000}"/>
    <cellStyle name="A3 297 x 420 mm 28" xfId="435" xr:uid="{00000000-0005-0000-0000-00001A050000}"/>
    <cellStyle name="A3 297 x 420 mm 29" xfId="436" xr:uid="{00000000-0005-0000-0000-00001B050000}"/>
    <cellStyle name="A3 297 x 420 mm 3" xfId="437" xr:uid="{00000000-0005-0000-0000-00001C050000}"/>
    <cellStyle name="A3 297 x 420 mm 3 2" xfId="438" xr:uid="{00000000-0005-0000-0000-00001D050000}"/>
    <cellStyle name="A3 297 x 420 mm 30" xfId="439" xr:uid="{00000000-0005-0000-0000-00001E050000}"/>
    <cellStyle name="A3 297 x 420 mm 31" xfId="440" xr:uid="{00000000-0005-0000-0000-00001F050000}"/>
    <cellStyle name="A3 297 x 420 mm 32" xfId="441" xr:uid="{00000000-0005-0000-0000-000020050000}"/>
    <cellStyle name="A3 297 x 420 mm 33" xfId="442" xr:uid="{00000000-0005-0000-0000-000021050000}"/>
    <cellStyle name="A3 297 x 420 mm 34" xfId="443" xr:uid="{00000000-0005-0000-0000-000022050000}"/>
    <cellStyle name="A3 297 x 420 mm 35" xfId="444" xr:uid="{00000000-0005-0000-0000-000023050000}"/>
    <cellStyle name="A3 297 x 420 mm 36" xfId="445" xr:uid="{00000000-0005-0000-0000-000024050000}"/>
    <cellStyle name="A3 297 x 420 mm 37" xfId="446" xr:uid="{00000000-0005-0000-0000-000025050000}"/>
    <cellStyle name="A3 297 x 420 mm 38" xfId="447" xr:uid="{00000000-0005-0000-0000-000026050000}"/>
    <cellStyle name="A3 297 x 420 mm 39" xfId="448" xr:uid="{00000000-0005-0000-0000-000027050000}"/>
    <cellStyle name="A3 297 x 420 mm 4" xfId="449" xr:uid="{00000000-0005-0000-0000-000028050000}"/>
    <cellStyle name="A3 297 x 420 mm 4 2" xfId="450" xr:uid="{00000000-0005-0000-0000-000029050000}"/>
    <cellStyle name="A3 297 x 420 mm 40" xfId="451" xr:uid="{00000000-0005-0000-0000-00002A050000}"/>
    <cellStyle name="A3 297 x 420 mm 41" xfId="452" xr:uid="{00000000-0005-0000-0000-00002B050000}"/>
    <cellStyle name="A3 297 x 420 mm 42" xfId="453" xr:uid="{00000000-0005-0000-0000-00002C050000}"/>
    <cellStyle name="A3 297 x 420 mm 43" xfId="454" xr:uid="{00000000-0005-0000-0000-00002D050000}"/>
    <cellStyle name="A3 297 x 420 mm 5" xfId="455" xr:uid="{00000000-0005-0000-0000-00002E050000}"/>
    <cellStyle name="A3 297 x 420 mm 5 2" xfId="456" xr:uid="{00000000-0005-0000-0000-00002F050000}"/>
    <cellStyle name="A3 297 x 420 mm 6" xfId="457" xr:uid="{00000000-0005-0000-0000-000030050000}"/>
    <cellStyle name="A3 297 x 420 mm 7" xfId="458" xr:uid="{00000000-0005-0000-0000-000031050000}"/>
    <cellStyle name="A3 297 x 420 mm 8" xfId="459" xr:uid="{00000000-0005-0000-0000-000032050000}"/>
    <cellStyle name="A3 297 x 420 mm 9" xfId="460" xr:uid="{00000000-0005-0000-0000-000033050000}"/>
    <cellStyle name="A3 297 x 420 mm_Base_PA_2009-2011_Dem_Financeiros_CL" xfId="461" xr:uid="{00000000-0005-0000-0000-000034050000}"/>
    <cellStyle name="Accent1 2" xfId="50" xr:uid="{00000000-0005-0000-0000-000035050000}"/>
    <cellStyle name="Accent2 2" xfId="51" xr:uid="{00000000-0005-0000-0000-000036050000}"/>
    <cellStyle name="Accent3 2" xfId="52" xr:uid="{00000000-0005-0000-0000-000037050000}"/>
    <cellStyle name="Accent4 2" xfId="53" xr:uid="{00000000-0005-0000-0000-000038050000}"/>
    <cellStyle name="Accent5 2" xfId="54" xr:uid="{00000000-0005-0000-0000-000039050000}"/>
    <cellStyle name="Accent6 2" xfId="55" xr:uid="{00000000-0005-0000-0000-00003A050000}"/>
    <cellStyle name="Actual Date" xfId="462" xr:uid="{00000000-0005-0000-0000-00003B050000}"/>
    <cellStyle name="AFE" xfId="463" xr:uid="{00000000-0005-0000-0000-00003C050000}"/>
    <cellStyle name="AFE 2" xfId="11" xr:uid="{00000000-0005-0000-0000-00003D050000}"/>
    <cellStyle name="ÀH«áªº¶W³sµ²" xfId="4961" xr:uid="{00000000-0005-0000-0000-00003E050000}"/>
    <cellStyle name="Anos" xfId="464" xr:uid="{00000000-0005-0000-0000-00003F050000}"/>
    <cellStyle name="Anos 10" xfId="465" xr:uid="{00000000-0005-0000-0000-000040050000}"/>
    <cellStyle name="Anos 11" xfId="466" xr:uid="{00000000-0005-0000-0000-000041050000}"/>
    <cellStyle name="Anos 12" xfId="467" xr:uid="{00000000-0005-0000-0000-000042050000}"/>
    <cellStyle name="Anos 13" xfId="468" xr:uid="{00000000-0005-0000-0000-000043050000}"/>
    <cellStyle name="Anos 14" xfId="469" xr:uid="{00000000-0005-0000-0000-000044050000}"/>
    <cellStyle name="Anos 15" xfId="470" xr:uid="{00000000-0005-0000-0000-000045050000}"/>
    <cellStyle name="Anos 16" xfId="471" xr:uid="{00000000-0005-0000-0000-000046050000}"/>
    <cellStyle name="Anos 17" xfId="472" xr:uid="{00000000-0005-0000-0000-000047050000}"/>
    <cellStyle name="Anos 18" xfId="473" xr:uid="{00000000-0005-0000-0000-000048050000}"/>
    <cellStyle name="Anos 19" xfId="474" xr:uid="{00000000-0005-0000-0000-000049050000}"/>
    <cellStyle name="anos 2" xfId="475" xr:uid="{00000000-0005-0000-0000-00004A050000}"/>
    <cellStyle name="Anos 2 2" xfId="476" xr:uid="{00000000-0005-0000-0000-00004B050000}"/>
    <cellStyle name="Anos 20" xfId="477" xr:uid="{00000000-0005-0000-0000-00004C050000}"/>
    <cellStyle name="Anos 21" xfId="478" xr:uid="{00000000-0005-0000-0000-00004D050000}"/>
    <cellStyle name="Anos 22" xfId="479" xr:uid="{00000000-0005-0000-0000-00004E050000}"/>
    <cellStyle name="Anos 23" xfId="480" xr:uid="{00000000-0005-0000-0000-00004F050000}"/>
    <cellStyle name="Anos 24" xfId="481" xr:uid="{00000000-0005-0000-0000-000050050000}"/>
    <cellStyle name="Anos 25" xfId="482" xr:uid="{00000000-0005-0000-0000-000051050000}"/>
    <cellStyle name="Anos 26" xfId="483" xr:uid="{00000000-0005-0000-0000-000052050000}"/>
    <cellStyle name="Anos 27" xfId="484" xr:uid="{00000000-0005-0000-0000-000053050000}"/>
    <cellStyle name="Anos 28" xfId="485" xr:uid="{00000000-0005-0000-0000-000054050000}"/>
    <cellStyle name="Anos 29" xfId="486" xr:uid="{00000000-0005-0000-0000-000055050000}"/>
    <cellStyle name="Anos 3" xfId="487" xr:uid="{00000000-0005-0000-0000-000056050000}"/>
    <cellStyle name="Anos 30" xfId="488" xr:uid="{00000000-0005-0000-0000-000057050000}"/>
    <cellStyle name="Anos 31" xfId="489" xr:uid="{00000000-0005-0000-0000-000058050000}"/>
    <cellStyle name="Anos 32" xfId="490" xr:uid="{00000000-0005-0000-0000-000059050000}"/>
    <cellStyle name="Anos 33" xfId="491" xr:uid="{00000000-0005-0000-0000-00005A050000}"/>
    <cellStyle name="Anos 34" xfId="492" xr:uid="{00000000-0005-0000-0000-00005B050000}"/>
    <cellStyle name="Anos 35" xfId="493" xr:uid="{00000000-0005-0000-0000-00005C050000}"/>
    <cellStyle name="Anos 36" xfId="494" xr:uid="{00000000-0005-0000-0000-00005D050000}"/>
    <cellStyle name="Anos 37" xfId="495" xr:uid="{00000000-0005-0000-0000-00005E050000}"/>
    <cellStyle name="Anos 38" xfId="496" xr:uid="{00000000-0005-0000-0000-00005F050000}"/>
    <cellStyle name="Anos 39" xfId="497" xr:uid="{00000000-0005-0000-0000-000060050000}"/>
    <cellStyle name="Anos 4" xfId="498" xr:uid="{00000000-0005-0000-0000-000061050000}"/>
    <cellStyle name="Anos 40" xfId="499" xr:uid="{00000000-0005-0000-0000-000062050000}"/>
    <cellStyle name="Anos 5" xfId="500" xr:uid="{00000000-0005-0000-0000-000063050000}"/>
    <cellStyle name="Anos 6" xfId="501" xr:uid="{00000000-0005-0000-0000-000064050000}"/>
    <cellStyle name="Anos 7" xfId="502" xr:uid="{00000000-0005-0000-0000-000065050000}"/>
    <cellStyle name="Anos 8" xfId="503" xr:uid="{00000000-0005-0000-0000-000066050000}"/>
    <cellStyle name="Anos 9" xfId="504" xr:uid="{00000000-0005-0000-0000-000067050000}"/>
    <cellStyle name="Arial 10" xfId="505" xr:uid="{00000000-0005-0000-0000-000068050000}"/>
    <cellStyle name="Arial 10 10" xfId="506" xr:uid="{00000000-0005-0000-0000-000069050000}"/>
    <cellStyle name="Arial 10 11" xfId="507" xr:uid="{00000000-0005-0000-0000-00006A050000}"/>
    <cellStyle name="Arial 10 12" xfId="508" xr:uid="{00000000-0005-0000-0000-00006B050000}"/>
    <cellStyle name="Arial 10 13" xfId="509" xr:uid="{00000000-0005-0000-0000-00006C050000}"/>
    <cellStyle name="Arial 10 14" xfId="510" xr:uid="{00000000-0005-0000-0000-00006D050000}"/>
    <cellStyle name="Arial 10 15" xfId="511" xr:uid="{00000000-0005-0000-0000-00006E050000}"/>
    <cellStyle name="Arial 10 16" xfId="512" xr:uid="{00000000-0005-0000-0000-00006F050000}"/>
    <cellStyle name="Arial 10 17" xfId="513" xr:uid="{00000000-0005-0000-0000-000070050000}"/>
    <cellStyle name="Arial 10 18" xfId="514" xr:uid="{00000000-0005-0000-0000-000071050000}"/>
    <cellStyle name="Arial 10 19" xfId="515" xr:uid="{00000000-0005-0000-0000-000072050000}"/>
    <cellStyle name="Arial 10 2" xfId="516" xr:uid="{00000000-0005-0000-0000-000073050000}"/>
    <cellStyle name="Arial 10 2 2" xfId="517" xr:uid="{00000000-0005-0000-0000-000074050000}"/>
    <cellStyle name="Arial 10 20" xfId="518" xr:uid="{00000000-0005-0000-0000-000075050000}"/>
    <cellStyle name="Arial 10 21" xfId="519" xr:uid="{00000000-0005-0000-0000-000076050000}"/>
    <cellStyle name="Arial 10 22" xfId="520" xr:uid="{00000000-0005-0000-0000-000077050000}"/>
    <cellStyle name="Arial 10 23" xfId="521" xr:uid="{00000000-0005-0000-0000-000078050000}"/>
    <cellStyle name="Arial 10 24" xfId="522" xr:uid="{00000000-0005-0000-0000-000079050000}"/>
    <cellStyle name="Arial 10 25" xfId="523" xr:uid="{00000000-0005-0000-0000-00007A050000}"/>
    <cellStyle name="Arial 10 26" xfId="524" xr:uid="{00000000-0005-0000-0000-00007B050000}"/>
    <cellStyle name="Arial 10 27" xfId="525" xr:uid="{00000000-0005-0000-0000-00007C050000}"/>
    <cellStyle name="Arial 10 28" xfId="526" xr:uid="{00000000-0005-0000-0000-00007D050000}"/>
    <cellStyle name="Arial 10 29" xfId="527" xr:uid="{00000000-0005-0000-0000-00007E050000}"/>
    <cellStyle name="Arial 10 3" xfId="528" xr:uid="{00000000-0005-0000-0000-00007F050000}"/>
    <cellStyle name="Arial 10 3 2" xfId="529" xr:uid="{00000000-0005-0000-0000-000080050000}"/>
    <cellStyle name="Arial 10 30" xfId="530" xr:uid="{00000000-0005-0000-0000-000081050000}"/>
    <cellStyle name="Arial 10 31" xfId="531" xr:uid="{00000000-0005-0000-0000-000082050000}"/>
    <cellStyle name="Arial 10 32" xfId="532" xr:uid="{00000000-0005-0000-0000-000083050000}"/>
    <cellStyle name="Arial 10 33" xfId="533" xr:uid="{00000000-0005-0000-0000-000084050000}"/>
    <cellStyle name="Arial 10 34" xfId="534" xr:uid="{00000000-0005-0000-0000-000085050000}"/>
    <cellStyle name="Arial 10 35" xfId="535" xr:uid="{00000000-0005-0000-0000-000086050000}"/>
    <cellStyle name="Arial 10 36" xfId="536" xr:uid="{00000000-0005-0000-0000-000087050000}"/>
    <cellStyle name="Arial 10 37" xfId="537" xr:uid="{00000000-0005-0000-0000-000088050000}"/>
    <cellStyle name="Arial 10 38" xfId="538" xr:uid="{00000000-0005-0000-0000-000089050000}"/>
    <cellStyle name="Arial 10 39" xfId="539" xr:uid="{00000000-0005-0000-0000-00008A050000}"/>
    <cellStyle name="Arial 10 4" xfId="540" xr:uid="{00000000-0005-0000-0000-00008B050000}"/>
    <cellStyle name="Arial 10 4 2" xfId="541" xr:uid="{00000000-0005-0000-0000-00008C050000}"/>
    <cellStyle name="Arial 10 40" xfId="542" xr:uid="{00000000-0005-0000-0000-00008D050000}"/>
    <cellStyle name="Arial 10 41" xfId="543" xr:uid="{00000000-0005-0000-0000-00008E050000}"/>
    <cellStyle name="Arial 10 5" xfId="544" xr:uid="{00000000-0005-0000-0000-00008F050000}"/>
    <cellStyle name="Arial 10 6" xfId="545" xr:uid="{00000000-0005-0000-0000-000090050000}"/>
    <cellStyle name="Arial 10 7" xfId="546" xr:uid="{00000000-0005-0000-0000-000091050000}"/>
    <cellStyle name="Arial 10 8" xfId="547" xr:uid="{00000000-0005-0000-0000-000092050000}"/>
    <cellStyle name="Arial 10 9" xfId="548" xr:uid="{00000000-0005-0000-0000-000093050000}"/>
    <cellStyle name="Arial 24" xfId="549" xr:uid="{00000000-0005-0000-0000-000094050000}"/>
    <cellStyle name="Arial 24 10" xfId="550" xr:uid="{00000000-0005-0000-0000-000095050000}"/>
    <cellStyle name="Arial 24 11" xfId="551" xr:uid="{00000000-0005-0000-0000-000096050000}"/>
    <cellStyle name="Arial 24 12" xfId="552" xr:uid="{00000000-0005-0000-0000-000097050000}"/>
    <cellStyle name="Arial 24 13" xfId="553" xr:uid="{00000000-0005-0000-0000-000098050000}"/>
    <cellStyle name="Arial 24 14" xfId="554" xr:uid="{00000000-0005-0000-0000-000099050000}"/>
    <cellStyle name="Arial 24 15" xfId="555" xr:uid="{00000000-0005-0000-0000-00009A050000}"/>
    <cellStyle name="Arial 24 16" xfId="556" xr:uid="{00000000-0005-0000-0000-00009B050000}"/>
    <cellStyle name="Arial 24 17" xfId="557" xr:uid="{00000000-0005-0000-0000-00009C050000}"/>
    <cellStyle name="Arial 24 18" xfId="558" xr:uid="{00000000-0005-0000-0000-00009D050000}"/>
    <cellStyle name="Arial 24 19" xfId="559" xr:uid="{00000000-0005-0000-0000-00009E050000}"/>
    <cellStyle name="Arial 24 2" xfId="560" xr:uid="{00000000-0005-0000-0000-00009F050000}"/>
    <cellStyle name="Arial 24 20" xfId="561" xr:uid="{00000000-0005-0000-0000-0000A0050000}"/>
    <cellStyle name="Arial 24 21" xfId="562" xr:uid="{00000000-0005-0000-0000-0000A1050000}"/>
    <cellStyle name="Arial 24 22" xfId="563" xr:uid="{00000000-0005-0000-0000-0000A2050000}"/>
    <cellStyle name="Arial 24 23" xfId="564" xr:uid="{00000000-0005-0000-0000-0000A3050000}"/>
    <cellStyle name="Arial 24 24" xfId="565" xr:uid="{00000000-0005-0000-0000-0000A4050000}"/>
    <cellStyle name="Arial 24 25" xfId="566" xr:uid="{00000000-0005-0000-0000-0000A5050000}"/>
    <cellStyle name="Arial 24 26" xfId="567" xr:uid="{00000000-0005-0000-0000-0000A6050000}"/>
    <cellStyle name="Arial 24 27" xfId="568" xr:uid="{00000000-0005-0000-0000-0000A7050000}"/>
    <cellStyle name="Arial 24 28" xfId="569" xr:uid="{00000000-0005-0000-0000-0000A8050000}"/>
    <cellStyle name="Arial 24 29" xfId="570" xr:uid="{00000000-0005-0000-0000-0000A9050000}"/>
    <cellStyle name="Arial 24 3" xfId="571" xr:uid="{00000000-0005-0000-0000-0000AA050000}"/>
    <cellStyle name="Arial 24 30" xfId="572" xr:uid="{00000000-0005-0000-0000-0000AB050000}"/>
    <cellStyle name="Arial 24 31" xfId="573" xr:uid="{00000000-0005-0000-0000-0000AC050000}"/>
    <cellStyle name="Arial 24 32" xfId="574" xr:uid="{00000000-0005-0000-0000-0000AD050000}"/>
    <cellStyle name="Arial 24 33" xfId="575" xr:uid="{00000000-0005-0000-0000-0000AE050000}"/>
    <cellStyle name="Arial 24 34" xfId="576" xr:uid="{00000000-0005-0000-0000-0000AF050000}"/>
    <cellStyle name="Arial 24 35" xfId="577" xr:uid="{00000000-0005-0000-0000-0000B0050000}"/>
    <cellStyle name="Arial 24 36" xfId="578" xr:uid="{00000000-0005-0000-0000-0000B1050000}"/>
    <cellStyle name="Arial 24 37" xfId="579" xr:uid="{00000000-0005-0000-0000-0000B2050000}"/>
    <cellStyle name="Arial 24 38" xfId="580" xr:uid="{00000000-0005-0000-0000-0000B3050000}"/>
    <cellStyle name="Arial 24 39" xfId="581" xr:uid="{00000000-0005-0000-0000-0000B4050000}"/>
    <cellStyle name="Arial 24 4" xfId="582" xr:uid="{00000000-0005-0000-0000-0000B5050000}"/>
    <cellStyle name="Arial 24 40" xfId="583" xr:uid="{00000000-0005-0000-0000-0000B6050000}"/>
    <cellStyle name="Arial 24 5" xfId="584" xr:uid="{00000000-0005-0000-0000-0000B7050000}"/>
    <cellStyle name="Arial 24 6" xfId="585" xr:uid="{00000000-0005-0000-0000-0000B8050000}"/>
    <cellStyle name="Arial 24 7" xfId="586" xr:uid="{00000000-0005-0000-0000-0000B9050000}"/>
    <cellStyle name="Arial 24 8" xfId="587" xr:uid="{00000000-0005-0000-0000-0000BA050000}"/>
    <cellStyle name="Arial 24 9" xfId="588" xr:uid="{00000000-0005-0000-0000-0000BB050000}"/>
    <cellStyle name="Azul&amp;Vermelho" xfId="589" xr:uid="{00000000-0005-0000-0000-0000BC050000}"/>
    <cellStyle name="Azul&amp;Vermelho 10" xfId="590" xr:uid="{00000000-0005-0000-0000-0000BD050000}"/>
    <cellStyle name="Azul&amp;Vermelho 11" xfId="591" xr:uid="{00000000-0005-0000-0000-0000BE050000}"/>
    <cellStyle name="Azul&amp;Vermelho 12" xfId="592" xr:uid="{00000000-0005-0000-0000-0000BF050000}"/>
    <cellStyle name="Azul&amp;Vermelho 13" xfId="593" xr:uid="{00000000-0005-0000-0000-0000C0050000}"/>
    <cellStyle name="Azul&amp;Vermelho 14" xfId="594" xr:uid="{00000000-0005-0000-0000-0000C1050000}"/>
    <cellStyle name="Azul&amp;Vermelho 15" xfId="595" xr:uid="{00000000-0005-0000-0000-0000C2050000}"/>
    <cellStyle name="Azul&amp;Vermelho 16" xfId="596" xr:uid="{00000000-0005-0000-0000-0000C3050000}"/>
    <cellStyle name="Azul&amp;Vermelho 17" xfId="597" xr:uid="{00000000-0005-0000-0000-0000C4050000}"/>
    <cellStyle name="Azul&amp;Vermelho 18" xfId="598" xr:uid="{00000000-0005-0000-0000-0000C5050000}"/>
    <cellStyle name="Azul&amp;Vermelho 19" xfId="599" xr:uid="{00000000-0005-0000-0000-0000C6050000}"/>
    <cellStyle name="Azul&amp;Vermelho 2" xfId="600" xr:uid="{00000000-0005-0000-0000-0000C7050000}"/>
    <cellStyle name="Azul&amp;Vermelho 2 2" xfId="601" xr:uid="{00000000-0005-0000-0000-0000C8050000}"/>
    <cellStyle name="Azul&amp;Vermelho 20" xfId="602" xr:uid="{00000000-0005-0000-0000-0000C9050000}"/>
    <cellStyle name="Azul&amp;Vermelho 21" xfId="603" xr:uid="{00000000-0005-0000-0000-0000CA050000}"/>
    <cellStyle name="Azul&amp;Vermelho 22" xfId="604" xr:uid="{00000000-0005-0000-0000-0000CB050000}"/>
    <cellStyle name="Azul&amp;Vermelho 23" xfId="605" xr:uid="{00000000-0005-0000-0000-0000CC050000}"/>
    <cellStyle name="Azul&amp;Vermelho 24" xfId="606" xr:uid="{00000000-0005-0000-0000-0000CD050000}"/>
    <cellStyle name="Azul&amp;Vermelho 25" xfId="607" xr:uid="{00000000-0005-0000-0000-0000CE050000}"/>
    <cellStyle name="Azul&amp;Vermelho 26" xfId="608" xr:uid="{00000000-0005-0000-0000-0000CF050000}"/>
    <cellStyle name="Azul&amp;Vermelho 27" xfId="609" xr:uid="{00000000-0005-0000-0000-0000D0050000}"/>
    <cellStyle name="Azul&amp;Vermelho 28" xfId="610" xr:uid="{00000000-0005-0000-0000-0000D1050000}"/>
    <cellStyle name="Azul&amp;Vermelho 29" xfId="611" xr:uid="{00000000-0005-0000-0000-0000D2050000}"/>
    <cellStyle name="Azul&amp;Vermelho 3" xfId="612" xr:uid="{00000000-0005-0000-0000-0000D3050000}"/>
    <cellStyle name="Azul&amp;Vermelho 3 2" xfId="613" xr:uid="{00000000-0005-0000-0000-0000D4050000}"/>
    <cellStyle name="Azul&amp;Vermelho 30" xfId="614" xr:uid="{00000000-0005-0000-0000-0000D5050000}"/>
    <cellStyle name="Azul&amp;Vermelho 31" xfId="615" xr:uid="{00000000-0005-0000-0000-0000D6050000}"/>
    <cellStyle name="Azul&amp;Vermelho 32" xfId="616" xr:uid="{00000000-0005-0000-0000-0000D7050000}"/>
    <cellStyle name="Azul&amp;Vermelho 33" xfId="617" xr:uid="{00000000-0005-0000-0000-0000D8050000}"/>
    <cellStyle name="Azul&amp;Vermelho 34" xfId="618" xr:uid="{00000000-0005-0000-0000-0000D9050000}"/>
    <cellStyle name="Azul&amp;Vermelho 35" xfId="619" xr:uid="{00000000-0005-0000-0000-0000DA050000}"/>
    <cellStyle name="Azul&amp;Vermelho 36" xfId="620" xr:uid="{00000000-0005-0000-0000-0000DB050000}"/>
    <cellStyle name="Azul&amp;Vermelho 37" xfId="621" xr:uid="{00000000-0005-0000-0000-0000DC050000}"/>
    <cellStyle name="Azul&amp;Vermelho 38" xfId="622" xr:uid="{00000000-0005-0000-0000-0000DD050000}"/>
    <cellStyle name="Azul&amp;Vermelho 39" xfId="623" xr:uid="{00000000-0005-0000-0000-0000DE050000}"/>
    <cellStyle name="Azul&amp;Vermelho 4" xfId="624" xr:uid="{00000000-0005-0000-0000-0000DF050000}"/>
    <cellStyle name="Azul&amp;Vermelho 4 2" xfId="625" xr:uid="{00000000-0005-0000-0000-0000E0050000}"/>
    <cellStyle name="Azul&amp;Vermelho 40" xfId="626" xr:uid="{00000000-0005-0000-0000-0000E1050000}"/>
    <cellStyle name="Azul&amp;Vermelho 41" xfId="627" xr:uid="{00000000-0005-0000-0000-0000E2050000}"/>
    <cellStyle name="Azul&amp;Vermelho 5" xfId="628" xr:uid="{00000000-0005-0000-0000-0000E3050000}"/>
    <cellStyle name="Azul&amp;Vermelho 6" xfId="629" xr:uid="{00000000-0005-0000-0000-0000E4050000}"/>
    <cellStyle name="Azul&amp;Vermelho 7" xfId="630" xr:uid="{00000000-0005-0000-0000-0000E5050000}"/>
    <cellStyle name="Azul&amp;Vermelho 8" xfId="631" xr:uid="{00000000-0005-0000-0000-0000E6050000}"/>
    <cellStyle name="Azul&amp;Vermelho 9" xfId="632" xr:uid="{00000000-0005-0000-0000-0000E7050000}"/>
    <cellStyle name="Bad 2" xfId="4917" xr:uid="{00000000-0005-0000-0000-0000E8050000}"/>
    <cellStyle name="Black Text" xfId="4962" xr:uid="{00000000-0005-0000-0000-0000E9050000}"/>
    <cellStyle name="Black Text (No Wrap)" xfId="4963" xr:uid="{00000000-0005-0000-0000-0000EA050000}"/>
    <cellStyle name="Black Text (No Wrap) 2" xfId="16104" xr:uid="{51796B3A-7EA8-40A7-A301-49EBA4C0AD82}"/>
    <cellStyle name="Blue Text" xfId="4964" xr:uid="{00000000-0005-0000-0000-0000EB050000}"/>
    <cellStyle name="Blue Text - Ariel 10" xfId="4965" xr:uid="{00000000-0005-0000-0000-0000EC050000}"/>
    <cellStyle name="Blue Text - Ariel 10 2" xfId="16105" xr:uid="{3A017ECA-8FF4-4929-B417-77C067B225C8}"/>
    <cellStyle name="Body" xfId="4966" xr:uid="{00000000-0005-0000-0000-0000ED050000}"/>
    <cellStyle name="Bold/Border" xfId="633" xr:uid="{00000000-0005-0000-0000-0000EE050000}"/>
    <cellStyle name="Bold/Border 2" xfId="634" xr:uid="{00000000-0005-0000-0000-0000EF050000}"/>
    <cellStyle name="Bold/Border 2 2" xfId="7419" xr:uid="{00000000-0005-0000-0000-0000F0050000}"/>
    <cellStyle name="Bold/Border 3" xfId="7418" xr:uid="{00000000-0005-0000-0000-0000F1050000}"/>
    <cellStyle name="bolet" xfId="4967" xr:uid="{00000000-0005-0000-0000-0000F2050000}"/>
    <cellStyle name="Bom" xfId="56" xr:uid="{00000000-0005-0000-0000-0000F3050000}"/>
    <cellStyle name="Bom 10" xfId="5514" xr:uid="{00000000-0005-0000-0000-0000F4050000}"/>
    <cellStyle name="Bom 11" xfId="5575" xr:uid="{00000000-0005-0000-0000-0000F5050000}"/>
    <cellStyle name="Bom 12" xfId="5504" xr:uid="{00000000-0005-0000-0000-0000F6050000}"/>
    <cellStyle name="Bom 13" xfId="5587" xr:uid="{00000000-0005-0000-0000-0000F7050000}"/>
    <cellStyle name="Bom 14" xfId="5481" xr:uid="{00000000-0005-0000-0000-0000F8050000}"/>
    <cellStyle name="Bom 15" xfId="5703" xr:uid="{00000000-0005-0000-0000-0000F9050000}"/>
    <cellStyle name="Bom 16" xfId="5731" xr:uid="{00000000-0005-0000-0000-0000FA050000}"/>
    <cellStyle name="Bom 17" xfId="5773" xr:uid="{00000000-0005-0000-0000-0000FB050000}"/>
    <cellStyle name="Bom 2" xfId="4968" xr:uid="{00000000-0005-0000-0000-0000FC050000}"/>
    <cellStyle name="Bom 2 2" xfId="6459" xr:uid="{00000000-0005-0000-0000-0000FD050000}"/>
    <cellStyle name="Bom 2 2 2" xfId="6460" xr:uid="{00000000-0005-0000-0000-0000FE050000}"/>
    <cellStyle name="Bom 2 2 2 2" xfId="6461" xr:uid="{00000000-0005-0000-0000-0000FF050000}"/>
    <cellStyle name="Bom 2 2 2 2 2" xfId="6462" xr:uid="{00000000-0005-0000-0000-000000060000}"/>
    <cellStyle name="Bom 2 2 2 2 2 2" xfId="6463" xr:uid="{00000000-0005-0000-0000-000001060000}"/>
    <cellStyle name="Bom 2 2 2 2 2 2 2" xfId="6464" xr:uid="{00000000-0005-0000-0000-000002060000}"/>
    <cellStyle name="Bom 2 2 2 2 2 2 2 2" xfId="6465" xr:uid="{00000000-0005-0000-0000-000003060000}"/>
    <cellStyle name="Bom 2 2 2 2 2 2 3" xfId="6466" xr:uid="{00000000-0005-0000-0000-000004060000}"/>
    <cellStyle name="Bom 2 2 2 2 2 3" xfId="6467" xr:uid="{00000000-0005-0000-0000-000005060000}"/>
    <cellStyle name="Bom 2 2 2 2 2 3 2" xfId="6468" xr:uid="{00000000-0005-0000-0000-000006060000}"/>
    <cellStyle name="Bom 2 2 2 2 3" xfId="6469" xr:uid="{00000000-0005-0000-0000-000007060000}"/>
    <cellStyle name="Bom 2 2 2 2 3 2" xfId="6470" xr:uid="{00000000-0005-0000-0000-000008060000}"/>
    <cellStyle name="Bom 2 2 2 3" xfId="6471" xr:uid="{00000000-0005-0000-0000-000009060000}"/>
    <cellStyle name="Bom 2 2 2 4" xfId="6472" xr:uid="{00000000-0005-0000-0000-00000A060000}"/>
    <cellStyle name="Bom 2 2 2 4 2" xfId="6473" xr:uid="{00000000-0005-0000-0000-00000B060000}"/>
    <cellStyle name="Bom 2 2 3" xfId="6474" xr:uid="{00000000-0005-0000-0000-00000C060000}"/>
    <cellStyle name="Bom 2 2 4" xfId="6475" xr:uid="{00000000-0005-0000-0000-00000D060000}"/>
    <cellStyle name="Bom 2 2 4 2" xfId="6476" xr:uid="{00000000-0005-0000-0000-00000E060000}"/>
    <cellStyle name="Bom 2 3" xfId="6477" xr:uid="{00000000-0005-0000-0000-00000F060000}"/>
    <cellStyle name="Bom 2 4" xfId="6478" xr:uid="{00000000-0005-0000-0000-000010060000}"/>
    <cellStyle name="Bom 2 5" xfId="6479" xr:uid="{00000000-0005-0000-0000-000011060000}"/>
    <cellStyle name="Bom 2 6" xfId="6480" xr:uid="{00000000-0005-0000-0000-000012060000}"/>
    <cellStyle name="Bom 2 6 2" xfId="6481" xr:uid="{00000000-0005-0000-0000-000013060000}"/>
    <cellStyle name="Bom 2 7" xfId="6458" xr:uid="{00000000-0005-0000-0000-000014060000}"/>
    <cellStyle name="Bom 3" xfId="5231" xr:uid="{00000000-0005-0000-0000-000015060000}"/>
    <cellStyle name="Bom 3 2" xfId="6483" xr:uid="{00000000-0005-0000-0000-000016060000}"/>
    <cellStyle name="Bom 3 3" xfId="6484" xr:uid="{00000000-0005-0000-0000-000017060000}"/>
    <cellStyle name="Bom 3 4" xfId="6485" xr:uid="{00000000-0005-0000-0000-000018060000}"/>
    <cellStyle name="Bom 3 5" xfId="6482" xr:uid="{00000000-0005-0000-0000-000019060000}"/>
    <cellStyle name="Bom 4" xfId="5310" xr:uid="{00000000-0005-0000-0000-00001A060000}"/>
    <cellStyle name="Bom 4 2" xfId="6487" xr:uid="{00000000-0005-0000-0000-00001B060000}"/>
    <cellStyle name="Bom 4 3" xfId="6488" xr:uid="{00000000-0005-0000-0000-00001C060000}"/>
    <cellStyle name="Bom 4 4" xfId="6486" xr:uid="{00000000-0005-0000-0000-00001D060000}"/>
    <cellStyle name="Bom 5" xfId="5221" xr:uid="{00000000-0005-0000-0000-00001E060000}"/>
    <cellStyle name="Bom 5 2" xfId="6490" xr:uid="{00000000-0005-0000-0000-00001F060000}"/>
    <cellStyle name="Bom 5 3" xfId="6489" xr:uid="{00000000-0005-0000-0000-000020060000}"/>
    <cellStyle name="Bom 6" xfId="5321" xr:uid="{00000000-0005-0000-0000-000021060000}"/>
    <cellStyle name="Bom 6 2" xfId="6492" xr:uid="{00000000-0005-0000-0000-000022060000}"/>
    <cellStyle name="Bom 6 3" xfId="7340" xr:uid="{00000000-0005-0000-0000-000023060000}"/>
    <cellStyle name="Bom 6 4" xfId="6491" xr:uid="{00000000-0005-0000-0000-000024060000}"/>
    <cellStyle name="Bom 7" xfId="5198" xr:uid="{00000000-0005-0000-0000-000025060000}"/>
    <cellStyle name="Bom 7 2" xfId="7341" xr:uid="{00000000-0005-0000-0000-000026060000}"/>
    <cellStyle name="Bom 7 3" xfId="6493" xr:uid="{00000000-0005-0000-0000-000027060000}"/>
    <cellStyle name="Bom 8" xfId="5351" xr:uid="{00000000-0005-0000-0000-000028060000}"/>
    <cellStyle name="Bom 9" xfId="5380" xr:uid="{00000000-0005-0000-0000-000029060000}"/>
    <cellStyle name="BORDA" xfId="635" xr:uid="{00000000-0005-0000-0000-00002A060000}"/>
    <cellStyle name="BORDA 10" xfId="636" xr:uid="{00000000-0005-0000-0000-00002B060000}"/>
    <cellStyle name="BORDA 11" xfId="637" xr:uid="{00000000-0005-0000-0000-00002C060000}"/>
    <cellStyle name="BORDA 12" xfId="638" xr:uid="{00000000-0005-0000-0000-00002D060000}"/>
    <cellStyle name="BORDA 13" xfId="639" xr:uid="{00000000-0005-0000-0000-00002E060000}"/>
    <cellStyle name="BORDA 14" xfId="640" xr:uid="{00000000-0005-0000-0000-00002F060000}"/>
    <cellStyle name="BORDA 15" xfId="641" xr:uid="{00000000-0005-0000-0000-000030060000}"/>
    <cellStyle name="BORDA 16" xfId="642" xr:uid="{00000000-0005-0000-0000-000031060000}"/>
    <cellStyle name="BORDA 17" xfId="643" xr:uid="{00000000-0005-0000-0000-000032060000}"/>
    <cellStyle name="BORDA 18" xfId="644" xr:uid="{00000000-0005-0000-0000-000033060000}"/>
    <cellStyle name="BORDA 19" xfId="645" xr:uid="{00000000-0005-0000-0000-000034060000}"/>
    <cellStyle name="BORDA 2" xfId="646" xr:uid="{00000000-0005-0000-0000-000035060000}"/>
    <cellStyle name="BORDA 20" xfId="647" xr:uid="{00000000-0005-0000-0000-000036060000}"/>
    <cellStyle name="BORDA 21" xfId="648" xr:uid="{00000000-0005-0000-0000-000037060000}"/>
    <cellStyle name="BORDA 22" xfId="649" xr:uid="{00000000-0005-0000-0000-000038060000}"/>
    <cellStyle name="BORDA 23" xfId="650" xr:uid="{00000000-0005-0000-0000-000039060000}"/>
    <cellStyle name="BORDA 24" xfId="651" xr:uid="{00000000-0005-0000-0000-00003A060000}"/>
    <cellStyle name="BORDA 25" xfId="652" xr:uid="{00000000-0005-0000-0000-00003B060000}"/>
    <cellStyle name="BORDA 26" xfId="653" xr:uid="{00000000-0005-0000-0000-00003C060000}"/>
    <cellStyle name="BORDA 27" xfId="654" xr:uid="{00000000-0005-0000-0000-00003D060000}"/>
    <cellStyle name="BORDA 28" xfId="655" xr:uid="{00000000-0005-0000-0000-00003E060000}"/>
    <cellStyle name="BORDA 29" xfId="656" xr:uid="{00000000-0005-0000-0000-00003F060000}"/>
    <cellStyle name="BORDA 3" xfId="657" xr:uid="{00000000-0005-0000-0000-000040060000}"/>
    <cellStyle name="BORDA 30" xfId="658" xr:uid="{00000000-0005-0000-0000-000041060000}"/>
    <cellStyle name="BORDA 31" xfId="659" xr:uid="{00000000-0005-0000-0000-000042060000}"/>
    <cellStyle name="BORDA 32" xfId="660" xr:uid="{00000000-0005-0000-0000-000043060000}"/>
    <cellStyle name="BORDA 33" xfId="661" xr:uid="{00000000-0005-0000-0000-000044060000}"/>
    <cellStyle name="BORDA 34" xfId="662" xr:uid="{00000000-0005-0000-0000-000045060000}"/>
    <cellStyle name="BORDA 35" xfId="663" xr:uid="{00000000-0005-0000-0000-000046060000}"/>
    <cellStyle name="BORDA 36" xfId="664" xr:uid="{00000000-0005-0000-0000-000047060000}"/>
    <cellStyle name="BORDA 37" xfId="665" xr:uid="{00000000-0005-0000-0000-000048060000}"/>
    <cellStyle name="BORDA 38" xfId="666" xr:uid="{00000000-0005-0000-0000-000049060000}"/>
    <cellStyle name="BORDA 39" xfId="667" xr:uid="{00000000-0005-0000-0000-00004A060000}"/>
    <cellStyle name="BORDA 4" xfId="668" xr:uid="{00000000-0005-0000-0000-00004B060000}"/>
    <cellStyle name="BORDA 40" xfId="669" xr:uid="{00000000-0005-0000-0000-00004C060000}"/>
    <cellStyle name="BORDA 5" xfId="670" xr:uid="{00000000-0005-0000-0000-00004D060000}"/>
    <cellStyle name="BORDA 6" xfId="671" xr:uid="{00000000-0005-0000-0000-00004E060000}"/>
    <cellStyle name="BORDA 7" xfId="672" xr:uid="{00000000-0005-0000-0000-00004F060000}"/>
    <cellStyle name="BORDA 8" xfId="673" xr:uid="{00000000-0005-0000-0000-000050060000}"/>
    <cellStyle name="BORDA 9" xfId="674" xr:uid="{00000000-0005-0000-0000-000051060000}"/>
    <cellStyle name="Border" xfId="4969" xr:uid="{00000000-0005-0000-0000-000052060000}"/>
    <cellStyle name="Border 2" xfId="13933" xr:uid="{93BFDB71-A354-4D4F-8CDD-87D39715F661}"/>
    <cellStyle name="Border 3" xfId="22612" xr:uid="{40B7BF77-022A-428D-93B6-C003C00B0C00}"/>
    <cellStyle name="Border Heavy" xfId="675" xr:uid="{00000000-0005-0000-0000-000053060000}"/>
    <cellStyle name="Border Heavy 2" xfId="676" xr:uid="{00000000-0005-0000-0000-000054060000}"/>
    <cellStyle name="Brand Align Left Text" xfId="677" xr:uid="{00000000-0005-0000-0000-000055060000}"/>
    <cellStyle name="Brand Default" xfId="678" xr:uid="{00000000-0005-0000-0000-000056060000}"/>
    <cellStyle name="Brand Percent" xfId="679" xr:uid="{00000000-0005-0000-0000-000057060000}"/>
    <cellStyle name="Brand Source" xfId="680" xr:uid="{00000000-0005-0000-0000-000058060000}"/>
    <cellStyle name="Brand Subtitle with Underline" xfId="681" xr:uid="{00000000-0005-0000-0000-000059060000}"/>
    <cellStyle name="Brand Subtitle with Underline 2" xfId="682" xr:uid="{00000000-0005-0000-0000-00005A060000}"/>
    <cellStyle name="Brand Subtitle with Underline 3" xfId="683" xr:uid="{00000000-0005-0000-0000-00005B060000}"/>
    <cellStyle name="Brand Subtitle with Underline 4" xfId="684" xr:uid="{00000000-0005-0000-0000-00005C060000}"/>
    <cellStyle name="Brand Subtitle with Underline 5" xfId="685" xr:uid="{00000000-0005-0000-0000-00005D060000}"/>
    <cellStyle name="Brand Subtitle without Underline" xfId="686" xr:uid="{00000000-0005-0000-0000-00005E060000}"/>
    <cellStyle name="Brand Title" xfId="687" xr:uid="{00000000-0005-0000-0000-00005F060000}"/>
    <cellStyle name="Buena" xfId="688" xr:uid="{00000000-0005-0000-0000-000060060000}"/>
    <cellStyle name="Bullet" xfId="689" xr:uid="{00000000-0005-0000-0000-000061060000}"/>
    <cellStyle name="Ç¥ÁØ_P&amp;L Hyperion" xfId="4970" xr:uid="{00000000-0005-0000-0000-000062060000}"/>
    <cellStyle name="CabRo - Estilo1" xfId="690" xr:uid="{00000000-0005-0000-0000-000063060000}"/>
    <cellStyle name="Calc Currency (0)" xfId="691" xr:uid="{00000000-0005-0000-0000-000064060000}"/>
    <cellStyle name="Calc Currency (0) 2" xfId="4971" xr:uid="{00000000-0005-0000-0000-000065060000}"/>
    <cellStyle name="Calc Currency (2)" xfId="4972" xr:uid="{00000000-0005-0000-0000-000066060000}"/>
    <cellStyle name="Calc Percent (0)" xfId="4973" xr:uid="{00000000-0005-0000-0000-000067060000}"/>
    <cellStyle name="Calc Percent (1)" xfId="4974" xr:uid="{00000000-0005-0000-0000-000068060000}"/>
    <cellStyle name="Calc Percent (2)" xfId="4975" xr:uid="{00000000-0005-0000-0000-000069060000}"/>
    <cellStyle name="Calc Units (0)" xfId="4976" xr:uid="{00000000-0005-0000-0000-00006A060000}"/>
    <cellStyle name="Calc Units (1)" xfId="4977" xr:uid="{00000000-0005-0000-0000-00006B060000}"/>
    <cellStyle name="Calc Units (2)" xfId="4978" xr:uid="{00000000-0005-0000-0000-00006C060000}"/>
    <cellStyle name="Calculation 10" xfId="22610" xr:uid="{C164BD3D-9D4D-4076-B3D9-C0B948743B11}"/>
    <cellStyle name="Calculation 2" xfId="692" xr:uid="{00000000-0005-0000-0000-00006D060000}"/>
    <cellStyle name="Calculation 2 2" xfId="693" xr:uid="{00000000-0005-0000-0000-00006E060000}"/>
    <cellStyle name="Calculation 2 2 2" xfId="10505" xr:uid="{00000000-0005-0000-0000-00006F060000}"/>
    <cellStyle name="Calculation 2 2 2 2" xfId="19288" xr:uid="{5E7F6AEB-F7C6-4E5F-A864-D237B23A76AE}"/>
    <cellStyle name="Calculation 2 2 3" xfId="14850" xr:uid="{6EA7D7A5-81F2-44D2-BC0B-EE0CC0806692}"/>
    <cellStyle name="Calculation 2 3" xfId="694" xr:uid="{00000000-0005-0000-0000-000070060000}"/>
    <cellStyle name="Calculation 2 3 2" xfId="10506" xr:uid="{00000000-0005-0000-0000-000071060000}"/>
    <cellStyle name="Calculation 2 3 2 2" xfId="19289" xr:uid="{4D50CA19-2F40-4326-A11A-9FE812D15621}"/>
    <cellStyle name="Calculation 2 3 3" xfId="13935" xr:uid="{2D9AAC35-0186-42F6-8360-D2E9D8BB4794}"/>
    <cellStyle name="Calculation 2 4" xfId="10504" xr:uid="{00000000-0005-0000-0000-000072060000}"/>
    <cellStyle name="Calculation 2 4 2" xfId="19287" xr:uid="{9657E9EB-7414-481A-BD41-009D95A9F3C8}"/>
    <cellStyle name="Calculation 2 5" xfId="13934" xr:uid="{359668F0-802D-45C3-AFA1-B73BFBFE34ED}"/>
    <cellStyle name="Calculation 3" xfId="695" xr:uid="{00000000-0005-0000-0000-000073060000}"/>
    <cellStyle name="Calculation 3 2" xfId="696" xr:uid="{00000000-0005-0000-0000-000074060000}"/>
    <cellStyle name="Calculation 3 2 2" xfId="10508" xr:uid="{00000000-0005-0000-0000-000075060000}"/>
    <cellStyle name="Calculation 3 2 2 2" xfId="19291" xr:uid="{0AD09791-6840-4373-9B2D-FEBCFBB8EF9C}"/>
    <cellStyle name="Calculation 3 2 3" xfId="14865" xr:uid="{1D5424B6-6C40-4D66-9733-A83E88BBFCF6}"/>
    <cellStyle name="Calculation 3 3" xfId="697" xr:uid="{00000000-0005-0000-0000-000076060000}"/>
    <cellStyle name="Calculation 3 3 2" xfId="10509" xr:uid="{00000000-0005-0000-0000-000077060000}"/>
    <cellStyle name="Calculation 3 3 2 2" xfId="19292" xr:uid="{23602EAC-B376-4B98-AA6D-DBE18DB6F346}"/>
    <cellStyle name="Calculation 3 3 3" xfId="14254" xr:uid="{A676E05B-932F-4707-BB15-89D6AF776D7C}"/>
    <cellStyle name="Calculation 3 4" xfId="10507" xr:uid="{00000000-0005-0000-0000-000078060000}"/>
    <cellStyle name="Calculation 3 4 2" xfId="19290" xr:uid="{A35E4EC2-B0BB-4EB0-B3C0-692DC18A8900}"/>
    <cellStyle name="Calculation 3 5" xfId="13966" xr:uid="{14D460CA-ADDA-43C3-9B9C-107B00C71787}"/>
    <cellStyle name="Calculation 4" xfId="698" xr:uid="{00000000-0005-0000-0000-000079060000}"/>
    <cellStyle name="Calculation 4 2" xfId="10510" xr:uid="{00000000-0005-0000-0000-00007A060000}"/>
    <cellStyle name="Calculation 4 2 2" xfId="19293" xr:uid="{A462069C-B2DF-467F-99F8-F0970B744C08}"/>
    <cellStyle name="Calculation 4 3" xfId="13956" xr:uid="{BE688B83-4E61-48B3-8357-2694B8DF783D}"/>
    <cellStyle name="Calculation 5" xfId="699" xr:uid="{00000000-0005-0000-0000-00007B060000}"/>
    <cellStyle name="Calculation 5 2" xfId="10511" xr:uid="{00000000-0005-0000-0000-00007C060000}"/>
    <cellStyle name="Calculation 5 2 2" xfId="19294" xr:uid="{15AC45BF-E4EA-48C3-8F47-9152A0FFD462}"/>
    <cellStyle name="Calculation 5 3" xfId="13994" xr:uid="{DEB36E5D-575C-4427-9CAA-295F8E8B5FB3}"/>
    <cellStyle name="Calculation 6" xfId="700" xr:uid="{00000000-0005-0000-0000-00007D060000}"/>
    <cellStyle name="Calculation 6 2" xfId="10512" xr:uid="{00000000-0005-0000-0000-00007E060000}"/>
    <cellStyle name="Calculation 6 2 2" xfId="19295" xr:uid="{27377B4D-7571-4C96-9244-CCD5F1C4748E}"/>
    <cellStyle name="Calculation 6 3" xfId="14604" xr:uid="{A49ACAA6-0D1D-4A27-8648-65CCB9659514}"/>
    <cellStyle name="Calculation 7" xfId="701" xr:uid="{00000000-0005-0000-0000-00007F060000}"/>
    <cellStyle name="Calculation 7 2" xfId="10513" xr:uid="{00000000-0005-0000-0000-000080060000}"/>
    <cellStyle name="Calculation 7 2 2" xfId="19296" xr:uid="{51D6D27C-BEE4-4D09-8A3C-93E65AE53203}"/>
    <cellStyle name="Calculation 7 3" xfId="14553" xr:uid="{A2B0056E-9DC6-4726-A8FD-938411F6A699}"/>
    <cellStyle name="Calculation 8" xfId="10503" xr:uid="{00000000-0005-0000-0000-000081060000}"/>
    <cellStyle name="Calculation 8 2" xfId="19286" xr:uid="{78CA21E3-FD13-40B1-A4B1-D09A8DBDF8C0}"/>
    <cellStyle name="Calculation 9" xfId="57" xr:uid="{00000000-0005-0000-0000-000082060000}"/>
    <cellStyle name="Cálculo" xfId="58" xr:uid="{00000000-0005-0000-0000-000083060000}"/>
    <cellStyle name="Cálculo 10" xfId="5516" xr:uid="{00000000-0005-0000-0000-000084060000}"/>
    <cellStyle name="Cálculo 10 2" xfId="14103" xr:uid="{33EEAB5C-765B-4A97-AF8C-A0F061B4B674}"/>
    <cellStyle name="Cálculo 10 3" xfId="22588" xr:uid="{6120594A-C6CA-443B-B89B-4DE83686F19D}"/>
    <cellStyle name="Cálculo 11" xfId="5574" xr:uid="{00000000-0005-0000-0000-000085060000}"/>
    <cellStyle name="Cálculo 11 2" xfId="14123" xr:uid="{6E195406-1EAF-4EF2-96E1-80802B8BE15B}"/>
    <cellStyle name="Cálculo 11 3" xfId="16103" xr:uid="{9448D4D2-7A56-42B6-8F7F-8E281AC671DC}"/>
    <cellStyle name="Cálculo 12" xfId="5511" xr:uid="{00000000-0005-0000-0000-000086060000}"/>
    <cellStyle name="Cálculo 12 2" xfId="14101" xr:uid="{E2EDB0D6-7612-45E8-B2CE-E0CC690B2449}"/>
    <cellStyle name="Cálculo 12 3" xfId="22590" xr:uid="{2568C2A3-0EB2-435F-AEB0-E37732DB6CD1}"/>
    <cellStyle name="Cálculo 13" xfId="5580" xr:uid="{00000000-0005-0000-0000-000087060000}"/>
    <cellStyle name="Cálculo 13 2" xfId="14126" xr:uid="{80E16A8B-1C28-45E1-8A4F-D8E48A2289B2}"/>
    <cellStyle name="Cálculo 13 3" xfId="16130" xr:uid="{BCDB67CF-2CD9-4786-B356-4A37A3FC3B01}"/>
    <cellStyle name="Cálculo 14" xfId="5494" xr:uid="{00000000-0005-0000-0000-000088060000}"/>
    <cellStyle name="Cálculo 14 2" xfId="14096" xr:uid="{96394E44-78E8-491C-8AD7-ACBE9DEC170B}"/>
    <cellStyle name="Cálculo 14 3" xfId="22592" xr:uid="{5C055426-63E4-4D8D-8092-C853B7A51BA2}"/>
    <cellStyle name="Cálculo 15" xfId="5704" xr:uid="{00000000-0005-0000-0000-000089060000}"/>
    <cellStyle name="Cálculo 15 2" xfId="14163" xr:uid="{5AFB5B58-BF7B-4E93-A2E4-8325BF3E90B4}"/>
    <cellStyle name="Cálculo 15 3" xfId="14576" xr:uid="{BAFE2889-C6DA-4AD4-A7D4-6EEC8AB1F794}"/>
    <cellStyle name="Cálculo 16" xfId="5730" xr:uid="{00000000-0005-0000-0000-00008A060000}"/>
    <cellStyle name="Cálculo 16 2" xfId="14170" xr:uid="{16F53249-BDC1-4496-BE06-4BA853724629}"/>
    <cellStyle name="Cálculo 16 3" xfId="14543" xr:uid="{20C63C98-5472-48CF-91E7-3670970D42A8}"/>
    <cellStyle name="Cálculo 17" xfId="5777" xr:uid="{00000000-0005-0000-0000-00008B060000}"/>
    <cellStyle name="Cálculo 18" xfId="10593" xr:uid="{00000000-0005-0000-0000-00008C060000}"/>
    <cellStyle name="Cálculo 18 2" xfId="19355" xr:uid="{3FE623AA-DE87-4AB8-BAEC-0CEEE850B527}"/>
    <cellStyle name="Cálculo 19" xfId="14659" xr:uid="{87DB8525-9EBC-428B-94F9-BF3BDE6C1636}"/>
    <cellStyle name="Cálculo 2" xfId="4979" xr:uid="{00000000-0005-0000-0000-00008D060000}"/>
    <cellStyle name="Cálculo 2 2" xfId="6495" xr:uid="{00000000-0005-0000-0000-00008E060000}"/>
    <cellStyle name="Cálculo 2 2 2" xfId="6496" xr:uid="{00000000-0005-0000-0000-00008F060000}"/>
    <cellStyle name="Cálculo 2 2 2 2" xfId="6497" xr:uid="{00000000-0005-0000-0000-000090060000}"/>
    <cellStyle name="Cálculo 2 2 2 2 2" xfId="6498" xr:uid="{00000000-0005-0000-0000-000091060000}"/>
    <cellStyle name="Cálculo 2 2 2 2 2 2" xfId="6499" xr:uid="{00000000-0005-0000-0000-000092060000}"/>
    <cellStyle name="Cálculo 2 2 2 2 2 2 2" xfId="6500" xr:uid="{00000000-0005-0000-0000-000093060000}"/>
    <cellStyle name="Cálculo 2 2 2 2 2 2 2 2" xfId="6501" xr:uid="{00000000-0005-0000-0000-000094060000}"/>
    <cellStyle name="Cálculo 2 2 2 2 2 2 2 2 2" xfId="14526" xr:uid="{CD1409F1-E3A7-4DF1-B9B9-3FCE20B7B28D}"/>
    <cellStyle name="Cálculo 2 2 2 2 2 2 2 2 3" xfId="22659" xr:uid="{2646A0CD-1262-445E-B506-973FB38A1854}"/>
    <cellStyle name="Cálculo 2 2 2 2 2 2 3" xfId="6502" xr:uid="{00000000-0005-0000-0000-000095060000}"/>
    <cellStyle name="Cálculo 2 2 2 2 2 2 3 2" xfId="14527" xr:uid="{E86627F3-9840-4321-984E-8365C4302BCB}"/>
    <cellStyle name="Cálculo 2 2 2 2 2 2 3 3" xfId="22631" xr:uid="{01A54ED5-88C3-4585-88ED-40FCED9E42F4}"/>
    <cellStyle name="Cálculo 2 2 2 2 2 2 4" xfId="14525" xr:uid="{6CCAEF7D-1BB7-4B77-86F1-1DB6FD1CE29D}"/>
    <cellStyle name="Cálculo 2 2 2 2 2 2 5" xfId="22630" xr:uid="{FE72C6E4-2414-4D63-8673-5FB3643E90B3}"/>
    <cellStyle name="Cálculo 2 2 2 2 2 3" xfId="6503" xr:uid="{00000000-0005-0000-0000-000096060000}"/>
    <cellStyle name="Cálculo 2 2 2 2 2 3 2" xfId="6504" xr:uid="{00000000-0005-0000-0000-000097060000}"/>
    <cellStyle name="Cálculo 2 2 2 2 2 3 3" xfId="14528" xr:uid="{E1067D4E-7B67-4330-A0D8-EC5764AB51A7}"/>
    <cellStyle name="Cálculo 2 2 2 2 2 3 4" xfId="16106" xr:uid="{B3F2D781-2AC5-48FB-A21E-188F0855ACA4}"/>
    <cellStyle name="Cálculo 2 2 2 2 3" xfId="6505" xr:uid="{00000000-0005-0000-0000-000098060000}"/>
    <cellStyle name="Cálculo 2 2 2 2 3 2" xfId="6506" xr:uid="{00000000-0005-0000-0000-000099060000}"/>
    <cellStyle name="Cálculo 2 2 2 2 3 2 2" xfId="14529" xr:uid="{634B61C1-D00D-45AB-BD63-8689C85F3951}"/>
    <cellStyle name="Cálculo 2 2 2 2 3 2 3" xfId="22658" xr:uid="{01BED315-3416-4578-873D-2494978B44DB}"/>
    <cellStyle name="Cálculo 2 2 2 2 4" xfId="14524" xr:uid="{FA394ACE-C0D7-4FF6-90B8-242BBC3BE0B3}"/>
    <cellStyle name="Cálculo 2 2 2 2 5" xfId="22673" xr:uid="{46127FC3-CBE2-462B-9F81-C7562D28B999}"/>
    <cellStyle name="Cálculo 2 2 2 3" xfId="6507" xr:uid="{00000000-0005-0000-0000-00009A060000}"/>
    <cellStyle name="Cálculo 2 2 2 3 2" xfId="14530" xr:uid="{02F1BC97-DE00-4065-A4ED-AD4DBFF0DD81}"/>
    <cellStyle name="Cálculo 2 2 2 3 3" xfId="22629" xr:uid="{A4873DA7-A8E8-44D8-B626-1096A80DD229}"/>
    <cellStyle name="Cálculo 2 2 2 4" xfId="6508" xr:uid="{00000000-0005-0000-0000-00009B060000}"/>
    <cellStyle name="Cálculo 2 2 2 4 2" xfId="6509" xr:uid="{00000000-0005-0000-0000-00009C060000}"/>
    <cellStyle name="Cálculo 2 2 2 4 3" xfId="14531" xr:uid="{419C3187-F0E6-443E-878F-1921894FD4A1}"/>
    <cellStyle name="Cálculo 2 2 2 4 4" xfId="22672" xr:uid="{EEDF5AD8-D788-4A80-98D3-1D0D7CF8232A}"/>
    <cellStyle name="Cálculo 2 2 3" xfId="6510" xr:uid="{00000000-0005-0000-0000-00009D060000}"/>
    <cellStyle name="Cálculo 2 2 4" xfId="6511" xr:uid="{00000000-0005-0000-0000-00009E060000}"/>
    <cellStyle name="Cálculo 2 2 4 2" xfId="6512" xr:uid="{00000000-0005-0000-0000-00009F060000}"/>
    <cellStyle name="Cálculo 2 2 4 2 2" xfId="14532" xr:uid="{FD3833D6-78C0-4D30-9D57-B653B978CD55}"/>
    <cellStyle name="Cálculo 2 2 4 2 3" xfId="16186" xr:uid="{9A70AC33-B719-4216-AEA7-D6CF1C6967D5}"/>
    <cellStyle name="Cálculo 2 2 5" xfId="14523" xr:uid="{011AC077-6DE3-4ED3-BB05-1F72C9465CFF}"/>
    <cellStyle name="Cálculo 2 2 6" xfId="16147" xr:uid="{C7D537F0-F509-4753-9D2A-BF3CEDAC6D71}"/>
    <cellStyle name="Cálculo 2 3" xfId="6513" xr:uid="{00000000-0005-0000-0000-0000A0060000}"/>
    <cellStyle name="Cálculo 2 3 2" xfId="14533" xr:uid="{F51C4FB4-ED4B-4567-8B20-4BE107BF403A}"/>
    <cellStyle name="Cálculo 2 3 3" xfId="22670" xr:uid="{57612DB8-E467-48C2-AF0C-713FAC5403A2}"/>
    <cellStyle name="Cálculo 2 4" xfId="6514" xr:uid="{00000000-0005-0000-0000-0000A1060000}"/>
    <cellStyle name="Cálculo 2 4 2" xfId="14534" xr:uid="{19E36898-4DA4-49B4-82D4-7A4B21A4D604}"/>
    <cellStyle name="Cálculo 2 4 3" xfId="22657" xr:uid="{AC957462-B78A-4378-97D2-6A4AD1DEB19E}"/>
    <cellStyle name="Cálculo 2 5" xfId="6515" xr:uid="{00000000-0005-0000-0000-0000A2060000}"/>
    <cellStyle name="Cálculo 2 5 2" xfId="14535" xr:uid="{AF2FF019-BFA4-4228-8E24-21596A02B984}"/>
    <cellStyle name="Cálculo 2 5 3" xfId="22628" xr:uid="{BB51A9EF-08A6-4589-AF46-B5D6285BDA22}"/>
    <cellStyle name="Cálculo 2 6" xfId="6516" xr:uid="{00000000-0005-0000-0000-0000A3060000}"/>
    <cellStyle name="Cálculo 2 6 2" xfId="6517" xr:uid="{00000000-0005-0000-0000-0000A4060000}"/>
    <cellStyle name="Cálculo 2 6 3" xfId="14536" xr:uid="{BDD61066-FAEB-4C22-A554-C2DCA0CA4005}"/>
    <cellStyle name="Cálculo 2 6 4" xfId="22671" xr:uid="{0A4CE3A0-3E37-4430-B22D-CDD15CDEFD78}"/>
    <cellStyle name="Cálculo 2 7" xfId="6494" xr:uid="{00000000-0005-0000-0000-0000A5060000}"/>
    <cellStyle name="Cálculo 2 8" xfId="13936" xr:uid="{FE21DCA8-08A1-4AB8-AAE9-891AB44182FD}"/>
    <cellStyle name="Cálculo 2 9" xfId="22609" xr:uid="{511C6702-1BFF-4499-BF19-8FEDEE13A588}"/>
    <cellStyle name="Cálculo 3" xfId="5233" xr:uid="{00000000-0005-0000-0000-0000A6060000}"/>
    <cellStyle name="Cálculo 3 2" xfId="6519" xr:uid="{00000000-0005-0000-0000-0000A7060000}"/>
    <cellStyle name="Cálculo 3 3" xfId="6520" xr:uid="{00000000-0005-0000-0000-0000A8060000}"/>
    <cellStyle name="Cálculo 3 4" xfId="6521" xr:uid="{00000000-0005-0000-0000-0000A9060000}"/>
    <cellStyle name="Cálculo 3 5" xfId="6518" xr:uid="{00000000-0005-0000-0000-0000AA060000}"/>
    <cellStyle name="Cálculo 3 6" xfId="14014" xr:uid="{8ACA7741-4CBC-4368-87CD-6D5A1124E2F6}"/>
    <cellStyle name="Cálculo 3 7" xfId="16163" xr:uid="{B60C67BC-8A2F-48EF-8AC3-E0547A08DB24}"/>
    <cellStyle name="Cálculo 4" xfId="5309" xr:uid="{00000000-0005-0000-0000-0000AB060000}"/>
    <cellStyle name="Cálculo 4 2" xfId="6523" xr:uid="{00000000-0005-0000-0000-0000AC060000}"/>
    <cellStyle name="Cálculo 4 3" xfId="6524" xr:uid="{00000000-0005-0000-0000-0000AD060000}"/>
    <cellStyle name="Cálculo 4 4" xfId="6522" xr:uid="{00000000-0005-0000-0000-0000AE060000}"/>
    <cellStyle name="Cálculo 4 5" xfId="14034" xr:uid="{27540221-C6E8-481A-A700-413AA21B9C33}"/>
    <cellStyle name="Cálculo 4 6" xfId="16170" xr:uid="{EF50DAC2-2B5E-44C9-BE30-B0E1F82073FF}"/>
    <cellStyle name="Cálculo 5" xfId="5228" xr:uid="{00000000-0005-0000-0000-0000AF060000}"/>
    <cellStyle name="Cálculo 5 2" xfId="6526" xr:uid="{00000000-0005-0000-0000-0000B0060000}"/>
    <cellStyle name="Cálculo 5 3" xfId="6525" xr:uid="{00000000-0005-0000-0000-0000B1060000}"/>
    <cellStyle name="Cálculo 5 4" xfId="14012" xr:uid="{C719B686-8AAA-450F-B7C9-1FDFE8D825C9}"/>
    <cellStyle name="Cálculo 5 5" xfId="22585" xr:uid="{2EC207F0-FE17-4683-9D5A-BD9CA582AD51}"/>
    <cellStyle name="Cálculo 6" xfId="5314" xr:uid="{00000000-0005-0000-0000-0000B2060000}"/>
    <cellStyle name="Cálculo 6 2" xfId="6528" xr:uid="{00000000-0005-0000-0000-0000B3060000}"/>
    <cellStyle name="Cálculo 6 2 2" xfId="14542" xr:uid="{39E0C07F-CC2F-41A3-84E9-26AED2F9286D}"/>
    <cellStyle name="Cálculo 6 2 3" xfId="22656" xr:uid="{C0B18E8E-73E1-4F9F-8599-FB7CA5EC5209}"/>
    <cellStyle name="Cálculo 6 3" xfId="7342" xr:uid="{00000000-0005-0000-0000-0000B4060000}"/>
    <cellStyle name="Cálculo 6 4" xfId="6527" xr:uid="{00000000-0005-0000-0000-0000B5060000}"/>
    <cellStyle name="Cálculo 6 5" xfId="14038" xr:uid="{119E2628-27F0-4542-8BC7-62206D95D5CC}"/>
    <cellStyle name="Cálculo 6 6" xfId="16171" xr:uid="{2B675FE1-113F-45B5-8B19-AB110DE9B978}"/>
    <cellStyle name="Cálculo 7" xfId="5211" xr:uid="{00000000-0005-0000-0000-0000B6060000}"/>
    <cellStyle name="Cálculo 7 2" xfId="7343" xr:uid="{00000000-0005-0000-0000-0000B7060000}"/>
    <cellStyle name="Cálculo 7 3" xfId="6529" xr:uid="{00000000-0005-0000-0000-0000B8060000}"/>
    <cellStyle name="Cálculo 7 4" xfId="14005" xr:uid="{4542175B-EA0A-4194-87E3-25F47BEF7701}"/>
    <cellStyle name="Cálculo 7 5" xfId="22600" xr:uid="{998E4AF4-5712-4910-BDAA-87DF9F06437B}"/>
    <cellStyle name="Cálculo 8" xfId="5331" xr:uid="{00000000-0005-0000-0000-0000B9060000}"/>
    <cellStyle name="Cálculo 8 2" xfId="14046" xr:uid="{8B9F822E-94DC-4484-8236-161D5E84AF3B}"/>
    <cellStyle name="Cálculo 8 3" xfId="16172" xr:uid="{C8EC7E97-9990-4C61-94EE-3D4C9D1ED421}"/>
    <cellStyle name="Cálculo 9" xfId="5086" xr:uid="{00000000-0005-0000-0000-0000BA060000}"/>
    <cellStyle name="Cálculo 9 2" xfId="13964" xr:uid="{C5970DD0-5EBA-458E-84AA-FB2B1AD96B07}"/>
    <cellStyle name="Cálculo 9 3" xfId="22605" xr:uid="{E3F26602-B1EB-4AD0-BD04-679B323A6E6E}"/>
    <cellStyle name="Celda de comprobación" xfId="702" xr:uid="{00000000-0005-0000-0000-0000BB060000}"/>
    <cellStyle name="Celda vinculada" xfId="703" xr:uid="{00000000-0005-0000-0000-0000BC060000}"/>
    <cellStyle name="Célula de Verificação" xfId="59" xr:uid="{00000000-0005-0000-0000-0000BD060000}"/>
    <cellStyle name="Célula de Verificação 10" xfId="5517" xr:uid="{00000000-0005-0000-0000-0000BE060000}"/>
    <cellStyle name="Célula de Verificação 11" xfId="5573" xr:uid="{00000000-0005-0000-0000-0000BF060000}"/>
    <cellStyle name="Célula de Verificação 12" xfId="5512" xr:uid="{00000000-0005-0000-0000-0000C0060000}"/>
    <cellStyle name="Célula de Verificação 13" xfId="5578" xr:uid="{00000000-0005-0000-0000-0000C1060000}"/>
    <cellStyle name="Célula de Verificação 14" xfId="5495" xr:uid="{00000000-0005-0000-0000-0000C2060000}"/>
    <cellStyle name="Célula de Verificação 15" xfId="5705" xr:uid="{00000000-0005-0000-0000-0000C3060000}"/>
    <cellStyle name="Célula de Verificação 16" xfId="5729" xr:uid="{00000000-0005-0000-0000-0000C4060000}"/>
    <cellStyle name="Célula de Verificação 17" xfId="5779" xr:uid="{00000000-0005-0000-0000-0000C5060000}"/>
    <cellStyle name="Célula de Verificação 2" xfId="4980" xr:uid="{00000000-0005-0000-0000-0000C6060000}"/>
    <cellStyle name="Célula de Verificação 2 2" xfId="6531" xr:uid="{00000000-0005-0000-0000-0000C7060000}"/>
    <cellStyle name="Célula de Verificação 2 2 2" xfId="6532" xr:uid="{00000000-0005-0000-0000-0000C8060000}"/>
    <cellStyle name="Célula de Verificação 2 2 2 2" xfId="6533" xr:uid="{00000000-0005-0000-0000-0000C9060000}"/>
    <cellStyle name="Célula de Verificação 2 2 2 2 2" xfId="6534" xr:uid="{00000000-0005-0000-0000-0000CA060000}"/>
    <cellStyle name="Célula de Verificação 2 2 2 2 2 2" xfId="6535" xr:uid="{00000000-0005-0000-0000-0000CB060000}"/>
    <cellStyle name="Célula de Verificação 2 2 2 2 2 2 2" xfId="6536" xr:uid="{00000000-0005-0000-0000-0000CC060000}"/>
    <cellStyle name="Célula de Verificação 2 2 2 2 2 2 2 2" xfId="6537" xr:uid="{00000000-0005-0000-0000-0000CD060000}"/>
    <cellStyle name="Célula de Verificação 2 2 2 2 2 2 3" xfId="6538" xr:uid="{00000000-0005-0000-0000-0000CE060000}"/>
    <cellStyle name="Célula de Verificação 2 2 2 2 2 3" xfId="6539" xr:uid="{00000000-0005-0000-0000-0000CF060000}"/>
    <cellStyle name="Célula de Verificação 2 2 2 2 2 3 2" xfId="6540" xr:uid="{00000000-0005-0000-0000-0000D0060000}"/>
    <cellStyle name="Célula de Verificação 2 2 2 2 3" xfId="6541" xr:uid="{00000000-0005-0000-0000-0000D1060000}"/>
    <cellStyle name="Célula de Verificação 2 2 2 2 3 2" xfId="6542" xr:uid="{00000000-0005-0000-0000-0000D2060000}"/>
    <cellStyle name="Célula de Verificação 2 2 2 3" xfId="6543" xr:uid="{00000000-0005-0000-0000-0000D3060000}"/>
    <cellStyle name="Célula de Verificação 2 2 2 4" xfId="6544" xr:uid="{00000000-0005-0000-0000-0000D4060000}"/>
    <cellStyle name="Célula de Verificação 2 2 2 4 2" xfId="6545" xr:uid="{00000000-0005-0000-0000-0000D5060000}"/>
    <cellStyle name="Célula de Verificação 2 2 3" xfId="6546" xr:uid="{00000000-0005-0000-0000-0000D6060000}"/>
    <cellStyle name="Célula de Verificação 2 2 4" xfId="6547" xr:uid="{00000000-0005-0000-0000-0000D7060000}"/>
    <cellStyle name="Célula de Verificação 2 2 4 2" xfId="6548" xr:uid="{00000000-0005-0000-0000-0000D8060000}"/>
    <cellStyle name="Célula de Verificação 2 3" xfId="6549" xr:uid="{00000000-0005-0000-0000-0000D9060000}"/>
    <cellStyle name="Célula de Verificação 2 4" xfId="6550" xr:uid="{00000000-0005-0000-0000-0000DA060000}"/>
    <cellStyle name="Célula de Verificação 2 5" xfId="6551" xr:uid="{00000000-0005-0000-0000-0000DB060000}"/>
    <cellStyle name="Célula de Verificação 2 6" xfId="6552" xr:uid="{00000000-0005-0000-0000-0000DC060000}"/>
    <cellStyle name="Célula de Verificação 2 6 2" xfId="6553" xr:uid="{00000000-0005-0000-0000-0000DD060000}"/>
    <cellStyle name="Célula de Verificação 2 7" xfId="6530" xr:uid="{00000000-0005-0000-0000-0000DE060000}"/>
    <cellStyle name="Célula de Verificação 3" xfId="5234" xr:uid="{00000000-0005-0000-0000-0000DF060000}"/>
    <cellStyle name="Célula de Verificação 3 2" xfId="6555" xr:uid="{00000000-0005-0000-0000-0000E0060000}"/>
    <cellStyle name="Célula de Verificação 3 3" xfId="6556" xr:uid="{00000000-0005-0000-0000-0000E1060000}"/>
    <cellStyle name="Célula de Verificação 3 4" xfId="6557" xr:uid="{00000000-0005-0000-0000-0000E2060000}"/>
    <cellStyle name="Célula de Verificação 3 5" xfId="6554" xr:uid="{00000000-0005-0000-0000-0000E3060000}"/>
    <cellStyle name="Célula de Verificação 4" xfId="5308" xr:uid="{00000000-0005-0000-0000-0000E4060000}"/>
    <cellStyle name="Célula de Verificação 4 2" xfId="6559" xr:uid="{00000000-0005-0000-0000-0000E5060000}"/>
    <cellStyle name="Célula de Verificação 4 3" xfId="6560" xr:uid="{00000000-0005-0000-0000-0000E6060000}"/>
    <cellStyle name="Célula de Verificação 4 4" xfId="6558" xr:uid="{00000000-0005-0000-0000-0000E7060000}"/>
    <cellStyle name="Célula de Verificação 5" xfId="5229" xr:uid="{00000000-0005-0000-0000-0000E8060000}"/>
    <cellStyle name="Célula de Verificação 5 2" xfId="6562" xr:uid="{00000000-0005-0000-0000-0000E9060000}"/>
    <cellStyle name="Célula de Verificação 5 3" xfId="6561" xr:uid="{00000000-0005-0000-0000-0000EA060000}"/>
    <cellStyle name="Célula de Verificação 6" xfId="5313" xr:uid="{00000000-0005-0000-0000-0000EB060000}"/>
    <cellStyle name="Célula de Verificação 6 2" xfId="6564" xr:uid="{00000000-0005-0000-0000-0000EC060000}"/>
    <cellStyle name="Célula de Verificação 6 3" xfId="7344" xr:uid="{00000000-0005-0000-0000-0000ED060000}"/>
    <cellStyle name="Célula de Verificação 6 4" xfId="6563" xr:uid="{00000000-0005-0000-0000-0000EE060000}"/>
    <cellStyle name="Célula de Verificação 7" xfId="5212" xr:uid="{00000000-0005-0000-0000-0000EF060000}"/>
    <cellStyle name="Célula de Verificação 7 2" xfId="7345" xr:uid="{00000000-0005-0000-0000-0000F0060000}"/>
    <cellStyle name="Célula de Verificação 7 3" xfId="6565" xr:uid="{00000000-0005-0000-0000-0000F1060000}"/>
    <cellStyle name="Célula de Verificação 8" xfId="5330" xr:uid="{00000000-0005-0000-0000-0000F2060000}"/>
    <cellStyle name="Célula de Verificação 9" xfId="5189" xr:uid="{00000000-0005-0000-0000-0000F3060000}"/>
    <cellStyle name="Célula Vinculada" xfId="60" xr:uid="{00000000-0005-0000-0000-0000F4060000}"/>
    <cellStyle name="Célula Vinculada 10" xfId="5518" xr:uid="{00000000-0005-0000-0000-0000F5060000}"/>
    <cellStyle name="Célula Vinculada 11" xfId="5572" xr:uid="{00000000-0005-0000-0000-0000F6060000}"/>
    <cellStyle name="Célula Vinculada 12" xfId="5513" xr:uid="{00000000-0005-0000-0000-0000F7060000}"/>
    <cellStyle name="Célula Vinculada 13" xfId="5577" xr:uid="{00000000-0005-0000-0000-0000F8060000}"/>
    <cellStyle name="Célula Vinculada 14" xfId="5496" xr:uid="{00000000-0005-0000-0000-0000F9060000}"/>
    <cellStyle name="Célula Vinculada 15" xfId="5706" xr:uid="{00000000-0005-0000-0000-0000FA060000}"/>
    <cellStyle name="Célula Vinculada 16" xfId="5728" xr:uid="{00000000-0005-0000-0000-0000FB060000}"/>
    <cellStyle name="Célula Vinculada 17" xfId="5778" xr:uid="{00000000-0005-0000-0000-0000FC060000}"/>
    <cellStyle name="Célula Vinculada 2" xfId="4981" xr:uid="{00000000-0005-0000-0000-0000FD060000}"/>
    <cellStyle name="Célula Vinculada 2 2" xfId="6567" xr:uid="{00000000-0005-0000-0000-0000FE060000}"/>
    <cellStyle name="Célula Vinculada 2 2 2" xfId="6568" xr:uid="{00000000-0005-0000-0000-0000FF060000}"/>
    <cellStyle name="Célula Vinculada 2 2 2 2" xfId="6569" xr:uid="{00000000-0005-0000-0000-000000070000}"/>
    <cellStyle name="Célula Vinculada 2 2 2 2 2" xfId="6570" xr:uid="{00000000-0005-0000-0000-000001070000}"/>
    <cellStyle name="Célula Vinculada 2 2 2 2 2 2" xfId="6571" xr:uid="{00000000-0005-0000-0000-000002070000}"/>
    <cellStyle name="Célula Vinculada 2 2 2 2 2 2 2" xfId="6572" xr:uid="{00000000-0005-0000-0000-000003070000}"/>
    <cellStyle name="Célula Vinculada 2 2 2 2 2 2 2 2" xfId="6573" xr:uid="{00000000-0005-0000-0000-000004070000}"/>
    <cellStyle name="Célula Vinculada 2 2 2 2 2 2 3" xfId="6574" xr:uid="{00000000-0005-0000-0000-000005070000}"/>
    <cellStyle name="Célula Vinculada 2 2 2 2 2 3" xfId="6575" xr:uid="{00000000-0005-0000-0000-000006070000}"/>
    <cellStyle name="Célula Vinculada 2 2 2 2 2 3 2" xfId="6576" xr:uid="{00000000-0005-0000-0000-000007070000}"/>
    <cellStyle name="Célula Vinculada 2 2 2 2 3" xfId="6577" xr:uid="{00000000-0005-0000-0000-000008070000}"/>
    <cellStyle name="Célula Vinculada 2 2 2 2 3 2" xfId="6578" xr:uid="{00000000-0005-0000-0000-000009070000}"/>
    <cellStyle name="Célula Vinculada 2 2 2 3" xfId="6579" xr:uid="{00000000-0005-0000-0000-00000A070000}"/>
    <cellStyle name="Célula Vinculada 2 2 2 4" xfId="6580" xr:uid="{00000000-0005-0000-0000-00000B070000}"/>
    <cellStyle name="Célula Vinculada 2 2 2 4 2" xfId="6581" xr:uid="{00000000-0005-0000-0000-00000C070000}"/>
    <cellStyle name="Célula Vinculada 2 2 3" xfId="6582" xr:uid="{00000000-0005-0000-0000-00000D070000}"/>
    <cellStyle name="Célula Vinculada 2 2 4" xfId="6583" xr:uid="{00000000-0005-0000-0000-00000E070000}"/>
    <cellStyle name="Célula Vinculada 2 2 4 2" xfId="6584" xr:uid="{00000000-0005-0000-0000-00000F070000}"/>
    <cellStyle name="Célula Vinculada 2 3" xfId="6585" xr:uid="{00000000-0005-0000-0000-000010070000}"/>
    <cellStyle name="Célula Vinculada 2 4" xfId="6586" xr:uid="{00000000-0005-0000-0000-000011070000}"/>
    <cellStyle name="Célula Vinculada 2 5" xfId="6587" xr:uid="{00000000-0005-0000-0000-000012070000}"/>
    <cellStyle name="Célula Vinculada 2 6" xfId="6588" xr:uid="{00000000-0005-0000-0000-000013070000}"/>
    <cellStyle name="Célula Vinculada 2 6 2" xfId="6589" xr:uid="{00000000-0005-0000-0000-000014070000}"/>
    <cellStyle name="Célula Vinculada 2 7" xfId="6566" xr:uid="{00000000-0005-0000-0000-000015070000}"/>
    <cellStyle name="Célula Vinculada 3" xfId="5235" xr:uid="{00000000-0005-0000-0000-000016070000}"/>
    <cellStyle name="Célula Vinculada 3 2" xfId="6591" xr:uid="{00000000-0005-0000-0000-000017070000}"/>
    <cellStyle name="Célula Vinculada 3 3" xfId="6592" xr:uid="{00000000-0005-0000-0000-000018070000}"/>
    <cellStyle name="Célula Vinculada 3 4" xfId="6593" xr:uid="{00000000-0005-0000-0000-000019070000}"/>
    <cellStyle name="Célula Vinculada 3 5" xfId="6590" xr:uid="{00000000-0005-0000-0000-00001A070000}"/>
    <cellStyle name="Célula Vinculada 4" xfId="5307" xr:uid="{00000000-0005-0000-0000-00001B070000}"/>
    <cellStyle name="Célula Vinculada 4 2" xfId="6595" xr:uid="{00000000-0005-0000-0000-00001C070000}"/>
    <cellStyle name="Célula Vinculada 4 3" xfId="6596" xr:uid="{00000000-0005-0000-0000-00001D070000}"/>
    <cellStyle name="Célula Vinculada 4 4" xfId="6594" xr:uid="{00000000-0005-0000-0000-00001E070000}"/>
    <cellStyle name="Célula Vinculada 5" xfId="5230" xr:uid="{00000000-0005-0000-0000-00001F070000}"/>
    <cellStyle name="Célula Vinculada 5 2" xfId="6598" xr:uid="{00000000-0005-0000-0000-000020070000}"/>
    <cellStyle name="Célula Vinculada 5 3" xfId="6597" xr:uid="{00000000-0005-0000-0000-000021070000}"/>
    <cellStyle name="Célula Vinculada 6" xfId="5312" xr:uid="{00000000-0005-0000-0000-000022070000}"/>
    <cellStyle name="Célula Vinculada 6 2" xfId="6600" xr:uid="{00000000-0005-0000-0000-000023070000}"/>
    <cellStyle name="Célula Vinculada 6 3" xfId="7346" xr:uid="{00000000-0005-0000-0000-000024070000}"/>
    <cellStyle name="Célula Vinculada 6 4" xfId="6599" xr:uid="{00000000-0005-0000-0000-000025070000}"/>
    <cellStyle name="Célula Vinculada 7" xfId="5219" xr:uid="{00000000-0005-0000-0000-000026070000}"/>
    <cellStyle name="Célula Vinculada 7 2" xfId="7347" xr:uid="{00000000-0005-0000-0000-000027070000}"/>
    <cellStyle name="Célula Vinculada 7 3" xfId="6601" xr:uid="{00000000-0005-0000-0000-000028070000}"/>
    <cellStyle name="Célula Vinculada 8" xfId="5323" xr:uid="{00000000-0005-0000-0000-000029070000}"/>
    <cellStyle name="Célula Vinculada 9" xfId="5196" xr:uid="{00000000-0005-0000-0000-00002A070000}"/>
    <cellStyle name="Check Cell 2" xfId="61" xr:uid="{00000000-0005-0000-0000-00002B070000}"/>
    <cellStyle name="CLEAR" xfId="4982" xr:uid="{00000000-0005-0000-0000-00002C070000}"/>
    <cellStyle name="column1" xfId="4983" xr:uid="{00000000-0005-0000-0000-00002D070000}"/>
    <cellStyle name="column1BigNoWrap" xfId="4984" xr:uid="{00000000-0005-0000-0000-00002E070000}"/>
    <cellStyle name="column1Date" xfId="4985" xr:uid="{00000000-0005-0000-0000-00002F070000}"/>
    <cellStyle name="column2Date" xfId="4986" xr:uid="{00000000-0005-0000-0000-000030070000}"/>
    <cellStyle name="column3Date" xfId="4987" xr:uid="{00000000-0005-0000-0000-000031070000}"/>
    <cellStyle name="Comma" xfId="1" builtinId="3"/>
    <cellStyle name="Comma  - Estilo1" xfId="4988" xr:uid="{00000000-0005-0000-0000-000032070000}"/>
    <cellStyle name="Comma  - Estilo2" xfId="4989" xr:uid="{00000000-0005-0000-0000-000033070000}"/>
    <cellStyle name="Comma  - Estilo3" xfId="4990" xr:uid="{00000000-0005-0000-0000-000034070000}"/>
    <cellStyle name="Comma  - Estilo4" xfId="4991" xr:uid="{00000000-0005-0000-0000-000035070000}"/>
    <cellStyle name="Comma  - Estilo5" xfId="4992" xr:uid="{00000000-0005-0000-0000-000036070000}"/>
    <cellStyle name="Comma  - Estilo6" xfId="4993" xr:uid="{00000000-0005-0000-0000-000037070000}"/>
    <cellStyle name="Comma  - Estilo7" xfId="4994" xr:uid="{00000000-0005-0000-0000-000038070000}"/>
    <cellStyle name="Comma  - Estilo8" xfId="4995" xr:uid="{00000000-0005-0000-0000-000039070000}"/>
    <cellStyle name="Comma  - Style1" xfId="4996" xr:uid="{00000000-0005-0000-0000-00003A070000}"/>
    <cellStyle name="Comma  - Style1 2" xfId="16113" xr:uid="{49B34325-C67C-4179-B362-1E3B9F14919E}"/>
    <cellStyle name="Comma  - Style2" xfId="4997" xr:uid="{00000000-0005-0000-0000-00003B070000}"/>
    <cellStyle name="Comma  - Style2 2" xfId="16114" xr:uid="{6DA9A8EF-4162-447A-AF72-F35861C20B9F}"/>
    <cellStyle name="Comma  - Style3" xfId="4998" xr:uid="{00000000-0005-0000-0000-00003C070000}"/>
    <cellStyle name="Comma  - Style3 2" xfId="16115" xr:uid="{35FDE0F1-5934-4B70-B82E-24DC463BFFEA}"/>
    <cellStyle name="Comma  - Style4" xfId="4999" xr:uid="{00000000-0005-0000-0000-00003D070000}"/>
    <cellStyle name="Comma  - Style4 2" xfId="16116" xr:uid="{0AEB0C97-5530-49BF-B834-E819E3E7076D}"/>
    <cellStyle name="Comma  - Style5" xfId="5000" xr:uid="{00000000-0005-0000-0000-00003E070000}"/>
    <cellStyle name="Comma  - Style5 2" xfId="16117" xr:uid="{265ADB72-ED3E-4071-BBCF-D089D84C7870}"/>
    <cellStyle name="Comma  - Style6" xfId="5001" xr:uid="{00000000-0005-0000-0000-00003F070000}"/>
    <cellStyle name="Comma  - Style6 2" xfId="16118" xr:uid="{988A031F-36F1-460A-AE48-9444028BD159}"/>
    <cellStyle name="Comma  - Style7" xfId="5002" xr:uid="{00000000-0005-0000-0000-000040070000}"/>
    <cellStyle name="Comma  - Style7 2" xfId="16119" xr:uid="{D3D7E4FE-B299-4A7A-83B3-A1D958CE4B42}"/>
    <cellStyle name="Comma  - Style8" xfId="5003" xr:uid="{00000000-0005-0000-0000-000041070000}"/>
    <cellStyle name="Comma  - Style8 2" xfId="16120" xr:uid="{1B2246F5-C3AC-4A50-9C97-789E63923F2F}"/>
    <cellStyle name="Comma [0] 10" xfId="705" xr:uid="{00000000-0005-0000-0000-000042070000}"/>
    <cellStyle name="Comma [0] 11" xfId="706" xr:uid="{00000000-0005-0000-0000-000043070000}"/>
    <cellStyle name="Comma [0] 12" xfId="707" xr:uid="{00000000-0005-0000-0000-000044070000}"/>
    <cellStyle name="Comma [0] 13" xfId="708" xr:uid="{00000000-0005-0000-0000-000045070000}"/>
    <cellStyle name="Comma [0] 14" xfId="709" xr:uid="{00000000-0005-0000-0000-000046070000}"/>
    <cellStyle name="Comma [0] 15" xfId="710" xr:uid="{00000000-0005-0000-0000-000047070000}"/>
    <cellStyle name="Comma [0] 16" xfId="711" xr:uid="{00000000-0005-0000-0000-000048070000}"/>
    <cellStyle name="Comma [0] 17" xfId="712" xr:uid="{00000000-0005-0000-0000-000049070000}"/>
    <cellStyle name="Comma [0] 18" xfId="713" xr:uid="{00000000-0005-0000-0000-00004A070000}"/>
    <cellStyle name="Comma [0] 19" xfId="714" xr:uid="{00000000-0005-0000-0000-00004B070000}"/>
    <cellStyle name="Comma [0] 2" xfId="715" xr:uid="{00000000-0005-0000-0000-00004C070000}"/>
    <cellStyle name="Comma [0] 20" xfId="716" xr:uid="{00000000-0005-0000-0000-00004D070000}"/>
    <cellStyle name="Comma [0] 21" xfId="717" xr:uid="{00000000-0005-0000-0000-00004E070000}"/>
    <cellStyle name="Comma [0] 22" xfId="718" xr:uid="{00000000-0005-0000-0000-00004F070000}"/>
    <cellStyle name="Comma [0] 23" xfId="719" xr:uid="{00000000-0005-0000-0000-000050070000}"/>
    <cellStyle name="Comma [0] 24" xfId="720" xr:uid="{00000000-0005-0000-0000-000051070000}"/>
    <cellStyle name="Comma [0] 25" xfId="721" xr:uid="{00000000-0005-0000-0000-000052070000}"/>
    <cellStyle name="Comma [0] 26" xfId="722" xr:uid="{00000000-0005-0000-0000-000053070000}"/>
    <cellStyle name="Comma [0] 27" xfId="723" xr:uid="{00000000-0005-0000-0000-000054070000}"/>
    <cellStyle name="Comma [0] 28" xfId="724" xr:uid="{00000000-0005-0000-0000-000055070000}"/>
    <cellStyle name="Comma [0] 29" xfId="725" xr:uid="{00000000-0005-0000-0000-000056070000}"/>
    <cellStyle name="Comma [0] 3" xfId="726" xr:uid="{00000000-0005-0000-0000-000057070000}"/>
    <cellStyle name="Comma [0] 30" xfId="727" xr:uid="{00000000-0005-0000-0000-000058070000}"/>
    <cellStyle name="Comma [0] 31" xfId="728" xr:uid="{00000000-0005-0000-0000-000059070000}"/>
    <cellStyle name="Comma [0] 32" xfId="729" xr:uid="{00000000-0005-0000-0000-00005A070000}"/>
    <cellStyle name="Comma [0] 33" xfId="730" xr:uid="{00000000-0005-0000-0000-00005B070000}"/>
    <cellStyle name="Comma [0] 34" xfId="731" xr:uid="{00000000-0005-0000-0000-00005C070000}"/>
    <cellStyle name="Comma [0] 35" xfId="732" xr:uid="{00000000-0005-0000-0000-00005D070000}"/>
    <cellStyle name="Comma [0] 36" xfId="733" xr:uid="{00000000-0005-0000-0000-00005E070000}"/>
    <cellStyle name="Comma [0] 37" xfId="734" xr:uid="{00000000-0005-0000-0000-00005F070000}"/>
    <cellStyle name="Comma [0] 38" xfId="735" xr:uid="{00000000-0005-0000-0000-000060070000}"/>
    <cellStyle name="Comma [0] 39" xfId="736" xr:uid="{00000000-0005-0000-0000-000061070000}"/>
    <cellStyle name="Comma [0] 4" xfId="737" xr:uid="{00000000-0005-0000-0000-000062070000}"/>
    <cellStyle name="Comma [0] 40" xfId="738" xr:uid="{00000000-0005-0000-0000-000063070000}"/>
    <cellStyle name="Comma [0] 41" xfId="704" xr:uid="{00000000-0005-0000-0000-000064070000}"/>
    <cellStyle name="Comma [0] 5" xfId="739" xr:uid="{00000000-0005-0000-0000-000065070000}"/>
    <cellStyle name="Comma [0] 6" xfId="740" xr:uid="{00000000-0005-0000-0000-000066070000}"/>
    <cellStyle name="Comma [0] 7" xfId="741" xr:uid="{00000000-0005-0000-0000-000067070000}"/>
    <cellStyle name="Comma [0] 8" xfId="742" xr:uid="{00000000-0005-0000-0000-000068070000}"/>
    <cellStyle name="Comma [0] 9" xfId="743" xr:uid="{00000000-0005-0000-0000-000069070000}"/>
    <cellStyle name="Comma [00]" xfId="5004" xr:uid="{00000000-0005-0000-0000-00006A070000}"/>
    <cellStyle name="Comma 0" xfId="5005" xr:uid="{00000000-0005-0000-0000-00006B070000}"/>
    <cellStyle name="Comma 0*" xfId="5006" xr:uid="{00000000-0005-0000-0000-00006C070000}"/>
    <cellStyle name="Comma 0_2004.10.04 - Cortez Zip Model2" xfId="5007" xr:uid="{00000000-0005-0000-0000-00006D070000}"/>
    <cellStyle name="Comma 10" xfId="13859" xr:uid="{9A9556BC-CD4F-4480-8949-9C13BA3D7B35}"/>
    <cellStyle name="Comma 10 2" xfId="13852" xr:uid="{00000000-0005-0000-0000-00006E070000}"/>
    <cellStyle name="Comma 11" xfId="13897" xr:uid="{E79E6492-AC06-4494-9906-3DB55C01DC8B}"/>
    <cellStyle name="Comma 12" xfId="13865" xr:uid="{98865428-76E0-4D44-8257-240699A6101D}"/>
    <cellStyle name="Comma 13" xfId="22692" xr:uid="{1E7B7EFF-EC29-42B8-A7D3-901A19E5F536}"/>
    <cellStyle name="Comma 14" xfId="13860" xr:uid="{F621A63B-159B-43B3-BA7F-12FC283DD215}"/>
    <cellStyle name="Comma 15" xfId="13867" xr:uid="{FA075721-0264-43B8-8D62-78209B26CA00}"/>
    <cellStyle name="Comma 16" xfId="13874" xr:uid="{B388CC72-8672-4872-9853-1F863E641348}"/>
    <cellStyle name="Comma 17" xfId="22687" xr:uid="{0B63AB9F-F1DD-4DCD-AC59-90B49434C369}"/>
    <cellStyle name="Comma 18" xfId="13904" xr:uid="{A024E77B-9EDF-412B-B4A4-C6888A38A91C}"/>
    <cellStyle name="Comma 19" xfId="13868" xr:uid="{772CB745-ABBD-4A65-B5D1-68E3F1CCB2BC}"/>
    <cellStyle name="Comma 2" xfId="744" xr:uid="{00000000-0005-0000-0000-00006F070000}"/>
    <cellStyle name="Comma 2 2" xfId="745" xr:uid="{00000000-0005-0000-0000-000070070000}"/>
    <cellStyle name="Comma 2 2 2" xfId="746" xr:uid="{00000000-0005-0000-0000-000071070000}"/>
    <cellStyle name="Comma 2 2 2 2" xfId="9042" xr:uid="{00000000-0005-0000-0000-000072070000}"/>
    <cellStyle name="Comma 2 2 2 2 2" xfId="17848" xr:uid="{E875BF9C-3ADA-4C99-ACAC-70D64F660853}"/>
    <cellStyle name="Comma 2 2 2 2 2 2" xfId="23488" xr:uid="{9B806AA0-1CC3-4619-A702-91774BB45F49}"/>
    <cellStyle name="Comma 2 2 2 3" xfId="7422" xr:uid="{00000000-0005-0000-0000-000073070000}"/>
    <cellStyle name="Comma 2 2 2 3 2" xfId="16236" xr:uid="{36E3F412-4C2F-4C8A-B6B2-0E483248F8E2}"/>
    <cellStyle name="Comma 2 2 2 3 2 2" xfId="23212" xr:uid="{42731898-78A6-49A9-ADE4-B59ED5645510}"/>
    <cellStyle name="Comma 2 2 2 4" xfId="10644" xr:uid="{00000000-0005-0000-0000-000074070000}"/>
    <cellStyle name="Comma 2 2 2 4 2" xfId="19387" xr:uid="{D2B734AA-71F2-4D49-9AE9-BB1583A19530}"/>
    <cellStyle name="Comma 2 2 2 4 2 2" xfId="23588" xr:uid="{8B1A77FA-5280-4FAB-80DB-FE7D497A4845}"/>
    <cellStyle name="Comma 2 2 2 5" xfId="12245" xr:uid="{00000000-0005-0000-0000-000075070000}"/>
    <cellStyle name="Comma 2 2 2 5 2" xfId="20986" xr:uid="{39857A23-7B11-49C2-B4A7-6D2124AA5E4C}"/>
    <cellStyle name="Comma 2 2 2 5 2 2" xfId="23862" xr:uid="{C20E7467-EF2C-4EF3-8012-B2A237415103}"/>
    <cellStyle name="Comma 2 2 2 6" xfId="14039" xr:uid="{8CFC6839-C890-4DE5-BD4D-77722EC92E85}"/>
    <cellStyle name="Comma 2 2 2 6 2" xfId="22892" xr:uid="{9FCA13CF-C6F6-447B-8BBC-2BF326FFD767}"/>
    <cellStyle name="Comma 2 2 3" xfId="747" xr:uid="{00000000-0005-0000-0000-000076070000}"/>
    <cellStyle name="Comma 2 2 3 2" xfId="7423" xr:uid="{00000000-0005-0000-0000-000077070000}"/>
    <cellStyle name="Comma 2 2 3 2 2" xfId="16237" xr:uid="{2F438847-5E1D-4E0A-9E79-485B597A6FFA}"/>
    <cellStyle name="Comma 2 2 3 2 2 2" xfId="23213" xr:uid="{A535C50E-908C-4D17-9963-FF0C2A580B7D}"/>
    <cellStyle name="Comma 2 2 3 3" xfId="10645" xr:uid="{00000000-0005-0000-0000-000078070000}"/>
    <cellStyle name="Comma 2 2 3 3 2" xfId="19388" xr:uid="{22D4CF52-1A2B-4120-9C25-A9527F3EECAD}"/>
    <cellStyle name="Comma 2 2 3 3 2 2" xfId="23589" xr:uid="{545F5942-BE6E-4401-9A4D-9D6096B34E3E}"/>
    <cellStyle name="Comma 2 2 3 4" xfId="12246" xr:uid="{00000000-0005-0000-0000-000079070000}"/>
    <cellStyle name="Comma 2 2 3 4 2" xfId="20987" xr:uid="{D5FC07F1-DBA5-4165-87BA-673035C71100}"/>
    <cellStyle name="Comma 2 2 3 4 2 2" xfId="23863" xr:uid="{DA17E91F-A23F-45F5-988C-726696C3A89F}"/>
    <cellStyle name="Comma 2 2 3 5" xfId="14520" xr:uid="{2D741E38-275D-46C6-A7D6-D31678ACBF0D}"/>
    <cellStyle name="Comma 2 2 3 5 2" xfId="22922" xr:uid="{66DE7B02-CBDE-40D8-9E99-9D5E2A8972F1}"/>
    <cellStyle name="Comma 2 2 4" xfId="9041" xr:uid="{00000000-0005-0000-0000-00007A070000}"/>
    <cellStyle name="Comma 2 2 4 2" xfId="17847" xr:uid="{0A504398-8A7C-4F93-84C6-0E2A8315784A}"/>
    <cellStyle name="Comma 2 2 4 2 2" xfId="23487" xr:uid="{2089EB2F-EAE7-4D87-80F1-E2E1AE0CF7CB}"/>
    <cellStyle name="Comma 2 2 5" xfId="7421" xr:uid="{00000000-0005-0000-0000-00007B070000}"/>
    <cellStyle name="Comma 2 2 5 2" xfId="16235" xr:uid="{4B1D6F48-9082-41DF-808D-60D7FE50E6AC}"/>
    <cellStyle name="Comma 2 2 5 2 2" xfId="23211" xr:uid="{84959285-8B87-479E-B396-8FAD5D59E7B8}"/>
    <cellStyle name="Comma 2 2 6" xfId="10643" xr:uid="{00000000-0005-0000-0000-00007C070000}"/>
    <cellStyle name="Comma 2 2 6 2" xfId="19386" xr:uid="{3C083A50-6605-47F8-830A-037200AB97EA}"/>
    <cellStyle name="Comma 2 2 6 2 2" xfId="23587" xr:uid="{2D8BBC08-04D1-443C-AF9A-354FC533B093}"/>
    <cellStyle name="Comma 2 2 7" xfId="12244" xr:uid="{00000000-0005-0000-0000-00007D070000}"/>
    <cellStyle name="Comma 2 2 7 2" xfId="20985" xr:uid="{997962FF-EB2C-4384-B14D-6ADE2DB4A6EB}"/>
    <cellStyle name="Comma 2 2 7 2 2" xfId="23861" xr:uid="{8BABBC6C-F996-47FA-8914-9F7B8F401546}"/>
    <cellStyle name="Comma 2 2 8" xfId="14522" xr:uid="{452A753C-04A6-45FF-B7F5-7849ACA87282}"/>
    <cellStyle name="Comma 2 2 8 2" xfId="22924" xr:uid="{BF6ACEEE-B762-4357-93FF-F05E687A29E8}"/>
    <cellStyle name="Comma 2 3" xfId="748" xr:uid="{00000000-0005-0000-0000-00007E070000}"/>
    <cellStyle name="Comma 2 3 2" xfId="7424" xr:uid="{00000000-0005-0000-0000-00007F070000}"/>
    <cellStyle name="Comma 2 3 2 2" xfId="16238" xr:uid="{D34516B5-5305-4D1E-8F4C-F5794A2FB45B}"/>
    <cellStyle name="Comma 2 3 2 2 2" xfId="23214" xr:uid="{931B182E-BFCB-483E-8911-F712C5D4FDF2}"/>
    <cellStyle name="Comma 2 3 3" xfId="10646" xr:uid="{00000000-0005-0000-0000-000080070000}"/>
    <cellStyle name="Comma 2 3 3 2" xfId="19389" xr:uid="{EC3D7608-8770-4DEE-BAAD-E09E994AED9B}"/>
    <cellStyle name="Comma 2 3 3 2 2" xfId="23590" xr:uid="{C6DAFD2D-7A60-4BC2-8F63-82FBAB721C41}"/>
    <cellStyle name="Comma 2 3 4" xfId="12247" xr:uid="{00000000-0005-0000-0000-000081070000}"/>
    <cellStyle name="Comma 2 3 4 2" xfId="20988" xr:uid="{16EACBA5-610E-4285-9558-A708A06242C5}"/>
    <cellStyle name="Comma 2 3 4 2 2" xfId="23864" xr:uid="{8E8757AD-7353-4946-BC5E-6BE2A817BD59}"/>
    <cellStyle name="Comma 2 3 5" xfId="14521" xr:uid="{108CEB3A-0667-487D-951F-95356BBDFC47}"/>
    <cellStyle name="Comma 2 3 5 2" xfId="22923" xr:uid="{1AFABF3C-9D7A-439A-9028-4BC7E9AC2364}"/>
    <cellStyle name="Comma 2 4" xfId="5008" xr:uid="{00000000-0005-0000-0000-000082070000}"/>
    <cellStyle name="Comma 2 4 2" xfId="9040" xr:uid="{00000000-0005-0000-0000-000083070000}"/>
    <cellStyle name="Comma 2 4 2 2" xfId="17846" xr:uid="{5929FD4A-872C-43B4-A90B-516C34EFC521}"/>
    <cellStyle name="Comma 2 4 2 2 2" xfId="23486" xr:uid="{DB7D85A6-F0F2-41F6-A263-35E9CB45B39B}"/>
    <cellStyle name="Comma 2 5" xfId="7420" xr:uid="{00000000-0005-0000-0000-000084070000}"/>
    <cellStyle name="Comma 2 5 2" xfId="16234" xr:uid="{56FC1E51-2A10-48DA-95B9-5C2A8B8D688E}"/>
    <cellStyle name="Comma 2 5 2 2" xfId="23210" xr:uid="{C2FB01CC-A452-47D7-AB88-6DA98668B576}"/>
    <cellStyle name="Comma 2 6" xfId="10642" xr:uid="{00000000-0005-0000-0000-000085070000}"/>
    <cellStyle name="Comma 2 6 2" xfId="19385" xr:uid="{344530AD-47B4-4455-8BF8-AB7E38DC53EF}"/>
    <cellStyle name="Comma 2 6 2 2" xfId="23586" xr:uid="{B24E1EC4-C476-4AB8-8423-777A729566B3}"/>
    <cellStyle name="Comma 2 7" xfId="12243" xr:uid="{00000000-0005-0000-0000-000086070000}"/>
    <cellStyle name="Comma 2 7 2" xfId="20984" xr:uid="{95F4678F-BB9B-46C7-847D-40900A08E4CC}"/>
    <cellStyle name="Comma 2 7 2 2" xfId="23860" xr:uid="{1772984A-DFC2-4018-BF33-9F8357A443EE}"/>
    <cellStyle name="Comma 2 8" xfId="14771" xr:uid="{4C3ECDFC-15DB-4199-9A5A-8F51940CA108}"/>
    <cellStyle name="Comma 2 8 2" xfId="22936" xr:uid="{8ECEC47B-4360-4EFA-AE57-0742D8CFBEAC}"/>
    <cellStyle name="Comma 20" xfId="13869" xr:uid="{0678AE18-2E83-4992-89C4-BCE60495BFDD}"/>
    <cellStyle name="Comma 21" xfId="22686" xr:uid="{18CCBCF1-7C49-452E-87B7-048A1A2C0A05}"/>
    <cellStyle name="Comma 22" xfId="22693" xr:uid="{B9C5D385-5651-4E7A-854C-4479781DCDB4}"/>
    <cellStyle name="Comma 23" xfId="13877" xr:uid="{8F338122-CBA2-4903-818E-9BFFC5995512}"/>
    <cellStyle name="Comma 24" xfId="13873" xr:uid="{F3D4F494-B608-4527-8EAF-BFDB7A04743D}"/>
    <cellStyle name="Comma 25" xfId="13903" xr:uid="{7A2E0543-A1AB-4B7D-97FA-20F1C8B0B1EF}"/>
    <cellStyle name="Comma 26" xfId="13891" xr:uid="{193BC535-AAFB-4A1B-A52B-B76229FEBC42}"/>
    <cellStyle name="Comma 27" xfId="22681" xr:uid="{72EBE37C-5D43-4533-AE58-D8D9B91D4041}"/>
    <cellStyle name="Comma 28" xfId="22722" xr:uid="{0DB0ABFD-3736-4272-8D2C-76E1094D90B5}"/>
    <cellStyle name="Comma 29" xfId="22725" xr:uid="{262B895E-5E6E-47BE-BE82-A3B319055657}"/>
    <cellStyle name="Comma 3" xfId="749" xr:uid="{00000000-0005-0000-0000-000087070000}"/>
    <cellStyle name="Comma 3 2" xfId="750" xr:uid="{00000000-0005-0000-0000-000088070000}"/>
    <cellStyle name="Comma 3 2 2" xfId="9043" xr:uid="{00000000-0005-0000-0000-000089070000}"/>
    <cellStyle name="Comma 3 2 2 2" xfId="17849" xr:uid="{84E7CE1A-D256-4DAE-8B37-A05DF4401966}"/>
    <cellStyle name="Comma 3 2 2 2 2" xfId="23489" xr:uid="{9A790A25-0ACE-4344-A850-0865E8526F04}"/>
    <cellStyle name="Comma 3 2 3" xfId="7426" xr:uid="{00000000-0005-0000-0000-00008A070000}"/>
    <cellStyle name="Comma 3 2 3 2" xfId="16240" xr:uid="{709EF3AD-F450-4DAA-ABA4-7F2A52FD8C95}"/>
    <cellStyle name="Comma 3 2 3 2 2" xfId="23216" xr:uid="{62B8C20B-BFD7-41AE-8651-C3D102D1A7E5}"/>
    <cellStyle name="Comma 3 2 4" xfId="10648" xr:uid="{00000000-0005-0000-0000-00008B070000}"/>
    <cellStyle name="Comma 3 2 4 2" xfId="19391" xr:uid="{4A6F91F6-B62E-4CFF-BBCD-812D8EDB01D8}"/>
    <cellStyle name="Comma 3 2 4 2 2" xfId="23592" xr:uid="{75BE7273-2F19-4C45-BADE-130CA1A98776}"/>
    <cellStyle name="Comma 3 2 5" xfId="12249" xr:uid="{00000000-0005-0000-0000-00008C070000}"/>
    <cellStyle name="Comma 3 2 5 2" xfId="20990" xr:uid="{07EB1750-0294-4843-9559-FB7270F24550}"/>
    <cellStyle name="Comma 3 2 5 2 2" xfId="23866" xr:uid="{49FF2288-5EB4-49AB-8D06-FE557BDF1FBD}"/>
    <cellStyle name="Comma 3 2 6" xfId="14517" xr:uid="{C39B2417-1129-4A28-A021-2E89C51AA9BE}"/>
    <cellStyle name="Comma 3 2 6 2" xfId="22919" xr:uid="{EB9A5946-609D-4034-BB1E-6AC067518681}"/>
    <cellStyle name="Comma 3 3" xfId="5009" xr:uid="{00000000-0005-0000-0000-00008D070000}"/>
    <cellStyle name="Comma 3 3 2" xfId="16121" xr:uid="{462EEBD1-C189-4E1E-9FFD-0F114B9A0D71}"/>
    <cellStyle name="Comma 3 3 2 2" xfId="23192" xr:uid="{2C767BCE-0FEE-40EB-B1CD-8E241155C66E}"/>
    <cellStyle name="Comma 3 4" xfId="7425" xr:uid="{00000000-0005-0000-0000-00008E070000}"/>
    <cellStyle name="Comma 3 4 2" xfId="16239" xr:uid="{36206680-D3A9-40B3-BF66-8579D4B79B52}"/>
    <cellStyle name="Comma 3 4 2 2" xfId="23215" xr:uid="{34AB407A-8192-4A20-8278-08A70A79F8C8}"/>
    <cellStyle name="Comma 3 5" xfId="10647" xr:uid="{00000000-0005-0000-0000-00008F070000}"/>
    <cellStyle name="Comma 3 5 2" xfId="19390" xr:uid="{8292B1FA-0759-4949-B6F6-1EF8762E3D36}"/>
    <cellStyle name="Comma 3 5 2 2" xfId="23591" xr:uid="{FDBC1BC5-C814-4B12-8937-2AC4C908381E}"/>
    <cellStyle name="Comma 3 6" xfId="12248" xr:uid="{00000000-0005-0000-0000-000090070000}"/>
    <cellStyle name="Comma 3 6 2" xfId="20989" xr:uid="{D3668083-385E-4279-AF39-2EA0C1F279B1}"/>
    <cellStyle name="Comma 3 6 2 2" xfId="23865" xr:uid="{118057B0-0171-429F-B72B-2A327BE0EE4F}"/>
    <cellStyle name="Comma 3 7" xfId="13937" xr:uid="{8A767309-DA0F-4BA9-84E5-7156492BA5F8}"/>
    <cellStyle name="Comma 3 7 2" xfId="22872" xr:uid="{D34F9F1B-2711-4432-AA57-290BC25D4FA7}"/>
    <cellStyle name="Comma 3 8" xfId="14011" xr:uid="{B33604FD-6A14-441A-AD20-2271159CBDDE}"/>
    <cellStyle name="Comma 3 8 2" xfId="22888" xr:uid="{6DA0196A-7970-4690-B33A-7350E31D89C8}"/>
    <cellStyle name="Comma 30" xfId="22732" xr:uid="{E7F49A8B-9017-4E71-95C9-F85935221518}"/>
    <cellStyle name="Comma 31" xfId="22748" xr:uid="{4CFAC540-4999-4183-9F84-7A9D846DB2A7}"/>
    <cellStyle name="Comma 32" xfId="22756" xr:uid="{5DB926DF-3653-47FB-9A05-543ED8D94E8D}"/>
    <cellStyle name="Comma 33" xfId="22734" xr:uid="{199CDD68-8AC0-45F6-944B-C4A3FCCC1FBD}"/>
    <cellStyle name="Comma 34" xfId="22745" xr:uid="{AFA1CB72-201E-4492-97F9-D1FE01ADB12E}"/>
    <cellStyle name="Comma 35" xfId="22766" xr:uid="{30FAC2AA-60AB-4370-A525-F98263C6D075}"/>
    <cellStyle name="Comma 36" xfId="22759" xr:uid="{EE6EFEF5-35C5-4D40-94D8-C2D54ED784C2}"/>
    <cellStyle name="Comma 37" xfId="22764" xr:uid="{97B37085-0C4F-41AC-9F7E-37035DD3A82C}"/>
    <cellStyle name="Comma 38" xfId="22744" xr:uid="{0FEEAE68-FA31-469A-9092-E1BDF3C0F49C}"/>
    <cellStyle name="Comma 39" xfId="22747" xr:uid="{CC9D1346-943C-4A26-AED2-C4623195C9FC}"/>
    <cellStyle name="Comma 4" xfId="751" xr:uid="{00000000-0005-0000-0000-000091070000}"/>
    <cellStyle name="Comma 4 2" xfId="752" xr:uid="{00000000-0005-0000-0000-000092070000}"/>
    <cellStyle name="Comma 4 2 2" xfId="7428" xr:uid="{00000000-0005-0000-0000-000093070000}"/>
    <cellStyle name="Comma 4 2 2 2" xfId="16242" xr:uid="{46F76932-CB13-4445-A12B-91D66938160A}"/>
    <cellStyle name="Comma 4 2 2 2 2" xfId="23218" xr:uid="{301DF949-AEF9-4C71-984B-4235A376B939}"/>
    <cellStyle name="Comma 4 2 3" xfId="10650" xr:uid="{00000000-0005-0000-0000-000094070000}"/>
    <cellStyle name="Comma 4 2 3 2" xfId="19393" xr:uid="{1721C6DC-D920-4B65-9C1A-2ED583836F44}"/>
    <cellStyle name="Comma 4 2 3 2 2" xfId="23594" xr:uid="{8DC8A128-1228-490D-929A-5099FD2A3346}"/>
    <cellStyle name="Comma 4 2 4" xfId="12251" xr:uid="{00000000-0005-0000-0000-000095070000}"/>
    <cellStyle name="Comma 4 2 4 2" xfId="20992" xr:uid="{3C6A9288-EFED-4A3D-84A2-8663C538F0A7}"/>
    <cellStyle name="Comma 4 2 4 2 2" xfId="23868" xr:uid="{A7C391F8-7A14-456A-BE15-2B9DE4E6CA63}"/>
    <cellStyle name="Comma 4 2 5" xfId="14518" xr:uid="{BC41F1BF-96A4-4191-A749-17AF0F58E8FB}"/>
    <cellStyle name="Comma 4 2 5 2" xfId="22920" xr:uid="{67B673EF-1C09-4443-9D85-1086F0111D58}"/>
    <cellStyle name="Comma 4 3" xfId="7427" xr:uid="{00000000-0005-0000-0000-000096070000}"/>
    <cellStyle name="Comma 4 3 2" xfId="16241" xr:uid="{FD7E473E-31FF-4FED-A8DD-0108E53E2861}"/>
    <cellStyle name="Comma 4 3 2 2" xfId="23217" xr:uid="{EB6BC500-5BB0-4302-AFD1-09FB2E3FB68A}"/>
    <cellStyle name="Comma 4 4" xfId="10649" xr:uid="{00000000-0005-0000-0000-000097070000}"/>
    <cellStyle name="Comma 4 4 2" xfId="19392" xr:uid="{6E916A9C-2B61-4398-9823-812125AC7F6A}"/>
    <cellStyle name="Comma 4 4 2 2" xfId="23593" xr:uid="{E6F3DEB9-60A1-4532-9615-5A2FC89E02C7}"/>
    <cellStyle name="Comma 4 5" xfId="12250" xr:uid="{00000000-0005-0000-0000-000098070000}"/>
    <cellStyle name="Comma 4 5 2" xfId="20991" xr:uid="{B943C6B9-EDF7-4078-BEA4-E1A95E48A49D}"/>
    <cellStyle name="Comma 4 5 2 2" xfId="23867" xr:uid="{8509EB22-EEA3-4058-831E-EBBCDDE48F2B}"/>
    <cellStyle name="Comma 4 6" xfId="14519" xr:uid="{F2483EFF-348D-4BE5-8969-5C4EC96FEDB3}"/>
    <cellStyle name="Comma 4 6 2" xfId="22921" xr:uid="{535669DB-B37E-4B91-8539-F06520B47BB2}"/>
    <cellStyle name="Comma 40" xfId="22782" xr:uid="{18883A32-4636-4C47-98AF-E7CB0E8C0634}"/>
    <cellStyle name="Comma 41" xfId="23202" xr:uid="{BEDCA28A-027B-4875-90AA-33AE76BD3931}"/>
    <cellStyle name="Comma 42" xfId="22801" xr:uid="{1F015C9B-1C92-42F8-B037-3A8887CEF505}"/>
    <cellStyle name="Comma 43" xfId="22823" xr:uid="{53F2AB6D-9312-431B-ABDD-7FBF1C27547F}"/>
    <cellStyle name="Comma 44" xfId="22858" xr:uid="{539AAA9C-C441-4CA9-AD05-1607998BFBC0}"/>
    <cellStyle name="Comma 45" xfId="22832" xr:uid="{CD67E200-0078-47B3-B959-C8E9BE055B6E}"/>
    <cellStyle name="Comma 46" xfId="22856" xr:uid="{8EEB89ED-98C8-4771-8B11-00936ED7CC9F}"/>
    <cellStyle name="Comma 47" xfId="22793" xr:uid="{E7CA0B0F-BBA3-4B4E-B8B7-AFC8A42F413F}"/>
    <cellStyle name="Comma 48" xfId="22857" xr:uid="{C0DFF4F3-323B-4FBE-80C3-BFB0D2DA1A15}"/>
    <cellStyle name="Comma 49" xfId="23605" xr:uid="{C030FC51-24D6-46B5-B650-B3985210777B}"/>
    <cellStyle name="Comma 5" xfId="753" xr:uid="{00000000-0005-0000-0000-000099070000}"/>
    <cellStyle name="Comma 5 2" xfId="7429" xr:uid="{00000000-0005-0000-0000-00009A070000}"/>
    <cellStyle name="Comma 5 2 2" xfId="16243" xr:uid="{18EC44BC-F2F7-4622-9A23-5355052E9DCA}"/>
    <cellStyle name="Comma 5 2 2 2" xfId="23219" xr:uid="{4D4FC1BC-036E-4599-9075-822839E05B47}"/>
    <cellStyle name="Comma 5 3" xfId="10651" xr:uid="{00000000-0005-0000-0000-00009B070000}"/>
    <cellStyle name="Comma 5 3 2" xfId="19394" xr:uid="{6E909430-FCEE-4876-897D-A843818438F7}"/>
    <cellStyle name="Comma 5 3 2 2" xfId="23595" xr:uid="{20F2A6BD-0491-47F4-AC2A-97AC35DF37E8}"/>
    <cellStyle name="Comma 5 4" xfId="12252" xr:uid="{00000000-0005-0000-0000-00009C070000}"/>
    <cellStyle name="Comma 5 4 2" xfId="20993" xr:uid="{C0FD21BB-6D7E-4BBA-B680-C0496B6529F2}"/>
    <cellStyle name="Comma 5 4 2 2" xfId="23869" xr:uid="{DE7F5101-0E08-4E46-B686-065ADD10EF7A}"/>
    <cellStyle name="Comma 5 5" xfId="14035" xr:uid="{22950C8C-E580-456D-91AA-989A4967F213}"/>
    <cellStyle name="Comma 5 5 2" xfId="22890" xr:uid="{ED365374-B613-4787-95A2-993FE87E4F32}"/>
    <cellStyle name="Comma 50" xfId="23878" xr:uid="{C220416E-6C6D-43CC-9438-3D579E4819F3}"/>
    <cellStyle name="Comma 51" xfId="22795" xr:uid="{05B5E94E-4D18-4110-AFF2-811DE9E46F35}"/>
    <cellStyle name="Comma 52" xfId="22787" xr:uid="{70CC4F85-9F18-46C7-A6A8-087D30CC281C}"/>
    <cellStyle name="Comma 53" xfId="22838" xr:uid="{A222724C-C1EB-4C4E-ACB6-B039B529C1C8}"/>
    <cellStyle name="Comma 54" xfId="22855" xr:uid="{0BAB8E54-0668-43E9-824D-7D310D45F764}"/>
    <cellStyle name="Comma 55" xfId="22807" xr:uid="{FE15A6F9-B3D2-4C81-A965-24FEF56B9DB5}"/>
    <cellStyle name="Comma 56" xfId="23225" xr:uid="{D97EDF1D-E552-44DF-92DC-A5E930CA0BCB}"/>
    <cellStyle name="Comma 57" xfId="22783" xr:uid="{DFACBC2B-229F-4972-B01C-BE1396C2E2AD}"/>
    <cellStyle name="Comma 58" xfId="22863" xr:uid="{40979708-ED04-446F-BD0E-C02993A54B31}"/>
    <cellStyle name="Comma 59" xfId="22944" xr:uid="{D02B1DF0-20F7-4EAB-81B0-27CACD734160}"/>
    <cellStyle name="Comma 6" xfId="754" xr:uid="{00000000-0005-0000-0000-00009D070000}"/>
    <cellStyle name="Comma 6 2" xfId="7430" xr:uid="{00000000-0005-0000-0000-00009E070000}"/>
    <cellStyle name="Comma 6 2 2" xfId="16244" xr:uid="{49EC3771-469B-4A48-95C6-2EB45CA34163}"/>
    <cellStyle name="Comma 6 2 2 2" xfId="23220" xr:uid="{B43C099A-7E2A-4A65-A524-66FB57A49BBC}"/>
    <cellStyle name="Comma 6 3" xfId="10652" xr:uid="{00000000-0005-0000-0000-00009F070000}"/>
    <cellStyle name="Comma 6 3 2" xfId="19395" xr:uid="{8487D636-C1EC-4B02-887F-8EC77189FEE7}"/>
    <cellStyle name="Comma 6 3 2 2" xfId="23596" xr:uid="{AEE39DF5-D87B-451C-83A3-E3C1BAFFB8E8}"/>
    <cellStyle name="Comma 6 4" xfId="12253" xr:uid="{00000000-0005-0000-0000-0000A0070000}"/>
    <cellStyle name="Comma 6 4 2" xfId="20994" xr:uid="{5FC43938-2F8C-4EF2-BD36-4D0B26856750}"/>
    <cellStyle name="Comma 6 4 2 2" xfId="23870" xr:uid="{A07786ED-3B5D-463D-9DEE-9236E14DE49F}"/>
    <cellStyle name="Comma 6 5" xfId="14514" xr:uid="{8C2751EC-D6FF-48E9-ADC6-877F1C69E449}"/>
    <cellStyle name="Comma 6 5 2" xfId="22916" xr:uid="{DC67306C-92AF-4F69-B98A-0D619CA3E671}"/>
    <cellStyle name="Comma 60" xfId="24138" xr:uid="{DFD16E51-DB69-465B-A4FC-EB0F68615EC4}"/>
    <cellStyle name="Comma 61" xfId="22945" xr:uid="{AA8913A5-5910-44DD-A2E2-D35844B6B24C}"/>
    <cellStyle name="Comma 62" xfId="22798" xr:uid="{600F4D2D-AD76-40C2-BDB2-7CD2BD46DF8B}"/>
    <cellStyle name="Comma 63" xfId="22947" xr:uid="{12AF7D45-031D-4245-B5A0-A581AC57F43A}"/>
    <cellStyle name="Comma 64" xfId="22829" xr:uid="{E30D013A-2530-4110-81AD-3EDAF3F5C1D4}"/>
    <cellStyle name="Comma 65" xfId="22786" xr:uid="{3C3A81C7-0841-4646-BAC7-4629FE178F97}"/>
    <cellStyle name="Comma 66" xfId="23599" xr:uid="{61CCA9B5-7A47-46A5-B235-B154EBD70D6F}"/>
    <cellStyle name="Comma 67" xfId="22826" xr:uid="{FBAA314C-9F1F-4C27-A3C0-E6BC81FE2A1B}"/>
    <cellStyle name="Comma 68" xfId="22886" xr:uid="{EEF05BFA-1247-4707-9904-00BAD0BE5472}"/>
    <cellStyle name="Comma 69" xfId="22865" xr:uid="{BCE3147A-CAEC-44DC-A679-D1E59A05AB28}"/>
    <cellStyle name="Comma 7" xfId="755" xr:uid="{00000000-0005-0000-0000-0000A1070000}"/>
    <cellStyle name="Comma 7 2" xfId="7431" xr:uid="{00000000-0005-0000-0000-0000A2070000}"/>
    <cellStyle name="Comma 7 2 2" xfId="16245" xr:uid="{354D7BA4-8EDA-4297-94B5-3141D32CED12}"/>
    <cellStyle name="Comma 7 2 2 2" xfId="23221" xr:uid="{49E9142A-95FA-4893-8AFF-824538FAB539}"/>
    <cellStyle name="Comma 7 3" xfId="10653" xr:uid="{00000000-0005-0000-0000-0000A3070000}"/>
    <cellStyle name="Comma 7 3 2" xfId="19396" xr:uid="{78EDFFAB-5ABE-4950-BAE4-23FEAE5D12F1}"/>
    <cellStyle name="Comma 7 3 2 2" xfId="23597" xr:uid="{688F36CC-83ED-4CFD-8397-C0B74AE42B0E}"/>
    <cellStyle name="Comma 7 4" xfId="12254" xr:uid="{00000000-0005-0000-0000-0000A4070000}"/>
    <cellStyle name="Comma 7 4 2" xfId="20995" xr:uid="{9AF6B00E-9121-424F-B4C9-C3C7F2B70759}"/>
    <cellStyle name="Comma 7 4 2 2" xfId="23871" xr:uid="{6FBAD020-4297-425F-A71D-322A3AA0CD3B}"/>
    <cellStyle name="Comma 7 5" xfId="14516" xr:uid="{4204DD89-9D41-4DE0-89FD-89180689A6C2}"/>
    <cellStyle name="Comma 7 5 2" xfId="22918" xr:uid="{2AE061B2-AEDE-47F1-90C0-F79649B30CE9}"/>
    <cellStyle name="Comma 70" xfId="22836" xr:uid="{016C2850-7B39-4AD3-8CE2-EA26694EE8DE}"/>
    <cellStyle name="Comma 71" xfId="22914" xr:uid="{D1A65363-6326-4DA4-8E0E-6483EDD74F9A}"/>
    <cellStyle name="Comma 72" xfId="22808" xr:uid="{9F1B5A3E-13DF-405A-920A-479C704776DA}"/>
    <cellStyle name="Comma 73" xfId="22842" xr:uid="{3740F49E-1604-4D47-9F5E-5B03C271228B}"/>
    <cellStyle name="Comma 74" xfId="23231" xr:uid="{C9A60052-4969-4655-BCE6-C96EC2F1BB3E}"/>
    <cellStyle name="Comma 75" xfId="23600" xr:uid="{657196FB-4D8D-4225-95E6-FF108D10AD6B}"/>
    <cellStyle name="Comma 76" xfId="23608" xr:uid="{FC550B44-79B7-4AB0-A15E-531065622C02}"/>
    <cellStyle name="Comma 77" xfId="22847" xr:uid="{F3BCF23F-D4C0-4C94-9F49-1E66A5A897A2}"/>
    <cellStyle name="Comma 8" xfId="756" xr:uid="{00000000-0005-0000-0000-0000A5070000}"/>
    <cellStyle name="Comma 8 2" xfId="9044" xr:uid="{00000000-0005-0000-0000-0000A6070000}"/>
    <cellStyle name="Comma 8 2 2" xfId="17850" xr:uid="{CFBBFD97-BDBB-4D3A-951C-56F0CDBB5648}"/>
    <cellStyle name="Comma 8 2 2 2" xfId="23490" xr:uid="{00D3899C-2832-43DA-8791-9BD8F3BA3D42}"/>
    <cellStyle name="Comma 8 3" xfId="7432" xr:uid="{00000000-0005-0000-0000-0000A7070000}"/>
    <cellStyle name="Comma 8 3 2" xfId="16246" xr:uid="{F5DF7153-58D5-4AB2-839C-9CEE5A8C55A8}"/>
    <cellStyle name="Comma 8 3 2 2" xfId="23222" xr:uid="{BFE1983E-DA2B-435D-B19A-DF475D0D7070}"/>
    <cellStyle name="Comma 8 4" xfId="10654" xr:uid="{00000000-0005-0000-0000-0000A8070000}"/>
    <cellStyle name="Comma 8 4 2" xfId="19397" xr:uid="{610F44DE-89F4-4CFE-BF43-D8195F49A6CC}"/>
    <cellStyle name="Comma 8 4 2 2" xfId="23598" xr:uid="{11BFCB8B-68F9-4500-8CAD-8BEF35BED9AC}"/>
    <cellStyle name="Comma 8 5" xfId="12255" xr:uid="{00000000-0005-0000-0000-0000A9070000}"/>
    <cellStyle name="Comma 8 5 2" xfId="20996" xr:uid="{89821283-7719-4CE2-82A8-B94E4503A8B1}"/>
    <cellStyle name="Comma 8 5 2 2" xfId="23872" xr:uid="{6CFC1D0F-C89D-4800-B14E-A1209BB93356}"/>
    <cellStyle name="Comma 8 6" xfId="14515" xr:uid="{6203810F-7623-4014-A167-B2A5AAD34BD3}"/>
    <cellStyle name="Comma 8 6 2" xfId="22917" xr:uid="{A318247D-22E9-435C-A545-4C2933CEE77A}"/>
    <cellStyle name="Comma 9" xfId="87" xr:uid="{00000000-0005-0000-0000-0000AA070000}"/>
    <cellStyle name="Comma_DROG3 2T10" xfId="4" xr:uid="{00000000-0005-0000-0000-0000AB070000}"/>
    <cellStyle name="Comma0" xfId="757" xr:uid="{00000000-0005-0000-0000-0000AC070000}"/>
    <cellStyle name="Comma0 10" xfId="758" xr:uid="{00000000-0005-0000-0000-0000AD070000}"/>
    <cellStyle name="Comma0 11" xfId="759" xr:uid="{00000000-0005-0000-0000-0000AE070000}"/>
    <cellStyle name="Comma0 12" xfId="760" xr:uid="{00000000-0005-0000-0000-0000AF070000}"/>
    <cellStyle name="Comma0 13" xfId="761" xr:uid="{00000000-0005-0000-0000-0000B0070000}"/>
    <cellStyle name="Comma0 14" xfId="762" xr:uid="{00000000-0005-0000-0000-0000B1070000}"/>
    <cellStyle name="Comma0 15" xfId="763" xr:uid="{00000000-0005-0000-0000-0000B2070000}"/>
    <cellStyle name="Comma0 16" xfId="764" xr:uid="{00000000-0005-0000-0000-0000B3070000}"/>
    <cellStyle name="Comma0 17" xfId="765" xr:uid="{00000000-0005-0000-0000-0000B4070000}"/>
    <cellStyle name="Comma0 18" xfId="766" xr:uid="{00000000-0005-0000-0000-0000B5070000}"/>
    <cellStyle name="Comma0 19" xfId="767" xr:uid="{00000000-0005-0000-0000-0000B6070000}"/>
    <cellStyle name="Comma0 2" xfId="768" xr:uid="{00000000-0005-0000-0000-0000B7070000}"/>
    <cellStyle name="Comma0 2 2" xfId="769" xr:uid="{00000000-0005-0000-0000-0000B8070000}"/>
    <cellStyle name="Comma0 20" xfId="770" xr:uid="{00000000-0005-0000-0000-0000B9070000}"/>
    <cellStyle name="Comma0 21" xfId="771" xr:uid="{00000000-0005-0000-0000-0000BA070000}"/>
    <cellStyle name="Comma0 22" xfId="772" xr:uid="{00000000-0005-0000-0000-0000BB070000}"/>
    <cellStyle name="Comma0 23" xfId="773" xr:uid="{00000000-0005-0000-0000-0000BC070000}"/>
    <cellStyle name="Comma0 24" xfId="774" xr:uid="{00000000-0005-0000-0000-0000BD070000}"/>
    <cellStyle name="Comma0 25" xfId="775" xr:uid="{00000000-0005-0000-0000-0000BE070000}"/>
    <cellStyle name="Comma0 26" xfId="776" xr:uid="{00000000-0005-0000-0000-0000BF070000}"/>
    <cellStyle name="Comma0 27" xfId="777" xr:uid="{00000000-0005-0000-0000-0000C0070000}"/>
    <cellStyle name="Comma0 28" xfId="778" xr:uid="{00000000-0005-0000-0000-0000C1070000}"/>
    <cellStyle name="Comma0 29" xfId="779" xr:uid="{00000000-0005-0000-0000-0000C2070000}"/>
    <cellStyle name="Comma0 3" xfId="780" xr:uid="{00000000-0005-0000-0000-0000C3070000}"/>
    <cellStyle name="Comma0 3 2" xfId="781" xr:uid="{00000000-0005-0000-0000-0000C4070000}"/>
    <cellStyle name="Comma0 30" xfId="782" xr:uid="{00000000-0005-0000-0000-0000C5070000}"/>
    <cellStyle name="Comma0 31" xfId="783" xr:uid="{00000000-0005-0000-0000-0000C6070000}"/>
    <cellStyle name="Comma0 32" xfId="784" xr:uid="{00000000-0005-0000-0000-0000C7070000}"/>
    <cellStyle name="Comma0 33" xfId="785" xr:uid="{00000000-0005-0000-0000-0000C8070000}"/>
    <cellStyle name="Comma0 34" xfId="786" xr:uid="{00000000-0005-0000-0000-0000C9070000}"/>
    <cellStyle name="Comma0 35" xfId="787" xr:uid="{00000000-0005-0000-0000-0000CA070000}"/>
    <cellStyle name="Comma0 36" xfId="788" xr:uid="{00000000-0005-0000-0000-0000CB070000}"/>
    <cellStyle name="Comma0 37" xfId="789" xr:uid="{00000000-0005-0000-0000-0000CC070000}"/>
    <cellStyle name="Comma0 38" xfId="790" xr:uid="{00000000-0005-0000-0000-0000CD070000}"/>
    <cellStyle name="Comma0 39" xfId="791" xr:uid="{00000000-0005-0000-0000-0000CE070000}"/>
    <cellStyle name="Comma0 4" xfId="792" xr:uid="{00000000-0005-0000-0000-0000CF070000}"/>
    <cellStyle name="Comma0 4 2" xfId="793" xr:uid="{00000000-0005-0000-0000-0000D0070000}"/>
    <cellStyle name="Comma0 40" xfId="794" xr:uid="{00000000-0005-0000-0000-0000D1070000}"/>
    <cellStyle name="Comma0 41" xfId="5010" xr:uid="{00000000-0005-0000-0000-0000D2070000}"/>
    <cellStyle name="Comma0 5" xfId="795" xr:uid="{00000000-0005-0000-0000-0000D3070000}"/>
    <cellStyle name="Comma0 6" xfId="796" xr:uid="{00000000-0005-0000-0000-0000D4070000}"/>
    <cellStyle name="Comma0 7" xfId="797" xr:uid="{00000000-0005-0000-0000-0000D5070000}"/>
    <cellStyle name="Comma0 8" xfId="798" xr:uid="{00000000-0005-0000-0000-0000D6070000}"/>
    <cellStyle name="Comma0 9" xfId="799" xr:uid="{00000000-0005-0000-0000-0000D7070000}"/>
    <cellStyle name="Copied" xfId="800" xr:uid="{00000000-0005-0000-0000-0000D8070000}"/>
    <cellStyle name="Corpo" xfId="801" xr:uid="{00000000-0005-0000-0000-0000D9070000}"/>
    <cellStyle name="Corpo 10" xfId="802" xr:uid="{00000000-0005-0000-0000-0000DA070000}"/>
    <cellStyle name="Corpo 11" xfId="803" xr:uid="{00000000-0005-0000-0000-0000DB070000}"/>
    <cellStyle name="Corpo 12" xfId="804" xr:uid="{00000000-0005-0000-0000-0000DC070000}"/>
    <cellStyle name="Corpo 13" xfId="805" xr:uid="{00000000-0005-0000-0000-0000DD070000}"/>
    <cellStyle name="Corpo 14" xfId="806" xr:uid="{00000000-0005-0000-0000-0000DE070000}"/>
    <cellStyle name="Corpo 15" xfId="807" xr:uid="{00000000-0005-0000-0000-0000DF070000}"/>
    <cellStyle name="Corpo 16" xfId="808" xr:uid="{00000000-0005-0000-0000-0000E0070000}"/>
    <cellStyle name="Corpo 17" xfId="809" xr:uid="{00000000-0005-0000-0000-0000E1070000}"/>
    <cellStyle name="Corpo 18" xfId="810" xr:uid="{00000000-0005-0000-0000-0000E2070000}"/>
    <cellStyle name="Corpo 19" xfId="811" xr:uid="{00000000-0005-0000-0000-0000E3070000}"/>
    <cellStyle name="Corpo 2" xfId="812" xr:uid="{00000000-0005-0000-0000-0000E4070000}"/>
    <cellStyle name="Corpo 2 10" xfId="813" xr:uid="{00000000-0005-0000-0000-0000E5070000}"/>
    <cellStyle name="Corpo 2 11" xfId="814" xr:uid="{00000000-0005-0000-0000-0000E6070000}"/>
    <cellStyle name="Corpo 2 12" xfId="815" xr:uid="{00000000-0005-0000-0000-0000E7070000}"/>
    <cellStyle name="Corpo 2 13" xfId="816" xr:uid="{00000000-0005-0000-0000-0000E8070000}"/>
    <cellStyle name="Corpo 2 14" xfId="817" xr:uid="{00000000-0005-0000-0000-0000E9070000}"/>
    <cellStyle name="Corpo 2 15" xfId="818" xr:uid="{00000000-0005-0000-0000-0000EA070000}"/>
    <cellStyle name="Corpo 2 16" xfId="819" xr:uid="{00000000-0005-0000-0000-0000EB070000}"/>
    <cellStyle name="Corpo 2 17" xfId="820" xr:uid="{00000000-0005-0000-0000-0000EC070000}"/>
    <cellStyle name="Corpo 2 18" xfId="821" xr:uid="{00000000-0005-0000-0000-0000ED070000}"/>
    <cellStyle name="Corpo 2 19" xfId="822" xr:uid="{00000000-0005-0000-0000-0000EE070000}"/>
    <cellStyle name="Corpo 2 2" xfId="823" xr:uid="{00000000-0005-0000-0000-0000EF070000}"/>
    <cellStyle name="Corpo 2 20" xfId="824" xr:uid="{00000000-0005-0000-0000-0000F0070000}"/>
    <cellStyle name="Corpo 2 21" xfId="825" xr:uid="{00000000-0005-0000-0000-0000F1070000}"/>
    <cellStyle name="Corpo 2 22" xfId="826" xr:uid="{00000000-0005-0000-0000-0000F2070000}"/>
    <cellStyle name="Corpo 2 23" xfId="827" xr:uid="{00000000-0005-0000-0000-0000F3070000}"/>
    <cellStyle name="Corpo 2 24" xfId="828" xr:uid="{00000000-0005-0000-0000-0000F4070000}"/>
    <cellStyle name="Corpo 2 25" xfId="829" xr:uid="{00000000-0005-0000-0000-0000F5070000}"/>
    <cellStyle name="Corpo 2 26" xfId="830" xr:uid="{00000000-0005-0000-0000-0000F6070000}"/>
    <cellStyle name="Corpo 2 27" xfId="831" xr:uid="{00000000-0005-0000-0000-0000F7070000}"/>
    <cellStyle name="Corpo 2 28" xfId="832" xr:uid="{00000000-0005-0000-0000-0000F8070000}"/>
    <cellStyle name="Corpo 2 29" xfId="833" xr:uid="{00000000-0005-0000-0000-0000F9070000}"/>
    <cellStyle name="Corpo 2 3" xfId="834" xr:uid="{00000000-0005-0000-0000-0000FA070000}"/>
    <cellStyle name="Corpo 2 30" xfId="835" xr:uid="{00000000-0005-0000-0000-0000FB070000}"/>
    <cellStyle name="Corpo 2 31" xfId="836" xr:uid="{00000000-0005-0000-0000-0000FC070000}"/>
    <cellStyle name="Corpo 2 32" xfId="837" xr:uid="{00000000-0005-0000-0000-0000FD070000}"/>
    <cellStyle name="Corpo 2 33" xfId="838" xr:uid="{00000000-0005-0000-0000-0000FE070000}"/>
    <cellStyle name="Corpo 2 34" xfId="839" xr:uid="{00000000-0005-0000-0000-0000FF070000}"/>
    <cellStyle name="Corpo 2 35" xfId="840" xr:uid="{00000000-0005-0000-0000-000000080000}"/>
    <cellStyle name="Corpo 2 36" xfId="841" xr:uid="{00000000-0005-0000-0000-000001080000}"/>
    <cellStyle name="Corpo 2 37" xfId="842" xr:uid="{00000000-0005-0000-0000-000002080000}"/>
    <cellStyle name="Corpo 2 38" xfId="843" xr:uid="{00000000-0005-0000-0000-000003080000}"/>
    <cellStyle name="Corpo 2 39" xfId="844" xr:uid="{00000000-0005-0000-0000-000004080000}"/>
    <cellStyle name="Corpo 2 4" xfId="845" xr:uid="{00000000-0005-0000-0000-000005080000}"/>
    <cellStyle name="Corpo 2 40" xfId="846" xr:uid="{00000000-0005-0000-0000-000006080000}"/>
    <cellStyle name="Corpo 2 5" xfId="847" xr:uid="{00000000-0005-0000-0000-000007080000}"/>
    <cellStyle name="Corpo 2 6" xfId="848" xr:uid="{00000000-0005-0000-0000-000008080000}"/>
    <cellStyle name="Corpo 2 7" xfId="849" xr:uid="{00000000-0005-0000-0000-000009080000}"/>
    <cellStyle name="Corpo 2 8" xfId="850" xr:uid="{00000000-0005-0000-0000-00000A080000}"/>
    <cellStyle name="Corpo 2 9" xfId="851" xr:uid="{00000000-0005-0000-0000-00000B080000}"/>
    <cellStyle name="Corpo 20" xfId="852" xr:uid="{00000000-0005-0000-0000-00000C080000}"/>
    <cellStyle name="Corpo 21" xfId="853" xr:uid="{00000000-0005-0000-0000-00000D080000}"/>
    <cellStyle name="Corpo 22" xfId="854" xr:uid="{00000000-0005-0000-0000-00000E080000}"/>
    <cellStyle name="Corpo 23" xfId="855" xr:uid="{00000000-0005-0000-0000-00000F080000}"/>
    <cellStyle name="Corpo 24" xfId="856" xr:uid="{00000000-0005-0000-0000-000010080000}"/>
    <cellStyle name="Corpo 25" xfId="857" xr:uid="{00000000-0005-0000-0000-000011080000}"/>
    <cellStyle name="Corpo 26" xfId="858" xr:uid="{00000000-0005-0000-0000-000012080000}"/>
    <cellStyle name="Corpo 27" xfId="859" xr:uid="{00000000-0005-0000-0000-000013080000}"/>
    <cellStyle name="Corpo 28" xfId="860" xr:uid="{00000000-0005-0000-0000-000014080000}"/>
    <cellStyle name="Corpo 29" xfId="861" xr:uid="{00000000-0005-0000-0000-000015080000}"/>
    <cellStyle name="Corpo 3" xfId="862" xr:uid="{00000000-0005-0000-0000-000016080000}"/>
    <cellStyle name="Corpo 30" xfId="863" xr:uid="{00000000-0005-0000-0000-000017080000}"/>
    <cellStyle name="Corpo 31" xfId="864" xr:uid="{00000000-0005-0000-0000-000018080000}"/>
    <cellStyle name="Corpo 32" xfId="865" xr:uid="{00000000-0005-0000-0000-000019080000}"/>
    <cellStyle name="Corpo 33" xfId="866" xr:uid="{00000000-0005-0000-0000-00001A080000}"/>
    <cellStyle name="Corpo 34" xfId="867" xr:uid="{00000000-0005-0000-0000-00001B080000}"/>
    <cellStyle name="Corpo 35" xfId="868" xr:uid="{00000000-0005-0000-0000-00001C080000}"/>
    <cellStyle name="Corpo 36" xfId="869" xr:uid="{00000000-0005-0000-0000-00001D080000}"/>
    <cellStyle name="Corpo 37" xfId="870" xr:uid="{00000000-0005-0000-0000-00001E080000}"/>
    <cellStyle name="Corpo 38" xfId="871" xr:uid="{00000000-0005-0000-0000-00001F080000}"/>
    <cellStyle name="Corpo 39" xfId="872" xr:uid="{00000000-0005-0000-0000-000020080000}"/>
    <cellStyle name="Corpo 4" xfId="873" xr:uid="{00000000-0005-0000-0000-000021080000}"/>
    <cellStyle name="Corpo 40" xfId="874" xr:uid="{00000000-0005-0000-0000-000022080000}"/>
    <cellStyle name="Corpo 41" xfId="875" xr:uid="{00000000-0005-0000-0000-000023080000}"/>
    <cellStyle name="Corpo 5" xfId="876" xr:uid="{00000000-0005-0000-0000-000024080000}"/>
    <cellStyle name="Corpo 6" xfId="877" xr:uid="{00000000-0005-0000-0000-000025080000}"/>
    <cellStyle name="Corpo 7" xfId="878" xr:uid="{00000000-0005-0000-0000-000026080000}"/>
    <cellStyle name="Corpo 8" xfId="879" xr:uid="{00000000-0005-0000-0000-000027080000}"/>
    <cellStyle name="Corpo 9" xfId="880" xr:uid="{00000000-0005-0000-0000-000028080000}"/>
    <cellStyle name="Corpo_Consolidado Angola_Mineração_SDM" xfId="881" xr:uid="{00000000-0005-0000-0000-000029080000}"/>
    <cellStyle name="Cover Date" xfId="5011" xr:uid="{00000000-0005-0000-0000-00002A080000}"/>
    <cellStyle name="Cover Subtitle" xfId="5012" xr:uid="{00000000-0005-0000-0000-00002B080000}"/>
    <cellStyle name="Cover Title" xfId="5013" xr:uid="{00000000-0005-0000-0000-00002C080000}"/>
    <cellStyle name="Currency [0] 10" xfId="884" xr:uid="{00000000-0005-0000-0000-00002D080000}"/>
    <cellStyle name="Currency [0] 11" xfId="885" xr:uid="{00000000-0005-0000-0000-00002E080000}"/>
    <cellStyle name="Currency [0] 12" xfId="886" xr:uid="{00000000-0005-0000-0000-00002F080000}"/>
    <cellStyle name="Currency [0] 13" xfId="887" xr:uid="{00000000-0005-0000-0000-000030080000}"/>
    <cellStyle name="Currency [0] 14" xfId="888" xr:uid="{00000000-0005-0000-0000-000031080000}"/>
    <cellStyle name="Currency [0] 15" xfId="889" xr:uid="{00000000-0005-0000-0000-000032080000}"/>
    <cellStyle name="Currency [0] 16" xfId="890" xr:uid="{00000000-0005-0000-0000-000033080000}"/>
    <cellStyle name="Currency [0] 17" xfId="891" xr:uid="{00000000-0005-0000-0000-000034080000}"/>
    <cellStyle name="Currency [0] 18" xfId="892" xr:uid="{00000000-0005-0000-0000-000035080000}"/>
    <cellStyle name="Currency [0] 19" xfId="893" xr:uid="{00000000-0005-0000-0000-000036080000}"/>
    <cellStyle name="Currency [0] 2" xfId="894" xr:uid="{00000000-0005-0000-0000-000037080000}"/>
    <cellStyle name="Currency [0] 20" xfId="895" xr:uid="{00000000-0005-0000-0000-000038080000}"/>
    <cellStyle name="Currency [0] 21" xfId="896" xr:uid="{00000000-0005-0000-0000-000039080000}"/>
    <cellStyle name="Currency [0] 22" xfId="897" xr:uid="{00000000-0005-0000-0000-00003A080000}"/>
    <cellStyle name="Currency [0] 23" xfId="898" xr:uid="{00000000-0005-0000-0000-00003B080000}"/>
    <cellStyle name="Currency [0] 24" xfId="899" xr:uid="{00000000-0005-0000-0000-00003C080000}"/>
    <cellStyle name="Currency [0] 25" xfId="900" xr:uid="{00000000-0005-0000-0000-00003D080000}"/>
    <cellStyle name="Currency [0] 26" xfId="901" xr:uid="{00000000-0005-0000-0000-00003E080000}"/>
    <cellStyle name="Currency [0] 27" xfId="902" xr:uid="{00000000-0005-0000-0000-00003F080000}"/>
    <cellStyle name="Currency [0] 28" xfId="903" xr:uid="{00000000-0005-0000-0000-000040080000}"/>
    <cellStyle name="Currency [0] 29" xfId="904" xr:uid="{00000000-0005-0000-0000-000041080000}"/>
    <cellStyle name="Currency [0] 3" xfId="905" xr:uid="{00000000-0005-0000-0000-000042080000}"/>
    <cellStyle name="Currency [0] 30" xfId="906" xr:uid="{00000000-0005-0000-0000-000043080000}"/>
    <cellStyle name="Currency [0] 31" xfId="907" xr:uid="{00000000-0005-0000-0000-000044080000}"/>
    <cellStyle name="Currency [0] 32" xfId="908" xr:uid="{00000000-0005-0000-0000-000045080000}"/>
    <cellStyle name="Currency [0] 33" xfId="909" xr:uid="{00000000-0005-0000-0000-000046080000}"/>
    <cellStyle name="Currency [0] 34" xfId="910" xr:uid="{00000000-0005-0000-0000-000047080000}"/>
    <cellStyle name="Currency [0] 35" xfId="911" xr:uid="{00000000-0005-0000-0000-000048080000}"/>
    <cellStyle name="Currency [0] 36" xfId="912" xr:uid="{00000000-0005-0000-0000-000049080000}"/>
    <cellStyle name="Currency [0] 37" xfId="913" xr:uid="{00000000-0005-0000-0000-00004A080000}"/>
    <cellStyle name="Currency [0] 38" xfId="914" xr:uid="{00000000-0005-0000-0000-00004B080000}"/>
    <cellStyle name="Currency [0] 39" xfId="915" xr:uid="{00000000-0005-0000-0000-00004C080000}"/>
    <cellStyle name="Currency [0] 4" xfId="916" xr:uid="{00000000-0005-0000-0000-00004D080000}"/>
    <cellStyle name="Currency [0] 40" xfId="917" xr:uid="{00000000-0005-0000-0000-00004E080000}"/>
    <cellStyle name="Currency [0] 41" xfId="883" xr:uid="{00000000-0005-0000-0000-00004F080000}"/>
    <cellStyle name="Currency [0] 5" xfId="918" xr:uid="{00000000-0005-0000-0000-000050080000}"/>
    <cellStyle name="Currency [0] 6" xfId="919" xr:uid="{00000000-0005-0000-0000-000051080000}"/>
    <cellStyle name="Currency [0] 7" xfId="920" xr:uid="{00000000-0005-0000-0000-000052080000}"/>
    <cellStyle name="Currency [0] 8" xfId="921" xr:uid="{00000000-0005-0000-0000-000053080000}"/>
    <cellStyle name="Currency [0] 9" xfId="922" xr:uid="{00000000-0005-0000-0000-000054080000}"/>
    <cellStyle name="Currency [00]" xfId="5014" xr:uid="{00000000-0005-0000-0000-000055080000}"/>
    <cellStyle name="Currency [1]" xfId="923" xr:uid="{00000000-0005-0000-0000-000056080000}"/>
    <cellStyle name="Currency [1] 2" xfId="12256" xr:uid="{00000000-0005-0000-0000-000057080000}"/>
    <cellStyle name="Currency [2]" xfId="924" xr:uid="{00000000-0005-0000-0000-000058080000}"/>
    <cellStyle name="Currency [2] 2" xfId="12257" xr:uid="{00000000-0005-0000-0000-000059080000}"/>
    <cellStyle name="Currency 0" xfId="5015" xr:uid="{00000000-0005-0000-0000-00005A080000}"/>
    <cellStyle name="Currency 10" xfId="22707" xr:uid="{9ABCD86D-0D35-483F-9BD5-3C0205E7A806}"/>
    <cellStyle name="Currency 11" xfId="22708" xr:uid="{DD503073-5E53-4D68-97BF-ADE61FF75845}"/>
    <cellStyle name="Currency 12" xfId="22709" xr:uid="{1EE8808B-56EF-4F02-ABCE-F46F3D57C1E5}"/>
    <cellStyle name="Currency 13" xfId="22710" xr:uid="{BFE0D195-C6E5-4978-B44C-6D8DBD53EA37}"/>
    <cellStyle name="Currency 14" xfId="22711" xr:uid="{51225222-BAE5-462E-8424-17EAE163B72B}"/>
    <cellStyle name="Currency 15" xfId="22712" xr:uid="{062543B9-9014-404C-825D-934378DCA74A}"/>
    <cellStyle name="Currency 16" xfId="22713" xr:uid="{FB3D4EFC-D237-4EFE-A9F2-CA155D5581F2}"/>
    <cellStyle name="Currency 17" xfId="22714" xr:uid="{9D8805FB-300A-4B22-BCCC-A928B4643600}"/>
    <cellStyle name="Currency 18" xfId="22715" xr:uid="{25CC876F-0C41-480B-B27E-993F3899F8B0}"/>
    <cellStyle name="Currency 19" xfId="22716" xr:uid="{520445B5-5468-444E-A40A-6F95796F9BCA}"/>
    <cellStyle name="Currency 2" xfId="5016" xr:uid="{00000000-0005-0000-0000-00005B080000}"/>
    <cellStyle name="Currency 20" xfId="22717" xr:uid="{5AE135DE-53CF-4CC4-8938-4850B4270E7F}"/>
    <cellStyle name="Currency 21" xfId="22718" xr:uid="{D74348E7-95E0-453D-BFD2-6E9AD075C975}"/>
    <cellStyle name="Currency 22" xfId="22727" xr:uid="{500FFAE7-E652-4B76-84AC-E97BC9842170}"/>
    <cellStyle name="Currency 23" xfId="22728" xr:uid="{3C4B0173-E488-4D83-82A9-B3A6395E61B4}"/>
    <cellStyle name="Currency 24" xfId="22769" xr:uid="{C127022B-79E6-4A43-853F-34393B2B25FD}"/>
    <cellStyle name="Currency 25" xfId="22770" xr:uid="{BB9D1CCB-8A58-4094-94EE-B4B300295988}"/>
    <cellStyle name="Currency 26" xfId="22771" xr:uid="{B92330AF-F75A-4F83-BA35-9DED9A9FFB76}"/>
    <cellStyle name="Currency 27" xfId="22772" xr:uid="{4195683E-67FB-4EDE-80D4-FA3C644E4E87}"/>
    <cellStyle name="Currency 28" xfId="22773" xr:uid="{9EB4F1DC-C3E7-4C88-BA41-91545F489510}"/>
    <cellStyle name="Currency 29" xfId="22774" xr:uid="{850D30AF-7D4D-4BED-A22A-3BE8A1EC312A}"/>
    <cellStyle name="Currency 3" xfId="882" xr:uid="{00000000-0005-0000-0000-00005C080000}"/>
    <cellStyle name="Currency 3*" xfId="5017" xr:uid="{00000000-0005-0000-0000-00005D080000}"/>
    <cellStyle name="Currency 30" xfId="22775" xr:uid="{9C8B3A0E-C1ED-4D05-A1CA-2014A4BDDB87}"/>
    <cellStyle name="Currency 31" xfId="22776" xr:uid="{99EBA219-A2A8-4493-A0E8-50DDB2EEA557}"/>
    <cellStyle name="Currency 32" xfId="22777" xr:uid="{3AD7BBCD-602F-4FF8-94CB-3D46254D2A37}"/>
    <cellStyle name="Currency 33" xfId="22778" xr:uid="{1912876D-938E-4B9A-8628-B1C4A2CF9081}"/>
    <cellStyle name="Currency 34" xfId="24135" xr:uid="{43707140-1BDD-48E9-87E8-6ECBE6483B8C}"/>
    <cellStyle name="Currency 35" xfId="24148" xr:uid="{F6C4AFCC-0FBF-498A-90DB-7CC8D2CBC8BC}"/>
    <cellStyle name="Currency 36" xfId="24149" xr:uid="{72249FE1-59FA-43A5-8CEB-BFF93BC0DA7C}"/>
    <cellStyle name="Currency 37" xfId="24150" xr:uid="{FA3ACF02-D0B7-45B7-A86A-EC0D1B085A0A}"/>
    <cellStyle name="Currency 38" xfId="24151" xr:uid="{63068500-049A-4F9F-BDED-CE78DF9B2B70}"/>
    <cellStyle name="Currency 39" xfId="24152" xr:uid="{49003468-EC9D-4023-BABC-5FF53D7D3A3C}"/>
    <cellStyle name="Currency 4" xfId="22674" xr:uid="{300D8102-BC2D-40DE-B44A-A1E013987AAE}"/>
    <cellStyle name="Currency 40" xfId="24153" xr:uid="{59618B33-E09F-4CB8-8F8F-92368704E284}"/>
    <cellStyle name="Currency 41" xfId="24154" xr:uid="{F6C1EEEA-CE84-407A-A213-F47C80121DB6}"/>
    <cellStyle name="Currency 42" xfId="24155" xr:uid="{00D6B8EA-E6D6-4417-B593-23D4DCC768CE}"/>
    <cellStyle name="Currency 43" xfId="24156" xr:uid="{B6AD3B6C-3DF2-410B-8379-0923AFB24EFB}"/>
    <cellStyle name="Currency 44" xfId="24157" xr:uid="{0DDE369F-552E-41D7-8F3C-EFA986654856}"/>
    <cellStyle name="Currency 45" xfId="24158" xr:uid="{00397A45-C16C-4333-83BB-C300728D45FB}"/>
    <cellStyle name="Currency 46" xfId="24159" xr:uid="{234CAA49-E9B3-4AF7-AF32-212041D067B1}"/>
    <cellStyle name="Currency 47" xfId="24160" xr:uid="{CC8C253F-2B2E-45F7-A00B-A762068461A8}"/>
    <cellStyle name="Currency 48" xfId="24161" xr:uid="{9462E790-8FE5-4EA9-BB83-F08A690BEC8F}"/>
    <cellStyle name="Currency 49" xfId="24162" xr:uid="{FAF1151C-13DB-439F-BC2E-DEF13D68968D}"/>
    <cellStyle name="Currency 5" xfId="22702" xr:uid="{DD7CFB2D-4E5B-4511-8DC8-40B6AF518387}"/>
    <cellStyle name="Currency 50" xfId="24163" xr:uid="{2C757F0F-61EB-4C3E-B2CE-C4F97E6AC809}"/>
    <cellStyle name="Currency 51" xfId="24164" xr:uid="{B065F6B6-D08E-4D5F-853E-9B8E474BB185}"/>
    <cellStyle name="Currency 52" xfId="24165" xr:uid="{60834B87-2F80-4FAD-9F1F-E4DF507F65F8}"/>
    <cellStyle name="Currency 53" xfId="24166" xr:uid="{FA731546-7F38-4F8F-974F-57BE55303411}"/>
    <cellStyle name="Currency 54" xfId="24167" xr:uid="{B7C037D3-6B61-4AC0-8955-5265072F3961}"/>
    <cellStyle name="Currency 55" xfId="24168" xr:uid="{F8E5F58C-ABA0-4B47-9A0F-42831E47220C}"/>
    <cellStyle name="Currency 56" xfId="24169" xr:uid="{9840B039-4731-4FE5-BBCF-0B2C0C459124}"/>
    <cellStyle name="Currency 57" xfId="24170" xr:uid="{428829B6-87F1-4F2F-A352-1487E48F9853}"/>
    <cellStyle name="Currency 58" xfId="24171" xr:uid="{9081A559-095E-4627-8267-362A50F88F96}"/>
    <cellStyle name="Currency 59" xfId="24173" xr:uid="{17A76BF5-35E6-43C7-A91D-F94032BCCC0B}"/>
    <cellStyle name="Currency 6" xfId="22703" xr:uid="{6D9F4C64-7BD5-40A6-8145-7E714D7573E3}"/>
    <cellStyle name="Currency 60" xfId="24174" xr:uid="{E9E109DE-1659-46CE-9744-66479C2E0701}"/>
    <cellStyle name="Currency 61" xfId="24175" xr:uid="{C79387F1-0957-437D-BC7E-0A0E0C604133}"/>
    <cellStyle name="Currency 62" xfId="24176" xr:uid="{13F3BABE-C146-4007-8A5C-F0A1F34FF04A}"/>
    <cellStyle name="Currency 63" xfId="24177" xr:uid="{1BAFF10F-D16E-4ADF-89FE-D3ECE85E2B5D}"/>
    <cellStyle name="Currency 64" xfId="24178" xr:uid="{E81F0B2D-5612-45C2-8FF9-FEFBF8CB88A8}"/>
    <cellStyle name="Currency 65" xfId="24179" xr:uid="{1AFE310E-E814-46B6-A792-41ECCA9401FD}"/>
    <cellStyle name="Currency 66" xfId="24180" xr:uid="{AB59525D-FF1B-4D0F-8E22-8269F59E3A6A}"/>
    <cellStyle name="Currency 67" xfId="24181" xr:uid="{4864284C-9540-4E75-AD05-AAECA4B6CF11}"/>
    <cellStyle name="Currency 68" xfId="24182" xr:uid="{626BDDC6-0D86-4CB0-B6CC-42F9D8CF31F3}"/>
    <cellStyle name="Currency 69" xfId="24183" xr:uid="{8A2B106D-3761-4BE6-8AA0-E92D1FBA172E}"/>
    <cellStyle name="Currency 7" xfId="22704" xr:uid="{52A985D7-0CA3-4E41-9EA9-D43D682686C9}"/>
    <cellStyle name="Currency 70" xfId="24184" xr:uid="{4EE8D1D9-968B-4AB6-AE45-903974C87B10}"/>
    <cellStyle name="Currency 71" xfId="24185" xr:uid="{5C9F24F2-AB7D-4C0E-BF16-F3709FDCF434}"/>
    <cellStyle name="Currency 8" xfId="22705" xr:uid="{7B621E2B-5B47-4DD4-9682-F9DEB693DC19}"/>
    <cellStyle name="Currency 9" xfId="22706" xr:uid="{021C7D67-A019-4DE0-96E8-2260035116B9}"/>
    <cellStyle name="Currency0" xfId="925" xr:uid="{00000000-0005-0000-0000-00005E080000}"/>
    <cellStyle name="Currency0 2" xfId="926" xr:uid="{00000000-0005-0000-0000-00005F080000}"/>
    <cellStyle name="Currency0 3" xfId="5018" xr:uid="{00000000-0005-0000-0000-000060080000}"/>
    <cellStyle name="Currency0 4" xfId="12258" xr:uid="{00000000-0005-0000-0000-000061080000}"/>
    <cellStyle name="Cur㟲ency_DemFin Cesp 99 0600 Legis_OPPV28" xfId="927" xr:uid="{00000000-0005-0000-0000-000062080000}"/>
    <cellStyle name="Dash" xfId="928" xr:uid="{00000000-0005-0000-0000-000063080000}"/>
    <cellStyle name="Data" xfId="929" xr:uid="{00000000-0005-0000-0000-000064080000}"/>
    <cellStyle name="Data 10" xfId="930" xr:uid="{00000000-0005-0000-0000-000065080000}"/>
    <cellStyle name="Data 11" xfId="931" xr:uid="{00000000-0005-0000-0000-000066080000}"/>
    <cellStyle name="Data 12" xfId="932" xr:uid="{00000000-0005-0000-0000-000067080000}"/>
    <cellStyle name="Data 13" xfId="933" xr:uid="{00000000-0005-0000-0000-000068080000}"/>
    <cellStyle name="Data 14" xfId="934" xr:uid="{00000000-0005-0000-0000-000069080000}"/>
    <cellStyle name="Data 15" xfId="935" xr:uid="{00000000-0005-0000-0000-00006A080000}"/>
    <cellStyle name="Data 16" xfId="936" xr:uid="{00000000-0005-0000-0000-00006B080000}"/>
    <cellStyle name="Data 17" xfId="937" xr:uid="{00000000-0005-0000-0000-00006C080000}"/>
    <cellStyle name="Data 18" xfId="938" xr:uid="{00000000-0005-0000-0000-00006D080000}"/>
    <cellStyle name="Data 19" xfId="939" xr:uid="{00000000-0005-0000-0000-00006E080000}"/>
    <cellStyle name="Data 2" xfId="940" xr:uid="{00000000-0005-0000-0000-00006F080000}"/>
    <cellStyle name="Data 20" xfId="941" xr:uid="{00000000-0005-0000-0000-000070080000}"/>
    <cellStyle name="Data 21" xfId="942" xr:uid="{00000000-0005-0000-0000-000071080000}"/>
    <cellStyle name="Data 22" xfId="943" xr:uid="{00000000-0005-0000-0000-000072080000}"/>
    <cellStyle name="Data 23" xfId="944" xr:uid="{00000000-0005-0000-0000-000073080000}"/>
    <cellStyle name="Data 24" xfId="945" xr:uid="{00000000-0005-0000-0000-000074080000}"/>
    <cellStyle name="Data 25" xfId="946" xr:uid="{00000000-0005-0000-0000-000075080000}"/>
    <cellStyle name="Data 26" xfId="947" xr:uid="{00000000-0005-0000-0000-000076080000}"/>
    <cellStyle name="Data 27" xfId="948" xr:uid="{00000000-0005-0000-0000-000077080000}"/>
    <cellStyle name="Data 28" xfId="949" xr:uid="{00000000-0005-0000-0000-000078080000}"/>
    <cellStyle name="Data 29" xfId="950" xr:uid="{00000000-0005-0000-0000-000079080000}"/>
    <cellStyle name="Data 3" xfId="951" xr:uid="{00000000-0005-0000-0000-00007A080000}"/>
    <cellStyle name="Data 30" xfId="952" xr:uid="{00000000-0005-0000-0000-00007B080000}"/>
    <cellStyle name="Data 31" xfId="953" xr:uid="{00000000-0005-0000-0000-00007C080000}"/>
    <cellStyle name="Data 32" xfId="954" xr:uid="{00000000-0005-0000-0000-00007D080000}"/>
    <cellStyle name="Data 33" xfId="955" xr:uid="{00000000-0005-0000-0000-00007E080000}"/>
    <cellStyle name="Data 34" xfId="956" xr:uid="{00000000-0005-0000-0000-00007F080000}"/>
    <cellStyle name="Data 35" xfId="957" xr:uid="{00000000-0005-0000-0000-000080080000}"/>
    <cellStyle name="Data 36" xfId="958" xr:uid="{00000000-0005-0000-0000-000081080000}"/>
    <cellStyle name="Data 37" xfId="959" xr:uid="{00000000-0005-0000-0000-000082080000}"/>
    <cellStyle name="Data 38" xfId="960" xr:uid="{00000000-0005-0000-0000-000083080000}"/>
    <cellStyle name="Data 39" xfId="961" xr:uid="{00000000-0005-0000-0000-000084080000}"/>
    <cellStyle name="Data 4" xfId="962" xr:uid="{00000000-0005-0000-0000-000085080000}"/>
    <cellStyle name="Data 40" xfId="963" xr:uid="{00000000-0005-0000-0000-000086080000}"/>
    <cellStyle name="Data 41" xfId="5019" xr:uid="{00000000-0005-0000-0000-000087080000}"/>
    <cellStyle name="Data 5" xfId="964" xr:uid="{00000000-0005-0000-0000-000088080000}"/>
    <cellStyle name="Data 6" xfId="965" xr:uid="{00000000-0005-0000-0000-000089080000}"/>
    <cellStyle name="Data 7" xfId="966" xr:uid="{00000000-0005-0000-0000-00008A080000}"/>
    <cellStyle name="Data 8" xfId="967" xr:uid="{00000000-0005-0000-0000-00008B080000}"/>
    <cellStyle name="Data 9" xfId="968" xr:uid="{00000000-0005-0000-0000-00008C080000}"/>
    <cellStyle name="Date" xfId="969" xr:uid="{00000000-0005-0000-0000-00008D080000}"/>
    <cellStyle name="Date [d-mmm-yy]" xfId="970" xr:uid="{00000000-0005-0000-0000-00008E080000}"/>
    <cellStyle name="Date [mm-d-yy]" xfId="971" xr:uid="{00000000-0005-0000-0000-00008F080000}"/>
    <cellStyle name="Date [mm-d-yyyy]" xfId="972" xr:uid="{00000000-0005-0000-0000-000090080000}"/>
    <cellStyle name="Date [mmm-d-yyyy]" xfId="973" xr:uid="{00000000-0005-0000-0000-000091080000}"/>
    <cellStyle name="Date [mmm-yy]" xfId="974" xr:uid="{00000000-0005-0000-0000-000092080000}"/>
    <cellStyle name="Date [mmm-yyyy]" xfId="975" xr:uid="{00000000-0005-0000-0000-000093080000}"/>
    <cellStyle name="Date [mmm-yyyy] 2" xfId="976" xr:uid="{00000000-0005-0000-0000-000094080000}"/>
    <cellStyle name="Date [mmm-yyyy] 2 2" xfId="7436" xr:uid="{00000000-0005-0000-0000-000095080000}"/>
    <cellStyle name="Date [mmm-yyyy] 3" xfId="7435" xr:uid="{00000000-0005-0000-0000-000096080000}"/>
    <cellStyle name="Date 10" xfId="977" xr:uid="{00000000-0005-0000-0000-000097080000}"/>
    <cellStyle name="Date 11" xfId="978" xr:uid="{00000000-0005-0000-0000-000098080000}"/>
    <cellStyle name="Date 12" xfId="979" xr:uid="{00000000-0005-0000-0000-000099080000}"/>
    <cellStyle name="Date 13" xfId="980" xr:uid="{00000000-0005-0000-0000-00009A080000}"/>
    <cellStyle name="Date 14" xfId="981" xr:uid="{00000000-0005-0000-0000-00009B080000}"/>
    <cellStyle name="Date 15" xfId="982" xr:uid="{00000000-0005-0000-0000-00009C080000}"/>
    <cellStyle name="Date 16" xfId="983" xr:uid="{00000000-0005-0000-0000-00009D080000}"/>
    <cellStyle name="Date 17" xfId="984" xr:uid="{00000000-0005-0000-0000-00009E080000}"/>
    <cellStyle name="Date 18" xfId="5020" xr:uid="{00000000-0005-0000-0000-00009F080000}"/>
    <cellStyle name="Date 19" xfId="7397" xr:uid="{00000000-0005-0000-0000-0000A0080000}"/>
    <cellStyle name="Date 2" xfId="985" xr:uid="{00000000-0005-0000-0000-0000A1080000}"/>
    <cellStyle name="Date 20" xfId="7405" xr:uid="{00000000-0005-0000-0000-0000A2080000}"/>
    <cellStyle name="Date 21" xfId="7400" xr:uid="{00000000-0005-0000-0000-0000A3080000}"/>
    <cellStyle name="Date 22" xfId="7401" xr:uid="{00000000-0005-0000-0000-0000A4080000}"/>
    <cellStyle name="Date 23" xfId="13939" xr:uid="{F0BF4040-6D71-4F95-A9B0-D0010B208C48}"/>
    <cellStyle name="Date 24" xfId="14720" xr:uid="{4864E1CD-8AAA-4A8D-9001-08B2FC21A6E8}"/>
    <cellStyle name="Date 25" xfId="14826" xr:uid="{CEA93CC0-948B-43B8-84BE-24EEB45E1786}"/>
    <cellStyle name="Date 26" xfId="16165" xr:uid="{37284ABA-6EAF-43A4-A131-12EA72BF761B}"/>
    <cellStyle name="Date 27" xfId="14744" xr:uid="{75887AC2-EE56-4B04-87DF-EB2C04460889}"/>
    <cellStyle name="Date 28" xfId="22632" xr:uid="{6F1D3FB1-7050-4C97-8EA1-3890FAE9AB8F}"/>
    <cellStyle name="Date 29" xfId="22649" xr:uid="{61E536FC-C374-4D06-BDFA-B71090B801C4}"/>
    <cellStyle name="Date 3" xfId="986" xr:uid="{00000000-0005-0000-0000-0000A5080000}"/>
    <cellStyle name="Date 4" xfId="987" xr:uid="{00000000-0005-0000-0000-0000A6080000}"/>
    <cellStyle name="Date 5" xfId="988" xr:uid="{00000000-0005-0000-0000-0000A7080000}"/>
    <cellStyle name="Date 6" xfId="989" xr:uid="{00000000-0005-0000-0000-0000A8080000}"/>
    <cellStyle name="Date 7" xfId="990" xr:uid="{00000000-0005-0000-0000-0000A9080000}"/>
    <cellStyle name="Date 8" xfId="991" xr:uid="{00000000-0005-0000-0000-0000AA080000}"/>
    <cellStyle name="Date 9" xfId="992" xr:uid="{00000000-0005-0000-0000-0000AB080000}"/>
    <cellStyle name="Date Aligned" xfId="5021" xr:uid="{00000000-0005-0000-0000-0000AC080000}"/>
    <cellStyle name="Date Short" xfId="5022" xr:uid="{00000000-0005-0000-0000-0000AD080000}"/>
    <cellStyle name="Date, mmm-yy" xfId="5023" xr:uid="{00000000-0005-0000-0000-0000AE080000}"/>
    <cellStyle name="Date, mmm-yy 2" xfId="13940" xr:uid="{8495E322-FBF3-474C-BD94-F6FDC716E757}"/>
    <cellStyle name="Date, mmm-yy 3" xfId="22608" xr:uid="{A2ECF8E5-FC1B-48CF-83FF-B30F1697D6B8}"/>
    <cellStyle name="Date_Valuation Negocio PET_ posCE18_04_06" xfId="993" xr:uid="{00000000-0005-0000-0000-0000AF080000}"/>
    <cellStyle name="Date2" xfId="994" xr:uid="{00000000-0005-0000-0000-0000B0080000}"/>
    <cellStyle name="Date2h" xfId="995" xr:uid="{00000000-0005-0000-0000-0000B1080000}"/>
    <cellStyle name="DateLong" xfId="996" xr:uid="{00000000-0005-0000-0000-0000B2080000}"/>
    <cellStyle name="DateShort" xfId="997" xr:uid="{00000000-0005-0000-0000-0000B3080000}"/>
    <cellStyle name="Dezimal [0]_Anlagenbuchhaltung" xfId="998" xr:uid="{00000000-0005-0000-0000-0000B4080000}"/>
    <cellStyle name="Dezimal_Anlagenbuchhaltung" xfId="999" xr:uid="{00000000-0005-0000-0000-0000B5080000}"/>
    <cellStyle name="dollars" xfId="1000" xr:uid="{00000000-0005-0000-0000-0000B6080000}"/>
    <cellStyle name="dollars 2" xfId="12259" xr:uid="{00000000-0005-0000-0000-0000B7080000}"/>
    <cellStyle name="Dotted Line" xfId="5024" xr:uid="{00000000-0005-0000-0000-0000B8080000}"/>
    <cellStyle name="Encabezado 2" xfId="5025" xr:uid="{00000000-0005-0000-0000-0000B9080000}"/>
    <cellStyle name="Encabezado 4" xfId="1001" xr:uid="{00000000-0005-0000-0000-0000BA080000}"/>
    <cellStyle name="Ênfase1" xfId="62" xr:uid="{00000000-0005-0000-0000-0000BB080000}"/>
    <cellStyle name="Ênfase1 10" xfId="5538" xr:uid="{00000000-0005-0000-0000-0000BC080000}"/>
    <cellStyle name="Ênfase1 11" xfId="5555" xr:uid="{00000000-0005-0000-0000-0000BD080000}"/>
    <cellStyle name="Ênfase1 12" xfId="5531" xr:uid="{00000000-0005-0000-0000-0000BE080000}"/>
    <cellStyle name="Ênfase1 13" xfId="5562" xr:uid="{00000000-0005-0000-0000-0000BF080000}"/>
    <cellStyle name="Ênfase1 14" xfId="5524" xr:uid="{00000000-0005-0000-0000-0000C0080000}"/>
    <cellStyle name="Ênfase1 15" xfId="5710" xr:uid="{00000000-0005-0000-0000-0000C1080000}"/>
    <cellStyle name="Ênfase1 16" xfId="5724" xr:uid="{00000000-0005-0000-0000-0000C2080000}"/>
    <cellStyle name="Ênfase1 17" xfId="5782" xr:uid="{00000000-0005-0000-0000-0000C3080000}"/>
    <cellStyle name="Ênfase1 2" xfId="5026" xr:uid="{00000000-0005-0000-0000-0000C4080000}"/>
    <cellStyle name="Ênfase1 2 2" xfId="6603" xr:uid="{00000000-0005-0000-0000-0000C5080000}"/>
    <cellStyle name="Ênfase1 2 2 2" xfId="6604" xr:uid="{00000000-0005-0000-0000-0000C6080000}"/>
    <cellStyle name="Ênfase1 2 2 2 2" xfId="6605" xr:uid="{00000000-0005-0000-0000-0000C7080000}"/>
    <cellStyle name="Ênfase1 2 2 2 2 2" xfId="6606" xr:uid="{00000000-0005-0000-0000-0000C8080000}"/>
    <cellStyle name="Ênfase1 2 2 2 2 2 2" xfId="6607" xr:uid="{00000000-0005-0000-0000-0000C9080000}"/>
    <cellStyle name="Ênfase1 2 2 2 2 2 2 2" xfId="6608" xr:uid="{00000000-0005-0000-0000-0000CA080000}"/>
    <cellStyle name="Ênfase1 2 2 2 2 2 2 2 2" xfId="6609" xr:uid="{00000000-0005-0000-0000-0000CB080000}"/>
    <cellStyle name="Ênfase1 2 2 2 2 2 2 3" xfId="6610" xr:uid="{00000000-0005-0000-0000-0000CC080000}"/>
    <cellStyle name="Ênfase1 2 2 2 2 2 3" xfId="6611" xr:uid="{00000000-0005-0000-0000-0000CD080000}"/>
    <cellStyle name="Ênfase1 2 2 2 2 2 3 2" xfId="6612" xr:uid="{00000000-0005-0000-0000-0000CE080000}"/>
    <cellStyle name="Ênfase1 2 2 2 2 3" xfId="6613" xr:uid="{00000000-0005-0000-0000-0000CF080000}"/>
    <cellStyle name="Ênfase1 2 2 2 2 3 2" xfId="6614" xr:uid="{00000000-0005-0000-0000-0000D0080000}"/>
    <cellStyle name="Ênfase1 2 2 2 3" xfId="6615" xr:uid="{00000000-0005-0000-0000-0000D1080000}"/>
    <cellStyle name="Ênfase1 2 2 2 4" xfId="6616" xr:uid="{00000000-0005-0000-0000-0000D2080000}"/>
    <cellStyle name="Ênfase1 2 2 2 4 2" xfId="6617" xr:uid="{00000000-0005-0000-0000-0000D3080000}"/>
    <cellStyle name="Ênfase1 2 2 3" xfId="6618" xr:uid="{00000000-0005-0000-0000-0000D4080000}"/>
    <cellStyle name="Ênfase1 2 2 4" xfId="6619" xr:uid="{00000000-0005-0000-0000-0000D5080000}"/>
    <cellStyle name="Ênfase1 2 2 4 2" xfId="6620" xr:uid="{00000000-0005-0000-0000-0000D6080000}"/>
    <cellStyle name="Ênfase1 2 3" xfId="6621" xr:uid="{00000000-0005-0000-0000-0000D7080000}"/>
    <cellStyle name="Ênfase1 2 4" xfId="6622" xr:uid="{00000000-0005-0000-0000-0000D8080000}"/>
    <cellStyle name="Ênfase1 2 5" xfId="6623" xr:uid="{00000000-0005-0000-0000-0000D9080000}"/>
    <cellStyle name="Ênfase1 2 6" xfId="6624" xr:uid="{00000000-0005-0000-0000-0000DA080000}"/>
    <cellStyle name="Ênfase1 2 6 2" xfId="6625" xr:uid="{00000000-0005-0000-0000-0000DB080000}"/>
    <cellStyle name="Ênfase1 2 7" xfId="6602" xr:uid="{00000000-0005-0000-0000-0000DC080000}"/>
    <cellStyle name="Ênfase1 3" xfId="5263" xr:uid="{00000000-0005-0000-0000-0000DD080000}"/>
    <cellStyle name="Ênfase1 3 2" xfId="6627" xr:uid="{00000000-0005-0000-0000-0000DE080000}"/>
    <cellStyle name="Ênfase1 3 3" xfId="6628" xr:uid="{00000000-0005-0000-0000-0000DF080000}"/>
    <cellStyle name="Ênfase1 3 4" xfId="6629" xr:uid="{00000000-0005-0000-0000-0000E0080000}"/>
    <cellStyle name="Ênfase1 3 5" xfId="6626" xr:uid="{00000000-0005-0000-0000-0000E1080000}"/>
    <cellStyle name="Ênfase1 4" xfId="5282" xr:uid="{00000000-0005-0000-0000-0000E2080000}"/>
    <cellStyle name="Ênfase1 4 2" xfId="6631" xr:uid="{00000000-0005-0000-0000-0000E3080000}"/>
    <cellStyle name="Ênfase1 4 3" xfId="6632" xr:uid="{00000000-0005-0000-0000-0000E4080000}"/>
    <cellStyle name="Ênfase1 4 4" xfId="6630" xr:uid="{00000000-0005-0000-0000-0000E5080000}"/>
    <cellStyle name="Ênfase1 5" xfId="5256" xr:uid="{00000000-0005-0000-0000-0000E6080000}"/>
    <cellStyle name="Ênfase1 5 2" xfId="6634" xr:uid="{00000000-0005-0000-0000-0000E7080000}"/>
    <cellStyle name="Ênfase1 5 3" xfId="6633" xr:uid="{00000000-0005-0000-0000-0000E8080000}"/>
    <cellStyle name="Ênfase1 6" xfId="5289" xr:uid="{00000000-0005-0000-0000-0000E9080000}"/>
    <cellStyle name="Ênfase1 6 2" xfId="6636" xr:uid="{00000000-0005-0000-0000-0000EA080000}"/>
    <cellStyle name="Ênfase1 6 3" xfId="7348" xr:uid="{00000000-0005-0000-0000-0000EB080000}"/>
    <cellStyle name="Ênfase1 6 4" xfId="6635" xr:uid="{00000000-0005-0000-0000-0000EC080000}"/>
    <cellStyle name="Ênfase1 7" xfId="5249" xr:uid="{00000000-0005-0000-0000-0000ED080000}"/>
    <cellStyle name="Ênfase1 7 2" xfId="7349" xr:uid="{00000000-0005-0000-0000-0000EE080000}"/>
    <cellStyle name="Ênfase1 7 3" xfId="6637" xr:uid="{00000000-0005-0000-0000-0000EF080000}"/>
    <cellStyle name="Ênfase1 8" xfId="5297" xr:uid="{00000000-0005-0000-0000-0000F0080000}"/>
    <cellStyle name="Ênfase1 9" xfId="5241" xr:uid="{00000000-0005-0000-0000-0000F1080000}"/>
    <cellStyle name="Ênfase2" xfId="63" xr:uid="{00000000-0005-0000-0000-0000F2080000}"/>
    <cellStyle name="Ênfase2 10" xfId="5539" xr:uid="{00000000-0005-0000-0000-0000F3080000}"/>
    <cellStyle name="Ênfase2 11" xfId="5554" xr:uid="{00000000-0005-0000-0000-0000F4080000}"/>
    <cellStyle name="Ênfase2 12" xfId="5532" xr:uid="{00000000-0005-0000-0000-0000F5080000}"/>
    <cellStyle name="Ênfase2 13" xfId="5561" xr:uid="{00000000-0005-0000-0000-0000F6080000}"/>
    <cellStyle name="Ênfase2 14" xfId="5525" xr:uid="{00000000-0005-0000-0000-0000F7080000}"/>
    <cellStyle name="Ênfase2 15" xfId="5711" xr:uid="{00000000-0005-0000-0000-0000F8080000}"/>
    <cellStyle name="Ênfase2 16" xfId="5723" xr:uid="{00000000-0005-0000-0000-0000F9080000}"/>
    <cellStyle name="Ênfase2 17" xfId="5786" xr:uid="{00000000-0005-0000-0000-0000FA080000}"/>
    <cellStyle name="Ênfase2 2" xfId="5027" xr:uid="{00000000-0005-0000-0000-0000FB080000}"/>
    <cellStyle name="Ênfase2 2 2" xfId="6639" xr:uid="{00000000-0005-0000-0000-0000FC080000}"/>
    <cellStyle name="Ênfase2 2 2 2" xfId="6640" xr:uid="{00000000-0005-0000-0000-0000FD080000}"/>
    <cellStyle name="Ênfase2 2 2 2 2" xfId="6641" xr:uid="{00000000-0005-0000-0000-0000FE080000}"/>
    <cellStyle name="Ênfase2 2 2 2 2 2" xfId="6642" xr:uid="{00000000-0005-0000-0000-0000FF080000}"/>
    <cellStyle name="Ênfase2 2 2 2 2 2 2" xfId="6643" xr:uid="{00000000-0005-0000-0000-000000090000}"/>
    <cellStyle name="Ênfase2 2 2 2 2 2 2 2" xfId="6644" xr:uid="{00000000-0005-0000-0000-000001090000}"/>
    <cellStyle name="Ênfase2 2 2 2 2 2 2 2 2" xfId="6645" xr:uid="{00000000-0005-0000-0000-000002090000}"/>
    <cellStyle name="Ênfase2 2 2 2 2 2 2 3" xfId="6646" xr:uid="{00000000-0005-0000-0000-000003090000}"/>
    <cellStyle name="Ênfase2 2 2 2 2 2 3" xfId="6647" xr:uid="{00000000-0005-0000-0000-000004090000}"/>
    <cellStyle name="Ênfase2 2 2 2 2 2 3 2" xfId="6648" xr:uid="{00000000-0005-0000-0000-000005090000}"/>
    <cellStyle name="Ênfase2 2 2 2 2 3" xfId="6649" xr:uid="{00000000-0005-0000-0000-000006090000}"/>
    <cellStyle name="Ênfase2 2 2 2 2 3 2" xfId="6650" xr:uid="{00000000-0005-0000-0000-000007090000}"/>
    <cellStyle name="Ênfase2 2 2 2 3" xfId="6651" xr:uid="{00000000-0005-0000-0000-000008090000}"/>
    <cellStyle name="Ênfase2 2 2 2 4" xfId="6652" xr:uid="{00000000-0005-0000-0000-000009090000}"/>
    <cellStyle name="Ênfase2 2 2 2 4 2" xfId="6653" xr:uid="{00000000-0005-0000-0000-00000A090000}"/>
    <cellStyle name="Ênfase2 2 2 3" xfId="6654" xr:uid="{00000000-0005-0000-0000-00000B090000}"/>
    <cellStyle name="Ênfase2 2 2 4" xfId="6655" xr:uid="{00000000-0005-0000-0000-00000C090000}"/>
    <cellStyle name="Ênfase2 2 2 4 2" xfId="6656" xr:uid="{00000000-0005-0000-0000-00000D090000}"/>
    <cellStyle name="Ênfase2 2 3" xfId="6657" xr:uid="{00000000-0005-0000-0000-00000E090000}"/>
    <cellStyle name="Ênfase2 2 4" xfId="6658" xr:uid="{00000000-0005-0000-0000-00000F090000}"/>
    <cellStyle name="Ênfase2 2 5" xfId="6659" xr:uid="{00000000-0005-0000-0000-000010090000}"/>
    <cellStyle name="Ênfase2 2 6" xfId="6660" xr:uid="{00000000-0005-0000-0000-000011090000}"/>
    <cellStyle name="Ênfase2 2 6 2" xfId="6661" xr:uid="{00000000-0005-0000-0000-000012090000}"/>
    <cellStyle name="Ênfase2 2 7" xfId="6638" xr:uid="{00000000-0005-0000-0000-000013090000}"/>
    <cellStyle name="Ênfase2 3" xfId="5264" xr:uid="{00000000-0005-0000-0000-000014090000}"/>
    <cellStyle name="Ênfase2 3 2" xfId="6663" xr:uid="{00000000-0005-0000-0000-000015090000}"/>
    <cellStyle name="Ênfase2 3 3" xfId="6664" xr:uid="{00000000-0005-0000-0000-000016090000}"/>
    <cellStyle name="Ênfase2 3 4" xfId="6665" xr:uid="{00000000-0005-0000-0000-000017090000}"/>
    <cellStyle name="Ênfase2 3 5" xfId="6662" xr:uid="{00000000-0005-0000-0000-000018090000}"/>
    <cellStyle name="Ênfase2 4" xfId="5281" xr:uid="{00000000-0005-0000-0000-000019090000}"/>
    <cellStyle name="Ênfase2 4 2" xfId="6667" xr:uid="{00000000-0005-0000-0000-00001A090000}"/>
    <cellStyle name="Ênfase2 4 3" xfId="6668" xr:uid="{00000000-0005-0000-0000-00001B090000}"/>
    <cellStyle name="Ênfase2 4 4" xfId="6666" xr:uid="{00000000-0005-0000-0000-00001C090000}"/>
    <cellStyle name="Ênfase2 5" xfId="5257" xr:uid="{00000000-0005-0000-0000-00001D090000}"/>
    <cellStyle name="Ênfase2 5 2" xfId="6670" xr:uid="{00000000-0005-0000-0000-00001E090000}"/>
    <cellStyle name="Ênfase2 5 3" xfId="6669" xr:uid="{00000000-0005-0000-0000-00001F090000}"/>
    <cellStyle name="Ênfase2 6" xfId="5288" xr:uid="{00000000-0005-0000-0000-000020090000}"/>
    <cellStyle name="Ênfase2 6 2" xfId="6672" xr:uid="{00000000-0005-0000-0000-000021090000}"/>
    <cellStyle name="Ênfase2 6 3" xfId="7350" xr:uid="{00000000-0005-0000-0000-000022090000}"/>
    <cellStyle name="Ênfase2 6 4" xfId="6671" xr:uid="{00000000-0005-0000-0000-000023090000}"/>
    <cellStyle name="Ênfase2 7" xfId="5250" xr:uid="{00000000-0005-0000-0000-000024090000}"/>
    <cellStyle name="Ênfase2 7 2" xfId="7351" xr:uid="{00000000-0005-0000-0000-000025090000}"/>
    <cellStyle name="Ênfase2 7 3" xfId="6673" xr:uid="{00000000-0005-0000-0000-000026090000}"/>
    <cellStyle name="Ênfase2 8" xfId="5105" xr:uid="{00000000-0005-0000-0000-000027090000}"/>
    <cellStyle name="Ênfase2 9" xfId="5359" xr:uid="{00000000-0005-0000-0000-000028090000}"/>
    <cellStyle name="Ênfase3" xfId="64" xr:uid="{00000000-0005-0000-0000-000029090000}"/>
    <cellStyle name="Ênfase3 10" xfId="5540" xr:uid="{00000000-0005-0000-0000-00002A090000}"/>
    <cellStyle name="Ênfase3 11" xfId="5552" xr:uid="{00000000-0005-0000-0000-00002B090000}"/>
    <cellStyle name="Ênfase3 12" xfId="5533" xr:uid="{00000000-0005-0000-0000-00002C090000}"/>
    <cellStyle name="Ênfase3 13" xfId="5560" xr:uid="{00000000-0005-0000-0000-00002D090000}"/>
    <cellStyle name="Ênfase3 14" xfId="5526" xr:uid="{00000000-0005-0000-0000-00002E090000}"/>
    <cellStyle name="Ênfase3 15" xfId="5712" xr:uid="{00000000-0005-0000-0000-00002F090000}"/>
    <cellStyle name="Ênfase3 16" xfId="5721" xr:uid="{00000000-0005-0000-0000-000030090000}"/>
    <cellStyle name="Ênfase3 17" xfId="5790" xr:uid="{00000000-0005-0000-0000-000031090000}"/>
    <cellStyle name="Ênfase3 2" xfId="5028" xr:uid="{00000000-0005-0000-0000-000032090000}"/>
    <cellStyle name="Ênfase3 2 2" xfId="6675" xr:uid="{00000000-0005-0000-0000-000033090000}"/>
    <cellStyle name="Ênfase3 2 2 2" xfId="6676" xr:uid="{00000000-0005-0000-0000-000034090000}"/>
    <cellStyle name="Ênfase3 2 2 2 2" xfId="6677" xr:uid="{00000000-0005-0000-0000-000035090000}"/>
    <cellStyle name="Ênfase3 2 2 2 2 2" xfId="6678" xr:uid="{00000000-0005-0000-0000-000036090000}"/>
    <cellStyle name="Ênfase3 2 2 2 2 2 2" xfId="6679" xr:uid="{00000000-0005-0000-0000-000037090000}"/>
    <cellStyle name="Ênfase3 2 2 2 2 2 2 2" xfId="6680" xr:uid="{00000000-0005-0000-0000-000038090000}"/>
    <cellStyle name="Ênfase3 2 2 2 2 2 2 2 2" xfId="6681" xr:uid="{00000000-0005-0000-0000-000039090000}"/>
    <cellStyle name="Ênfase3 2 2 2 2 2 2 3" xfId="6682" xr:uid="{00000000-0005-0000-0000-00003A090000}"/>
    <cellStyle name="Ênfase3 2 2 2 2 2 3" xfId="6683" xr:uid="{00000000-0005-0000-0000-00003B090000}"/>
    <cellStyle name="Ênfase3 2 2 2 2 2 3 2" xfId="6684" xr:uid="{00000000-0005-0000-0000-00003C090000}"/>
    <cellStyle name="Ênfase3 2 2 2 2 3" xfId="6685" xr:uid="{00000000-0005-0000-0000-00003D090000}"/>
    <cellStyle name="Ênfase3 2 2 2 2 3 2" xfId="6686" xr:uid="{00000000-0005-0000-0000-00003E090000}"/>
    <cellStyle name="Ênfase3 2 2 2 3" xfId="6687" xr:uid="{00000000-0005-0000-0000-00003F090000}"/>
    <cellStyle name="Ênfase3 2 2 2 4" xfId="6688" xr:uid="{00000000-0005-0000-0000-000040090000}"/>
    <cellStyle name="Ênfase3 2 2 2 4 2" xfId="6689" xr:uid="{00000000-0005-0000-0000-000041090000}"/>
    <cellStyle name="Ênfase3 2 2 3" xfId="6690" xr:uid="{00000000-0005-0000-0000-000042090000}"/>
    <cellStyle name="Ênfase3 2 2 4" xfId="6691" xr:uid="{00000000-0005-0000-0000-000043090000}"/>
    <cellStyle name="Ênfase3 2 2 4 2" xfId="6692" xr:uid="{00000000-0005-0000-0000-000044090000}"/>
    <cellStyle name="Ênfase3 2 3" xfId="6693" xr:uid="{00000000-0005-0000-0000-000045090000}"/>
    <cellStyle name="Ênfase3 2 4" xfId="6694" xr:uid="{00000000-0005-0000-0000-000046090000}"/>
    <cellStyle name="Ênfase3 2 5" xfId="6695" xr:uid="{00000000-0005-0000-0000-000047090000}"/>
    <cellStyle name="Ênfase3 2 6" xfId="6696" xr:uid="{00000000-0005-0000-0000-000048090000}"/>
    <cellStyle name="Ênfase3 2 6 2" xfId="6697" xr:uid="{00000000-0005-0000-0000-000049090000}"/>
    <cellStyle name="Ênfase3 2 7" xfId="6674" xr:uid="{00000000-0005-0000-0000-00004A090000}"/>
    <cellStyle name="Ênfase3 3" xfId="5265" xr:uid="{00000000-0005-0000-0000-00004B090000}"/>
    <cellStyle name="Ênfase3 3 2" xfId="6699" xr:uid="{00000000-0005-0000-0000-00004C090000}"/>
    <cellStyle name="Ênfase3 3 3" xfId="6700" xr:uid="{00000000-0005-0000-0000-00004D090000}"/>
    <cellStyle name="Ênfase3 3 4" xfId="6701" xr:uid="{00000000-0005-0000-0000-00004E090000}"/>
    <cellStyle name="Ênfase3 3 5" xfId="6698" xr:uid="{00000000-0005-0000-0000-00004F090000}"/>
    <cellStyle name="Ênfase3 4" xfId="5280" xr:uid="{00000000-0005-0000-0000-000050090000}"/>
    <cellStyle name="Ênfase3 4 2" xfId="6703" xr:uid="{00000000-0005-0000-0000-000051090000}"/>
    <cellStyle name="Ênfase3 4 3" xfId="6704" xr:uid="{00000000-0005-0000-0000-000052090000}"/>
    <cellStyle name="Ênfase3 4 4" xfId="6702" xr:uid="{00000000-0005-0000-0000-000053090000}"/>
    <cellStyle name="Ênfase3 5" xfId="5258" xr:uid="{00000000-0005-0000-0000-000054090000}"/>
    <cellStyle name="Ênfase3 5 2" xfId="6706" xr:uid="{00000000-0005-0000-0000-000055090000}"/>
    <cellStyle name="Ênfase3 5 3" xfId="6705" xr:uid="{00000000-0005-0000-0000-000056090000}"/>
    <cellStyle name="Ênfase3 6" xfId="5287" xr:uid="{00000000-0005-0000-0000-000057090000}"/>
    <cellStyle name="Ênfase3 6 2" xfId="6708" xr:uid="{00000000-0005-0000-0000-000058090000}"/>
    <cellStyle name="Ênfase3 6 3" xfId="7352" xr:uid="{00000000-0005-0000-0000-000059090000}"/>
    <cellStyle name="Ênfase3 6 4" xfId="6707" xr:uid="{00000000-0005-0000-0000-00005A090000}"/>
    <cellStyle name="Ênfase3 7" xfId="5251" xr:uid="{00000000-0005-0000-0000-00005B090000}"/>
    <cellStyle name="Ênfase3 7 2" xfId="7353" xr:uid="{00000000-0005-0000-0000-00005C090000}"/>
    <cellStyle name="Ênfase3 7 3" xfId="6709" xr:uid="{00000000-0005-0000-0000-00005D090000}"/>
    <cellStyle name="Ênfase3 8" xfId="5296" xr:uid="{00000000-0005-0000-0000-00005E090000}"/>
    <cellStyle name="Ênfase3 9" xfId="5242" xr:uid="{00000000-0005-0000-0000-00005F090000}"/>
    <cellStyle name="Ênfase4" xfId="65" xr:uid="{00000000-0005-0000-0000-000060090000}"/>
    <cellStyle name="Ênfase4 10" xfId="5541" xr:uid="{00000000-0005-0000-0000-000061090000}"/>
    <cellStyle name="Ênfase4 11" xfId="5551" xr:uid="{00000000-0005-0000-0000-000062090000}"/>
    <cellStyle name="Ênfase4 12" xfId="5534" xr:uid="{00000000-0005-0000-0000-000063090000}"/>
    <cellStyle name="Ênfase4 13" xfId="5559" xr:uid="{00000000-0005-0000-0000-000064090000}"/>
    <cellStyle name="Ênfase4 14" xfId="5527" xr:uid="{00000000-0005-0000-0000-000065090000}"/>
    <cellStyle name="Ênfase4 15" xfId="5713" xr:uid="{00000000-0005-0000-0000-000066090000}"/>
    <cellStyle name="Ênfase4 16" xfId="5720" xr:uid="{00000000-0005-0000-0000-000067090000}"/>
    <cellStyle name="Ênfase4 17" xfId="5794" xr:uid="{00000000-0005-0000-0000-000068090000}"/>
    <cellStyle name="Ênfase4 2" xfId="5029" xr:uid="{00000000-0005-0000-0000-000069090000}"/>
    <cellStyle name="Ênfase4 2 2" xfId="6711" xr:uid="{00000000-0005-0000-0000-00006A090000}"/>
    <cellStyle name="Ênfase4 2 2 2" xfId="6712" xr:uid="{00000000-0005-0000-0000-00006B090000}"/>
    <cellStyle name="Ênfase4 2 2 2 2" xfId="6713" xr:uid="{00000000-0005-0000-0000-00006C090000}"/>
    <cellStyle name="Ênfase4 2 2 2 2 2" xfId="6714" xr:uid="{00000000-0005-0000-0000-00006D090000}"/>
    <cellStyle name="Ênfase4 2 2 2 2 2 2" xfId="6715" xr:uid="{00000000-0005-0000-0000-00006E090000}"/>
    <cellStyle name="Ênfase4 2 2 2 2 2 2 2" xfId="6716" xr:uid="{00000000-0005-0000-0000-00006F090000}"/>
    <cellStyle name="Ênfase4 2 2 2 2 2 2 2 2" xfId="6717" xr:uid="{00000000-0005-0000-0000-000070090000}"/>
    <cellStyle name="Ênfase4 2 2 2 2 2 2 3" xfId="6718" xr:uid="{00000000-0005-0000-0000-000071090000}"/>
    <cellStyle name="Ênfase4 2 2 2 2 2 3" xfId="6719" xr:uid="{00000000-0005-0000-0000-000072090000}"/>
    <cellStyle name="Ênfase4 2 2 2 2 2 3 2" xfId="6720" xr:uid="{00000000-0005-0000-0000-000073090000}"/>
    <cellStyle name="Ênfase4 2 2 2 2 3" xfId="6721" xr:uid="{00000000-0005-0000-0000-000074090000}"/>
    <cellStyle name="Ênfase4 2 2 2 2 3 2" xfId="6722" xr:uid="{00000000-0005-0000-0000-000075090000}"/>
    <cellStyle name="Ênfase4 2 2 2 3" xfId="6723" xr:uid="{00000000-0005-0000-0000-000076090000}"/>
    <cellStyle name="Ênfase4 2 2 2 4" xfId="6724" xr:uid="{00000000-0005-0000-0000-000077090000}"/>
    <cellStyle name="Ênfase4 2 2 2 4 2" xfId="6725" xr:uid="{00000000-0005-0000-0000-000078090000}"/>
    <cellStyle name="Ênfase4 2 2 3" xfId="6726" xr:uid="{00000000-0005-0000-0000-000079090000}"/>
    <cellStyle name="Ênfase4 2 2 4" xfId="6727" xr:uid="{00000000-0005-0000-0000-00007A090000}"/>
    <cellStyle name="Ênfase4 2 2 4 2" xfId="6728" xr:uid="{00000000-0005-0000-0000-00007B090000}"/>
    <cellStyle name="Ênfase4 2 3" xfId="6729" xr:uid="{00000000-0005-0000-0000-00007C090000}"/>
    <cellStyle name="Ênfase4 2 4" xfId="6730" xr:uid="{00000000-0005-0000-0000-00007D090000}"/>
    <cellStyle name="Ênfase4 2 5" xfId="6731" xr:uid="{00000000-0005-0000-0000-00007E090000}"/>
    <cellStyle name="Ênfase4 2 6" xfId="6732" xr:uid="{00000000-0005-0000-0000-00007F090000}"/>
    <cellStyle name="Ênfase4 2 6 2" xfId="6733" xr:uid="{00000000-0005-0000-0000-000080090000}"/>
    <cellStyle name="Ênfase4 2 7" xfId="6710" xr:uid="{00000000-0005-0000-0000-000081090000}"/>
    <cellStyle name="Ênfase4 3" xfId="5266" xr:uid="{00000000-0005-0000-0000-000082090000}"/>
    <cellStyle name="Ênfase4 3 2" xfId="6735" xr:uid="{00000000-0005-0000-0000-000083090000}"/>
    <cellStyle name="Ênfase4 3 3" xfId="6736" xr:uid="{00000000-0005-0000-0000-000084090000}"/>
    <cellStyle name="Ênfase4 3 4" xfId="6737" xr:uid="{00000000-0005-0000-0000-000085090000}"/>
    <cellStyle name="Ênfase4 3 5" xfId="6734" xr:uid="{00000000-0005-0000-0000-000086090000}"/>
    <cellStyle name="Ênfase4 4" xfId="5279" xr:uid="{00000000-0005-0000-0000-000087090000}"/>
    <cellStyle name="Ênfase4 4 2" xfId="6739" xr:uid="{00000000-0005-0000-0000-000088090000}"/>
    <cellStyle name="Ênfase4 4 3" xfId="6740" xr:uid="{00000000-0005-0000-0000-000089090000}"/>
    <cellStyle name="Ênfase4 4 4" xfId="6738" xr:uid="{00000000-0005-0000-0000-00008A090000}"/>
    <cellStyle name="Ênfase4 5" xfId="5259" xr:uid="{00000000-0005-0000-0000-00008B090000}"/>
    <cellStyle name="Ênfase4 5 2" xfId="6742" xr:uid="{00000000-0005-0000-0000-00008C090000}"/>
    <cellStyle name="Ênfase4 5 3" xfId="6741" xr:uid="{00000000-0005-0000-0000-00008D090000}"/>
    <cellStyle name="Ênfase4 6" xfId="5286" xr:uid="{00000000-0005-0000-0000-00008E090000}"/>
    <cellStyle name="Ênfase4 6 2" xfId="6744" xr:uid="{00000000-0005-0000-0000-00008F090000}"/>
    <cellStyle name="Ênfase4 6 3" xfId="7354" xr:uid="{00000000-0005-0000-0000-000090090000}"/>
    <cellStyle name="Ênfase4 6 4" xfId="6743" xr:uid="{00000000-0005-0000-0000-000091090000}"/>
    <cellStyle name="Ênfase4 7" xfId="5252" xr:uid="{00000000-0005-0000-0000-000092090000}"/>
    <cellStyle name="Ênfase4 7 2" xfId="7355" xr:uid="{00000000-0005-0000-0000-000093090000}"/>
    <cellStyle name="Ênfase4 7 3" xfId="6745" xr:uid="{00000000-0005-0000-0000-000094090000}"/>
    <cellStyle name="Ênfase4 8" xfId="5295" xr:uid="{00000000-0005-0000-0000-000095090000}"/>
    <cellStyle name="Ênfase4 9" xfId="5243" xr:uid="{00000000-0005-0000-0000-000096090000}"/>
    <cellStyle name="Ênfase5" xfId="66" xr:uid="{00000000-0005-0000-0000-000097090000}"/>
    <cellStyle name="Ênfase5 10" xfId="5542" xr:uid="{00000000-0005-0000-0000-000098090000}"/>
    <cellStyle name="Ênfase5 11" xfId="5550" xr:uid="{00000000-0005-0000-0000-000099090000}"/>
    <cellStyle name="Ênfase5 12" xfId="5535" xr:uid="{00000000-0005-0000-0000-00009A090000}"/>
    <cellStyle name="Ênfase5 13" xfId="5558" xr:uid="{00000000-0005-0000-0000-00009B090000}"/>
    <cellStyle name="Ênfase5 14" xfId="5528" xr:uid="{00000000-0005-0000-0000-00009C090000}"/>
    <cellStyle name="Ênfase5 15" xfId="5714" xr:uid="{00000000-0005-0000-0000-00009D090000}"/>
    <cellStyle name="Ênfase5 16" xfId="5719" xr:uid="{00000000-0005-0000-0000-00009E090000}"/>
    <cellStyle name="Ênfase5 17" xfId="5798" xr:uid="{00000000-0005-0000-0000-00009F090000}"/>
    <cellStyle name="Ênfase5 2" xfId="5030" xr:uid="{00000000-0005-0000-0000-0000A0090000}"/>
    <cellStyle name="Ênfase5 2 2" xfId="6747" xr:uid="{00000000-0005-0000-0000-0000A1090000}"/>
    <cellStyle name="Ênfase5 2 2 2" xfId="6748" xr:uid="{00000000-0005-0000-0000-0000A2090000}"/>
    <cellStyle name="Ênfase5 2 2 2 2" xfId="6749" xr:uid="{00000000-0005-0000-0000-0000A3090000}"/>
    <cellStyle name="Ênfase5 2 2 2 2 2" xfId="6750" xr:uid="{00000000-0005-0000-0000-0000A4090000}"/>
    <cellStyle name="Ênfase5 2 2 2 2 2 2" xfId="6751" xr:uid="{00000000-0005-0000-0000-0000A5090000}"/>
    <cellStyle name="Ênfase5 2 2 2 2 2 2 2" xfId="6752" xr:uid="{00000000-0005-0000-0000-0000A6090000}"/>
    <cellStyle name="Ênfase5 2 2 2 2 2 2 2 2" xfId="6753" xr:uid="{00000000-0005-0000-0000-0000A7090000}"/>
    <cellStyle name="Ênfase5 2 2 2 2 2 2 3" xfId="6754" xr:uid="{00000000-0005-0000-0000-0000A8090000}"/>
    <cellStyle name="Ênfase5 2 2 2 2 2 3" xfId="6755" xr:uid="{00000000-0005-0000-0000-0000A9090000}"/>
    <cellStyle name="Ênfase5 2 2 2 2 2 3 2" xfId="6756" xr:uid="{00000000-0005-0000-0000-0000AA090000}"/>
    <cellStyle name="Ênfase5 2 2 2 2 3" xfId="6757" xr:uid="{00000000-0005-0000-0000-0000AB090000}"/>
    <cellStyle name="Ênfase5 2 2 2 2 3 2" xfId="6758" xr:uid="{00000000-0005-0000-0000-0000AC090000}"/>
    <cellStyle name="Ênfase5 2 2 2 3" xfId="6759" xr:uid="{00000000-0005-0000-0000-0000AD090000}"/>
    <cellStyle name="Ênfase5 2 2 2 4" xfId="6760" xr:uid="{00000000-0005-0000-0000-0000AE090000}"/>
    <cellStyle name="Ênfase5 2 2 2 4 2" xfId="6761" xr:uid="{00000000-0005-0000-0000-0000AF090000}"/>
    <cellStyle name="Ênfase5 2 2 3" xfId="6762" xr:uid="{00000000-0005-0000-0000-0000B0090000}"/>
    <cellStyle name="Ênfase5 2 2 4" xfId="6763" xr:uid="{00000000-0005-0000-0000-0000B1090000}"/>
    <cellStyle name="Ênfase5 2 2 4 2" xfId="6764" xr:uid="{00000000-0005-0000-0000-0000B2090000}"/>
    <cellStyle name="Ênfase5 2 3" xfId="6765" xr:uid="{00000000-0005-0000-0000-0000B3090000}"/>
    <cellStyle name="Ênfase5 2 4" xfId="6766" xr:uid="{00000000-0005-0000-0000-0000B4090000}"/>
    <cellStyle name="Ênfase5 2 5" xfId="6767" xr:uid="{00000000-0005-0000-0000-0000B5090000}"/>
    <cellStyle name="Ênfase5 2 6" xfId="6768" xr:uid="{00000000-0005-0000-0000-0000B6090000}"/>
    <cellStyle name="Ênfase5 2 6 2" xfId="6769" xr:uid="{00000000-0005-0000-0000-0000B7090000}"/>
    <cellStyle name="Ênfase5 2 7" xfId="6746" xr:uid="{00000000-0005-0000-0000-0000B8090000}"/>
    <cellStyle name="Ênfase5 3" xfId="5267" xr:uid="{00000000-0005-0000-0000-0000B9090000}"/>
    <cellStyle name="Ênfase5 3 2" xfId="6771" xr:uid="{00000000-0005-0000-0000-0000BA090000}"/>
    <cellStyle name="Ênfase5 3 3" xfId="6772" xr:uid="{00000000-0005-0000-0000-0000BB090000}"/>
    <cellStyle name="Ênfase5 3 4" xfId="6773" xr:uid="{00000000-0005-0000-0000-0000BC090000}"/>
    <cellStyle name="Ênfase5 3 5" xfId="6770" xr:uid="{00000000-0005-0000-0000-0000BD090000}"/>
    <cellStyle name="Ênfase5 4" xfId="5278" xr:uid="{00000000-0005-0000-0000-0000BE090000}"/>
    <cellStyle name="Ênfase5 4 2" xfId="6775" xr:uid="{00000000-0005-0000-0000-0000BF090000}"/>
    <cellStyle name="Ênfase5 4 3" xfId="6776" xr:uid="{00000000-0005-0000-0000-0000C0090000}"/>
    <cellStyle name="Ênfase5 4 4" xfId="6774" xr:uid="{00000000-0005-0000-0000-0000C1090000}"/>
    <cellStyle name="Ênfase5 5" xfId="5260" xr:uid="{00000000-0005-0000-0000-0000C2090000}"/>
    <cellStyle name="Ênfase5 5 2" xfId="6778" xr:uid="{00000000-0005-0000-0000-0000C3090000}"/>
    <cellStyle name="Ênfase5 5 3" xfId="6777" xr:uid="{00000000-0005-0000-0000-0000C4090000}"/>
    <cellStyle name="Ênfase5 6" xfId="5285" xr:uid="{00000000-0005-0000-0000-0000C5090000}"/>
    <cellStyle name="Ênfase5 6 2" xfId="6780" xr:uid="{00000000-0005-0000-0000-0000C6090000}"/>
    <cellStyle name="Ênfase5 6 3" xfId="7356" xr:uid="{00000000-0005-0000-0000-0000C7090000}"/>
    <cellStyle name="Ênfase5 6 4" xfId="6779" xr:uid="{00000000-0005-0000-0000-0000C8090000}"/>
    <cellStyle name="Ênfase5 7" xfId="5253" xr:uid="{00000000-0005-0000-0000-0000C9090000}"/>
    <cellStyle name="Ênfase5 7 2" xfId="7357" xr:uid="{00000000-0005-0000-0000-0000CA090000}"/>
    <cellStyle name="Ênfase5 7 3" xfId="6781" xr:uid="{00000000-0005-0000-0000-0000CB090000}"/>
    <cellStyle name="Ênfase5 8" xfId="5293" xr:uid="{00000000-0005-0000-0000-0000CC090000}"/>
    <cellStyle name="Ênfase5 9" xfId="5245" xr:uid="{00000000-0005-0000-0000-0000CD090000}"/>
    <cellStyle name="Ênfase6" xfId="67" xr:uid="{00000000-0005-0000-0000-0000CE090000}"/>
    <cellStyle name="Ênfase6 10" xfId="5543" xr:uid="{00000000-0005-0000-0000-0000CF090000}"/>
    <cellStyle name="Ênfase6 11" xfId="5549" xr:uid="{00000000-0005-0000-0000-0000D0090000}"/>
    <cellStyle name="Ênfase6 12" xfId="5536" xr:uid="{00000000-0005-0000-0000-0000D1090000}"/>
    <cellStyle name="Ênfase6 13" xfId="5557" xr:uid="{00000000-0005-0000-0000-0000D2090000}"/>
    <cellStyle name="Ênfase6 14" xfId="5529" xr:uid="{00000000-0005-0000-0000-0000D3090000}"/>
    <cellStyle name="Ênfase6 15" xfId="5715" xr:uid="{00000000-0005-0000-0000-0000D4090000}"/>
    <cellStyle name="Ênfase6 16" xfId="5718" xr:uid="{00000000-0005-0000-0000-0000D5090000}"/>
    <cellStyle name="Ênfase6 17" xfId="5802" xr:uid="{00000000-0005-0000-0000-0000D6090000}"/>
    <cellStyle name="Ênfase6 2" xfId="5031" xr:uid="{00000000-0005-0000-0000-0000D7090000}"/>
    <cellStyle name="Ênfase6 2 2" xfId="6783" xr:uid="{00000000-0005-0000-0000-0000D8090000}"/>
    <cellStyle name="Ênfase6 2 2 2" xfId="6784" xr:uid="{00000000-0005-0000-0000-0000D9090000}"/>
    <cellStyle name="Ênfase6 2 2 2 2" xfId="6785" xr:uid="{00000000-0005-0000-0000-0000DA090000}"/>
    <cellStyle name="Ênfase6 2 2 2 2 2" xfId="6786" xr:uid="{00000000-0005-0000-0000-0000DB090000}"/>
    <cellStyle name="Ênfase6 2 2 2 2 2 2" xfId="6787" xr:uid="{00000000-0005-0000-0000-0000DC090000}"/>
    <cellStyle name="Ênfase6 2 2 2 2 2 2 2" xfId="6788" xr:uid="{00000000-0005-0000-0000-0000DD090000}"/>
    <cellStyle name="Ênfase6 2 2 2 2 2 2 2 2" xfId="6789" xr:uid="{00000000-0005-0000-0000-0000DE090000}"/>
    <cellStyle name="Ênfase6 2 2 2 2 2 2 3" xfId="6790" xr:uid="{00000000-0005-0000-0000-0000DF090000}"/>
    <cellStyle name="Ênfase6 2 2 2 2 2 3" xfId="6791" xr:uid="{00000000-0005-0000-0000-0000E0090000}"/>
    <cellStyle name="Ênfase6 2 2 2 2 2 3 2" xfId="6792" xr:uid="{00000000-0005-0000-0000-0000E1090000}"/>
    <cellStyle name="Ênfase6 2 2 2 2 3" xfId="6793" xr:uid="{00000000-0005-0000-0000-0000E2090000}"/>
    <cellStyle name="Ênfase6 2 2 2 2 3 2" xfId="6794" xr:uid="{00000000-0005-0000-0000-0000E3090000}"/>
    <cellStyle name="Ênfase6 2 2 2 3" xfId="6795" xr:uid="{00000000-0005-0000-0000-0000E4090000}"/>
    <cellStyle name="Ênfase6 2 2 2 4" xfId="6796" xr:uid="{00000000-0005-0000-0000-0000E5090000}"/>
    <cellStyle name="Ênfase6 2 2 2 4 2" xfId="6797" xr:uid="{00000000-0005-0000-0000-0000E6090000}"/>
    <cellStyle name="Ênfase6 2 2 3" xfId="6798" xr:uid="{00000000-0005-0000-0000-0000E7090000}"/>
    <cellStyle name="Ênfase6 2 2 4" xfId="6799" xr:uid="{00000000-0005-0000-0000-0000E8090000}"/>
    <cellStyle name="Ênfase6 2 2 4 2" xfId="6800" xr:uid="{00000000-0005-0000-0000-0000E9090000}"/>
    <cellStyle name="Ênfase6 2 3" xfId="6801" xr:uid="{00000000-0005-0000-0000-0000EA090000}"/>
    <cellStyle name="Ênfase6 2 4" xfId="6802" xr:uid="{00000000-0005-0000-0000-0000EB090000}"/>
    <cellStyle name="Ênfase6 2 5" xfId="6803" xr:uid="{00000000-0005-0000-0000-0000EC090000}"/>
    <cellStyle name="Ênfase6 2 6" xfId="6804" xr:uid="{00000000-0005-0000-0000-0000ED090000}"/>
    <cellStyle name="Ênfase6 2 6 2" xfId="6805" xr:uid="{00000000-0005-0000-0000-0000EE090000}"/>
    <cellStyle name="Ênfase6 2 7" xfId="6782" xr:uid="{00000000-0005-0000-0000-0000EF090000}"/>
    <cellStyle name="Ênfase6 3" xfId="5268" xr:uid="{00000000-0005-0000-0000-0000F0090000}"/>
    <cellStyle name="Ênfase6 3 2" xfId="6807" xr:uid="{00000000-0005-0000-0000-0000F1090000}"/>
    <cellStyle name="Ênfase6 3 3" xfId="6808" xr:uid="{00000000-0005-0000-0000-0000F2090000}"/>
    <cellStyle name="Ênfase6 3 4" xfId="6809" xr:uid="{00000000-0005-0000-0000-0000F3090000}"/>
    <cellStyle name="Ênfase6 3 5" xfId="6806" xr:uid="{00000000-0005-0000-0000-0000F4090000}"/>
    <cellStyle name="Ênfase6 4" xfId="5277" xr:uid="{00000000-0005-0000-0000-0000F5090000}"/>
    <cellStyle name="Ênfase6 4 2" xfId="6811" xr:uid="{00000000-0005-0000-0000-0000F6090000}"/>
    <cellStyle name="Ênfase6 4 3" xfId="6812" xr:uid="{00000000-0005-0000-0000-0000F7090000}"/>
    <cellStyle name="Ênfase6 4 4" xfId="6810" xr:uid="{00000000-0005-0000-0000-0000F8090000}"/>
    <cellStyle name="Ênfase6 5" xfId="5261" xr:uid="{00000000-0005-0000-0000-0000F9090000}"/>
    <cellStyle name="Ênfase6 5 2" xfId="6814" xr:uid="{00000000-0005-0000-0000-0000FA090000}"/>
    <cellStyle name="Ênfase6 5 3" xfId="6813" xr:uid="{00000000-0005-0000-0000-0000FB090000}"/>
    <cellStyle name="Ênfase6 6" xfId="5284" xr:uid="{00000000-0005-0000-0000-0000FC090000}"/>
    <cellStyle name="Ênfase6 6 2" xfId="6816" xr:uid="{00000000-0005-0000-0000-0000FD090000}"/>
    <cellStyle name="Ênfase6 6 3" xfId="7358" xr:uid="{00000000-0005-0000-0000-0000FE090000}"/>
    <cellStyle name="Ênfase6 6 4" xfId="6815" xr:uid="{00000000-0005-0000-0000-0000FF090000}"/>
    <cellStyle name="Ênfase6 7" xfId="5254" xr:uid="{00000000-0005-0000-0000-0000000A0000}"/>
    <cellStyle name="Ênfase6 7 2" xfId="7359" xr:uid="{00000000-0005-0000-0000-0000010A0000}"/>
    <cellStyle name="Ênfase6 7 3" xfId="6817" xr:uid="{00000000-0005-0000-0000-0000020A0000}"/>
    <cellStyle name="Ênfase6 8" xfId="5292" xr:uid="{00000000-0005-0000-0000-0000030A0000}"/>
    <cellStyle name="Ênfase6 9" xfId="5246" xr:uid="{00000000-0005-0000-0000-0000040A0000}"/>
    <cellStyle name="Énfasis1" xfId="1002" xr:uid="{00000000-0005-0000-0000-0000050A0000}"/>
    <cellStyle name="Énfasis2" xfId="1003" xr:uid="{00000000-0005-0000-0000-0000060A0000}"/>
    <cellStyle name="Énfasis3" xfId="1004" xr:uid="{00000000-0005-0000-0000-0000070A0000}"/>
    <cellStyle name="Énfasis4" xfId="1005" xr:uid="{00000000-0005-0000-0000-0000080A0000}"/>
    <cellStyle name="Énfasis5" xfId="1006" xr:uid="{00000000-0005-0000-0000-0000090A0000}"/>
    <cellStyle name="Énfasis6" xfId="1007" xr:uid="{00000000-0005-0000-0000-00000A0A0000}"/>
    <cellStyle name="Enter Currency (0)" xfId="5032" xr:uid="{00000000-0005-0000-0000-00000B0A0000}"/>
    <cellStyle name="Enter Currency (2)" xfId="5033" xr:uid="{00000000-0005-0000-0000-00000C0A0000}"/>
    <cellStyle name="Enter Units (0)" xfId="5034" xr:uid="{00000000-0005-0000-0000-00000D0A0000}"/>
    <cellStyle name="Enter Units (1)" xfId="5035" xr:uid="{00000000-0005-0000-0000-00000E0A0000}"/>
    <cellStyle name="Enter Units (2)" xfId="5036" xr:uid="{00000000-0005-0000-0000-00000F0A0000}"/>
    <cellStyle name="Entered" xfId="1008" xr:uid="{00000000-0005-0000-0000-0000100A0000}"/>
    <cellStyle name="Entrada" xfId="68" xr:uid="{00000000-0005-0000-0000-0000110A0000}"/>
    <cellStyle name="Entrada 10" xfId="5546" xr:uid="{00000000-0005-0000-0000-0000120A0000}"/>
    <cellStyle name="Entrada 10 2" xfId="14113" xr:uid="{2EB319C3-840A-4CDB-AAD1-AFE6A5253873}"/>
    <cellStyle name="Entrada 10 3" xfId="16181" xr:uid="{4464CF4B-88A5-4C53-BF6E-A7FCFCC49D84}"/>
    <cellStyle name="Entrada 11" xfId="5547" xr:uid="{00000000-0005-0000-0000-0000130A0000}"/>
    <cellStyle name="Entrada 11 2" xfId="14114" xr:uid="{9354F0B8-2204-4273-8226-76C4FDBA5849}"/>
    <cellStyle name="Entrada 11 3" xfId="16182" xr:uid="{7A16CFC0-AF05-41B6-B2E4-C0DE1D7E44E9}"/>
    <cellStyle name="Entrada 12" xfId="5545" xr:uid="{00000000-0005-0000-0000-0000140A0000}"/>
    <cellStyle name="Entrada 12 2" xfId="14112" xr:uid="{59C54E69-0DE3-450C-843A-21AA99CE60DA}"/>
    <cellStyle name="Entrada 12 3" xfId="16180" xr:uid="{2669FB9D-2A37-4CAC-A0C0-1F64AC87BB2E}"/>
    <cellStyle name="Entrada 13" xfId="5548" xr:uid="{00000000-0005-0000-0000-0000150A0000}"/>
    <cellStyle name="Entrada 13 2" xfId="14115" xr:uid="{43DFF8C9-FFD0-41B3-BA68-2DCD15EDC4ED}"/>
    <cellStyle name="Entrada 13 3" xfId="16183" xr:uid="{AC356A45-60B3-4BD1-81FF-293F8EA98CA2}"/>
    <cellStyle name="Entrada 14" xfId="5544" xr:uid="{00000000-0005-0000-0000-0000160A0000}"/>
    <cellStyle name="Entrada 14 2" xfId="14111" xr:uid="{3C3909B9-1475-4C12-B6FC-43A5B7C44C95}"/>
    <cellStyle name="Entrada 14 3" xfId="16179" xr:uid="{865B2B6F-E0F9-4A81-ACB2-7D530C864B09}"/>
    <cellStyle name="Entrada 15" xfId="5716" xr:uid="{00000000-0005-0000-0000-0000170A0000}"/>
    <cellStyle name="Entrada 15 2" xfId="14166" xr:uid="{736796BA-A5B0-49AC-995F-91AFF257D9CC}"/>
    <cellStyle name="Entrada 15 3" xfId="14169" xr:uid="{01BE8E7D-45FD-4919-999A-A43AAD7C98BE}"/>
    <cellStyle name="Entrada 16" xfId="5717" xr:uid="{00000000-0005-0000-0000-0000180A0000}"/>
    <cellStyle name="Entrada 16 2" xfId="14167" xr:uid="{48EC8FA8-640F-45DE-8375-AEB12C0C7083}"/>
    <cellStyle name="Entrada 16 3" xfId="14164" xr:uid="{51B93F7F-F5DE-4A54-948D-A5FDFA00C81E}"/>
    <cellStyle name="Entrada 17" xfId="5775" xr:uid="{00000000-0005-0000-0000-0000190A0000}"/>
    <cellStyle name="Entrada 18" xfId="10594" xr:uid="{00000000-0005-0000-0000-00001A0A0000}"/>
    <cellStyle name="Entrada 18 2" xfId="19356" xr:uid="{38F5C87E-F06D-4E19-9A98-17A9B7F465D4}"/>
    <cellStyle name="Entrada 2" xfId="5037" xr:uid="{00000000-0005-0000-0000-00001B0A0000}"/>
    <cellStyle name="Entrada 2 2" xfId="6819" xr:uid="{00000000-0005-0000-0000-00001C0A0000}"/>
    <cellStyle name="Entrada 2 2 2" xfId="6820" xr:uid="{00000000-0005-0000-0000-00001D0A0000}"/>
    <cellStyle name="Entrada 2 2 2 2" xfId="6821" xr:uid="{00000000-0005-0000-0000-00001E0A0000}"/>
    <cellStyle name="Entrada 2 2 2 2 2" xfId="6822" xr:uid="{00000000-0005-0000-0000-00001F0A0000}"/>
    <cellStyle name="Entrada 2 2 2 2 2 2" xfId="6823" xr:uid="{00000000-0005-0000-0000-0000200A0000}"/>
    <cellStyle name="Entrada 2 2 2 2 2 2 2" xfId="6824" xr:uid="{00000000-0005-0000-0000-0000210A0000}"/>
    <cellStyle name="Entrada 2 2 2 2 2 2 2 2" xfId="6825" xr:uid="{00000000-0005-0000-0000-0000220A0000}"/>
    <cellStyle name="Entrada 2 2 2 2 2 2 2 2 2" xfId="14580" xr:uid="{8780115B-62AE-4245-B787-6A5430A05179}"/>
    <cellStyle name="Entrada 2 2 2 2 2 2 2 2 3" xfId="14540" xr:uid="{1790882A-31E1-4100-BF11-B41D70D8F349}"/>
    <cellStyle name="Entrada 2 2 2 2 2 2 3" xfId="6826" xr:uid="{00000000-0005-0000-0000-0000230A0000}"/>
    <cellStyle name="Entrada 2 2 2 2 2 2 3 2" xfId="14581" xr:uid="{7E586562-FB36-4393-8BEF-587B001F5B84}"/>
    <cellStyle name="Entrada 2 2 2 2 2 2 3 3" xfId="14539" xr:uid="{0EA038CC-E868-4FFD-8829-9F33E9B0B35B}"/>
    <cellStyle name="Entrada 2 2 2 2 2 2 4" xfId="14579" xr:uid="{95D04A51-43E5-49F8-A229-C96257A94035}"/>
    <cellStyle name="Entrada 2 2 2 2 2 2 5" xfId="22640" xr:uid="{CAE642F2-CA7E-482B-8021-41634228773B}"/>
    <cellStyle name="Entrada 2 2 2 2 2 3" xfId="6827" xr:uid="{00000000-0005-0000-0000-0000240A0000}"/>
    <cellStyle name="Entrada 2 2 2 2 2 3 2" xfId="6828" xr:uid="{00000000-0005-0000-0000-0000250A0000}"/>
    <cellStyle name="Entrada 2 2 2 2 2 3 3" xfId="14582" xr:uid="{78FBDEC6-C241-4AAF-B782-0FDE5E77D4DE}"/>
    <cellStyle name="Entrada 2 2 2 2 2 3 4" xfId="22637" xr:uid="{9330FE16-317A-4E77-9713-B2D11C7AC251}"/>
    <cellStyle name="Entrada 2 2 2 2 3" xfId="6829" xr:uid="{00000000-0005-0000-0000-0000260A0000}"/>
    <cellStyle name="Entrada 2 2 2 2 3 2" xfId="6830" xr:uid="{00000000-0005-0000-0000-0000270A0000}"/>
    <cellStyle name="Entrada 2 2 2 2 3 2 2" xfId="14583" xr:uid="{C93E4D9D-8453-469B-A4F6-9959A405B8F8}"/>
    <cellStyle name="Entrada 2 2 2 2 3 2 3" xfId="22626" xr:uid="{ED98D3FE-9586-4C1C-AF71-B67DB7BAED02}"/>
    <cellStyle name="Entrada 2 2 2 2 4" xfId="14578" xr:uid="{44610C54-C676-4347-8767-AA850F747D72}"/>
    <cellStyle name="Entrada 2 2 2 2 5" xfId="22655" xr:uid="{467093B8-BB6D-4CEC-8992-E36F5B0F6D4C}"/>
    <cellStyle name="Entrada 2 2 2 3" xfId="6831" xr:uid="{00000000-0005-0000-0000-0000280A0000}"/>
    <cellStyle name="Entrada 2 2 2 3 2" xfId="14584" xr:uid="{FE35BD5D-8F98-4D5E-9DC7-2BC610E2D3FC}"/>
    <cellStyle name="Entrada 2 2 2 3 3" xfId="22639" xr:uid="{833061AD-60F1-41DC-96B2-176E561718D6}"/>
    <cellStyle name="Entrada 2 2 2 4" xfId="6832" xr:uid="{00000000-0005-0000-0000-0000290A0000}"/>
    <cellStyle name="Entrada 2 2 2 4 2" xfId="6833" xr:uid="{00000000-0005-0000-0000-00002A0A0000}"/>
    <cellStyle name="Entrada 2 2 2 4 3" xfId="14585" xr:uid="{C29C4195-5910-4CD0-8151-2F2CD31B53E1}"/>
    <cellStyle name="Entrada 2 2 2 4 4" xfId="14537" xr:uid="{08A1E51C-0666-4711-A88C-93584AD69F8F}"/>
    <cellStyle name="Entrada 2 2 3" xfId="6834" xr:uid="{00000000-0005-0000-0000-00002B0A0000}"/>
    <cellStyle name="Entrada 2 2 4" xfId="6835" xr:uid="{00000000-0005-0000-0000-00002C0A0000}"/>
    <cellStyle name="Entrada 2 2 4 2" xfId="6836" xr:uid="{00000000-0005-0000-0000-00002D0A0000}"/>
    <cellStyle name="Entrada 2 2 4 2 2" xfId="14586" xr:uid="{A8F7FE4A-8ABB-4567-B932-25085EFC0F53}"/>
    <cellStyle name="Entrada 2 2 4 2 3" xfId="14538" xr:uid="{B9E29298-C455-44B5-869D-C9FE037ACCD4}"/>
    <cellStyle name="Entrada 2 2 5" xfId="14577" xr:uid="{34F2784C-5C9E-42CB-8E16-B2C4834466C2}"/>
    <cellStyle name="Entrada 2 2 6" xfId="14541" xr:uid="{1A419333-6ADB-4FEC-A35D-077B518E5CE4}"/>
    <cellStyle name="Entrada 2 3" xfId="6837" xr:uid="{00000000-0005-0000-0000-00002E0A0000}"/>
    <cellStyle name="Entrada 2 3 2" xfId="14587" xr:uid="{110BABE0-EFBA-4B16-AED8-F089C54C13EB}"/>
    <cellStyle name="Entrada 2 3 3" xfId="22668" xr:uid="{69B34B5B-B055-49F7-8492-D3E705C43E4A}"/>
    <cellStyle name="Entrada 2 4" xfId="6838" xr:uid="{00000000-0005-0000-0000-00002F0A0000}"/>
    <cellStyle name="Entrada 2 4 2" xfId="14588" xr:uid="{74417724-F819-4DE9-9658-8F0DF29C575E}"/>
    <cellStyle name="Entrada 2 4 3" xfId="22654" xr:uid="{BEAF438B-38D2-49C5-BAE8-7D8D16B2685E}"/>
    <cellStyle name="Entrada 2 5" xfId="6839" xr:uid="{00000000-0005-0000-0000-0000300A0000}"/>
    <cellStyle name="Entrada 2 5 2" xfId="14589" xr:uid="{5C86B8A1-377F-4558-A28B-C9F670E3FA3E}"/>
    <cellStyle name="Entrada 2 5 3" xfId="22625" xr:uid="{37A74B9B-CE18-4038-AE4B-1C2867E2E5AE}"/>
    <cellStyle name="Entrada 2 6" xfId="6840" xr:uid="{00000000-0005-0000-0000-0000310A0000}"/>
    <cellStyle name="Entrada 2 6 2" xfId="6841" xr:uid="{00000000-0005-0000-0000-0000320A0000}"/>
    <cellStyle name="Entrada 2 6 3" xfId="14590" xr:uid="{DBEB2ECA-7859-4CD7-B5AE-7EFA63657DC6}"/>
    <cellStyle name="Entrada 2 6 4" xfId="22669" xr:uid="{1BE4236A-4389-4CF7-BDFB-65F2222ECD76}"/>
    <cellStyle name="Entrada 2 7" xfId="6818" xr:uid="{00000000-0005-0000-0000-0000330A0000}"/>
    <cellStyle name="Entrada 2 8" xfId="13945" xr:uid="{60F7A001-206E-4056-A399-D05BD6919035}"/>
    <cellStyle name="Entrada 2 9" xfId="16137" xr:uid="{9481023B-A581-44A1-97F0-5481EA55EE40}"/>
    <cellStyle name="Entrada 3" xfId="5272" xr:uid="{00000000-0005-0000-0000-0000340A0000}"/>
    <cellStyle name="Entrada 3 2" xfId="6843" xr:uid="{00000000-0005-0000-0000-0000350A0000}"/>
    <cellStyle name="Entrada 3 3" xfId="6844" xr:uid="{00000000-0005-0000-0000-0000360A0000}"/>
    <cellStyle name="Entrada 3 4" xfId="6845" xr:uid="{00000000-0005-0000-0000-0000370A0000}"/>
    <cellStyle name="Entrada 3 5" xfId="6842" xr:uid="{00000000-0005-0000-0000-0000380A0000}"/>
    <cellStyle name="Entrada 3 6" xfId="14022" xr:uid="{9BEE2525-4B5F-40F1-9A45-6483DBC145C2}"/>
    <cellStyle name="Entrada 3 7" xfId="22598" xr:uid="{6BB52A4A-0B23-46DC-907A-9773DF41021C}"/>
    <cellStyle name="Entrada 4" xfId="5273" xr:uid="{00000000-0005-0000-0000-0000390A0000}"/>
    <cellStyle name="Entrada 4 2" xfId="6847" xr:uid="{00000000-0005-0000-0000-00003A0A0000}"/>
    <cellStyle name="Entrada 4 3" xfId="6848" xr:uid="{00000000-0005-0000-0000-00003B0A0000}"/>
    <cellStyle name="Entrada 4 4" xfId="6846" xr:uid="{00000000-0005-0000-0000-00003C0A0000}"/>
    <cellStyle name="Entrada 4 5" xfId="14023" xr:uid="{99427907-72F8-475C-88E1-9C2A8EA09E3B}"/>
    <cellStyle name="Entrada 4 6" xfId="22597" xr:uid="{23C6C902-D147-424B-B1A0-604AE59BD8AE}"/>
    <cellStyle name="Entrada 5" xfId="5271" xr:uid="{00000000-0005-0000-0000-00003D0A0000}"/>
    <cellStyle name="Entrada 5 2" xfId="6850" xr:uid="{00000000-0005-0000-0000-00003E0A0000}"/>
    <cellStyle name="Entrada 5 3" xfId="6849" xr:uid="{00000000-0005-0000-0000-00003F0A0000}"/>
    <cellStyle name="Entrada 5 4" xfId="14021" xr:uid="{FE6DFB7E-3A82-4F80-B110-E3B6C4F9F1F9}"/>
    <cellStyle name="Entrada 5 5" xfId="22599" xr:uid="{CFE5C06C-98EE-4B08-B229-7F260871EB65}"/>
    <cellStyle name="Entrada 6" xfId="5274" xr:uid="{00000000-0005-0000-0000-0000400A0000}"/>
    <cellStyle name="Entrada 6 2" xfId="6852" xr:uid="{00000000-0005-0000-0000-0000410A0000}"/>
    <cellStyle name="Entrada 6 2 2" xfId="14593" xr:uid="{31C93EAA-4E54-425C-94C6-2A25EFD54011}"/>
    <cellStyle name="Entrada 6 2 3" xfId="22638" xr:uid="{E142D88C-C6E3-493D-BE2E-1BD502111993}"/>
    <cellStyle name="Entrada 6 3" xfId="7360" xr:uid="{00000000-0005-0000-0000-0000420A0000}"/>
    <cellStyle name="Entrada 6 4" xfId="6851" xr:uid="{00000000-0005-0000-0000-0000430A0000}"/>
    <cellStyle name="Entrada 6 5" xfId="14024" xr:uid="{C4F3C765-7391-4F4A-8C26-C48B4CE50BD9}"/>
    <cellStyle name="Entrada 6 6" xfId="22596" xr:uid="{77D4A301-ABD9-4B10-AB92-7FDCCA244E85}"/>
    <cellStyle name="Entrada 7" xfId="5270" xr:uid="{00000000-0005-0000-0000-0000440A0000}"/>
    <cellStyle name="Entrada 7 2" xfId="7361" xr:uid="{00000000-0005-0000-0000-0000450A0000}"/>
    <cellStyle name="Entrada 7 3" xfId="6853" xr:uid="{00000000-0005-0000-0000-0000460A0000}"/>
    <cellStyle name="Entrada 7 4" xfId="14020" xr:uid="{36920FB5-FB96-4CDC-9E0F-25390EC551AB}"/>
    <cellStyle name="Entrada 7 5" xfId="22594" xr:uid="{5EF6F240-9A5D-435F-AEB7-79B035E87516}"/>
    <cellStyle name="Entrada 8" xfId="5275" xr:uid="{00000000-0005-0000-0000-0000470A0000}"/>
    <cellStyle name="Entrada 8 2" xfId="14025" xr:uid="{D59AA8D2-F04B-47F5-88E6-67746F93E293}"/>
    <cellStyle name="Entrada 8 3" xfId="22595" xr:uid="{981D24D7-EDB2-48B5-81DE-7A14A7FF10E5}"/>
    <cellStyle name="Entrada 9" xfId="5269" xr:uid="{00000000-0005-0000-0000-0000480A0000}"/>
    <cellStyle name="Entrada 9 2" xfId="14019" xr:uid="{C842C1ED-6736-4157-B318-801D891040B7}"/>
    <cellStyle name="Entrada 9 3" xfId="14849" xr:uid="{119CF0E0-493D-43F3-B075-93A5B24F98D0}"/>
    <cellStyle name="Estilo 1" xfId="5038" xr:uid="{00000000-0005-0000-0000-0000490A0000}"/>
    <cellStyle name="Estilo 2" xfId="5039" xr:uid="{00000000-0005-0000-0000-00004A0A0000}"/>
    <cellStyle name="Euro" xfId="69" xr:uid="{00000000-0005-0000-0000-00004B0A0000}"/>
    <cellStyle name="Euro 10" xfId="1010" xr:uid="{00000000-0005-0000-0000-00004C0A0000}"/>
    <cellStyle name="Euro 11" xfId="1011" xr:uid="{00000000-0005-0000-0000-00004D0A0000}"/>
    <cellStyle name="Euro 12" xfId="1012" xr:uid="{00000000-0005-0000-0000-00004E0A0000}"/>
    <cellStyle name="Euro 13" xfId="1013" xr:uid="{00000000-0005-0000-0000-00004F0A0000}"/>
    <cellStyle name="Euro 14" xfId="1014" xr:uid="{00000000-0005-0000-0000-0000500A0000}"/>
    <cellStyle name="Euro 15" xfId="1015" xr:uid="{00000000-0005-0000-0000-0000510A0000}"/>
    <cellStyle name="Euro 16" xfId="1016" xr:uid="{00000000-0005-0000-0000-0000520A0000}"/>
    <cellStyle name="Euro 17" xfId="1017" xr:uid="{00000000-0005-0000-0000-0000530A0000}"/>
    <cellStyle name="Euro 18" xfId="1018" xr:uid="{00000000-0005-0000-0000-0000540A0000}"/>
    <cellStyle name="Euro 19" xfId="1019" xr:uid="{00000000-0005-0000-0000-0000550A0000}"/>
    <cellStyle name="Euro 2" xfId="133" xr:uid="{00000000-0005-0000-0000-0000560A0000}"/>
    <cellStyle name="Euro 2 2" xfId="1021" xr:uid="{00000000-0005-0000-0000-0000570A0000}"/>
    <cellStyle name="Euro 2 3" xfId="1020" xr:uid="{00000000-0005-0000-0000-0000580A0000}"/>
    <cellStyle name="Euro 2 3 2" xfId="10452" xr:uid="{00000000-0005-0000-0000-0000590A0000}"/>
    <cellStyle name="Euro 20" xfId="1022" xr:uid="{00000000-0005-0000-0000-00005A0A0000}"/>
    <cellStyle name="Euro 21" xfId="1023" xr:uid="{00000000-0005-0000-0000-00005B0A0000}"/>
    <cellStyle name="Euro 22" xfId="1024" xr:uid="{00000000-0005-0000-0000-00005C0A0000}"/>
    <cellStyle name="Euro 23" xfId="1025" xr:uid="{00000000-0005-0000-0000-00005D0A0000}"/>
    <cellStyle name="Euro 24" xfId="1026" xr:uid="{00000000-0005-0000-0000-00005E0A0000}"/>
    <cellStyle name="Euro 25" xfId="1027" xr:uid="{00000000-0005-0000-0000-00005F0A0000}"/>
    <cellStyle name="Euro 26" xfId="1028" xr:uid="{00000000-0005-0000-0000-0000600A0000}"/>
    <cellStyle name="Euro 27" xfId="1029" xr:uid="{00000000-0005-0000-0000-0000610A0000}"/>
    <cellStyle name="Euro 28" xfId="1030" xr:uid="{00000000-0005-0000-0000-0000620A0000}"/>
    <cellStyle name="Euro 29" xfId="1031" xr:uid="{00000000-0005-0000-0000-0000630A0000}"/>
    <cellStyle name="Euro 3" xfId="130" xr:uid="{00000000-0005-0000-0000-0000640A0000}"/>
    <cellStyle name="Euro 3 2" xfId="1033" xr:uid="{00000000-0005-0000-0000-0000650A0000}"/>
    <cellStyle name="Euro 3 3" xfId="1032" xr:uid="{00000000-0005-0000-0000-0000660A0000}"/>
    <cellStyle name="Euro 30" xfId="1034" xr:uid="{00000000-0005-0000-0000-0000670A0000}"/>
    <cellStyle name="Euro 31" xfId="1035" xr:uid="{00000000-0005-0000-0000-0000680A0000}"/>
    <cellStyle name="Euro 32" xfId="1036" xr:uid="{00000000-0005-0000-0000-0000690A0000}"/>
    <cellStyle name="Euro 33" xfId="1037" xr:uid="{00000000-0005-0000-0000-00006A0A0000}"/>
    <cellStyle name="Euro 34" xfId="1038" xr:uid="{00000000-0005-0000-0000-00006B0A0000}"/>
    <cellStyle name="Euro 35" xfId="1039" xr:uid="{00000000-0005-0000-0000-00006C0A0000}"/>
    <cellStyle name="Euro 36" xfId="1040" xr:uid="{00000000-0005-0000-0000-00006D0A0000}"/>
    <cellStyle name="Euro 37" xfId="1041" xr:uid="{00000000-0005-0000-0000-00006E0A0000}"/>
    <cellStyle name="Euro 38" xfId="1042" xr:uid="{00000000-0005-0000-0000-00006F0A0000}"/>
    <cellStyle name="Euro 39" xfId="1043" xr:uid="{00000000-0005-0000-0000-0000700A0000}"/>
    <cellStyle name="Euro 4" xfId="1044" xr:uid="{00000000-0005-0000-0000-0000710A0000}"/>
    <cellStyle name="Euro 4 2" xfId="1045" xr:uid="{00000000-0005-0000-0000-0000720A0000}"/>
    <cellStyle name="Euro 40" xfId="1046" xr:uid="{00000000-0005-0000-0000-0000730A0000}"/>
    <cellStyle name="Euro 41" xfId="1047" xr:uid="{00000000-0005-0000-0000-0000740A0000}"/>
    <cellStyle name="Euro 42" xfId="1048" xr:uid="{00000000-0005-0000-0000-0000750A0000}"/>
    <cellStyle name="Euro 43" xfId="1009" xr:uid="{00000000-0005-0000-0000-0000760A0000}"/>
    <cellStyle name="Euro 44" xfId="5040" xr:uid="{00000000-0005-0000-0000-0000770A0000}"/>
    <cellStyle name="Euro 5" xfId="1049" xr:uid="{00000000-0005-0000-0000-0000780A0000}"/>
    <cellStyle name="Euro 6" xfId="1050" xr:uid="{00000000-0005-0000-0000-0000790A0000}"/>
    <cellStyle name="Euro 7" xfId="1051" xr:uid="{00000000-0005-0000-0000-00007A0A0000}"/>
    <cellStyle name="Euro 8" xfId="1052" xr:uid="{00000000-0005-0000-0000-00007B0A0000}"/>
    <cellStyle name="Euro 9" xfId="1053" xr:uid="{00000000-0005-0000-0000-00007C0A0000}"/>
    <cellStyle name="Explanatory Text 2" xfId="70" xr:uid="{00000000-0005-0000-0000-00007D0A0000}"/>
    <cellStyle name="EY House" xfId="1054" xr:uid="{00000000-0005-0000-0000-00007E0A0000}"/>
    <cellStyle name="f" xfId="1055" xr:uid="{00000000-0005-0000-0000-00007F0A0000}"/>
    <cellStyle name="F2" xfId="1056" xr:uid="{00000000-0005-0000-0000-0000800A0000}"/>
    <cellStyle name="F2 2" xfId="5041" xr:uid="{00000000-0005-0000-0000-0000810A0000}"/>
    <cellStyle name="F3" xfId="1057" xr:uid="{00000000-0005-0000-0000-0000820A0000}"/>
    <cellStyle name="F3 2" xfId="5042" xr:uid="{00000000-0005-0000-0000-0000830A0000}"/>
    <cellStyle name="F4" xfId="1058" xr:uid="{00000000-0005-0000-0000-0000840A0000}"/>
    <cellStyle name="F4 2" xfId="5043" xr:uid="{00000000-0005-0000-0000-0000850A0000}"/>
    <cellStyle name="F5" xfId="1059" xr:uid="{00000000-0005-0000-0000-0000860A0000}"/>
    <cellStyle name="F5 2" xfId="5044" xr:uid="{00000000-0005-0000-0000-0000870A0000}"/>
    <cellStyle name="F6" xfId="1060" xr:uid="{00000000-0005-0000-0000-0000880A0000}"/>
    <cellStyle name="F6 2" xfId="5045" xr:uid="{00000000-0005-0000-0000-0000890A0000}"/>
    <cellStyle name="F7" xfId="1061" xr:uid="{00000000-0005-0000-0000-00008A0A0000}"/>
    <cellStyle name="F7 2" xfId="5046" xr:uid="{00000000-0005-0000-0000-00008B0A0000}"/>
    <cellStyle name="F8" xfId="1062" xr:uid="{00000000-0005-0000-0000-00008C0A0000}"/>
    <cellStyle name="F8 2" xfId="5047" xr:uid="{00000000-0005-0000-0000-00008D0A0000}"/>
    <cellStyle name="Factor" xfId="1063" xr:uid="{00000000-0005-0000-0000-00008E0A0000}"/>
    <cellStyle name="Fixed" xfId="1064" xr:uid="{00000000-0005-0000-0000-00008F0A0000}"/>
    <cellStyle name="Fixed [0]" xfId="1065" xr:uid="{00000000-0005-0000-0000-0000900A0000}"/>
    <cellStyle name="Fixed 10" xfId="1066" xr:uid="{00000000-0005-0000-0000-0000910A0000}"/>
    <cellStyle name="Fixed 11" xfId="1067" xr:uid="{00000000-0005-0000-0000-0000920A0000}"/>
    <cellStyle name="Fixed 12" xfId="1068" xr:uid="{00000000-0005-0000-0000-0000930A0000}"/>
    <cellStyle name="Fixed 13" xfId="1069" xr:uid="{00000000-0005-0000-0000-0000940A0000}"/>
    <cellStyle name="Fixed 14" xfId="1070" xr:uid="{00000000-0005-0000-0000-0000950A0000}"/>
    <cellStyle name="Fixed 15" xfId="1071" xr:uid="{00000000-0005-0000-0000-0000960A0000}"/>
    <cellStyle name="Fixed 16" xfId="1072" xr:uid="{00000000-0005-0000-0000-0000970A0000}"/>
    <cellStyle name="Fixed 17" xfId="1073" xr:uid="{00000000-0005-0000-0000-0000980A0000}"/>
    <cellStyle name="Fixed 18" xfId="5048" xr:uid="{00000000-0005-0000-0000-0000990A0000}"/>
    <cellStyle name="Fixed 19" xfId="7398" xr:uid="{00000000-0005-0000-0000-00009A0A0000}"/>
    <cellStyle name="Fixed 2" xfId="1074" xr:uid="{00000000-0005-0000-0000-00009B0A0000}"/>
    <cellStyle name="Fixed 20" xfId="7407" xr:uid="{00000000-0005-0000-0000-00009C0A0000}"/>
    <cellStyle name="Fixed 21" xfId="7402" xr:uid="{00000000-0005-0000-0000-00009D0A0000}"/>
    <cellStyle name="Fixed 22" xfId="7404" xr:uid="{00000000-0005-0000-0000-00009E0A0000}"/>
    <cellStyle name="Fixed 23" xfId="13948" xr:uid="{E72ABF06-F16D-435A-836C-F9CF2293A480}"/>
    <cellStyle name="Fixed 24" xfId="14711" xr:uid="{70FCAAC2-35CD-411A-83AF-DFA7D6DBC198}"/>
    <cellStyle name="Fixed 25" xfId="14825" xr:uid="{84D68AF3-D86F-4837-A4C8-350DFFD79E9B}"/>
    <cellStyle name="Fixed 26" xfId="22607" xr:uid="{73AEF273-587D-4FC2-A3CA-099EA9126301}"/>
    <cellStyle name="Fixed 27" xfId="16112" xr:uid="{4AE9F037-69CA-497F-8C66-123409D1850E}"/>
    <cellStyle name="Fixed 28" xfId="14822" xr:uid="{E2504931-100E-4ABC-A4B0-9C20C797D08E}"/>
    <cellStyle name="Fixed 29" xfId="14544" xr:uid="{FC70952C-6FD0-4CD1-A476-18BB73175C54}"/>
    <cellStyle name="Fixed 3" xfId="1075" xr:uid="{00000000-0005-0000-0000-00009F0A0000}"/>
    <cellStyle name="Fixed 4" xfId="1076" xr:uid="{00000000-0005-0000-0000-0000A00A0000}"/>
    <cellStyle name="Fixed 5" xfId="1077" xr:uid="{00000000-0005-0000-0000-0000A10A0000}"/>
    <cellStyle name="Fixed 6" xfId="1078" xr:uid="{00000000-0005-0000-0000-0000A20A0000}"/>
    <cellStyle name="Fixed 7" xfId="1079" xr:uid="{00000000-0005-0000-0000-0000A30A0000}"/>
    <cellStyle name="Fixed 8" xfId="1080" xr:uid="{00000000-0005-0000-0000-0000A40A0000}"/>
    <cellStyle name="Fixed 9" xfId="1081" xr:uid="{00000000-0005-0000-0000-0000A50A0000}"/>
    <cellStyle name="Fixo" xfId="5049" xr:uid="{00000000-0005-0000-0000-0000A60A0000}"/>
    <cellStyle name="Followed Hyperlink" xfId="1082" xr:uid="{00000000-0005-0000-0000-0000A70A0000}"/>
    <cellStyle name="Followed Hyperlink 10" xfId="1083" xr:uid="{00000000-0005-0000-0000-0000A80A0000}"/>
    <cellStyle name="Followed Hyperlink 11" xfId="1084" xr:uid="{00000000-0005-0000-0000-0000A90A0000}"/>
    <cellStyle name="Followed Hyperlink 12" xfId="1085" xr:uid="{00000000-0005-0000-0000-0000AA0A0000}"/>
    <cellStyle name="Followed Hyperlink 13" xfId="1086" xr:uid="{00000000-0005-0000-0000-0000AB0A0000}"/>
    <cellStyle name="Followed Hyperlink 14" xfId="1087" xr:uid="{00000000-0005-0000-0000-0000AC0A0000}"/>
    <cellStyle name="Followed Hyperlink 15" xfId="1088" xr:uid="{00000000-0005-0000-0000-0000AD0A0000}"/>
    <cellStyle name="Followed Hyperlink 16" xfId="1089" xr:uid="{00000000-0005-0000-0000-0000AE0A0000}"/>
    <cellStyle name="Followed Hyperlink 17" xfId="1090" xr:uid="{00000000-0005-0000-0000-0000AF0A0000}"/>
    <cellStyle name="Followed Hyperlink 18" xfId="1091" xr:uid="{00000000-0005-0000-0000-0000B00A0000}"/>
    <cellStyle name="Followed Hyperlink 19" xfId="1092" xr:uid="{00000000-0005-0000-0000-0000B10A0000}"/>
    <cellStyle name="Followed Hyperlink 2" xfId="1093" xr:uid="{00000000-0005-0000-0000-0000B20A0000}"/>
    <cellStyle name="Followed Hyperlink 20" xfId="1094" xr:uid="{00000000-0005-0000-0000-0000B30A0000}"/>
    <cellStyle name="Followed Hyperlink 21" xfId="1095" xr:uid="{00000000-0005-0000-0000-0000B40A0000}"/>
    <cellStyle name="Followed Hyperlink 22" xfId="1096" xr:uid="{00000000-0005-0000-0000-0000B50A0000}"/>
    <cellStyle name="Followed Hyperlink 23" xfId="1097" xr:uid="{00000000-0005-0000-0000-0000B60A0000}"/>
    <cellStyle name="Followed Hyperlink 24" xfId="1098" xr:uid="{00000000-0005-0000-0000-0000B70A0000}"/>
    <cellStyle name="Followed Hyperlink 25" xfId="1099" xr:uid="{00000000-0005-0000-0000-0000B80A0000}"/>
    <cellStyle name="Followed Hyperlink 26" xfId="1100" xr:uid="{00000000-0005-0000-0000-0000B90A0000}"/>
    <cellStyle name="Followed Hyperlink 27" xfId="1101" xr:uid="{00000000-0005-0000-0000-0000BA0A0000}"/>
    <cellStyle name="Followed Hyperlink 28" xfId="1102" xr:uid="{00000000-0005-0000-0000-0000BB0A0000}"/>
    <cellStyle name="Followed Hyperlink 29" xfId="1103" xr:uid="{00000000-0005-0000-0000-0000BC0A0000}"/>
    <cellStyle name="Followed Hyperlink 3" xfId="1104" xr:uid="{00000000-0005-0000-0000-0000BD0A0000}"/>
    <cellStyle name="Followed Hyperlink 30" xfId="1105" xr:uid="{00000000-0005-0000-0000-0000BE0A0000}"/>
    <cellStyle name="Followed Hyperlink 31" xfId="1106" xr:uid="{00000000-0005-0000-0000-0000BF0A0000}"/>
    <cellStyle name="Followed Hyperlink 32" xfId="1107" xr:uid="{00000000-0005-0000-0000-0000C00A0000}"/>
    <cellStyle name="Followed Hyperlink 33" xfId="1108" xr:uid="{00000000-0005-0000-0000-0000C10A0000}"/>
    <cellStyle name="Followed Hyperlink 34" xfId="1109" xr:uid="{00000000-0005-0000-0000-0000C20A0000}"/>
    <cellStyle name="Followed Hyperlink 35" xfId="1110" xr:uid="{00000000-0005-0000-0000-0000C30A0000}"/>
    <cellStyle name="Followed Hyperlink 36" xfId="1111" xr:uid="{00000000-0005-0000-0000-0000C40A0000}"/>
    <cellStyle name="Followed Hyperlink 37" xfId="1112" xr:uid="{00000000-0005-0000-0000-0000C50A0000}"/>
    <cellStyle name="Followed Hyperlink 38" xfId="1113" xr:uid="{00000000-0005-0000-0000-0000C60A0000}"/>
    <cellStyle name="Followed Hyperlink 39" xfId="1114" xr:uid="{00000000-0005-0000-0000-0000C70A0000}"/>
    <cellStyle name="Followed Hyperlink 4" xfId="1115" xr:uid="{00000000-0005-0000-0000-0000C80A0000}"/>
    <cellStyle name="Followed Hyperlink 40" xfId="1116" xr:uid="{00000000-0005-0000-0000-0000C90A0000}"/>
    <cellStyle name="Followed Hyperlink 5" xfId="1117" xr:uid="{00000000-0005-0000-0000-0000CA0A0000}"/>
    <cellStyle name="Followed Hyperlink 6" xfId="1118" xr:uid="{00000000-0005-0000-0000-0000CB0A0000}"/>
    <cellStyle name="Followed Hyperlink 7" xfId="1119" xr:uid="{00000000-0005-0000-0000-0000CC0A0000}"/>
    <cellStyle name="Followed Hyperlink 8" xfId="1120" xr:uid="{00000000-0005-0000-0000-0000CD0A0000}"/>
    <cellStyle name="Followed Hyperlink 9" xfId="1121" xr:uid="{00000000-0005-0000-0000-0000CE0A0000}"/>
    <cellStyle name="Footer SBILogo1" xfId="5050" xr:uid="{00000000-0005-0000-0000-0000CF0A0000}"/>
    <cellStyle name="Footer SBILogo2" xfId="5051" xr:uid="{00000000-0005-0000-0000-0000D00A0000}"/>
    <cellStyle name="Footnote" xfId="1122" xr:uid="{00000000-0005-0000-0000-0000D10A0000}"/>
    <cellStyle name="Footnote 2" xfId="5052" xr:uid="{00000000-0005-0000-0000-0000D20A0000}"/>
    <cellStyle name="Footnote Reference" xfId="5053" xr:uid="{00000000-0005-0000-0000-0000D30A0000}"/>
    <cellStyle name="Footnote_Actual + Backlog_@Net Revenue_5.13.03 Update" xfId="5054" xr:uid="{00000000-0005-0000-0000-0000D40A0000}"/>
    <cellStyle name="FORECAST" xfId="1123" xr:uid="{00000000-0005-0000-0000-0000D50A0000}"/>
    <cellStyle name="Fraction Change" xfId="5055" xr:uid="{00000000-0005-0000-0000-0000D60A0000}"/>
    <cellStyle name="Fraction Change 2" xfId="16122" xr:uid="{E2D32F8E-6A9E-46D1-8617-CEA850935AF5}"/>
    <cellStyle name="Fractions" xfId="5056" xr:uid="{00000000-0005-0000-0000-0000D70A0000}"/>
    <cellStyle name="Good 2" xfId="71" xr:uid="{00000000-0005-0000-0000-0000D80A0000}"/>
    <cellStyle name="grayText2" xfId="5057" xr:uid="{00000000-0005-0000-0000-0000D90A0000}"/>
    <cellStyle name="grayText2Big" xfId="5058" xr:uid="{00000000-0005-0000-0000-0000DA0A0000}"/>
    <cellStyle name="Grey" xfId="1124" xr:uid="{00000000-0005-0000-0000-0000DB0A0000}"/>
    <cellStyle name="Growth Rates/Margins" xfId="5059" xr:uid="{00000000-0005-0000-0000-0000DC0A0000}"/>
    <cellStyle name="Hard Percent" xfId="5060" xr:uid="{00000000-0005-0000-0000-0000DD0A0000}"/>
    <cellStyle name="HEADER" xfId="1125" xr:uid="{00000000-0005-0000-0000-0000DE0A0000}"/>
    <cellStyle name="Header 2" xfId="5061" xr:uid="{00000000-0005-0000-0000-0000DF0A0000}"/>
    <cellStyle name="Header Draft Stamp" xfId="5062" xr:uid="{00000000-0005-0000-0000-0000E00A0000}"/>
    <cellStyle name="Header_pldt" xfId="5063" xr:uid="{00000000-0005-0000-0000-0000E10A0000}"/>
    <cellStyle name="Header1" xfId="1126" xr:uid="{00000000-0005-0000-0000-0000E20A0000}"/>
    <cellStyle name="Header1 10" xfId="1127" xr:uid="{00000000-0005-0000-0000-0000E30A0000}"/>
    <cellStyle name="Header1 11" xfId="1128" xr:uid="{00000000-0005-0000-0000-0000E40A0000}"/>
    <cellStyle name="Header1 12" xfId="1129" xr:uid="{00000000-0005-0000-0000-0000E50A0000}"/>
    <cellStyle name="Header1 13" xfId="1130" xr:uid="{00000000-0005-0000-0000-0000E60A0000}"/>
    <cellStyle name="Header1 14" xfId="1131" xr:uid="{00000000-0005-0000-0000-0000E70A0000}"/>
    <cellStyle name="Header1 15" xfId="1132" xr:uid="{00000000-0005-0000-0000-0000E80A0000}"/>
    <cellStyle name="Header1 16" xfId="1133" xr:uid="{00000000-0005-0000-0000-0000E90A0000}"/>
    <cellStyle name="Header1 17" xfId="1134" xr:uid="{00000000-0005-0000-0000-0000EA0A0000}"/>
    <cellStyle name="Header1 18" xfId="1135" xr:uid="{00000000-0005-0000-0000-0000EB0A0000}"/>
    <cellStyle name="Header1 19" xfId="1136" xr:uid="{00000000-0005-0000-0000-0000EC0A0000}"/>
    <cellStyle name="Header1 2" xfId="1137" xr:uid="{00000000-0005-0000-0000-0000ED0A0000}"/>
    <cellStyle name="Header1 20" xfId="1138" xr:uid="{00000000-0005-0000-0000-0000EE0A0000}"/>
    <cellStyle name="Header1 21" xfId="1139" xr:uid="{00000000-0005-0000-0000-0000EF0A0000}"/>
    <cellStyle name="Header1 22" xfId="1140" xr:uid="{00000000-0005-0000-0000-0000F00A0000}"/>
    <cellStyle name="Header1 23" xfId="1141" xr:uid="{00000000-0005-0000-0000-0000F10A0000}"/>
    <cellStyle name="Header1 24" xfId="1142" xr:uid="{00000000-0005-0000-0000-0000F20A0000}"/>
    <cellStyle name="Header1 25" xfId="1143" xr:uid="{00000000-0005-0000-0000-0000F30A0000}"/>
    <cellStyle name="Header1 26" xfId="1144" xr:uid="{00000000-0005-0000-0000-0000F40A0000}"/>
    <cellStyle name="Header1 27" xfId="1145" xr:uid="{00000000-0005-0000-0000-0000F50A0000}"/>
    <cellStyle name="Header1 28" xfId="1146" xr:uid="{00000000-0005-0000-0000-0000F60A0000}"/>
    <cellStyle name="Header1 29" xfId="1147" xr:uid="{00000000-0005-0000-0000-0000F70A0000}"/>
    <cellStyle name="Header1 3" xfId="1148" xr:uid="{00000000-0005-0000-0000-0000F80A0000}"/>
    <cellStyle name="Header1 30" xfId="1149" xr:uid="{00000000-0005-0000-0000-0000F90A0000}"/>
    <cellStyle name="Header1 31" xfId="1150" xr:uid="{00000000-0005-0000-0000-0000FA0A0000}"/>
    <cellStyle name="Header1 32" xfId="1151" xr:uid="{00000000-0005-0000-0000-0000FB0A0000}"/>
    <cellStyle name="Header1 33" xfId="1152" xr:uid="{00000000-0005-0000-0000-0000FC0A0000}"/>
    <cellStyle name="Header1 34" xfId="1153" xr:uid="{00000000-0005-0000-0000-0000FD0A0000}"/>
    <cellStyle name="Header1 35" xfId="1154" xr:uid="{00000000-0005-0000-0000-0000FE0A0000}"/>
    <cellStyle name="Header1 36" xfId="1155" xr:uid="{00000000-0005-0000-0000-0000FF0A0000}"/>
    <cellStyle name="Header1 37" xfId="1156" xr:uid="{00000000-0005-0000-0000-0000000B0000}"/>
    <cellStyle name="Header1 38" xfId="1157" xr:uid="{00000000-0005-0000-0000-0000010B0000}"/>
    <cellStyle name="Header1 39" xfId="1158" xr:uid="{00000000-0005-0000-0000-0000020B0000}"/>
    <cellStyle name="Header1 4" xfId="1159" xr:uid="{00000000-0005-0000-0000-0000030B0000}"/>
    <cellStyle name="Header1 40" xfId="1160" xr:uid="{00000000-0005-0000-0000-0000040B0000}"/>
    <cellStyle name="Header1 5" xfId="1161" xr:uid="{00000000-0005-0000-0000-0000050B0000}"/>
    <cellStyle name="Header1 6" xfId="1162" xr:uid="{00000000-0005-0000-0000-0000060B0000}"/>
    <cellStyle name="Header1 7" xfId="1163" xr:uid="{00000000-0005-0000-0000-0000070B0000}"/>
    <cellStyle name="Header1 8" xfId="1164" xr:uid="{00000000-0005-0000-0000-0000080B0000}"/>
    <cellStyle name="Header1 9" xfId="1165" xr:uid="{00000000-0005-0000-0000-0000090B0000}"/>
    <cellStyle name="Header2" xfId="1166" xr:uid="{00000000-0005-0000-0000-00000A0B0000}"/>
    <cellStyle name="Header2 10" xfId="1167" xr:uid="{00000000-0005-0000-0000-00000B0B0000}"/>
    <cellStyle name="Header2 11" xfId="1168" xr:uid="{00000000-0005-0000-0000-00000C0B0000}"/>
    <cellStyle name="Header2 12" xfId="1169" xr:uid="{00000000-0005-0000-0000-00000D0B0000}"/>
    <cellStyle name="Header2 13" xfId="1170" xr:uid="{00000000-0005-0000-0000-00000E0B0000}"/>
    <cellStyle name="Header2 14" xfId="1171" xr:uid="{00000000-0005-0000-0000-00000F0B0000}"/>
    <cellStyle name="Header2 15" xfId="1172" xr:uid="{00000000-0005-0000-0000-0000100B0000}"/>
    <cellStyle name="Header2 16" xfId="1173" xr:uid="{00000000-0005-0000-0000-0000110B0000}"/>
    <cellStyle name="Header2 17" xfId="1174" xr:uid="{00000000-0005-0000-0000-0000120B0000}"/>
    <cellStyle name="Header2 18" xfId="1175" xr:uid="{00000000-0005-0000-0000-0000130B0000}"/>
    <cellStyle name="Header2 19" xfId="1176" xr:uid="{00000000-0005-0000-0000-0000140B0000}"/>
    <cellStyle name="Header2 2" xfId="1177" xr:uid="{00000000-0005-0000-0000-0000150B0000}"/>
    <cellStyle name="Header2 20" xfId="1178" xr:uid="{00000000-0005-0000-0000-0000160B0000}"/>
    <cellStyle name="Header2 21" xfId="1179" xr:uid="{00000000-0005-0000-0000-0000170B0000}"/>
    <cellStyle name="Header2 22" xfId="1180" xr:uid="{00000000-0005-0000-0000-0000180B0000}"/>
    <cellStyle name="Header2 23" xfId="1181" xr:uid="{00000000-0005-0000-0000-0000190B0000}"/>
    <cellStyle name="Header2 24" xfId="1182" xr:uid="{00000000-0005-0000-0000-00001A0B0000}"/>
    <cellStyle name="Header2 25" xfId="1183" xr:uid="{00000000-0005-0000-0000-00001B0B0000}"/>
    <cellStyle name="Header2 26" xfId="1184" xr:uid="{00000000-0005-0000-0000-00001C0B0000}"/>
    <cellStyle name="Header2 27" xfId="1185" xr:uid="{00000000-0005-0000-0000-00001D0B0000}"/>
    <cellStyle name="Header2 28" xfId="1186" xr:uid="{00000000-0005-0000-0000-00001E0B0000}"/>
    <cellStyle name="Header2 29" xfId="1187" xr:uid="{00000000-0005-0000-0000-00001F0B0000}"/>
    <cellStyle name="Header2 3" xfId="1188" xr:uid="{00000000-0005-0000-0000-0000200B0000}"/>
    <cellStyle name="Header2 30" xfId="1189" xr:uid="{00000000-0005-0000-0000-0000210B0000}"/>
    <cellStyle name="Header2 31" xfId="1190" xr:uid="{00000000-0005-0000-0000-0000220B0000}"/>
    <cellStyle name="Header2 32" xfId="1191" xr:uid="{00000000-0005-0000-0000-0000230B0000}"/>
    <cellStyle name="Header2 33" xfId="1192" xr:uid="{00000000-0005-0000-0000-0000240B0000}"/>
    <cellStyle name="Header2 34" xfId="1193" xr:uid="{00000000-0005-0000-0000-0000250B0000}"/>
    <cellStyle name="Header2 35" xfId="1194" xr:uid="{00000000-0005-0000-0000-0000260B0000}"/>
    <cellStyle name="Header2 36" xfId="1195" xr:uid="{00000000-0005-0000-0000-0000270B0000}"/>
    <cellStyle name="Header2 37" xfId="1196" xr:uid="{00000000-0005-0000-0000-0000280B0000}"/>
    <cellStyle name="Header2 38" xfId="1197" xr:uid="{00000000-0005-0000-0000-0000290B0000}"/>
    <cellStyle name="Header2 39" xfId="1198" xr:uid="{00000000-0005-0000-0000-00002A0B0000}"/>
    <cellStyle name="Header2 4" xfId="1199" xr:uid="{00000000-0005-0000-0000-00002B0B0000}"/>
    <cellStyle name="Header2 40" xfId="1200" xr:uid="{00000000-0005-0000-0000-00002C0B0000}"/>
    <cellStyle name="Header2 41" xfId="1201" xr:uid="{00000000-0005-0000-0000-00002D0B0000}"/>
    <cellStyle name="Header2 5" xfId="1202" xr:uid="{00000000-0005-0000-0000-00002E0B0000}"/>
    <cellStyle name="Header2 6" xfId="1203" xr:uid="{00000000-0005-0000-0000-00002F0B0000}"/>
    <cellStyle name="Header2 7" xfId="1204" xr:uid="{00000000-0005-0000-0000-0000300B0000}"/>
    <cellStyle name="Header2 8" xfId="1205" xr:uid="{00000000-0005-0000-0000-0000310B0000}"/>
    <cellStyle name="Header2 9" xfId="1206" xr:uid="{00000000-0005-0000-0000-0000320B0000}"/>
    <cellStyle name="Heading 1 2" xfId="5064" xr:uid="{00000000-0005-0000-0000-0000330B0000}"/>
    <cellStyle name="Heading 1 3" xfId="72" xr:uid="{00000000-0005-0000-0000-0000340B0000}"/>
    <cellStyle name="Heading 1 Above" xfId="5065" xr:uid="{00000000-0005-0000-0000-0000350B0000}"/>
    <cellStyle name="Heading 1+" xfId="5066" xr:uid="{00000000-0005-0000-0000-0000360B0000}"/>
    <cellStyle name="Heading 2 2" xfId="5067" xr:uid="{00000000-0005-0000-0000-0000370B0000}"/>
    <cellStyle name="Heading 2 3" xfId="73" xr:uid="{00000000-0005-0000-0000-0000380B0000}"/>
    <cellStyle name="Heading 2 Below" xfId="5068" xr:uid="{00000000-0005-0000-0000-0000390B0000}"/>
    <cellStyle name="Heading 2+" xfId="5069" xr:uid="{00000000-0005-0000-0000-00003A0B0000}"/>
    <cellStyle name="Heading 3 2" xfId="1207" xr:uid="{00000000-0005-0000-0000-00003B0B0000}"/>
    <cellStyle name="Heading 3 3" xfId="1208" xr:uid="{00000000-0005-0000-0000-00003C0B0000}"/>
    <cellStyle name="Heading 3 4" xfId="1209" xr:uid="{00000000-0005-0000-0000-00003D0B0000}"/>
    <cellStyle name="Heading 3 5" xfId="1210" xr:uid="{00000000-0005-0000-0000-00003E0B0000}"/>
    <cellStyle name="Heading 3 6" xfId="1211" xr:uid="{00000000-0005-0000-0000-00003F0B0000}"/>
    <cellStyle name="Heading 3 7" xfId="74" xr:uid="{00000000-0005-0000-0000-0000400B0000}"/>
    <cellStyle name="Heading 3+" xfId="5070" xr:uid="{00000000-0005-0000-0000-0000410B0000}"/>
    <cellStyle name="Heading 4 2" xfId="75" xr:uid="{00000000-0005-0000-0000-0000420B0000}"/>
    <cellStyle name="Heading1" xfId="1212" xr:uid="{00000000-0005-0000-0000-0000430B0000}"/>
    <cellStyle name="Heading1 2" xfId="1213" xr:uid="{00000000-0005-0000-0000-0000440B0000}"/>
    <cellStyle name="Heading2" xfId="1214" xr:uid="{00000000-0005-0000-0000-0000450B0000}"/>
    <cellStyle name="Heading2 2" xfId="1215" xr:uid="{00000000-0005-0000-0000-0000460B0000}"/>
    <cellStyle name="HEADINGS" xfId="1216" xr:uid="{00000000-0005-0000-0000-0000470B0000}"/>
    <cellStyle name="HIGHLIGHT" xfId="1217" xr:uid="{00000000-0005-0000-0000-0000480B0000}"/>
    <cellStyle name="Hiperlink 2" xfId="4912" xr:uid="{00000000-0005-0000-0000-0000490B0000}"/>
    <cellStyle name="Hipervínculo" xfId="13851" xr:uid="{00000000-0005-0000-0000-00004A0B0000}"/>
    <cellStyle name="Hipervínculo 2" xfId="13884" xr:uid="{596D2DC6-BEFA-4500-8A14-30C4E7E0CC95}"/>
    <cellStyle name="Hyperlink 2" xfId="1218" xr:uid="{00000000-0005-0000-0000-00004B0B0000}"/>
    <cellStyle name="Hyperlink 2 2" xfId="1219" xr:uid="{00000000-0005-0000-0000-00004C0B0000}"/>
    <cellStyle name="Hyperlink 3" xfId="13856" xr:uid="{AF62E84F-D6D3-4D5D-B25D-9EC655CA97D6}"/>
    <cellStyle name="Incorrecto" xfId="1220" xr:uid="{00000000-0005-0000-0000-00004D0B0000}"/>
    <cellStyle name="Incorreto" xfId="76" xr:uid="{00000000-0005-0000-0000-00004E0B0000}"/>
    <cellStyle name="Incorreto 10" xfId="5553" xr:uid="{00000000-0005-0000-0000-00004F0B0000}"/>
    <cellStyle name="Incorreto 11" xfId="5537" xr:uid="{00000000-0005-0000-0000-0000500B0000}"/>
    <cellStyle name="Incorreto 12" xfId="5556" xr:uid="{00000000-0005-0000-0000-0000510B0000}"/>
    <cellStyle name="Incorreto 13" xfId="5530" xr:uid="{00000000-0005-0000-0000-0000520B0000}"/>
    <cellStyle name="Incorreto 14" xfId="5563" xr:uid="{00000000-0005-0000-0000-0000530B0000}"/>
    <cellStyle name="Incorreto 15" xfId="5722" xr:uid="{00000000-0005-0000-0000-0000540B0000}"/>
    <cellStyle name="Incorreto 16" xfId="5709" xr:uid="{00000000-0005-0000-0000-0000550B0000}"/>
    <cellStyle name="Incorreto 2" xfId="5071" xr:uid="{00000000-0005-0000-0000-0000560B0000}"/>
    <cellStyle name="Incorreto 2 2" xfId="6855" xr:uid="{00000000-0005-0000-0000-0000570B0000}"/>
    <cellStyle name="Incorreto 2 2 2" xfId="6856" xr:uid="{00000000-0005-0000-0000-0000580B0000}"/>
    <cellStyle name="Incorreto 2 2 2 2" xfId="6857" xr:uid="{00000000-0005-0000-0000-0000590B0000}"/>
    <cellStyle name="Incorreto 2 2 2 2 2" xfId="6858" xr:uid="{00000000-0005-0000-0000-00005A0B0000}"/>
    <cellStyle name="Incorreto 2 2 2 2 2 2" xfId="6859" xr:uid="{00000000-0005-0000-0000-00005B0B0000}"/>
    <cellStyle name="Incorreto 2 2 2 2 2 2 2" xfId="6860" xr:uid="{00000000-0005-0000-0000-00005C0B0000}"/>
    <cellStyle name="Incorreto 2 2 2 2 2 2 2 2" xfId="6861" xr:uid="{00000000-0005-0000-0000-00005D0B0000}"/>
    <cellStyle name="Incorreto 2 2 2 2 2 2 3" xfId="6862" xr:uid="{00000000-0005-0000-0000-00005E0B0000}"/>
    <cellStyle name="Incorreto 2 2 2 2 2 3" xfId="6863" xr:uid="{00000000-0005-0000-0000-00005F0B0000}"/>
    <cellStyle name="Incorreto 2 2 2 2 2 3 2" xfId="6864" xr:uid="{00000000-0005-0000-0000-0000600B0000}"/>
    <cellStyle name="Incorreto 2 2 2 2 3" xfId="6865" xr:uid="{00000000-0005-0000-0000-0000610B0000}"/>
    <cellStyle name="Incorreto 2 2 2 2 3 2" xfId="6866" xr:uid="{00000000-0005-0000-0000-0000620B0000}"/>
    <cellStyle name="Incorreto 2 2 2 3" xfId="6867" xr:uid="{00000000-0005-0000-0000-0000630B0000}"/>
    <cellStyle name="Incorreto 2 2 2 4" xfId="6868" xr:uid="{00000000-0005-0000-0000-0000640B0000}"/>
    <cellStyle name="Incorreto 2 2 2 4 2" xfId="6869" xr:uid="{00000000-0005-0000-0000-0000650B0000}"/>
    <cellStyle name="Incorreto 2 2 3" xfId="6870" xr:uid="{00000000-0005-0000-0000-0000660B0000}"/>
    <cellStyle name="Incorreto 2 2 4" xfId="6871" xr:uid="{00000000-0005-0000-0000-0000670B0000}"/>
    <cellStyle name="Incorreto 2 2 4 2" xfId="6872" xr:uid="{00000000-0005-0000-0000-0000680B0000}"/>
    <cellStyle name="Incorreto 2 3" xfId="6873" xr:uid="{00000000-0005-0000-0000-0000690B0000}"/>
    <cellStyle name="Incorreto 2 4" xfId="6874" xr:uid="{00000000-0005-0000-0000-00006A0B0000}"/>
    <cellStyle name="Incorreto 2 5" xfId="6875" xr:uid="{00000000-0005-0000-0000-00006B0B0000}"/>
    <cellStyle name="Incorreto 2 6" xfId="6876" xr:uid="{00000000-0005-0000-0000-00006C0B0000}"/>
    <cellStyle name="Incorreto 2 6 2" xfId="6877" xr:uid="{00000000-0005-0000-0000-00006D0B0000}"/>
    <cellStyle name="Incorreto 2 7" xfId="6854" xr:uid="{00000000-0005-0000-0000-00006E0B0000}"/>
    <cellStyle name="Incorreto 3" xfId="5276" xr:uid="{00000000-0005-0000-0000-00006F0B0000}"/>
    <cellStyle name="Incorreto 3 2" xfId="6879" xr:uid="{00000000-0005-0000-0000-0000700B0000}"/>
    <cellStyle name="Incorreto 3 3" xfId="6880" xr:uid="{00000000-0005-0000-0000-0000710B0000}"/>
    <cellStyle name="Incorreto 3 4" xfId="6881" xr:uid="{00000000-0005-0000-0000-0000720B0000}"/>
    <cellStyle name="Incorreto 3 5" xfId="6878" xr:uid="{00000000-0005-0000-0000-0000730B0000}"/>
    <cellStyle name="Incorreto 4" xfId="5262" xr:uid="{00000000-0005-0000-0000-0000740B0000}"/>
    <cellStyle name="Incorreto 4 2" xfId="6883" xr:uid="{00000000-0005-0000-0000-0000750B0000}"/>
    <cellStyle name="Incorreto 4 3" xfId="6884" xr:uid="{00000000-0005-0000-0000-0000760B0000}"/>
    <cellStyle name="Incorreto 4 4" xfId="6882" xr:uid="{00000000-0005-0000-0000-0000770B0000}"/>
    <cellStyle name="Incorreto 5" xfId="5283" xr:uid="{00000000-0005-0000-0000-0000780B0000}"/>
    <cellStyle name="Incorreto 5 2" xfId="6886" xr:uid="{00000000-0005-0000-0000-0000790B0000}"/>
    <cellStyle name="Incorreto 5 3" xfId="6885" xr:uid="{00000000-0005-0000-0000-00007A0B0000}"/>
    <cellStyle name="Incorreto 6" xfId="5255" xr:uid="{00000000-0005-0000-0000-00007B0B0000}"/>
    <cellStyle name="Incorreto 6 2" xfId="6888" xr:uid="{00000000-0005-0000-0000-00007C0B0000}"/>
    <cellStyle name="Incorreto 6 3" xfId="7362" xr:uid="{00000000-0005-0000-0000-00007D0B0000}"/>
    <cellStyle name="Incorreto 6 4" xfId="6887" xr:uid="{00000000-0005-0000-0000-00007E0B0000}"/>
    <cellStyle name="Incorreto 7" xfId="5291" xr:uid="{00000000-0005-0000-0000-00007F0B0000}"/>
    <cellStyle name="Incorreto 7 2" xfId="7363" xr:uid="{00000000-0005-0000-0000-0000800B0000}"/>
    <cellStyle name="Incorreto 7 3" xfId="6889" xr:uid="{00000000-0005-0000-0000-0000810B0000}"/>
    <cellStyle name="Incorreto 8" xfId="5247" xr:uid="{00000000-0005-0000-0000-0000820B0000}"/>
    <cellStyle name="Incorreto 9" xfId="5299" xr:uid="{00000000-0005-0000-0000-0000830B0000}"/>
    <cellStyle name="Indefinido" xfId="5072" xr:uid="{00000000-0005-0000-0000-0000840B0000}"/>
    <cellStyle name="Input [yellow]" xfId="1221" xr:uid="{00000000-0005-0000-0000-0000850B0000}"/>
    <cellStyle name="Input [yellow] 2" xfId="1222" xr:uid="{00000000-0005-0000-0000-0000860B0000}"/>
    <cellStyle name="Input [yellow] 3" xfId="1223" xr:uid="{00000000-0005-0000-0000-0000870B0000}"/>
    <cellStyle name="Input [yellow] 4" xfId="1224" xr:uid="{00000000-0005-0000-0000-0000880B0000}"/>
    <cellStyle name="Input 10" xfId="10527" xr:uid="{00000000-0005-0000-0000-0000890B0000}"/>
    <cellStyle name="Input 10 2" xfId="19310" xr:uid="{DC4C6D44-3CC2-4787-8DFA-ACC4779D968F}"/>
    <cellStyle name="Input 11" xfId="10529" xr:uid="{00000000-0005-0000-0000-00008A0B0000}"/>
    <cellStyle name="Input 11 2" xfId="19312" xr:uid="{BD3D3E98-189A-41D7-9EE5-737BD37D6F20}"/>
    <cellStyle name="Input 12" xfId="10591" xr:uid="{00000000-0005-0000-0000-00008B0B0000}"/>
    <cellStyle name="Input 12 2" xfId="19353" xr:uid="{5FBAB408-E65E-4772-8730-4637695CFCA0}"/>
    <cellStyle name="Input 13" xfId="10514" xr:uid="{00000000-0005-0000-0000-00008C0B0000}"/>
    <cellStyle name="Input 13 2" xfId="19297" xr:uid="{0006393C-9608-4DB7-B96F-17E1E69904A0}"/>
    <cellStyle name="Input 14" xfId="10576" xr:uid="{00000000-0005-0000-0000-00008D0B0000}"/>
    <cellStyle name="Input 14 2" xfId="19350" xr:uid="{F3FFC694-90F4-44ED-BC19-9DD7C19620B7}"/>
    <cellStyle name="Input 15" xfId="10526" xr:uid="{00000000-0005-0000-0000-00008E0B0000}"/>
    <cellStyle name="Input 15 2" xfId="19309" xr:uid="{77F0D443-9D94-4B5E-8EA7-6EAAAD5288D9}"/>
    <cellStyle name="Input 16" xfId="10531" xr:uid="{00000000-0005-0000-0000-00008F0B0000}"/>
    <cellStyle name="Input 16 2" xfId="19314" xr:uid="{0E5D2DAF-67F9-4C56-AE24-175ACD36F437}"/>
    <cellStyle name="Input 17" xfId="10595" xr:uid="{00000000-0005-0000-0000-0000900B0000}"/>
    <cellStyle name="Input 17 2" xfId="19357" xr:uid="{63AAF972-6065-48E7-8FF2-A5C94913086E}"/>
    <cellStyle name="Input 18" xfId="12260" xr:uid="{00000000-0005-0000-0000-0000910B0000}"/>
    <cellStyle name="Input 18 2" xfId="20997" xr:uid="{C9D93A11-E5E0-41F1-A2A7-3A20A0FA139E}"/>
    <cellStyle name="Input 19" xfId="77" xr:uid="{00000000-0005-0000-0000-0000920B0000}"/>
    <cellStyle name="Input 2" xfId="1225" xr:uid="{00000000-0005-0000-0000-0000930B0000}"/>
    <cellStyle name="Input 2 2" xfId="1226" xr:uid="{00000000-0005-0000-0000-0000940B0000}"/>
    <cellStyle name="Input 2 2 2" xfId="10518" xr:uid="{00000000-0005-0000-0000-0000950B0000}"/>
    <cellStyle name="Input 2 2 2 2" xfId="19301" xr:uid="{3E2E1656-1B0E-4479-B8FE-9FEBC0C1399B}"/>
    <cellStyle name="Input 2 2 3" xfId="14770" xr:uid="{22AC3D13-296C-48D6-881B-D512C98577F7}"/>
    <cellStyle name="Input 2 3" xfId="10517" xr:uid="{00000000-0005-0000-0000-0000960B0000}"/>
    <cellStyle name="Input 2 3 2" xfId="19300" xr:uid="{DC2889B8-F349-49A4-8C43-3748B68851CB}"/>
    <cellStyle name="Input 2 4" xfId="14694" xr:uid="{310127AD-E78D-4BB6-B92C-20D3FE78251D}"/>
    <cellStyle name="Input 20" xfId="14702" xr:uid="{BFD6227F-47D0-45C8-AFCF-A70F704CC4B2}"/>
    <cellStyle name="Input 21" xfId="14824" xr:uid="{428FBC7F-5B1F-4DF7-9EE8-62ADDB944D69}"/>
    <cellStyle name="Input 22" xfId="14552" xr:uid="{68C66BDE-4A6A-462F-9236-3DF0749CFD75}"/>
    <cellStyle name="Input 23" xfId="16215" xr:uid="{551CF39D-9198-44E6-94D8-7FAA627333C7}"/>
    <cellStyle name="Input 24" xfId="22606" xr:uid="{99698896-849C-4501-974C-394536CB5947}"/>
    <cellStyle name="Input 25" xfId="14695" xr:uid="{F2B85CA4-65A6-4A75-8E35-EFD26FF2F96E}"/>
    <cellStyle name="Input 26" xfId="14030" xr:uid="{0460DCB5-7F62-4CF3-823A-87424E55A891}"/>
    <cellStyle name="Input 27" xfId="22627" xr:uid="{0D269136-295F-4ABB-B2A4-925CDF442239}"/>
    <cellStyle name="Input 28" xfId="13857" xr:uid="{8DDB4D67-F21D-4569-8A40-44EC45101B5C}"/>
    <cellStyle name="Input 29" xfId="13881" xr:uid="{3237FAAE-9EB5-413B-BCC8-96B61B9D80B1}"/>
    <cellStyle name="Input 3" xfId="1227" xr:uid="{00000000-0005-0000-0000-0000970B0000}"/>
    <cellStyle name="Input 3 2" xfId="1228" xr:uid="{00000000-0005-0000-0000-0000980B0000}"/>
    <cellStyle name="Input 3 2 2" xfId="10520" xr:uid="{00000000-0005-0000-0000-0000990B0000}"/>
    <cellStyle name="Input 3 2 2 2" xfId="19303" xr:uid="{8C344BCF-6E74-421C-99A8-8D0323001ABD}"/>
    <cellStyle name="Input 3 2 3" xfId="14812" xr:uid="{0A70403E-CA4A-4C6B-BB07-0E4D6BB7BB27}"/>
    <cellStyle name="Input 3 3" xfId="10519" xr:uid="{00000000-0005-0000-0000-00009A0B0000}"/>
    <cellStyle name="Input 3 3 2" xfId="19302" xr:uid="{9E093A35-B96E-47DA-B1BC-8E2411312D84}"/>
    <cellStyle name="Input 3 4" xfId="14559" xr:uid="{DFFA7215-9EBB-4AD0-9C41-0EE4832680E9}"/>
    <cellStyle name="Input 30" xfId="13898" xr:uid="{0222D79C-044B-4485-A11D-BCC593CCD7AF}"/>
    <cellStyle name="Input 31" xfId="13902" xr:uid="{4CE84FCF-E4EE-4F49-8961-BC591F3AD325}"/>
    <cellStyle name="Input 32" xfId="22699" xr:uid="{C6BBEC78-8EFE-40FE-8AA8-3A261A94BE63}"/>
    <cellStyle name="Input 33" xfId="13871" xr:uid="{DE3FC417-47EF-4D4C-B717-2CE914D9C299}"/>
    <cellStyle name="Input 34" xfId="13862" xr:uid="{B693F026-F599-4ACB-A986-23CC754302E2}"/>
    <cellStyle name="Input 35" xfId="13900" xr:uid="{EFE8111E-3637-47C1-927F-AD790953ED20}"/>
    <cellStyle name="Input 36" xfId="22685" xr:uid="{6B2CDEEC-51FF-4AD4-BE65-10FB0A061FB3}"/>
    <cellStyle name="Input 37" xfId="22690" xr:uid="{06ADFB77-3A6D-48D8-99AC-A2EFBF1C005A}"/>
    <cellStyle name="Input 38" xfId="13894" xr:uid="{236F3876-BEEB-4A61-9421-8CD20398A235}"/>
    <cellStyle name="Input 39" xfId="13863" xr:uid="{23697540-09D2-41F2-A7CB-8ACC4B442F9F}"/>
    <cellStyle name="Input 4" xfId="1229" xr:uid="{00000000-0005-0000-0000-00009B0B0000}"/>
    <cellStyle name="Input 4 2" xfId="10521" xr:uid="{00000000-0005-0000-0000-00009C0B0000}"/>
    <cellStyle name="Input 4 2 2" xfId="19304" xr:uid="{719AD462-5F5D-4491-85E8-2AF2B2091F76}"/>
    <cellStyle name="Input 4 3" xfId="14048" xr:uid="{47FC7695-18D4-496C-82B3-5A394AF91E9B}"/>
    <cellStyle name="Input 40" xfId="13895" xr:uid="{5EDB0BB3-6E8C-475F-BFED-49318E9C53F2}"/>
    <cellStyle name="Input 41" xfId="22684" xr:uid="{653FDD57-F358-4A74-B23A-56E772F1B26F}"/>
    <cellStyle name="Input 42" xfId="22677" xr:uid="{E7E17CE7-FBA8-4EBC-9F95-73EF7F5ACFEA}"/>
    <cellStyle name="Input 43" xfId="22679" xr:uid="{27CD1859-F032-4C99-B46E-12B8D2B80184}"/>
    <cellStyle name="Input 44" xfId="13870" xr:uid="{30AE9DDC-A5A7-4236-A7E4-2CA5A5C62DB7}"/>
    <cellStyle name="Input 45" xfId="22695" xr:uid="{A0F771D9-3BF4-4971-A23D-BA54133892D6}"/>
    <cellStyle name="Input 46" xfId="22720" xr:uid="{9E7D255A-438C-4138-A7FA-A619B14887A8}"/>
    <cellStyle name="Input 47" xfId="22723" xr:uid="{9A77EE79-DD12-4177-BCF8-7E32E2AE7EC9}"/>
    <cellStyle name="Input 48" xfId="22730" xr:uid="{BFD8CFD8-90CE-41C3-A4BF-E8006BE33CD1}"/>
    <cellStyle name="Input 49" xfId="22733" xr:uid="{6962C885-6B63-413F-9EF4-49A1E15222D9}"/>
    <cellStyle name="Input 5" xfId="1230" xr:uid="{00000000-0005-0000-0000-00009D0B0000}"/>
    <cellStyle name="Input 5 2" xfId="10522" xr:uid="{00000000-0005-0000-0000-00009E0B0000}"/>
    <cellStyle name="Input 5 2 2" xfId="19305" xr:uid="{77F5EC44-913B-4092-9CB0-B0F9A1501E8D}"/>
    <cellStyle name="Input 5 3" xfId="14016" xr:uid="{348C1982-14F8-4AB9-BA74-E69CC328D3C2}"/>
    <cellStyle name="Input 50" xfId="22746" xr:uid="{1A438013-319B-4F2F-A9E6-108A16D94444}"/>
    <cellStyle name="Input 51" xfId="22763" xr:uid="{57006850-A629-4501-B656-22B9ADC2E229}"/>
    <cellStyle name="Input 52" xfId="22741" xr:uid="{FC2FD58F-93CD-4331-9D77-8C6E35AFF702}"/>
    <cellStyle name="Input 53" xfId="22743" xr:uid="{4C67016D-2E3B-4125-A16E-58139A9E6F82}"/>
    <cellStyle name="Input 54" xfId="22755" xr:uid="{BBE9EB3E-1A91-453D-A03B-3E85DCC75BE4}"/>
    <cellStyle name="Input 55" xfId="22762" xr:uid="{715F4598-417B-45AC-A204-A2D527774622}"/>
    <cellStyle name="Input 56" xfId="22737" xr:uid="{359D6E3D-7357-4BD0-8BEF-CEF73ABB9078}"/>
    <cellStyle name="Input 57" xfId="22750" xr:uid="{B48EF217-D97E-44D7-BA22-94BF03946262}"/>
    <cellStyle name="Input 58" xfId="22780" xr:uid="{53E79263-615C-4DE2-A5C0-BF90ACC7979F}"/>
    <cellStyle name="Input 59" xfId="22817" xr:uid="{F8775AB7-FBE3-4094-A642-380E92D1A5EA}"/>
    <cellStyle name="Input 6" xfId="1231" xr:uid="{00000000-0005-0000-0000-00009F0B0000}"/>
    <cellStyle name="Input 6 2" xfId="10523" xr:uid="{00000000-0005-0000-0000-0000A00B0000}"/>
    <cellStyle name="Input 6 2 2" xfId="19306" xr:uid="{004798FB-CBE1-43CD-AA04-49256CCBA969}"/>
    <cellStyle name="Input 6 3" xfId="14513" xr:uid="{C7C548E8-ECF5-43A1-BC22-12193AB11773}"/>
    <cellStyle name="Input 60" xfId="22824" xr:uid="{B13DC9F5-0E48-4806-A224-6D335F2AA3B5}"/>
    <cellStyle name="Input 61" xfId="22843" xr:uid="{6EF6B7A7-4E37-4236-A3BE-CE78EE3023FD}"/>
    <cellStyle name="Input 62" xfId="24141" xr:uid="{7D3654AF-6B33-4ADC-8C9A-71808215784F}"/>
    <cellStyle name="Input 63" xfId="22845" xr:uid="{C30DEA1F-D997-4FCE-B0F4-550F3A1F21CE}"/>
    <cellStyle name="Input 64" xfId="23228" xr:uid="{EDCD1338-2A43-4E6A-A4A9-BCA2CB3799DE}"/>
    <cellStyle name="Input 65" xfId="22802" xr:uid="{6BE5A156-C3F3-428A-9923-7A8F33278C43}"/>
    <cellStyle name="Input 66" xfId="23491" xr:uid="{68309CC2-F39F-4487-B4A2-2024AB4FA338}"/>
    <cellStyle name="Input 67" xfId="23571" xr:uid="{04C52F6E-2C07-422F-8C80-B3B7C603861A}"/>
    <cellStyle name="Input 68" xfId="22861" xr:uid="{5FE59AC6-2F06-4D82-A9AA-1AD5EDD35CB0}"/>
    <cellStyle name="Input 69" xfId="23229" xr:uid="{45587C6D-457F-4951-8B04-764D7B42FE42}"/>
    <cellStyle name="Input 7" xfId="1232" xr:uid="{00000000-0005-0000-0000-0000A10B0000}"/>
    <cellStyle name="Input 7 2" xfId="10524" xr:uid="{00000000-0005-0000-0000-0000A20B0000}"/>
    <cellStyle name="Input 7 2 2" xfId="19307" xr:uid="{E132695F-938E-4121-8474-BB526ADE0ACE}"/>
    <cellStyle name="Input 7 3" xfId="14693" xr:uid="{6FF32BC3-7749-4AD7-8395-ED79F9646E83}"/>
    <cellStyle name="Input 70" xfId="22862" xr:uid="{8C2074EF-E38F-4AFB-8BB2-0CCD563FD3E9}"/>
    <cellStyle name="Input 71" xfId="23492" xr:uid="{92358105-65FA-4AC5-B592-E10D124A0127}"/>
    <cellStyle name="Input 72" xfId="22899" xr:uid="{24B2EFE8-BDB7-439C-B24A-B8F25EE37D14}"/>
    <cellStyle name="Input 73" xfId="22852" xr:uid="{C72EDCA0-45A4-400D-8BDC-0E914A3D559A}"/>
    <cellStyle name="Input 74" xfId="22853" xr:uid="{861651BD-9E15-4F2E-8DCE-4ECA5C9DB9F3}"/>
    <cellStyle name="Input 75" xfId="22821" xr:uid="{9D6C67A2-8A2C-443C-96A8-248F92146769}"/>
    <cellStyle name="Input 76" xfId="22813" xr:uid="{E7276241-4C2D-4A38-B969-32ED24E07989}"/>
    <cellStyle name="Input 77" xfId="22854" xr:uid="{534A8E6C-3852-4F5E-B253-5701FDED7DC2}"/>
    <cellStyle name="Input 78" xfId="24142" xr:uid="{ABAC888B-1648-40A5-B35D-EE2BB199A887}"/>
    <cellStyle name="Input 79" xfId="22825" xr:uid="{34A44196-52E4-4A0C-8306-6C04A6CA4D0F}"/>
    <cellStyle name="Input 8" xfId="10516" xr:uid="{00000000-0005-0000-0000-0000A30B0000}"/>
    <cellStyle name="Input 8 2" xfId="19299" xr:uid="{CC1911B2-26A6-43D6-9059-B2B11E24C95A}"/>
    <cellStyle name="Input 80" xfId="22913" xr:uid="{1F133B70-6FE9-4BC1-B514-03D81100BE92}"/>
    <cellStyle name="Input 81" xfId="22814" xr:uid="{440E76C0-FD10-4EE1-9B58-C5A773CFDB52}"/>
    <cellStyle name="Input 82" xfId="23494" xr:uid="{D8672736-71CD-4DCE-9856-2E7B86303DD8}"/>
    <cellStyle name="Input 83" xfId="22915" xr:uid="{9906A301-1C60-4204-BC2B-E7127AFA8F52}"/>
    <cellStyle name="Input 84" xfId="22946" xr:uid="{829D9CEA-634F-43C6-B9C0-2CE7FD7A31A1}"/>
    <cellStyle name="Input 85" xfId="22849" xr:uid="{C97FB7BF-794A-4901-9A29-3C19A50FBB5D}"/>
    <cellStyle name="Input 86" xfId="22806" xr:uid="{A43584DC-5FC3-4A65-934A-1C584C28C1C0}"/>
    <cellStyle name="Input 87" xfId="22844" xr:uid="{4AB75ADC-7960-4572-B639-2627FE793CBB}"/>
    <cellStyle name="Input 88" xfId="22943" xr:uid="{BB680B9C-2FE7-45FD-8DE6-A7159D7FC7AE}"/>
    <cellStyle name="Input 89" xfId="22811" xr:uid="{42F3B5BB-B41C-4319-A5D4-05830954BEE1}"/>
    <cellStyle name="Input 9" xfId="10592" xr:uid="{00000000-0005-0000-0000-0000A40B0000}"/>
    <cellStyle name="Input 9 2" xfId="19354" xr:uid="{2C8F74BA-C9A8-43BF-A28E-CA10DC980050}"/>
    <cellStyle name="Input 90" xfId="22810" xr:uid="{755D9BDD-B3D5-459E-BD52-91169021C515}"/>
    <cellStyle name="Input 91" xfId="23493" xr:uid="{42954C1C-3BB9-48ED-BA84-46FDA52754B3}"/>
    <cellStyle name="Input 92" xfId="22869" xr:uid="{8AD8F574-68CD-4CBC-A614-0D28EED34807}"/>
    <cellStyle name="Input 93" xfId="22846" xr:uid="{F864A243-D266-4664-8838-E489C4855A23}"/>
    <cellStyle name="Input 94" xfId="23224" xr:uid="{8DB649B6-2BEE-4DB5-BF02-93330ED3FA46}"/>
    <cellStyle name="Input 95" xfId="23874" xr:uid="{11F423D7-977A-4749-8C63-6121AD31E2CE}"/>
    <cellStyle name="Input Box" xfId="5073" xr:uid="{00000000-0005-0000-0000-0000A50B0000}"/>
    <cellStyle name="Input Currency" xfId="1233" xr:uid="{00000000-0005-0000-0000-0000A60B0000}"/>
    <cellStyle name="Input Currency 2" xfId="12261" xr:uid="{00000000-0005-0000-0000-0000A70B0000}"/>
    <cellStyle name="Input Date" xfId="1234" xr:uid="{00000000-0005-0000-0000-0000A80B0000}"/>
    <cellStyle name="Input Fixed [0]" xfId="1235" xr:uid="{00000000-0005-0000-0000-0000A90B0000}"/>
    <cellStyle name="Input Normal" xfId="1236" xr:uid="{00000000-0005-0000-0000-0000AA0B0000}"/>
    <cellStyle name="Input Percent" xfId="1237" xr:uid="{00000000-0005-0000-0000-0000AB0B0000}"/>
    <cellStyle name="Input Percent [2]" xfId="1238" xr:uid="{00000000-0005-0000-0000-0000AC0B0000}"/>
    <cellStyle name="Input Percent_Consolidado Angola_Mineração_SDM" xfId="1239" xr:uid="{00000000-0005-0000-0000-0000AD0B0000}"/>
    <cellStyle name="Input Titles" xfId="1240" xr:uid="{00000000-0005-0000-0000-0000AE0B0000}"/>
    <cellStyle name="InputBlueFont" xfId="1241" xr:uid="{00000000-0005-0000-0000-0000AF0B0000}"/>
    <cellStyle name="Komma [0]_Blad1" xfId="1242" xr:uid="{00000000-0005-0000-0000-0000B00B0000}"/>
    <cellStyle name="Komma_Blad1" xfId="1243" xr:uid="{00000000-0005-0000-0000-0000B10B0000}"/>
    <cellStyle name="left" xfId="1244" xr:uid="{00000000-0005-0000-0000-0000B20B0000}"/>
    <cellStyle name="leftStyle" xfId="5074" xr:uid="{00000000-0005-0000-0000-0000B30B0000}"/>
    <cellStyle name="leftStyle2" xfId="5075" xr:uid="{00000000-0005-0000-0000-0000B40B0000}"/>
    <cellStyle name="Linha" xfId="1245" xr:uid="{00000000-0005-0000-0000-0000B50B0000}"/>
    <cellStyle name="Linha 10" xfId="1246" xr:uid="{00000000-0005-0000-0000-0000B60B0000}"/>
    <cellStyle name="Linha 11" xfId="1247" xr:uid="{00000000-0005-0000-0000-0000B70B0000}"/>
    <cellStyle name="Linha 12" xfId="1248" xr:uid="{00000000-0005-0000-0000-0000B80B0000}"/>
    <cellStyle name="Linha 13" xfId="1249" xr:uid="{00000000-0005-0000-0000-0000B90B0000}"/>
    <cellStyle name="Linha 14" xfId="1250" xr:uid="{00000000-0005-0000-0000-0000BA0B0000}"/>
    <cellStyle name="Linha 15" xfId="1251" xr:uid="{00000000-0005-0000-0000-0000BB0B0000}"/>
    <cellStyle name="Linha 16" xfId="1252" xr:uid="{00000000-0005-0000-0000-0000BC0B0000}"/>
    <cellStyle name="Linha 17" xfId="1253" xr:uid="{00000000-0005-0000-0000-0000BD0B0000}"/>
    <cellStyle name="Linha 18" xfId="1254" xr:uid="{00000000-0005-0000-0000-0000BE0B0000}"/>
    <cellStyle name="Linha 19" xfId="1255" xr:uid="{00000000-0005-0000-0000-0000BF0B0000}"/>
    <cellStyle name="Linha 2" xfId="1256" xr:uid="{00000000-0005-0000-0000-0000C00B0000}"/>
    <cellStyle name="Linha 20" xfId="1257" xr:uid="{00000000-0005-0000-0000-0000C10B0000}"/>
    <cellStyle name="Linha 21" xfId="1258" xr:uid="{00000000-0005-0000-0000-0000C20B0000}"/>
    <cellStyle name="Linha 22" xfId="1259" xr:uid="{00000000-0005-0000-0000-0000C30B0000}"/>
    <cellStyle name="Linha 23" xfId="1260" xr:uid="{00000000-0005-0000-0000-0000C40B0000}"/>
    <cellStyle name="Linha 24" xfId="1261" xr:uid="{00000000-0005-0000-0000-0000C50B0000}"/>
    <cellStyle name="Linha 25" xfId="1262" xr:uid="{00000000-0005-0000-0000-0000C60B0000}"/>
    <cellStyle name="Linha 26" xfId="1263" xr:uid="{00000000-0005-0000-0000-0000C70B0000}"/>
    <cellStyle name="Linha 27" xfId="1264" xr:uid="{00000000-0005-0000-0000-0000C80B0000}"/>
    <cellStyle name="Linha 28" xfId="1265" xr:uid="{00000000-0005-0000-0000-0000C90B0000}"/>
    <cellStyle name="Linha 29" xfId="1266" xr:uid="{00000000-0005-0000-0000-0000CA0B0000}"/>
    <cellStyle name="Linha 3" xfId="1267" xr:uid="{00000000-0005-0000-0000-0000CB0B0000}"/>
    <cellStyle name="Linha 30" xfId="1268" xr:uid="{00000000-0005-0000-0000-0000CC0B0000}"/>
    <cellStyle name="Linha 31" xfId="1269" xr:uid="{00000000-0005-0000-0000-0000CD0B0000}"/>
    <cellStyle name="Linha 32" xfId="1270" xr:uid="{00000000-0005-0000-0000-0000CE0B0000}"/>
    <cellStyle name="Linha 33" xfId="1271" xr:uid="{00000000-0005-0000-0000-0000CF0B0000}"/>
    <cellStyle name="Linha 34" xfId="1272" xr:uid="{00000000-0005-0000-0000-0000D00B0000}"/>
    <cellStyle name="Linha 35" xfId="1273" xr:uid="{00000000-0005-0000-0000-0000D10B0000}"/>
    <cellStyle name="Linha 36" xfId="1274" xr:uid="{00000000-0005-0000-0000-0000D20B0000}"/>
    <cellStyle name="Linha 37" xfId="1275" xr:uid="{00000000-0005-0000-0000-0000D30B0000}"/>
    <cellStyle name="Linha 38" xfId="1276" xr:uid="{00000000-0005-0000-0000-0000D40B0000}"/>
    <cellStyle name="Linha 39" xfId="1277" xr:uid="{00000000-0005-0000-0000-0000D50B0000}"/>
    <cellStyle name="Linha 4" xfId="1278" xr:uid="{00000000-0005-0000-0000-0000D60B0000}"/>
    <cellStyle name="Linha 40" xfId="1279" xr:uid="{00000000-0005-0000-0000-0000D70B0000}"/>
    <cellStyle name="Linha 5" xfId="1280" xr:uid="{00000000-0005-0000-0000-0000D80B0000}"/>
    <cellStyle name="Linha 6" xfId="1281" xr:uid="{00000000-0005-0000-0000-0000D90B0000}"/>
    <cellStyle name="Linha 7" xfId="1282" xr:uid="{00000000-0005-0000-0000-0000DA0B0000}"/>
    <cellStyle name="Linha 8" xfId="1283" xr:uid="{00000000-0005-0000-0000-0000DB0B0000}"/>
    <cellStyle name="Linha 9" xfId="1284" xr:uid="{00000000-0005-0000-0000-0000DC0B0000}"/>
    <cellStyle name="Link Currency (0)" xfId="5076" xr:uid="{00000000-0005-0000-0000-0000DD0B0000}"/>
    <cellStyle name="Link Currency (2)" xfId="5077" xr:uid="{00000000-0005-0000-0000-0000DE0B0000}"/>
    <cellStyle name="Link Units (0)" xfId="5078" xr:uid="{00000000-0005-0000-0000-0000DF0B0000}"/>
    <cellStyle name="Link Units (1)" xfId="5079" xr:uid="{00000000-0005-0000-0000-0000E00B0000}"/>
    <cellStyle name="Link Units (2)" xfId="5080" xr:uid="{00000000-0005-0000-0000-0000E10B0000}"/>
    <cellStyle name="Linked Cell 2" xfId="78" xr:uid="{00000000-0005-0000-0000-0000E20B0000}"/>
    <cellStyle name="M" xfId="1285" xr:uid="{00000000-0005-0000-0000-0000E30B0000}"/>
    <cellStyle name="M 2" xfId="1286" xr:uid="{00000000-0005-0000-0000-0000E40B0000}"/>
    <cellStyle name="M 2 2" xfId="1287" xr:uid="{00000000-0005-0000-0000-0000E50B0000}"/>
    <cellStyle name="M 2 3" xfId="1288" xr:uid="{00000000-0005-0000-0000-0000E60B0000}"/>
    <cellStyle name="M 2 4" xfId="1289" xr:uid="{00000000-0005-0000-0000-0000E70B0000}"/>
    <cellStyle name="M 3" xfId="1290" xr:uid="{00000000-0005-0000-0000-0000E80B0000}"/>
    <cellStyle name="M 3 2" xfId="1291" xr:uid="{00000000-0005-0000-0000-0000E90B0000}"/>
    <cellStyle name="M 3 3" xfId="1292" xr:uid="{00000000-0005-0000-0000-0000EA0B0000}"/>
    <cellStyle name="M 3 4" xfId="1293" xr:uid="{00000000-0005-0000-0000-0000EB0B0000}"/>
    <cellStyle name="M 4" xfId="1294" xr:uid="{00000000-0005-0000-0000-0000EC0B0000}"/>
    <cellStyle name="M 4 2" xfId="1295" xr:uid="{00000000-0005-0000-0000-0000ED0B0000}"/>
    <cellStyle name="M 4 3" xfId="1296" xr:uid="{00000000-0005-0000-0000-0000EE0B0000}"/>
    <cellStyle name="M 4 4" xfId="1297" xr:uid="{00000000-0005-0000-0000-0000EF0B0000}"/>
    <cellStyle name="M 5" xfId="1298" xr:uid="{00000000-0005-0000-0000-0000F00B0000}"/>
    <cellStyle name="M 5 2" xfId="1299" xr:uid="{00000000-0005-0000-0000-0000F10B0000}"/>
    <cellStyle name="M 6" xfId="1300" xr:uid="{00000000-0005-0000-0000-0000F20B0000}"/>
    <cellStyle name="M 6 2" xfId="1301" xr:uid="{00000000-0005-0000-0000-0000F30B0000}"/>
    <cellStyle name="M 7" xfId="1302" xr:uid="{00000000-0005-0000-0000-0000F40B0000}"/>
    <cellStyle name="M 7 2" xfId="1303" xr:uid="{00000000-0005-0000-0000-0000F50B0000}"/>
    <cellStyle name="M 8" xfId="1304" xr:uid="{00000000-0005-0000-0000-0000F60B0000}"/>
    <cellStyle name="M 9" xfId="1305" xr:uid="{00000000-0005-0000-0000-0000F70B0000}"/>
    <cellStyle name="M_Braskem balanço e dre" xfId="1306" xr:uid="{00000000-0005-0000-0000-0000F80B0000}"/>
    <cellStyle name="M_Braskem balanço e dre 2" xfId="1307" xr:uid="{00000000-0005-0000-0000-0000F90B0000}"/>
    <cellStyle name="M_Braskem balanço e dre 2 2" xfId="1308" xr:uid="{00000000-0005-0000-0000-0000FA0B0000}"/>
    <cellStyle name="M_Braskem balanço e dre 3" xfId="1309" xr:uid="{00000000-0005-0000-0000-0000FB0B0000}"/>
    <cellStyle name="M_Braskem balanço e dre 4" xfId="1310" xr:uid="{00000000-0005-0000-0000-0000FC0B0000}"/>
    <cellStyle name="M_Braskem balanço e dre_Novos quadros - SBSA" xfId="1311" xr:uid="{00000000-0005-0000-0000-0000FD0B0000}"/>
    <cellStyle name="M_Braskem balanço e dre_Novos quadros - SBSA 2" xfId="1312" xr:uid="{00000000-0005-0000-0000-0000FE0B0000}"/>
    <cellStyle name="M_Braskem balanço e dre_Novos quadros - SBSA 2 2" xfId="1313" xr:uid="{00000000-0005-0000-0000-0000FF0B0000}"/>
    <cellStyle name="M_Braskem balanço e dre_Novos quadros - SBSA 3" xfId="1314" xr:uid="{00000000-0005-0000-0000-0000000C0000}"/>
    <cellStyle name="M_Braskem balanço e dre_ODB_Quadros_ 8ª versão" xfId="1315" xr:uid="{00000000-0005-0000-0000-0000010C0000}"/>
    <cellStyle name="M_Braskem balanço e dre_ODB_Quadros_ 8ª versão 2" xfId="1316" xr:uid="{00000000-0005-0000-0000-0000020C0000}"/>
    <cellStyle name="M_Braskem balanço e dre_ODB_Quadros_ 8ª versão 2 2" xfId="1317" xr:uid="{00000000-0005-0000-0000-0000030C0000}"/>
    <cellStyle name="M_Braskem balanço e dre_ODB_Quadros_ 8ª versão 3" xfId="1318" xr:uid="{00000000-0005-0000-0000-0000040C0000}"/>
    <cellStyle name="M_Braskem balanço e dre_Quadros Relat PwC Jaguaribe dez08 e dez07 v1" xfId="1319" xr:uid="{00000000-0005-0000-0000-0000050C0000}"/>
    <cellStyle name="M_Braskem balanço e dre_Quadros Relat PwC Jaguaribe dez08 e dez07 v1 2" xfId="1320" xr:uid="{00000000-0005-0000-0000-0000060C0000}"/>
    <cellStyle name="M_Braskem balanço e dre_Quadros Relat PwC Jaguaribe dez08 e dez07 v1 2 2" xfId="1321" xr:uid="{00000000-0005-0000-0000-0000070C0000}"/>
    <cellStyle name="M_Braskem balanço e dre_Quadros Relat PwC Jaguaribe dez08 e dez07 v1 3" xfId="1322" xr:uid="{00000000-0005-0000-0000-0000080C0000}"/>
    <cellStyle name="M_Ced. 6 - Mapa DOAR 2006 e 2007_controladora" xfId="1323" xr:uid="{00000000-0005-0000-0000-0000090C0000}"/>
    <cellStyle name="M_Ced. 6 - Mapa DOAR 2006 e 2007_controladora 2" xfId="1324" xr:uid="{00000000-0005-0000-0000-00000A0C0000}"/>
    <cellStyle name="M_Ced. 6 - Mapa DOAR 2006 e 2007_controladora 2 2" xfId="1325" xr:uid="{00000000-0005-0000-0000-00000B0C0000}"/>
    <cellStyle name="M_Ced. 6 - Mapa DOAR 2006 e 2007_controladora 3" xfId="1326" xr:uid="{00000000-0005-0000-0000-00000C0C0000}"/>
    <cellStyle name="M_Ced. 6 - Mapa DOAR 2006 e 2007_controladora 4" xfId="1327" xr:uid="{00000000-0005-0000-0000-00000D0C0000}"/>
    <cellStyle name="M_Consolidado Angola_Mineração_Com_2007" xfId="1328" xr:uid="{00000000-0005-0000-0000-00000E0C0000}"/>
    <cellStyle name="M_Consolidado Angola_Mineração_Com_2007 2" xfId="1329" xr:uid="{00000000-0005-0000-0000-00000F0C0000}"/>
    <cellStyle name="M_Consolidado Angola_Mineração_Com_2007 3" xfId="1330" xr:uid="{00000000-0005-0000-0000-0000100C0000}"/>
    <cellStyle name="M_Consolidado Angola_Mineração_Com_2007 4" xfId="1331" xr:uid="{00000000-0005-0000-0000-0000110C0000}"/>
    <cellStyle name="M_Consolidado Angola_Outros_com_2007" xfId="1332" xr:uid="{00000000-0005-0000-0000-0000120C0000}"/>
    <cellStyle name="M_Consolidado Angola_Outros_com_2007 2" xfId="1333" xr:uid="{00000000-0005-0000-0000-0000130C0000}"/>
    <cellStyle name="M_Consolidado Angola_Outros_com_2007 3" xfId="1334" xr:uid="{00000000-0005-0000-0000-0000140C0000}"/>
    <cellStyle name="M_Consolidado Angola_Outros_com_2007 4" xfId="1335" xr:uid="{00000000-0005-0000-0000-0000150C0000}"/>
    <cellStyle name="M_Cópia de QUADROS ACOMPANHAMENTO OEI 06_08_Diplan final" xfId="1336" xr:uid="{00000000-0005-0000-0000-0000160C0000}"/>
    <cellStyle name="M_Cópia de QUADROS ACOMPANHAMENTO OEI 06_08_Diplan final 2" xfId="1337" xr:uid="{00000000-0005-0000-0000-0000170C0000}"/>
    <cellStyle name="M_Cópia de QUADROS ACOMPANHAMENTO OEI 06_08_Diplan final 2 2" xfId="1338" xr:uid="{00000000-0005-0000-0000-0000180C0000}"/>
    <cellStyle name="M_Cópia de QUADROS ACOMPANHAMENTO OEI 06_08_Diplan final 2 3" xfId="1339" xr:uid="{00000000-0005-0000-0000-0000190C0000}"/>
    <cellStyle name="M_Cópia de QUADROS ACOMPANHAMENTO OEI 06_08_Diplan final 2 4" xfId="1340" xr:uid="{00000000-0005-0000-0000-00001A0C0000}"/>
    <cellStyle name="M_Cópia de QUADROS ACOMPANHAMENTO OEI 06_08_Diplan final 3" xfId="1341" xr:uid="{00000000-0005-0000-0000-00001B0C0000}"/>
    <cellStyle name="M_Cópia de QUADROS ACOMPANHAMENTO OEI 06_08_Diplan final 4" xfId="1342" xr:uid="{00000000-0005-0000-0000-00001C0C0000}"/>
    <cellStyle name="M_Cópia de QUADROS ACOMPANHAMENTO OEI 06_08_Diplan final 5" xfId="1343" xr:uid="{00000000-0005-0000-0000-00001D0C0000}"/>
    <cellStyle name="M_Dados PN 2006" xfId="1344" xr:uid="{00000000-0005-0000-0000-00001E0C0000}"/>
    <cellStyle name="M_Dados PN 2006 2" xfId="1345" xr:uid="{00000000-0005-0000-0000-00001F0C0000}"/>
    <cellStyle name="M_Dados PN 2006 3" xfId="1346" xr:uid="{00000000-0005-0000-0000-0000200C0000}"/>
    <cellStyle name="M_Dados PN 2006 4" xfId="1347" xr:uid="{00000000-0005-0000-0000-0000210C0000}"/>
    <cellStyle name="M_Dados PN 2006_Consolidado Angola_Mineração_Com_2007" xfId="1348" xr:uid="{00000000-0005-0000-0000-0000220C0000}"/>
    <cellStyle name="M_Dados PN 2006_Consolidado Angola_Mineração_Com_2007 2" xfId="1349" xr:uid="{00000000-0005-0000-0000-0000230C0000}"/>
    <cellStyle name="M_Dados PN 2006_Consolidado Angola_Mineração_Com_2007 3" xfId="1350" xr:uid="{00000000-0005-0000-0000-0000240C0000}"/>
    <cellStyle name="M_Dados PN 2006_Consolidado Angola_Mineração_Com_2007 4" xfId="1351" xr:uid="{00000000-0005-0000-0000-0000250C0000}"/>
    <cellStyle name="M_Dados PN 2006_Consolidado Angola_Outros_com_2007" xfId="1352" xr:uid="{00000000-0005-0000-0000-0000260C0000}"/>
    <cellStyle name="M_Dados PN 2006_Consolidado Angola_Outros_com_2007 2" xfId="1353" xr:uid="{00000000-0005-0000-0000-0000270C0000}"/>
    <cellStyle name="M_Dados PN 2006_Consolidado Angola_Outros_com_2007 3" xfId="1354" xr:uid="{00000000-0005-0000-0000-0000280C0000}"/>
    <cellStyle name="M_Dados PN 2006_Consolidado Angola_Outros_com_2007 4" xfId="1355" xr:uid="{00000000-0005-0000-0000-0000290C0000}"/>
    <cellStyle name="M_Dados PN 2006_Mascara Relatorio 2008 - Cópia" xfId="1356" xr:uid="{00000000-0005-0000-0000-00002A0C0000}"/>
    <cellStyle name="M_Dados PN 2006_Mascara Relatorio 2008 - Cópia 2" xfId="1357" xr:uid="{00000000-0005-0000-0000-00002B0C0000}"/>
    <cellStyle name="M_Dados PN 2006_Mascara Relatorio 2008 - Cópia 3" xfId="1358" xr:uid="{00000000-0005-0000-0000-00002C0C0000}"/>
    <cellStyle name="M_Dados PN 2006_Mascara Relatorio 2008 - Cópia 4" xfId="1359" xr:uid="{00000000-0005-0000-0000-00002D0C0000}"/>
    <cellStyle name="M_Fechamento 2008_OEA" xfId="1360" xr:uid="{00000000-0005-0000-0000-00002E0C0000}"/>
    <cellStyle name="M_Fechamento 2008_OEA 2" xfId="1361" xr:uid="{00000000-0005-0000-0000-00002F0C0000}"/>
    <cellStyle name="M_Fechamento 2008_OEA 2 2" xfId="1362" xr:uid="{00000000-0005-0000-0000-0000300C0000}"/>
    <cellStyle name="M_Fechamento 2008_OEA 2 3" xfId="1363" xr:uid="{00000000-0005-0000-0000-0000310C0000}"/>
    <cellStyle name="M_Fechamento 2008_OEA 2 4" xfId="1364" xr:uid="{00000000-0005-0000-0000-0000320C0000}"/>
    <cellStyle name="M_Fechamento 2008_OEA 3" xfId="1365" xr:uid="{00000000-0005-0000-0000-0000330C0000}"/>
    <cellStyle name="M_Fechamento 2008_OEA 4" xfId="1366" xr:uid="{00000000-0005-0000-0000-0000340C0000}"/>
    <cellStyle name="M_Fechamento 2008_OEA 5" xfId="1367" xr:uid="{00000000-0005-0000-0000-0000350C0000}"/>
    <cellStyle name="M_Mascara Relatorio 2008 - Cópia" xfId="1368" xr:uid="{00000000-0005-0000-0000-0000360C0000}"/>
    <cellStyle name="M_Mascara Relatorio 2008 - Cópia 2" xfId="1369" xr:uid="{00000000-0005-0000-0000-0000370C0000}"/>
    <cellStyle name="M_Mascara Relatorio 2008 - Cópia 3" xfId="1370" xr:uid="{00000000-0005-0000-0000-0000380C0000}"/>
    <cellStyle name="M_Mascara Relatorio 2008 - Cópia 4" xfId="1371" xr:uid="{00000000-0005-0000-0000-0000390C0000}"/>
    <cellStyle name="M_MEQ_rodada 08" xfId="1372" xr:uid="{00000000-0005-0000-0000-00003A0C0000}"/>
    <cellStyle name="M_MEQ_rodada 08 2" xfId="1373" xr:uid="{00000000-0005-0000-0000-00003B0C0000}"/>
    <cellStyle name="M_MEQ_rodada 08 3" xfId="1374" xr:uid="{00000000-0005-0000-0000-00003C0C0000}"/>
    <cellStyle name="M_MEQ_rodada 08 4" xfId="1375" xr:uid="{00000000-0005-0000-0000-00003D0C0000}"/>
    <cellStyle name="M_MEQ_rodada 08_Consolidado Angola_Mineração_Com_2007" xfId="1376" xr:uid="{00000000-0005-0000-0000-00003E0C0000}"/>
    <cellStyle name="M_MEQ_rodada 08_Consolidado Angola_Mineração_Com_2007 2" xfId="1377" xr:uid="{00000000-0005-0000-0000-00003F0C0000}"/>
    <cellStyle name="M_MEQ_rodada 08_Consolidado Angola_Mineração_Com_2007 3" xfId="1378" xr:uid="{00000000-0005-0000-0000-0000400C0000}"/>
    <cellStyle name="M_MEQ_rodada 08_Consolidado Angola_Mineração_Com_2007 4" xfId="1379" xr:uid="{00000000-0005-0000-0000-0000410C0000}"/>
    <cellStyle name="M_MEQ_rodada 08_Consolidado Angola_Outros_com_2007" xfId="1380" xr:uid="{00000000-0005-0000-0000-0000420C0000}"/>
    <cellStyle name="M_MEQ_rodada 08_Consolidado Angola_Outros_com_2007 2" xfId="1381" xr:uid="{00000000-0005-0000-0000-0000430C0000}"/>
    <cellStyle name="M_MEQ_rodada 08_Consolidado Angola_Outros_com_2007 3" xfId="1382" xr:uid="{00000000-0005-0000-0000-0000440C0000}"/>
    <cellStyle name="M_MEQ_rodada 08_Consolidado Angola_Outros_com_2007 4" xfId="1383" xr:uid="{00000000-0005-0000-0000-0000450C0000}"/>
    <cellStyle name="M_MEQ_rodada 08_Mascara Relatorio 2008 - Cópia" xfId="1384" xr:uid="{00000000-0005-0000-0000-0000460C0000}"/>
    <cellStyle name="M_MEQ_rodada 08_Mascara Relatorio 2008 - Cópia 2" xfId="1385" xr:uid="{00000000-0005-0000-0000-0000470C0000}"/>
    <cellStyle name="M_MEQ_rodada 08_Mascara Relatorio 2008 - Cópia 3" xfId="1386" xr:uid="{00000000-0005-0000-0000-0000480C0000}"/>
    <cellStyle name="M_MEQ_rodada 08_Mascara Relatorio 2008 - Cópia 4" xfId="1387" xr:uid="{00000000-0005-0000-0000-0000490C0000}"/>
    <cellStyle name="M_Nota 14 Forneced" xfId="1388" xr:uid="{00000000-0005-0000-0000-00004A0C0000}"/>
    <cellStyle name="M_Nota 14 Forneced 2" xfId="1389" xr:uid="{00000000-0005-0000-0000-00004B0C0000}"/>
    <cellStyle name="M_Nota 14 Forneced 2 2" xfId="1390" xr:uid="{00000000-0005-0000-0000-00004C0C0000}"/>
    <cellStyle name="M_Nota 14 Forneced 3" xfId="1391" xr:uid="{00000000-0005-0000-0000-00004D0C0000}"/>
    <cellStyle name="M_notas_complementares finais" xfId="1392" xr:uid="{00000000-0005-0000-0000-00004E0C0000}"/>
    <cellStyle name="M_notas_complementares finais 2" xfId="1393" xr:uid="{00000000-0005-0000-0000-00004F0C0000}"/>
    <cellStyle name="M_notas_complementares finais 2 2" xfId="1394" xr:uid="{00000000-0005-0000-0000-0000500C0000}"/>
    <cellStyle name="M_notas_complementares finais 3" xfId="1395" xr:uid="{00000000-0005-0000-0000-0000510C0000}"/>
    <cellStyle name="M_notas_complementares finais 4" xfId="1396" xr:uid="{00000000-0005-0000-0000-0000520C0000}"/>
    <cellStyle name="M_notas_complementares finais_Novos quadros - SBSA" xfId="1397" xr:uid="{00000000-0005-0000-0000-0000530C0000}"/>
    <cellStyle name="M_notas_complementares finais_Novos quadros - SBSA 2" xfId="1398" xr:uid="{00000000-0005-0000-0000-0000540C0000}"/>
    <cellStyle name="M_notas_complementares finais_Novos quadros - SBSA 2 2" xfId="1399" xr:uid="{00000000-0005-0000-0000-0000550C0000}"/>
    <cellStyle name="M_notas_complementares finais_Novos quadros - SBSA 3" xfId="1400" xr:uid="{00000000-0005-0000-0000-0000560C0000}"/>
    <cellStyle name="M_notas_complementares finais_ODB_Quadros_ 8ª versão" xfId="1401" xr:uid="{00000000-0005-0000-0000-0000570C0000}"/>
    <cellStyle name="M_notas_complementares finais_ODB_Quadros_ 8ª versão 2" xfId="1402" xr:uid="{00000000-0005-0000-0000-0000580C0000}"/>
    <cellStyle name="M_notas_complementares finais_ODB_Quadros_ 8ª versão 2 2" xfId="1403" xr:uid="{00000000-0005-0000-0000-0000590C0000}"/>
    <cellStyle name="M_notas_complementares finais_ODB_Quadros_ 8ª versão 3" xfId="1404" xr:uid="{00000000-0005-0000-0000-00005A0C0000}"/>
    <cellStyle name="M_notas_complementares finais_Quadros Relat PwC Jaguaribe dez08 e dez07 v1" xfId="1405" xr:uid="{00000000-0005-0000-0000-00005B0C0000}"/>
    <cellStyle name="M_notas_complementares finais_Quadros Relat PwC Jaguaribe dez08 e dez07 v1 2" xfId="1406" xr:uid="{00000000-0005-0000-0000-00005C0C0000}"/>
    <cellStyle name="M_notas_complementares finais_Quadros Relat PwC Jaguaribe dez08 e dez07 v1 2 2" xfId="1407" xr:uid="{00000000-0005-0000-0000-00005D0C0000}"/>
    <cellStyle name="M_notas_complementares finais_Quadros Relat PwC Jaguaribe dez08 e dez07 v1 3" xfId="1408" xr:uid="{00000000-0005-0000-0000-00005E0C0000}"/>
    <cellStyle name="M_Novos quadros - SBSA" xfId="1409" xr:uid="{00000000-0005-0000-0000-00005F0C0000}"/>
    <cellStyle name="M_Novos quadros - SBSA 2" xfId="1410" xr:uid="{00000000-0005-0000-0000-0000600C0000}"/>
    <cellStyle name="M_Novos quadros - SBSA 2 2" xfId="1411" xr:uid="{00000000-0005-0000-0000-0000610C0000}"/>
    <cellStyle name="M_Novos quadros - SBSA 3" xfId="1412" xr:uid="{00000000-0005-0000-0000-0000620C0000}"/>
    <cellStyle name="M_ODB Consolidado - Quadros jun.05 II" xfId="1413" xr:uid="{00000000-0005-0000-0000-0000630C0000}"/>
    <cellStyle name="M_ODB Consolidado - Quadros jun.05 II 2" xfId="1414" xr:uid="{00000000-0005-0000-0000-0000640C0000}"/>
    <cellStyle name="M_ODB Consolidado - Quadros jun.05 II 2 2" xfId="1415" xr:uid="{00000000-0005-0000-0000-0000650C0000}"/>
    <cellStyle name="M_ODB Consolidado - Quadros jun.05 II 3" xfId="1416" xr:uid="{00000000-0005-0000-0000-0000660C0000}"/>
    <cellStyle name="M_ODB Consolidado - Quadros jun.05 II 4" xfId="1417" xr:uid="{00000000-0005-0000-0000-0000670C0000}"/>
    <cellStyle name="M_ODB Consolidado - Quadros jun.05 II_Novos quadros - SBSA" xfId="1418" xr:uid="{00000000-0005-0000-0000-0000680C0000}"/>
    <cellStyle name="M_ODB Consolidado - Quadros jun.05 II_Novos quadros - SBSA 2" xfId="1419" xr:uid="{00000000-0005-0000-0000-0000690C0000}"/>
    <cellStyle name="M_ODB Consolidado - Quadros jun.05 II_Novos quadros - SBSA 2 2" xfId="1420" xr:uid="{00000000-0005-0000-0000-00006A0C0000}"/>
    <cellStyle name="M_ODB Consolidado - Quadros jun.05 II_Novos quadros - SBSA 3" xfId="1421" xr:uid="{00000000-0005-0000-0000-00006B0C0000}"/>
    <cellStyle name="M_ODB Consolidado - Quadros jun.05 II_ODB_Quadros_ 8ª versão" xfId="1422" xr:uid="{00000000-0005-0000-0000-00006C0C0000}"/>
    <cellStyle name="M_ODB Consolidado - Quadros jun.05 II_ODB_Quadros_ 8ª versão 2" xfId="1423" xr:uid="{00000000-0005-0000-0000-00006D0C0000}"/>
    <cellStyle name="M_ODB Consolidado - Quadros jun.05 II_ODB_Quadros_ 8ª versão 2 2" xfId="1424" xr:uid="{00000000-0005-0000-0000-00006E0C0000}"/>
    <cellStyle name="M_ODB Consolidado - Quadros jun.05 II_ODB_Quadros_ 8ª versão 3" xfId="1425" xr:uid="{00000000-0005-0000-0000-00006F0C0000}"/>
    <cellStyle name="M_ODB Consolidado - Quadros jun.05 II_Quadros Relat PwC Jaguaribe dez08 e dez07 v1" xfId="1426" xr:uid="{00000000-0005-0000-0000-0000700C0000}"/>
    <cellStyle name="M_ODB Consolidado - Quadros jun.05 II_Quadros Relat PwC Jaguaribe dez08 e dez07 v1 2" xfId="1427" xr:uid="{00000000-0005-0000-0000-0000710C0000}"/>
    <cellStyle name="M_ODB Consolidado - Quadros jun.05 II_Quadros Relat PwC Jaguaribe dez08 e dez07 v1 2 2" xfId="1428" xr:uid="{00000000-0005-0000-0000-0000720C0000}"/>
    <cellStyle name="M_ODB Consolidado - Quadros jun.05 II_Quadros Relat PwC Jaguaribe dez08 e dez07 v1 3" xfId="1429" xr:uid="{00000000-0005-0000-0000-0000730C0000}"/>
    <cellStyle name="M_ODB Consolidado - Quadros Port_ jun_06" xfId="1430" xr:uid="{00000000-0005-0000-0000-0000740C0000}"/>
    <cellStyle name="M_ODB Consolidado - Quadros Port_ jun_06 2" xfId="1431" xr:uid="{00000000-0005-0000-0000-0000750C0000}"/>
    <cellStyle name="M_ODB Consolidado - Quadros Port_ jun_06 2 2" xfId="1432" xr:uid="{00000000-0005-0000-0000-0000760C0000}"/>
    <cellStyle name="M_ODB Consolidado - Quadros Port_ jun_06 3" xfId="1433" xr:uid="{00000000-0005-0000-0000-0000770C0000}"/>
    <cellStyle name="M_ODB Consolidado - Quadros Port_ jun_06 4" xfId="1434" xr:uid="{00000000-0005-0000-0000-0000780C0000}"/>
    <cellStyle name="M_ODB Consolidado - Quadros Port_ jun_06_Novos quadros - SBSA" xfId="1435" xr:uid="{00000000-0005-0000-0000-0000790C0000}"/>
    <cellStyle name="M_ODB Consolidado - Quadros Port_ jun_06_Novos quadros - SBSA 2" xfId="1436" xr:uid="{00000000-0005-0000-0000-00007A0C0000}"/>
    <cellStyle name="M_ODB Consolidado - Quadros Port_ jun_06_Novos quadros - SBSA 2 2" xfId="1437" xr:uid="{00000000-0005-0000-0000-00007B0C0000}"/>
    <cellStyle name="M_ODB Consolidado - Quadros Port_ jun_06_Novos quadros - SBSA 3" xfId="1438" xr:uid="{00000000-0005-0000-0000-00007C0C0000}"/>
    <cellStyle name="M_ODB Consolidado - Quadros Port_ jun_06_ODB_Quadros_ 8ª versão" xfId="1439" xr:uid="{00000000-0005-0000-0000-00007D0C0000}"/>
    <cellStyle name="M_ODB Consolidado - Quadros Port_ jun_06_ODB_Quadros_ 8ª versão 2" xfId="1440" xr:uid="{00000000-0005-0000-0000-00007E0C0000}"/>
    <cellStyle name="M_ODB Consolidado - Quadros Port_ jun_06_ODB_Quadros_ 8ª versão 2 2" xfId="1441" xr:uid="{00000000-0005-0000-0000-00007F0C0000}"/>
    <cellStyle name="M_ODB Consolidado - Quadros Port_ jun_06_ODB_Quadros_ 8ª versão 3" xfId="1442" xr:uid="{00000000-0005-0000-0000-0000800C0000}"/>
    <cellStyle name="M_ODB Consolidado - Quadros Port_ jun_06_Quadros Relat PwC Jaguaribe dez08 e dez07 v1" xfId="1443" xr:uid="{00000000-0005-0000-0000-0000810C0000}"/>
    <cellStyle name="M_ODB Consolidado - Quadros Port_ jun_06_Quadros Relat PwC Jaguaribe dez08 e dez07 v1 2" xfId="1444" xr:uid="{00000000-0005-0000-0000-0000820C0000}"/>
    <cellStyle name="M_ODB Consolidado - Quadros Port_ jun_06_Quadros Relat PwC Jaguaribe dez08 e dez07 v1 2 2" xfId="1445" xr:uid="{00000000-0005-0000-0000-0000830C0000}"/>
    <cellStyle name="M_ODB Consolidado - Quadros Port_ jun_06_Quadros Relat PwC Jaguaribe dez08 e dez07 v1 3" xfId="1446" xr:uid="{00000000-0005-0000-0000-0000840C0000}"/>
    <cellStyle name="M_ODB Consolidado - Quadros_ dez_06" xfId="1447" xr:uid="{00000000-0005-0000-0000-0000850C0000}"/>
    <cellStyle name="M_ODB Consolidado - Quadros_ dez_06 2" xfId="1448" xr:uid="{00000000-0005-0000-0000-0000860C0000}"/>
    <cellStyle name="M_ODB Consolidado - Quadros_ dez_06 2 2" xfId="1449" xr:uid="{00000000-0005-0000-0000-0000870C0000}"/>
    <cellStyle name="M_ODB Consolidado - Quadros_ dez_06 3" xfId="1450" xr:uid="{00000000-0005-0000-0000-0000880C0000}"/>
    <cellStyle name="M_ODB Consolidado - Quadros_ dez_06 4" xfId="1451" xr:uid="{00000000-0005-0000-0000-0000890C0000}"/>
    <cellStyle name="M_ODB Consolidado - Quadros_ jun_06" xfId="1452" xr:uid="{00000000-0005-0000-0000-00008A0C0000}"/>
    <cellStyle name="M_ODB Consolidado - Quadros_ jun_06 2" xfId="1453" xr:uid="{00000000-0005-0000-0000-00008B0C0000}"/>
    <cellStyle name="M_ODB Consolidado - Quadros_ jun_06 2 2" xfId="1454" xr:uid="{00000000-0005-0000-0000-00008C0C0000}"/>
    <cellStyle name="M_ODB Consolidado - Quadros_ jun_06 3" xfId="1455" xr:uid="{00000000-0005-0000-0000-00008D0C0000}"/>
    <cellStyle name="M_ODB Consolidado - Quadros_ jun_06 4" xfId="1456" xr:uid="{00000000-0005-0000-0000-00008E0C0000}"/>
    <cellStyle name="M_ODB Consolidado - Quadros_ jun_06_Novos quadros - SBSA" xfId="1457" xr:uid="{00000000-0005-0000-0000-00008F0C0000}"/>
    <cellStyle name="M_ODB Consolidado - Quadros_ jun_06_Novos quadros - SBSA 2" xfId="1458" xr:uid="{00000000-0005-0000-0000-0000900C0000}"/>
    <cellStyle name="M_ODB Consolidado - Quadros_ jun_06_Novos quadros - SBSA 2 2" xfId="1459" xr:uid="{00000000-0005-0000-0000-0000910C0000}"/>
    <cellStyle name="M_ODB Consolidado - Quadros_ jun_06_Novos quadros - SBSA 3" xfId="1460" xr:uid="{00000000-0005-0000-0000-0000920C0000}"/>
    <cellStyle name="M_ODB Consolidado - Quadros_ jun_06_ODB_Quadros_ 8ª versão" xfId="1461" xr:uid="{00000000-0005-0000-0000-0000930C0000}"/>
    <cellStyle name="M_ODB Consolidado - Quadros_ jun_06_ODB_Quadros_ 8ª versão 2" xfId="1462" xr:uid="{00000000-0005-0000-0000-0000940C0000}"/>
    <cellStyle name="M_ODB Consolidado - Quadros_ jun_06_ODB_Quadros_ 8ª versão 2 2" xfId="1463" xr:uid="{00000000-0005-0000-0000-0000950C0000}"/>
    <cellStyle name="M_ODB Consolidado - Quadros_ jun_06_ODB_Quadros_ 8ª versão 3" xfId="1464" xr:uid="{00000000-0005-0000-0000-0000960C0000}"/>
    <cellStyle name="M_ODB Consolidado - Quadros_ jun_06_Quadros Relat PwC Jaguaribe dez08 e dez07 v1" xfId="1465" xr:uid="{00000000-0005-0000-0000-0000970C0000}"/>
    <cellStyle name="M_ODB Consolidado - Quadros_ jun_06_Quadros Relat PwC Jaguaribe dez08 e dez07 v1 2" xfId="1466" xr:uid="{00000000-0005-0000-0000-0000980C0000}"/>
    <cellStyle name="M_ODB Consolidado - Quadros_ jun_06_Quadros Relat PwC Jaguaribe dez08 e dez07 v1 2 2" xfId="1467" xr:uid="{00000000-0005-0000-0000-0000990C0000}"/>
    <cellStyle name="M_ODB Consolidado - Quadros_ jun_06_Quadros Relat PwC Jaguaribe dez08 e dez07 v1 3" xfId="1468" xr:uid="{00000000-0005-0000-0000-00009A0C0000}"/>
    <cellStyle name="M_ODB Consolidado_Port_2002" xfId="1469" xr:uid="{00000000-0005-0000-0000-00009B0C0000}"/>
    <cellStyle name="M_ODB Consolidado_Port_2002 2" xfId="1470" xr:uid="{00000000-0005-0000-0000-00009C0C0000}"/>
    <cellStyle name="M_ODB Consolidado_Port_2002 2 2" xfId="1471" xr:uid="{00000000-0005-0000-0000-00009D0C0000}"/>
    <cellStyle name="M_ODB Consolidado_Port_2002 3" xfId="1472" xr:uid="{00000000-0005-0000-0000-00009E0C0000}"/>
    <cellStyle name="M_ODB Consolidado_Port_2002 4" xfId="1473" xr:uid="{00000000-0005-0000-0000-00009F0C0000}"/>
    <cellStyle name="M_ODB Consolidado_Port_2002_Novos quadros - SBSA" xfId="1474" xr:uid="{00000000-0005-0000-0000-0000A00C0000}"/>
    <cellStyle name="M_ODB Consolidado_Port_2002_Novos quadros - SBSA 2" xfId="1475" xr:uid="{00000000-0005-0000-0000-0000A10C0000}"/>
    <cellStyle name="M_ODB Consolidado_Port_2002_Novos quadros - SBSA 2 2" xfId="1476" xr:uid="{00000000-0005-0000-0000-0000A20C0000}"/>
    <cellStyle name="M_ODB Consolidado_Port_2002_Novos quadros - SBSA 3" xfId="1477" xr:uid="{00000000-0005-0000-0000-0000A30C0000}"/>
    <cellStyle name="M_ODB Consolidado_Port_2002_ODB_Quadros_ 8ª versão" xfId="1478" xr:uid="{00000000-0005-0000-0000-0000A40C0000}"/>
    <cellStyle name="M_ODB Consolidado_Port_2002_ODB_Quadros_ 8ª versão 2" xfId="1479" xr:uid="{00000000-0005-0000-0000-0000A50C0000}"/>
    <cellStyle name="M_ODB Consolidado_Port_2002_ODB_Quadros_ 8ª versão 2 2" xfId="1480" xr:uid="{00000000-0005-0000-0000-0000A60C0000}"/>
    <cellStyle name="M_ODB Consolidado_Port_2002_ODB_Quadros_ 8ª versão 3" xfId="1481" xr:uid="{00000000-0005-0000-0000-0000A70C0000}"/>
    <cellStyle name="M_ODB Consolidado_Port_2002_Quadros Relat PwC Jaguaribe dez08 e dez07 v1" xfId="1482" xr:uid="{00000000-0005-0000-0000-0000A80C0000}"/>
    <cellStyle name="M_ODB Consolidado_Port_2002_Quadros Relat PwC Jaguaribe dez08 e dez07 v1 2" xfId="1483" xr:uid="{00000000-0005-0000-0000-0000A90C0000}"/>
    <cellStyle name="M_ODB Consolidado_Port_2002_Quadros Relat PwC Jaguaribe dez08 e dez07 v1 2 2" xfId="1484" xr:uid="{00000000-0005-0000-0000-0000AA0C0000}"/>
    <cellStyle name="M_ODB Consolidado_Port_2002_Quadros Relat PwC Jaguaribe dez08 e dez07 v1 3" xfId="1485" xr:uid="{00000000-0005-0000-0000-0000AB0C0000}"/>
    <cellStyle name="M_ODB Consolidado_Port_2003" xfId="1486" xr:uid="{00000000-0005-0000-0000-0000AC0C0000}"/>
    <cellStyle name="M_ODB Consolidado_Port_2003 2" xfId="1487" xr:uid="{00000000-0005-0000-0000-0000AD0C0000}"/>
    <cellStyle name="M_ODB Consolidado_Port_2003 2 2" xfId="1488" xr:uid="{00000000-0005-0000-0000-0000AE0C0000}"/>
    <cellStyle name="M_ODB Consolidado_Port_2003 3" xfId="1489" xr:uid="{00000000-0005-0000-0000-0000AF0C0000}"/>
    <cellStyle name="M_ODB Consolidado_Port_2003 4" xfId="1490" xr:uid="{00000000-0005-0000-0000-0000B00C0000}"/>
    <cellStyle name="M_ODB Consolidado_Port_2003_Novos quadros - SBSA" xfId="1491" xr:uid="{00000000-0005-0000-0000-0000B10C0000}"/>
    <cellStyle name="M_ODB Consolidado_Port_2003_Novos quadros - SBSA 2" xfId="1492" xr:uid="{00000000-0005-0000-0000-0000B20C0000}"/>
    <cellStyle name="M_ODB Consolidado_Port_2003_Novos quadros - SBSA 2 2" xfId="1493" xr:uid="{00000000-0005-0000-0000-0000B30C0000}"/>
    <cellStyle name="M_ODB Consolidado_Port_2003_Novos quadros - SBSA 3" xfId="1494" xr:uid="{00000000-0005-0000-0000-0000B40C0000}"/>
    <cellStyle name="M_ODB Consolidado_Port_2003_ODB_Quadros_ 8ª versão" xfId="1495" xr:uid="{00000000-0005-0000-0000-0000B50C0000}"/>
    <cellStyle name="M_ODB Consolidado_Port_2003_ODB_Quadros_ 8ª versão 2" xfId="1496" xr:uid="{00000000-0005-0000-0000-0000B60C0000}"/>
    <cellStyle name="M_ODB Consolidado_Port_2003_ODB_Quadros_ 8ª versão 2 2" xfId="1497" xr:uid="{00000000-0005-0000-0000-0000B70C0000}"/>
    <cellStyle name="M_ODB Consolidado_Port_2003_ODB_Quadros_ 8ª versão 3" xfId="1498" xr:uid="{00000000-0005-0000-0000-0000B80C0000}"/>
    <cellStyle name="M_ODB Consolidado_Port_2003_Quadros Relat PwC Jaguaribe dez08 e dez07 v1" xfId="1499" xr:uid="{00000000-0005-0000-0000-0000B90C0000}"/>
    <cellStyle name="M_ODB Consolidado_Port_2003_Quadros Relat PwC Jaguaribe dez08 e dez07 v1 2" xfId="1500" xr:uid="{00000000-0005-0000-0000-0000BA0C0000}"/>
    <cellStyle name="M_ODB Consolidado_Port_2003_Quadros Relat PwC Jaguaribe dez08 e dez07 v1 2 2" xfId="1501" xr:uid="{00000000-0005-0000-0000-0000BB0C0000}"/>
    <cellStyle name="M_ODB Consolidado_Port_2003_Quadros Relat PwC Jaguaribe dez08 e dez07 v1 3" xfId="1502" xr:uid="{00000000-0005-0000-0000-0000BC0C0000}"/>
    <cellStyle name="M_ODB Consolidado_Port_2004" xfId="1503" xr:uid="{00000000-0005-0000-0000-0000BD0C0000}"/>
    <cellStyle name="M_ODB Consolidado_Port_2004 2" xfId="1504" xr:uid="{00000000-0005-0000-0000-0000BE0C0000}"/>
    <cellStyle name="M_ODB Consolidado_Port_2004 2 2" xfId="1505" xr:uid="{00000000-0005-0000-0000-0000BF0C0000}"/>
    <cellStyle name="M_ODB Consolidado_Port_2004 3" xfId="1506" xr:uid="{00000000-0005-0000-0000-0000C00C0000}"/>
    <cellStyle name="M_ODB Consolidado_Port_2004 4" xfId="1507" xr:uid="{00000000-0005-0000-0000-0000C10C0000}"/>
    <cellStyle name="M_ODB Consolidado_Port_2004_Novos quadros - SBSA" xfId="1508" xr:uid="{00000000-0005-0000-0000-0000C20C0000}"/>
    <cellStyle name="M_ODB Consolidado_Port_2004_Novos quadros - SBSA 2" xfId="1509" xr:uid="{00000000-0005-0000-0000-0000C30C0000}"/>
    <cellStyle name="M_ODB Consolidado_Port_2004_Novos quadros - SBSA 2 2" xfId="1510" xr:uid="{00000000-0005-0000-0000-0000C40C0000}"/>
    <cellStyle name="M_ODB Consolidado_Port_2004_Novos quadros - SBSA 3" xfId="1511" xr:uid="{00000000-0005-0000-0000-0000C50C0000}"/>
    <cellStyle name="M_ODB Consolidado_Port_2004_ODB_Quadros_ 8ª versão" xfId="1512" xr:uid="{00000000-0005-0000-0000-0000C60C0000}"/>
    <cellStyle name="M_ODB Consolidado_Port_2004_ODB_Quadros_ 8ª versão 2" xfId="1513" xr:uid="{00000000-0005-0000-0000-0000C70C0000}"/>
    <cellStyle name="M_ODB Consolidado_Port_2004_ODB_Quadros_ 8ª versão 2 2" xfId="1514" xr:uid="{00000000-0005-0000-0000-0000C80C0000}"/>
    <cellStyle name="M_ODB Consolidado_Port_2004_ODB_Quadros_ 8ª versão 3" xfId="1515" xr:uid="{00000000-0005-0000-0000-0000C90C0000}"/>
    <cellStyle name="M_ODB Consolidado_Port_2004_Quadros Relat PwC Jaguaribe dez08 e dez07 v1" xfId="1516" xr:uid="{00000000-0005-0000-0000-0000CA0C0000}"/>
    <cellStyle name="M_ODB Consolidado_Port_2004_Quadros Relat PwC Jaguaribe dez08 e dez07 v1 2" xfId="1517" xr:uid="{00000000-0005-0000-0000-0000CB0C0000}"/>
    <cellStyle name="M_ODB Consolidado_Port_2004_Quadros Relat PwC Jaguaribe dez08 e dez07 v1 2 2" xfId="1518" xr:uid="{00000000-0005-0000-0000-0000CC0C0000}"/>
    <cellStyle name="M_ODB Consolidado_Port_2004_Quadros Relat PwC Jaguaribe dez08 e dez07 v1 3" xfId="1519" xr:uid="{00000000-0005-0000-0000-0000CD0C0000}"/>
    <cellStyle name="M_ODB Consolidado_Port_Dez03" xfId="1520" xr:uid="{00000000-0005-0000-0000-0000CE0C0000}"/>
    <cellStyle name="M_ODB Consolidado_Port_Dez03 2" xfId="1521" xr:uid="{00000000-0005-0000-0000-0000CF0C0000}"/>
    <cellStyle name="M_ODB Consolidado_Port_Dez03 2 2" xfId="1522" xr:uid="{00000000-0005-0000-0000-0000D00C0000}"/>
    <cellStyle name="M_ODB Consolidado_Port_Dez03 3" xfId="1523" xr:uid="{00000000-0005-0000-0000-0000D10C0000}"/>
    <cellStyle name="M_ODB Consolidado_Port_Dez03 4" xfId="1524" xr:uid="{00000000-0005-0000-0000-0000D20C0000}"/>
    <cellStyle name="M_ODB Consolidado_Port_Dez03(22_03_04)" xfId="1525" xr:uid="{00000000-0005-0000-0000-0000D30C0000}"/>
    <cellStyle name="M_ODB Consolidado_Port_Dez03(22_03_04) 2" xfId="1526" xr:uid="{00000000-0005-0000-0000-0000D40C0000}"/>
    <cellStyle name="M_ODB Consolidado_Port_Dez03(22_03_04) 2 2" xfId="1527" xr:uid="{00000000-0005-0000-0000-0000D50C0000}"/>
    <cellStyle name="M_ODB Consolidado_Port_Dez03(22_03_04) 3" xfId="1528" xr:uid="{00000000-0005-0000-0000-0000D60C0000}"/>
    <cellStyle name="M_ODB Consolidado_Port_Dez03(22_03_04) 4" xfId="1529" xr:uid="{00000000-0005-0000-0000-0000D70C0000}"/>
    <cellStyle name="M_ODB Consolidado_Port_Dez03(22_03_04)_Novos quadros - SBSA" xfId="1530" xr:uid="{00000000-0005-0000-0000-0000D80C0000}"/>
    <cellStyle name="M_ODB Consolidado_Port_Dez03(22_03_04)_Novos quadros - SBSA 2" xfId="1531" xr:uid="{00000000-0005-0000-0000-0000D90C0000}"/>
    <cellStyle name="M_ODB Consolidado_Port_Dez03(22_03_04)_Novos quadros - SBSA 2 2" xfId="1532" xr:uid="{00000000-0005-0000-0000-0000DA0C0000}"/>
    <cellStyle name="M_ODB Consolidado_Port_Dez03(22_03_04)_Novos quadros - SBSA 3" xfId="1533" xr:uid="{00000000-0005-0000-0000-0000DB0C0000}"/>
    <cellStyle name="M_ODB Consolidado_Port_Dez03(22_03_04)_ODB_Quadros_ 8ª versão" xfId="1534" xr:uid="{00000000-0005-0000-0000-0000DC0C0000}"/>
    <cellStyle name="M_ODB Consolidado_Port_Dez03(22_03_04)_ODB_Quadros_ 8ª versão 2" xfId="1535" xr:uid="{00000000-0005-0000-0000-0000DD0C0000}"/>
    <cellStyle name="M_ODB Consolidado_Port_Dez03(22_03_04)_ODB_Quadros_ 8ª versão 2 2" xfId="1536" xr:uid="{00000000-0005-0000-0000-0000DE0C0000}"/>
    <cellStyle name="M_ODB Consolidado_Port_Dez03(22_03_04)_ODB_Quadros_ 8ª versão 3" xfId="1537" xr:uid="{00000000-0005-0000-0000-0000DF0C0000}"/>
    <cellStyle name="M_ODB Consolidado_Port_Dez03(22_03_04)_Quadros Relat PwC Jaguaribe dez08 e dez07 v1" xfId="1538" xr:uid="{00000000-0005-0000-0000-0000E00C0000}"/>
    <cellStyle name="M_ODB Consolidado_Port_Dez03(22_03_04)_Quadros Relat PwC Jaguaribe dez08 e dez07 v1 2" xfId="1539" xr:uid="{00000000-0005-0000-0000-0000E10C0000}"/>
    <cellStyle name="M_ODB Consolidado_Port_Dez03(22_03_04)_Quadros Relat PwC Jaguaribe dez08 e dez07 v1 2 2" xfId="1540" xr:uid="{00000000-0005-0000-0000-0000E20C0000}"/>
    <cellStyle name="M_ODB Consolidado_Port_Dez03(22_03_04)_Quadros Relat PwC Jaguaribe dez08 e dez07 v1 3" xfId="1541" xr:uid="{00000000-0005-0000-0000-0000E30C0000}"/>
    <cellStyle name="M_ODB Consolidado_Port_Dez03_Novos quadros - SBSA" xfId="1542" xr:uid="{00000000-0005-0000-0000-0000E40C0000}"/>
    <cellStyle name="M_ODB Consolidado_Port_Dez03_Novos quadros - SBSA 2" xfId="1543" xr:uid="{00000000-0005-0000-0000-0000E50C0000}"/>
    <cellStyle name="M_ODB Consolidado_Port_Dez03_Novos quadros - SBSA 2 2" xfId="1544" xr:uid="{00000000-0005-0000-0000-0000E60C0000}"/>
    <cellStyle name="M_ODB Consolidado_Port_Dez03_Novos quadros - SBSA 3" xfId="1545" xr:uid="{00000000-0005-0000-0000-0000E70C0000}"/>
    <cellStyle name="M_ODB Consolidado_Port_Dez03_ODB_Quadros_ 8ª versão" xfId="1546" xr:uid="{00000000-0005-0000-0000-0000E80C0000}"/>
    <cellStyle name="M_ODB Consolidado_Port_Dez03_ODB_Quadros_ 8ª versão 2" xfId="1547" xr:uid="{00000000-0005-0000-0000-0000E90C0000}"/>
    <cellStyle name="M_ODB Consolidado_Port_Dez03_ODB_Quadros_ 8ª versão 2 2" xfId="1548" xr:uid="{00000000-0005-0000-0000-0000EA0C0000}"/>
    <cellStyle name="M_ODB Consolidado_Port_Dez03_ODB_Quadros_ 8ª versão 3" xfId="1549" xr:uid="{00000000-0005-0000-0000-0000EB0C0000}"/>
    <cellStyle name="M_ODB Consolidado_Port_Dez03_Quadros Relat PwC Jaguaribe dez08 e dez07 v1" xfId="1550" xr:uid="{00000000-0005-0000-0000-0000EC0C0000}"/>
    <cellStyle name="M_ODB Consolidado_Port_Dez03_Quadros Relat PwC Jaguaribe dez08 e dez07 v1 2" xfId="1551" xr:uid="{00000000-0005-0000-0000-0000ED0C0000}"/>
    <cellStyle name="M_ODB Consolidado_Port_Dez03_Quadros Relat PwC Jaguaribe dez08 e dez07 v1 2 2" xfId="1552" xr:uid="{00000000-0005-0000-0000-0000EE0C0000}"/>
    <cellStyle name="M_ODB Consolidado_Port_Dez03_Quadros Relat PwC Jaguaribe dez08 e dez07 v1 3" xfId="1553" xr:uid="{00000000-0005-0000-0000-0000EF0C0000}"/>
    <cellStyle name="M_ODB_Quadros_ 8ª versão" xfId="1554" xr:uid="{00000000-0005-0000-0000-0000F00C0000}"/>
    <cellStyle name="M_ODB_Quadros_ 8ª versão 2" xfId="1555" xr:uid="{00000000-0005-0000-0000-0000F10C0000}"/>
    <cellStyle name="M_ODB_Quadros_ 8ª versão 2 2" xfId="1556" xr:uid="{00000000-0005-0000-0000-0000F20C0000}"/>
    <cellStyle name="M_ODB_Quadros_ 8ª versão 3" xfId="1557" xr:uid="{00000000-0005-0000-0000-0000F30C0000}"/>
    <cellStyle name="M_ODB_Quadros_ dez_07- 11 versão - final" xfId="1558" xr:uid="{00000000-0005-0000-0000-0000F40C0000}"/>
    <cellStyle name="M_ODB_Quadros_ dez_07- 11 versão - final 2" xfId="1559" xr:uid="{00000000-0005-0000-0000-0000F50C0000}"/>
    <cellStyle name="M_ODB_Quadros_ dez_07- 11 versão - final 2 2" xfId="1560" xr:uid="{00000000-0005-0000-0000-0000F60C0000}"/>
    <cellStyle name="M_ODB_Quadros_ dez_07- 11 versão - final 3" xfId="1561" xr:uid="{00000000-0005-0000-0000-0000F70C0000}"/>
    <cellStyle name="M_ODB_Quadros_ dez_07- 2 versão" xfId="1562" xr:uid="{00000000-0005-0000-0000-0000F80C0000}"/>
    <cellStyle name="M_ODB_Quadros_ dez_07- 2 versão 2" xfId="1563" xr:uid="{00000000-0005-0000-0000-0000F90C0000}"/>
    <cellStyle name="M_ODB_Quadros_ dez_07- 2 versão 2 2" xfId="1564" xr:uid="{00000000-0005-0000-0000-0000FA0C0000}"/>
    <cellStyle name="M_ODB_Quadros_ dez_07- 2 versão 3" xfId="1565" xr:uid="{00000000-0005-0000-0000-0000FB0C0000}"/>
    <cellStyle name="M_ODB_Quadros_ dez_07- 2 versão-bruno" xfId="1566" xr:uid="{00000000-0005-0000-0000-0000FC0C0000}"/>
    <cellStyle name="M_ODB_Quadros_ dez_07- 2 versão-bruno 2" xfId="1567" xr:uid="{00000000-0005-0000-0000-0000FD0C0000}"/>
    <cellStyle name="M_ODB_Quadros_ dez_07- 2 versão-bruno 2 2" xfId="1568" xr:uid="{00000000-0005-0000-0000-0000FE0C0000}"/>
    <cellStyle name="M_ODB_Quadros_ dez_07- 2 versão-bruno 3" xfId="1569" xr:uid="{00000000-0005-0000-0000-0000FF0C0000}"/>
    <cellStyle name="M_ODB_Quadros_ dez_07- 7 versão" xfId="1570" xr:uid="{00000000-0005-0000-0000-0000000D0000}"/>
    <cellStyle name="M_ODB_Quadros_ dez_07- 7 versão 2" xfId="1571" xr:uid="{00000000-0005-0000-0000-0000010D0000}"/>
    <cellStyle name="M_ODB_Quadros_ dez_07- 7 versão 2 2" xfId="1572" xr:uid="{00000000-0005-0000-0000-0000020D0000}"/>
    <cellStyle name="M_ODB_Quadros_ dez_07- 7 versão 3" xfId="1573" xr:uid="{00000000-0005-0000-0000-0000030D0000}"/>
    <cellStyle name="M_ODB_Quadros_ jun_07" xfId="1574" xr:uid="{00000000-0005-0000-0000-0000040D0000}"/>
    <cellStyle name="M_ODB_Quadros_ jun_07 2" xfId="1575" xr:uid="{00000000-0005-0000-0000-0000050D0000}"/>
    <cellStyle name="M_ODB_Quadros_ jun_07 2 2" xfId="1576" xr:uid="{00000000-0005-0000-0000-0000060D0000}"/>
    <cellStyle name="M_ODB_Quadros_ jun_07 3" xfId="1577" xr:uid="{00000000-0005-0000-0000-0000070D0000}"/>
    <cellStyle name="M_ODB_Quadros_ jun_07-Paty" xfId="1578" xr:uid="{00000000-0005-0000-0000-0000080D0000}"/>
    <cellStyle name="M_ODB_Quadros_ jun_07-Paty 2" xfId="1579" xr:uid="{00000000-0005-0000-0000-0000090D0000}"/>
    <cellStyle name="M_ODB_Quadros_ jun_07-Paty 2 2" xfId="1580" xr:uid="{00000000-0005-0000-0000-00000A0D0000}"/>
    <cellStyle name="M_ODB_Quadros_ jun_07-Paty 3" xfId="1581" xr:uid="{00000000-0005-0000-0000-00000B0D0000}"/>
    <cellStyle name="M_ODB_Quadros_1ª versão" xfId="1582" xr:uid="{00000000-0005-0000-0000-00000C0D0000}"/>
    <cellStyle name="M_ODB_Quadros_1ª versão 2" xfId="1583" xr:uid="{00000000-0005-0000-0000-00000D0D0000}"/>
    <cellStyle name="M_ODB_Quadros_1ª versão 2 2" xfId="1584" xr:uid="{00000000-0005-0000-0000-00000E0D0000}"/>
    <cellStyle name="M_ODB_Quadros_1ª versão 3" xfId="1585" xr:uid="{00000000-0005-0000-0000-00000F0D0000}"/>
    <cellStyle name="M_ODB_Quadros_6ª versão" xfId="1586" xr:uid="{00000000-0005-0000-0000-0000100D0000}"/>
    <cellStyle name="M_ODB_Quadros_6ª versão 2" xfId="1587" xr:uid="{00000000-0005-0000-0000-0000110D0000}"/>
    <cellStyle name="M_ODB_Quadros_6ª versão 2 2" xfId="1588" xr:uid="{00000000-0005-0000-0000-0000120D0000}"/>
    <cellStyle name="M_ODB_Quadros_6ª versão 3" xfId="1589" xr:uid="{00000000-0005-0000-0000-0000130D0000}"/>
    <cellStyle name="M_ODB_Quadros_v4 (3)" xfId="1590" xr:uid="{00000000-0005-0000-0000-0000140D0000}"/>
    <cellStyle name="M_ODB_Quadros_v4 (3) 2" xfId="1591" xr:uid="{00000000-0005-0000-0000-0000150D0000}"/>
    <cellStyle name="M_ODB_Quadros_v4 (3) 2 2" xfId="1592" xr:uid="{00000000-0005-0000-0000-0000160D0000}"/>
    <cellStyle name="M_ODB_Quadros_v4 (3) 3" xfId="1593" xr:uid="{00000000-0005-0000-0000-0000170D0000}"/>
    <cellStyle name="M_ODBConsolidado Relat2002 Port FINAL" xfId="1594" xr:uid="{00000000-0005-0000-0000-0000180D0000}"/>
    <cellStyle name="M_ODBConsolidado Relat2002 Port FINAL 2" xfId="1595" xr:uid="{00000000-0005-0000-0000-0000190D0000}"/>
    <cellStyle name="M_ODBConsolidado Relat2002 Port FINAL 2 2" xfId="1596" xr:uid="{00000000-0005-0000-0000-00001A0D0000}"/>
    <cellStyle name="M_ODBConsolidado Relat2002 Port FINAL 3" xfId="1597" xr:uid="{00000000-0005-0000-0000-00001B0D0000}"/>
    <cellStyle name="M_ODBConsolidado Relat2002 Port FINAL 4" xfId="1598" xr:uid="{00000000-0005-0000-0000-00001C0D0000}"/>
    <cellStyle name="M_ODBConsolidado Relat2002 Port FINAL_Novos quadros - SBSA" xfId="1599" xr:uid="{00000000-0005-0000-0000-00001D0D0000}"/>
    <cellStyle name="M_ODBConsolidado Relat2002 Port FINAL_Novos quadros - SBSA 2" xfId="1600" xr:uid="{00000000-0005-0000-0000-00001E0D0000}"/>
    <cellStyle name="M_ODBConsolidado Relat2002 Port FINAL_Novos quadros - SBSA 2 2" xfId="1601" xr:uid="{00000000-0005-0000-0000-00001F0D0000}"/>
    <cellStyle name="M_ODBConsolidado Relat2002 Port FINAL_Novos quadros - SBSA 3" xfId="1602" xr:uid="{00000000-0005-0000-0000-0000200D0000}"/>
    <cellStyle name="M_ODBConsolidado Relat2002 Port FINAL_ODB_Quadros_ 8ª versão" xfId="1603" xr:uid="{00000000-0005-0000-0000-0000210D0000}"/>
    <cellStyle name="M_ODBConsolidado Relat2002 Port FINAL_ODB_Quadros_ 8ª versão 2" xfId="1604" xr:uid="{00000000-0005-0000-0000-0000220D0000}"/>
    <cellStyle name="M_ODBConsolidado Relat2002 Port FINAL_ODB_Quadros_ 8ª versão 2 2" xfId="1605" xr:uid="{00000000-0005-0000-0000-0000230D0000}"/>
    <cellStyle name="M_ODBConsolidado Relat2002 Port FINAL_ODB_Quadros_ 8ª versão 3" xfId="1606" xr:uid="{00000000-0005-0000-0000-0000240D0000}"/>
    <cellStyle name="M_ODBConsolidado Relat2002 Port FINAL_Quadros Relat PwC Jaguaribe dez08 e dez07 v1" xfId="1607" xr:uid="{00000000-0005-0000-0000-0000250D0000}"/>
    <cellStyle name="M_ODBConsolidado Relat2002 Port FINAL_Quadros Relat PwC Jaguaribe dez08 e dez07 v1 2" xfId="1608" xr:uid="{00000000-0005-0000-0000-0000260D0000}"/>
    <cellStyle name="M_ODBConsolidado Relat2002 Port FINAL_Quadros Relat PwC Jaguaribe dez08 e dez07 v1 2 2" xfId="1609" xr:uid="{00000000-0005-0000-0000-0000270D0000}"/>
    <cellStyle name="M_ODBConsolidado Relat2002 Port FINAL_Quadros Relat PwC Jaguaribe dez08 e dez07 v1 3" xfId="1610" xr:uid="{00000000-0005-0000-0000-0000280D0000}"/>
    <cellStyle name="M_ODBPARINV_Consolidado_Quadros_ dez_06_23042007 com doar_final" xfId="1611" xr:uid="{00000000-0005-0000-0000-0000290D0000}"/>
    <cellStyle name="M_ODBPARINV_Consolidado_Quadros_ dez_06_23042007 com doar_final 2" xfId="1612" xr:uid="{00000000-0005-0000-0000-00002A0D0000}"/>
    <cellStyle name="M_ODBPARINV_Consolidado_Quadros_ dez_06_23042007 com doar_final 2 2" xfId="1613" xr:uid="{00000000-0005-0000-0000-00002B0D0000}"/>
    <cellStyle name="M_ODBPARINV_Consolidado_Quadros_ dez_06_23042007 com doar_final 3" xfId="1614" xr:uid="{00000000-0005-0000-0000-00002C0D0000}"/>
    <cellStyle name="M_ODBPARINV_Consolidado_Quadros_ dez_06_23042007 com doar_final 4" xfId="1615" xr:uid="{00000000-0005-0000-0000-00002D0D0000}"/>
    <cellStyle name="M_para Bruno" xfId="1616" xr:uid="{00000000-0005-0000-0000-00002E0D0000}"/>
    <cellStyle name="M_para Bruno 2" xfId="1617" xr:uid="{00000000-0005-0000-0000-00002F0D0000}"/>
    <cellStyle name="M_para Bruno 2 2" xfId="1618" xr:uid="{00000000-0005-0000-0000-0000300D0000}"/>
    <cellStyle name="M_para Bruno 2 2 2" xfId="1619" xr:uid="{00000000-0005-0000-0000-0000310D0000}"/>
    <cellStyle name="M_para Bruno 2 3" xfId="1620" xr:uid="{00000000-0005-0000-0000-0000320D0000}"/>
    <cellStyle name="M_para Bruno 2 4" xfId="1621" xr:uid="{00000000-0005-0000-0000-0000330D0000}"/>
    <cellStyle name="M_para Bruno 2_Novos quadros - SBSA" xfId="1622" xr:uid="{00000000-0005-0000-0000-0000340D0000}"/>
    <cellStyle name="M_para Bruno 2_Novos quadros - SBSA 2" xfId="1623" xr:uid="{00000000-0005-0000-0000-0000350D0000}"/>
    <cellStyle name="M_para Bruno 2_Novos quadros - SBSA 2 2" xfId="1624" xr:uid="{00000000-0005-0000-0000-0000360D0000}"/>
    <cellStyle name="M_para Bruno 2_Novos quadros - SBSA 3" xfId="1625" xr:uid="{00000000-0005-0000-0000-0000370D0000}"/>
    <cellStyle name="M_para Bruno 2_ODB_Quadros_ 8ª versão" xfId="1626" xr:uid="{00000000-0005-0000-0000-0000380D0000}"/>
    <cellStyle name="M_para Bruno 2_ODB_Quadros_ 8ª versão 2" xfId="1627" xr:uid="{00000000-0005-0000-0000-0000390D0000}"/>
    <cellStyle name="M_para Bruno 2_ODB_Quadros_ 8ª versão 2 2" xfId="1628" xr:uid="{00000000-0005-0000-0000-00003A0D0000}"/>
    <cellStyle name="M_para Bruno 2_ODB_Quadros_ 8ª versão 3" xfId="1629" xr:uid="{00000000-0005-0000-0000-00003B0D0000}"/>
    <cellStyle name="M_para Bruno 2_Quadros Relat PwC Jaguaribe dez08 e dez07 v1" xfId="1630" xr:uid="{00000000-0005-0000-0000-00003C0D0000}"/>
    <cellStyle name="M_para Bruno 2_Quadros Relat PwC Jaguaribe dez08 e dez07 v1 2" xfId="1631" xr:uid="{00000000-0005-0000-0000-00003D0D0000}"/>
    <cellStyle name="M_para Bruno 2_Quadros Relat PwC Jaguaribe dez08 e dez07 v1 2 2" xfId="1632" xr:uid="{00000000-0005-0000-0000-00003E0D0000}"/>
    <cellStyle name="M_para Bruno 2_Quadros Relat PwC Jaguaribe dez08 e dez07 v1 3" xfId="1633" xr:uid="{00000000-0005-0000-0000-00003F0D0000}"/>
    <cellStyle name="M_para Bruno 3" xfId="1634" xr:uid="{00000000-0005-0000-0000-0000400D0000}"/>
    <cellStyle name="M_para Bruno 3 2" xfId="1635" xr:uid="{00000000-0005-0000-0000-0000410D0000}"/>
    <cellStyle name="M_para Bruno 4" xfId="1636" xr:uid="{00000000-0005-0000-0000-0000420D0000}"/>
    <cellStyle name="M_para Bruno 5" xfId="1637" xr:uid="{00000000-0005-0000-0000-0000430D0000}"/>
    <cellStyle name="M_para Bruno_Novos quadros - SBSA" xfId="1638" xr:uid="{00000000-0005-0000-0000-0000440D0000}"/>
    <cellStyle name="M_para Bruno_Novos quadros - SBSA 2" xfId="1639" xr:uid="{00000000-0005-0000-0000-0000450D0000}"/>
    <cellStyle name="M_para Bruno_Novos quadros - SBSA 2 2" xfId="1640" xr:uid="{00000000-0005-0000-0000-0000460D0000}"/>
    <cellStyle name="M_para Bruno_Novos quadros - SBSA 3" xfId="1641" xr:uid="{00000000-0005-0000-0000-0000470D0000}"/>
    <cellStyle name="M_para Bruno_ODB_Quadros_ 8ª versão" xfId="1642" xr:uid="{00000000-0005-0000-0000-0000480D0000}"/>
    <cellStyle name="M_para Bruno_ODB_Quadros_ 8ª versão 2" xfId="1643" xr:uid="{00000000-0005-0000-0000-0000490D0000}"/>
    <cellStyle name="M_para Bruno_ODB_Quadros_ 8ª versão 2 2" xfId="1644" xr:uid="{00000000-0005-0000-0000-00004A0D0000}"/>
    <cellStyle name="M_para Bruno_ODB_Quadros_ 8ª versão 3" xfId="1645" xr:uid="{00000000-0005-0000-0000-00004B0D0000}"/>
    <cellStyle name="M_para Bruno_Quadros Relat PwC Jaguaribe dez08 e dez07 v1" xfId="1646" xr:uid="{00000000-0005-0000-0000-00004C0D0000}"/>
    <cellStyle name="M_para Bruno_Quadros Relat PwC Jaguaribe dez08 e dez07 v1 2" xfId="1647" xr:uid="{00000000-0005-0000-0000-00004D0D0000}"/>
    <cellStyle name="M_para Bruno_Quadros Relat PwC Jaguaribe dez08 e dez07 v1 2 2" xfId="1648" xr:uid="{00000000-0005-0000-0000-00004E0D0000}"/>
    <cellStyle name="M_para Bruno_Quadros Relat PwC Jaguaribe dez08 e dez07 v1 3" xfId="1649" xr:uid="{00000000-0005-0000-0000-00004F0D0000}"/>
    <cellStyle name="M_para Bruno1" xfId="1650" xr:uid="{00000000-0005-0000-0000-0000500D0000}"/>
    <cellStyle name="M_para Bruno1 2" xfId="1651" xr:uid="{00000000-0005-0000-0000-0000510D0000}"/>
    <cellStyle name="M_para Bruno1 2 2" xfId="1652" xr:uid="{00000000-0005-0000-0000-0000520D0000}"/>
    <cellStyle name="M_para Bruno1 3" xfId="1653" xr:uid="{00000000-0005-0000-0000-0000530D0000}"/>
    <cellStyle name="M_para Bruno1 4" xfId="1654" xr:uid="{00000000-0005-0000-0000-0000540D0000}"/>
    <cellStyle name="M_para Bruno1_Novos quadros - SBSA" xfId="1655" xr:uid="{00000000-0005-0000-0000-0000550D0000}"/>
    <cellStyle name="M_para Bruno1_Novos quadros - SBSA 2" xfId="1656" xr:uid="{00000000-0005-0000-0000-0000560D0000}"/>
    <cellStyle name="M_para Bruno1_Novos quadros - SBSA 2 2" xfId="1657" xr:uid="{00000000-0005-0000-0000-0000570D0000}"/>
    <cellStyle name="M_para Bruno1_Novos quadros - SBSA 3" xfId="1658" xr:uid="{00000000-0005-0000-0000-0000580D0000}"/>
    <cellStyle name="M_para Bruno1_ODB_Quadros_ 8ª versão" xfId="1659" xr:uid="{00000000-0005-0000-0000-0000590D0000}"/>
    <cellStyle name="M_para Bruno1_ODB_Quadros_ 8ª versão 2" xfId="1660" xr:uid="{00000000-0005-0000-0000-00005A0D0000}"/>
    <cellStyle name="M_para Bruno1_ODB_Quadros_ 8ª versão 2 2" xfId="1661" xr:uid="{00000000-0005-0000-0000-00005B0D0000}"/>
    <cellStyle name="M_para Bruno1_ODB_Quadros_ 8ª versão 3" xfId="1662" xr:uid="{00000000-0005-0000-0000-00005C0D0000}"/>
    <cellStyle name="M_para Bruno1_Quadros Relat PwC Jaguaribe dez08 e dez07 v1" xfId="1663" xr:uid="{00000000-0005-0000-0000-00005D0D0000}"/>
    <cellStyle name="M_para Bruno1_Quadros Relat PwC Jaguaribe dez08 e dez07 v1 2" xfId="1664" xr:uid="{00000000-0005-0000-0000-00005E0D0000}"/>
    <cellStyle name="M_para Bruno1_Quadros Relat PwC Jaguaribe dez08 e dez07 v1 2 2" xfId="1665" xr:uid="{00000000-0005-0000-0000-00005F0D0000}"/>
    <cellStyle name="M_para Bruno1_Quadros Relat PwC Jaguaribe dez08 e dez07 v1 3" xfId="1666" xr:uid="{00000000-0005-0000-0000-0000600D0000}"/>
    <cellStyle name="M_Partes relac Consl " xfId="1667" xr:uid="{00000000-0005-0000-0000-0000610D0000}"/>
    <cellStyle name="M_Partes relac Consl  2" xfId="1668" xr:uid="{00000000-0005-0000-0000-0000620D0000}"/>
    <cellStyle name="M_Partes relac Consl  2 2" xfId="1669" xr:uid="{00000000-0005-0000-0000-0000630D0000}"/>
    <cellStyle name="M_Partes relac Consl  3" xfId="1670" xr:uid="{00000000-0005-0000-0000-0000640D0000}"/>
    <cellStyle name="M_Participação ODB" xfId="1671" xr:uid="{00000000-0005-0000-0000-0000650D0000}"/>
    <cellStyle name="M_Participação ODB 2" xfId="1672" xr:uid="{00000000-0005-0000-0000-0000660D0000}"/>
    <cellStyle name="M_Participação ODB 2 2" xfId="1673" xr:uid="{00000000-0005-0000-0000-0000670D0000}"/>
    <cellStyle name="M_Participação ODB 3" xfId="1674" xr:uid="{00000000-0005-0000-0000-0000680D0000}"/>
    <cellStyle name="M_pendencia braskem" xfId="1675" xr:uid="{00000000-0005-0000-0000-0000690D0000}"/>
    <cellStyle name="M_pendencia braskem 2" xfId="1676" xr:uid="{00000000-0005-0000-0000-00006A0D0000}"/>
    <cellStyle name="M_pendencia braskem 2 2" xfId="1677" xr:uid="{00000000-0005-0000-0000-00006B0D0000}"/>
    <cellStyle name="M_pendencia braskem 3" xfId="1678" xr:uid="{00000000-0005-0000-0000-00006C0D0000}"/>
    <cellStyle name="M_pendencia braskem 4" xfId="1679" xr:uid="{00000000-0005-0000-0000-00006D0D0000}"/>
    <cellStyle name="M_pendencia braskem_Novos quadros - SBSA" xfId="1680" xr:uid="{00000000-0005-0000-0000-00006E0D0000}"/>
    <cellStyle name="M_pendencia braskem_Novos quadros - SBSA 2" xfId="1681" xr:uid="{00000000-0005-0000-0000-00006F0D0000}"/>
    <cellStyle name="M_pendencia braskem_Novos quadros - SBSA 2 2" xfId="1682" xr:uid="{00000000-0005-0000-0000-0000700D0000}"/>
    <cellStyle name="M_pendencia braskem_Novos quadros - SBSA 3" xfId="1683" xr:uid="{00000000-0005-0000-0000-0000710D0000}"/>
    <cellStyle name="M_pendencia braskem_ODB_Quadros_ 8ª versão" xfId="1684" xr:uid="{00000000-0005-0000-0000-0000720D0000}"/>
    <cellStyle name="M_pendencia braskem_ODB_Quadros_ 8ª versão 2" xfId="1685" xr:uid="{00000000-0005-0000-0000-0000730D0000}"/>
    <cellStyle name="M_pendencia braskem_ODB_Quadros_ 8ª versão 2 2" xfId="1686" xr:uid="{00000000-0005-0000-0000-0000740D0000}"/>
    <cellStyle name="M_pendencia braskem_ODB_Quadros_ 8ª versão 3" xfId="1687" xr:uid="{00000000-0005-0000-0000-0000750D0000}"/>
    <cellStyle name="M_pendencia braskem_Quadros Relat PwC Jaguaribe dez08 e dez07 v1" xfId="1688" xr:uid="{00000000-0005-0000-0000-0000760D0000}"/>
    <cellStyle name="M_pendencia braskem_Quadros Relat PwC Jaguaribe dez08 e dez07 v1 2" xfId="1689" xr:uid="{00000000-0005-0000-0000-0000770D0000}"/>
    <cellStyle name="M_pendencia braskem_Quadros Relat PwC Jaguaribe dez08 e dez07 v1 2 2" xfId="1690" xr:uid="{00000000-0005-0000-0000-0000780D0000}"/>
    <cellStyle name="M_pendencia braskem_Quadros Relat PwC Jaguaribe dez08 e dez07 v1 3" xfId="1691" xr:uid="{00000000-0005-0000-0000-0000790D0000}"/>
    <cellStyle name="M_Petroflex_Valuation 09_novos invest" xfId="1692" xr:uid="{00000000-0005-0000-0000-00007A0D0000}"/>
    <cellStyle name="M_Petroflex_Valuation 09_novos invest 2" xfId="1693" xr:uid="{00000000-0005-0000-0000-00007B0D0000}"/>
    <cellStyle name="M_Petroflex_Valuation 09_novos invest 3" xfId="1694" xr:uid="{00000000-0005-0000-0000-00007C0D0000}"/>
    <cellStyle name="M_Petroflex_Valuation 09_novos invest 4" xfId="1695" xr:uid="{00000000-0005-0000-0000-00007D0D0000}"/>
    <cellStyle name="M_Petroflex_Valuation 09_novos invest_Consolidado Angola_Mineração_Com_2007" xfId="1696" xr:uid="{00000000-0005-0000-0000-00007E0D0000}"/>
    <cellStyle name="M_Petroflex_Valuation 09_novos invest_Consolidado Angola_Mineração_Com_2007 2" xfId="1697" xr:uid="{00000000-0005-0000-0000-00007F0D0000}"/>
    <cellStyle name="M_Petroflex_Valuation 09_novos invest_Consolidado Angola_Mineração_Com_2007 3" xfId="1698" xr:uid="{00000000-0005-0000-0000-0000800D0000}"/>
    <cellStyle name="M_Petroflex_Valuation 09_novos invest_Consolidado Angola_Mineração_Com_2007 4" xfId="1699" xr:uid="{00000000-0005-0000-0000-0000810D0000}"/>
    <cellStyle name="M_Petroflex_Valuation 09_novos invest_Consolidado Angola_Mineração_SDM" xfId="1700" xr:uid="{00000000-0005-0000-0000-0000820D0000}"/>
    <cellStyle name="M_Petroflex_Valuation 09_novos invest_Consolidado Angola_Mineração_SDM 2" xfId="1701" xr:uid="{00000000-0005-0000-0000-0000830D0000}"/>
    <cellStyle name="M_Petroflex_Valuation 09_novos invest_Consolidado Angola_Mineração_SDM 3" xfId="1702" xr:uid="{00000000-0005-0000-0000-0000840D0000}"/>
    <cellStyle name="M_Petroflex_Valuation 09_novos invest_Consolidado Angola_Mineração_SDM 4" xfId="1703" xr:uid="{00000000-0005-0000-0000-0000850D0000}"/>
    <cellStyle name="M_Petroflex_Valuation 09_novos invest_Consolidado Angola_Outros" xfId="1704" xr:uid="{00000000-0005-0000-0000-0000860D0000}"/>
    <cellStyle name="M_Petroflex_Valuation 09_novos invest_Consolidado Angola_Outros 2" xfId="1705" xr:uid="{00000000-0005-0000-0000-0000870D0000}"/>
    <cellStyle name="M_Petroflex_Valuation 09_novos invest_Consolidado Angola_Outros 3" xfId="1706" xr:uid="{00000000-0005-0000-0000-0000880D0000}"/>
    <cellStyle name="M_Petroflex_Valuation 09_novos invest_Consolidado Angola_Outros 4" xfId="1707" xr:uid="{00000000-0005-0000-0000-0000890D0000}"/>
    <cellStyle name="M_Petroflex_Valuation 09_novos invest_Consolidado Angola_Outros_com_2007" xfId="1708" xr:uid="{00000000-0005-0000-0000-00008A0D0000}"/>
    <cellStyle name="M_Petroflex_Valuation 09_novos invest_Consolidado Angola_Outros_com_2007 2" xfId="1709" xr:uid="{00000000-0005-0000-0000-00008B0D0000}"/>
    <cellStyle name="M_Petroflex_Valuation 09_novos invest_Consolidado Angola_Outros_com_2007 3" xfId="1710" xr:uid="{00000000-0005-0000-0000-00008C0D0000}"/>
    <cellStyle name="M_Petroflex_Valuation 09_novos invest_Consolidado Angola_Outros_com_2007 4" xfId="1711" xr:uid="{00000000-0005-0000-0000-00008D0D0000}"/>
    <cellStyle name="M_Petroflex_Valuation 09_novos invest_Mascara Relatorio 2008 - Cópia" xfId="1712" xr:uid="{00000000-0005-0000-0000-00008E0D0000}"/>
    <cellStyle name="M_Petroflex_Valuation 09_novos invest_Mascara Relatorio 2008 - Cópia 2" xfId="1713" xr:uid="{00000000-0005-0000-0000-00008F0D0000}"/>
    <cellStyle name="M_Petroflex_Valuation 09_novos invest_Mascara Relatorio 2008 - Cópia 3" xfId="1714" xr:uid="{00000000-0005-0000-0000-0000900D0000}"/>
    <cellStyle name="M_Petroflex_Valuation 09_novos invest_Mascara Relatorio 2008 - Cópia 4" xfId="1715" xr:uid="{00000000-0005-0000-0000-0000910D0000}"/>
    <cellStyle name="M_Polibrasil_LP" xfId="1716" xr:uid="{00000000-0005-0000-0000-0000920D0000}"/>
    <cellStyle name="M_Polibrasil_LP 2" xfId="1717" xr:uid="{00000000-0005-0000-0000-0000930D0000}"/>
    <cellStyle name="M_Polibrasil_LP 3" xfId="1718" xr:uid="{00000000-0005-0000-0000-0000940D0000}"/>
    <cellStyle name="M_Polibrasil_LP 4" xfId="1719" xr:uid="{00000000-0005-0000-0000-0000950D0000}"/>
    <cellStyle name="M_Polibrasil_LP_Consolidado Angola_Mineração_Com_2007" xfId="1720" xr:uid="{00000000-0005-0000-0000-0000960D0000}"/>
    <cellStyle name="M_Polibrasil_LP_Consolidado Angola_Mineração_Com_2007 2" xfId="1721" xr:uid="{00000000-0005-0000-0000-0000970D0000}"/>
    <cellStyle name="M_Polibrasil_LP_Consolidado Angola_Mineração_Com_2007 3" xfId="1722" xr:uid="{00000000-0005-0000-0000-0000980D0000}"/>
    <cellStyle name="M_Polibrasil_LP_Consolidado Angola_Mineração_Com_2007 4" xfId="1723" xr:uid="{00000000-0005-0000-0000-0000990D0000}"/>
    <cellStyle name="M_Polibrasil_LP_Consolidado Angola_Mineração_SDM" xfId="1724" xr:uid="{00000000-0005-0000-0000-00009A0D0000}"/>
    <cellStyle name="M_Polibrasil_LP_Consolidado Angola_Mineração_SDM 2" xfId="1725" xr:uid="{00000000-0005-0000-0000-00009B0D0000}"/>
    <cellStyle name="M_Polibrasil_LP_Consolidado Angola_Mineração_SDM 3" xfId="1726" xr:uid="{00000000-0005-0000-0000-00009C0D0000}"/>
    <cellStyle name="M_Polibrasil_LP_Consolidado Angola_Mineração_SDM 4" xfId="1727" xr:uid="{00000000-0005-0000-0000-00009D0D0000}"/>
    <cellStyle name="M_Polibrasil_LP_Consolidado Angola_Outros" xfId="1728" xr:uid="{00000000-0005-0000-0000-00009E0D0000}"/>
    <cellStyle name="M_Polibrasil_LP_Consolidado Angola_Outros 2" xfId="1729" xr:uid="{00000000-0005-0000-0000-00009F0D0000}"/>
    <cellStyle name="M_Polibrasil_LP_Consolidado Angola_Outros 3" xfId="1730" xr:uid="{00000000-0005-0000-0000-0000A00D0000}"/>
    <cellStyle name="M_Polibrasil_LP_Consolidado Angola_Outros 4" xfId="1731" xr:uid="{00000000-0005-0000-0000-0000A10D0000}"/>
    <cellStyle name="M_Polibrasil_LP_Consolidado Angola_Outros_com_2007" xfId="1732" xr:uid="{00000000-0005-0000-0000-0000A20D0000}"/>
    <cellStyle name="M_Polibrasil_LP_Consolidado Angola_Outros_com_2007 2" xfId="1733" xr:uid="{00000000-0005-0000-0000-0000A30D0000}"/>
    <cellStyle name="M_Polibrasil_LP_Consolidado Angola_Outros_com_2007 3" xfId="1734" xr:uid="{00000000-0005-0000-0000-0000A40D0000}"/>
    <cellStyle name="M_Polibrasil_LP_Consolidado Angola_Outros_com_2007 4" xfId="1735" xr:uid="{00000000-0005-0000-0000-0000A50D0000}"/>
    <cellStyle name="M_Polibrasil_LP_Mascara Relatorio 2008 - Cópia" xfId="1736" xr:uid="{00000000-0005-0000-0000-0000A60D0000}"/>
    <cellStyle name="M_Polibrasil_LP_Mascara Relatorio 2008 - Cópia 2" xfId="1737" xr:uid="{00000000-0005-0000-0000-0000A70D0000}"/>
    <cellStyle name="M_Polibrasil_LP_Mascara Relatorio 2008 - Cópia 3" xfId="1738" xr:uid="{00000000-0005-0000-0000-0000A80D0000}"/>
    <cellStyle name="M_Polibrasil_LP_Mascara Relatorio 2008 - Cópia 4" xfId="1739" xr:uid="{00000000-0005-0000-0000-0000A90D0000}"/>
    <cellStyle name="M_quadros - OEA v3" xfId="1740" xr:uid="{00000000-0005-0000-0000-0000AA0D0000}"/>
    <cellStyle name="M_quadros - OEA v3 2" xfId="1741" xr:uid="{00000000-0005-0000-0000-0000AB0D0000}"/>
    <cellStyle name="M_quadros - OEA v3 2 2" xfId="1742" xr:uid="{00000000-0005-0000-0000-0000AC0D0000}"/>
    <cellStyle name="M_quadros - OEA v3 3" xfId="1743" xr:uid="{00000000-0005-0000-0000-0000AD0D0000}"/>
    <cellStyle name="M_quadros - OEA v4" xfId="1744" xr:uid="{00000000-0005-0000-0000-0000AE0D0000}"/>
    <cellStyle name="M_quadros - OEA v4 2" xfId="1745" xr:uid="{00000000-0005-0000-0000-0000AF0D0000}"/>
    <cellStyle name="M_quadros - OEA v4 2 2" xfId="1746" xr:uid="{00000000-0005-0000-0000-0000B00D0000}"/>
    <cellStyle name="M_quadros - OEA v4 3" xfId="1747" xr:uid="{00000000-0005-0000-0000-0000B10D0000}"/>
    <cellStyle name="M_quadros acessórios" xfId="1748" xr:uid="{00000000-0005-0000-0000-0000B20D0000}"/>
    <cellStyle name="M_quadros acessórios 2" xfId="1749" xr:uid="{00000000-0005-0000-0000-0000B30D0000}"/>
    <cellStyle name="M_quadros acessórios 2 2" xfId="1750" xr:uid="{00000000-0005-0000-0000-0000B40D0000}"/>
    <cellStyle name="M_quadros acessórios 3" xfId="1751" xr:uid="{00000000-0005-0000-0000-0000B50D0000}"/>
    <cellStyle name="M_quadros acessórios 4" xfId="1752" xr:uid="{00000000-0005-0000-0000-0000B60D0000}"/>
    <cellStyle name="M_quadros acessórios_Novos quadros - SBSA" xfId="1753" xr:uid="{00000000-0005-0000-0000-0000B70D0000}"/>
    <cellStyle name="M_quadros acessórios_Novos quadros - SBSA 2" xfId="1754" xr:uid="{00000000-0005-0000-0000-0000B80D0000}"/>
    <cellStyle name="M_quadros acessórios_Novos quadros - SBSA 2 2" xfId="1755" xr:uid="{00000000-0005-0000-0000-0000B90D0000}"/>
    <cellStyle name="M_quadros acessórios_Novos quadros - SBSA 3" xfId="1756" xr:uid="{00000000-0005-0000-0000-0000BA0D0000}"/>
    <cellStyle name="M_quadros acessórios_ODB_Quadros_ 8ª versão" xfId="1757" xr:uid="{00000000-0005-0000-0000-0000BB0D0000}"/>
    <cellStyle name="M_quadros acessórios_ODB_Quadros_ 8ª versão 2" xfId="1758" xr:uid="{00000000-0005-0000-0000-0000BC0D0000}"/>
    <cellStyle name="M_quadros acessórios_ODB_Quadros_ 8ª versão 2 2" xfId="1759" xr:uid="{00000000-0005-0000-0000-0000BD0D0000}"/>
    <cellStyle name="M_quadros acessórios_ODB_Quadros_ 8ª versão 3" xfId="1760" xr:uid="{00000000-0005-0000-0000-0000BE0D0000}"/>
    <cellStyle name="M_quadros acessórios_Quadros Relat PwC Jaguaribe dez08 e dez07 v1" xfId="1761" xr:uid="{00000000-0005-0000-0000-0000BF0D0000}"/>
    <cellStyle name="M_quadros acessórios_Quadros Relat PwC Jaguaribe dez08 e dez07 v1 2" xfId="1762" xr:uid="{00000000-0005-0000-0000-0000C00D0000}"/>
    <cellStyle name="M_quadros acessórios_Quadros Relat PwC Jaguaribe dez08 e dez07 v1 2 2" xfId="1763" xr:uid="{00000000-0005-0000-0000-0000C10D0000}"/>
    <cellStyle name="M_quadros acessórios_Quadros Relat PwC Jaguaribe dez08 e dez07 v1 3" xfId="1764" xr:uid="{00000000-0005-0000-0000-0000C20D0000}"/>
    <cellStyle name="M_quadros OII Consolidado_ dez07_portugues" xfId="1765" xr:uid="{00000000-0005-0000-0000-0000C30D0000}"/>
    <cellStyle name="M_quadros OII Consolidado_ dez07_portugues 2" xfId="1766" xr:uid="{00000000-0005-0000-0000-0000C40D0000}"/>
    <cellStyle name="M_quadros OII Consolidado_ dez07_portugues 2 2" xfId="1767" xr:uid="{00000000-0005-0000-0000-0000C50D0000}"/>
    <cellStyle name="M_quadros OII Consolidado_ dez07_portugues 3" xfId="1768" xr:uid="{00000000-0005-0000-0000-0000C60D0000}"/>
    <cellStyle name="M_quadros OII Consolidado_ dez07_portugues 4" xfId="1769" xr:uid="{00000000-0005-0000-0000-0000C70D0000}"/>
    <cellStyle name="M_quadros OII Consolidado_ dez07_portugues_ATUAL" xfId="1770" xr:uid="{00000000-0005-0000-0000-0000C80D0000}"/>
    <cellStyle name="M_quadros OII Consolidado_ dez07_portugues_ATUAL 2" xfId="1771" xr:uid="{00000000-0005-0000-0000-0000C90D0000}"/>
    <cellStyle name="M_quadros OII Consolidado_ dez07_portugues_ATUAL 2 2" xfId="1772" xr:uid="{00000000-0005-0000-0000-0000CA0D0000}"/>
    <cellStyle name="M_quadros OII Consolidado_ dez07_portugues_ATUAL 3" xfId="1773" xr:uid="{00000000-0005-0000-0000-0000CB0D0000}"/>
    <cellStyle name="M_quadros OII Consolidado_ dez07_portugues_ATUAL 4" xfId="1774" xr:uid="{00000000-0005-0000-0000-0000CC0D0000}"/>
    <cellStyle name="M_quadros OII Consolidado_ jun07_portugues" xfId="1775" xr:uid="{00000000-0005-0000-0000-0000CD0D0000}"/>
    <cellStyle name="M_quadros OII Consolidado_ jun07_portugues 2" xfId="1776" xr:uid="{00000000-0005-0000-0000-0000CE0D0000}"/>
    <cellStyle name="M_quadros OII Consolidado_ jun07_portugues 2 2" xfId="1777" xr:uid="{00000000-0005-0000-0000-0000CF0D0000}"/>
    <cellStyle name="M_quadros OII Consolidado_ jun07_portugues 3" xfId="1778" xr:uid="{00000000-0005-0000-0000-0000D00D0000}"/>
    <cellStyle name="M_quadros OII Consolidado_ jun07_portugues 4" xfId="1779" xr:uid="{00000000-0005-0000-0000-0000D10D0000}"/>
    <cellStyle name="M_quadros OII Consolidado_ jun07_portugues_Novos quadros - SBSA" xfId="1780" xr:uid="{00000000-0005-0000-0000-0000D20D0000}"/>
    <cellStyle name="M_quadros OII Consolidado_ jun07_portugues_Novos quadros - SBSA 2" xfId="1781" xr:uid="{00000000-0005-0000-0000-0000D30D0000}"/>
    <cellStyle name="M_quadros OII Consolidado_ jun07_portugues_Novos quadros - SBSA 2 2" xfId="1782" xr:uid="{00000000-0005-0000-0000-0000D40D0000}"/>
    <cellStyle name="M_quadros OII Consolidado_ jun07_portugues_Novos quadros - SBSA 3" xfId="1783" xr:uid="{00000000-0005-0000-0000-0000D50D0000}"/>
    <cellStyle name="M_quadros OII Consolidado_ jun07_portugues_ODB_Quadros_ 8ª versão" xfId="1784" xr:uid="{00000000-0005-0000-0000-0000D60D0000}"/>
    <cellStyle name="M_quadros OII Consolidado_ jun07_portugues_ODB_Quadros_ 8ª versão 2" xfId="1785" xr:uid="{00000000-0005-0000-0000-0000D70D0000}"/>
    <cellStyle name="M_quadros OII Consolidado_ jun07_portugues_ODB_Quadros_ 8ª versão 2 2" xfId="1786" xr:uid="{00000000-0005-0000-0000-0000D80D0000}"/>
    <cellStyle name="M_quadros OII Consolidado_ jun07_portugues_ODB_Quadros_ 8ª versão 3" xfId="1787" xr:uid="{00000000-0005-0000-0000-0000D90D0000}"/>
    <cellStyle name="M_quadros OII Consolidado_ jun07_portugues_Quadros Relat PwC Jaguaribe dez08 e dez07 v1" xfId="1788" xr:uid="{00000000-0005-0000-0000-0000DA0D0000}"/>
    <cellStyle name="M_quadros OII Consolidado_ jun07_portugues_Quadros Relat PwC Jaguaribe dez08 e dez07 v1 2" xfId="1789" xr:uid="{00000000-0005-0000-0000-0000DB0D0000}"/>
    <cellStyle name="M_quadros OII Consolidado_ jun07_portugues_Quadros Relat PwC Jaguaribe dez08 e dez07 v1 2 2" xfId="1790" xr:uid="{00000000-0005-0000-0000-0000DC0D0000}"/>
    <cellStyle name="M_quadros OII Consolidado_ jun07_portugues_Quadros Relat PwC Jaguaribe dez08 e dez07 v1 3" xfId="1791" xr:uid="{00000000-0005-0000-0000-0000DD0D0000}"/>
    <cellStyle name="M_Quadros Relat PwC Jaguaribe dez08 e dez07 v1" xfId="1792" xr:uid="{00000000-0005-0000-0000-0000DE0D0000}"/>
    <cellStyle name="M_Quadros Relat PwC Jaguaribe dez08 e dez07 v1 2" xfId="1793" xr:uid="{00000000-0005-0000-0000-0000DF0D0000}"/>
    <cellStyle name="M_Quadros Relat PwC Jaguaribe dez08 e dez07 v1 2 2" xfId="1794" xr:uid="{00000000-0005-0000-0000-0000E00D0000}"/>
    <cellStyle name="M_Quadros Relat PwC Jaguaribe dez08 e dez07 v1 3" xfId="1795" xr:uid="{00000000-0005-0000-0000-0000E10D0000}"/>
    <cellStyle name="M_Quadros Relat PwC OEA Portugues dez08" xfId="1796" xr:uid="{00000000-0005-0000-0000-0000E20D0000}"/>
    <cellStyle name="M_Quadros Relat PwC OEA Portugues dez08 2" xfId="1797" xr:uid="{00000000-0005-0000-0000-0000E30D0000}"/>
    <cellStyle name="M_Quadros Relat PwC OEA Portugues dez08 2 2" xfId="1798" xr:uid="{00000000-0005-0000-0000-0000E40D0000}"/>
    <cellStyle name="M_Quadros Relat PwC OEA Portugues dez08 3" xfId="1799" xr:uid="{00000000-0005-0000-0000-0000E50D0000}"/>
    <cellStyle name="M_Quadros Relat PwC OII Portugues dez08 e dez07 v5" xfId="1800" xr:uid="{00000000-0005-0000-0000-0000E60D0000}"/>
    <cellStyle name="M_Quadros Relat PwC OII Portugues dez08 e dez07 v5 2" xfId="1801" xr:uid="{00000000-0005-0000-0000-0000E70D0000}"/>
    <cellStyle name="M_Quadros Relat PwC OII Portugues dez08 e dez07 v5 2 2" xfId="1802" xr:uid="{00000000-0005-0000-0000-0000E80D0000}"/>
    <cellStyle name="M_Quadros Relat PwC OII Portugues dez08 e dez07 v5 3" xfId="1803" xr:uid="{00000000-0005-0000-0000-0000E90D0000}"/>
    <cellStyle name="M_Quadros Relat PWC OII Portugues jun07" xfId="1804" xr:uid="{00000000-0005-0000-0000-0000EA0D0000}"/>
    <cellStyle name="M_Quadros Relat PWC OII Portugues jun07 2" xfId="1805" xr:uid="{00000000-0005-0000-0000-0000EB0D0000}"/>
    <cellStyle name="M_Quadros Relat PWC OII Portugues jun07 2 2" xfId="1806" xr:uid="{00000000-0005-0000-0000-0000EC0D0000}"/>
    <cellStyle name="M_Quadros Relat PWC OII Portugues jun07 3" xfId="1807" xr:uid="{00000000-0005-0000-0000-0000ED0D0000}"/>
    <cellStyle name="M_Quadros Relat PWC OII Portugues jun07 4" xfId="1808" xr:uid="{00000000-0005-0000-0000-0000EE0D0000}"/>
    <cellStyle name="M_Quadros Relat PWC OII Portugues jun07_Novos quadros - SBSA" xfId="1809" xr:uid="{00000000-0005-0000-0000-0000EF0D0000}"/>
    <cellStyle name="M_Quadros Relat PWC OII Portugues jun07_Novos quadros - SBSA 2" xfId="1810" xr:uid="{00000000-0005-0000-0000-0000F00D0000}"/>
    <cellStyle name="M_Quadros Relat PWC OII Portugues jun07_Novos quadros - SBSA 2 2" xfId="1811" xr:uid="{00000000-0005-0000-0000-0000F10D0000}"/>
    <cellStyle name="M_Quadros Relat PWC OII Portugues jun07_Novos quadros - SBSA 3" xfId="1812" xr:uid="{00000000-0005-0000-0000-0000F20D0000}"/>
    <cellStyle name="M_Quadros Relat PWC OII Portugues jun07_ODB_Quadros_ 8ª versão" xfId="1813" xr:uid="{00000000-0005-0000-0000-0000F30D0000}"/>
    <cellStyle name="M_Quadros Relat PWC OII Portugues jun07_ODB_Quadros_ 8ª versão 2" xfId="1814" xr:uid="{00000000-0005-0000-0000-0000F40D0000}"/>
    <cellStyle name="M_Quadros Relat PWC OII Portugues jun07_ODB_Quadros_ 8ª versão 2 2" xfId="1815" xr:uid="{00000000-0005-0000-0000-0000F50D0000}"/>
    <cellStyle name="M_Quadros Relat PWC OII Portugues jun07_ODB_Quadros_ 8ª versão 3" xfId="1816" xr:uid="{00000000-0005-0000-0000-0000F60D0000}"/>
    <cellStyle name="M_Quadros Relat PWC OII Portugues jun07_Quadros Relat PwC Jaguaribe dez08 e dez07 v1" xfId="1817" xr:uid="{00000000-0005-0000-0000-0000F70D0000}"/>
    <cellStyle name="M_Quadros Relat PWC OII Portugues jun07_Quadros Relat PwC Jaguaribe dez08 e dez07 v1 2" xfId="1818" xr:uid="{00000000-0005-0000-0000-0000F80D0000}"/>
    <cellStyle name="M_Quadros Relat PWC OII Portugues jun07_Quadros Relat PwC Jaguaribe dez08 e dez07 v1 2 2" xfId="1819" xr:uid="{00000000-0005-0000-0000-0000F90D0000}"/>
    <cellStyle name="M_Quadros Relat PWC OII Portugues jun07_Quadros Relat PwC Jaguaribe dez08 e dez07 v1 3" xfId="1820" xr:uid="{00000000-0005-0000-0000-0000FA0D0000}"/>
    <cellStyle name="M_Quadros Relat PWC OII Portugues jun07-4" xfId="1821" xr:uid="{00000000-0005-0000-0000-0000FB0D0000}"/>
    <cellStyle name="M_Quadros Relat PWC OII Portugues jun07-4 2" xfId="1822" xr:uid="{00000000-0005-0000-0000-0000FC0D0000}"/>
    <cellStyle name="M_Quadros Relat PWC OII Portugues jun07-4 2 2" xfId="1823" xr:uid="{00000000-0005-0000-0000-0000FD0D0000}"/>
    <cellStyle name="M_Quadros Relat PWC OII Portugues jun07-4 3" xfId="1824" xr:uid="{00000000-0005-0000-0000-0000FE0D0000}"/>
    <cellStyle name="M_Quadros Relat PWC OII Portugues jun07-4 4" xfId="1825" xr:uid="{00000000-0005-0000-0000-0000FF0D0000}"/>
    <cellStyle name="M_Quadros Relat PwC OII Portugues jun08" xfId="1826" xr:uid="{00000000-0005-0000-0000-0000000E0000}"/>
    <cellStyle name="M_Quadros Relat PwC OII Portugues jun08 2" xfId="1827" xr:uid="{00000000-0005-0000-0000-0000010E0000}"/>
    <cellStyle name="M_Quadros Relat PwC OII Portugues jun08 2 2" xfId="1828" xr:uid="{00000000-0005-0000-0000-0000020E0000}"/>
    <cellStyle name="M_Quadros Relat PwC OII Portugues jun08 3" xfId="1829" xr:uid="{00000000-0005-0000-0000-0000030E0000}"/>
    <cellStyle name="M_Quadros Relat PwC OII Portugues jun08 e dez07" xfId="1830" xr:uid="{00000000-0005-0000-0000-0000040E0000}"/>
    <cellStyle name="M_Quadros Relat PwC OII Portugues jun08 e dez07 2" xfId="1831" xr:uid="{00000000-0005-0000-0000-0000050E0000}"/>
    <cellStyle name="M_Quadros Relat PwC OII Portugues jun08 e dez07 2 2" xfId="1832" xr:uid="{00000000-0005-0000-0000-0000060E0000}"/>
    <cellStyle name="M_Quadros Relat PwC OII Portugues jun08 e dez07 3" xfId="1833" xr:uid="{00000000-0005-0000-0000-0000070E0000}"/>
    <cellStyle name="M_Quadros Relat PwC OII Portugues jun08 e dez07_Quadros Relat PwC Jaguaribe dez08 e dez07 v1" xfId="1834" xr:uid="{00000000-0005-0000-0000-0000080E0000}"/>
    <cellStyle name="M_Quadros Relat PwC OII Portugues jun08 e dez07_Quadros Relat PwC Jaguaribe dez08 e dez07 v1 2" xfId="1835" xr:uid="{00000000-0005-0000-0000-0000090E0000}"/>
    <cellStyle name="M_Quadros Relat PwC OII Portugues jun08 e dez07_Quadros Relat PwC Jaguaribe dez08 e dez07 v1 2 2" xfId="1836" xr:uid="{00000000-0005-0000-0000-00000A0E0000}"/>
    <cellStyle name="M_Quadros Relat PwC OII Portugues jun08 e dez07_Quadros Relat PwC Jaguaribe dez08 e dez07 v1 3" xfId="1837" xr:uid="{00000000-0005-0000-0000-00000B0E0000}"/>
    <cellStyle name="M_Quadros Relat PwC OII Portugues jun08_Quadros Relat PwC Jaguaribe dez08 e dez07 v1" xfId="1838" xr:uid="{00000000-0005-0000-0000-00000C0E0000}"/>
    <cellStyle name="M_Quadros Relat PwC OII Portugues jun08_Quadros Relat PwC Jaguaribe dez08 e dez07 v1 2" xfId="1839" xr:uid="{00000000-0005-0000-0000-00000D0E0000}"/>
    <cellStyle name="M_Quadros Relat PwC OII Portugues jun08_Quadros Relat PwC Jaguaribe dez08 e dez07 v1 2 2" xfId="1840" xr:uid="{00000000-0005-0000-0000-00000E0E0000}"/>
    <cellStyle name="M_Quadros Relat PwC OII Portugues jun08_Quadros Relat PwC Jaguaribe dez08 e dez07 v1 3" xfId="1841" xr:uid="{00000000-0005-0000-0000-00000F0E0000}"/>
    <cellStyle name="M_Quadros Relat PWC OII Portugues out07-3º versão (Odb)" xfId="1842" xr:uid="{00000000-0005-0000-0000-0000100E0000}"/>
    <cellStyle name="M_Quadros Relat PWC OII Portugues out07-3º versão (Odb) 2" xfId="1843" xr:uid="{00000000-0005-0000-0000-0000110E0000}"/>
    <cellStyle name="M_Quadros Relat PWC OII Portugues out07-3º versão (Odb) 2 2" xfId="1844" xr:uid="{00000000-0005-0000-0000-0000120E0000}"/>
    <cellStyle name="M_Quadros Relat PWC OII Portugues out07-3º versão (Odb) 3" xfId="1845" xr:uid="{00000000-0005-0000-0000-0000130E0000}"/>
    <cellStyle name="M_Quadros Relat PWC OII Portugues out07-3º versão (Odb) 4" xfId="1846" xr:uid="{00000000-0005-0000-0000-0000140E0000}"/>
    <cellStyle name="M_Quadros SB " xfId="1847" xr:uid="{00000000-0005-0000-0000-0000150E0000}"/>
    <cellStyle name="M_Quadros SB  2" xfId="1848" xr:uid="{00000000-0005-0000-0000-0000160E0000}"/>
    <cellStyle name="M_Quadros SB  2 2" xfId="1849" xr:uid="{00000000-0005-0000-0000-0000170E0000}"/>
    <cellStyle name="M_Quadros SB  3" xfId="1850" xr:uid="{00000000-0005-0000-0000-0000180E0000}"/>
    <cellStyle name="M_Quadros SB 2v" xfId="1851" xr:uid="{00000000-0005-0000-0000-0000190E0000}"/>
    <cellStyle name="M_Quadros SB 2v 2" xfId="1852" xr:uid="{00000000-0005-0000-0000-00001A0E0000}"/>
    <cellStyle name="M_Quadros SB 2v 2 2" xfId="1853" xr:uid="{00000000-0005-0000-0000-00001B0E0000}"/>
    <cellStyle name="M_Quadros SB 2v 3" xfId="1854" xr:uid="{00000000-0005-0000-0000-00001C0E0000}"/>
    <cellStyle name="M_Rio Claro_Quadros-dez09" xfId="1855" xr:uid="{00000000-0005-0000-0000-00001D0E0000}"/>
    <cellStyle name="M_Rio Claro_Quadros-dez09 2" xfId="1856" xr:uid="{00000000-0005-0000-0000-00001E0E0000}"/>
    <cellStyle name="M_Venc_Financ" xfId="1857" xr:uid="{00000000-0005-0000-0000-00001F0E0000}"/>
    <cellStyle name="M_Venc_Financ 2" xfId="1858" xr:uid="{00000000-0005-0000-0000-0000200E0000}"/>
    <cellStyle name="M_Venc_Financ 2 2" xfId="1859" xr:uid="{00000000-0005-0000-0000-0000210E0000}"/>
    <cellStyle name="M_Venc_Financ 3" xfId="1860" xr:uid="{00000000-0005-0000-0000-0000220E0000}"/>
    <cellStyle name="M_WACC IPQ e CPS - Jan 05" xfId="1861" xr:uid="{00000000-0005-0000-0000-0000230E0000}"/>
    <cellStyle name="M_WACC IPQ e CPS - Jan 05 2" xfId="1862" xr:uid="{00000000-0005-0000-0000-0000240E0000}"/>
    <cellStyle name="M_WACC IPQ e CPS - Jan 05 3" xfId="1863" xr:uid="{00000000-0005-0000-0000-0000250E0000}"/>
    <cellStyle name="M_WACC IPQ e CPS - Jan 05 4" xfId="1864" xr:uid="{00000000-0005-0000-0000-0000260E0000}"/>
    <cellStyle name="M_WACC IPQ e CPS - Jan 05_Consolidado Angola_Mineração_Com_2007" xfId="1865" xr:uid="{00000000-0005-0000-0000-0000270E0000}"/>
    <cellStyle name="M_WACC IPQ e CPS - Jan 05_Consolidado Angola_Mineração_Com_2007 2" xfId="1866" xr:uid="{00000000-0005-0000-0000-0000280E0000}"/>
    <cellStyle name="M_WACC IPQ e CPS - Jan 05_Consolidado Angola_Mineração_Com_2007 3" xfId="1867" xr:uid="{00000000-0005-0000-0000-0000290E0000}"/>
    <cellStyle name="M_WACC IPQ e CPS - Jan 05_Consolidado Angola_Mineração_Com_2007 4" xfId="1868" xr:uid="{00000000-0005-0000-0000-00002A0E0000}"/>
    <cellStyle name="M_WACC IPQ e CPS - Jan 05_Consolidado Angola_Outros_com_2007" xfId="1869" xr:uid="{00000000-0005-0000-0000-00002B0E0000}"/>
    <cellStyle name="M_WACC IPQ e CPS - Jan 05_Consolidado Angola_Outros_com_2007 2" xfId="1870" xr:uid="{00000000-0005-0000-0000-00002C0E0000}"/>
    <cellStyle name="M_WACC IPQ e CPS - Jan 05_Consolidado Angola_Outros_com_2007 3" xfId="1871" xr:uid="{00000000-0005-0000-0000-00002D0E0000}"/>
    <cellStyle name="M_WACC IPQ e CPS - Jan 05_Consolidado Angola_Outros_com_2007 4" xfId="1872" xr:uid="{00000000-0005-0000-0000-00002E0E0000}"/>
    <cellStyle name="M_WACC IPQ e CPS - Jan 05_Mascara Relatorio 2008 - Cópia" xfId="1873" xr:uid="{00000000-0005-0000-0000-00002F0E0000}"/>
    <cellStyle name="M_WACC IPQ e CPS - Jan 05_Mascara Relatorio 2008 - Cópia 2" xfId="1874" xr:uid="{00000000-0005-0000-0000-0000300E0000}"/>
    <cellStyle name="M_WACC IPQ e CPS - Jan 05_Mascara Relatorio 2008 - Cópia 3" xfId="1875" xr:uid="{00000000-0005-0000-0000-0000310E0000}"/>
    <cellStyle name="M_WACC IPQ e CPS - Jan 05_Mascara Relatorio 2008 - Cópia 4" xfId="1876" xr:uid="{00000000-0005-0000-0000-0000320E0000}"/>
    <cellStyle name="MACRO" xfId="1877" xr:uid="{00000000-0005-0000-0000-0000330E0000}"/>
    <cellStyle name="Millares [0]_DDA FEB" xfId="13885" xr:uid="{BB89C7A1-F61D-4666-9E03-9A929AF8BDF3}"/>
    <cellStyle name="Millares_DDA FEB" xfId="13886" xr:uid="{FB6B9C98-9835-4F23-89AB-BFA9FBCEA980}"/>
    <cellStyle name="MLComma0" xfId="1878" xr:uid="{00000000-0005-0000-0000-0000350E0000}"/>
    <cellStyle name="MLMultiple0" xfId="1879" xr:uid="{00000000-0005-0000-0000-0000360E0000}"/>
    <cellStyle name="MLPercent0" xfId="1880" xr:uid="{00000000-0005-0000-0000-0000370E0000}"/>
    <cellStyle name="Moeda 2" xfId="1881" xr:uid="{00000000-0005-0000-0000-0000380E0000}"/>
    <cellStyle name="Moeda 2 10" xfId="5564" xr:uid="{00000000-0005-0000-0000-0000390E0000}"/>
    <cellStyle name="Moeda 2 11" xfId="5523" xr:uid="{00000000-0005-0000-0000-00003A0E0000}"/>
    <cellStyle name="Moeda 2 12" xfId="5566" xr:uid="{00000000-0005-0000-0000-00003B0E0000}"/>
    <cellStyle name="Moeda 2 13" xfId="5521" xr:uid="{00000000-0005-0000-0000-00003C0E0000}"/>
    <cellStyle name="Moeda 2 14" xfId="5569" xr:uid="{00000000-0005-0000-0000-00003D0E0000}"/>
    <cellStyle name="Moeda 2 15" xfId="5725" xr:uid="{00000000-0005-0000-0000-00003E0E0000}"/>
    <cellStyle name="Moeda 2 16" xfId="7413" xr:uid="{00000000-0005-0000-0000-00003F0E0000}"/>
    <cellStyle name="Moeda 2 16 2" xfId="16230" xr:uid="{8BBF7EC8-A316-4C28-90CA-C7DBC9F77A94}"/>
    <cellStyle name="Moeda 2 2" xfId="1882" xr:uid="{00000000-0005-0000-0000-0000400E0000}"/>
    <cellStyle name="Moeda 2 2 2" xfId="5081" xr:uid="{00000000-0005-0000-0000-0000410E0000}"/>
    <cellStyle name="Moeda 2 3" xfId="1883" xr:uid="{00000000-0005-0000-0000-0000420E0000}"/>
    <cellStyle name="Moeda 2 3 2" xfId="5290" xr:uid="{00000000-0005-0000-0000-0000430E0000}"/>
    <cellStyle name="Moeda 2 4" xfId="1884" xr:uid="{00000000-0005-0000-0000-0000440E0000}"/>
    <cellStyle name="Moeda 2 4 2" xfId="5248" xr:uid="{00000000-0005-0000-0000-0000450E0000}"/>
    <cellStyle name="Moeda 2 5" xfId="4902" xr:uid="{00000000-0005-0000-0000-0000460E0000}"/>
    <cellStyle name="Moeda 2 5 2" xfId="5298" xr:uid="{00000000-0005-0000-0000-0000470E0000}"/>
    <cellStyle name="Moeda 2 5 2 2" xfId="10444" xr:uid="{00000000-0005-0000-0000-0000480E0000}"/>
    <cellStyle name="Moeda 2 5 2 2 2" xfId="19250" xr:uid="{2CD3A7D1-7A59-4DC8-83E6-313E01BAE5B9}"/>
    <cellStyle name="Moeda 2 5 3" xfId="9030" xr:uid="{00000000-0005-0000-0000-0000490E0000}"/>
    <cellStyle name="Moeda 2 5 3 2" xfId="17836" xr:uid="{106A9552-D04C-4831-B413-7EF813C6C215}"/>
    <cellStyle name="Moeda 2 5 4" xfId="12235" xr:uid="{00000000-0005-0000-0000-00004A0E0000}"/>
    <cellStyle name="Moeda 2 5 4 2" xfId="20976" xr:uid="{CE467575-DBB0-44BF-9FC1-4C845409BB3A}"/>
    <cellStyle name="Moeda 2 5 5" xfId="13844" xr:uid="{00000000-0005-0000-0000-00004B0E0000}"/>
    <cellStyle name="Moeda 2 5 5 2" xfId="22577" xr:uid="{98F095AD-E9CF-4299-B02D-A36C37DB2FDA}"/>
    <cellStyle name="Moeda 2 5 6" xfId="16093" xr:uid="{6402BDD3-26CF-4C04-B878-2D75D7D11F4F}"/>
    <cellStyle name="Moeda 2 6" xfId="5240" xr:uid="{00000000-0005-0000-0000-00004C0E0000}"/>
    <cellStyle name="Moeda 2 6 2" xfId="7439" xr:uid="{00000000-0005-0000-0000-00004D0E0000}"/>
    <cellStyle name="Moeda 2 7" xfId="5302" xr:uid="{00000000-0005-0000-0000-00004E0E0000}"/>
    <cellStyle name="Moeda 2 8" xfId="5237" xr:uid="{00000000-0005-0000-0000-00004F0E0000}"/>
    <cellStyle name="Moeda 2 9" xfId="5305" xr:uid="{00000000-0005-0000-0000-0000500E0000}"/>
    <cellStyle name="Moeda 3" xfId="1885" xr:uid="{00000000-0005-0000-0000-0000510E0000}"/>
    <cellStyle name="Moeda Z0]_Módulo1" xfId="1886" xr:uid="{00000000-0005-0000-0000-0000520E0000}"/>
    <cellStyle name="Moneda [0]_DDA FEB" xfId="13887" xr:uid="{62A5DCC3-6AF1-4F19-9E4D-F3DC37006DD9}"/>
    <cellStyle name="Moneda_DDA FEB" xfId="13888" xr:uid="{8BD9F29E-6CD7-45F1-879E-2AFBF1738C54}"/>
    <cellStyle name="movimentação" xfId="1887" xr:uid="{00000000-0005-0000-0000-0000530E0000}"/>
    <cellStyle name="movimentação 2" xfId="7440" xr:uid="{00000000-0005-0000-0000-0000540E0000}"/>
    <cellStyle name="Multiple" xfId="5082" xr:uid="{00000000-0005-0000-0000-0000550E0000}"/>
    <cellStyle name="MultipleBelow" xfId="5083" xr:uid="{00000000-0005-0000-0000-0000560E0000}"/>
    <cellStyle name="NA is zero" xfId="1888" xr:uid="{00000000-0005-0000-0000-0000570E0000}"/>
    <cellStyle name="Neutra" xfId="79" xr:uid="{00000000-0005-0000-0000-0000580E0000}"/>
    <cellStyle name="Neutra 10" xfId="5565" xr:uid="{00000000-0005-0000-0000-0000590E0000}"/>
    <cellStyle name="Neutra 11" xfId="5522" xr:uid="{00000000-0005-0000-0000-00005A0E0000}"/>
    <cellStyle name="Neutra 12" xfId="5567" xr:uid="{00000000-0005-0000-0000-00005B0E0000}"/>
    <cellStyle name="Neutra 13" xfId="5520" xr:uid="{00000000-0005-0000-0000-00005C0E0000}"/>
    <cellStyle name="Neutra 14" xfId="5570" xr:uid="{00000000-0005-0000-0000-00005D0E0000}"/>
    <cellStyle name="Neutra 15" xfId="5726" xr:uid="{00000000-0005-0000-0000-00005E0E0000}"/>
    <cellStyle name="Neutra 16" xfId="5708" xr:uid="{00000000-0005-0000-0000-00005F0E0000}"/>
    <cellStyle name="Neutra 2" xfId="5084" xr:uid="{00000000-0005-0000-0000-0000600E0000}"/>
    <cellStyle name="Neutra 2 2" xfId="6891" xr:uid="{00000000-0005-0000-0000-0000610E0000}"/>
    <cellStyle name="Neutra 2 2 2" xfId="6892" xr:uid="{00000000-0005-0000-0000-0000620E0000}"/>
    <cellStyle name="Neutra 2 2 2 2" xfId="6893" xr:uid="{00000000-0005-0000-0000-0000630E0000}"/>
    <cellStyle name="Neutra 2 2 2 2 2" xfId="6894" xr:uid="{00000000-0005-0000-0000-0000640E0000}"/>
    <cellStyle name="Neutra 2 2 2 2 2 2" xfId="6895" xr:uid="{00000000-0005-0000-0000-0000650E0000}"/>
    <cellStyle name="Neutra 2 2 2 2 2 2 2" xfId="6896" xr:uid="{00000000-0005-0000-0000-0000660E0000}"/>
    <cellStyle name="Neutra 2 2 2 2 2 2 2 2" xfId="6897" xr:uid="{00000000-0005-0000-0000-0000670E0000}"/>
    <cellStyle name="Neutra 2 2 2 2 2 2 3" xfId="6898" xr:uid="{00000000-0005-0000-0000-0000680E0000}"/>
    <cellStyle name="Neutra 2 2 2 2 2 3" xfId="6899" xr:uid="{00000000-0005-0000-0000-0000690E0000}"/>
    <cellStyle name="Neutra 2 2 2 2 2 3 2" xfId="6900" xr:uid="{00000000-0005-0000-0000-00006A0E0000}"/>
    <cellStyle name="Neutra 2 2 2 2 3" xfId="6901" xr:uid="{00000000-0005-0000-0000-00006B0E0000}"/>
    <cellStyle name="Neutra 2 2 2 2 3 2" xfId="6902" xr:uid="{00000000-0005-0000-0000-00006C0E0000}"/>
    <cellStyle name="Neutra 2 2 2 3" xfId="6903" xr:uid="{00000000-0005-0000-0000-00006D0E0000}"/>
    <cellStyle name="Neutra 2 2 2 4" xfId="6904" xr:uid="{00000000-0005-0000-0000-00006E0E0000}"/>
    <cellStyle name="Neutra 2 2 2 4 2" xfId="6905" xr:uid="{00000000-0005-0000-0000-00006F0E0000}"/>
    <cellStyle name="Neutra 2 2 3" xfId="6906" xr:uid="{00000000-0005-0000-0000-0000700E0000}"/>
    <cellStyle name="Neutra 2 2 4" xfId="6907" xr:uid="{00000000-0005-0000-0000-0000710E0000}"/>
    <cellStyle name="Neutra 2 2 4 2" xfId="6908" xr:uid="{00000000-0005-0000-0000-0000720E0000}"/>
    <cellStyle name="Neutra 2 3" xfId="6909" xr:uid="{00000000-0005-0000-0000-0000730E0000}"/>
    <cellStyle name="Neutra 2 4" xfId="6910" xr:uid="{00000000-0005-0000-0000-0000740E0000}"/>
    <cellStyle name="Neutra 2 5" xfId="6911" xr:uid="{00000000-0005-0000-0000-0000750E0000}"/>
    <cellStyle name="Neutra 2 6" xfId="6912" xr:uid="{00000000-0005-0000-0000-0000760E0000}"/>
    <cellStyle name="Neutra 2 6 2" xfId="6913" xr:uid="{00000000-0005-0000-0000-0000770E0000}"/>
    <cellStyle name="Neutra 2 7" xfId="6890" xr:uid="{00000000-0005-0000-0000-0000780E0000}"/>
    <cellStyle name="Neutra 3" xfId="5294" xr:uid="{00000000-0005-0000-0000-0000790E0000}"/>
    <cellStyle name="Neutra 3 2" xfId="6915" xr:uid="{00000000-0005-0000-0000-00007A0E0000}"/>
    <cellStyle name="Neutra 3 3" xfId="6916" xr:uid="{00000000-0005-0000-0000-00007B0E0000}"/>
    <cellStyle name="Neutra 3 4" xfId="6917" xr:uid="{00000000-0005-0000-0000-00007C0E0000}"/>
    <cellStyle name="Neutra 3 5" xfId="6914" xr:uid="{00000000-0005-0000-0000-00007D0E0000}"/>
    <cellStyle name="Neutra 4" xfId="5244" xr:uid="{00000000-0005-0000-0000-00007E0E0000}"/>
    <cellStyle name="Neutra 4 2" xfId="6919" xr:uid="{00000000-0005-0000-0000-00007F0E0000}"/>
    <cellStyle name="Neutra 4 3" xfId="6920" xr:uid="{00000000-0005-0000-0000-0000800E0000}"/>
    <cellStyle name="Neutra 4 4" xfId="6918" xr:uid="{00000000-0005-0000-0000-0000810E0000}"/>
    <cellStyle name="Neutra 5" xfId="5300" xr:uid="{00000000-0005-0000-0000-0000820E0000}"/>
    <cellStyle name="Neutra 5 2" xfId="6922" xr:uid="{00000000-0005-0000-0000-0000830E0000}"/>
    <cellStyle name="Neutra 5 3" xfId="6921" xr:uid="{00000000-0005-0000-0000-0000840E0000}"/>
    <cellStyle name="Neutra 6" xfId="5239" xr:uid="{00000000-0005-0000-0000-0000850E0000}"/>
    <cellStyle name="Neutra 6 2" xfId="6924" xr:uid="{00000000-0005-0000-0000-0000860E0000}"/>
    <cellStyle name="Neutra 6 3" xfId="7364" xr:uid="{00000000-0005-0000-0000-0000870E0000}"/>
    <cellStyle name="Neutra 6 4" xfId="6923" xr:uid="{00000000-0005-0000-0000-0000880E0000}"/>
    <cellStyle name="Neutra 7" xfId="5303" xr:uid="{00000000-0005-0000-0000-0000890E0000}"/>
    <cellStyle name="Neutra 7 2" xfId="7365" xr:uid="{00000000-0005-0000-0000-00008A0E0000}"/>
    <cellStyle name="Neutra 7 3" xfId="6925" xr:uid="{00000000-0005-0000-0000-00008B0E0000}"/>
    <cellStyle name="Neutra 8" xfId="5236" xr:uid="{00000000-0005-0000-0000-00008C0E0000}"/>
    <cellStyle name="Neutra 9" xfId="5306" xr:uid="{00000000-0005-0000-0000-00008D0E0000}"/>
    <cellStyle name="Neutral 2" xfId="80" xr:uid="{00000000-0005-0000-0000-00008E0E0000}"/>
    <cellStyle name="Neutro 2" xfId="5774" xr:uid="{00000000-0005-0000-0000-00008F0E0000}"/>
    <cellStyle name="no dec" xfId="1889" xr:uid="{00000000-0005-0000-0000-0000900E0000}"/>
    <cellStyle name="Nº Padrão" xfId="1890" xr:uid="{00000000-0005-0000-0000-0000910E0000}"/>
    <cellStyle name="Nº Padrão 10" xfId="1891" xr:uid="{00000000-0005-0000-0000-0000920E0000}"/>
    <cellStyle name="Nº Padrão 11" xfId="1892" xr:uid="{00000000-0005-0000-0000-0000930E0000}"/>
    <cellStyle name="Nº Padrão 12" xfId="1893" xr:uid="{00000000-0005-0000-0000-0000940E0000}"/>
    <cellStyle name="Nº Padrão 13" xfId="1894" xr:uid="{00000000-0005-0000-0000-0000950E0000}"/>
    <cellStyle name="Nº Padrão 14" xfId="1895" xr:uid="{00000000-0005-0000-0000-0000960E0000}"/>
    <cellStyle name="Nº Padrão 15" xfId="1896" xr:uid="{00000000-0005-0000-0000-0000970E0000}"/>
    <cellStyle name="Nº Padrão 16" xfId="1897" xr:uid="{00000000-0005-0000-0000-0000980E0000}"/>
    <cellStyle name="Nº Padrão 17" xfId="1898" xr:uid="{00000000-0005-0000-0000-0000990E0000}"/>
    <cellStyle name="Nº Padrão 18" xfId="1899" xr:uid="{00000000-0005-0000-0000-00009A0E0000}"/>
    <cellStyle name="Nº Padrão 19" xfId="1900" xr:uid="{00000000-0005-0000-0000-00009B0E0000}"/>
    <cellStyle name="Nº Padrão 2" xfId="1901" xr:uid="{00000000-0005-0000-0000-00009C0E0000}"/>
    <cellStyle name="Nº Padrão 20" xfId="1902" xr:uid="{00000000-0005-0000-0000-00009D0E0000}"/>
    <cellStyle name="Nº Padrão 21" xfId="1903" xr:uid="{00000000-0005-0000-0000-00009E0E0000}"/>
    <cellStyle name="Nº Padrão 22" xfId="1904" xr:uid="{00000000-0005-0000-0000-00009F0E0000}"/>
    <cellStyle name="Nº Padrão 23" xfId="1905" xr:uid="{00000000-0005-0000-0000-0000A00E0000}"/>
    <cellStyle name="Nº Padrão 24" xfId="1906" xr:uid="{00000000-0005-0000-0000-0000A10E0000}"/>
    <cellStyle name="Nº Padrão 25" xfId="1907" xr:uid="{00000000-0005-0000-0000-0000A20E0000}"/>
    <cellStyle name="Nº Padrão 26" xfId="1908" xr:uid="{00000000-0005-0000-0000-0000A30E0000}"/>
    <cellStyle name="Nº Padrão 27" xfId="1909" xr:uid="{00000000-0005-0000-0000-0000A40E0000}"/>
    <cellStyle name="Nº Padrão 28" xfId="1910" xr:uid="{00000000-0005-0000-0000-0000A50E0000}"/>
    <cellStyle name="Nº Padrão 29" xfId="1911" xr:uid="{00000000-0005-0000-0000-0000A60E0000}"/>
    <cellStyle name="Nº Padrão 3" xfId="1912" xr:uid="{00000000-0005-0000-0000-0000A70E0000}"/>
    <cellStyle name="Nº Padrão 30" xfId="1913" xr:uid="{00000000-0005-0000-0000-0000A80E0000}"/>
    <cellStyle name="Nº Padrão 31" xfId="1914" xr:uid="{00000000-0005-0000-0000-0000A90E0000}"/>
    <cellStyle name="Nº Padrão 32" xfId="1915" xr:uid="{00000000-0005-0000-0000-0000AA0E0000}"/>
    <cellStyle name="Nº Padrão 33" xfId="1916" xr:uid="{00000000-0005-0000-0000-0000AB0E0000}"/>
    <cellStyle name="Nº Padrão 34" xfId="1917" xr:uid="{00000000-0005-0000-0000-0000AC0E0000}"/>
    <cellStyle name="Nº Padrão 35" xfId="1918" xr:uid="{00000000-0005-0000-0000-0000AD0E0000}"/>
    <cellStyle name="Nº Padrão 36" xfId="1919" xr:uid="{00000000-0005-0000-0000-0000AE0E0000}"/>
    <cellStyle name="Nº Padrão 37" xfId="1920" xr:uid="{00000000-0005-0000-0000-0000AF0E0000}"/>
    <cellStyle name="Nº Padrão 38" xfId="1921" xr:uid="{00000000-0005-0000-0000-0000B00E0000}"/>
    <cellStyle name="Nº Padrão 39" xfId="1922" xr:uid="{00000000-0005-0000-0000-0000B10E0000}"/>
    <cellStyle name="Nº Padrão 4" xfId="1923" xr:uid="{00000000-0005-0000-0000-0000B20E0000}"/>
    <cellStyle name="Nº Padrão 40" xfId="1924" xr:uid="{00000000-0005-0000-0000-0000B30E0000}"/>
    <cellStyle name="Nº Padrão 5" xfId="1925" xr:uid="{00000000-0005-0000-0000-0000B40E0000}"/>
    <cellStyle name="Nº Padrão 6" xfId="1926" xr:uid="{00000000-0005-0000-0000-0000B50E0000}"/>
    <cellStyle name="Nº Padrão 7" xfId="1927" xr:uid="{00000000-0005-0000-0000-0000B60E0000}"/>
    <cellStyle name="Nº Padrão 8" xfId="1928" xr:uid="{00000000-0005-0000-0000-0000B70E0000}"/>
    <cellStyle name="Nº Padrão 9" xfId="1929" xr:uid="{00000000-0005-0000-0000-0000B80E0000}"/>
    <cellStyle name="No-definido" xfId="1930" xr:uid="{00000000-0005-0000-0000-0000B90E0000}"/>
    <cellStyle name="Nomral" xfId="1931" xr:uid="{00000000-0005-0000-0000-0000BA0E0000}"/>
    <cellStyle name="Normal" xfId="0" builtinId="0"/>
    <cellStyle name="Normal - Style1" xfId="147" xr:uid="{00000000-0005-0000-0000-0000BC0E0000}"/>
    <cellStyle name="Normal - Style1 2" xfId="1933" xr:uid="{00000000-0005-0000-0000-0000BD0E0000}"/>
    <cellStyle name="Normal - Style1 3" xfId="4910" xr:uid="{00000000-0005-0000-0000-0000BE0E0000}"/>
    <cellStyle name="Normal - Style1 4" xfId="1932" xr:uid="{00000000-0005-0000-0000-0000BF0E0000}"/>
    <cellStyle name="Normal [0]" xfId="1934" xr:uid="{00000000-0005-0000-0000-0000C00E0000}"/>
    <cellStyle name="Normal [1]" xfId="1935" xr:uid="{00000000-0005-0000-0000-0000C10E0000}"/>
    <cellStyle name="Normal [2]" xfId="1936" xr:uid="{00000000-0005-0000-0000-0000C20E0000}"/>
    <cellStyle name="Normal [3]" xfId="1937" xr:uid="{00000000-0005-0000-0000-0000C30E0000}"/>
    <cellStyle name="Normal 10" xfId="138" xr:uid="{00000000-0005-0000-0000-0000C40E0000}"/>
    <cellStyle name="Normal 10 10" xfId="12262" xr:uid="{00000000-0005-0000-0000-0000C50E0000}"/>
    <cellStyle name="Normal 10 10 2" xfId="20998" xr:uid="{9C16E4BB-CCA1-4802-8804-9745440CBE54}"/>
    <cellStyle name="Normal 10 11" xfId="13963" xr:uid="{23976F42-9B6F-4A07-9B48-013CC836CA0C}"/>
    <cellStyle name="Normal 10 2" xfId="171" xr:uid="{00000000-0005-0000-0000-0000C60E0000}"/>
    <cellStyle name="Normal 10 2 2" xfId="1939" xr:uid="{00000000-0005-0000-0000-0000C70E0000}"/>
    <cellStyle name="Normal 10 2 7" xfId="146" xr:uid="{00000000-0005-0000-0000-0000C80E0000}"/>
    <cellStyle name="Normal 10 3" xfId="1940" xr:uid="{00000000-0005-0000-0000-0000C90E0000}"/>
    <cellStyle name="Normal 10 4" xfId="1941" xr:uid="{00000000-0005-0000-0000-0000CA0E0000}"/>
    <cellStyle name="Normal 10 5" xfId="1938" xr:uid="{00000000-0005-0000-0000-0000CB0E0000}"/>
    <cellStyle name="Normal 10 5 2" xfId="9045" xr:uid="{00000000-0005-0000-0000-0000CC0E0000}"/>
    <cellStyle name="Normal 10 5 2 2" xfId="17851" xr:uid="{158AE22D-9814-459D-BB10-2ADD61660328}"/>
    <cellStyle name="Normal 10 5 3" xfId="10655" xr:uid="{00000000-0005-0000-0000-0000CD0E0000}"/>
    <cellStyle name="Normal 10 5 3 2" xfId="19398" xr:uid="{0623E707-DA9A-44D0-9E1E-CE6BB85381F6}"/>
    <cellStyle name="Normal 10 5 4" xfId="14087" xr:uid="{D691B2B1-0F92-4553-AA87-4DF3B5BE5970}"/>
    <cellStyle name="Normal 10 6" xfId="5085" xr:uid="{00000000-0005-0000-0000-0000CE0E0000}"/>
    <cellStyle name="Normal 10 6 2" xfId="10455" xr:uid="{00000000-0005-0000-0000-0000CF0E0000}"/>
    <cellStyle name="Normal 10 6 2 2" xfId="19256" xr:uid="{E3ACB4B9-CF90-4A2B-92F2-3D2A6153BA5D}"/>
    <cellStyle name="Normal 10 6 3" xfId="16123" xr:uid="{18CC0AA2-7880-44DE-B683-750AC109F703}"/>
    <cellStyle name="Normal 10 7" xfId="4906" xr:uid="{00000000-0005-0000-0000-0000D00E0000}"/>
    <cellStyle name="Normal 10 7 2" xfId="10446" xr:uid="{00000000-0005-0000-0000-0000D10E0000}"/>
    <cellStyle name="Normal 10 7 2 2" xfId="19252" xr:uid="{573E60C1-95E1-4022-98CD-38ABD10DB73A}"/>
    <cellStyle name="Normal 10 7 3" xfId="9033" xr:uid="{00000000-0005-0000-0000-0000D20E0000}"/>
    <cellStyle name="Normal 10 7 3 2" xfId="17839" xr:uid="{510E877C-B708-4208-B333-A0C1462E8859}"/>
    <cellStyle name="Normal 10 7 4" xfId="12238" xr:uid="{00000000-0005-0000-0000-0000D30E0000}"/>
    <cellStyle name="Normal 10 7 4 2" xfId="20979" xr:uid="{0B300D9C-8E44-4A0C-B8F2-5565E6D2635C}"/>
    <cellStyle name="Normal 10 7 5" xfId="13847" xr:uid="{00000000-0005-0000-0000-0000D40E0000}"/>
    <cellStyle name="Normal 10 7 5 2" xfId="22580" xr:uid="{4309D6A0-61DC-417F-A384-EA8F2C2BB105}"/>
    <cellStyle name="Normal 10 7 6" xfId="16096" xr:uid="{ADD5501C-9A69-4A6B-B364-8E1A25882E48}"/>
    <cellStyle name="Normal 10 8" xfId="7442" xr:uid="{00000000-0005-0000-0000-0000D50E0000}"/>
    <cellStyle name="Normal 10 8 2" xfId="16252" xr:uid="{5B799AE3-519C-4BA6-9ECA-6196C9BB47A4}"/>
    <cellStyle name="Normal 10 9" xfId="10615" xr:uid="{00000000-0005-0000-0000-0000D60E0000}"/>
    <cellStyle name="Normal 10 9 2" xfId="19374" xr:uid="{96F0B86A-85EE-48D1-99CC-696823F9B813}"/>
    <cellStyle name="Normal 100" xfId="1942" xr:uid="{00000000-0005-0000-0000-0000D70E0000}"/>
    <cellStyle name="Normal 100 10" xfId="12263" xr:uid="{00000000-0005-0000-0000-0000D80E0000}"/>
    <cellStyle name="Normal 100 10 2" xfId="20999" xr:uid="{B61F1501-E02C-47C8-9A3F-74DA06305556}"/>
    <cellStyle name="Normal 100 11" xfId="13916" xr:uid="{515657D6-6CF5-4DD7-B204-024747A0A168}"/>
    <cellStyle name="Normal 100 2" xfId="1943" xr:uid="{00000000-0005-0000-0000-0000D90E0000}"/>
    <cellStyle name="Normal 100 2 2" xfId="1944" xr:uid="{00000000-0005-0000-0000-0000DA0E0000}"/>
    <cellStyle name="Normal 100 2 2 2" xfId="9048" xr:uid="{00000000-0005-0000-0000-0000DB0E0000}"/>
    <cellStyle name="Normal 100 2 2 2 2" xfId="17854" xr:uid="{DFA2AB0A-B9E8-4722-BEFC-C9E538988760}"/>
    <cellStyle name="Normal 100 2 2 3" xfId="7445" xr:uid="{00000000-0005-0000-0000-0000DC0E0000}"/>
    <cellStyle name="Normal 100 2 2 3 2" xfId="16255" xr:uid="{59772B83-9E55-42AF-9C8D-EF743CCC6C18}"/>
    <cellStyle name="Normal 100 2 2 4" xfId="10658" xr:uid="{00000000-0005-0000-0000-0000DD0E0000}"/>
    <cellStyle name="Normal 100 2 2 4 2" xfId="19401" xr:uid="{4F9ECCBF-3C41-45B1-9726-AE08E5BE5C2A}"/>
    <cellStyle name="Normal 100 2 2 5" xfId="12265" xr:uid="{00000000-0005-0000-0000-0000DE0E0000}"/>
    <cellStyle name="Normal 100 2 2 5 2" xfId="21001" xr:uid="{99F14AD9-D0CE-4557-8F63-1FEC80488EDD}"/>
    <cellStyle name="Normal 100 2 2 6" xfId="14799" xr:uid="{4A863047-C024-4D68-AF16-06C721737FBA}"/>
    <cellStyle name="Normal 100 2 3" xfId="1945" xr:uid="{00000000-0005-0000-0000-0000DF0E0000}"/>
    <cellStyle name="Normal 100 2 3 2" xfId="9049" xr:uid="{00000000-0005-0000-0000-0000E00E0000}"/>
    <cellStyle name="Normal 100 2 3 2 2" xfId="17855" xr:uid="{72FCAFB5-3E0A-4EE5-9D05-4882E51EE6ED}"/>
    <cellStyle name="Normal 100 2 3 3" xfId="7446" xr:uid="{00000000-0005-0000-0000-0000E10E0000}"/>
    <cellStyle name="Normal 100 2 3 3 2" xfId="16256" xr:uid="{EA19EC63-3AD1-4C26-A51A-82EBD441AE39}"/>
    <cellStyle name="Normal 100 2 3 4" xfId="10659" xr:uid="{00000000-0005-0000-0000-0000E20E0000}"/>
    <cellStyle name="Normal 100 2 3 4 2" xfId="19402" xr:uid="{03928C2A-2E03-463D-9D68-088FF7626605}"/>
    <cellStyle name="Normal 100 2 3 5" xfId="12266" xr:uid="{00000000-0005-0000-0000-0000E30E0000}"/>
    <cellStyle name="Normal 100 2 3 5 2" xfId="21002" xr:uid="{C3352EA5-B431-4C48-94A8-419EC75BD0C4}"/>
    <cellStyle name="Normal 100 2 3 6" xfId="14192" xr:uid="{237D0243-3473-47B3-B7EC-DD6D9A1C7A0E}"/>
    <cellStyle name="Normal 100 2 4" xfId="1946" xr:uid="{00000000-0005-0000-0000-0000E40E0000}"/>
    <cellStyle name="Normal 100 2 4 2" xfId="9050" xr:uid="{00000000-0005-0000-0000-0000E50E0000}"/>
    <cellStyle name="Normal 100 2 4 2 2" xfId="17856" xr:uid="{0508F3FE-45C7-49A0-A97B-4BB42CC2D12D}"/>
    <cellStyle name="Normal 100 2 4 3" xfId="7447" xr:uid="{00000000-0005-0000-0000-0000E60E0000}"/>
    <cellStyle name="Normal 100 2 4 3 2" xfId="16257" xr:uid="{EEC536A6-0420-4FC0-A044-2547AE3CBF77}"/>
    <cellStyle name="Normal 100 2 4 4" xfId="10660" xr:uid="{00000000-0005-0000-0000-0000E70E0000}"/>
    <cellStyle name="Normal 100 2 4 4 2" xfId="19403" xr:uid="{5FB1C4BC-045E-4317-929B-103712A30057}"/>
    <cellStyle name="Normal 100 2 4 5" xfId="12267" xr:uid="{00000000-0005-0000-0000-0000E80E0000}"/>
    <cellStyle name="Normal 100 2 4 5 2" xfId="21003" xr:uid="{1054BA10-50D0-4067-9D70-72DF874A09B5}"/>
    <cellStyle name="Normal 100 2 4 6" xfId="14789" xr:uid="{6651680A-D3B1-4F39-9A75-E353AD61086E}"/>
    <cellStyle name="Normal 100 2 5" xfId="9047" xr:uid="{00000000-0005-0000-0000-0000E90E0000}"/>
    <cellStyle name="Normal 100 2 5 2" xfId="17853" xr:uid="{AB010B7E-B87B-46D7-9196-51D9BEA610BA}"/>
    <cellStyle name="Normal 100 2 6" xfId="7444" xr:uid="{00000000-0005-0000-0000-0000EA0E0000}"/>
    <cellStyle name="Normal 100 2 6 2" xfId="16254" xr:uid="{0A6C5338-EA32-4C09-8A89-D0467C1C5CF6}"/>
    <cellStyle name="Normal 100 2 7" xfId="10657" xr:uid="{00000000-0005-0000-0000-0000EB0E0000}"/>
    <cellStyle name="Normal 100 2 7 2" xfId="19400" xr:uid="{A62B8498-970D-4E7D-88E3-972404A1BBE3}"/>
    <cellStyle name="Normal 100 2 8" xfId="12264" xr:uid="{00000000-0005-0000-0000-0000EC0E0000}"/>
    <cellStyle name="Normal 100 2 8 2" xfId="21000" xr:uid="{003E2AD7-0955-47A4-AFD2-0C1E14B9C219}"/>
    <cellStyle name="Normal 100 2 9" xfId="14144" xr:uid="{C6EFCDEC-F9D5-40CB-A231-6CCEB19D0695}"/>
    <cellStyle name="Normal 100 3" xfId="1947" xr:uid="{00000000-0005-0000-0000-0000ED0E0000}"/>
    <cellStyle name="Normal 100 3 2" xfId="9051" xr:uid="{00000000-0005-0000-0000-0000EE0E0000}"/>
    <cellStyle name="Normal 100 3 2 2" xfId="17857" xr:uid="{62EA4D91-992E-4913-8B23-432010A1F6F8}"/>
    <cellStyle name="Normal 100 3 3" xfId="7448" xr:uid="{00000000-0005-0000-0000-0000EF0E0000}"/>
    <cellStyle name="Normal 100 3 3 2" xfId="16258" xr:uid="{D7E794FA-8FEC-431A-A865-521B616C52B3}"/>
    <cellStyle name="Normal 100 3 4" xfId="10661" xr:uid="{00000000-0005-0000-0000-0000F00E0000}"/>
    <cellStyle name="Normal 100 3 4 2" xfId="19404" xr:uid="{338D5B24-2877-4E9D-B600-1DF1BADC5DC6}"/>
    <cellStyle name="Normal 100 3 5" xfId="12268" xr:uid="{00000000-0005-0000-0000-0000F10E0000}"/>
    <cellStyle name="Normal 100 3 5 2" xfId="21004" xr:uid="{FC2204D8-657A-43AB-AE2A-66C512391C27}"/>
    <cellStyle name="Normal 100 3 6" xfId="14251" xr:uid="{119088EF-D33B-4C2A-8751-0E555D7F3069}"/>
    <cellStyle name="Normal 100 4" xfId="1948" xr:uid="{00000000-0005-0000-0000-0000F20E0000}"/>
    <cellStyle name="Normal 100 4 2" xfId="9052" xr:uid="{00000000-0005-0000-0000-0000F30E0000}"/>
    <cellStyle name="Normal 100 4 2 2" xfId="17858" xr:uid="{BF5981BD-A186-4F5C-9CA0-AF57B059AA30}"/>
    <cellStyle name="Normal 100 4 3" xfId="7449" xr:uid="{00000000-0005-0000-0000-0000F40E0000}"/>
    <cellStyle name="Normal 100 4 3 2" xfId="16259" xr:uid="{2838E673-2704-403A-883B-0DB97AB245F2}"/>
    <cellStyle name="Normal 100 4 4" xfId="10662" xr:uid="{00000000-0005-0000-0000-0000F50E0000}"/>
    <cellStyle name="Normal 100 4 4 2" xfId="19405" xr:uid="{47CDFE2D-231F-4EE1-A156-1739760B5C3D}"/>
    <cellStyle name="Normal 100 4 5" xfId="12269" xr:uid="{00000000-0005-0000-0000-0000F60E0000}"/>
    <cellStyle name="Normal 100 4 5 2" xfId="21005" xr:uid="{454FD4F5-E811-4029-A94E-8DC3CEAD872B}"/>
    <cellStyle name="Normal 100 4 6" xfId="14569" xr:uid="{D9B9539D-5D36-4392-9C07-0C8F7AA0300D}"/>
    <cellStyle name="Normal 100 5" xfId="1949" xr:uid="{00000000-0005-0000-0000-0000F70E0000}"/>
    <cellStyle name="Normal 100 5 2" xfId="9053" xr:uid="{00000000-0005-0000-0000-0000F80E0000}"/>
    <cellStyle name="Normal 100 5 2 2" xfId="17859" xr:uid="{9107C8F0-3507-42CC-9AED-672E2F838077}"/>
    <cellStyle name="Normal 100 5 3" xfId="7450" xr:uid="{00000000-0005-0000-0000-0000F90E0000}"/>
    <cellStyle name="Normal 100 5 3 2" xfId="16260" xr:uid="{BB954F06-A5B7-40D9-894A-5F178CD60D16}"/>
    <cellStyle name="Normal 100 5 4" xfId="10663" xr:uid="{00000000-0005-0000-0000-0000FA0E0000}"/>
    <cellStyle name="Normal 100 5 4 2" xfId="19406" xr:uid="{8DF4C34B-9849-4AF9-A929-10F1C346CEEA}"/>
    <cellStyle name="Normal 100 5 5" xfId="12270" xr:uid="{00000000-0005-0000-0000-0000FB0E0000}"/>
    <cellStyle name="Normal 100 5 5 2" xfId="21006" xr:uid="{675BEFFC-8A77-4802-9D80-B22DBCCD9588}"/>
    <cellStyle name="Normal 100 5 6" xfId="14156" xr:uid="{CEFC4341-FF18-4F78-8550-4EA705699608}"/>
    <cellStyle name="Normal 100 6" xfId="1950" xr:uid="{00000000-0005-0000-0000-0000FC0E0000}"/>
    <cellStyle name="Normal 100 6 2" xfId="9054" xr:uid="{00000000-0005-0000-0000-0000FD0E0000}"/>
    <cellStyle name="Normal 100 6 2 2" xfId="17860" xr:uid="{F335E007-FB53-4481-8840-9BB2B2480556}"/>
    <cellStyle name="Normal 100 6 3" xfId="7451" xr:uid="{00000000-0005-0000-0000-0000FE0E0000}"/>
    <cellStyle name="Normal 100 6 3 2" xfId="16261" xr:uid="{169467E4-1D61-4A65-9197-8B18D3A39E95}"/>
    <cellStyle name="Normal 100 6 4" xfId="10664" xr:uid="{00000000-0005-0000-0000-0000FF0E0000}"/>
    <cellStyle name="Normal 100 6 4 2" xfId="19407" xr:uid="{72ED92A8-D152-4E55-B80D-A36CB258CC04}"/>
    <cellStyle name="Normal 100 6 5" xfId="12271" xr:uid="{00000000-0005-0000-0000-0000000F0000}"/>
    <cellStyle name="Normal 100 6 5 2" xfId="21007" xr:uid="{A290F2A3-61FD-46E6-8B6B-BA1408E93105}"/>
    <cellStyle name="Normal 100 6 6" xfId="14078" xr:uid="{3EF5ECCE-7369-4F81-B222-426B3D00782D}"/>
    <cellStyle name="Normal 100 7" xfId="9046" xr:uid="{00000000-0005-0000-0000-0000010F0000}"/>
    <cellStyle name="Normal 100 7 2" xfId="17852" xr:uid="{1A9F5EE1-AF38-4744-8102-8138369B59DB}"/>
    <cellStyle name="Normal 100 8" xfId="7443" xr:uid="{00000000-0005-0000-0000-0000020F0000}"/>
    <cellStyle name="Normal 100 8 2" xfId="16253" xr:uid="{E8E87234-EDC2-4482-8F16-F4C90CCDBADA}"/>
    <cellStyle name="Normal 100 9" xfId="10656" xr:uid="{00000000-0005-0000-0000-0000030F0000}"/>
    <cellStyle name="Normal 100 9 2" xfId="19399" xr:uid="{524273BE-BE0E-4B57-AD52-0623E9E76BE4}"/>
    <cellStyle name="Normal 101" xfId="1951" xr:uid="{00000000-0005-0000-0000-0000040F0000}"/>
    <cellStyle name="Normal 101 2" xfId="1952" xr:uid="{00000000-0005-0000-0000-0000050F0000}"/>
    <cellStyle name="Normal 101 2 2" xfId="9056" xr:uid="{00000000-0005-0000-0000-0000060F0000}"/>
    <cellStyle name="Normal 101 2 2 2" xfId="17862" xr:uid="{8211E739-71F5-4615-B6F7-8E95F8297394}"/>
    <cellStyle name="Normal 101 2 3" xfId="7453" xr:uid="{00000000-0005-0000-0000-0000070F0000}"/>
    <cellStyle name="Normal 101 2 3 2" xfId="16263" xr:uid="{68021F87-2893-402F-9174-89DB45C544E7}"/>
    <cellStyle name="Normal 101 2 4" xfId="10666" xr:uid="{00000000-0005-0000-0000-0000080F0000}"/>
    <cellStyle name="Normal 101 2 4 2" xfId="19409" xr:uid="{03328BA2-1344-4A30-B165-69E47A73BEF9}"/>
    <cellStyle name="Normal 101 2 5" xfId="12273" xr:uid="{00000000-0005-0000-0000-0000090F0000}"/>
    <cellStyle name="Normal 101 2 5 2" xfId="21009" xr:uid="{17837283-463F-4D92-85A6-502F4D8459B4}"/>
    <cellStyle name="Normal 101 2 6" xfId="14807" xr:uid="{0A130C2F-CD83-4BF1-B1D4-E9AFA7EE45F1}"/>
    <cellStyle name="Normal 101 3" xfId="1953" xr:uid="{00000000-0005-0000-0000-00000A0F0000}"/>
    <cellStyle name="Normal 101 3 2" xfId="9057" xr:uid="{00000000-0005-0000-0000-00000B0F0000}"/>
    <cellStyle name="Normal 101 3 2 2" xfId="17863" xr:uid="{3F88CE90-621B-4770-8CEE-7401957348D1}"/>
    <cellStyle name="Normal 101 3 3" xfId="7454" xr:uid="{00000000-0005-0000-0000-00000C0F0000}"/>
    <cellStyle name="Normal 101 3 3 2" xfId="16264" xr:uid="{AC2AEEE1-6861-40EE-974F-E91D0815E88B}"/>
    <cellStyle name="Normal 101 3 4" xfId="10667" xr:uid="{00000000-0005-0000-0000-00000D0F0000}"/>
    <cellStyle name="Normal 101 3 4 2" xfId="19410" xr:uid="{5318D48B-BF7A-4584-A6A8-F0AADDF5075E}"/>
    <cellStyle name="Normal 101 3 5" xfId="12274" xr:uid="{00000000-0005-0000-0000-00000E0F0000}"/>
    <cellStyle name="Normal 101 3 5 2" xfId="21010" xr:uid="{D418DA72-935C-445A-92E6-A9DE1A38E8E0}"/>
    <cellStyle name="Normal 101 3 6" xfId="14469" xr:uid="{ED539055-6467-4F14-8DF4-4507CB5A28D3}"/>
    <cellStyle name="Normal 101 4" xfId="1954" xr:uid="{00000000-0005-0000-0000-00000F0F0000}"/>
    <cellStyle name="Normal 101 4 2" xfId="9058" xr:uid="{00000000-0005-0000-0000-0000100F0000}"/>
    <cellStyle name="Normal 101 4 2 2" xfId="17864" xr:uid="{5C030BAC-F9C9-4832-B002-C2590ED2E3F7}"/>
    <cellStyle name="Normal 101 4 3" xfId="7455" xr:uid="{00000000-0005-0000-0000-0000110F0000}"/>
    <cellStyle name="Normal 101 4 3 2" xfId="16265" xr:uid="{DBE0879D-11BE-45C5-8B8E-1A2D53C96399}"/>
    <cellStyle name="Normal 101 4 4" xfId="10668" xr:uid="{00000000-0005-0000-0000-0000120F0000}"/>
    <cellStyle name="Normal 101 4 4 2" xfId="19411" xr:uid="{42A17010-7707-4D51-AF00-9A47B5E2A6A8}"/>
    <cellStyle name="Normal 101 4 5" xfId="12275" xr:uid="{00000000-0005-0000-0000-0000130F0000}"/>
    <cellStyle name="Normal 101 4 5 2" xfId="21011" xr:uid="{E01C59CD-1023-4F12-B036-7C1EC1A906C1}"/>
    <cellStyle name="Normal 101 4 6" xfId="14558" xr:uid="{41918D67-3C0D-4553-B3C9-09D4FCE52908}"/>
    <cellStyle name="Normal 101 5" xfId="9055" xr:uid="{00000000-0005-0000-0000-0000140F0000}"/>
    <cellStyle name="Normal 101 5 2" xfId="17861" xr:uid="{043034B9-801B-47C6-A674-FC7476EC4A08}"/>
    <cellStyle name="Normal 101 6" xfId="7452" xr:uid="{00000000-0005-0000-0000-0000150F0000}"/>
    <cellStyle name="Normal 101 6 2" xfId="16262" xr:uid="{62E89B4D-EA69-4AED-906A-95E23377DD02}"/>
    <cellStyle name="Normal 101 7" xfId="10665" xr:uid="{00000000-0005-0000-0000-0000160F0000}"/>
    <cellStyle name="Normal 101 7 2" xfId="19408" xr:uid="{A1D40631-C5A0-4741-AC66-83B64364E770}"/>
    <cellStyle name="Normal 101 8" xfId="12272" xr:uid="{00000000-0005-0000-0000-0000170F0000}"/>
    <cellStyle name="Normal 101 8 2" xfId="21008" xr:uid="{BBF95859-BC2A-49A6-B5F6-2FCB2A207A2A}"/>
    <cellStyle name="Normal 101 9" xfId="14557" xr:uid="{E3825529-B21B-4EF8-B740-A6DD26DACBF9}"/>
    <cellStyle name="Normal 102" xfId="1955" xr:uid="{00000000-0005-0000-0000-0000180F0000}"/>
    <cellStyle name="Normal 102 2" xfId="1956" xr:uid="{00000000-0005-0000-0000-0000190F0000}"/>
    <cellStyle name="Normal 102 2 2" xfId="9060" xr:uid="{00000000-0005-0000-0000-00001A0F0000}"/>
    <cellStyle name="Normal 102 2 2 2" xfId="17866" xr:uid="{C8110511-F6F4-4961-AE91-EC68165493DC}"/>
    <cellStyle name="Normal 102 2 3" xfId="7457" xr:uid="{00000000-0005-0000-0000-00001B0F0000}"/>
    <cellStyle name="Normal 102 2 3 2" xfId="16267" xr:uid="{57DD0D31-1E2D-4F1E-9ABD-D87EA52284A6}"/>
    <cellStyle name="Normal 102 2 4" xfId="10670" xr:uid="{00000000-0005-0000-0000-00001C0F0000}"/>
    <cellStyle name="Normal 102 2 4 2" xfId="19413" xr:uid="{4D0D5FC8-7595-4DF7-BA01-8F16939431F7}"/>
    <cellStyle name="Normal 102 2 5" xfId="12277" xr:uid="{00000000-0005-0000-0000-00001D0F0000}"/>
    <cellStyle name="Normal 102 2 5 2" xfId="21013" xr:uid="{A844868C-9C82-40EF-82E5-FE129E16BDC1}"/>
    <cellStyle name="Normal 102 2 6" xfId="14135" xr:uid="{6986979D-8D5F-48D9-92C9-A7D109D9C087}"/>
    <cellStyle name="Normal 102 3" xfId="1957" xr:uid="{00000000-0005-0000-0000-00001E0F0000}"/>
    <cellStyle name="Normal 102 3 2" xfId="9061" xr:uid="{00000000-0005-0000-0000-00001F0F0000}"/>
    <cellStyle name="Normal 102 3 2 2" xfId="17867" xr:uid="{A2D7B13A-B1F0-4043-82E9-2931CB69AD7D}"/>
    <cellStyle name="Normal 102 3 3" xfId="7458" xr:uid="{00000000-0005-0000-0000-0000200F0000}"/>
    <cellStyle name="Normal 102 3 3 2" xfId="16268" xr:uid="{F76DC230-7BDB-4F2F-92EC-C57B6F64B77D}"/>
    <cellStyle name="Normal 102 3 4" xfId="10671" xr:uid="{00000000-0005-0000-0000-0000210F0000}"/>
    <cellStyle name="Normal 102 3 4 2" xfId="19414" xr:uid="{55FAF0C2-F149-434B-9596-82D0D9034A59}"/>
    <cellStyle name="Normal 102 3 5" xfId="12278" xr:uid="{00000000-0005-0000-0000-0000220F0000}"/>
    <cellStyle name="Normal 102 3 5 2" xfId="21014" xr:uid="{118B15C9-52FE-4835-87AB-508D3934A35E}"/>
    <cellStyle name="Normal 102 3 6" xfId="14062" xr:uid="{73C5063D-C856-4637-BBAC-67646FEE710D}"/>
    <cellStyle name="Normal 102 4" xfId="1958" xr:uid="{00000000-0005-0000-0000-0000230F0000}"/>
    <cellStyle name="Normal 102 4 2" xfId="9062" xr:uid="{00000000-0005-0000-0000-0000240F0000}"/>
    <cellStyle name="Normal 102 4 2 2" xfId="17868" xr:uid="{BDE85B72-4872-4A5D-9652-55C4C81862DC}"/>
    <cellStyle name="Normal 102 4 3" xfId="7459" xr:uid="{00000000-0005-0000-0000-0000250F0000}"/>
    <cellStyle name="Normal 102 4 3 2" xfId="16269" xr:uid="{4D80AD4D-DAA6-4235-ACA3-76E4DF7A01C4}"/>
    <cellStyle name="Normal 102 4 4" xfId="10672" xr:uid="{00000000-0005-0000-0000-0000260F0000}"/>
    <cellStyle name="Normal 102 4 4 2" xfId="19415" xr:uid="{6BAB9EC8-2E1F-4CAB-B884-77546113A00B}"/>
    <cellStyle name="Normal 102 4 5" xfId="12279" xr:uid="{00000000-0005-0000-0000-0000270F0000}"/>
    <cellStyle name="Normal 102 4 5 2" xfId="21015" xr:uid="{93F7DB93-7852-4E8D-A75D-45B59F32D639}"/>
    <cellStyle name="Normal 102 4 6" xfId="14851" xr:uid="{95BE5E2E-86A2-46AF-A745-B2B0BE2D5788}"/>
    <cellStyle name="Normal 102 5" xfId="9059" xr:uid="{00000000-0005-0000-0000-0000280F0000}"/>
    <cellStyle name="Normal 102 5 2" xfId="17865" xr:uid="{9BDD0494-FFBF-491C-9E4E-BF2E3C97A497}"/>
    <cellStyle name="Normal 102 6" xfId="7456" xr:uid="{00000000-0005-0000-0000-0000290F0000}"/>
    <cellStyle name="Normal 102 6 2" xfId="16266" xr:uid="{34A040A4-AC11-4155-8305-F9CDA58066F5}"/>
    <cellStyle name="Normal 102 7" xfId="10669" xr:uid="{00000000-0005-0000-0000-00002A0F0000}"/>
    <cellStyle name="Normal 102 7 2" xfId="19412" xr:uid="{2C6F01D9-1BD5-41D7-8404-E632823619CE}"/>
    <cellStyle name="Normal 102 8" xfId="12276" xr:uid="{00000000-0005-0000-0000-00002B0F0000}"/>
    <cellStyle name="Normal 102 8 2" xfId="21012" xr:uid="{921C74DE-CA61-473A-A2D8-C6C18DE5693F}"/>
    <cellStyle name="Normal 102 9" xfId="13977" xr:uid="{4171250E-BAB4-4AE4-A409-B17ECFB3B362}"/>
    <cellStyle name="Normal 103" xfId="1959" xr:uid="{00000000-0005-0000-0000-00002C0F0000}"/>
    <cellStyle name="Normal 103 2" xfId="1960" xr:uid="{00000000-0005-0000-0000-00002D0F0000}"/>
    <cellStyle name="Normal 103 2 2" xfId="9064" xr:uid="{00000000-0005-0000-0000-00002E0F0000}"/>
    <cellStyle name="Normal 103 2 2 2" xfId="17870" xr:uid="{7EF93A44-4924-4E71-9664-81EEC63FFB9F}"/>
    <cellStyle name="Normal 103 2 3" xfId="7461" xr:uid="{00000000-0005-0000-0000-00002F0F0000}"/>
    <cellStyle name="Normal 103 2 3 2" xfId="16271" xr:uid="{3A8C8297-AC03-4EA9-BF9C-F84F8375DF0C}"/>
    <cellStyle name="Normal 103 2 4" xfId="10674" xr:uid="{00000000-0005-0000-0000-0000300F0000}"/>
    <cellStyle name="Normal 103 2 4 2" xfId="19417" xr:uid="{F89A0680-BBAF-4400-BD64-0A0252707BE6}"/>
    <cellStyle name="Normal 103 2 5" xfId="12281" xr:uid="{00000000-0005-0000-0000-0000310F0000}"/>
    <cellStyle name="Normal 103 2 5 2" xfId="21017" xr:uid="{C826277B-E007-4230-B3E1-10C9C966028F}"/>
    <cellStyle name="Normal 103 2 6" xfId="14052" xr:uid="{87723220-24D4-48AA-A82B-30DAB71E58AF}"/>
    <cellStyle name="Normal 103 3" xfId="1961" xr:uid="{00000000-0005-0000-0000-0000320F0000}"/>
    <cellStyle name="Normal 103 3 2" xfId="9065" xr:uid="{00000000-0005-0000-0000-0000330F0000}"/>
    <cellStyle name="Normal 103 3 2 2" xfId="17871" xr:uid="{43D78DD0-60C4-4263-B1B3-FF026CE3AC4F}"/>
    <cellStyle name="Normal 103 3 3" xfId="7462" xr:uid="{00000000-0005-0000-0000-0000340F0000}"/>
    <cellStyle name="Normal 103 3 3 2" xfId="16272" xr:uid="{FA4AD172-D8DD-4330-9B11-5B1523778962}"/>
    <cellStyle name="Normal 103 3 4" xfId="10675" xr:uid="{00000000-0005-0000-0000-0000350F0000}"/>
    <cellStyle name="Normal 103 3 4 2" xfId="19418" xr:uid="{21337D6E-B871-4CA5-B275-EE0643DFABE9}"/>
    <cellStyle name="Normal 103 3 5" xfId="12282" xr:uid="{00000000-0005-0000-0000-0000360F0000}"/>
    <cellStyle name="Normal 103 3 5 2" xfId="21018" xr:uid="{D71554E6-7447-4197-8AB8-C52617FF2885}"/>
    <cellStyle name="Normal 103 3 6" xfId="14687" xr:uid="{BFAB39A9-4267-4DD2-A385-CA4C790E2CDA}"/>
    <cellStyle name="Normal 103 4" xfId="1962" xr:uid="{00000000-0005-0000-0000-0000370F0000}"/>
    <cellStyle name="Normal 103 4 2" xfId="9066" xr:uid="{00000000-0005-0000-0000-0000380F0000}"/>
    <cellStyle name="Normal 103 4 2 2" xfId="17872" xr:uid="{9FAFE7E8-0036-40F7-9900-CC3BBF06A7B3}"/>
    <cellStyle name="Normal 103 4 3" xfId="7463" xr:uid="{00000000-0005-0000-0000-0000390F0000}"/>
    <cellStyle name="Normal 103 4 3 2" xfId="16273" xr:uid="{713DFC5D-E40F-4DFF-BFD4-6442B74A3261}"/>
    <cellStyle name="Normal 103 4 4" xfId="10676" xr:uid="{00000000-0005-0000-0000-00003A0F0000}"/>
    <cellStyle name="Normal 103 4 4 2" xfId="19419" xr:uid="{7A71805E-456E-4D91-A888-B1F39F34543D}"/>
    <cellStyle name="Normal 103 4 5" xfId="12283" xr:uid="{00000000-0005-0000-0000-00003B0F0000}"/>
    <cellStyle name="Normal 103 4 5 2" xfId="21019" xr:uid="{EAC72A36-A42A-46A2-8822-339CEB8A925E}"/>
    <cellStyle name="Normal 103 4 6" xfId="14852" xr:uid="{F0C6AB8F-9118-438D-80FF-2A1AD8EE9B4B}"/>
    <cellStyle name="Normal 103 5" xfId="9063" xr:uid="{00000000-0005-0000-0000-00003C0F0000}"/>
    <cellStyle name="Normal 103 5 2" xfId="17869" xr:uid="{649C1F21-9B39-4685-A586-02F1788C2D3A}"/>
    <cellStyle name="Normal 103 6" xfId="7460" xr:uid="{00000000-0005-0000-0000-00003D0F0000}"/>
    <cellStyle name="Normal 103 6 2" xfId="16270" xr:uid="{609DADC0-CC1A-4270-9488-C3598B956D85}"/>
    <cellStyle name="Normal 103 7" xfId="10673" xr:uid="{00000000-0005-0000-0000-00003E0F0000}"/>
    <cellStyle name="Normal 103 7 2" xfId="19416" xr:uid="{E40F1325-FF13-4BDD-B322-3E31726218F7}"/>
    <cellStyle name="Normal 103 8" xfId="12280" xr:uid="{00000000-0005-0000-0000-00003F0F0000}"/>
    <cellStyle name="Normal 103 8 2" xfId="21016" xr:uid="{F8FEA0F7-4DFB-4FCA-A31F-FCDFE59C0555}"/>
    <cellStyle name="Normal 103 9" xfId="14820" xr:uid="{B761537D-EE07-42DD-A728-FD7AD6BE27C3}"/>
    <cellStyle name="Normal 104" xfId="1963" xr:uid="{00000000-0005-0000-0000-0000400F0000}"/>
    <cellStyle name="Normal 104 2" xfId="1964" xr:uid="{00000000-0005-0000-0000-0000410F0000}"/>
    <cellStyle name="Normal 104 2 2" xfId="9068" xr:uid="{00000000-0005-0000-0000-0000420F0000}"/>
    <cellStyle name="Normal 104 2 2 2" xfId="17874" xr:uid="{F3D8CBA3-5ABA-4C31-8229-E302C73A1B18}"/>
    <cellStyle name="Normal 104 2 3" xfId="7465" xr:uid="{00000000-0005-0000-0000-0000430F0000}"/>
    <cellStyle name="Normal 104 2 3 2" xfId="16275" xr:uid="{077508D1-A047-4E44-97D7-019DA4D7FA36}"/>
    <cellStyle name="Normal 104 2 4" xfId="10678" xr:uid="{00000000-0005-0000-0000-0000440F0000}"/>
    <cellStyle name="Normal 104 2 4 2" xfId="19421" xr:uid="{FF5A6627-D0BA-407B-B941-E485384422B2}"/>
    <cellStyle name="Normal 104 2 5" xfId="12285" xr:uid="{00000000-0005-0000-0000-0000450F0000}"/>
    <cellStyle name="Normal 104 2 5 2" xfId="21021" xr:uid="{C3EB60D4-FDD8-493D-B224-EEE5922F79E1}"/>
    <cellStyle name="Normal 104 2 6" xfId="14599" xr:uid="{F9F34F5B-6CE8-4FF6-8C24-B012F0921E3B}"/>
    <cellStyle name="Normal 104 3" xfId="1965" xr:uid="{00000000-0005-0000-0000-0000460F0000}"/>
    <cellStyle name="Normal 104 3 2" xfId="9069" xr:uid="{00000000-0005-0000-0000-0000470F0000}"/>
    <cellStyle name="Normal 104 3 2 2" xfId="17875" xr:uid="{7160835C-AE03-4345-B49B-BE231EA28D14}"/>
    <cellStyle name="Normal 104 3 3" xfId="7466" xr:uid="{00000000-0005-0000-0000-0000480F0000}"/>
    <cellStyle name="Normal 104 3 3 2" xfId="16276" xr:uid="{CC9FF8A7-3AD1-4261-8FC6-67755AB48C09}"/>
    <cellStyle name="Normal 104 3 4" xfId="10679" xr:uid="{00000000-0005-0000-0000-0000490F0000}"/>
    <cellStyle name="Normal 104 3 4 2" xfId="19422" xr:uid="{6E78BE91-2F2C-41EC-AD6E-A423FEB4C312}"/>
    <cellStyle name="Normal 104 3 5" xfId="12286" xr:uid="{00000000-0005-0000-0000-00004A0F0000}"/>
    <cellStyle name="Normal 104 3 5 2" xfId="21022" xr:uid="{D57B1D0E-CAAF-4A61-A3DA-1BCA9C9681A5}"/>
    <cellStyle name="Normal 104 3 6" xfId="14655" xr:uid="{8BAFC3E3-8E4E-4A95-A2DD-E598F6B1B02C}"/>
    <cellStyle name="Normal 104 4" xfId="1966" xr:uid="{00000000-0005-0000-0000-00004B0F0000}"/>
    <cellStyle name="Normal 104 4 2" xfId="9070" xr:uid="{00000000-0005-0000-0000-00004C0F0000}"/>
    <cellStyle name="Normal 104 4 2 2" xfId="17876" xr:uid="{2AC30E3A-FF9B-49D3-8A15-0A84F9A9B40A}"/>
    <cellStyle name="Normal 104 4 3" xfId="7467" xr:uid="{00000000-0005-0000-0000-00004D0F0000}"/>
    <cellStyle name="Normal 104 4 3 2" xfId="16277" xr:uid="{DDD71AFA-60D8-489B-B292-E13E680AC14B}"/>
    <cellStyle name="Normal 104 4 4" xfId="10680" xr:uid="{00000000-0005-0000-0000-00004E0F0000}"/>
    <cellStyle name="Normal 104 4 4 2" xfId="19423" xr:uid="{FFAF4592-C630-42DE-A3FD-29F503A73FE4}"/>
    <cellStyle name="Normal 104 4 5" xfId="12287" xr:uid="{00000000-0005-0000-0000-00004F0F0000}"/>
    <cellStyle name="Normal 104 4 5 2" xfId="21023" xr:uid="{A48C4C52-F7FD-42AF-820E-C01339CA3C92}"/>
    <cellStyle name="Normal 104 4 6" xfId="14689" xr:uid="{1D81D891-20EB-4BD4-88B3-1C4FEFA650BB}"/>
    <cellStyle name="Normal 104 5" xfId="9067" xr:uid="{00000000-0005-0000-0000-0000500F0000}"/>
    <cellStyle name="Normal 104 5 2" xfId="17873" xr:uid="{14533E3A-DB00-4485-9B49-1F0BAD0C0FB9}"/>
    <cellStyle name="Normal 104 6" xfId="7464" xr:uid="{00000000-0005-0000-0000-0000510F0000}"/>
    <cellStyle name="Normal 104 6 2" xfId="16274" xr:uid="{D5B23BBB-D72F-4326-BC6F-B19CEAE06540}"/>
    <cellStyle name="Normal 104 7" xfId="10677" xr:uid="{00000000-0005-0000-0000-0000520F0000}"/>
    <cellStyle name="Normal 104 7 2" xfId="19420" xr:uid="{6C822570-7B69-48F0-9905-68BE281BDE1E}"/>
    <cellStyle name="Normal 104 8" xfId="12284" xr:uid="{00000000-0005-0000-0000-0000530F0000}"/>
    <cellStyle name="Normal 104 8 2" xfId="21020" xr:uid="{E77C4206-8277-4AA4-86F6-1E800DA4279E}"/>
    <cellStyle name="Normal 104 9" xfId="14691" xr:uid="{24294226-36C0-4F7B-B8DB-80C09A545FD9}"/>
    <cellStyle name="Normal 105" xfId="1967" xr:uid="{00000000-0005-0000-0000-0000540F0000}"/>
    <cellStyle name="Normal 105 2" xfId="1968" xr:uid="{00000000-0005-0000-0000-0000550F0000}"/>
    <cellStyle name="Normal 105 2 2" xfId="9072" xr:uid="{00000000-0005-0000-0000-0000560F0000}"/>
    <cellStyle name="Normal 105 2 2 2" xfId="17878" xr:uid="{1B9A551B-1249-4F59-971D-9E5F0D478285}"/>
    <cellStyle name="Normal 105 2 3" xfId="7469" xr:uid="{00000000-0005-0000-0000-0000570F0000}"/>
    <cellStyle name="Normal 105 2 3 2" xfId="16279" xr:uid="{1A16BB1D-7056-4760-91B9-75796CEA6EE1}"/>
    <cellStyle name="Normal 105 2 4" xfId="10682" xr:uid="{00000000-0005-0000-0000-0000580F0000}"/>
    <cellStyle name="Normal 105 2 4 2" xfId="19425" xr:uid="{3E00A050-2800-46B9-B811-86B79D272D85}"/>
    <cellStyle name="Normal 105 2 5" xfId="12289" xr:uid="{00000000-0005-0000-0000-0000590F0000}"/>
    <cellStyle name="Normal 105 2 5 2" xfId="21025" xr:uid="{235E89A2-FD59-409F-9E10-BD8D507FC4B5}"/>
    <cellStyle name="Normal 105 2 6" xfId="14813" xr:uid="{C5C3DCDC-B7F7-4F62-84C0-9777F418E7B9}"/>
    <cellStyle name="Normal 105 3" xfId="1969" xr:uid="{00000000-0005-0000-0000-00005A0F0000}"/>
    <cellStyle name="Normal 105 3 2" xfId="9073" xr:uid="{00000000-0005-0000-0000-00005B0F0000}"/>
    <cellStyle name="Normal 105 3 2 2" xfId="17879" xr:uid="{AB7CAB1B-5D06-432A-9AD2-CD96D50C1CB9}"/>
    <cellStyle name="Normal 105 3 3" xfId="7470" xr:uid="{00000000-0005-0000-0000-00005C0F0000}"/>
    <cellStyle name="Normal 105 3 3 2" xfId="16280" xr:uid="{21E09508-0D39-4162-A1A5-4945A2B85DDF}"/>
    <cellStyle name="Normal 105 3 4" xfId="10683" xr:uid="{00000000-0005-0000-0000-00005D0F0000}"/>
    <cellStyle name="Normal 105 3 4 2" xfId="19426" xr:uid="{F4A2CD39-C7DD-420E-B4F7-8F1074E7FD0F}"/>
    <cellStyle name="Normal 105 3 5" xfId="12290" xr:uid="{00000000-0005-0000-0000-00005E0F0000}"/>
    <cellStyle name="Normal 105 3 5 2" xfId="21026" xr:uid="{DB1DCFFE-F698-4025-B7BD-81411EBDC914}"/>
    <cellStyle name="Normal 105 3 6" xfId="13932" xr:uid="{0D4F2B70-EA1D-46FD-BF5A-5D15E699FDFE}"/>
    <cellStyle name="Normal 105 4" xfId="1970" xr:uid="{00000000-0005-0000-0000-00005F0F0000}"/>
    <cellStyle name="Normal 105 4 2" xfId="9074" xr:uid="{00000000-0005-0000-0000-0000600F0000}"/>
    <cellStyle name="Normal 105 4 2 2" xfId="17880" xr:uid="{17392EF7-3604-40F2-8844-940EB2AB2C40}"/>
    <cellStyle name="Normal 105 4 3" xfId="7471" xr:uid="{00000000-0005-0000-0000-0000610F0000}"/>
    <cellStyle name="Normal 105 4 3 2" xfId="16281" xr:uid="{17CD8408-07E9-44CF-BB61-C23BDC0F92F5}"/>
    <cellStyle name="Normal 105 4 4" xfId="10684" xr:uid="{00000000-0005-0000-0000-0000620F0000}"/>
    <cellStyle name="Normal 105 4 4 2" xfId="19427" xr:uid="{E4F017DD-99C7-4411-95D1-E7A396497693}"/>
    <cellStyle name="Normal 105 4 5" xfId="12291" xr:uid="{00000000-0005-0000-0000-0000630F0000}"/>
    <cellStyle name="Normal 105 4 5 2" xfId="21027" xr:uid="{EDDE832A-3FBB-4EB5-8839-5A797B248483}"/>
    <cellStyle name="Normal 105 4 6" xfId="13946" xr:uid="{0DDEC489-9DAA-4828-B043-BE5EE20C2641}"/>
    <cellStyle name="Normal 105 5" xfId="9071" xr:uid="{00000000-0005-0000-0000-0000640F0000}"/>
    <cellStyle name="Normal 105 5 2" xfId="17877" xr:uid="{96FD5677-5DB8-4B92-9A88-D933E4BD222E}"/>
    <cellStyle name="Normal 105 6" xfId="7468" xr:uid="{00000000-0005-0000-0000-0000650F0000}"/>
    <cellStyle name="Normal 105 6 2" xfId="16278" xr:uid="{677AB1C4-0C08-415B-9CD0-F2C086B8805C}"/>
    <cellStyle name="Normal 105 7" xfId="10681" xr:uid="{00000000-0005-0000-0000-0000660F0000}"/>
    <cellStyle name="Normal 105 7 2" xfId="19424" xr:uid="{C1F1BDFF-CB0C-4B22-BEAF-7C56F88DE6DD}"/>
    <cellStyle name="Normal 105 8" xfId="12288" xr:uid="{00000000-0005-0000-0000-0000670F0000}"/>
    <cellStyle name="Normal 105 8 2" xfId="21024" xr:uid="{032A181B-B60D-4521-B487-80397477786C}"/>
    <cellStyle name="Normal 105 9" xfId="14017" xr:uid="{5656D52C-BCA7-42FF-9CAA-C8F9AECF29C2}"/>
    <cellStyle name="Normal 106" xfId="1971" xr:uid="{00000000-0005-0000-0000-0000680F0000}"/>
    <cellStyle name="Normal 106 2" xfId="1972" xr:uid="{00000000-0005-0000-0000-0000690F0000}"/>
    <cellStyle name="Normal 106 2 2" xfId="9076" xr:uid="{00000000-0005-0000-0000-00006A0F0000}"/>
    <cellStyle name="Normal 106 2 2 2" xfId="17882" xr:uid="{235222E0-F17D-4A89-8D19-24D514E76E75}"/>
    <cellStyle name="Normal 106 2 3" xfId="7473" xr:uid="{00000000-0005-0000-0000-00006B0F0000}"/>
    <cellStyle name="Normal 106 2 3 2" xfId="16283" xr:uid="{17C4903D-30F6-475E-8700-8806B190B25A}"/>
    <cellStyle name="Normal 106 2 4" xfId="10686" xr:uid="{00000000-0005-0000-0000-00006C0F0000}"/>
    <cellStyle name="Normal 106 2 4 2" xfId="19429" xr:uid="{C99C360D-076A-4595-B005-1837C5F4F93A}"/>
    <cellStyle name="Normal 106 2 5" xfId="12293" xr:uid="{00000000-0005-0000-0000-00006D0F0000}"/>
    <cellStyle name="Normal 106 2 5 2" xfId="21029" xr:uid="{F28D45F7-81C5-4777-8A4B-FCF7680A28A8}"/>
    <cellStyle name="Normal 106 2 6" xfId="14592" xr:uid="{C49ABE37-5708-432E-848A-22E9C3EE6838}"/>
    <cellStyle name="Normal 106 3" xfId="1973" xr:uid="{00000000-0005-0000-0000-00006E0F0000}"/>
    <cellStyle name="Normal 106 3 2" xfId="9077" xr:uid="{00000000-0005-0000-0000-00006F0F0000}"/>
    <cellStyle name="Normal 106 3 2 2" xfId="17883" xr:uid="{1D380D1E-C255-4B56-BF75-AC42AB9106AC}"/>
    <cellStyle name="Normal 106 3 3" xfId="7474" xr:uid="{00000000-0005-0000-0000-0000700F0000}"/>
    <cellStyle name="Normal 106 3 3 2" xfId="16284" xr:uid="{96268FF1-8917-4E36-8D2E-B63555244996}"/>
    <cellStyle name="Normal 106 3 4" xfId="10687" xr:uid="{00000000-0005-0000-0000-0000710F0000}"/>
    <cellStyle name="Normal 106 3 4 2" xfId="19430" xr:uid="{465E727B-C6CE-432E-B279-4F979BFA743D}"/>
    <cellStyle name="Normal 106 3 5" xfId="12294" xr:uid="{00000000-0005-0000-0000-0000720F0000}"/>
    <cellStyle name="Normal 106 3 5 2" xfId="21030" xr:uid="{754FBE96-3511-4D70-925F-57F15914A793}"/>
    <cellStyle name="Normal 106 3 6" xfId="14602" xr:uid="{D288E4A7-4D64-4675-9487-7708807D2DD6}"/>
    <cellStyle name="Normal 106 4" xfId="1974" xr:uid="{00000000-0005-0000-0000-0000730F0000}"/>
    <cellStyle name="Normal 106 4 2" xfId="9078" xr:uid="{00000000-0005-0000-0000-0000740F0000}"/>
    <cellStyle name="Normal 106 4 2 2" xfId="17884" xr:uid="{CF164FED-EBFF-47C5-B5C3-09E5F4A52B3A}"/>
    <cellStyle name="Normal 106 4 3" xfId="7475" xr:uid="{00000000-0005-0000-0000-0000750F0000}"/>
    <cellStyle name="Normal 106 4 3 2" xfId="16285" xr:uid="{DDFDA4AC-F566-41AC-BF38-AA372C75B33B}"/>
    <cellStyle name="Normal 106 4 4" xfId="10688" xr:uid="{00000000-0005-0000-0000-0000760F0000}"/>
    <cellStyle name="Normal 106 4 4 2" xfId="19431" xr:uid="{BF55E974-4464-41EB-A750-A8124E3E7EFB}"/>
    <cellStyle name="Normal 106 4 5" xfId="12295" xr:uid="{00000000-0005-0000-0000-0000770F0000}"/>
    <cellStyle name="Normal 106 4 5 2" xfId="21031" xr:uid="{2EEAABB7-094C-4D04-88F1-11512A88EA29}"/>
    <cellStyle name="Normal 106 4 6" xfId="14116" xr:uid="{B0A120F4-5E8D-4604-9E67-CA061DE6CEDD}"/>
    <cellStyle name="Normal 106 5" xfId="9075" xr:uid="{00000000-0005-0000-0000-0000780F0000}"/>
    <cellStyle name="Normal 106 5 2" xfId="17881" xr:uid="{A4BA1679-8A0B-4018-8649-0AAF49C4392B}"/>
    <cellStyle name="Normal 106 6" xfId="7472" xr:uid="{00000000-0005-0000-0000-0000790F0000}"/>
    <cellStyle name="Normal 106 6 2" xfId="16282" xr:uid="{D7AFA9DF-1813-4CAD-8B38-F74840BDC63C}"/>
    <cellStyle name="Normal 106 7" xfId="10685" xr:uid="{00000000-0005-0000-0000-00007A0F0000}"/>
    <cellStyle name="Normal 106 7 2" xfId="19428" xr:uid="{284F5734-67D8-4779-82D3-24F0AA9981BA}"/>
    <cellStyle name="Normal 106 8" xfId="12292" xr:uid="{00000000-0005-0000-0000-00007B0F0000}"/>
    <cellStyle name="Normal 106 8 2" xfId="21028" xr:uid="{EB0792C3-0047-4C8A-8A2F-9D7E0C4EEEB2}"/>
    <cellStyle name="Normal 106 9" xfId="14601" xr:uid="{9FA97F3B-C4C6-4E8A-AE02-082679A05F43}"/>
    <cellStyle name="Normal 107" xfId="1975" xr:uid="{00000000-0005-0000-0000-00007C0F0000}"/>
    <cellStyle name="Normal 107 2" xfId="1976" xr:uid="{00000000-0005-0000-0000-00007D0F0000}"/>
    <cellStyle name="Normal 107 2 2" xfId="9080" xr:uid="{00000000-0005-0000-0000-00007E0F0000}"/>
    <cellStyle name="Normal 107 2 2 2" xfId="17886" xr:uid="{92BB4392-B4DC-427E-8A8E-985260CC0572}"/>
    <cellStyle name="Normal 107 2 3" xfId="7477" xr:uid="{00000000-0005-0000-0000-00007F0F0000}"/>
    <cellStyle name="Normal 107 2 3 2" xfId="16287" xr:uid="{05187256-D754-47EE-8BFF-7F131D7BAECC}"/>
    <cellStyle name="Normal 107 2 4" xfId="10690" xr:uid="{00000000-0005-0000-0000-0000800F0000}"/>
    <cellStyle name="Normal 107 2 4 2" xfId="19433" xr:uid="{921096A0-98F8-43EB-A1F5-23F63C3D0642}"/>
    <cellStyle name="Normal 107 2 5" xfId="12297" xr:uid="{00000000-0005-0000-0000-0000810F0000}"/>
    <cellStyle name="Normal 107 2 5 2" xfId="21033" xr:uid="{DB069D44-0C8D-45DB-9C2A-392691CC15AD}"/>
    <cellStyle name="Normal 107 2 6" xfId="14743" xr:uid="{5840AAD1-3521-471D-B197-CD401073CABD}"/>
    <cellStyle name="Normal 107 3" xfId="1977" xr:uid="{00000000-0005-0000-0000-0000820F0000}"/>
    <cellStyle name="Normal 107 3 2" xfId="9081" xr:uid="{00000000-0005-0000-0000-0000830F0000}"/>
    <cellStyle name="Normal 107 3 2 2" xfId="17887" xr:uid="{92972C76-3F41-4149-971B-C78AEC1D8F63}"/>
    <cellStyle name="Normal 107 3 3" xfId="7478" xr:uid="{00000000-0005-0000-0000-0000840F0000}"/>
    <cellStyle name="Normal 107 3 3 2" xfId="16288" xr:uid="{4226C9A0-3384-49EA-A7C8-A579A4A6F7A5}"/>
    <cellStyle name="Normal 107 3 4" xfId="10691" xr:uid="{00000000-0005-0000-0000-0000850F0000}"/>
    <cellStyle name="Normal 107 3 4 2" xfId="19434" xr:uid="{FB58BD22-568F-458F-85E5-FD40F05DB1DC}"/>
    <cellStyle name="Normal 107 3 5" xfId="12298" xr:uid="{00000000-0005-0000-0000-0000860F0000}"/>
    <cellStyle name="Normal 107 3 5 2" xfId="21034" xr:uid="{7B461DF6-CDCF-47AC-929C-03B619986550}"/>
    <cellStyle name="Normal 107 3 6" xfId="14041" xr:uid="{893B6CC8-2A68-4193-96B9-BFFC9772C669}"/>
    <cellStyle name="Normal 107 4" xfId="1978" xr:uid="{00000000-0005-0000-0000-0000870F0000}"/>
    <cellStyle name="Normal 107 4 2" xfId="9082" xr:uid="{00000000-0005-0000-0000-0000880F0000}"/>
    <cellStyle name="Normal 107 4 2 2" xfId="17888" xr:uid="{7773BE64-161D-44CB-8763-259C5B781A76}"/>
    <cellStyle name="Normal 107 4 3" xfId="7479" xr:uid="{00000000-0005-0000-0000-0000890F0000}"/>
    <cellStyle name="Normal 107 4 3 2" xfId="16289" xr:uid="{6A8AFD1F-A682-4018-AE74-14FE57B6E464}"/>
    <cellStyle name="Normal 107 4 4" xfId="10692" xr:uid="{00000000-0005-0000-0000-00008A0F0000}"/>
    <cellStyle name="Normal 107 4 4 2" xfId="19435" xr:uid="{7494501D-0373-4473-B601-203A9F3C967B}"/>
    <cellStyle name="Normal 107 4 5" xfId="12299" xr:uid="{00000000-0005-0000-0000-00008B0F0000}"/>
    <cellStyle name="Normal 107 4 5 2" xfId="21035" xr:uid="{B754E68F-3CEA-41DE-8B88-27D30B2CBA2E}"/>
    <cellStyle name="Normal 107 4 6" xfId="14009" xr:uid="{2ED5B075-E3F1-4AD3-952F-71CB87C04827}"/>
    <cellStyle name="Normal 107 5" xfId="9079" xr:uid="{00000000-0005-0000-0000-00008C0F0000}"/>
    <cellStyle name="Normal 107 5 2" xfId="17885" xr:uid="{34A7DD76-DCF8-4466-8D74-59B6E3F41D00}"/>
    <cellStyle name="Normal 107 6" xfId="7476" xr:uid="{00000000-0005-0000-0000-00008D0F0000}"/>
    <cellStyle name="Normal 107 6 2" xfId="16286" xr:uid="{6D51C747-8AD1-408D-9BE4-0ABDE79FC710}"/>
    <cellStyle name="Normal 107 7" xfId="10689" xr:uid="{00000000-0005-0000-0000-00008E0F0000}"/>
    <cellStyle name="Normal 107 7 2" xfId="19432" xr:uid="{9EF9B7B2-DCD9-4C2D-95C2-6E490232EB8D}"/>
    <cellStyle name="Normal 107 8" xfId="12296" xr:uid="{00000000-0005-0000-0000-00008F0F0000}"/>
    <cellStyle name="Normal 107 8 2" xfId="21032" xr:uid="{15BCD701-D839-4B85-9FF5-436F29EBC01D}"/>
    <cellStyle name="Normal 107 9" xfId="14018" xr:uid="{38817BBC-01D8-47A7-8A65-B6D73EEE30D0}"/>
    <cellStyle name="Normal 108" xfId="1979" xr:uid="{00000000-0005-0000-0000-0000900F0000}"/>
    <cellStyle name="Normal 108 2" xfId="1980" xr:uid="{00000000-0005-0000-0000-0000910F0000}"/>
    <cellStyle name="Normal 108 2 2" xfId="9084" xr:uid="{00000000-0005-0000-0000-0000920F0000}"/>
    <cellStyle name="Normal 108 2 2 2" xfId="17890" xr:uid="{7FECCA6E-6F9C-41CC-A1FA-6B8F27D73F09}"/>
    <cellStyle name="Normal 108 2 3" xfId="7481" xr:uid="{00000000-0005-0000-0000-0000930F0000}"/>
    <cellStyle name="Normal 108 2 3 2" xfId="16291" xr:uid="{31488977-D979-4AB0-9F2A-39710191DCE0}"/>
    <cellStyle name="Normal 108 2 4" xfId="10694" xr:uid="{00000000-0005-0000-0000-0000940F0000}"/>
    <cellStyle name="Normal 108 2 4 2" xfId="19437" xr:uid="{EACBCBF2-5757-4A55-8699-782C4BBFCD70}"/>
    <cellStyle name="Normal 108 2 5" xfId="12301" xr:uid="{00000000-0005-0000-0000-0000950F0000}"/>
    <cellStyle name="Normal 108 2 5 2" xfId="21037" xr:uid="{1C6EA890-D3E5-4144-B971-089D9A35C476}"/>
    <cellStyle name="Normal 108 2 6" xfId="14456" xr:uid="{A53C50E7-3010-4A15-AC07-0E3A8643715F}"/>
    <cellStyle name="Normal 108 3" xfId="1981" xr:uid="{00000000-0005-0000-0000-0000960F0000}"/>
    <cellStyle name="Normal 108 3 2" xfId="9085" xr:uid="{00000000-0005-0000-0000-0000970F0000}"/>
    <cellStyle name="Normal 108 3 2 2" xfId="17891" xr:uid="{4F6EDC63-F21F-4E2C-8D4A-3221E53F3340}"/>
    <cellStyle name="Normal 108 3 3" xfId="7482" xr:uid="{00000000-0005-0000-0000-0000980F0000}"/>
    <cellStyle name="Normal 108 3 3 2" xfId="16292" xr:uid="{3741FB4C-7EB0-4D7A-B7BC-9F5B51B7A6EB}"/>
    <cellStyle name="Normal 108 3 4" xfId="10695" xr:uid="{00000000-0005-0000-0000-0000990F0000}"/>
    <cellStyle name="Normal 108 3 4 2" xfId="19438" xr:uid="{B5037BCE-76A1-4BF4-8325-9639FC4F4867}"/>
    <cellStyle name="Normal 108 3 5" xfId="12302" xr:uid="{00000000-0005-0000-0000-00009A0F0000}"/>
    <cellStyle name="Normal 108 3 5 2" xfId="21038" xr:uid="{97BDDE32-70BB-4489-B851-8556B110E5ED}"/>
    <cellStyle name="Normal 108 3 6" xfId="14455" xr:uid="{BD5465C1-85DF-4F68-9CE5-5F8605D9A463}"/>
    <cellStyle name="Normal 108 4" xfId="1982" xr:uid="{00000000-0005-0000-0000-00009B0F0000}"/>
    <cellStyle name="Normal 108 4 2" xfId="9086" xr:uid="{00000000-0005-0000-0000-00009C0F0000}"/>
    <cellStyle name="Normal 108 4 2 2" xfId="17892" xr:uid="{38185713-6ECA-4282-A599-B82CDADA9A35}"/>
    <cellStyle name="Normal 108 4 3" xfId="7483" xr:uid="{00000000-0005-0000-0000-00009D0F0000}"/>
    <cellStyle name="Normal 108 4 3 2" xfId="16293" xr:uid="{1DC81EA2-6F5D-4270-A633-9BF201BFC687}"/>
    <cellStyle name="Normal 108 4 4" xfId="10696" xr:uid="{00000000-0005-0000-0000-00009E0F0000}"/>
    <cellStyle name="Normal 108 4 4 2" xfId="19439" xr:uid="{6025748F-CBFE-4E00-9BB9-4A31522B2117}"/>
    <cellStyle name="Normal 108 4 5" xfId="12303" xr:uid="{00000000-0005-0000-0000-00009F0F0000}"/>
    <cellStyle name="Normal 108 4 5 2" xfId="21039" xr:uid="{E0E56DC0-2D3A-4186-94A4-B4CD4A210406}"/>
    <cellStyle name="Normal 108 4 6" xfId="14454" xr:uid="{6869A2C9-1C35-4DCF-9F55-374F4E175F47}"/>
    <cellStyle name="Normal 108 5" xfId="9083" xr:uid="{00000000-0005-0000-0000-0000A00F0000}"/>
    <cellStyle name="Normal 108 5 2" xfId="17889" xr:uid="{68519A32-8AEE-459D-823A-5CE6CFFD5743}"/>
    <cellStyle name="Normal 108 6" xfId="7480" xr:uid="{00000000-0005-0000-0000-0000A10F0000}"/>
    <cellStyle name="Normal 108 6 2" xfId="16290" xr:uid="{1DCFA5EC-5EB6-422F-8A65-800394067DC1}"/>
    <cellStyle name="Normal 108 7" xfId="10693" xr:uid="{00000000-0005-0000-0000-0000A20F0000}"/>
    <cellStyle name="Normal 108 7 2" xfId="19436" xr:uid="{93DDA685-BAC4-4C08-BBD8-370892A8FA7D}"/>
    <cellStyle name="Normal 108 8" xfId="12300" xr:uid="{00000000-0005-0000-0000-0000A30F0000}"/>
    <cellStyle name="Normal 108 8 2" xfId="21036" xr:uid="{B787CE4A-778A-4C3C-8C3E-8BC76F18A53D}"/>
    <cellStyle name="Normal 108 9" xfId="14457" xr:uid="{E05BF51D-3C00-4DE4-901A-ED5716ADA727}"/>
    <cellStyle name="Normal 109" xfId="1983" xr:uid="{00000000-0005-0000-0000-0000A40F0000}"/>
    <cellStyle name="Normal 109 2" xfId="1984" xr:uid="{00000000-0005-0000-0000-0000A50F0000}"/>
    <cellStyle name="Normal 109 2 2" xfId="9088" xr:uid="{00000000-0005-0000-0000-0000A60F0000}"/>
    <cellStyle name="Normal 109 2 2 2" xfId="17894" xr:uid="{2B2CE7F5-8A49-4029-BF70-2377C8380ABE}"/>
    <cellStyle name="Normal 109 2 3" xfId="7485" xr:uid="{00000000-0005-0000-0000-0000A70F0000}"/>
    <cellStyle name="Normal 109 2 3 2" xfId="16295" xr:uid="{984C5D14-8034-4ECC-9C99-1A9A7E72B92A}"/>
    <cellStyle name="Normal 109 2 4" xfId="10698" xr:uid="{00000000-0005-0000-0000-0000A80F0000}"/>
    <cellStyle name="Normal 109 2 4 2" xfId="19441" xr:uid="{405DF273-8A4C-4FB0-9B90-A49B60D97B84}"/>
    <cellStyle name="Normal 109 2 5" xfId="12305" xr:uid="{00000000-0005-0000-0000-0000A90F0000}"/>
    <cellStyle name="Normal 109 2 5 2" xfId="21041" xr:uid="{37D49187-A38D-4967-B57B-3FBC1700A9BE}"/>
    <cellStyle name="Normal 109 2 6" xfId="14449" xr:uid="{EE920805-8B6D-48CF-969F-FD3D384034B2}"/>
    <cellStyle name="Normal 109 3" xfId="1985" xr:uid="{00000000-0005-0000-0000-0000AA0F0000}"/>
    <cellStyle name="Normal 109 3 2" xfId="9089" xr:uid="{00000000-0005-0000-0000-0000AB0F0000}"/>
    <cellStyle name="Normal 109 3 2 2" xfId="17895" xr:uid="{8D586EC0-BB93-4763-8E5D-05246647227A}"/>
    <cellStyle name="Normal 109 3 3" xfId="7486" xr:uid="{00000000-0005-0000-0000-0000AC0F0000}"/>
    <cellStyle name="Normal 109 3 3 2" xfId="16296" xr:uid="{FE6456DC-C1AA-427B-AC43-5CDA00107E9D}"/>
    <cellStyle name="Normal 109 3 4" xfId="10699" xr:uid="{00000000-0005-0000-0000-0000AD0F0000}"/>
    <cellStyle name="Normal 109 3 4 2" xfId="19442" xr:uid="{AA60C8EB-BFFD-4C8E-93C6-CB113D3B3B1F}"/>
    <cellStyle name="Normal 109 3 5" xfId="12306" xr:uid="{00000000-0005-0000-0000-0000AE0F0000}"/>
    <cellStyle name="Normal 109 3 5 2" xfId="21042" xr:uid="{1013F8A2-A43E-40D6-A6B0-38C3B6017228}"/>
    <cellStyle name="Normal 109 3 6" xfId="14448" xr:uid="{B35389BE-A1AD-4F22-B69B-407309510F8D}"/>
    <cellStyle name="Normal 109 4" xfId="1986" xr:uid="{00000000-0005-0000-0000-0000AF0F0000}"/>
    <cellStyle name="Normal 109 4 2" xfId="9090" xr:uid="{00000000-0005-0000-0000-0000B00F0000}"/>
    <cellStyle name="Normal 109 4 2 2" xfId="17896" xr:uid="{7B2F66E3-8AAF-4A38-9945-6C2F9FFF81CE}"/>
    <cellStyle name="Normal 109 4 3" xfId="7487" xr:uid="{00000000-0005-0000-0000-0000B10F0000}"/>
    <cellStyle name="Normal 109 4 3 2" xfId="16297" xr:uid="{34888CDB-5A28-4D75-949B-430E9A3DF02C}"/>
    <cellStyle name="Normal 109 4 4" xfId="10700" xr:uid="{00000000-0005-0000-0000-0000B20F0000}"/>
    <cellStyle name="Normal 109 4 4 2" xfId="19443" xr:uid="{FEFBFE4E-6DE9-4920-AB52-64CD0165031A}"/>
    <cellStyle name="Normal 109 4 5" xfId="12307" xr:uid="{00000000-0005-0000-0000-0000B30F0000}"/>
    <cellStyle name="Normal 109 4 5 2" xfId="21043" xr:uid="{C7112017-C4BA-4FA9-8842-182A4153E4C1}"/>
    <cellStyle name="Normal 109 4 6" xfId="14447" xr:uid="{0DFFE757-BD10-4AFD-993A-96F989D9F7BA}"/>
    <cellStyle name="Normal 109 5" xfId="9087" xr:uid="{00000000-0005-0000-0000-0000B40F0000}"/>
    <cellStyle name="Normal 109 5 2" xfId="17893" xr:uid="{5692A1A4-301B-43CA-A225-6555C6E3D361}"/>
    <cellStyle name="Normal 109 6" xfId="7484" xr:uid="{00000000-0005-0000-0000-0000B50F0000}"/>
    <cellStyle name="Normal 109 6 2" xfId="16294" xr:uid="{2360058C-8493-4CFE-A43E-C39A0BB2F266}"/>
    <cellStyle name="Normal 109 7" xfId="10697" xr:uid="{00000000-0005-0000-0000-0000B60F0000}"/>
    <cellStyle name="Normal 109 7 2" xfId="19440" xr:uid="{3BD19FFA-EB13-4378-95DC-1B904692C66E}"/>
    <cellStyle name="Normal 109 8" xfId="12304" xr:uid="{00000000-0005-0000-0000-0000B70F0000}"/>
    <cellStyle name="Normal 109 8 2" xfId="21040" xr:uid="{AF606D7F-4354-4082-8948-24AB628C6764}"/>
    <cellStyle name="Normal 109 9" xfId="14453" xr:uid="{0C91B672-8C41-4A77-9F9D-598C784082FB}"/>
    <cellStyle name="Normal 11" xfId="131" xr:uid="{00000000-0005-0000-0000-0000B80F0000}"/>
    <cellStyle name="Normal 11 2" xfId="1988" xr:uid="{00000000-0005-0000-0000-0000B90F0000}"/>
    <cellStyle name="Normal 11 2 10" xfId="1989" xr:uid="{00000000-0005-0000-0000-0000BA0F0000}"/>
    <cellStyle name="Normal 11 2 10 2" xfId="9092" xr:uid="{00000000-0005-0000-0000-0000BB0F0000}"/>
    <cellStyle name="Normal 11 2 10 2 2" xfId="17898" xr:uid="{D8A1F3E6-2E27-4907-B2DB-849ED84D231C}"/>
    <cellStyle name="Normal 11 2 10 3" xfId="7489" xr:uid="{00000000-0005-0000-0000-0000BC0F0000}"/>
    <cellStyle name="Normal 11 2 10 3 2" xfId="16299" xr:uid="{E2BF99E3-FF39-4350-ABFD-F2B807E4CB18}"/>
    <cellStyle name="Normal 11 2 10 4" xfId="10702" xr:uid="{00000000-0005-0000-0000-0000BD0F0000}"/>
    <cellStyle name="Normal 11 2 10 4 2" xfId="19445" xr:uid="{18021C0C-C767-4E8C-89DA-95A2847D2B07}"/>
    <cellStyle name="Normal 11 2 10 5" xfId="12309" xr:uid="{00000000-0005-0000-0000-0000BE0F0000}"/>
    <cellStyle name="Normal 11 2 10 5 2" xfId="21045" xr:uid="{E9014C03-58C9-45C6-B7C3-7BC81DBD8C79}"/>
    <cellStyle name="Normal 11 2 10 6" xfId="14443" xr:uid="{1117D429-E18C-40A4-94CD-AA2A9937E832}"/>
    <cellStyle name="Normal 11 2 11" xfId="6926" xr:uid="{00000000-0005-0000-0000-0000BF0F0000}"/>
    <cellStyle name="Normal 11 2 11 2" xfId="16192" xr:uid="{0910E30D-BEB1-4062-A55D-64822AFFEF5A}"/>
    <cellStyle name="Normal 11 2 12" xfId="14607" xr:uid="{BAE5C098-79DA-45AC-B501-9E15E719081A}"/>
    <cellStyle name="Normal 11 2 2" xfId="1990" xr:uid="{00000000-0005-0000-0000-0000C00F0000}"/>
    <cellStyle name="Normal 11 2 2 2" xfId="1991" xr:uid="{00000000-0005-0000-0000-0000C10F0000}"/>
    <cellStyle name="Normal 11 2 2 2 2" xfId="9093" xr:uid="{00000000-0005-0000-0000-0000C20F0000}"/>
    <cellStyle name="Normal 11 2 2 2 2 2" xfId="17899" xr:uid="{2991B67D-BFBC-4431-8DE5-D0C52C145054}"/>
    <cellStyle name="Normal 11 2 2 2 3" xfId="7490" xr:uid="{00000000-0005-0000-0000-0000C30F0000}"/>
    <cellStyle name="Normal 11 2 2 2 3 2" xfId="16300" xr:uid="{5CD6715A-AB50-4F33-8C55-00283F65BCC9}"/>
    <cellStyle name="Normal 11 2 2 2 4" xfId="10703" xr:uid="{00000000-0005-0000-0000-0000C40F0000}"/>
    <cellStyle name="Normal 11 2 2 2 4 2" xfId="19446" xr:uid="{0C9BC23E-0274-44C0-9379-8E1AAB397CF3}"/>
    <cellStyle name="Normal 11 2 2 2 5" xfId="12310" xr:uid="{00000000-0005-0000-0000-0000C50F0000}"/>
    <cellStyle name="Normal 11 2 2 2 5 2" xfId="21046" xr:uid="{9792B2ED-CC26-4EB5-B74E-2BA9D25C90A0}"/>
    <cellStyle name="Normal 11 2 2 2 6" xfId="14440" xr:uid="{DB3F3CDA-6C61-4D6F-8728-D39872C98B01}"/>
    <cellStyle name="Normal 11 2 2 3" xfId="1992" xr:uid="{00000000-0005-0000-0000-0000C60F0000}"/>
    <cellStyle name="Normal 11 2 2 3 2" xfId="9094" xr:uid="{00000000-0005-0000-0000-0000C70F0000}"/>
    <cellStyle name="Normal 11 2 2 3 2 2" xfId="17900" xr:uid="{D58D26B4-BBC1-4635-850C-90CD7C9E0A39}"/>
    <cellStyle name="Normal 11 2 2 3 3" xfId="7491" xr:uid="{00000000-0005-0000-0000-0000C80F0000}"/>
    <cellStyle name="Normal 11 2 2 3 3 2" xfId="16301" xr:uid="{5F0D6FD6-2E62-4B37-8E70-4F2895BCB03F}"/>
    <cellStyle name="Normal 11 2 2 3 4" xfId="10704" xr:uid="{00000000-0005-0000-0000-0000C90F0000}"/>
    <cellStyle name="Normal 11 2 2 3 4 2" xfId="19447" xr:uid="{007F674D-CCDE-4F2B-87DD-3B0BB97A9386}"/>
    <cellStyle name="Normal 11 2 2 3 5" xfId="12311" xr:uid="{00000000-0005-0000-0000-0000CA0F0000}"/>
    <cellStyle name="Normal 11 2 2 3 5 2" xfId="21047" xr:uid="{60833DE9-2A01-4CA5-B3ED-FFE5428F84FA}"/>
    <cellStyle name="Normal 11 2 2 3 6" xfId="14438" xr:uid="{3BA6A25F-278F-410C-AD54-FEB32DF8F846}"/>
    <cellStyle name="Normal 11 2 2 4" xfId="1993" xr:uid="{00000000-0005-0000-0000-0000CB0F0000}"/>
    <cellStyle name="Normal 11 2 2 4 2" xfId="9095" xr:uid="{00000000-0005-0000-0000-0000CC0F0000}"/>
    <cellStyle name="Normal 11 2 2 4 2 2" xfId="17901" xr:uid="{3A96135F-8042-4461-933A-3331E6AE641B}"/>
    <cellStyle name="Normal 11 2 2 4 3" xfId="7492" xr:uid="{00000000-0005-0000-0000-0000CD0F0000}"/>
    <cellStyle name="Normal 11 2 2 4 3 2" xfId="16302" xr:uid="{361EC718-EB82-4FEC-8416-7CF6282492C3}"/>
    <cellStyle name="Normal 11 2 2 4 4" xfId="10705" xr:uid="{00000000-0005-0000-0000-0000CE0F0000}"/>
    <cellStyle name="Normal 11 2 2 4 4 2" xfId="19448" xr:uid="{99FBC514-6052-4E07-9505-1EF390E3ADA8}"/>
    <cellStyle name="Normal 11 2 2 4 5" xfId="12312" xr:uid="{00000000-0005-0000-0000-0000CF0F0000}"/>
    <cellStyle name="Normal 11 2 2 4 5 2" xfId="21048" xr:uid="{198F5D22-DF24-4BA5-8016-9E2DC07D9413}"/>
    <cellStyle name="Normal 11 2 2 4 6" xfId="14828" xr:uid="{E80001B0-3FA9-44BA-AD09-B32F4C588E00}"/>
    <cellStyle name="Normal 11 2 2 5" xfId="1994" xr:uid="{00000000-0005-0000-0000-0000D00F0000}"/>
    <cellStyle name="Normal 11 2 2 5 2" xfId="9096" xr:uid="{00000000-0005-0000-0000-0000D10F0000}"/>
    <cellStyle name="Normal 11 2 2 5 2 2" xfId="17902" xr:uid="{3E804508-89B9-475F-BDA4-0C5C5D7D9581}"/>
    <cellStyle name="Normal 11 2 2 5 3" xfId="7493" xr:uid="{00000000-0005-0000-0000-0000D20F0000}"/>
    <cellStyle name="Normal 11 2 2 5 3 2" xfId="16303" xr:uid="{9DEDDA18-4583-4D60-8ACC-E0CB09B4F6A4}"/>
    <cellStyle name="Normal 11 2 2 5 4" xfId="10706" xr:uid="{00000000-0005-0000-0000-0000D30F0000}"/>
    <cellStyle name="Normal 11 2 2 5 4 2" xfId="19449" xr:uid="{3106463A-3CE7-4AB4-A280-B5D8401100FF}"/>
    <cellStyle name="Normal 11 2 2 5 5" xfId="12313" xr:uid="{00000000-0005-0000-0000-0000D40F0000}"/>
    <cellStyle name="Normal 11 2 2 5 5 2" xfId="21049" xr:uid="{314009D4-EE75-40A1-807A-EF7DF04D7885}"/>
    <cellStyle name="Normal 11 2 2 5 6" xfId="14086" xr:uid="{84A2AA8E-27FE-4363-A66E-B10255F11CB3}"/>
    <cellStyle name="Normal 11 2 3" xfId="1995" xr:uid="{00000000-0005-0000-0000-0000D50F0000}"/>
    <cellStyle name="Normal 11 2 3 2" xfId="1996" xr:uid="{00000000-0005-0000-0000-0000D60F0000}"/>
    <cellStyle name="Normal 11 2 3 2 2" xfId="9098" xr:uid="{00000000-0005-0000-0000-0000D70F0000}"/>
    <cellStyle name="Normal 11 2 3 2 2 2" xfId="17904" xr:uid="{8F2E4BD5-4258-4DD5-AB3C-12A53D3EBD1E}"/>
    <cellStyle name="Normal 11 2 3 2 3" xfId="7495" xr:uid="{00000000-0005-0000-0000-0000D80F0000}"/>
    <cellStyle name="Normal 11 2 3 2 3 2" xfId="16305" xr:uid="{4B3B63FD-42E7-4B6D-84B9-B5EBAF89C895}"/>
    <cellStyle name="Normal 11 2 3 2 4" xfId="10708" xr:uid="{00000000-0005-0000-0000-0000D90F0000}"/>
    <cellStyle name="Normal 11 2 3 2 4 2" xfId="19451" xr:uid="{4C38B281-A5F2-4B4B-A1B9-6158365CD515}"/>
    <cellStyle name="Normal 11 2 3 2 5" xfId="12315" xr:uid="{00000000-0005-0000-0000-0000DA0F0000}"/>
    <cellStyle name="Normal 11 2 3 2 5 2" xfId="21051" xr:uid="{A3AD5A27-1A1E-40B5-8200-990C2A4470C7}"/>
    <cellStyle name="Normal 11 2 3 2 6" xfId="13917" xr:uid="{A14BC5D6-49B8-4F5F-8C07-71305AD75B9D}"/>
    <cellStyle name="Normal 11 2 3 3" xfId="1997" xr:uid="{00000000-0005-0000-0000-0000DB0F0000}"/>
    <cellStyle name="Normal 11 2 3 3 2" xfId="9099" xr:uid="{00000000-0005-0000-0000-0000DC0F0000}"/>
    <cellStyle name="Normal 11 2 3 3 2 2" xfId="17905" xr:uid="{85E4CB70-92DB-404C-8BA7-B2D5830BF4EF}"/>
    <cellStyle name="Normal 11 2 3 3 3" xfId="7496" xr:uid="{00000000-0005-0000-0000-0000DD0F0000}"/>
    <cellStyle name="Normal 11 2 3 3 3 2" xfId="16306" xr:uid="{C227FB0B-42B7-47CC-9A75-414658D35D4F}"/>
    <cellStyle name="Normal 11 2 3 3 4" xfId="10709" xr:uid="{00000000-0005-0000-0000-0000DE0F0000}"/>
    <cellStyle name="Normal 11 2 3 3 4 2" xfId="19452" xr:uid="{C942CC96-3C55-481A-AD2D-7B49A7977320}"/>
    <cellStyle name="Normal 11 2 3 3 5" xfId="12316" xr:uid="{00000000-0005-0000-0000-0000DF0F0000}"/>
    <cellStyle name="Normal 11 2 3 3 5 2" xfId="21052" xr:uid="{3C0C8B35-6BDC-4705-99D0-C37807644599}"/>
    <cellStyle name="Normal 11 2 3 3 6" xfId="14150" xr:uid="{BE003A67-EDA0-4921-91CD-510B210F54F0}"/>
    <cellStyle name="Normal 11 2 3 4" xfId="1998" xr:uid="{00000000-0005-0000-0000-0000E00F0000}"/>
    <cellStyle name="Normal 11 2 3 4 2" xfId="9100" xr:uid="{00000000-0005-0000-0000-0000E10F0000}"/>
    <cellStyle name="Normal 11 2 3 4 2 2" xfId="17906" xr:uid="{82373511-BEA3-4538-A70B-F6C11F631C62}"/>
    <cellStyle name="Normal 11 2 3 4 3" xfId="7497" xr:uid="{00000000-0005-0000-0000-0000E20F0000}"/>
    <cellStyle name="Normal 11 2 3 4 3 2" xfId="16307" xr:uid="{3BF6F623-D553-42F7-9FBE-6272EA007B0E}"/>
    <cellStyle name="Normal 11 2 3 4 4" xfId="10710" xr:uid="{00000000-0005-0000-0000-0000E30F0000}"/>
    <cellStyle name="Normal 11 2 3 4 4 2" xfId="19453" xr:uid="{A84FF22B-875C-42DE-ADEF-EC24A60A4494}"/>
    <cellStyle name="Normal 11 2 3 4 5" xfId="12317" xr:uid="{00000000-0005-0000-0000-0000E40F0000}"/>
    <cellStyle name="Normal 11 2 3 4 5 2" xfId="21053" xr:uid="{BFB63790-3937-4F9A-B07C-8AB6F1C298AF}"/>
    <cellStyle name="Normal 11 2 3 4 6" xfId="14800" xr:uid="{E0D6992A-94DE-4915-B8EF-39AD3AF8F186}"/>
    <cellStyle name="Normal 11 2 3 5" xfId="9097" xr:uid="{00000000-0005-0000-0000-0000E50F0000}"/>
    <cellStyle name="Normal 11 2 3 5 2" xfId="17903" xr:uid="{8C991BA5-C449-4364-A174-3D9D68A7260C}"/>
    <cellStyle name="Normal 11 2 3 6" xfId="7494" xr:uid="{00000000-0005-0000-0000-0000E60F0000}"/>
    <cellStyle name="Normal 11 2 3 6 2" xfId="16304" xr:uid="{3760E65E-0ACD-4976-BCF7-167F22FDA5CD}"/>
    <cellStyle name="Normal 11 2 3 7" xfId="10707" xr:uid="{00000000-0005-0000-0000-0000E70F0000}"/>
    <cellStyle name="Normal 11 2 3 7 2" xfId="19450" xr:uid="{E0E84F5C-C4A0-4E41-8972-6CDAAF4BF626}"/>
    <cellStyle name="Normal 11 2 3 8" xfId="12314" xr:uid="{00000000-0005-0000-0000-0000E80F0000}"/>
    <cellStyle name="Normal 11 2 3 8 2" xfId="21050" xr:uid="{DAA43783-166D-4F8E-AE8C-0B41A407EC0A}"/>
    <cellStyle name="Normal 11 2 3 9" xfId="14710" xr:uid="{A9852CAD-A1AC-40AD-B6F7-75D0508BA2E4}"/>
    <cellStyle name="Normal 11 2 4" xfId="1999" xr:uid="{00000000-0005-0000-0000-0000E90F0000}"/>
    <cellStyle name="Normal 11 2 4 2" xfId="2000" xr:uid="{00000000-0005-0000-0000-0000EA0F0000}"/>
    <cellStyle name="Normal 11 2 4 2 2" xfId="2001" xr:uid="{00000000-0005-0000-0000-0000EB0F0000}"/>
    <cellStyle name="Normal 11 2 4 2 2 2" xfId="2002" xr:uid="{00000000-0005-0000-0000-0000EC0F0000}"/>
    <cellStyle name="Normal 11 2 4 2 2 2 2" xfId="9102" xr:uid="{00000000-0005-0000-0000-0000ED0F0000}"/>
    <cellStyle name="Normal 11 2 4 2 2 2 2 2" xfId="17908" xr:uid="{233927F3-9A16-46F9-8DCC-AC4CA8687F05}"/>
    <cellStyle name="Normal 11 2 4 2 2 2 3" xfId="7499" xr:uid="{00000000-0005-0000-0000-0000EE0F0000}"/>
    <cellStyle name="Normal 11 2 4 2 2 2 3 2" xfId="16309" xr:uid="{31B6ECF6-3A08-47AA-94DE-C2B61F1EE32B}"/>
    <cellStyle name="Normal 11 2 4 2 2 2 4" xfId="10712" xr:uid="{00000000-0005-0000-0000-0000EF0F0000}"/>
    <cellStyle name="Normal 11 2 4 2 2 2 4 2" xfId="19455" xr:uid="{4A41B892-13BE-4FA4-B20F-A63ABB7BA14A}"/>
    <cellStyle name="Normal 11 2 4 2 2 2 5" xfId="12319" xr:uid="{00000000-0005-0000-0000-0000F00F0000}"/>
    <cellStyle name="Normal 11 2 4 2 2 2 5 2" xfId="21055" xr:uid="{227FCBB0-7ED4-430B-AE1E-3CE629C16520}"/>
    <cellStyle name="Normal 11 2 4 2 2 2 6" xfId="14591" xr:uid="{BC64B32E-F8EA-4270-BE0A-9B429E42C635}"/>
    <cellStyle name="Normal 11 2 4 2 2 3" xfId="2003" xr:uid="{00000000-0005-0000-0000-0000F10F0000}"/>
    <cellStyle name="Normal 11 2 4 2 2 3 2" xfId="9103" xr:uid="{00000000-0005-0000-0000-0000F20F0000}"/>
    <cellStyle name="Normal 11 2 4 2 2 3 2 2" xfId="17909" xr:uid="{B6CC3FC2-C0B4-42A5-A3F4-B8573BFFEF22}"/>
    <cellStyle name="Normal 11 2 4 2 2 3 3" xfId="7500" xr:uid="{00000000-0005-0000-0000-0000F30F0000}"/>
    <cellStyle name="Normal 11 2 4 2 2 3 3 2" xfId="16310" xr:uid="{6D3FB5EA-B8EE-4CFB-810C-00E64B85A33B}"/>
    <cellStyle name="Normal 11 2 4 2 2 3 4" xfId="10713" xr:uid="{00000000-0005-0000-0000-0000F40F0000}"/>
    <cellStyle name="Normal 11 2 4 2 2 3 4 2" xfId="19456" xr:uid="{575B3EDF-6E1F-4D5B-B48A-6CE9FDA89A82}"/>
    <cellStyle name="Normal 11 2 4 2 2 3 5" xfId="12320" xr:uid="{00000000-0005-0000-0000-0000F50F0000}"/>
    <cellStyle name="Normal 11 2 4 2 2 3 5 2" xfId="21056" xr:uid="{40A7987F-55ED-4DD0-A55C-27698BA14F8C}"/>
    <cellStyle name="Normal 11 2 4 2 2 3 6" xfId="14178" xr:uid="{20324B24-873A-4E09-9023-A93BE7224059}"/>
    <cellStyle name="Normal 11 2 4 2 2 4" xfId="2004" xr:uid="{00000000-0005-0000-0000-0000F60F0000}"/>
    <cellStyle name="Normal 11 2 4 2 2 4 2" xfId="9104" xr:uid="{00000000-0005-0000-0000-0000F70F0000}"/>
    <cellStyle name="Normal 11 2 4 2 2 4 2 2" xfId="17910" xr:uid="{899CF1AA-D880-40D1-956A-A6D7DF4C3F52}"/>
    <cellStyle name="Normal 11 2 4 2 2 4 3" xfId="7501" xr:uid="{00000000-0005-0000-0000-0000F80F0000}"/>
    <cellStyle name="Normal 11 2 4 2 2 4 3 2" xfId="16311" xr:uid="{F81408B9-C1B8-46F2-8F91-4B6A821C77C1}"/>
    <cellStyle name="Normal 11 2 4 2 2 4 4" xfId="10714" xr:uid="{00000000-0005-0000-0000-0000F90F0000}"/>
    <cellStyle name="Normal 11 2 4 2 2 4 4 2" xfId="19457" xr:uid="{A530137F-CF6B-4456-99DD-3B69CCF972ED}"/>
    <cellStyle name="Normal 11 2 4 2 2 4 5" xfId="12321" xr:uid="{00000000-0005-0000-0000-0000FA0F0000}"/>
    <cellStyle name="Normal 11 2 4 2 2 4 5 2" xfId="21057" xr:uid="{2606EFC5-25AD-4D60-B233-D18B339FDB2D}"/>
    <cellStyle name="Normal 11 2 4 2 2 4 6" xfId="14173" xr:uid="{3F463A98-7E06-486C-B974-9826828C29F9}"/>
    <cellStyle name="Normal 11 2 4 2 3" xfId="2005" xr:uid="{00000000-0005-0000-0000-0000FB0F0000}"/>
    <cellStyle name="Normal 11 2 4 2 4" xfId="2006" xr:uid="{00000000-0005-0000-0000-0000FC0F0000}"/>
    <cellStyle name="Normal 11 2 4 2 5" xfId="9101" xr:uid="{00000000-0005-0000-0000-0000FD0F0000}"/>
    <cellStyle name="Normal 11 2 4 2 5 2" xfId="17907" xr:uid="{B3651BEB-BA85-49FC-AEE7-5417C87D46B0}"/>
    <cellStyle name="Normal 11 2 4 2 6" xfId="7498" xr:uid="{00000000-0005-0000-0000-0000FE0F0000}"/>
    <cellStyle name="Normal 11 2 4 2 6 2" xfId="16308" xr:uid="{3642F4D6-E604-434B-A8AB-BE442E4ECDD7}"/>
    <cellStyle name="Normal 11 2 4 2 7" xfId="10711" xr:uid="{00000000-0005-0000-0000-0000FF0F0000}"/>
    <cellStyle name="Normal 11 2 4 2 7 2" xfId="19454" xr:uid="{848086C4-5CD6-4DBC-B7EC-4D76F6A15FCE}"/>
    <cellStyle name="Normal 11 2 4 2 8" xfId="12318" xr:uid="{00000000-0005-0000-0000-000000100000}"/>
    <cellStyle name="Normal 11 2 4 2 8 2" xfId="21054" xr:uid="{EA18E0EF-A9C5-46CD-938A-FC068CC92A4C}"/>
    <cellStyle name="Normal 11 2 4 2 9" xfId="14790" xr:uid="{0637AF5C-047D-48B7-B3D0-5B7401C0F2A2}"/>
    <cellStyle name="Normal 11 2 4 3" xfId="2007" xr:uid="{00000000-0005-0000-0000-000001100000}"/>
    <cellStyle name="Normal 11 2 4 3 2" xfId="2008" xr:uid="{00000000-0005-0000-0000-000002100000}"/>
    <cellStyle name="Normal 11 2 4 3 2 2" xfId="9106" xr:uid="{00000000-0005-0000-0000-000003100000}"/>
    <cellStyle name="Normal 11 2 4 3 2 2 2" xfId="17912" xr:uid="{C9596AD2-0E61-44B6-89CD-4198FD4458DD}"/>
    <cellStyle name="Normal 11 2 4 3 2 3" xfId="7503" xr:uid="{00000000-0005-0000-0000-000004100000}"/>
    <cellStyle name="Normal 11 2 4 3 2 3 2" xfId="16313" xr:uid="{EED7840D-1B34-4040-8076-61A690A39D8C}"/>
    <cellStyle name="Normal 11 2 4 3 2 4" xfId="10716" xr:uid="{00000000-0005-0000-0000-000005100000}"/>
    <cellStyle name="Normal 11 2 4 3 2 4 2" xfId="19459" xr:uid="{CEA2284E-6776-47E8-9E62-EA4B95D085B8}"/>
    <cellStyle name="Normal 11 2 4 3 2 5" xfId="12323" xr:uid="{00000000-0005-0000-0000-000006100000}"/>
    <cellStyle name="Normal 11 2 4 3 2 5 2" xfId="21059" xr:uid="{3610F1F1-0C36-4BE5-8079-3B725F728AA6}"/>
    <cellStyle name="Normal 11 2 4 3 2 6" xfId="14555" xr:uid="{566C39B0-D092-452D-A570-741F134E21F9}"/>
    <cellStyle name="Normal 11 2 4 3 3" xfId="2009" xr:uid="{00000000-0005-0000-0000-000007100000}"/>
    <cellStyle name="Normal 11 2 4 3 3 2" xfId="9107" xr:uid="{00000000-0005-0000-0000-000008100000}"/>
    <cellStyle name="Normal 11 2 4 3 3 2 2" xfId="17913" xr:uid="{384A0654-9C8E-4A5A-91FE-D8D7E2D53399}"/>
    <cellStyle name="Normal 11 2 4 3 3 3" xfId="7504" xr:uid="{00000000-0005-0000-0000-000009100000}"/>
    <cellStyle name="Normal 11 2 4 3 3 3 2" xfId="16314" xr:uid="{8A6F7189-0519-433B-912A-25D42006CC5C}"/>
    <cellStyle name="Normal 11 2 4 3 3 4" xfId="10717" xr:uid="{00000000-0005-0000-0000-00000A100000}"/>
    <cellStyle name="Normal 11 2 4 3 3 4 2" xfId="19460" xr:uid="{FEC05DF6-C04E-44D9-82B9-498CAE2A9C9C}"/>
    <cellStyle name="Normal 11 2 4 3 3 5" xfId="12324" xr:uid="{00000000-0005-0000-0000-00000B100000}"/>
    <cellStyle name="Normal 11 2 4 3 3 5 2" xfId="21060" xr:uid="{AE2D38DF-E85A-4F7D-9642-359EBAD80A09}"/>
    <cellStyle name="Normal 11 2 4 3 3 6" xfId="14162" xr:uid="{E6DD5A2C-C4C5-4776-B992-D3FE16B6B0C2}"/>
    <cellStyle name="Normal 11 2 4 3 4" xfId="2010" xr:uid="{00000000-0005-0000-0000-00000C100000}"/>
    <cellStyle name="Normal 11 2 4 3 4 2" xfId="9108" xr:uid="{00000000-0005-0000-0000-00000D100000}"/>
    <cellStyle name="Normal 11 2 4 3 4 2 2" xfId="17914" xr:uid="{F1F67C7B-9981-40D2-94BF-7FB0AC55DD54}"/>
    <cellStyle name="Normal 11 2 4 3 4 3" xfId="7505" xr:uid="{00000000-0005-0000-0000-00000E100000}"/>
    <cellStyle name="Normal 11 2 4 3 4 3 2" xfId="16315" xr:uid="{955EB720-17B4-42B6-9C1D-E94D6FE9F45F}"/>
    <cellStyle name="Normal 11 2 4 3 4 4" xfId="10718" xr:uid="{00000000-0005-0000-0000-00000F100000}"/>
    <cellStyle name="Normal 11 2 4 3 4 4 2" xfId="19461" xr:uid="{2B95709E-6FEE-4FAD-813A-BF36A6EA11EF}"/>
    <cellStyle name="Normal 11 2 4 3 4 5" xfId="12325" xr:uid="{00000000-0005-0000-0000-000010100000}"/>
    <cellStyle name="Normal 11 2 4 3 4 5 2" xfId="21061" xr:uid="{7B38C305-1B73-4597-A466-441F888CADE6}"/>
    <cellStyle name="Normal 11 2 4 3 4 6" xfId="14606" xr:uid="{B84AC7A6-59C3-400A-A682-AED6C6FA10BB}"/>
    <cellStyle name="Normal 11 2 4 3 5" xfId="9105" xr:uid="{00000000-0005-0000-0000-000011100000}"/>
    <cellStyle name="Normal 11 2 4 3 5 2" xfId="17911" xr:uid="{2B865179-5645-4AC1-ABDE-AE5BA9446A16}"/>
    <cellStyle name="Normal 11 2 4 3 6" xfId="7502" xr:uid="{00000000-0005-0000-0000-000012100000}"/>
    <cellStyle name="Normal 11 2 4 3 6 2" xfId="16312" xr:uid="{0D30E750-4A2C-4BF9-A80F-918AB0A64039}"/>
    <cellStyle name="Normal 11 2 4 3 7" xfId="10715" xr:uid="{00000000-0005-0000-0000-000013100000}"/>
    <cellStyle name="Normal 11 2 4 3 7 2" xfId="19458" xr:uid="{34FAA70C-6013-4C35-A3E9-AB4D3F37752A}"/>
    <cellStyle name="Normal 11 2 4 3 8" xfId="12322" xr:uid="{00000000-0005-0000-0000-000014100000}"/>
    <cellStyle name="Normal 11 2 4 3 8 2" xfId="21058" xr:uid="{87B2425F-28DD-4549-A21A-F233E41A1869}"/>
    <cellStyle name="Normal 11 2 4 3 9" xfId="14145" xr:uid="{946621C6-2E0D-4346-9A96-8E47149EEFF7}"/>
    <cellStyle name="Normal 11 2 4 4" xfId="2011" xr:uid="{00000000-0005-0000-0000-000015100000}"/>
    <cellStyle name="Normal 11 2 4 4 2" xfId="2012" xr:uid="{00000000-0005-0000-0000-000016100000}"/>
    <cellStyle name="Normal 11 2 4 4 2 2" xfId="9110" xr:uid="{00000000-0005-0000-0000-000017100000}"/>
    <cellStyle name="Normal 11 2 4 4 2 2 2" xfId="17916" xr:uid="{ED1210C9-B607-4276-AEBA-8D760F668D59}"/>
    <cellStyle name="Normal 11 2 4 4 2 3" xfId="7507" xr:uid="{00000000-0005-0000-0000-000018100000}"/>
    <cellStyle name="Normal 11 2 4 4 2 3 2" xfId="16317" xr:uid="{7EFE4106-E0C4-4981-8A5C-15F592C69847}"/>
    <cellStyle name="Normal 11 2 4 4 2 4" xfId="10720" xr:uid="{00000000-0005-0000-0000-000019100000}"/>
    <cellStyle name="Normal 11 2 4 4 2 4 2" xfId="19463" xr:uid="{DF7B564A-B5E7-4CC4-9AB1-FB71CECA932E}"/>
    <cellStyle name="Normal 11 2 4 4 2 5" xfId="12327" xr:uid="{00000000-0005-0000-0000-00001A100000}"/>
    <cellStyle name="Normal 11 2 4 4 2 5 2" xfId="21063" xr:uid="{23C98DAC-08D6-41BA-8A4E-C08CCE6C5B79}"/>
    <cellStyle name="Normal 11 2 4 4 2 6" xfId="14137" xr:uid="{C3D1E552-D4B4-4006-95BD-82B90B0E908D}"/>
    <cellStyle name="Normal 11 2 4 4 3" xfId="2013" xr:uid="{00000000-0005-0000-0000-00001B100000}"/>
    <cellStyle name="Normal 11 2 4 4 3 2" xfId="9111" xr:uid="{00000000-0005-0000-0000-00001C100000}"/>
    <cellStyle name="Normal 11 2 4 4 3 2 2" xfId="17917" xr:uid="{A978B3F4-1709-4483-BDB5-EBE51558E2B1}"/>
    <cellStyle name="Normal 11 2 4 4 3 3" xfId="7508" xr:uid="{00000000-0005-0000-0000-00001D100000}"/>
    <cellStyle name="Normal 11 2 4 4 3 3 2" xfId="16318" xr:uid="{A2E6F6FD-339E-4447-A4DF-59A961C7B0B8}"/>
    <cellStyle name="Normal 11 2 4 4 3 4" xfId="10721" xr:uid="{00000000-0005-0000-0000-00001E100000}"/>
    <cellStyle name="Normal 11 2 4 4 3 4 2" xfId="19464" xr:uid="{F6AA46D6-3B97-4AE8-B495-7C7D32748935}"/>
    <cellStyle name="Normal 11 2 4 4 3 5" xfId="12328" xr:uid="{00000000-0005-0000-0000-00001F100000}"/>
    <cellStyle name="Normal 11 2 4 4 3 5 2" xfId="21064" xr:uid="{DCDD88C0-2F9A-4D30-9430-4A2A5906C444}"/>
    <cellStyle name="Normal 11 2 4 4 3 6" xfId="14819" xr:uid="{DF764955-B3AF-40A5-A3AB-2A1C69290952}"/>
    <cellStyle name="Normal 11 2 4 4 4" xfId="2014" xr:uid="{00000000-0005-0000-0000-000020100000}"/>
    <cellStyle name="Normal 11 2 4 4 4 2" xfId="9112" xr:uid="{00000000-0005-0000-0000-000021100000}"/>
    <cellStyle name="Normal 11 2 4 4 4 2 2" xfId="17918" xr:uid="{9F27C360-81B6-464C-AF4F-CA77A2DD4DCF}"/>
    <cellStyle name="Normal 11 2 4 4 4 3" xfId="7509" xr:uid="{00000000-0005-0000-0000-000022100000}"/>
    <cellStyle name="Normal 11 2 4 4 4 3 2" xfId="16319" xr:uid="{94C7B6B6-4D49-4D23-9E7A-91648710C8DB}"/>
    <cellStyle name="Normal 11 2 4 4 4 4" xfId="10722" xr:uid="{00000000-0005-0000-0000-000023100000}"/>
    <cellStyle name="Normal 11 2 4 4 4 4 2" xfId="19465" xr:uid="{56E56F2B-A4A2-4CE4-80EE-DA84D987C581}"/>
    <cellStyle name="Normal 11 2 4 4 4 5" xfId="12329" xr:uid="{00000000-0005-0000-0000-000024100000}"/>
    <cellStyle name="Normal 11 2 4 4 4 5 2" xfId="21065" xr:uid="{3D5FCDEC-1489-4BA9-BA3B-2BA3E2F07517}"/>
    <cellStyle name="Normal 11 2 4 4 4 6" xfId="14077" xr:uid="{3B4CADD9-3607-4EC4-87D3-809C7869646C}"/>
    <cellStyle name="Normal 11 2 4 4 5" xfId="9109" xr:uid="{00000000-0005-0000-0000-000025100000}"/>
    <cellStyle name="Normal 11 2 4 4 5 2" xfId="17915" xr:uid="{1B8DCECF-CECB-4494-99D2-C2BBF5E58960}"/>
    <cellStyle name="Normal 11 2 4 4 6" xfId="7506" xr:uid="{00000000-0005-0000-0000-000026100000}"/>
    <cellStyle name="Normal 11 2 4 4 6 2" xfId="16316" xr:uid="{B97A4E22-477F-4747-8211-5D30930DE6B6}"/>
    <cellStyle name="Normal 11 2 4 4 7" xfId="10719" xr:uid="{00000000-0005-0000-0000-000027100000}"/>
    <cellStyle name="Normal 11 2 4 4 7 2" xfId="19462" xr:uid="{052942E1-55CC-4E15-8720-2A5131752537}"/>
    <cellStyle name="Normal 11 2 4 4 8" xfId="12326" xr:uid="{00000000-0005-0000-0000-000028100000}"/>
    <cellStyle name="Normal 11 2 4 4 8 2" xfId="21062" xr:uid="{08DE2EF9-1783-43BB-8515-AB4E197FBA9F}"/>
    <cellStyle name="Normal 11 2 4 4 9" xfId="14093" xr:uid="{75CDC1D3-0F9F-442A-9A4E-FB77C71D7B9A}"/>
    <cellStyle name="Normal 11 2 4 5" xfId="2015" xr:uid="{00000000-0005-0000-0000-000029100000}"/>
    <cellStyle name="Normal 11 2 4 5 2" xfId="9113" xr:uid="{00000000-0005-0000-0000-00002A100000}"/>
    <cellStyle name="Normal 11 2 4 5 2 2" xfId="17919" xr:uid="{5FF26C77-A0CA-4AC1-86A8-7CE6E605476D}"/>
    <cellStyle name="Normal 11 2 4 5 3" xfId="7510" xr:uid="{00000000-0005-0000-0000-00002B100000}"/>
    <cellStyle name="Normal 11 2 4 5 3 2" xfId="16320" xr:uid="{086451B6-8236-4266-9B84-4377D6C5C4D3}"/>
    <cellStyle name="Normal 11 2 4 5 4" xfId="10723" xr:uid="{00000000-0005-0000-0000-00002C100000}"/>
    <cellStyle name="Normal 11 2 4 5 4 2" xfId="19466" xr:uid="{6E636918-36DF-460F-8744-2084D0245B10}"/>
    <cellStyle name="Normal 11 2 4 5 5" xfId="12330" xr:uid="{00000000-0005-0000-0000-00002D100000}"/>
    <cellStyle name="Normal 11 2 4 5 5 2" xfId="21066" xr:uid="{645EBAAD-AE5E-43E1-96DC-ED2C3B1F84D4}"/>
    <cellStyle name="Normal 11 2 4 5 6" xfId="14128" xr:uid="{ADDD835E-F634-4032-A5F5-437810CCABD3}"/>
    <cellStyle name="Normal 11 2 4 6" xfId="2016" xr:uid="{00000000-0005-0000-0000-00002E100000}"/>
    <cellStyle name="Normal 11 2 4 6 2" xfId="9114" xr:uid="{00000000-0005-0000-0000-00002F100000}"/>
    <cellStyle name="Normal 11 2 4 6 2 2" xfId="17920" xr:uid="{0062C464-8379-45C0-8CAE-1EE893812368}"/>
    <cellStyle name="Normal 11 2 4 6 3" xfId="7511" xr:uid="{00000000-0005-0000-0000-000030100000}"/>
    <cellStyle name="Normal 11 2 4 6 3 2" xfId="16321" xr:uid="{6E417106-F5B9-4157-BAA4-9D3D3549C5D7}"/>
    <cellStyle name="Normal 11 2 4 6 4" xfId="10724" xr:uid="{00000000-0005-0000-0000-000031100000}"/>
    <cellStyle name="Normal 11 2 4 6 4 2" xfId="19467" xr:uid="{86A9E7E7-62C3-4F36-83F2-8DF0FD8698D2}"/>
    <cellStyle name="Normal 11 2 4 6 5" xfId="12331" xr:uid="{00000000-0005-0000-0000-000032100000}"/>
    <cellStyle name="Normal 11 2 4 6 5 2" xfId="21067" xr:uid="{7D4FA552-5D61-4B20-8A0C-EE76AA10B1B1}"/>
    <cellStyle name="Normal 11 2 4 6 6" xfId="14002" xr:uid="{2B779A67-809C-46F9-BD07-5CEFB132B504}"/>
    <cellStyle name="Normal 11 2 4 7" xfId="2017" xr:uid="{00000000-0005-0000-0000-000033100000}"/>
    <cellStyle name="Normal 11 2 4 7 2" xfId="9115" xr:uid="{00000000-0005-0000-0000-000034100000}"/>
    <cellStyle name="Normal 11 2 4 7 2 2" xfId="17921" xr:uid="{53DCE89B-B987-4E72-9104-49BCCDA0F218}"/>
    <cellStyle name="Normal 11 2 4 7 3" xfId="7512" xr:uid="{00000000-0005-0000-0000-000035100000}"/>
    <cellStyle name="Normal 11 2 4 7 3 2" xfId="16322" xr:uid="{45EC63CC-D9B4-481E-BC29-0D4A3B9DC6A0}"/>
    <cellStyle name="Normal 11 2 4 7 4" xfId="10725" xr:uid="{00000000-0005-0000-0000-000036100000}"/>
    <cellStyle name="Normal 11 2 4 7 4 2" xfId="19468" xr:uid="{28D41CAB-B4DF-4E88-9A1C-D1AE56693310}"/>
    <cellStyle name="Normal 11 2 4 7 5" xfId="12332" xr:uid="{00000000-0005-0000-0000-000037100000}"/>
    <cellStyle name="Normal 11 2 4 7 5 2" xfId="21068" xr:uid="{7763A5FB-2409-4135-A9FE-B13C739C32A2}"/>
    <cellStyle name="Normal 11 2 4 7 6" xfId="14088" xr:uid="{9A59F598-EA96-4052-8CF0-2975B5BD4B35}"/>
    <cellStyle name="Normal 11 2 5" xfId="2018" xr:uid="{00000000-0005-0000-0000-000038100000}"/>
    <cellStyle name="Normal 11 2 6" xfId="2019" xr:uid="{00000000-0005-0000-0000-000039100000}"/>
    <cellStyle name="Normal 11 2 7" xfId="2020" xr:uid="{00000000-0005-0000-0000-00003A100000}"/>
    <cellStyle name="Normal 11 2 7 2" xfId="9116" xr:uid="{00000000-0005-0000-0000-00003B100000}"/>
    <cellStyle name="Normal 11 2 7 2 2" xfId="17922" xr:uid="{40AE4B82-1648-4A97-92AA-EB73BD977621}"/>
    <cellStyle name="Normal 11 2 7 3" xfId="7513" xr:uid="{00000000-0005-0000-0000-00003C100000}"/>
    <cellStyle name="Normal 11 2 7 3 2" xfId="16323" xr:uid="{5AA3DFE2-D114-4F99-9EE6-63C8BFDD6153}"/>
    <cellStyle name="Normal 11 2 7 4" xfId="10726" xr:uid="{00000000-0005-0000-0000-00003D100000}"/>
    <cellStyle name="Normal 11 2 7 4 2" xfId="19469" xr:uid="{40DB4C1C-E7D7-4D2C-A33B-14929FF25E7D}"/>
    <cellStyle name="Normal 11 2 7 5" xfId="12333" xr:uid="{00000000-0005-0000-0000-00003E100000}"/>
    <cellStyle name="Normal 11 2 7 5 2" xfId="21069" xr:uid="{422FD821-A5F1-48A0-8F93-AE310B917A94}"/>
    <cellStyle name="Normal 11 2 7 6" xfId="14071" xr:uid="{226C0758-545A-456F-96BF-A1E319B4F02A}"/>
    <cellStyle name="Normal 11 2 8" xfId="2021" xr:uid="{00000000-0005-0000-0000-00003F100000}"/>
    <cellStyle name="Normal 11 2 8 2" xfId="9117" xr:uid="{00000000-0005-0000-0000-000040100000}"/>
    <cellStyle name="Normal 11 2 8 2 2" xfId="17923" xr:uid="{E6BDAFB8-723B-4BC8-8B19-C022B67F4CEA}"/>
    <cellStyle name="Normal 11 2 8 3" xfId="7514" xr:uid="{00000000-0005-0000-0000-000041100000}"/>
    <cellStyle name="Normal 11 2 8 3 2" xfId="16324" xr:uid="{BA2C303C-C5D1-43E7-BBDE-24C9FE44CCB7}"/>
    <cellStyle name="Normal 11 2 8 4" xfId="10727" xr:uid="{00000000-0005-0000-0000-000042100000}"/>
    <cellStyle name="Normal 11 2 8 4 2" xfId="19470" xr:uid="{5C06B1E1-BFB7-41AF-8742-A1B0431D6E29}"/>
    <cellStyle name="Normal 11 2 8 5" xfId="12334" xr:uid="{00000000-0005-0000-0000-000043100000}"/>
    <cellStyle name="Normal 11 2 8 5 2" xfId="21070" xr:uid="{8EFB700B-5B31-403A-8584-734A63390B6B}"/>
    <cellStyle name="Normal 11 2 8 6" xfId="14063" xr:uid="{6D4518CB-28F0-475A-B641-97B871E1B312}"/>
    <cellStyle name="Normal 11 2 9" xfId="2022" xr:uid="{00000000-0005-0000-0000-000044100000}"/>
    <cellStyle name="Normal 11 2 9 2" xfId="9118" xr:uid="{00000000-0005-0000-0000-000045100000}"/>
    <cellStyle name="Normal 11 2 9 2 2" xfId="17924" xr:uid="{7D09044F-E165-4647-8B51-DADFD4A4B63B}"/>
    <cellStyle name="Normal 11 2 9 3" xfId="7515" xr:uid="{00000000-0005-0000-0000-000046100000}"/>
    <cellStyle name="Normal 11 2 9 3 2" xfId="16325" xr:uid="{7E0631AB-7E73-4912-9F79-6CADE22C164C}"/>
    <cellStyle name="Normal 11 2 9 4" xfId="10728" xr:uid="{00000000-0005-0000-0000-000047100000}"/>
    <cellStyle name="Normal 11 2 9 4 2" xfId="19471" xr:uid="{B4C55724-976B-4EF0-BD9E-3EBAFA8B24D0}"/>
    <cellStyle name="Normal 11 2 9 5" xfId="12335" xr:uid="{00000000-0005-0000-0000-000048100000}"/>
    <cellStyle name="Normal 11 2 9 5 2" xfId="21071" xr:uid="{59BA3316-1AEA-4271-803E-A0345936B86D}"/>
    <cellStyle name="Normal 11 2 9 6" xfId="14814" xr:uid="{83233C28-E396-46C7-B287-A17CEF24E311}"/>
    <cellStyle name="Normal 11 3" xfId="2023" xr:uid="{00000000-0005-0000-0000-000049100000}"/>
    <cellStyle name="Normal 11 3 2" xfId="2024" xr:uid="{00000000-0005-0000-0000-00004A100000}"/>
    <cellStyle name="Normal 11 4" xfId="1987" xr:uid="{00000000-0005-0000-0000-00004B100000}"/>
    <cellStyle name="Normal 11 4 2" xfId="9091" xr:uid="{00000000-0005-0000-0000-00004C100000}"/>
    <cellStyle name="Normal 11 4 2 2" xfId="17897" xr:uid="{68513623-D962-48F1-A377-F73D8F61E20C}"/>
    <cellStyle name="Normal 11 4 3" xfId="10701" xr:uid="{00000000-0005-0000-0000-00004D100000}"/>
    <cellStyle name="Normal 11 4 3 2" xfId="19444" xr:uid="{43244DC8-3AB4-4DAE-89E9-863322183CBF}"/>
    <cellStyle name="Normal 11 4 4" xfId="14444" xr:uid="{603B1D40-926C-43DF-9C32-58461A22EFD7}"/>
    <cellStyle name="Normal 11 5" xfId="7488" xr:uid="{00000000-0005-0000-0000-00004E100000}"/>
    <cellStyle name="Normal 11 5 2" xfId="16298" xr:uid="{F444BBEA-C28B-4846-901F-392D16633CC0}"/>
    <cellStyle name="Normal 11 6" xfId="12308" xr:uid="{00000000-0005-0000-0000-00004F100000}"/>
    <cellStyle name="Normal 11 6 2" xfId="21044" xr:uid="{BCD59E05-B5B6-40DC-A71B-97CF560F16B0}"/>
    <cellStyle name="Normal 110" xfId="2025" xr:uid="{00000000-0005-0000-0000-000050100000}"/>
    <cellStyle name="Normal 110 2" xfId="2026" xr:uid="{00000000-0005-0000-0000-000051100000}"/>
    <cellStyle name="Normal 110 2 2" xfId="9120" xr:uid="{00000000-0005-0000-0000-000052100000}"/>
    <cellStyle name="Normal 110 2 2 2" xfId="17926" xr:uid="{527BE482-DCED-457D-AD6B-31C9E175FE6F}"/>
    <cellStyle name="Normal 110 2 3" xfId="7517" xr:uid="{00000000-0005-0000-0000-000053100000}"/>
    <cellStyle name="Normal 110 2 3 2" xfId="16327" xr:uid="{06BFD9B3-9F3E-458B-8117-22FFDDAAAC2C}"/>
    <cellStyle name="Normal 110 2 4" xfId="10730" xr:uid="{00000000-0005-0000-0000-000054100000}"/>
    <cellStyle name="Normal 110 2 4 2" xfId="19473" xr:uid="{108D3E2C-1B02-469C-87C6-4CE3F17A0534}"/>
    <cellStyle name="Normal 110 2 5" xfId="12337" xr:uid="{00000000-0005-0000-0000-000055100000}"/>
    <cellStyle name="Normal 110 2 5 2" xfId="21073" xr:uid="{542F8C16-79AA-4252-A99D-A9F17991DF5E}"/>
    <cellStyle name="Normal 110 2 6" xfId="14001" xr:uid="{CFBD1B71-C51B-4886-BB0F-5693D5B6EEB3}"/>
    <cellStyle name="Normal 110 3" xfId="2027" xr:uid="{00000000-0005-0000-0000-000056100000}"/>
    <cellStyle name="Normal 110 3 2" xfId="9121" xr:uid="{00000000-0005-0000-0000-000057100000}"/>
    <cellStyle name="Normal 110 3 2 2" xfId="17927" xr:uid="{430401CF-2362-4A5F-8E25-C9E145D55CA9}"/>
    <cellStyle name="Normal 110 3 3" xfId="7518" xr:uid="{00000000-0005-0000-0000-000058100000}"/>
    <cellStyle name="Normal 110 3 3 2" xfId="16328" xr:uid="{5A4A068D-1224-4496-A26A-1F14A2FA0AE4}"/>
    <cellStyle name="Normal 110 3 4" xfId="10731" xr:uid="{00000000-0005-0000-0000-000059100000}"/>
    <cellStyle name="Normal 110 3 4 2" xfId="19474" xr:uid="{E64D48BC-E294-48BE-B00F-9020370BA8FA}"/>
    <cellStyle name="Normal 110 3 5" xfId="12338" xr:uid="{00000000-0005-0000-0000-00005A100000}"/>
    <cellStyle name="Normal 110 3 5 2" xfId="21074" xr:uid="{93FD3C7A-C3CD-45B8-8826-09424B0D23EF}"/>
    <cellStyle name="Normal 110 3 6" xfId="14435" xr:uid="{23A74911-4F11-49AF-965A-054246E09C18}"/>
    <cellStyle name="Normal 110 4" xfId="2028" xr:uid="{00000000-0005-0000-0000-00005B100000}"/>
    <cellStyle name="Normal 110 4 2" xfId="9122" xr:uid="{00000000-0005-0000-0000-00005C100000}"/>
    <cellStyle name="Normal 110 4 2 2" xfId="17928" xr:uid="{0B4AFCBB-EE73-43F3-8CEB-DCBFA0979060}"/>
    <cellStyle name="Normal 110 4 3" xfId="7519" xr:uid="{00000000-0005-0000-0000-00005D100000}"/>
    <cellStyle name="Normal 110 4 3 2" xfId="16329" xr:uid="{1F79E73C-E82A-4E65-89CA-C9F145343EBC}"/>
    <cellStyle name="Normal 110 4 4" xfId="10732" xr:uid="{00000000-0005-0000-0000-00005E100000}"/>
    <cellStyle name="Normal 110 4 4 2" xfId="19475" xr:uid="{3BC20A01-599F-47CA-990D-81FDD6DF331B}"/>
    <cellStyle name="Normal 110 4 5" xfId="12339" xr:uid="{00000000-0005-0000-0000-00005F100000}"/>
    <cellStyle name="Normal 110 4 5 2" xfId="21075" xr:uid="{1DBDC6E1-63BF-4133-A9BC-4D68DF869020}"/>
    <cellStyle name="Normal 110 4 6" xfId="14685" xr:uid="{B23059A9-7C42-4CA7-8F8E-A4CA348689D5}"/>
    <cellStyle name="Normal 110 5" xfId="9119" xr:uid="{00000000-0005-0000-0000-000060100000}"/>
    <cellStyle name="Normal 110 5 2" xfId="17925" xr:uid="{95020E50-1FF0-4617-9DE3-338379EDF2EC}"/>
    <cellStyle name="Normal 110 6" xfId="7516" xr:uid="{00000000-0005-0000-0000-000061100000}"/>
    <cellStyle name="Normal 110 6 2" xfId="16326" xr:uid="{B9887140-4ECB-4488-814F-BCB318932504}"/>
    <cellStyle name="Normal 110 7" xfId="10729" xr:uid="{00000000-0005-0000-0000-000062100000}"/>
    <cellStyle name="Normal 110 7 2" xfId="19472" xr:uid="{7C1C4444-6025-4589-9076-3AE6C86399BD}"/>
    <cellStyle name="Normal 110 8" xfId="12336" xr:uid="{00000000-0005-0000-0000-000063100000}"/>
    <cellStyle name="Normal 110 8 2" xfId="21072" xr:uid="{2CF975BF-A45B-4CAC-872B-DCBB8A341888}"/>
    <cellStyle name="Normal 110 9" xfId="14053" xr:uid="{25712044-8958-46BB-844F-FDF5D00803AA}"/>
    <cellStyle name="Normal 111" xfId="2029" xr:uid="{00000000-0005-0000-0000-000064100000}"/>
    <cellStyle name="Normal 111 2" xfId="2030" xr:uid="{00000000-0005-0000-0000-000065100000}"/>
    <cellStyle name="Normal 111 2 2" xfId="9124" xr:uid="{00000000-0005-0000-0000-000066100000}"/>
    <cellStyle name="Normal 111 2 2 2" xfId="17930" xr:uid="{7BFA680E-9749-46C6-B172-A6624521E7B3}"/>
    <cellStyle name="Normal 111 2 3" xfId="7521" xr:uid="{00000000-0005-0000-0000-000067100000}"/>
    <cellStyle name="Normal 111 2 3 2" xfId="16331" xr:uid="{E0A27B46-380D-4BFB-B7EA-31A9919B9F07}"/>
    <cellStyle name="Normal 111 2 4" xfId="10734" xr:uid="{00000000-0005-0000-0000-000068100000}"/>
    <cellStyle name="Normal 111 2 4 2" xfId="19477" xr:uid="{A801A8FD-FB7C-498F-8146-868AB57391BE}"/>
    <cellStyle name="Normal 111 2 5" xfId="12341" xr:uid="{00000000-0005-0000-0000-000069100000}"/>
    <cellStyle name="Normal 111 2 5 2" xfId="21077" xr:uid="{AA1F73F9-ECA1-4290-A252-1EE7E37E09AA}"/>
    <cellStyle name="Normal 111 2 6" xfId="14042" xr:uid="{9AF520B2-286B-4F35-9F82-16D1A101FF19}"/>
    <cellStyle name="Normal 111 3" xfId="2031" xr:uid="{00000000-0005-0000-0000-00006A100000}"/>
    <cellStyle name="Normal 111 3 2" xfId="9125" xr:uid="{00000000-0005-0000-0000-00006B100000}"/>
    <cellStyle name="Normal 111 3 2 2" xfId="17931" xr:uid="{826F059A-5D83-426A-9594-55F5F12244A2}"/>
    <cellStyle name="Normal 111 3 3" xfId="7522" xr:uid="{00000000-0005-0000-0000-00006C100000}"/>
    <cellStyle name="Normal 111 3 3 2" xfId="16332" xr:uid="{075D8E4C-4EC1-42F4-9CF1-FCBB0CB3E808}"/>
    <cellStyle name="Normal 111 3 4" xfId="10735" xr:uid="{00000000-0005-0000-0000-00006D100000}"/>
    <cellStyle name="Normal 111 3 4 2" xfId="19478" xr:uid="{DDC168C8-56DF-4DE2-A9BF-E5A3789003F9}"/>
    <cellStyle name="Normal 111 3 5" xfId="12342" xr:uid="{00000000-0005-0000-0000-00006E100000}"/>
    <cellStyle name="Normal 111 3 5 2" xfId="21078" xr:uid="{62C09E89-A331-4BBE-A90B-9A465C4784FD}"/>
    <cellStyle name="Normal 111 3 6" xfId="13978" xr:uid="{67D4D901-F8DB-44BC-A37B-0667309E1E97}"/>
    <cellStyle name="Normal 111 4" xfId="2032" xr:uid="{00000000-0005-0000-0000-00006F100000}"/>
    <cellStyle name="Normal 111 4 2" xfId="9126" xr:uid="{00000000-0005-0000-0000-000070100000}"/>
    <cellStyle name="Normal 111 4 2 2" xfId="17932" xr:uid="{81E0CAE5-9C65-4748-BB19-3A39DD66C00C}"/>
    <cellStyle name="Normal 111 4 3" xfId="7523" xr:uid="{00000000-0005-0000-0000-000071100000}"/>
    <cellStyle name="Normal 111 4 3 2" xfId="16333" xr:uid="{7371C3AD-441B-411C-873D-87C1E0E336CB}"/>
    <cellStyle name="Normal 111 4 4" xfId="10736" xr:uid="{00000000-0005-0000-0000-000072100000}"/>
    <cellStyle name="Normal 111 4 4 2" xfId="19479" xr:uid="{B0CD4171-6F3A-4B69-887A-75990F4E6F4C}"/>
    <cellStyle name="Normal 111 4 5" xfId="12343" xr:uid="{00000000-0005-0000-0000-000073100000}"/>
    <cellStyle name="Normal 111 4 5 2" xfId="21079" xr:uid="{455B99E8-B995-4550-BF90-F9F52703B1CA}"/>
    <cellStyle name="Normal 111 4 6" xfId="14422" xr:uid="{99CADDA9-7DFA-4FEE-AD01-99647D0262E0}"/>
    <cellStyle name="Normal 111 5" xfId="9123" xr:uid="{00000000-0005-0000-0000-000074100000}"/>
    <cellStyle name="Normal 111 5 2" xfId="17929" xr:uid="{5E0D26D4-FE88-4800-83A3-742A06A47C44}"/>
    <cellStyle name="Normal 111 6" xfId="7520" xr:uid="{00000000-0005-0000-0000-000075100000}"/>
    <cellStyle name="Normal 111 6 2" xfId="16330" xr:uid="{AADED661-94A9-4499-89CA-5BB637968652}"/>
    <cellStyle name="Normal 111 7" xfId="10733" xr:uid="{00000000-0005-0000-0000-000076100000}"/>
    <cellStyle name="Normal 111 7 2" xfId="19476" xr:uid="{2B7248EB-168E-44C5-A4B5-004D23738886}"/>
    <cellStyle name="Normal 111 8" xfId="12340" xr:uid="{00000000-0005-0000-0000-000077100000}"/>
    <cellStyle name="Normal 111 8 2" xfId="21076" xr:uid="{A2857596-3436-4873-A533-D9D882C468FF}"/>
    <cellStyle name="Normal 111 9" xfId="14008" xr:uid="{A48054A2-4244-4EE2-9CBA-8AF7BAC60163}"/>
    <cellStyle name="Normal 112" xfId="2033" xr:uid="{00000000-0005-0000-0000-000078100000}"/>
    <cellStyle name="Normal 112 10" xfId="14853" xr:uid="{DC5409E7-214D-4EBC-B65B-200A7E2EC404}"/>
    <cellStyle name="Normal 112 2" xfId="2034" xr:uid="{00000000-0005-0000-0000-000079100000}"/>
    <cellStyle name="Normal 112 2 2" xfId="9128" xr:uid="{00000000-0005-0000-0000-00007A100000}"/>
    <cellStyle name="Normal 112 2 2 2" xfId="17934" xr:uid="{99753785-3053-426E-9922-3A2F00EE261A}"/>
    <cellStyle name="Normal 112 2 3" xfId="7525" xr:uid="{00000000-0005-0000-0000-00007B100000}"/>
    <cellStyle name="Normal 112 2 3 2" xfId="16335" xr:uid="{A4D5AD96-6F6E-4B88-8D0E-31FAD5EA228F}"/>
    <cellStyle name="Normal 112 2 4" xfId="10738" xr:uid="{00000000-0005-0000-0000-00007C100000}"/>
    <cellStyle name="Normal 112 2 4 2" xfId="19481" xr:uid="{F20A2A22-13AF-45D4-A0E5-EB92602E3332}"/>
    <cellStyle name="Normal 112 2 5" xfId="12345" xr:uid="{00000000-0005-0000-0000-00007D100000}"/>
    <cellStyle name="Normal 112 2 5 2" xfId="21081" xr:uid="{E9E63AF5-042C-48FA-9A48-ED8198EEA78C}"/>
    <cellStyle name="Normal 112 2 6" xfId="14423" xr:uid="{5DD741C7-613A-4AC3-9E7A-E0B501A1AE55}"/>
    <cellStyle name="Normal 112 3" xfId="2035" xr:uid="{00000000-0005-0000-0000-00007E100000}"/>
    <cellStyle name="Normal 112 3 2" xfId="9129" xr:uid="{00000000-0005-0000-0000-00007F100000}"/>
    <cellStyle name="Normal 112 3 2 2" xfId="17935" xr:uid="{C0632A30-87AB-44F7-B244-D7013BD6F5DF}"/>
    <cellStyle name="Normal 112 3 3" xfId="7526" xr:uid="{00000000-0005-0000-0000-000080100000}"/>
    <cellStyle name="Normal 112 3 3 2" xfId="16336" xr:uid="{BFC09CE3-B146-437C-801F-6581357317B8}"/>
    <cellStyle name="Normal 112 3 4" xfId="10739" xr:uid="{00000000-0005-0000-0000-000081100000}"/>
    <cellStyle name="Normal 112 3 4 2" xfId="19482" xr:uid="{3733BA76-5FA2-4C1C-A660-E123CB95AA99}"/>
    <cellStyle name="Normal 112 3 5" xfId="12346" xr:uid="{00000000-0005-0000-0000-000082100000}"/>
    <cellStyle name="Normal 112 3 5 2" xfId="21082" xr:uid="{F15FEEC8-0073-4441-9598-C6FBDCB9B3B1}"/>
    <cellStyle name="Normal 112 3 6" xfId="14686" xr:uid="{E573C590-25FE-4686-AA2F-ABCB5E3FE13F}"/>
    <cellStyle name="Normal 112 4" xfId="2036" xr:uid="{00000000-0005-0000-0000-000083100000}"/>
    <cellStyle name="Normal 112 4 2" xfId="9130" xr:uid="{00000000-0005-0000-0000-000084100000}"/>
    <cellStyle name="Normal 112 4 2 2" xfId="17936" xr:uid="{0AF67A47-9D31-4117-9A5A-90A4CAC9BBD3}"/>
    <cellStyle name="Normal 112 4 3" xfId="7527" xr:uid="{00000000-0005-0000-0000-000085100000}"/>
    <cellStyle name="Normal 112 4 3 2" xfId="16337" xr:uid="{B2470B10-0100-40D1-B0AD-BF57824CE780}"/>
    <cellStyle name="Normal 112 4 4" xfId="10740" xr:uid="{00000000-0005-0000-0000-000086100000}"/>
    <cellStyle name="Normal 112 4 4 2" xfId="19483" xr:uid="{E56BEBB8-E65A-4448-93CF-F9AF67185E7D}"/>
    <cellStyle name="Normal 112 4 5" xfId="12347" xr:uid="{00000000-0005-0000-0000-000087100000}"/>
    <cellStyle name="Normal 112 4 5 2" xfId="21083" xr:uid="{D067206F-7951-44B9-AF7E-FD3CD6D930BF}"/>
    <cellStyle name="Normal 112 4 6" xfId="14854" xr:uid="{C41B0239-C997-492F-BC6B-430DDAA5B680}"/>
    <cellStyle name="Normal 112 5" xfId="4908" xr:uid="{00000000-0005-0000-0000-000088100000}"/>
    <cellStyle name="Normal 112 6" xfId="9127" xr:uid="{00000000-0005-0000-0000-000089100000}"/>
    <cellStyle name="Normal 112 6 2" xfId="17933" xr:uid="{E909445C-10BB-4B53-803D-4AC567449EEC}"/>
    <cellStyle name="Normal 112 7" xfId="7524" xr:uid="{00000000-0005-0000-0000-00008A100000}"/>
    <cellStyle name="Normal 112 7 2" xfId="16334" xr:uid="{C4691C5B-DA63-4766-A3F7-7DD667C7A597}"/>
    <cellStyle name="Normal 112 8" xfId="10737" xr:uid="{00000000-0005-0000-0000-00008B100000}"/>
    <cellStyle name="Normal 112 8 2" xfId="19480" xr:uid="{51A05FC7-C728-4434-90EA-4CB50653FC4B}"/>
    <cellStyle name="Normal 112 9" xfId="12344" xr:uid="{00000000-0005-0000-0000-00008C100000}"/>
    <cellStyle name="Normal 112 9 2" xfId="21080" xr:uid="{8A94B403-02C2-418D-8018-4B10FD3CE05F}"/>
    <cellStyle name="Normal 113" xfId="2037" xr:uid="{00000000-0005-0000-0000-00008D100000}"/>
    <cellStyle name="Normal 113 2" xfId="2038" xr:uid="{00000000-0005-0000-0000-00008E100000}"/>
    <cellStyle name="Normal 113 2 2" xfId="9132" xr:uid="{00000000-0005-0000-0000-00008F100000}"/>
    <cellStyle name="Normal 113 2 2 2" xfId="17938" xr:uid="{9D853E4C-3CB6-406B-BC46-3A2716374B29}"/>
    <cellStyle name="Normal 113 2 3" xfId="7529" xr:uid="{00000000-0005-0000-0000-000090100000}"/>
    <cellStyle name="Normal 113 2 3 2" xfId="16339" xr:uid="{75B4389C-4A07-48AB-8FF8-D3B231B4ED94}"/>
    <cellStyle name="Normal 113 2 4" xfId="10742" xr:uid="{00000000-0005-0000-0000-000091100000}"/>
    <cellStyle name="Normal 113 2 4 2" xfId="19485" xr:uid="{E0BE8A2D-16EA-4170-8CD5-87B259C3CA6B}"/>
    <cellStyle name="Normal 113 2 5" xfId="12349" xr:uid="{00000000-0005-0000-0000-000092100000}"/>
    <cellStyle name="Normal 113 2 5 2" xfId="21085" xr:uid="{7DAC1630-1642-4356-A921-345558737B26}"/>
    <cellStyle name="Normal 113 2 6" xfId="14672" xr:uid="{AF4244D1-A0A3-4F1C-8044-2B6D94BCAAC6}"/>
    <cellStyle name="Normal 113 3" xfId="2039" xr:uid="{00000000-0005-0000-0000-000093100000}"/>
    <cellStyle name="Normal 113 3 2" xfId="9133" xr:uid="{00000000-0005-0000-0000-000094100000}"/>
    <cellStyle name="Normal 113 3 2 2" xfId="17939" xr:uid="{C9AF47B6-B6FF-4147-A929-9F1745788F58}"/>
    <cellStyle name="Normal 113 3 3" xfId="7530" xr:uid="{00000000-0005-0000-0000-000095100000}"/>
    <cellStyle name="Normal 113 3 3 2" xfId="16340" xr:uid="{6D2A92C6-FB12-44B9-8550-5C567F55CA0A}"/>
    <cellStyle name="Normal 113 3 4" xfId="10743" xr:uid="{00000000-0005-0000-0000-000096100000}"/>
    <cellStyle name="Normal 113 3 4 2" xfId="19486" xr:uid="{21518241-CD4C-424B-A85D-BCAC6F449526}"/>
    <cellStyle name="Normal 113 3 5" xfId="12350" xr:uid="{00000000-0005-0000-0000-000097100000}"/>
    <cellStyle name="Normal 113 3 5 2" xfId="21086" xr:uid="{8B88035A-9E06-4E58-9571-59C96AFDC585}"/>
    <cellStyle name="Normal 113 3 6" xfId="14688" xr:uid="{130EF2A6-B6C8-4A31-BC9D-3722ABB39D34}"/>
    <cellStyle name="Normal 113 4" xfId="2040" xr:uid="{00000000-0005-0000-0000-000098100000}"/>
    <cellStyle name="Normal 113 4 2" xfId="9134" xr:uid="{00000000-0005-0000-0000-000099100000}"/>
    <cellStyle name="Normal 113 4 2 2" xfId="17940" xr:uid="{C9BF3BFC-B63B-4511-8F08-AA99597613BE}"/>
    <cellStyle name="Normal 113 4 3" xfId="7531" xr:uid="{00000000-0005-0000-0000-00009A100000}"/>
    <cellStyle name="Normal 113 4 3 2" xfId="16341" xr:uid="{1DB79BFC-9A95-46C4-9127-60094926F6F2}"/>
    <cellStyle name="Normal 113 4 4" xfId="10744" xr:uid="{00000000-0005-0000-0000-00009B100000}"/>
    <cellStyle name="Normal 113 4 4 2" xfId="19487" xr:uid="{0F4F6F4C-43F6-467D-96EE-AF1BDD19A7A2}"/>
    <cellStyle name="Normal 113 4 5" xfId="12351" xr:uid="{00000000-0005-0000-0000-00009C100000}"/>
    <cellStyle name="Normal 113 4 5 2" xfId="21087" xr:uid="{9F14DD46-7AA9-4008-B010-DA9F1901DAF4}"/>
    <cellStyle name="Normal 113 4 6" xfId="14742" xr:uid="{B08CF2FA-9A8E-490A-A03E-C0B17FC2745E}"/>
    <cellStyle name="Normal 113 5" xfId="9131" xr:uid="{00000000-0005-0000-0000-00009D100000}"/>
    <cellStyle name="Normal 113 5 2" xfId="17937" xr:uid="{AB296115-27D1-49B3-BBF7-B495936DC79C}"/>
    <cellStyle name="Normal 113 6" xfId="7528" xr:uid="{00000000-0005-0000-0000-00009E100000}"/>
    <cellStyle name="Normal 113 6 2" xfId="16338" xr:uid="{1202BDDB-AD68-4703-86D1-DC320393FD80}"/>
    <cellStyle name="Normal 113 7" xfId="10741" xr:uid="{00000000-0005-0000-0000-00009F100000}"/>
    <cellStyle name="Normal 113 7 2" xfId="19484" xr:uid="{E2572474-7116-4660-AC35-21B80D942D80}"/>
    <cellStyle name="Normal 113 8" xfId="12348" xr:uid="{00000000-0005-0000-0000-0000A0100000}"/>
    <cellStyle name="Normal 113 8 2" xfId="21084" xr:uid="{E098F935-D129-429E-91B7-43D4F7320ED8}"/>
    <cellStyle name="Normal 113 9" xfId="14421" xr:uid="{3A46D242-6A02-4D59-BB77-B5382CB331E8}"/>
    <cellStyle name="Normal 114" xfId="2041" xr:uid="{00000000-0005-0000-0000-0000A1100000}"/>
    <cellStyle name="Normal 114 2" xfId="2042" xr:uid="{00000000-0005-0000-0000-0000A2100000}"/>
    <cellStyle name="Normal 114 2 2" xfId="9136" xr:uid="{00000000-0005-0000-0000-0000A3100000}"/>
    <cellStyle name="Normal 114 2 2 2" xfId="17942" xr:uid="{14FE15FD-42D4-4178-A88E-D96D91EF66AF}"/>
    <cellStyle name="Normal 114 2 3" xfId="7533" xr:uid="{00000000-0005-0000-0000-0000A4100000}"/>
    <cellStyle name="Normal 114 2 3 2" xfId="16343" xr:uid="{76FA2847-E035-4C1E-ADFC-5098F1D99620}"/>
    <cellStyle name="Normal 114 2 4" xfId="10746" xr:uid="{00000000-0005-0000-0000-0000A5100000}"/>
    <cellStyle name="Normal 114 2 4 2" xfId="19489" xr:uid="{75913548-9C3C-4030-8DE4-0A7D14EBC54E}"/>
    <cellStyle name="Normal 114 2 5" xfId="12353" xr:uid="{00000000-0005-0000-0000-0000A6100000}"/>
    <cellStyle name="Normal 114 2 5 2" xfId="21089" xr:uid="{44173A93-0796-4960-A52F-1E08612ED6CE}"/>
    <cellStyle name="Normal 114 2 6" xfId="14740" xr:uid="{C4A1FD70-A220-4E9C-AB58-4A426604F866}"/>
    <cellStyle name="Normal 114 3" xfId="2043" xr:uid="{00000000-0005-0000-0000-0000A7100000}"/>
    <cellStyle name="Normal 114 3 2" xfId="9137" xr:uid="{00000000-0005-0000-0000-0000A8100000}"/>
    <cellStyle name="Normal 114 3 2 2" xfId="17943" xr:uid="{1C88120E-A665-4A35-8A70-D774E8520E56}"/>
    <cellStyle name="Normal 114 3 3" xfId="7534" xr:uid="{00000000-0005-0000-0000-0000A9100000}"/>
    <cellStyle name="Normal 114 3 3 2" xfId="16344" xr:uid="{7EF4E7FB-4185-417A-88D8-7C3EB2B827E4}"/>
    <cellStyle name="Normal 114 3 4" xfId="10747" xr:uid="{00000000-0005-0000-0000-0000AA100000}"/>
    <cellStyle name="Normal 114 3 4 2" xfId="19490" xr:uid="{D2B0949A-3965-4E9B-8363-2D367F79D84B}"/>
    <cellStyle name="Normal 114 3 5" xfId="12354" xr:uid="{00000000-0005-0000-0000-0000AB100000}"/>
    <cellStyle name="Normal 114 3 5 2" xfId="21090" xr:uid="{0E9FBA4D-981C-45B2-AA3A-178716CD3305}"/>
    <cellStyle name="Normal 114 3 6" xfId="14739" xr:uid="{BCE3D719-35CB-46D4-8465-3C54465713AE}"/>
    <cellStyle name="Normal 114 4" xfId="2044" xr:uid="{00000000-0005-0000-0000-0000AC100000}"/>
    <cellStyle name="Normal 114 4 2" xfId="9138" xr:uid="{00000000-0005-0000-0000-0000AD100000}"/>
    <cellStyle name="Normal 114 4 2 2" xfId="17944" xr:uid="{C0FB6779-EADB-4678-84E4-9FE947F125AA}"/>
    <cellStyle name="Normal 114 4 3" xfId="7535" xr:uid="{00000000-0005-0000-0000-0000AE100000}"/>
    <cellStyle name="Normal 114 4 3 2" xfId="16345" xr:uid="{B8ADEB86-72DB-4CF4-8CB0-94F6E07DCAAB}"/>
    <cellStyle name="Normal 114 4 4" xfId="10748" xr:uid="{00000000-0005-0000-0000-0000AF100000}"/>
    <cellStyle name="Normal 114 4 4 2" xfId="19491" xr:uid="{74047E53-E89E-4CA6-A075-26A656C5CBB9}"/>
    <cellStyle name="Normal 114 4 5" xfId="12355" xr:uid="{00000000-0005-0000-0000-0000B0100000}"/>
    <cellStyle name="Normal 114 4 5 2" xfId="21091" xr:uid="{A0A50F6E-4D46-415B-A189-1A348E05DE2C}"/>
    <cellStyle name="Normal 114 4 6" xfId="14738" xr:uid="{DCA67B87-A98B-4F3B-AFC3-5BA11187D78F}"/>
    <cellStyle name="Normal 114 5" xfId="9135" xr:uid="{00000000-0005-0000-0000-0000B1100000}"/>
    <cellStyle name="Normal 114 5 2" xfId="17941" xr:uid="{AE7843BB-55F7-4DB1-A1A0-F3FEA7F36A4A}"/>
    <cellStyle name="Normal 114 6" xfId="7532" xr:uid="{00000000-0005-0000-0000-0000B2100000}"/>
    <cellStyle name="Normal 114 6 2" xfId="16342" xr:uid="{A55DEC2A-C638-4FA2-A4E7-356DF1A040FB}"/>
    <cellStyle name="Normal 114 7" xfId="10745" xr:uid="{00000000-0005-0000-0000-0000B3100000}"/>
    <cellStyle name="Normal 114 7 2" xfId="19488" xr:uid="{56607BDE-9D1A-410C-BE2A-C586EFF59C7A}"/>
    <cellStyle name="Normal 114 8" xfId="12352" xr:uid="{00000000-0005-0000-0000-0000B4100000}"/>
    <cellStyle name="Normal 114 8 2" xfId="21088" xr:uid="{2D30461B-8FD2-410A-9B69-339A033DC2F2}"/>
    <cellStyle name="Normal 114 9" xfId="14741" xr:uid="{36788FA3-574E-48AB-9F75-DF035A15B50B}"/>
    <cellStyle name="Normal 115" xfId="2045" xr:uid="{00000000-0005-0000-0000-0000B5100000}"/>
    <cellStyle name="Normal 115 2" xfId="2046" xr:uid="{00000000-0005-0000-0000-0000B6100000}"/>
    <cellStyle name="Normal 115 2 2" xfId="9140" xr:uid="{00000000-0005-0000-0000-0000B7100000}"/>
    <cellStyle name="Normal 115 2 2 2" xfId="17946" xr:uid="{904CDA1D-FC66-4F34-AC9E-D26AEAD406E2}"/>
    <cellStyle name="Normal 115 2 3" xfId="7537" xr:uid="{00000000-0005-0000-0000-0000B8100000}"/>
    <cellStyle name="Normal 115 2 3 2" xfId="16347" xr:uid="{4FC01F54-82B4-4D67-A277-8EBBB75E49AC}"/>
    <cellStyle name="Normal 115 2 4" xfId="10750" xr:uid="{00000000-0005-0000-0000-0000B9100000}"/>
    <cellStyle name="Normal 115 2 4 2" xfId="19493" xr:uid="{E96BE12C-3F1C-4172-BAF8-FAD7D54D7163}"/>
    <cellStyle name="Normal 115 2 5" xfId="12357" xr:uid="{00000000-0005-0000-0000-0000BA100000}"/>
    <cellStyle name="Normal 115 2 5 2" xfId="21093" xr:uid="{7A26D585-A009-4F72-A322-9B3757D92D8B}"/>
    <cellStyle name="Normal 115 2 6" xfId="13992" xr:uid="{DD6635BF-5462-4949-B3D2-51861F75D97E}"/>
    <cellStyle name="Normal 115 3" xfId="2047" xr:uid="{00000000-0005-0000-0000-0000BB100000}"/>
    <cellStyle name="Normal 115 3 2" xfId="9141" xr:uid="{00000000-0005-0000-0000-0000BC100000}"/>
    <cellStyle name="Normal 115 3 2 2" xfId="17947" xr:uid="{980E2F2E-9D7F-48A6-9214-42587A4DB986}"/>
    <cellStyle name="Normal 115 3 3" xfId="7538" xr:uid="{00000000-0005-0000-0000-0000BD100000}"/>
    <cellStyle name="Normal 115 3 3 2" xfId="16348" xr:uid="{95576E70-25E2-4C2F-B407-9827DC9AB6DA}"/>
    <cellStyle name="Normal 115 3 4" xfId="10751" xr:uid="{00000000-0005-0000-0000-0000BE100000}"/>
    <cellStyle name="Normal 115 3 4 2" xfId="19494" xr:uid="{8D557F64-8336-4199-925C-9CCAB667C7C2}"/>
    <cellStyle name="Normal 115 3 5" xfId="12358" xr:uid="{00000000-0005-0000-0000-0000BF100000}"/>
    <cellStyle name="Normal 115 3 5 2" xfId="21094" xr:uid="{D3BD8A7A-C96D-4831-8EC5-9D963F205123}"/>
    <cellStyle name="Normal 115 3 6" xfId="14829" xr:uid="{F608383F-8070-42EA-802C-88A17E0D5A9E}"/>
    <cellStyle name="Normal 115 4" xfId="2048" xr:uid="{00000000-0005-0000-0000-0000C0100000}"/>
    <cellStyle name="Normal 115 4 2" xfId="9142" xr:uid="{00000000-0005-0000-0000-0000C1100000}"/>
    <cellStyle name="Normal 115 4 2 2" xfId="17948" xr:uid="{A89997E0-DA38-43C6-A5A1-6631145A985B}"/>
    <cellStyle name="Normal 115 4 3" xfId="7539" xr:uid="{00000000-0005-0000-0000-0000C2100000}"/>
    <cellStyle name="Normal 115 4 3 2" xfId="16349" xr:uid="{2EF6AA42-7113-4E16-AD3E-80E0AECE3FA2}"/>
    <cellStyle name="Normal 115 4 4" xfId="10752" xr:uid="{00000000-0005-0000-0000-0000C3100000}"/>
    <cellStyle name="Normal 115 4 4 2" xfId="19495" xr:uid="{23E9BEF2-FB09-47EC-9A02-79E9D04DBC32}"/>
    <cellStyle name="Normal 115 4 5" xfId="12359" xr:uid="{00000000-0005-0000-0000-0000C4100000}"/>
    <cellStyle name="Normal 115 4 5 2" xfId="21095" xr:uid="{800C0875-BE71-4049-85B6-F89C10595034}"/>
    <cellStyle name="Normal 115 4 6" xfId="14095" xr:uid="{30397E73-3C1E-4E9A-BB8C-271ABDDCC6A6}"/>
    <cellStyle name="Normal 115 5" xfId="9139" xr:uid="{00000000-0005-0000-0000-0000C5100000}"/>
    <cellStyle name="Normal 115 5 2" xfId="17945" xr:uid="{82305939-3BC9-4A3F-86A4-918F01A37EB8}"/>
    <cellStyle name="Normal 115 6" xfId="7536" xr:uid="{00000000-0005-0000-0000-0000C6100000}"/>
    <cellStyle name="Normal 115 6 2" xfId="16346" xr:uid="{AB22CCDB-EC3D-4B38-BF74-E2063E72408A}"/>
    <cellStyle name="Normal 115 7" xfId="10749" xr:uid="{00000000-0005-0000-0000-0000C7100000}"/>
    <cellStyle name="Normal 115 7 2" xfId="19492" xr:uid="{60360FC6-3F2A-45CC-ACA0-4A9EA3D05CFD}"/>
    <cellStyle name="Normal 115 8" xfId="12356" xr:uid="{00000000-0005-0000-0000-0000C8100000}"/>
    <cellStyle name="Normal 115 8 2" xfId="21092" xr:uid="{717F5FA4-5AA0-4992-B27F-BD41BA80B15F}"/>
    <cellStyle name="Normal 115 9" xfId="14737" xr:uid="{5EA4F0F4-26AF-40DA-A630-7F5A0957FAAD}"/>
    <cellStyle name="Normal 116" xfId="2049" xr:uid="{00000000-0005-0000-0000-0000C9100000}"/>
    <cellStyle name="Normal 116 2" xfId="2050" xr:uid="{00000000-0005-0000-0000-0000CA100000}"/>
    <cellStyle name="Normal 116 2 2" xfId="9144" xr:uid="{00000000-0005-0000-0000-0000CB100000}"/>
    <cellStyle name="Normal 116 2 2 2" xfId="17950" xr:uid="{B5CBD43B-9D42-40A4-AA5B-2F1B0A40561D}"/>
    <cellStyle name="Normal 116 2 3" xfId="7541" xr:uid="{00000000-0005-0000-0000-0000CC100000}"/>
    <cellStyle name="Normal 116 2 3 2" xfId="16351" xr:uid="{8BB63C40-374D-42A8-897D-C0C2751905AE}"/>
    <cellStyle name="Normal 116 2 4" xfId="10754" xr:uid="{00000000-0005-0000-0000-0000CD100000}"/>
    <cellStyle name="Normal 116 2 4 2" xfId="19497" xr:uid="{71E2EC1C-8D5A-4F8F-8585-852D08E58069}"/>
    <cellStyle name="Normal 116 2 5" xfId="12361" xr:uid="{00000000-0005-0000-0000-0000CE100000}"/>
    <cellStyle name="Normal 116 2 5 2" xfId="21097" xr:uid="{82CE899D-52E0-439F-8AA4-AB8AB6E130AD}"/>
    <cellStyle name="Normal 116 2 6" xfId="13918" xr:uid="{9614B7B3-2FD9-4CB4-AE71-CC01C57F6523}"/>
    <cellStyle name="Normal 116 3" xfId="2051" xr:uid="{00000000-0005-0000-0000-0000CF100000}"/>
    <cellStyle name="Normal 116 3 2" xfId="9145" xr:uid="{00000000-0005-0000-0000-0000D0100000}"/>
    <cellStyle name="Normal 116 3 2 2" xfId="17951" xr:uid="{962BEE71-A76D-41FF-8639-8A10AFAEF5D1}"/>
    <cellStyle name="Normal 116 3 3" xfId="7542" xr:uid="{00000000-0005-0000-0000-0000D1100000}"/>
    <cellStyle name="Normal 116 3 3 2" xfId="16352" xr:uid="{D68D484D-E711-4213-A715-6EED2882147A}"/>
    <cellStyle name="Normal 116 3 4" xfId="10755" xr:uid="{00000000-0005-0000-0000-0000D2100000}"/>
    <cellStyle name="Normal 116 3 4 2" xfId="19498" xr:uid="{1FC69EC1-2FE2-4D7C-B8A7-5B9FCF343C76}"/>
    <cellStyle name="Normal 116 3 5" xfId="12362" xr:uid="{00000000-0005-0000-0000-0000D3100000}"/>
    <cellStyle name="Normal 116 3 5 2" xfId="21098" xr:uid="{6078005A-C143-4DA5-90F0-3F1ADAF2F488}"/>
    <cellStyle name="Normal 116 3 6" xfId="14154" xr:uid="{6DDFC0F9-9AC4-4728-858F-3DF22589EC1C}"/>
    <cellStyle name="Normal 116 4" xfId="2052" xr:uid="{00000000-0005-0000-0000-0000D4100000}"/>
    <cellStyle name="Normal 116 4 2" xfId="9146" xr:uid="{00000000-0005-0000-0000-0000D5100000}"/>
    <cellStyle name="Normal 116 4 2 2" xfId="17952" xr:uid="{D9F8B6C0-625E-4DAC-852A-C5A6DA244343}"/>
    <cellStyle name="Normal 116 4 3" xfId="7543" xr:uid="{00000000-0005-0000-0000-0000D6100000}"/>
    <cellStyle name="Normal 116 4 3 2" xfId="16353" xr:uid="{F63E6842-8A7E-4C40-A01E-D10F74817FAD}"/>
    <cellStyle name="Normal 116 4 4" xfId="10756" xr:uid="{00000000-0005-0000-0000-0000D7100000}"/>
    <cellStyle name="Normal 116 4 4 2" xfId="19499" xr:uid="{CCC92C6A-9EE4-4F53-9E7C-DCD324D518C0}"/>
    <cellStyle name="Normal 116 4 5" xfId="12363" xr:uid="{00000000-0005-0000-0000-0000D8100000}"/>
    <cellStyle name="Normal 116 4 5 2" xfId="21099" xr:uid="{92F65885-F4DF-43B8-9257-0EB9BC8774E3}"/>
    <cellStyle name="Normal 116 4 6" xfId="14798" xr:uid="{70922E62-6D25-41B7-A773-6347D49294FE}"/>
    <cellStyle name="Normal 116 5" xfId="9143" xr:uid="{00000000-0005-0000-0000-0000D9100000}"/>
    <cellStyle name="Normal 116 5 2" xfId="17949" xr:uid="{17A7529A-65BE-44FD-B6FE-9B5972075A4B}"/>
    <cellStyle name="Normal 116 6" xfId="7540" xr:uid="{00000000-0005-0000-0000-0000DA100000}"/>
    <cellStyle name="Normal 116 6 2" xfId="16350" xr:uid="{E56D9098-8C4A-4806-AD5F-2FE6045F020B}"/>
    <cellStyle name="Normal 116 7" xfId="10753" xr:uid="{00000000-0005-0000-0000-0000DB100000}"/>
    <cellStyle name="Normal 116 7 2" xfId="19496" xr:uid="{D1DA2F3A-1CED-4916-99C8-E47266F37288}"/>
    <cellStyle name="Normal 116 8" xfId="12360" xr:uid="{00000000-0005-0000-0000-0000DC100000}"/>
    <cellStyle name="Normal 116 8 2" xfId="21096" xr:uid="{B925E8AA-F83C-4C3F-B2B1-A2F297C4A118}"/>
    <cellStyle name="Normal 116 9" xfId="14709" xr:uid="{995FEFF9-EB87-4638-BEA2-48E9CF3CB0E7}"/>
    <cellStyle name="Normal 117" xfId="2053" xr:uid="{00000000-0005-0000-0000-0000DD100000}"/>
    <cellStyle name="Normal 117 2" xfId="2054" xr:uid="{00000000-0005-0000-0000-0000DE100000}"/>
    <cellStyle name="Normal 117 2 2" xfId="2055" xr:uid="{00000000-0005-0000-0000-0000DF100000}"/>
    <cellStyle name="Normal 117 2 3" xfId="2056" xr:uid="{00000000-0005-0000-0000-0000E0100000}"/>
    <cellStyle name="Normal 117 2 4" xfId="2057" xr:uid="{00000000-0005-0000-0000-0000E1100000}"/>
    <cellStyle name="Normal 117 2 5" xfId="9147" xr:uid="{00000000-0005-0000-0000-0000E2100000}"/>
    <cellStyle name="Normal 117 2 5 2" xfId="17953" xr:uid="{F1BE016E-2D8F-4017-AB41-4B471B696C78}"/>
    <cellStyle name="Normal 117 2 6" xfId="7544" xr:uid="{00000000-0005-0000-0000-0000E3100000}"/>
    <cellStyle name="Normal 117 2 6 2" xfId="16354" xr:uid="{5E7C9E4D-543D-4557-9074-77251EC52B45}"/>
    <cellStyle name="Normal 117 2 7" xfId="10757" xr:uid="{00000000-0005-0000-0000-0000E4100000}"/>
    <cellStyle name="Normal 117 2 7 2" xfId="19500" xr:uid="{557B95D4-E560-4EE2-A167-11228EE98A6C}"/>
    <cellStyle name="Normal 117 2 8" xfId="12364" xr:uid="{00000000-0005-0000-0000-0000E5100000}"/>
    <cellStyle name="Normal 117 2 8 2" xfId="21100" xr:uid="{B471E7C8-7A21-49F6-AF55-88B08F04FAD2}"/>
    <cellStyle name="Normal 117 2 9" xfId="14791" xr:uid="{7DA9E456-34BA-4FF5-AD12-0DBD6D4B935C}"/>
    <cellStyle name="Normal 117 3" xfId="2058" xr:uid="{00000000-0005-0000-0000-0000E6100000}"/>
    <cellStyle name="Normal 117 3 2" xfId="9148" xr:uid="{00000000-0005-0000-0000-0000E7100000}"/>
    <cellStyle name="Normal 117 3 2 2" xfId="17954" xr:uid="{91B17494-9BDE-4203-97D0-5992C14B7145}"/>
    <cellStyle name="Normal 117 3 3" xfId="7545" xr:uid="{00000000-0005-0000-0000-0000E8100000}"/>
    <cellStyle name="Normal 117 3 3 2" xfId="16355" xr:uid="{A4F08C67-4895-4DA2-8671-3E02F4EBAFA5}"/>
    <cellStyle name="Normal 117 3 4" xfId="10758" xr:uid="{00000000-0005-0000-0000-0000E9100000}"/>
    <cellStyle name="Normal 117 3 4 2" xfId="19501" xr:uid="{9D7B82CB-E85E-46C0-BA4B-6E252B9F522D}"/>
    <cellStyle name="Normal 117 3 5" xfId="12365" xr:uid="{00000000-0005-0000-0000-0000EA100000}"/>
    <cellStyle name="Normal 117 3 5 2" xfId="21101" xr:uid="{C105EF72-DD24-43C6-882D-94BA79E2236C}"/>
    <cellStyle name="Normal 117 3 6" xfId="14089" xr:uid="{E2DF38F2-11CB-44ED-AF61-ED08F80E6419}"/>
    <cellStyle name="Normal 117 4" xfId="2059" xr:uid="{00000000-0005-0000-0000-0000EB100000}"/>
    <cellStyle name="Normal 117 4 2" xfId="9149" xr:uid="{00000000-0005-0000-0000-0000EC100000}"/>
    <cellStyle name="Normal 117 4 2 2" xfId="17955" xr:uid="{26558F9F-698D-4760-930B-DBB078A7F459}"/>
    <cellStyle name="Normal 117 4 3" xfId="7546" xr:uid="{00000000-0005-0000-0000-0000ED100000}"/>
    <cellStyle name="Normal 117 4 3 2" xfId="16356" xr:uid="{782DAD6C-7032-4B50-B529-61EEB7632DEF}"/>
    <cellStyle name="Normal 117 4 4" xfId="10759" xr:uid="{00000000-0005-0000-0000-0000EE100000}"/>
    <cellStyle name="Normal 117 4 4 2" xfId="19502" xr:uid="{D5900DC2-EECD-4F24-99FD-7C47CB883F6C}"/>
    <cellStyle name="Normal 117 4 5" xfId="12366" xr:uid="{00000000-0005-0000-0000-0000EF100000}"/>
    <cellStyle name="Normal 117 4 5 2" xfId="21102" xr:uid="{1626A82A-F1F7-4D0D-8946-C68BDFD696A4}"/>
    <cellStyle name="Normal 117 4 6" xfId="14846" xr:uid="{0A9FE02F-BA6A-4D8D-BFC5-D32D12D2FFE3}"/>
    <cellStyle name="Normal 118" xfId="2060" xr:uid="{00000000-0005-0000-0000-0000F0100000}"/>
    <cellStyle name="Normal 118 2" xfId="2061" xr:uid="{00000000-0005-0000-0000-0000F1100000}"/>
    <cellStyle name="Normal 118 2 2" xfId="9151" xr:uid="{00000000-0005-0000-0000-0000F2100000}"/>
    <cellStyle name="Normal 118 2 2 2" xfId="17957" xr:uid="{6D7C531E-0711-4906-B778-476CC77F214E}"/>
    <cellStyle name="Normal 118 2 3" xfId="7548" xr:uid="{00000000-0005-0000-0000-0000F3100000}"/>
    <cellStyle name="Normal 118 2 3 2" xfId="16358" xr:uid="{3D3C9E19-DEAC-40E5-B40F-CA25F45E787C}"/>
    <cellStyle name="Normal 118 2 4" xfId="10761" xr:uid="{00000000-0005-0000-0000-0000F4100000}"/>
    <cellStyle name="Normal 118 2 4 2" xfId="19504" xr:uid="{A1198442-C800-43C6-A4A2-73AFE4307A8D}"/>
    <cellStyle name="Normal 118 2 5" xfId="12368" xr:uid="{00000000-0005-0000-0000-0000F5100000}"/>
    <cellStyle name="Normal 118 2 5 2" xfId="21104" xr:uid="{E24E277D-20AF-434D-90F2-86D7925F3F0F}"/>
    <cellStyle name="Normal 118 2 6" xfId="14783" xr:uid="{CD23F884-26B7-4788-BDAD-9CEF22035878}"/>
    <cellStyle name="Normal 118 3" xfId="2062" xr:uid="{00000000-0005-0000-0000-0000F6100000}"/>
    <cellStyle name="Normal 118 3 2" xfId="9152" xr:uid="{00000000-0005-0000-0000-0000F7100000}"/>
    <cellStyle name="Normal 118 3 2 2" xfId="17958" xr:uid="{5E87AA58-C3E6-41F9-84CE-ABFBC631CB46}"/>
    <cellStyle name="Normal 118 3 3" xfId="7549" xr:uid="{00000000-0005-0000-0000-0000F8100000}"/>
    <cellStyle name="Normal 118 3 3 2" xfId="16359" xr:uid="{D6B3EF4F-2289-4D18-85F4-E4E4BC5CE905}"/>
    <cellStyle name="Normal 118 3 4" xfId="10762" xr:uid="{00000000-0005-0000-0000-0000F9100000}"/>
    <cellStyle name="Normal 118 3 4 2" xfId="19505" xr:uid="{AD3610C0-4A5E-415B-BB0B-6D400BE13EB4}"/>
    <cellStyle name="Normal 118 3 5" xfId="12369" xr:uid="{00000000-0005-0000-0000-0000FA100000}"/>
    <cellStyle name="Normal 118 3 5 2" xfId="21105" xr:uid="{EA22C485-222C-4BB9-8335-239A91DAED1E}"/>
    <cellStyle name="Normal 118 3 6" xfId="14556" xr:uid="{514FCF53-0EE6-45E5-BB15-995B84C8D8F4}"/>
    <cellStyle name="Normal 118 4" xfId="2063" xr:uid="{00000000-0005-0000-0000-0000FB100000}"/>
    <cellStyle name="Normal 118 4 2" xfId="9153" xr:uid="{00000000-0005-0000-0000-0000FC100000}"/>
    <cellStyle name="Normal 118 4 2 2" xfId="17959" xr:uid="{9EDA0422-E607-4BEB-9840-3F1231BC0723}"/>
    <cellStyle name="Normal 118 4 3" xfId="7550" xr:uid="{00000000-0005-0000-0000-0000FD100000}"/>
    <cellStyle name="Normal 118 4 3 2" xfId="16360" xr:uid="{560378DB-AC80-40A5-BECA-9CCD5153FF2B}"/>
    <cellStyle name="Normal 118 4 4" xfId="10763" xr:uid="{00000000-0005-0000-0000-0000FE100000}"/>
    <cellStyle name="Normal 118 4 4 2" xfId="19506" xr:uid="{0343C0FF-A14F-4B19-BEE2-B11F15E6B798}"/>
    <cellStyle name="Normal 118 4 5" xfId="12370" xr:uid="{00000000-0005-0000-0000-0000FF100000}"/>
    <cellStyle name="Normal 118 4 5 2" xfId="21106" xr:uid="{ECB13DE0-763E-4365-9BBF-DCA37EBEFA56}"/>
    <cellStyle name="Normal 118 4 6" xfId="14736" xr:uid="{082AB4B1-693A-4E63-AB84-DFC9E39A45D2}"/>
    <cellStyle name="Normal 118 5" xfId="9150" xr:uid="{00000000-0005-0000-0000-000000110000}"/>
    <cellStyle name="Normal 118 5 2" xfId="17956" xr:uid="{AFD8C3F6-3BEF-4380-B01C-4E634300825F}"/>
    <cellStyle name="Normal 118 6" xfId="7547" xr:uid="{00000000-0005-0000-0000-000001110000}"/>
    <cellStyle name="Normal 118 6 2" xfId="16357" xr:uid="{C195F55D-6D67-48A8-9DA0-1DA47F3BEF46}"/>
    <cellStyle name="Normal 118 7" xfId="10760" xr:uid="{00000000-0005-0000-0000-000002110000}"/>
    <cellStyle name="Normal 118 7 2" xfId="19503" xr:uid="{D8770BCF-D13B-4BDF-8B1A-5D32E5A705B3}"/>
    <cellStyle name="Normal 118 8" xfId="12367" xr:uid="{00000000-0005-0000-0000-000003110000}"/>
    <cellStyle name="Normal 118 8 2" xfId="21103" xr:uid="{42155C07-B891-4024-819B-6B4705C48E19}"/>
    <cellStyle name="Normal 118 9" xfId="14806" xr:uid="{6E7E0FCC-02D0-4D95-8A77-906850DDBF18}"/>
    <cellStyle name="Normal 119" xfId="2064" xr:uid="{00000000-0005-0000-0000-000004110000}"/>
    <cellStyle name="Normal 119 2" xfId="2065" xr:uid="{00000000-0005-0000-0000-000005110000}"/>
    <cellStyle name="Normal 12" xfId="157" xr:uid="{00000000-0005-0000-0000-000006110000}"/>
    <cellStyle name="Normal 12 2" xfId="2067" xr:uid="{00000000-0005-0000-0000-000007110000}"/>
    <cellStyle name="Normal 12 2 10" xfId="7552" xr:uid="{00000000-0005-0000-0000-000008110000}"/>
    <cellStyle name="Normal 12 2 10 2" xfId="16362" xr:uid="{56C421FA-BA4E-464C-B398-6ECD20E24461}"/>
    <cellStyle name="Normal 12 2 11" xfId="10765" xr:uid="{00000000-0005-0000-0000-000009110000}"/>
    <cellStyle name="Normal 12 2 11 2" xfId="19508" xr:uid="{8783819A-3C0A-4C33-8595-18F1A8BFAE69}"/>
    <cellStyle name="Normal 12 2 12" xfId="12372" xr:uid="{00000000-0005-0000-0000-00000A110000}"/>
    <cellStyle name="Normal 12 2 12 2" xfId="21108" xr:uid="{3ACFEB5C-93A9-4334-802E-4EA5A7CECBA4}"/>
    <cellStyle name="Normal 12 2 13" xfId="14608" xr:uid="{D128D17F-46BA-4C94-8B95-34604E4887B1}"/>
    <cellStyle name="Normal 12 2 2" xfId="2068" xr:uid="{00000000-0005-0000-0000-00000B110000}"/>
    <cellStyle name="Normal 12 2 2 2" xfId="2069" xr:uid="{00000000-0005-0000-0000-00000C110000}"/>
    <cellStyle name="Normal 12 2 2 2 2" xfId="2070" xr:uid="{00000000-0005-0000-0000-00000D110000}"/>
    <cellStyle name="Normal 12 2 2 2 2 2" xfId="2071" xr:uid="{00000000-0005-0000-0000-00000E110000}"/>
    <cellStyle name="Normal 12 2 2 2 2 2 2" xfId="9157" xr:uid="{00000000-0005-0000-0000-00000F110000}"/>
    <cellStyle name="Normal 12 2 2 2 2 2 2 2" xfId="17963" xr:uid="{541198AE-A463-4966-8416-A9424118759B}"/>
    <cellStyle name="Normal 12 2 2 2 2 2 3" xfId="7554" xr:uid="{00000000-0005-0000-0000-000010110000}"/>
    <cellStyle name="Normal 12 2 2 2 2 2 3 2" xfId="16364" xr:uid="{D3794605-A844-49A0-BA8D-814882F9B9EE}"/>
    <cellStyle name="Normal 12 2 2 2 2 2 4" xfId="10767" xr:uid="{00000000-0005-0000-0000-000011110000}"/>
    <cellStyle name="Normal 12 2 2 2 2 2 4 2" xfId="19510" xr:uid="{A36710F9-8ECA-4246-BE12-7BAC6CA51514}"/>
    <cellStyle name="Normal 12 2 2 2 2 2 5" xfId="12374" xr:uid="{00000000-0005-0000-0000-000012110000}"/>
    <cellStyle name="Normal 12 2 2 2 2 2 5 2" xfId="21110" xr:uid="{B5558A54-D5E2-4862-8976-C6E08B999F7D}"/>
    <cellStyle name="Normal 12 2 2 2 2 2 6" xfId="14091" xr:uid="{32110BAF-2C39-4855-8364-204EF33ADF1B}"/>
    <cellStyle name="Normal 12 2 2 2 2 3" xfId="2072" xr:uid="{00000000-0005-0000-0000-000013110000}"/>
    <cellStyle name="Normal 12 2 2 2 2 3 2" xfId="9158" xr:uid="{00000000-0005-0000-0000-000014110000}"/>
    <cellStyle name="Normal 12 2 2 2 2 3 2 2" xfId="17964" xr:uid="{44BC9133-2F1B-4953-A189-D7BA6B910224}"/>
    <cellStyle name="Normal 12 2 2 2 2 3 3" xfId="7555" xr:uid="{00000000-0005-0000-0000-000015110000}"/>
    <cellStyle name="Normal 12 2 2 2 2 3 3 2" xfId="16365" xr:uid="{01CDB966-9837-4CA5-AD49-18EFB68BA00E}"/>
    <cellStyle name="Normal 12 2 2 2 2 3 4" xfId="10768" xr:uid="{00000000-0005-0000-0000-000016110000}"/>
    <cellStyle name="Normal 12 2 2 2 2 3 4 2" xfId="19511" xr:uid="{FEDDC579-BF1A-4058-BCBC-26EA684A108D}"/>
    <cellStyle name="Normal 12 2 2 2 2 3 5" xfId="12375" xr:uid="{00000000-0005-0000-0000-000017110000}"/>
    <cellStyle name="Normal 12 2 2 2 2 3 5 2" xfId="21111" xr:uid="{3942867E-3196-4F2C-9679-924D35DC5171}"/>
    <cellStyle name="Normal 12 2 2 2 2 3 6" xfId="14732" xr:uid="{19418ADC-A15D-4A89-8E42-9D3F2D029E23}"/>
    <cellStyle name="Normal 12 2 2 2 2 4" xfId="2073" xr:uid="{00000000-0005-0000-0000-000018110000}"/>
    <cellStyle name="Normal 12 2 2 2 2 4 2" xfId="9159" xr:uid="{00000000-0005-0000-0000-000019110000}"/>
    <cellStyle name="Normal 12 2 2 2 2 4 2 2" xfId="17965" xr:uid="{B450CBCE-2403-4E3E-B8B8-28657E7D73CE}"/>
    <cellStyle name="Normal 12 2 2 2 2 4 3" xfId="7556" xr:uid="{00000000-0005-0000-0000-00001A110000}"/>
    <cellStyle name="Normal 12 2 2 2 2 4 3 2" xfId="16366" xr:uid="{85FE6244-A020-4E1D-A4C3-80EFF36573E3}"/>
    <cellStyle name="Normal 12 2 2 2 2 4 4" xfId="10769" xr:uid="{00000000-0005-0000-0000-00001B110000}"/>
    <cellStyle name="Normal 12 2 2 2 2 4 4 2" xfId="19512" xr:uid="{DA130E5F-E9DC-41A0-B3B2-04351041CE7B}"/>
    <cellStyle name="Normal 12 2 2 2 2 4 5" xfId="12376" xr:uid="{00000000-0005-0000-0000-00001C110000}"/>
    <cellStyle name="Normal 12 2 2 2 2 4 5 2" xfId="21112" xr:uid="{6688F652-1D65-4479-89D9-1A8DEBA87A5B}"/>
    <cellStyle name="Normal 12 2 2 2 2 4 6" xfId="14735" xr:uid="{389FF8A1-353A-48D1-90C0-E0E89711DCBF}"/>
    <cellStyle name="Normal 12 2 2 2 3" xfId="2074" xr:uid="{00000000-0005-0000-0000-00001D110000}"/>
    <cellStyle name="Normal 12 2 2 2 4" xfId="2075" xr:uid="{00000000-0005-0000-0000-00001E110000}"/>
    <cellStyle name="Normal 12 2 2 2 5" xfId="9156" xr:uid="{00000000-0005-0000-0000-00001F110000}"/>
    <cellStyle name="Normal 12 2 2 2 5 2" xfId="17962" xr:uid="{054B4F9D-3D6A-44A9-A47D-738FA5A478CA}"/>
    <cellStyle name="Normal 12 2 2 2 6" xfId="7553" xr:uid="{00000000-0005-0000-0000-000020110000}"/>
    <cellStyle name="Normal 12 2 2 2 6 2" xfId="16363" xr:uid="{65C06406-906E-4F31-9494-BF4ADED1661D}"/>
    <cellStyle name="Normal 12 2 2 2 7" xfId="10766" xr:uid="{00000000-0005-0000-0000-000021110000}"/>
    <cellStyle name="Normal 12 2 2 2 7 2" xfId="19509" xr:uid="{291CA3A4-21A6-4B92-B56B-E88BDF187481}"/>
    <cellStyle name="Normal 12 2 2 2 8" xfId="12373" xr:uid="{00000000-0005-0000-0000-000022110000}"/>
    <cellStyle name="Normal 12 2 2 2 8 2" xfId="21109" xr:uid="{9F2F7A19-EC04-44D9-BE3A-23743B400CE9}"/>
    <cellStyle name="Normal 12 2 2 2 9" xfId="14782" xr:uid="{C7D0F63F-0F78-4EEA-8103-ABCC691429EA}"/>
    <cellStyle name="Normal 12 2 2 3" xfId="2076" xr:uid="{00000000-0005-0000-0000-000023110000}"/>
    <cellStyle name="Normal 12 2 2 3 2" xfId="2077" xr:uid="{00000000-0005-0000-0000-000024110000}"/>
    <cellStyle name="Normal 12 2 2 3 2 2" xfId="9161" xr:uid="{00000000-0005-0000-0000-000025110000}"/>
    <cellStyle name="Normal 12 2 2 3 2 2 2" xfId="17967" xr:uid="{F0AEEF83-9EFE-4A81-8669-B4B6AAF2E2F0}"/>
    <cellStyle name="Normal 12 2 2 3 2 3" xfId="7558" xr:uid="{00000000-0005-0000-0000-000026110000}"/>
    <cellStyle name="Normal 12 2 2 3 2 3 2" xfId="16368" xr:uid="{FF8E70F3-BDCA-470A-8F86-E77EE18AE7D6}"/>
    <cellStyle name="Normal 12 2 2 3 2 4" xfId="10771" xr:uid="{00000000-0005-0000-0000-000027110000}"/>
    <cellStyle name="Normal 12 2 2 3 2 4 2" xfId="19514" xr:uid="{C91DFC8B-6E23-4328-AD23-73718C78DCB4}"/>
    <cellStyle name="Normal 12 2 2 3 2 5" xfId="12378" xr:uid="{00000000-0005-0000-0000-000028110000}"/>
    <cellStyle name="Normal 12 2 2 3 2 5 2" xfId="21114" xr:uid="{A79B4D62-5516-4EBE-B216-40CA0B98B32D}"/>
    <cellStyle name="Normal 12 2 2 3 2 6" xfId="14716" xr:uid="{B3692161-A8B8-4ED4-AAE0-BEEEE028A1F2}"/>
    <cellStyle name="Normal 12 2 2 3 3" xfId="2078" xr:uid="{00000000-0005-0000-0000-000029110000}"/>
    <cellStyle name="Normal 12 2 2 3 3 2" xfId="9162" xr:uid="{00000000-0005-0000-0000-00002A110000}"/>
    <cellStyle name="Normal 12 2 2 3 3 2 2" xfId="17968" xr:uid="{5D2497F9-243F-4AE9-86DD-51F7820DD1BF}"/>
    <cellStyle name="Normal 12 2 2 3 3 3" xfId="7559" xr:uid="{00000000-0005-0000-0000-00002B110000}"/>
    <cellStyle name="Normal 12 2 2 3 3 3 2" xfId="16369" xr:uid="{23317CB7-2654-4939-95D7-900EA7077B13}"/>
    <cellStyle name="Normal 12 2 2 3 3 4" xfId="10772" xr:uid="{00000000-0005-0000-0000-00002C110000}"/>
    <cellStyle name="Normal 12 2 2 3 3 4 2" xfId="19515" xr:uid="{4467ACD5-59CF-4C69-97C8-C0A9127DACAC}"/>
    <cellStyle name="Normal 12 2 2 3 3 5" xfId="12379" xr:uid="{00000000-0005-0000-0000-00002D110000}"/>
    <cellStyle name="Normal 12 2 2 3 3 5 2" xfId="21115" xr:uid="{E226DA87-8072-40FA-BEE9-0AFB94DF972D}"/>
    <cellStyle name="Normal 12 2 2 3 3 6" xfId="14734" xr:uid="{1FBDB29F-BC3A-4855-89FF-07D6C0CCAEFB}"/>
    <cellStyle name="Normal 12 2 2 3 4" xfId="2079" xr:uid="{00000000-0005-0000-0000-00002E110000}"/>
    <cellStyle name="Normal 12 2 2 3 4 2" xfId="9163" xr:uid="{00000000-0005-0000-0000-00002F110000}"/>
    <cellStyle name="Normal 12 2 2 3 4 2 2" xfId="17969" xr:uid="{D1AB010A-9F15-4219-B4DA-40ED1F046239}"/>
    <cellStyle name="Normal 12 2 2 3 4 3" xfId="7560" xr:uid="{00000000-0005-0000-0000-000030110000}"/>
    <cellStyle name="Normal 12 2 2 3 4 3 2" xfId="16370" xr:uid="{21B95B4E-05BC-4D5C-AFCC-A34B9961D3B6}"/>
    <cellStyle name="Normal 12 2 2 3 4 4" xfId="10773" xr:uid="{00000000-0005-0000-0000-000031110000}"/>
    <cellStyle name="Normal 12 2 2 3 4 4 2" xfId="19516" xr:uid="{DCD1EB5A-47A9-45BD-A93D-CADBA4C0D23C}"/>
    <cellStyle name="Normal 12 2 2 3 4 5" xfId="12380" xr:uid="{00000000-0005-0000-0000-000032110000}"/>
    <cellStyle name="Normal 12 2 2 3 4 5 2" xfId="21116" xr:uid="{2CE1A67E-FC95-42A3-9A4D-2AF9DCBA63A8}"/>
    <cellStyle name="Normal 12 2 2 3 4 6" xfId="14733" xr:uid="{CADFAEEE-0F00-4DD0-A58E-26DA9F5FA7BB}"/>
    <cellStyle name="Normal 12 2 2 3 5" xfId="9160" xr:uid="{00000000-0005-0000-0000-000033110000}"/>
    <cellStyle name="Normal 12 2 2 3 5 2" xfId="17966" xr:uid="{5209E1BD-6205-462A-94AA-E24941A1E69A}"/>
    <cellStyle name="Normal 12 2 2 3 6" xfId="7557" xr:uid="{00000000-0005-0000-0000-000034110000}"/>
    <cellStyle name="Normal 12 2 2 3 6 2" xfId="16367" xr:uid="{903C17D9-7B9C-40C8-B6D9-29715513D8AE}"/>
    <cellStyle name="Normal 12 2 2 3 7" xfId="10770" xr:uid="{00000000-0005-0000-0000-000035110000}"/>
    <cellStyle name="Normal 12 2 2 3 7 2" xfId="19513" xr:uid="{E5DBC4D3-03F0-44C9-8003-8CF78C06FE33}"/>
    <cellStyle name="Normal 12 2 2 3 8" xfId="12377" xr:uid="{00000000-0005-0000-0000-000036110000}"/>
    <cellStyle name="Normal 12 2 2 3 8 2" xfId="21113" xr:uid="{2B2BED0C-3DE8-490C-8C40-16B72E19B14B}"/>
    <cellStyle name="Normal 12 2 2 3 9" xfId="14815" xr:uid="{639212EF-9C6B-4E44-89C5-3EF671F7FDCC}"/>
    <cellStyle name="Normal 12 2 2 4" xfId="2080" xr:uid="{00000000-0005-0000-0000-000037110000}"/>
    <cellStyle name="Normal 12 2 2 4 2" xfId="2081" xr:uid="{00000000-0005-0000-0000-000038110000}"/>
    <cellStyle name="Normal 12 2 2 4 2 2" xfId="9165" xr:uid="{00000000-0005-0000-0000-000039110000}"/>
    <cellStyle name="Normal 12 2 2 4 2 2 2" xfId="17971" xr:uid="{4768454E-1169-4B56-A5C9-AEC02D004D39}"/>
    <cellStyle name="Normal 12 2 2 4 2 3" xfId="7562" xr:uid="{00000000-0005-0000-0000-00003A110000}"/>
    <cellStyle name="Normal 12 2 2 4 2 3 2" xfId="16372" xr:uid="{7C79F439-34E7-421B-9BA1-34C8BAAA31E5}"/>
    <cellStyle name="Normal 12 2 2 4 2 4" xfId="10775" xr:uid="{00000000-0005-0000-0000-00003B110000}"/>
    <cellStyle name="Normal 12 2 2 4 2 4 2" xfId="19518" xr:uid="{C12FA338-30F0-4220-8C6A-99E90BC4D1B8}"/>
    <cellStyle name="Normal 12 2 2 4 2 5" xfId="12382" xr:uid="{00000000-0005-0000-0000-00003C110000}"/>
    <cellStyle name="Normal 12 2 2 4 2 5 2" xfId="21118" xr:uid="{10A6B5C0-8FDC-485C-86CE-26C0B6270C90}"/>
    <cellStyle name="Normal 12 2 2 4 2 6" xfId="14728" xr:uid="{2D0C965D-AB3C-42BE-B935-2F8F65249129}"/>
    <cellStyle name="Normal 12 2 2 4 3" xfId="2082" xr:uid="{00000000-0005-0000-0000-00003D110000}"/>
    <cellStyle name="Normal 12 2 2 4 3 2" xfId="9166" xr:uid="{00000000-0005-0000-0000-00003E110000}"/>
    <cellStyle name="Normal 12 2 2 4 3 2 2" xfId="17972" xr:uid="{87F89D82-46E4-40C5-B4BE-24E8A4599287}"/>
    <cellStyle name="Normal 12 2 2 4 3 3" xfId="7563" xr:uid="{00000000-0005-0000-0000-00003F110000}"/>
    <cellStyle name="Normal 12 2 2 4 3 3 2" xfId="16373" xr:uid="{7AEB597F-B6B0-4CE7-A44D-64349A7F3BC7}"/>
    <cellStyle name="Normal 12 2 2 4 3 4" xfId="10776" xr:uid="{00000000-0005-0000-0000-000040110000}"/>
    <cellStyle name="Normal 12 2 2 4 3 4 2" xfId="19519" xr:uid="{55AC4848-C4CE-45EC-9679-1F8B55D6B87A}"/>
    <cellStyle name="Normal 12 2 2 4 3 5" xfId="12383" xr:uid="{00000000-0005-0000-0000-000041110000}"/>
    <cellStyle name="Normal 12 2 2 4 3 5 2" xfId="21119" xr:uid="{4F98E718-E246-451F-A219-626C2334E745}"/>
    <cellStyle name="Normal 12 2 2 4 3 6" xfId="14731" xr:uid="{41207C59-2968-4628-B072-6E63F32F8E51}"/>
    <cellStyle name="Normal 12 2 2 4 4" xfId="2083" xr:uid="{00000000-0005-0000-0000-000042110000}"/>
    <cellStyle name="Normal 12 2 2 4 4 2" xfId="9167" xr:uid="{00000000-0005-0000-0000-000043110000}"/>
    <cellStyle name="Normal 12 2 2 4 4 2 2" xfId="17973" xr:uid="{A8900AB9-6AD0-4D9D-B627-DF05707BE408}"/>
    <cellStyle name="Normal 12 2 2 4 4 3" xfId="7564" xr:uid="{00000000-0005-0000-0000-000044110000}"/>
    <cellStyle name="Normal 12 2 2 4 4 3 2" xfId="16374" xr:uid="{6D3F1E36-666F-497B-B466-2F9DA74C309F}"/>
    <cellStyle name="Normal 12 2 2 4 4 4" xfId="10777" xr:uid="{00000000-0005-0000-0000-000045110000}"/>
    <cellStyle name="Normal 12 2 2 4 4 4 2" xfId="19520" xr:uid="{DF45169A-AAF2-4266-BE5D-ADEC7B65F8C0}"/>
    <cellStyle name="Normal 12 2 2 4 4 5" xfId="12384" xr:uid="{00000000-0005-0000-0000-000046110000}"/>
    <cellStyle name="Normal 12 2 2 4 4 5 2" xfId="21120" xr:uid="{49D9CD84-8D2C-4BD1-8D4B-CE6444B67F3E}"/>
    <cellStyle name="Normal 12 2 2 4 4 6" xfId="14730" xr:uid="{CCB4D808-0839-43E0-A08B-14212A6AA3D8}"/>
    <cellStyle name="Normal 12 2 2 4 5" xfId="9164" xr:uid="{00000000-0005-0000-0000-000047110000}"/>
    <cellStyle name="Normal 12 2 2 4 5 2" xfId="17970" xr:uid="{9C435C9E-BD10-4E8A-B9CC-9433C317EB14}"/>
    <cellStyle name="Normal 12 2 2 4 6" xfId="7561" xr:uid="{00000000-0005-0000-0000-000048110000}"/>
    <cellStyle name="Normal 12 2 2 4 6 2" xfId="16371" xr:uid="{0171A262-C420-4A35-B717-76B4284D8A3A}"/>
    <cellStyle name="Normal 12 2 2 4 7" xfId="10774" xr:uid="{00000000-0005-0000-0000-000049110000}"/>
    <cellStyle name="Normal 12 2 2 4 7 2" xfId="19517" xr:uid="{CC80DA75-BBFC-4CB5-94BB-3E727EF45270}"/>
    <cellStyle name="Normal 12 2 2 4 8" xfId="12381" xr:uid="{00000000-0005-0000-0000-00004A110000}"/>
    <cellStyle name="Normal 12 2 2 4 8 2" xfId="21117" xr:uid="{938CC85D-5367-42FA-9793-85A51F902BAA}"/>
    <cellStyle name="Normal 12 2 2 4 9" xfId="14060" xr:uid="{3C114FC5-9DB5-4529-831E-FF90B8141B96}"/>
    <cellStyle name="Normal 12 2 2 5" xfId="2084" xr:uid="{00000000-0005-0000-0000-00004B110000}"/>
    <cellStyle name="Normal 12 2 2 5 2" xfId="9168" xr:uid="{00000000-0005-0000-0000-00004C110000}"/>
    <cellStyle name="Normal 12 2 2 5 2 2" xfId="17974" xr:uid="{E3820381-4A82-4E3D-97EA-DFBA84F64B49}"/>
    <cellStyle name="Normal 12 2 2 5 3" xfId="7565" xr:uid="{00000000-0005-0000-0000-00004D110000}"/>
    <cellStyle name="Normal 12 2 2 5 3 2" xfId="16375" xr:uid="{9D6A7E2C-A804-4493-BB00-4FA197C22093}"/>
    <cellStyle name="Normal 12 2 2 5 4" xfId="10778" xr:uid="{00000000-0005-0000-0000-00004E110000}"/>
    <cellStyle name="Normal 12 2 2 5 4 2" xfId="19521" xr:uid="{C48CB42F-4F2C-4AE4-B1F7-8C84A967089C}"/>
    <cellStyle name="Normal 12 2 2 5 5" xfId="12385" xr:uid="{00000000-0005-0000-0000-00004F110000}"/>
    <cellStyle name="Normal 12 2 2 5 5 2" xfId="21121" xr:uid="{DAAA400A-9CDA-42C4-9987-8A78357FFA85}"/>
    <cellStyle name="Normal 12 2 2 5 6" xfId="14729" xr:uid="{883CB1DE-D5AD-4970-821E-5026C9A5DF6D}"/>
    <cellStyle name="Normal 12 2 2 6" xfId="2085" xr:uid="{00000000-0005-0000-0000-000050110000}"/>
    <cellStyle name="Normal 12 2 2 6 2" xfId="9169" xr:uid="{00000000-0005-0000-0000-000051110000}"/>
    <cellStyle name="Normal 12 2 2 6 2 2" xfId="17975" xr:uid="{6967E3A2-A3A8-4E39-9B6F-813FE09518E4}"/>
    <cellStyle name="Normal 12 2 2 6 3" xfId="7566" xr:uid="{00000000-0005-0000-0000-000052110000}"/>
    <cellStyle name="Normal 12 2 2 6 3 2" xfId="16376" xr:uid="{6E3E6AD2-8D05-4581-B8FD-A636D10CE677}"/>
    <cellStyle name="Normal 12 2 2 6 4" xfId="10779" xr:uid="{00000000-0005-0000-0000-000053110000}"/>
    <cellStyle name="Normal 12 2 2 6 4 2" xfId="19522" xr:uid="{737DAB2D-1EBF-4C37-B1FE-14D5573D1BDC}"/>
    <cellStyle name="Normal 12 2 2 6 5" xfId="12386" xr:uid="{00000000-0005-0000-0000-000054110000}"/>
    <cellStyle name="Normal 12 2 2 6 5 2" xfId="21122" xr:uid="{003E2DCD-1663-4FEB-8C63-01EEE1145366}"/>
    <cellStyle name="Normal 12 2 2 6 6" xfId="14050" xr:uid="{F45C4FFA-9F55-4D22-BB89-683D332DB15B}"/>
    <cellStyle name="Normal 12 2 2 7" xfId="2086" xr:uid="{00000000-0005-0000-0000-000055110000}"/>
    <cellStyle name="Normal 12 2 2 7 2" xfId="9170" xr:uid="{00000000-0005-0000-0000-000056110000}"/>
    <cellStyle name="Normal 12 2 2 7 2 2" xfId="17976" xr:uid="{6850BF7F-FAE1-46A1-8DFC-4655AF131E0B}"/>
    <cellStyle name="Normal 12 2 2 7 3" xfId="7567" xr:uid="{00000000-0005-0000-0000-000057110000}"/>
    <cellStyle name="Normal 12 2 2 7 3 2" xfId="16377" xr:uid="{8141093F-30A6-4D89-8D49-0ECA4CE5EBEF}"/>
    <cellStyle name="Normal 12 2 2 7 4" xfId="10780" xr:uid="{00000000-0005-0000-0000-000058110000}"/>
    <cellStyle name="Normal 12 2 2 7 4 2" xfId="19523" xr:uid="{9224A4AE-262B-4748-8360-6D7EAA3FF721}"/>
    <cellStyle name="Normal 12 2 2 7 5" xfId="12387" xr:uid="{00000000-0005-0000-0000-000059110000}"/>
    <cellStyle name="Normal 12 2 2 7 5 2" xfId="21123" xr:uid="{BE65196F-DB41-4201-8E6C-5C314618A2CE}"/>
    <cellStyle name="Normal 12 2 2 7 6" xfId="14712" xr:uid="{D3F09B48-5724-485D-A235-073E330A6612}"/>
    <cellStyle name="Normal 12 2 3" xfId="2087" xr:uid="{00000000-0005-0000-0000-00005A110000}"/>
    <cellStyle name="Normal 12 2 3 2" xfId="2088" xr:uid="{00000000-0005-0000-0000-00005B110000}"/>
    <cellStyle name="Normal 12 2 3 2 2" xfId="9172" xr:uid="{00000000-0005-0000-0000-00005C110000}"/>
    <cellStyle name="Normal 12 2 3 2 2 2" xfId="17978" xr:uid="{018FF988-9507-4FD0-8F1A-DFEC2FF1D3D4}"/>
    <cellStyle name="Normal 12 2 3 2 3" xfId="7569" xr:uid="{00000000-0005-0000-0000-00005D110000}"/>
    <cellStyle name="Normal 12 2 3 2 3 2" xfId="16379" xr:uid="{FC351390-6FD0-4515-B75C-5A23EB07FAD5}"/>
    <cellStyle name="Normal 12 2 3 2 4" xfId="10782" xr:uid="{00000000-0005-0000-0000-00005E110000}"/>
    <cellStyle name="Normal 12 2 3 2 4 2" xfId="19525" xr:uid="{5A1D56B3-CBCF-4205-9C7A-32182A868072}"/>
    <cellStyle name="Normal 12 2 3 2 5" xfId="12389" xr:uid="{00000000-0005-0000-0000-00005F110000}"/>
    <cellStyle name="Normal 12 2 3 2 5 2" xfId="21125" xr:uid="{D6BAA5B5-6D9F-41B5-A973-A828FF190CF3}"/>
    <cellStyle name="Normal 12 2 3 2 6" xfId="14726" xr:uid="{8FBFE9E3-832E-42EE-8ED6-014CD329D245}"/>
    <cellStyle name="Normal 12 2 3 3" xfId="2089" xr:uid="{00000000-0005-0000-0000-000060110000}"/>
    <cellStyle name="Normal 12 2 3 3 2" xfId="9173" xr:uid="{00000000-0005-0000-0000-000061110000}"/>
    <cellStyle name="Normal 12 2 3 3 2 2" xfId="17979" xr:uid="{898BEF28-7EFF-43E1-B706-3187B9F9D2AA}"/>
    <cellStyle name="Normal 12 2 3 3 3" xfId="7570" xr:uid="{00000000-0005-0000-0000-000062110000}"/>
    <cellStyle name="Normal 12 2 3 3 3 2" xfId="16380" xr:uid="{0502D9F5-83CF-4735-BB5B-99F6B8BB7195}"/>
    <cellStyle name="Normal 12 2 3 3 4" xfId="10783" xr:uid="{00000000-0005-0000-0000-000063110000}"/>
    <cellStyle name="Normal 12 2 3 3 4 2" xfId="19526" xr:uid="{FA2C0443-8181-4874-911F-6260C3A73C7D}"/>
    <cellStyle name="Normal 12 2 3 3 5" xfId="12390" xr:uid="{00000000-0005-0000-0000-000064110000}"/>
    <cellStyle name="Normal 12 2 3 3 5 2" xfId="21126" xr:uid="{AC2FAC07-76C1-42FE-A280-4AC7C54BD9C2}"/>
    <cellStyle name="Normal 12 2 3 3 6" xfId="14725" xr:uid="{0B46CBCC-DCCA-4457-A68F-4734B7D188CB}"/>
    <cellStyle name="Normal 12 2 3 4" xfId="2090" xr:uid="{00000000-0005-0000-0000-000065110000}"/>
    <cellStyle name="Normal 12 2 3 4 2" xfId="9174" xr:uid="{00000000-0005-0000-0000-000066110000}"/>
    <cellStyle name="Normal 12 2 3 4 2 2" xfId="17980" xr:uid="{6C5D2C7D-4AF9-4100-A83F-3E28B79EBD3E}"/>
    <cellStyle name="Normal 12 2 3 4 3" xfId="7571" xr:uid="{00000000-0005-0000-0000-000067110000}"/>
    <cellStyle name="Normal 12 2 3 4 3 2" xfId="16381" xr:uid="{BE19BA4F-1068-43F8-8510-F69996066B91}"/>
    <cellStyle name="Normal 12 2 3 4 4" xfId="10784" xr:uid="{00000000-0005-0000-0000-000068110000}"/>
    <cellStyle name="Normal 12 2 3 4 4 2" xfId="19527" xr:uid="{FA3503D6-E1DF-4EA5-9366-4B1C1369DDAD}"/>
    <cellStyle name="Normal 12 2 3 4 5" xfId="12391" xr:uid="{00000000-0005-0000-0000-000069110000}"/>
    <cellStyle name="Normal 12 2 3 4 5 2" xfId="21127" xr:uid="{DCE36A0E-D3D2-477B-9CB2-5DB5872DDEB4}"/>
    <cellStyle name="Normal 12 2 3 4 6" xfId="14724" xr:uid="{4F785CFF-11AC-4929-B944-0BE6016F4F29}"/>
    <cellStyle name="Normal 12 2 3 5" xfId="9171" xr:uid="{00000000-0005-0000-0000-00006A110000}"/>
    <cellStyle name="Normal 12 2 3 5 2" xfId="17977" xr:uid="{E1A183D1-8188-4B8B-8388-22956D6C1FC4}"/>
    <cellStyle name="Normal 12 2 3 6" xfId="7568" xr:uid="{00000000-0005-0000-0000-00006B110000}"/>
    <cellStyle name="Normal 12 2 3 6 2" xfId="16378" xr:uid="{70C41669-8E55-4CF0-B3DE-A77CE8B5C5CC}"/>
    <cellStyle name="Normal 12 2 3 7" xfId="10781" xr:uid="{00000000-0005-0000-0000-00006C110000}"/>
    <cellStyle name="Normal 12 2 3 7 2" xfId="19524" xr:uid="{BCAF21C0-D35A-4BF0-8B8A-BE1DED6AF9A4}"/>
    <cellStyle name="Normal 12 2 3 8" xfId="12388" xr:uid="{00000000-0005-0000-0000-00006D110000}"/>
    <cellStyle name="Normal 12 2 3 8 2" xfId="21124" xr:uid="{0AB1F9F2-B8C4-4CA7-B86F-DDDAFFE147B1}"/>
    <cellStyle name="Normal 12 2 3 9" xfId="14727" xr:uid="{FB1AFED6-8746-401F-B44E-AB4FACF13FF4}"/>
    <cellStyle name="Normal 12 2 4" xfId="2091" xr:uid="{00000000-0005-0000-0000-00006E110000}"/>
    <cellStyle name="Normal 12 2 5" xfId="2092" xr:uid="{00000000-0005-0000-0000-00006F110000}"/>
    <cellStyle name="Normal 12 2 6" xfId="2093" xr:uid="{00000000-0005-0000-0000-000070110000}"/>
    <cellStyle name="Normal 12 2 6 2" xfId="9175" xr:uid="{00000000-0005-0000-0000-000071110000}"/>
    <cellStyle name="Normal 12 2 6 2 2" xfId="17981" xr:uid="{45A81FF7-E523-4DD5-AB0C-272910448558}"/>
    <cellStyle name="Normal 12 2 6 3" xfId="7572" xr:uid="{00000000-0005-0000-0000-000072110000}"/>
    <cellStyle name="Normal 12 2 6 3 2" xfId="16382" xr:uid="{42D196E3-72CE-4F1E-BB12-B49753D5A95F}"/>
    <cellStyle name="Normal 12 2 6 4" xfId="10785" xr:uid="{00000000-0005-0000-0000-000073110000}"/>
    <cellStyle name="Normal 12 2 6 4 2" xfId="19528" xr:uid="{A57A3525-4579-4741-A7BE-F1750E6E08DC}"/>
    <cellStyle name="Normal 12 2 6 5" xfId="12392" xr:uid="{00000000-0005-0000-0000-000074110000}"/>
    <cellStyle name="Normal 12 2 6 5 2" xfId="21128" xr:uid="{65738EC9-2730-4058-9899-4B6A9E46E5D3}"/>
    <cellStyle name="Normal 12 2 6 6" xfId="14723" xr:uid="{7FD7A593-85FF-4FEE-9759-A14651C95593}"/>
    <cellStyle name="Normal 12 2 7" xfId="2094" xr:uid="{00000000-0005-0000-0000-000075110000}"/>
    <cellStyle name="Normal 12 2 7 2" xfId="9176" xr:uid="{00000000-0005-0000-0000-000076110000}"/>
    <cellStyle name="Normal 12 2 7 2 2" xfId="17982" xr:uid="{8BE8CE73-5542-4ED7-AEFE-EDF5E72A86F5}"/>
    <cellStyle name="Normal 12 2 7 3" xfId="7573" xr:uid="{00000000-0005-0000-0000-000077110000}"/>
    <cellStyle name="Normal 12 2 7 3 2" xfId="16383" xr:uid="{DF72AB36-190F-41D5-AAA5-A8772CF99287}"/>
    <cellStyle name="Normal 12 2 7 4" xfId="10786" xr:uid="{00000000-0005-0000-0000-000078110000}"/>
    <cellStyle name="Normal 12 2 7 4 2" xfId="19529" xr:uid="{0B0CD06C-5363-43CF-A571-57E37CB7ED85}"/>
    <cellStyle name="Normal 12 2 7 5" xfId="12393" xr:uid="{00000000-0005-0000-0000-000079110000}"/>
    <cellStyle name="Normal 12 2 7 5 2" xfId="21129" xr:uid="{641181E6-9A19-41CD-8A73-2DB62986FFDC}"/>
    <cellStyle name="Normal 12 2 7 6" xfId="14722" xr:uid="{17397D7E-5AA2-435C-8636-8FE36FF7A439}"/>
    <cellStyle name="Normal 12 2 8" xfId="2095" xr:uid="{00000000-0005-0000-0000-00007A110000}"/>
    <cellStyle name="Normal 12 2 8 2" xfId="9177" xr:uid="{00000000-0005-0000-0000-00007B110000}"/>
    <cellStyle name="Normal 12 2 8 2 2" xfId="17983" xr:uid="{497B0BC0-AE13-48A6-9D6F-70BEFC015026}"/>
    <cellStyle name="Normal 12 2 8 3" xfId="7574" xr:uid="{00000000-0005-0000-0000-00007C110000}"/>
    <cellStyle name="Normal 12 2 8 3 2" xfId="16384" xr:uid="{8E781485-D3D4-4FB0-B6F5-253F75FE0C38}"/>
    <cellStyle name="Normal 12 2 8 4" xfId="10787" xr:uid="{00000000-0005-0000-0000-00007D110000}"/>
    <cellStyle name="Normal 12 2 8 4 2" xfId="19530" xr:uid="{EA06C3AF-41EE-4E6C-A23E-9DDFE0043938}"/>
    <cellStyle name="Normal 12 2 8 5" xfId="12394" xr:uid="{00000000-0005-0000-0000-00007E110000}"/>
    <cellStyle name="Normal 12 2 8 5 2" xfId="21130" xr:uid="{CD34C648-D2FC-48B3-818C-B9F489BDE0A7}"/>
    <cellStyle name="Normal 12 2 8 6" xfId="14721" xr:uid="{41510C6E-418C-4A2F-B362-3B1382C6A562}"/>
    <cellStyle name="Normal 12 2 9" xfId="6927" xr:uid="{00000000-0005-0000-0000-00007F110000}"/>
    <cellStyle name="Normal 12 2 9 2" xfId="9155" xr:uid="{00000000-0005-0000-0000-000080110000}"/>
    <cellStyle name="Normal 12 2 9 2 2" xfId="17961" xr:uid="{3686C8C1-E0FC-4A1F-9E55-8802B736851A}"/>
    <cellStyle name="Normal 12 2 9 3" xfId="16193" xr:uid="{9308DD18-7961-41EC-A3A2-1C9F7D4BCC59}"/>
    <cellStyle name="Normal 12 3" xfId="2096" xr:uid="{00000000-0005-0000-0000-000081110000}"/>
    <cellStyle name="Normal 12 4" xfId="2097" xr:uid="{00000000-0005-0000-0000-000082110000}"/>
    <cellStyle name="Normal 12 5" xfId="4909" xr:uid="{00000000-0005-0000-0000-000083110000}"/>
    <cellStyle name="Normal 12 6" xfId="2066" xr:uid="{00000000-0005-0000-0000-000084110000}"/>
    <cellStyle name="Normal 12 6 2" xfId="9154" xr:uid="{00000000-0005-0000-0000-000085110000}"/>
    <cellStyle name="Normal 12 6 2 2" xfId="17960" xr:uid="{8BFCAD37-FC34-427E-940B-7F4220485045}"/>
    <cellStyle name="Normal 12 6 3" xfId="10764" xr:uid="{00000000-0005-0000-0000-000086110000}"/>
    <cellStyle name="Normal 12 6 3 2" xfId="19507" xr:uid="{9955F7D5-130E-40BF-9EE3-A10A4B0D2B84}"/>
    <cellStyle name="Normal 12 6 4" xfId="14084" xr:uid="{5D9F2959-BADB-45E9-B17B-935389458EA5}"/>
    <cellStyle name="Normal 12 7" xfId="7551" xr:uid="{00000000-0005-0000-0000-000087110000}"/>
    <cellStyle name="Normal 12 7 2" xfId="16361" xr:uid="{323BCF40-E778-4C78-8884-EEDE76062771}"/>
    <cellStyle name="Normal 12 8" xfId="10628" xr:uid="{00000000-0005-0000-0000-000088110000}"/>
    <cellStyle name="Normal 12 9" xfId="12371" xr:uid="{00000000-0005-0000-0000-000089110000}"/>
    <cellStyle name="Normal 12 9 2" xfId="21107" xr:uid="{FD2B69C3-BCB5-4FFC-A619-DA75F34EE5A0}"/>
    <cellStyle name="Normal 120" xfId="2098" xr:uid="{00000000-0005-0000-0000-00008A110000}"/>
    <cellStyle name="Normal 120 2" xfId="2099" xr:uid="{00000000-0005-0000-0000-00008B110000}"/>
    <cellStyle name="Normal 120 2 2" xfId="9179" xr:uid="{00000000-0005-0000-0000-00008C110000}"/>
    <cellStyle name="Normal 120 2 2 2" xfId="17985" xr:uid="{B7CBB3F8-5215-4601-A86A-AAD5D6C4D5E8}"/>
    <cellStyle name="Normal 120 2 3" xfId="7576" xr:uid="{00000000-0005-0000-0000-00008D110000}"/>
    <cellStyle name="Normal 120 2 3 2" xfId="16386" xr:uid="{E121B1B4-773A-4DC2-84A3-8ADDD9E5EA1A}"/>
    <cellStyle name="Normal 120 2 4" xfId="10789" xr:uid="{00000000-0005-0000-0000-00008E110000}"/>
    <cellStyle name="Normal 120 2 4 2" xfId="19532" xr:uid="{3385E6EE-99C1-41BB-904F-D2E19FB3EBAA}"/>
    <cellStyle name="Normal 120 2 5" xfId="12396" xr:uid="{00000000-0005-0000-0000-00008F110000}"/>
    <cellStyle name="Normal 120 2 5 2" xfId="21132" xr:uid="{76261CEE-04FA-48E5-96B7-A13B491A855C}"/>
    <cellStyle name="Normal 120 2 6" xfId="14718" xr:uid="{00628059-33F0-410C-A1C6-C66FF2BB7C9A}"/>
    <cellStyle name="Normal 120 3" xfId="2100" xr:uid="{00000000-0005-0000-0000-000090110000}"/>
    <cellStyle name="Normal 120 3 2" xfId="9180" xr:uid="{00000000-0005-0000-0000-000091110000}"/>
    <cellStyle name="Normal 120 3 2 2" xfId="17986" xr:uid="{A6A2A572-09B9-4FA0-8668-F58731113372}"/>
    <cellStyle name="Normal 120 3 3" xfId="7577" xr:uid="{00000000-0005-0000-0000-000092110000}"/>
    <cellStyle name="Normal 120 3 3 2" xfId="16387" xr:uid="{62800E15-0E72-4FF7-8520-FBF65AB5F7CA}"/>
    <cellStyle name="Normal 120 3 4" xfId="10790" xr:uid="{00000000-0005-0000-0000-000093110000}"/>
    <cellStyle name="Normal 120 3 4 2" xfId="19533" xr:uid="{D785DDEC-6212-4790-96AB-23C541D0E282}"/>
    <cellStyle name="Normal 120 3 5" xfId="12397" xr:uid="{00000000-0005-0000-0000-000094110000}"/>
    <cellStyle name="Normal 120 3 5 2" xfId="21133" xr:uid="{BACD35F2-307A-4BE0-96BD-3AE0BE7E2477}"/>
    <cellStyle name="Normal 120 3 6" xfId="14717" xr:uid="{1D8E9EE3-8551-4A11-A94A-CA4DC3B00712}"/>
    <cellStyle name="Normal 120 4" xfId="2101" xr:uid="{00000000-0005-0000-0000-000095110000}"/>
    <cellStyle name="Normal 120 4 2" xfId="9181" xr:uid="{00000000-0005-0000-0000-000096110000}"/>
    <cellStyle name="Normal 120 4 2 2" xfId="17987" xr:uid="{171508BA-29BB-4536-B1DC-C98D0B04FE6D}"/>
    <cellStyle name="Normal 120 4 3" xfId="7578" xr:uid="{00000000-0005-0000-0000-000097110000}"/>
    <cellStyle name="Normal 120 4 3 2" xfId="16388" xr:uid="{5289378D-28BA-4338-AF23-86ED6253DB48}"/>
    <cellStyle name="Normal 120 4 4" xfId="10791" xr:uid="{00000000-0005-0000-0000-000098110000}"/>
    <cellStyle name="Normal 120 4 4 2" xfId="19534" xr:uid="{DFB0591A-C0C1-4F48-BFA9-59037FC3F08A}"/>
    <cellStyle name="Normal 120 4 5" xfId="12398" xr:uid="{00000000-0005-0000-0000-000099110000}"/>
    <cellStyle name="Normal 120 4 5 2" xfId="21134" xr:uid="{B63876C5-8917-4448-9234-649165000F05}"/>
    <cellStyle name="Normal 120 4 6" xfId="14830" xr:uid="{9736DC3F-66E6-4161-AB15-61C0E1A45903}"/>
    <cellStyle name="Normal 120 5" xfId="9178" xr:uid="{00000000-0005-0000-0000-00009A110000}"/>
    <cellStyle name="Normal 120 5 2" xfId="17984" xr:uid="{CF155C3D-6E4D-435C-A139-07EE11DD760E}"/>
    <cellStyle name="Normal 120 6" xfId="7575" xr:uid="{00000000-0005-0000-0000-00009B110000}"/>
    <cellStyle name="Normal 120 6 2" xfId="16385" xr:uid="{F4832027-7BC9-493E-BFB9-B45C476DA9DB}"/>
    <cellStyle name="Normal 120 7" xfId="10788" xr:uid="{00000000-0005-0000-0000-00009C110000}"/>
    <cellStyle name="Normal 120 7 2" xfId="19531" xr:uid="{15C6626D-B8A3-4898-9FAD-0E00A849E3CD}"/>
    <cellStyle name="Normal 120 8" xfId="12395" xr:uid="{00000000-0005-0000-0000-00009D110000}"/>
    <cellStyle name="Normal 120 8 2" xfId="21131" xr:uid="{B7505A0E-80B6-445F-96B2-BDDAA6CB40B6}"/>
    <cellStyle name="Normal 120 9" xfId="14719" xr:uid="{FF79B981-AB2D-4D57-8AB3-3466511FEEDA}"/>
    <cellStyle name="Normal 121" xfId="2102" xr:uid="{00000000-0005-0000-0000-00009E110000}"/>
    <cellStyle name="Normal 121 2" xfId="2103" xr:uid="{00000000-0005-0000-0000-00009F110000}"/>
    <cellStyle name="Normal 121 2 2" xfId="9183" xr:uid="{00000000-0005-0000-0000-0000A0110000}"/>
    <cellStyle name="Normal 121 2 2 2" xfId="17989" xr:uid="{31CD70A1-0222-400F-92F6-3B13A6B310B7}"/>
    <cellStyle name="Normal 121 2 3" xfId="7580" xr:uid="{00000000-0005-0000-0000-0000A1110000}"/>
    <cellStyle name="Normal 121 2 3 2" xfId="16390" xr:uid="{C1EC83C7-0603-4713-9C72-5D7418BFF58F}"/>
    <cellStyle name="Normal 121 2 4" xfId="10793" xr:uid="{00000000-0005-0000-0000-0000A2110000}"/>
    <cellStyle name="Normal 121 2 4 2" xfId="19536" xr:uid="{84EE8DD8-27C6-4021-8268-D866DC9F85F0}"/>
    <cellStyle name="Normal 121 2 5" xfId="12400" xr:uid="{00000000-0005-0000-0000-0000A3110000}"/>
    <cellStyle name="Normal 121 2 5 2" xfId="21136" xr:uid="{99A399CD-9968-4307-A080-EA85081C2860}"/>
    <cellStyle name="Normal 121 2 6" xfId="14708" xr:uid="{93DE69A7-833D-4B5C-9D6A-B6C46E155CE3}"/>
    <cellStyle name="Normal 121 3" xfId="2104" xr:uid="{00000000-0005-0000-0000-0000A4110000}"/>
    <cellStyle name="Normal 121 3 2" xfId="9184" xr:uid="{00000000-0005-0000-0000-0000A5110000}"/>
    <cellStyle name="Normal 121 3 2 2" xfId="17990" xr:uid="{6981DDE1-858E-4118-9FA3-349D48B49BF0}"/>
    <cellStyle name="Normal 121 3 3" xfId="7581" xr:uid="{00000000-0005-0000-0000-0000A6110000}"/>
    <cellStyle name="Normal 121 3 3 2" xfId="16391" xr:uid="{25973753-8ED0-4D6E-BA1C-2B52C9DB3B0E}"/>
    <cellStyle name="Normal 121 3 4" xfId="10794" xr:uid="{00000000-0005-0000-0000-0000A7110000}"/>
    <cellStyle name="Normal 121 3 4 2" xfId="19537" xr:uid="{164A92D8-9072-4449-93D7-CEA1766D3D51}"/>
    <cellStyle name="Normal 121 3 5" xfId="12401" xr:uid="{00000000-0005-0000-0000-0000A8110000}"/>
    <cellStyle name="Normal 121 3 5 2" xfId="21137" xr:uid="{FAF60E60-B597-4A3C-A491-8C2B9EC7115C}"/>
    <cellStyle name="Normal 121 3 6" xfId="14152" xr:uid="{AE31529A-206E-4507-A113-96F5B1B15871}"/>
    <cellStyle name="Normal 121 4" xfId="2105" xr:uid="{00000000-0005-0000-0000-0000A9110000}"/>
    <cellStyle name="Normal 121 4 2" xfId="9185" xr:uid="{00000000-0005-0000-0000-0000AA110000}"/>
    <cellStyle name="Normal 121 4 2 2" xfId="17991" xr:uid="{19C6106B-F914-4D75-887A-0F87E037A7A7}"/>
    <cellStyle name="Normal 121 4 3" xfId="7582" xr:uid="{00000000-0005-0000-0000-0000AB110000}"/>
    <cellStyle name="Normal 121 4 3 2" xfId="16392" xr:uid="{11A745DF-4141-444F-83B8-D501AF3436FC}"/>
    <cellStyle name="Normal 121 4 4" xfId="10795" xr:uid="{00000000-0005-0000-0000-0000AC110000}"/>
    <cellStyle name="Normal 121 4 4 2" xfId="19538" xr:uid="{A405E110-0C5E-4314-A955-95525347F750}"/>
    <cellStyle name="Normal 121 4 5" xfId="12402" xr:uid="{00000000-0005-0000-0000-0000AD110000}"/>
    <cellStyle name="Normal 121 4 5 2" xfId="21138" xr:uid="{F797D8E7-E04A-49F3-9292-AADDFCD2EB8D}"/>
    <cellStyle name="Normal 121 4 6" xfId="14157" xr:uid="{B0D14AF3-1AED-4611-8D9C-C8E9B1CD519F}"/>
    <cellStyle name="Normal 121 5" xfId="9182" xr:uid="{00000000-0005-0000-0000-0000AE110000}"/>
    <cellStyle name="Normal 121 5 2" xfId="17988" xr:uid="{9834532A-A385-4B62-A914-65911C64D03B}"/>
    <cellStyle name="Normal 121 6" xfId="7579" xr:uid="{00000000-0005-0000-0000-0000AF110000}"/>
    <cellStyle name="Normal 121 6 2" xfId="16389" xr:uid="{CF712C27-9C24-4288-B1AE-C1ABEE80D019}"/>
    <cellStyle name="Normal 121 7" xfId="10792" xr:uid="{00000000-0005-0000-0000-0000B0110000}"/>
    <cellStyle name="Normal 121 7 2" xfId="19535" xr:uid="{73A37F59-0AF6-4B2D-A4A3-D15FA386D000}"/>
    <cellStyle name="Normal 121 8" xfId="12399" xr:uid="{00000000-0005-0000-0000-0000B1110000}"/>
    <cellStyle name="Normal 121 8 2" xfId="21135" xr:uid="{8F841306-F942-4DFB-8DCA-589BB859D6AC}"/>
    <cellStyle name="Normal 121 9" xfId="14133" xr:uid="{F184D0CF-92A5-48C4-A7D0-C1E7469F56A7}"/>
    <cellStyle name="Normal 122" xfId="2106" xr:uid="{00000000-0005-0000-0000-0000B2110000}"/>
    <cellStyle name="Normal 122 2" xfId="2107" xr:uid="{00000000-0005-0000-0000-0000B3110000}"/>
    <cellStyle name="Normal 122 2 2" xfId="9187" xr:uid="{00000000-0005-0000-0000-0000B4110000}"/>
    <cellStyle name="Normal 122 2 2 2" xfId="17993" xr:uid="{6C1AF266-6094-4000-A02A-C2E5791257BA}"/>
    <cellStyle name="Normal 122 2 3" xfId="7584" xr:uid="{00000000-0005-0000-0000-0000B5110000}"/>
    <cellStyle name="Normal 122 2 3 2" xfId="16394" xr:uid="{C2BAD320-2A2D-4B42-8AFD-A5662E8F2DA2}"/>
    <cellStyle name="Normal 122 2 4" xfId="10797" xr:uid="{00000000-0005-0000-0000-0000B6110000}"/>
    <cellStyle name="Normal 122 2 4 2" xfId="19540" xr:uid="{1B0AC89D-60FD-4A0B-99B1-DD85BBB15F7E}"/>
    <cellStyle name="Normal 122 2 5" xfId="12404" xr:uid="{00000000-0005-0000-0000-0000B7110000}"/>
    <cellStyle name="Normal 122 2 5 2" xfId="21140" xr:uid="{E5385CE5-543E-467D-B272-5A28DE29F0EF}"/>
    <cellStyle name="Normal 122 2 6" xfId="14598" xr:uid="{B454B82D-E1A0-47E2-BEC3-BEAC3D7CE3F9}"/>
    <cellStyle name="Normal 122 3" xfId="2108" xr:uid="{00000000-0005-0000-0000-0000B8110000}"/>
    <cellStyle name="Normal 122 3 2" xfId="9188" xr:uid="{00000000-0005-0000-0000-0000B9110000}"/>
    <cellStyle name="Normal 122 3 2 2" xfId="17994" xr:uid="{9E287DA2-3BCB-4D71-99E9-150F26E16961}"/>
    <cellStyle name="Normal 122 3 3" xfId="7585" xr:uid="{00000000-0005-0000-0000-0000BA110000}"/>
    <cellStyle name="Normal 122 3 3 2" xfId="16395" xr:uid="{5490A692-F65E-4478-BDFD-5C50D30478CF}"/>
    <cellStyle name="Normal 122 3 4" xfId="10798" xr:uid="{00000000-0005-0000-0000-0000BB110000}"/>
    <cellStyle name="Normal 122 3 4 2" xfId="19541" xr:uid="{24B2CF9B-F234-4C60-89B7-8A3EA910C234}"/>
    <cellStyle name="Normal 122 3 5" xfId="12405" xr:uid="{00000000-0005-0000-0000-0000BC110000}"/>
    <cellStyle name="Normal 122 3 5 2" xfId="21141" xr:uid="{517F2026-8093-4CCF-9A67-2BA5BF765214}"/>
    <cellStyle name="Normal 122 3 6" xfId="14792" xr:uid="{D79AC477-C582-4DC2-AE3C-08CE5BFA450C}"/>
    <cellStyle name="Normal 122 4" xfId="2109" xr:uid="{00000000-0005-0000-0000-0000BD110000}"/>
    <cellStyle name="Normal 122 4 2" xfId="9189" xr:uid="{00000000-0005-0000-0000-0000BE110000}"/>
    <cellStyle name="Normal 122 4 2 2" xfId="17995" xr:uid="{A5E31EBC-D519-479C-AAB0-B10B26F0A9DE}"/>
    <cellStyle name="Normal 122 4 3" xfId="7586" xr:uid="{00000000-0005-0000-0000-0000BF110000}"/>
    <cellStyle name="Normal 122 4 3 2" xfId="16396" xr:uid="{4BF19B04-B62B-470B-9325-0318B807D691}"/>
    <cellStyle name="Normal 122 4 4" xfId="10799" xr:uid="{00000000-0005-0000-0000-0000C0110000}"/>
    <cellStyle name="Normal 122 4 4 2" xfId="19542" xr:uid="{476879E0-0451-4B1A-A2F9-AE4DF2078BDE}"/>
    <cellStyle name="Normal 122 4 5" xfId="12406" xr:uid="{00000000-0005-0000-0000-0000C1110000}"/>
    <cellStyle name="Normal 122 4 5 2" xfId="21142" xr:uid="{6C8C36CB-D2D8-4012-AF51-61F73CE05A22}"/>
    <cellStyle name="Normal 122 4 6" xfId="14142" xr:uid="{9EC67C30-002E-4AF0-9D26-9CDFC4DC61DA}"/>
    <cellStyle name="Normal 122 5" xfId="9186" xr:uid="{00000000-0005-0000-0000-0000C2110000}"/>
    <cellStyle name="Normal 122 5 2" xfId="17992" xr:uid="{C9D27D3A-CD1B-4A92-8712-2CB5B2D4D8C7}"/>
    <cellStyle name="Normal 122 6" xfId="7583" xr:uid="{00000000-0005-0000-0000-0000C3110000}"/>
    <cellStyle name="Normal 122 6 2" xfId="16393" xr:uid="{DEC66FA5-8DE1-4E35-8C6C-11B8A82246A1}"/>
    <cellStyle name="Normal 122 7" xfId="10796" xr:uid="{00000000-0005-0000-0000-0000C4110000}"/>
    <cellStyle name="Normal 122 7 2" xfId="19539" xr:uid="{E62558CE-22A4-40CB-8626-839F113A5B22}"/>
    <cellStyle name="Normal 122 8" xfId="12403" xr:uid="{00000000-0005-0000-0000-0000C5110000}"/>
    <cellStyle name="Normal 122 8 2" xfId="21139" xr:uid="{BC716CEB-87C9-4C85-A614-4A7C43B2BE9F}"/>
    <cellStyle name="Normal 122 9" xfId="13980" xr:uid="{A41A63BA-7119-4CD0-B925-D54B942548CD}"/>
    <cellStyle name="Normal 123" xfId="2110" xr:uid="{00000000-0005-0000-0000-0000C6110000}"/>
    <cellStyle name="Normal 123 2" xfId="2111" xr:uid="{00000000-0005-0000-0000-0000C7110000}"/>
    <cellStyle name="Normal 123 2 2" xfId="9191" xr:uid="{00000000-0005-0000-0000-0000C8110000}"/>
    <cellStyle name="Normal 123 2 2 2" xfId="17997" xr:uid="{1E7ED3DB-D5C6-446E-8C7F-402934983CDA}"/>
    <cellStyle name="Normal 123 2 3" xfId="7588" xr:uid="{00000000-0005-0000-0000-0000C9110000}"/>
    <cellStyle name="Normal 123 2 3 2" xfId="16398" xr:uid="{A516AC99-75E8-4929-BD88-4B91B7F201CD}"/>
    <cellStyle name="Normal 123 2 4" xfId="10801" xr:uid="{00000000-0005-0000-0000-0000CA110000}"/>
    <cellStyle name="Normal 123 2 4 2" xfId="19544" xr:uid="{461C27E6-46C7-411D-9A7F-6A61C3AEA9C7}"/>
    <cellStyle name="Normal 123 2 5" xfId="12408" xr:uid="{00000000-0005-0000-0000-0000CB110000}"/>
    <cellStyle name="Normal 123 2 5 2" xfId="21144" xr:uid="{32413172-D9FE-478C-81D3-7B9A15A59F77}"/>
    <cellStyle name="Normal 123 2 6" xfId="13993" xr:uid="{9464CB7C-E8D1-4AA6-A3B3-BC830F75D138}"/>
    <cellStyle name="Normal 123 3" xfId="2112" xr:uid="{00000000-0005-0000-0000-0000CC110000}"/>
    <cellStyle name="Normal 123 3 2" xfId="9192" xr:uid="{00000000-0005-0000-0000-0000CD110000}"/>
    <cellStyle name="Normal 123 3 2 2" xfId="17998" xr:uid="{99FFA666-3463-47CD-9F26-CC9E0CED314D}"/>
    <cellStyle name="Normal 123 3 3" xfId="7589" xr:uid="{00000000-0005-0000-0000-0000CE110000}"/>
    <cellStyle name="Normal 123 3 3 2" xfId="16399" xr:uid="{89B33C01-6CC1-4C29-91F8-02C0460E011D}"/>
    <cellStyle name="Normal 123 3 4" xfId="10802" xr:uid="{00000000-0005-0000-0000-0000CF110000}"/>
    <cellStyle name="Normal 123 3 4 2" xfId="19545" xr:uid="{55BEF903-7C16-4EF5-9256-CAB0DC5F1477}"/>
    <cellStyle name="Normal 123 3 5" xfId="12409" xr:uid="{00000000-0005-0000-0000-0000D0110000}"/>
    <cellStyle name="Normal 123 3 5 2" xfId="21145" xr:uid="{F76175B7-B672-4BC0-909E-FD132D16ACA4}"/>
    <cellStyle name="Normal 123 3 6" xfId="14715" xr:uid="{0A371FDC-D2A3-4DD3-82B1-E867A0378D04}"/>
    <cellStyle name="Normal 123 4" xfId="2113" xr:uid="{00000000-0005-0000-0000-0000D1110000}"/>
    <cellStyle name="Normal 123 4 2" xfId="9193" xr:uid="{00000000-0005-0000-0000-0000D2110000}"/>
    <cellStyle name="Normal 123 4 2 2" xfId="17999" xr:uid="{58B3F34F-F789-4558-BE9B-A2E2C0D0B6C4}"/>
    <cellStyle name="Normal 123 4 3" xfId="7590" xr:uid="{00000000-0005-0000-0000-0000D3110000}"/>
    <cellStyle name="Normal 123 4 3 2" xfId="16400" xr:uid="{0C9A32AB-1F84-4536-86C3-B080A8E18853}"/>
    <cellStyle name="Normal 123 4 4" xfId="10803" xr:uid="{00000000-0005-0000-0000-0000D4110000}"/>
    <cellStyle name="Normal 123 4 4 2" xfId="19546" xr:uid="{AEABA375-40AF-4129-9128-B8F8F2512563}"/>
    <cellStyle name="Normal 123 4 5" xfId="12410" xr:uid="{00000000-0005-0000-0000-0000D5110000}"/>
    <cellStyle name="Normal 123 4 5 2" xfId="21146" xr:uid="{1945F5F8-F8E5-45FB-8DC5-E02AB84385CC}"/>
    <cellStyle name="Normal 123 4 6" xfId="14605" xr:uid="{14D8C9E1-C694-410D-91E4-0DBA146F0669}"/>
    <cellStyle name="Normal 123 5" xfId="9190" xr:uid="{00000000-0005-0000-0000-0000D6110000}"/>
    <cellStyle name="Normal 123 5 2" xfId="17996" xr:uid="{A9C62BC6-D547-43A3-B5DD-38A0A48A5A05}"/>
    <cellStyle name="Normal 123 6" xfId="7587" xr:uid="{00000000-0005-0000-0000-0000D7110000}"/>
    <cellStyle name="Normal 123 6 2" xfId="16397" xr:uid="{52E8174F-7DE9-4935-B3DA-1ED11CC80FE0}"/>
    <cellStyle name="Normal 123 7" xfId="10800" xr:uid="{00000000-0005-0000-0000-0000D8110000}"/>
    <cellStyle name="Normal 123 7 2" xfId="19543" xr:uid="{83461EC7-C5EC-48F8-A380-4192C81193F0}"/>
    <cellStyle name="Normal 123 8" xfId="12407" xr:uid="{00000000-0005-0000-0000-0000D9110000}"/>
    <cellStyle name="Normal 123 8 2" xfId="21143" xr:uid="{23DACEA5-1757-485F-8B84-5BF96DF23CB5}"/>
    <cellStyle name="Normal 123 9" xfId="14774" xr:uid="{9F0C9F76-2853-497B-A084-EFC05A48DE60}"/>
    <cellStyle name="Normal 124" xfId="2114" xr:uid="{00000000-0005-0000-0000-0000DA110000}"/>
    <cellStyle name="Normal 124 2" xfId="2115" xr:uid="{00000000-0005-0000-0000-0000DB110000}"/>
    <cellStyle name="Normal 124 2 2" xfId="9195" xr:uid="{00000000-0005-0000-0000-0000DC110000}"/>
    <cellStyle name="Normal 124 2 2 2" xfId="18001" xr:uid="{E226F89A-8343-4068-928F-D81FDB920BA0}"/>
    <cellStyle name="Normal 124 2 3" xfId="7592" xr:uid="{00000000-0005-0000-0000-0000DD110000}"/>
    <cellStyle name="Normal 124 2 3 2" xfId="16402" xr:uid="{0217285B-56A7-4BB0-9ADC-95D7057DED20}"/>
    <cellStyle name="Normal 124 2 4" xfId="10805" xr:uid="{00000000-0005-0000-0000-0000DE110000}"/>
    <cellStyle name="Normal 124 2 4 2" xfId="19548" xr:uid="{E0407131-0710-4529-81C7-6AD2E9963959}"/>
    <cellStyle name="Normal 124 2 5" xfId="12412" xr:uid="{00000000-0005-0000-0000-0000DF110000}"/>
    <cellStyle name="Normal 124 2 5 2" xfId="21148" xr:uid="{EBE71AD0-151E-445E-95B0-58EFC56B6AE5}"/>
    <cellStyle name="Normal 124 2 6" xfId="13959" xr:uid="{CD52B338-FBF3-4FC2-B4F9-F817B5980BBB}"/>
    <cellStyle name="Normal 124 3" xfId="2116" xr:uid="{00000000-0005-0000-0000-0000E0110000}"/>
    <cellStyle name="Normal 124 3 2" xfId="9196" xr:uid="{00000000-0005-0000-0000-0000E1110000}"/>
    <cellStyle name="Normal 124 3 2 2" xfId="18002" xr:uid="{2609C0C3-4112-4EC4-B22E-179832D74259}"/>
    <cellStyle name="Normal 124 3 3" xfId="7593" xr:uid="{00000000-0005-0000-0000-0000E2110000}"/>
    <cellStyle name="Normal 124 3 3 2" xfId="16403" xr:uid="{6ED5C18D-598D-47C4-88FD-30C276DCF0B7}"/>
    <cellStyle name="Normal 124 3 4" xfId="10806" xr:uid="{00000000-0005-0000-0000-0000E3110000}"/>
    <cellStyle name="Normal 124 3 4 2" xfId="19549" xr:uid="{A0F84797-71AC-4C8A-BA4C-D195A50EF633}"/>
    <cellStyle name="Normal 124 3 5" xfId="12413" xr:uid="{00000000-0005-0000-0000-0000E4110000}"/>
    <cellStyle name="Normal 124 3 5 2" xfId="21149" xr:uid="{5053B5B5-ABF8-49EB-8317-CFC9F767F3CF}"/>
    <cellStyle name="Normal 124 3 6" xfId="14847" xr:uid="{F62E94AE-8586-498F-9026-A65D47D806F9}"/>
    <cellStyle name="Normal 124 4" xfId="2117" xr:uid="{00000000-0005-0000-0000-0000E5110000}"/>
    <cellStyle name="Normal 124 4 2" xfId="9197" xr:uid="{00000000-0005-0000-0000-0000E6110000}"/>
    <cellStyle name="Normal 124 4 2 2" xfId="18003" xr:uid="{15C8FA6A-CD8C-41E3-BEB0-7A34B9CF1D79}"/>
    <cellStyle name="Normal 124 4 3" xfId="7594" xr:uid="{00000000-0005-0000-0000-0000E7110000}"/>
    <cellStyle name="Normal 124 4 3 2" xfId="16404" xr:uid="{6546EEAD-7877-4608-AE58-81A9B4A6522D}"/>
    <cellStyle name="Normal 124 4 4" xfId="10807" xr:uid="{00000000-0005-0000-0000-0000E8110000}"/>
    <cellStyle name="Normal 124 4 4 2" xfId="19550" xr:uid="{CC6E0CE4-9AF6-4A9E-AD49-B38CB23DA0FE}"/>
    <cellStyle name="Normal 124 4 5" xfId="12414" xr:uid="{00000000-0005-0000-0000-0000E9110000}"/>
    <cellStyle name="Normal 124 4 5 2" xfId="21150" xr:uid="{8B9858AD-0C73-405C-A0F6-F018705D68F3}"/>
    <cellStyle name="Normal 124 4 6" xfId="14565" xr:uid="{7415F911-F48F-4227-8D93-7370C32164FE}"/>
    <cellStyle name="Normal 124 5" xfId="9194" xr:uid="{00000000-0005-0000-0000-0000EA110000}"/>
    <cellStyle name="Normal 124 5 2" xfId="18000" xr:uid="{A30A1BB8-2EAF-4CBB-A575-1041F685AA4D}"/>
    <cellStyle name="Normal 124 6" xfId="7591" xr:uid="{00000000-0005-0000-0000-0000EB110000}"/>
    <cellStyle name="Normal 124 6 2" xfId="16401" xr:uid="{973F9B88-6630-44B0-8A82-CD1DD201B1ED}"/>
    <cellStyle name="Normal 124 7" xfId="10804" xr:uid="{00000000-0005-0000-0000-0000EC110000}"/>
    <cellStyle name="Normal 124 7 2" xfId="19547" xr:uid="{B63832C8-6F1D-4ED6-8892-01A0A64283EE}"/>
    <cellStyle name="Normal 124 8" xfId="12411" xr:uid="{00000000-0005-0000-0000-0000ED110000}"/>
    <cellStyle name="Normal 124 8 2" xfId="21147" xr:uid="{21CFCBC3-F7A8-4A1F-A33B-C57000CEFC9D}"/>
    <cellStyle name="Normal 124 9" xfId="14805" xr:uid="{13866BD9-029C-41A6-A383-D6F83A086E7B}"/>
    <cellStyle name="Normal 125" xfId="2118" xr:uid="{00000000-0005-0000-0000-0000EE110000}"/>
    <cellStyle name="Normal 125 2" xfId="2119" xr:uid="{00000000-0005-0000-0000-0000EF110000}"/>
    <cellStyle name="Normal 125 2 2" xfId="9199" xr:uid="{00000000-0005-0000-0000-0000F0110000}"/>
    <cellStyle name="Normal 125 2 2 2" xfId="18005" xr:uid="{1B2F3342-F883-409A-9122-31E9E8F2AD80}"/>
    <cellStyle name="Normal 125 2 3" xfId="7596" xr:uid="{00000000-0005-0000-0000-0000F1110000}"/>
    <cellStyle name="Normal 125 2 3 2" xfId="16406" xr:uid="{B4C08923-1238-455E-8D65-207C4875E382}"/>
    <cellStyle name="Normal 125 2 4" xfId="10809" xr:uid="{00000000-0005-0000-0000-0000F2110000}"/>
    <cellStyle name="Normal 125 2 4 2" xfId="19552" xr:uid="{A5924A4A-170B-46C8-9FEB-2B9CF7E48513}"/>
    <cellStyle name="Normal 125 2 5" xfId="12416" xr:uid="{00000000-0005-0000-0000-0000F3110000}"/>
    <cellStyle name="Normal 125 2 5 2" xfId="21152" xr:uid="{623D6B02-74F5-4F16-AAED-589502A16160}"/>
    <cellStyle name="Normal 125 2 6" xfId="14106" xr:uid="{8FBAC3E2-D8FB-4711-8653-7798B6DD958D}"/>
    <cellStyle name="Normal 125 3" xfId="2120" xr:uid="{00000000-0005-0000-0000-0000F4110000}"/>
    <cellStyle name="Normal 125 3 2" xfId="9200" xr:uid="{00000000-0005-0000-0000-0000F5110000}"/>
    <cellStyle name="Normal 125 3 2 2" xfId="18006" xr:uid="{B2EA97DA-758E-454B-992D-10F7849418EA}"/>
    <cellStyle name="Normal 125 3 3" xfId="7597" xr:uid="{00000000-0005-0000-0000-0000F6110000}"/>
    <cellStyle name="Normal 125 3 3 2" xfId="16407" xr:uid="{4E4632E6-0FFE-4137-A0CA-FE372643967A}"/>
    <cellStyle name="Normal 125 3 4" xfId="10810" xr:uid="{00000000-0005-0000-0000-0000F7110000}"/>
    <cellStyle name="Normal 125 3 4 2" xfId="19553" xr:uid="{1B851EE7-2454-49AB-A5DF-EB8B159EA825}"/>
    <cellStyle name="Normal 125 3 5" xfId="12417" xr:uid="{00000000-0005-0000-0000-0000F8110000}"/>
    <cellStyle name="Normal 125 3 5 2" xfId="21153" xr:uid="{B561D7AA-EF6F-4353-B3C0-ACA3974FBC44}"/>
    <cellStyle name="Normal 125 3 6" xfId="13953" xr:uid="{262CD2F0-125F-4CD8-A8A1-D9AF89A79149}"/>
    <cellStyle name="Normal 125 4" xfId="2121" xr:uid="{00000000-0005-0000-0000-0000F9110000}"/>
    <cellStyle name="Normal 125 4 2" xfId="9201" xr:uid="{00000000-0005-0000-0000-0000FA110000}"/>
    <cellStyle name="Normal 125 4 2 2" xfId="18007" xr:uid="{AA464BAB-2020-42C7-8A93-D061E2BA3CDF}"/>
    <cellStyle name="Normal 125 4 3" xfId="7598" xr:uid="{00000000-0005-0000-0000-0000FB110000}"/>
    <cellStyle name="Normal 125 4 3 2" xfId="16408" xr:uid="{2770B0B3-0A52-48DB-9A66-3876AE59C611}"/>
    <cellStyle name="Normal 125 4 4" xfId="10811" xr:uid="{00000000-0005-0000-0000-0000FC110000}"/>
    <cellStyle name="Normal 125 4 4 2" xfId="19554" xr:uid="{C79F53DC-B385-45F1-8028-0D8E60D824DB}"/>
    <cellStyle name="Normal 125 4 5" xfId="12418" xr:uid="{00000000-0005-0000-0000-0000FD110000}"/>
    <cellStyle name="Normal 125 4 5 2" xfId="21154" xr:uid="{8F195CF3-95C8-4916-BD93-356906209306}"/>
    <cellStyle name="Normal 125 4 6" xfId="14821" xr:uid="{915798AA-B92E-4EBD-8B8C-D8B03C4C1968}"/>
    <cellStyle name="Normal 125 5" xfId="9198" xr:uid="{00000000-0005-0000-0000-0000FE110000}"/>
    <cellStyle name="Normal 125 5 2" xfId="18004" xr:uid="{B2E9C4A2-D2A9-46B0-86CC-9976A5992B56}"/>
    <cellStyle name="Normal 125 6" xfId="7595" xr:uid="{00000000-0005-0000-0000-0000FF110000}"/>
    <cellStyle name="Normal 125 6 2" xfId="16405" xr:uid="{39C34315-9421-4003-ACC5-587B048D45D5}"/>
    <cellStyle name="Normal 125 7" xfId="10808" xr:uid="{00000000-0005-0000-0000-000000120000}"/>
    <cellStyle name="Normal 125 7 2" xfId="19551" xr:uid="{06B1CFA1-799E-4FC7-A7E2-BE44484D1E08}"/>
    <cellStyle name="Normal 125 8" xfId="12415" xr:uid="{00000000-0005-0000-0000-000001120000}"/>
    <cellStyle name="Normal 125 8 2" xfId="21151" xr:uid="{BE7DAED1-9508-4688-BD72-E21464C12781}"/>
    <cellStyle name="Normal 125 9" xfId="14810" xr:uid="{0E867F2C-572B-4944-B1AC-8ABF8F3018F3}"/>
    <cellStyle name="Normal 126" xfId="2122" xr:uid="{00000000-0005-0000-0000-000002120000}"/>
    <cellStyle name="Normal 126 2" xfId="2123" xr:uid="{00000000-0005-0000-0000-000003120000}"/>
    <cellStyle name="Normal 126 2 2" xfId="9203" xr:uid="{00000000-0005-0000-0000-000004120000}"/>
    <cellStyle name="Normal 126 2 2 2" xfId="18009" xr:uid="{DEE90533-BD63-4EEA-8A7B-570C9F2E7724}"/>
    <cellStyle name="Normal 126 2 3" xfId="7600" xr:uid="{00000000-0005-0000-0000-000005120000}"/>
    <cellStyle name="Normal 126 2 3 2" xfId="16410" xr:uid="{22BDBA89-8601-4C3C-9D21-E2364650A627}"/>
    <cellStyle name="Normal 126 2 4" xfId="10813" xr:uid="{00000000-0005-0000-0000-000006120000}"/>
    <cellStyle name="Normal 126 2 4 2" xfId="19556" xr:uid="{F9216874-84D5-43B1-9DA6-86843F66DAE4}"/>
    <cellStyle name="Normal 126 2 5" xfId="12420" xr:uid="{00000000-0005-0000-0000-000007120000}"/>
    <cellStyle name="Normal 126 2 5 2" xfId="21156" xr:uid="{142F2C6F-B70A-444C-8538-E31105B2D998}"/>
    <cellStyle name="Normal 126 2 6" xfId="13949" xr:uid="{54DA4CD5-5768-4E99-A774-12F4561D8705}"/>
    <cellStyle name="Normal 126 3" xfId="2124" xr:uid="{00000000-0005-0000-0000-000008120000}"/>
    <cellStyle name="Normal 126 3 2" xfId="9204" xr:uid="{00000000-0005-0000-0000-000009120000}"/>
    <cellStyle name="Normal 126 3 2 2" xfId="18010" xr:uid="{7A728126-D521-4E4E-A818-87B92DE323F7}"/>
    <cellStyle name="Normal 126 3 3" xfId="7601" xr:uid="{00000000-0005-0000-0000-00000A120000}"/>
    <cellStyle name="Normal 126 3 3 2" xfId="16411" xr:uid="{4A151CF6-70BB-4C27-BE5C-0CA0973255CE}"/>
    <cellStyle name="Normal 126 3 4" xfId="10814" xr:uid="{00000000-0005-0000-0000-00000B120000}"/>
    <cellStyle name="Normal 126 3 4 2" xfId="19557" xr:uid="{58BAB1C9-8AE4-42C4-BE60-5F8368BD9155}"/>
    <cellStyle name="Normal 126 3 5" xfId="12421" xr:uid="{00000000-0005-0000-0000-00000C120000}"/>
    <cellStyle name="Normal 126 3 5 2" xfId="21157" xr:uid="{15C73E7B-BD30-4666-A228-310518FD0503}"/>
    <cellStyle name="Normal 126 3 6" xfId="14596" xr:uid="{7E0046B2-22CD-4E29-9562-FDE91DAF0CD2}"/>
    <cellStyle name="Normal 126 4" xfId="2125" xr:uid="{00000000-0005-0000-0000-00000D120000}"/>
    <cellStyle name="Normal 126 4 2" xfId="9205" xr:uid="{00000000-0005-0000-0000-00000E120000}"/>
    <cellStyle name="Normal 126 4 2 2" xfId="18011" xr:uid="{60718D84-EDCB-47B2-86DA-BC72992B3EEB}"/>
    <cellStyle name="Normal 126 4 3" xfId="7602" xr:uid="{00000000-0005-0000-0000-00000F120000}"/>
    <cellStyle name="Normal 126 4 3 2" xfId="16412" xr:uid="{E1A45C42-A0A8-4EE0-AF7F-C580A763883A}"/>
    <cellStyle name="Normal 126 4 4" xfId="10815" xr:uid="{00000000-0005-0000-0000-000010120000}"/>
    <cellStyle name="Normal 126 4 4 2" xfId="19558" xr:uid="{0EB0DE52-AA04-40D7-BF08-ABB1410B71D8}"/>
    <cellStyle name="Normal 126 4 5" xfId="12422" xr:uid="{00000000-0005-0000-0000-000011120000}"/>
    <cellStyle name="Normal 126 4 5 2" xfId="21158" xr:uid="{2D57D759-5FEA-498E-840D-EFD4242B2432}"/>
    <cellStyle name="Normal 126 4 6" xfId="14134" xr:uid="{672D3ADA-C44B-4764-ADB6-75A542558BD0}"/>
    <cellStyle name="Normal 126 5" xfId="9202" xr:uid="{00000000-0005-0000-0000-000012120000}"/>
    <cellStyle name="Normal 126 5 2" xfId="18008" xr:uid="{4055335B-1938-4AC4-B664-F1428CE9A483}"/>
    <cellStyle name="Normal 126 6" xfId="7599" xr:uid="{00000000-0005-0000-0000-000013120000}"/>
    <cellStyle name="Normal 126 6 2" xfId="16409" xr:uid="{FD48ED85-689F-4AE4-9681-A9B7475E6904}"/>
    <cellStyle name="Normal 126 7" xfId="10812" xr:uid="{00000000-0005-0000-0000-000014120000}"/>
    <cellStyle name="Normal 126 7 2" xfId="19555" xr:uid="{A2B9E0A2-B97A-4EB7-BF13-A4BB26202E28}"/>
    <cellStyle name="Normal 126 8" xfId="12419" xr:uid="{00000000-0005-0000-0000-000015120000}"/>
    <cellStyle name="Normal 126 8 2" xfId="21155" xr:uid="{7409EA00-49AC-4118-81F2-E75DBA036348}"/>
    <cellStyle name="Normal 126 9" xfId="14029" xr:uid="{D88C82B5-40AB-4AB9-B71C-D7BF9E856C0B}"/>
    <cellStyle name="Normal 127" xfId="2126" xr:uid="{00000000-0005-0000-0000-000016120000}"/>
    <cellStyle name="Normal 127 2" xfId="2127" xr:uid="{00000000-0005-0000-0000-000017120000}"/>
    <cellStyle name="Normal 127 2 2" xfId="9207" xr:uid="{00000000-0005-0000-0000-000018120000}"/>
    <cellStyle name="Normal 127 2 2 2" xfId="18013" xr:uid="{C94AD36D-617B-4840-9FEA-5DCBD571E588}"/>
    <cellStyle name="Normal 127 2 3" xfId="7604" xr:uid="{00000000-0005-0000-0000-000019120000}"/>
    <cellStyle name="Normal 127 2 3 2" xfId="16414" xr:uid="{EF883F16-0AB8-44D5-B23D-563EA7252F98}"/>
    <cellStyle name="Normal 127 2 4" xfId="10817" xr:uid="{00000000-0005-0000-0000-00001A120000}"/>
    <cellStyle name="Normal 127 2 4 2" xfId="19560" xr:uid="{DE8BC1E6-D0F4-43F8-89D7-3D443896D548}"/>
    <cellStyle name="Normal 127 2 5" xfId="12424" xr:uid="{00000000-0005-0000-0000-00001B120000}"/>
    <cellStyle name="Normal 127 2 5 2" xfId="21160" xr:uid="{CA06F86F-DD57-4D3B-AAF4-A4DEF29FAFC6}"/>
    <cellStyle name="Normal 127 2 6" xfId="14026" xr:uid="{2BCF7CEF-630D-4C45-87BA-0FC41837A018}"/>
    <cellStyle name="Normal 127 3" xfId="2128" xr:uid="{00000000-0005-0000-0000-00001C120000}"/>
    <cellStyle name="Normal 127 3 2" xfId="9208" xr:uid="{00000000-0005-0000-0000-00001D120000}"/>
    <cellStyle name="Normal 127 3 2 2" xfId="18014" xr:uid="{6F5C9144-E9D9-4CB5-B150-DDCE49EFA77B}"/>
    <cellStyle name="Normal 127 3 3" xfId="7605" xr:uid="{00000000-0005-0000-0000-00001E120000}"/>
    <cellStyle name="Normal 127 3 3 2" xfId="16415" xr:uid="{31D2E288-5F55-48FF-9350-CEF445A93B44}"/>
    <cellStyle name="Normal 127 3 4" xfId="10818" xr:uid="{00000000-0005-0000-0000-00001F120000}"/>
    <cellStyle name="Normal 127 3 4 2" xfId="19561" xr:uid="{66CF95F2-1BC3-4AF4-947B-4C6CF0CC18BC}"/>
    <cellStyle name="Normal 127 3 5" xfId="12425" xr:uid="{00000000-0005-0000-0000-000020120000}"/>
    <cellStyle name="Normal 127 3 5 2" xfId="21161" xr:uid="{68E73B47-79D6-4B12-B6CD-D57ADD28F2D9}"/>
    <cellStyle name="Normal 127 3 6" xfId="14714" xr:uid="{695E6AAC-C124-48DA-B886-F8E6008325EB}"/>
    <cellStyle name="Normal 127 4" xfId="2129" xr:uid="{00000000-0005-0000-0000-000021120000}"/>
    <cellStyle name="Normal 127 4 2" xfId="9209" xr:uid="{00000000-0005-0000-0000-000022120000}"/>
    <cellStyle name="Normal 127 4 2 2" xfId="18015" xr:uid="{996DD33F-29CE-4925-B757-F928B3078CD0}"/>
    <cellStyle name="Normal 127 4 3" xfId="7606" xr:uid="{00000000-0005-0000-0000-000023120000}"/>
    <cellStyle name="Normal 127 4 3 2" xfId="16416" xr:uid="{E3F13563-E6F6-47E6-BCE4-7E2A7E1AE3EE}"/>
    <cellStyle name="Normal 127 4 4" xfId="10819" xr:uid="{00000000-0005-0000-0000-000024120000}"/>
    <cellStyle name="Normal 127 4 4 2" xfId="19562" xr:uid="{1187BEA8-0F98-4AEE-A8E8-FF1929B9ECAD}"/>
    <cellStyle name="Normal 127 4 5" xfId="12426" xr:uid="{00000000-0005-0000-0000-000025120000}"/>
    <cellStyle name="Normal 127 4 5 2" xfId="21162" xr:uid="{30408146-5482-4FFC-B3B9-173082A3DA2E}"/>
    <cellStyle name="Normal 127 4 6" xfId="14419" xr:uid="{BE37B419-2677-4C22-B301-5721F1EB8B8E}"/>
    <cellStyle name="Normal 127 5" xfId="9206" xr:uid="{00000000-0005-0000-0000-000026120000}"/>
    <cellStyle name="Normal 127 5 2" xfId="18012" xr:uid="{A70EF8D0-95BD-4BCA-BBB9-5E1CAFF4CB3D}"/>
    <cellStyle name="Normal 127 6" xfId="7603" xr:uid="{00000000-0005-0000-0000-000027120000}"/>
    <cellStyle name="Normal 127 6 2" xfId="16413" xr:uid="{8FDCD943-EFE9-4315-BACE-EFA0C51082AE}"/>
    <cellStyle name="Normal 127 7" xfId="10816" xr:uid="{00000000-0005-0000-0000-000028120000}"/>
    <cellStyle name="Normal 127 7 2" xfId="19559" xr:uid="{707D1717-D5F2-4607-8139-8908A661DD5A}"/>
    <cellStyle name="Normal 127 8" xfId="12423" xr:uid="{00000000-0005-0000-0000-000029120000}"/>
    <cellStyle name="Normal 127 8 2" xfId="21159" xr:uid="{370E3BFB-1689-402E-B22B-5E4174FE7E54}"/>
    <cellStyle name="Normal 127 9" xfId="14415" xr:uid="{480DE178-F2B9-4BF9-9E0A-11932F20738B}"/>
    <cellStyle name="Normal 128" xfId="2130" xr:uid="{00000000-0005-0000-0000-00002A120000}"/>
    <cellStyle name="Normal 129" xfId="2131" xr:uid="{00000000-0005-0000-0000-00002B120000}"/>
    <cellStyle name="Normal 129 2" xfId="2132" xr:uid="{00000000-0005-0000-0000-00002C120000}"/>
    <cellStyle name="Normal 129 2 2" xfId="9211" xr:uid="{00000000-0005-0000-0000-00002D120000}"/>
    <cellStyle name="Normal 129 2 2 2" xfId="18017" xr:uid="{303937CF-87EF-4486-93FB-994F54A432C0}"/>
    <cellStyle name="Normal 129 2 3" xfId="7608" xr:uid="{00000000-0005-0000-0000-00002E120000}"/>
    <cellStyle name="Normal 129 2 3 2" xfId="16418" xr:uid="{36DE949F-EB30-42D5-A5E4-B5FEE1BCFEA5}"/>
    <cellStyle name="Normal 129 2 4" xfId="10821" xr:uid="{00000000-0005-0000-0000-00002F120000}"/>
    <cellStyle name="Normal 129 2 4 2" xfId="19564" xr:uid="{24E539F3-C0B5-4BCE-A54D-F5B650E82D42}"/>
    <cellStyle name="Normal 129 2 5" xfId="12428" xr:uid="{00000000-0005-0000-0000-000030120000}"/>
    <cellStyle name="Normal 129 2 5 2" xfId="21164" xr:uid="{7DC51349-EE5F-481B-8F38-15CC9035FF00}"/>
    <cellStyle name="Normal 129 2 6" xfId="14414" xr:uid="{24D6396B-B248-406E-A56D-87DD949DB008}"/>
    <cellStyle name="Normal 129 3" xfId="2133" xr:uid="{00000000-0005-0000-0000-000031120000}"/>
    <cellStyle name="Normal 129 3 2" xfId="9212" xr:uid="{00000000-0005-0000-0000-000032120000}"/>
    <cellStyle name="Normal 129 3 2 2" xfId="18018" xr:uid="{270D2152-D24B-4119-99C3-30D5A6F43659}"/>
    <cellStyle name="Normal 129 3 3" xfId="7609" xr:uid="{00000000-0005-0000-0000-000033120000}"/>
    <cellStyle name="Normal 129 3 3 2" xfId="16419" xr:uid="{EF808B1B-2093-4713-BCCB-E1ABEECEB751}"/>
    <cellStyle name="Normal 129 3 4" xfId="10822" xr:uid="{00000000-0005-0000-0000-000034120000}"/>
    <cellStyle name="Normal 129 3 4 2" xfId="19565" xr:uid="{CD48886F-C92D-44CF-A6AD-39298E889C1F}"/>
    <cellStyle name="Normal 129 3 5" xfId="12429" xr:uid="{00000000-0005-0000-0000-000035120000}"/>
    <cellStyle name="Normal 129 3 5 2" xfId="21165" xr:uid="{5C5EAC28-C4B1-45A1-A503-AB7086357266}"/>
    <cellStyle name="Normal 129 3 6" xfId="14413" xr:uid="{7D98D6EA-0243-4748-B0BD-005CF6E3590F}"/>
    <cellStyle name="Normal 129 4" xfId="2134" xr:uid="{00000000-0005-0000-0000-000036120000}"/>
    <cellStyle name="Normal 129 4 2" xfId="9213" xr:uid="{00000000-0005-0000-0000-000037120000}"/>
    <cellStyle name="Normal 129 4 2 2" xfId="18019" xr:uid="{24F83CAD-D508-45D7-AE11-BFB4A4C01EE5}"/>
    <cellStyle name="Normal 129 4 3" xfId="7610" xr:uid="{00000000-0005-0000-0000-000038120000}"/>
    <cellStyle name="Normal 129 4 3 2" xfId="16420" xr:uid="{2A7E449C-68AB-44D7-AC45-8558D67BBE4D}"/>
    <cellStyle name="Normal 129 4 4" xfId="10823" xr:uid="{00000000-0005-0000-0000-000039120000}"/>
    <cellStyle name="Normal 129 4 4 2" xfId="19566" xr:uid="{B6656449-E76C-4D58-9A50-33CB7551CDC0}"/>
    <cellStyle name="Normal 129 4 5" xfId="12430" xr:uid="{00000000-0005-0000-0000-00003A120000}"/>
    <cellStyle name="Normal 129 4 5 2" xfId="21166" xr:uid="{B98094B5-FF8E-404A-9DCB-31511E558A1E}"/>
    <cellStyle name="Normal 129 4 6" xfId="14410" xr:uid="{DB74282E-9EBC-4A93-A43C-AF9FD259B0CE}"/>
    <cellStyle name="Normal 129 5" xfId="9210" xr:uid="{00000000-0005-0000-0000-00003B120000}"/>
    <cellStyle name="Normal 129 5 2" xfId="18016" xr:uid="{DE2C3827-07BA-45CB-A213-5EA00A7DE864}"/>
    <cellStyle name="Normal 129 6" xfId="7607" xr:uid="{00000000-0005-0000-0000-00003C120000}"/>
    <cellStyle name="Normal 129 6 2" xfId="16417" xr:uid="{52549484-3986-4819-820B-49B21A8B5CBF}"/>
    <cellStyle name="Normal 129 7" xfId="10820" xr:uid="{00000000-0005-0000-0000-00003D120000}"/>
    <cellStyle name="Normal 129 7 2" xfId="19563" xr:uid="{BC7AE245-074C-4FCF-8F7F-4651669D4F45}"/>
    <cellStyle name="Normal 129 8" xfId="12427" xr:uid="{00000000-0005-0000-0000-00003E120000}"/>
    <cellStyle name="Normal 129 8 2" xfId="21163" xr:uid="{7E1884A3-65FD-44AC-BAA9-2A3B2D3C23BA}"/>
    <cellStyle name="Normal 129 9" xfId="14043" xr:uid="{CFF2BB56-2ACB-4840-9FDD-3C4FFA7A2762}"/>
    <cellStyle name="Normal 13" xfId="154" xr:uid="{00000000-0005-0000-0000-00003F120000}"/>
    <cellStyle name="Normal 13 2" xfId="2136" xr:uid="{00000000-0005-0000-0000-000040120000}"/>
    <cellStyle name="Normal 13 2 10" xfId="7612" xr:uid="{00000000-0005-0000-0000-000041120000}"/>
    <cellStyle name="Normal 13 2 10 2" xfId="16422" xr:uid="{B2682171-624C-4419-8DC8-7666495EF363}"/>
    <cellStyle name="Normal 13 2 11" xfId="10825" xr:uid="{00000000-0005-0000-0000-000042120000}"/>
    <cellStyle name="Normal 13 2 11 2" xfId="19568" xr:uid="{F88E6E89-CD0A-4ED5-91EA-57C77AEC9D23}"/>
    <cellStyle name="Normal 13 2 12" xfId="12432" xr:uid="{00000000-0005-0000-0000-000043120000}"/>
    <cellStyle name="Normal 13 2 12 2" xfId="21168" xr:uid="{DB3D863C-D8F5-4417-97E4-96EF46712D36}"/>
    <cellStyle name="Normal 13 2 13" xfId="14609" xr:uid="{3C564EE9-62FB-40CB-A695-89237104E5BF}"/>
    <cellStyle name="Normal 13 2 2" xfId="2137" xr:uid="{00000000-0005-0000-0000-000044120000}"/>
    <cellStyle name="Normal 13 2 2 2" xfId="2138" xr:uid="{00000000-0005-0000-0000-000045120000}"/>
    <cellStyle name="Normal 13 2 2 2 2" xfId="2139" xr:uid="{00000000-0005-0000-0000-000046120000}"/>
    <cellStyle name="Normal 13 2 2 2 2 2" xfId="2140" xr:uid="{00000000-0005-0000-0000-000047120000}"/>
    <cellStyle name="Normal 13 2 2 2 2 2 2" xfId="9217" xr:uid="{00000000-0005-0000-0000-000048120000}"/>
    <cellStyle name="Normal 13 2 2 2 2 2 2 2" xfId="18023" xr:uid="{A0642C97-38DC-4C8D-BC3A-F970BC69A871}"/>
    <cellStyle name="Normal 13 2 2 2 2 2 3" xfId="7614" xr:uid="{00000000-0005-0000-0000-000049120000}"/>
    <cellStyle name="Normal 13 2 2 2 2 2 3 2" xfId="16424" xr:uid="{DCD42797-F826-43B9-9F51-BC85BCBB77EE}"/>
    <cellStyle name="Normal 13 2 2 2 2 2 4" xfId="10827" xr:uid="{00000000-0005-0000-0000-00004A120000}"/>
    <cellStyle name="Normal 13 2 2 2 2 2 4 2" xfId="19570" xr:uid="{A24CD07B-62C3-4B70-8639-1344F42508CC}"/>
    <cellStyle name="Normal 13 2 2 2 2 2 5" xfId="12434" xr:uid="{00000000-0005-0000-0000-00004B120000}"/>
    <cellStyle name="Normal 13 2 2 2 2 2 5 2" xfId="21170" xr:uid="{80DBBCCB-8724-4FA6-A2A2-122C0D39DFF5}"/>
    <cellStyle name="Normal 13 2 2 2 2 2 6" xfId="13931" xr:uid="{0AB54BB4-EA01-4CB2-98B5-79EF8E57A93A}"/>
    <cellStyle name="Normal 13 2 2 2 2 3" xfId="2141" xr:uid="{00000000-0005-0000-0000-00004C120000}"/>
    <cellStyle name="Normal 13 2 2 2 2 3 2" xfId="9218" xr:uid="{00000000-0005-0000-0000-00004D120000}"/>
    <cellStyle name="Normal 13 2 2 2 2 3 2 2" xfId="18024" xr:uid="{4B64B4C3-D96B-43E4-9184-61559AE361D2}"/>
    <cellStyle name="Normal 13 2 2 2 2 3 3" xfId="7615" xr:uid="{00000000-0005-0000-0000-00004E120000}"/>
    <cellStyle name="Normal 13 2 2 2 2 3 3 2" xfId="16425" xr:uid="{F42F4AFE-6067-485B-BD63-7704C8413262}"/>
    <cellStyle name="Normal 13 2 2 2 2 3 4" xfId="10828" xr:uid="{00000000-0005-0000-0000-00004F120000}"/>
    <cellStyle name="Normal 13 2 2 2 2 3 4 2" xfId="19571" xr:uid="{AF63BFB2-DA69-4E00-8C3E-21189C9B6484}"/>
    <cellStyle name="Normal 13 2 2 2 2 3 5" xfId="12435" xr:uid="{00000000-0005-0000-0000-000050120000}"/>
    <cellStyle name="Normal 13 2 2 2 2 3 5 2" xfId="21171" xr:uid="{3FDEDC20-AA60-490B-8FB9-C7128597A818}"/>
    <cellStyle name="Normal 13 2 2 2 2 3 6" xfId="14174" xr:uid="{51B444C4-1CF1-4C9D-9AEC-74D76B02DD58}"/>
    <cellStyle name="Normal 13 2 2 2 2 4" xfId="2142" xr:uid="{00000000-0005-0000-0000-000051120000}"/>
    <cellStyle name="Normal 13 2 2 2 2 4 2" xfId="9219" xr:uid="{00000000-0005-0000-0000-000052120000}"/>
    <cellStyle name="Normal 13 2 2 2 2 4 2 2" xfId="18025" xr:uid="{B02ECF7A-074E-43E4-A931-EBE88B41D575}"/>
    <cellStyle name="Normal 13 2 2 2 2 4 3" xfId="7616" xr:uid="{00000000-0005-0000-0000-000053120000}"/>
    <cellStyle name="Normal 13 2 2 2 2 4 3 2" xfId="16426" xr:uid="{EB6A944E-D4CF-49D9-9384-A94CB2A86834}"/>
    <cellStyle name="Normal 13 2 2 2 2 4 4" xfId="10829" xr:uid="{00000000-0005-0000-0000-000054120000}"/>
    <cellStyle name="Normal 13 2 2 2 2 4 4 2" xfId="19572" xr:uid="{D422DB6A-185E-416A-B8E0-0C345F0501B8}"/>
    <cellStyle name="Normal 13 2 2 2 2 4 5" xfId="12436" xr:uid="{00000000-0005-0000-0000-000055120000}"/>
    <cellStyle name="Normal 13 2 2 2 2 4 5 2" xfId="21172" xr:uid="{751B759D-2BE8-43DC-8EDD-CB4EECF728E8}"/>
    <cellStyle name="Normal 13 2 2 2 2 4 6" xfId="14161" xr:uid="{D9B5B370-DD1E-41B1-9124-697627189473}"/>
    <cellStyle name="Normal 13 2 2 2 3" xfId="2143" xr:uid="{00000000-0005-0000-0000-000056120000}"/>
    <cellStyle name="Normal 13 2 2 2 4" xfId="2144" xr:uid="{00000000-0005-0000-0000-000057120000}"/>
    <cellStyle name="Normal 13 2 2 2 5" xfId="9216" xr:uid="{00000000-0005-0000-0000-000058120000}"/>
    <cellStyle name="Normal 13 2 2 2 5 2" xfId="18022" xr:uid="{ACDE08EC-5245-454F-A078-FB18614E6C56}"/>
    <cellStyle name="Normal 13 2 2 2 6" xfId="7613" xr:uid="{00000000-0005-0000-0000-000059120000}"/>
    <cellStyle name="Normal 13 2 2 2 6 2" xfId="16423" xr:uid="{4CB09732-C5F5-4056-B1E9-82A6F1A7F90F}"/>
    <cellStyle name="Normal 13 2 2 2 7" xfId="10826" xr:uid="{00000000-0005-0000-0000-00005A120000}"/>
    <cellStyle name="Normal 13 2 2 2 7 2" xfId="19569" xr:uid="{7BAF09CF-9D8F-4F21-9A24-4575F7573B21}"/>
    <cellStyle name="Normal 13 2 2 2 8" xfId="12433" xr:uid="{00000000-0005-0000-0000-00005B120000}"/>
    <cellStyle name="Normal 13 2 2 2 8 2" xfId="21169" xr:uid="{4EA49E11-5843-4CB0-B9CD-8A1179865D2C}"/>
    <cellStyle name="Normal 13 2 2 2 9" xfId="14406" xr:uid="{3B19E9AB-9F21-4F9D-A864-3101EECB1ABF}"/>
    <cellStyle name="Normal 13 2 2 3" xfId="2145" xr:uid="{00000000-0005-0000-0000-00005C120000}"/>
    <cellStyle name="Normal 13 2 2 3 2" xfId="2146" xr:uid="{00000000-0005-0000-0000-00005D120000}"/>
    <cellStyle name="Normal 13 2 2 3 2 2" xfId="9221" xr:uid="{00000000-0005-0000-0000-00005E120000}"/>
    <cellStyle name="Normal 13 2 2 3 2 2 2" xfId="18027" xr:uid="{B6138A58-299D-4339-A1FC-3C793E6C2C1F}"/>
    <cellStyle name="Normal 13 2 2 3 2 3" xfId="7618" xr:uid="{00000000-0005-0000-0000-00005F120000}"/>
    <cellStyle name="Normal 13 2 2 3 2 3 2" xfId="16428" xr:uid="{9657709E-1013-4356-B359-296C54D503A5}"/>
    <cellStyle name="Normal 13 2 2 3 2 4" xfId="10831" xr:uid="{00000000-0005-0000-0000-000060120000}"/>
    <cellStyle name="Normal 13 2 2 3 2 4 2" xfId="19574" xr:uid="{55420DE9-3A89-466E-832F-373D402AD0AA}"/>
    <cellStyle name="Normal 13 2 2 3 2 5" xfId="12438" xr:uid="{00000000-0005-0000-0000-000061120000}"/>
    <cellStyle name="Normal 13 2 2 3 2 5 2" xfId="21174" xr:uid="{45768441-8DA8-4C07-AD5F-BCA30E60C566}"/>
    <cellStyle name="Normal 13 2 2 3 2 6" xfId="14129" xr:uid="{61211521-35C5-4D69-B5DD-7ADA8120E46D}"/>
    <cellStyle name="Normal 13 2 2 3 3" xfId="2147" xr:uid="{00000000-0005-0000-0000-000062120000}"/>
    <cellStyle name="Normal 13 2 2 3 3 2" xfId="9222" xr:uid="{00000000-0005-0000-0000-000063120000}"/>
    <cellStyle name="Normal 13 2 2 3 3 2 2" xfId="18028" xr:uid="{7B64E857-E546-4B4E-A221-7471121E228E}"/>
    <cellStyle name="Normal 13 2 2 3 3 3" xfId="7619" xr:uid="{00000000-0005-0000-0000-000064120000}"/>
    <cellStyle name="Normal 13 2 2 3 3 3 2" xfId="16429" xr:uid="{3817C474-92BB-4001-AD9C-AB43A041A662}"/>
    <cellStyle name="Normal 13 2 2 3 3 4" xfId="10832" xr:uid="{00000000-0005-0000-0000-000065120000}"/>
    <cellStyle name="Normal 13 2 2 3 3 4 2" xfId="19575" xr:uid="{9B93350F-0CD5-4BAE-90D5-15E111FA7F13}"/>
    <cellStyle name="Normal 13 2 2 3 3 5" xfId="12439" xr:uid="{00000000-0005-0000-0000-000066120000}"/>
    <cellStyle name="Normal 13 2 2 3 3 5 2" xfId="21175" xr:uid="{8CE8C92F-8BFD-450B-A41E-7C5769B392A5}"/>
    <cellStyle name="Normal 13 2 2 3 3 6" xfId="14100" xr:uid="{94403031-4D90-454C-A5B7-6A105F2D7B21}"/>
    <cellStyle name="Normal 13 2 2 3 4" xfId="2148" xr:uid="{00000000-0005-0000-0000-000067120000}"/>
    <cellStyle name="Normal 13 2 2 3 4 2" xfId="9223" xr:uid="{00000000-0005-0000-0000-000068120000}"/>
    <cellStyle name="Normal 13 2 2 3 4 2 2" xfId="18029" xr:uid="{AA1D4A4B-0877-4515-8416-F0B2CBA871DF}"/>
    <cellStyle name="Normal 13 2 2 3 4 3" xfId="7620" xr:uid="{00000000-0005-0000-0000-000069120000}"/>
    <cellStyle name="Normal 13 2 2 3 4 3 2" xfId="16430" xr:uid="{EBF76FD6-1123-4C83-BA57-167A41505D98}"/>
    <cellStyle name="Normal 13 2 2 3 4 4" xfId="10833" xr:uid="{00000000-0005-0000-0000-00006A120000}"/>
    <cellStyle name="Normal 13 2 2 3 4 4 2" xfId="19576" xr:uid="{97239C06-CFDA-40D3-B6AE-3E7591CBB15B}"/>
    <cellStyle name="Normal 13 2 2 3 4 5" xfId="12440" xr:uid="{00000000-0005-0000-0000-00006B120000}"/>
    <cellStyle name="Normal 13 2 2 3 4 5 2" xfId="21176" xr:uid="{D48736A5-35CD-4D75-A42A-48527AC37207}"/>
    <cellStyle name="Normal 13 2 2 3 4 6" xfId="14079" xr:uid="{47660613-035B-465E-BCAD-0F1406100D20}"/>
    <cellStyle name="Normal 13 2 2 3 5" xfId="9220" xr:uid="{00000000-0005-0000-0000-00006C120000}"/>
    <cellStyle name="Normal 13 2 2 3 5 2" xfId="18026" xr:uid="{A64D57B7-8AAB-4324-A16D-97AB553F36EE}"/>
    <cellStyle name="Normal 13 2 2 3 6" xfId="7617" xr:uid="{00000000-0005-0000-0000-00006D120000}"/>
    <cellStyle name="Normal 13 2 2 3 6 2" xfId="16427" xr:uid="{CE285AE7-101D-4C82-B70F-2D153448E0D9}"/>
    <cellStyle name="Normal 13 2 2 3 7" xfId="10830" xr:uid="{00000000-0005-0000-0000-00006E120000}"/>
    <cellStyle name="Normal 13 2 2 3 7 2" xfId="19573" xr:uid="{03F3D763-BB19-4A71-A03D-F148DF99F156}"/>
    <cellStyle name="Normal 13 2 2 3 8" xfId="12437" xr:uid="{00000000-0005-0000-0000-00006F120000}"/>
    <cellStyle name="Normal 13 2 2 3 8 2" xfId="21173" xr:uid="{D462BA99-9DBC-4430-AC72-7CD96C44C9EF}"/>
    <cellStyle name="Normal 13 2 2 3 9" xfId="14092" xr:uid="{6E010FB0-4F69-4CF4-81CA-ADFA1F7EBA1B}"/>
    <cellStyle name="Normal 13 2 2 4" xfId="2149" xr:uid="{00000000-0005-0000-0000-000070120000}"/>
    <cellStyle name="Normal 13 2 2 4 2" xfId="2150" xr:uid="{00000000-0005-0000-0000-000071120000}"/>
    <cellStyle name="Normal 13 2 2 4 2 2" xfId="9225" xr:uid="{00000000-0005-0000-0000-000072120000}"/>
    <cellStyle name="Normal 13 2 2 4 2 2 2" xfId="18031" xr:uid="{9D83F281-797E-436F-A009-0C750BC51775}"/>
    <cellStyle name="Normal 13 2 2 4 2 3" xfId="7622" xr:uid="{00000000-0005-0000-0000-000073120000}"/>
    <cellStyle name="Normal 13 2 2 4 2 3 2" xfId="16432" xr:uid="{758CAFB5-F18D-4126-8C81-A66275200E1F}"/>
    <cellStyle name="Normal 13 2 2 4 2 4" xfId="10835" xr:uid="{00000000-0005-0000-0000-000074120000}"/>
    <cellStyle name="Normal 13 2 2 4 2 4 2" xfId="19578" xr:uid="{532815E7-987D-4F26-B413-12B5BEFD9568}"/>
    <cellStyle name="Normal 13 2 2 4 2 5" xfId="12442" xr:uid="{00000000-0005-0000-0000-000075120000}"/>
    <cellStyle name="Normal 13 2 2 4 2 5 2" xfId="21178" xr:uid="{025DD7CA-9E27-4FE6-AC2B-A555E901909F}"/>
    <cellStyle name="Normal 13 2 2 4 2 6" xfId="14064" xr:uid="{04F81EEC-5D87-4D59-8F58-3D57FDCE60C4}"/>
    <cellStyle name="Normal 13 2 2 4 3" xfId="2151" xr:uid="{00000000-0005-0000-0000-000076120000}"/>
    <cellStyle name="Normal 13 2 2 4 3 2" xfId="9226" xr:uid="{00000000-0005-0000-0000-000077120000}"/>
    <cellStyle name="Normal 13 2 2 4 3 2 2" xfId="18032" xr:uid="{9F095A5F-89D2-402A-B694-BA82A8A3FF57}"/>
    <cellStyle name="Normal 13 2 2 4 3 3" xfId="7623" xr:uid="{00000000-0005-0000-0000-000078120000}"/>
    <cellStyle name="Normal 13 2 2 4 3 3 2" xfId="16433" xr:uid="{5C772A47-C5CB-4889-B5E0-A3F0248E4777}"/>
    <cellStyle name="Normal 13 2 2 4 3 4" xfId="10836" xr:uid="{00000000-0005-0000-0000-000079120000}"/>
    <cellStyle name="Normal 13 2 2 4 3 4 2" xfId="19579" xr:uid="{387A9F38-EB4A-4AC8-81BC-4EAD11EFB402}"/>
    <cellStyle name="Normal 13 2 2 4 3 5" xfId="12443" xr:uid="{00000000-0005-0000-0000-00007A120000}"/>
    <cellStyle name="Normal 13 2 2 4 3 5 2" xfId="21179" xr:uid="{E1722EE0-C142-470B-B003-52CAD78A7C0C}"/>
    <cellStyle name="Normal 13 2 2 4 3 6" xfId="14402" xr:uid="{25A63D4B-F332-4FAF-BAB7-C25569D7F709}"/>
    <cellStyle name="Normal 13 2 2 4 4" xfId="2152" xr:uid="{00000000-0005-0000-0000-00007B120000}"/>
    <cellStyle name="Normal 13 2 2 4 4 2" xfId="9227" xr:uid="{00000000-0005-0000-0000-00007C120000}"/>
    <cellStyle name="Normal 13 2 2 4 4 2 2" xfId="18033" xr:uid="{F6A3ADF0-07F9-4FFD-9F01-7C0FBA029EF3}"/>
    <cellStyle name="Normal 13 2 2 4 4 3" xfId="7624" xr:uid="{00000000-0005-0000-0000-00007D120000}"/>
    <cellStyle name="Normal 13 2 2 4 4 3 2" xfId="16434" xr:uid="{D2EA6F67-7BD7-4BA4-8D3C-D2606A2A7225}"/>
    <cellStyle name="Normal 13 2 2 4 4 4" xfId="10837" xr:uid="{00000000-0005-0000-0000-00007E120000}"/>
    <cellStyle name="Normal 13 2 2 4 4 4 2" xfId="19580" xr:uid="{CF9DE811-758C-4D27-B365-27380D77A351}"/>
    <cellStyle name="Normal 13 2 2 4 4 5" xfId="12444" xr:uid="{00000000-0005-0000-0000-00007F120000}"/>
    <cellStyle name="Normal 13 2 2 4 4 5 2" xfId="21180" xr:uid="{9D65F97A-9F69-4947-B69D-34027111A223}"/>
    <cellStyle name="Normal 13 2 2 4 4 6" xfId="14054" xr:uid="{1B567D6E-A536-4183-9971-171717944E8B}"/>
    <cellStyle name="Normal 13 2 2 4 5" xfId="9224" xr:uid="{00000000-0005-0000-0000-000080120000}"/>
    <cellStyle name="Normal 13 2 2 4 5 2" xfId="18030" xr:uid="{B2307917-AA1B-496D-92A1-F3AB8E1029FD}"/>
    <cellStyle name="Normal 13 2 2 4 6" xfId="7621" xr:uid="{00000000-0005-0000-0000-000081120000}"/>
    <cellStyle name="Normal 13 2 2 4 6 2" xfId="16431" xr:uid="{C91E2F99-0827-451C-A5CA-925D8573097D}"/>
    <cellStyle name="Normal 13 2 2 4 7" xfId="10834" xr:uid="{00000000-0005-0000-0000-000082120000}"/>
    <cellStyle name="Normal 13 2 2 4 7 2" xfId="19577" xr:uid="{3AA0DB87-BCE4-4E69-8BC1-FAF2F2FBBD13}"/>
    <cellStyle name="Normal 13 2 2 4 8" xfId="12441" xr:uid="{00000000-0005-0000-0000-000083120000}"/>
    <cellStyle name="Normal 13 2 2 4 8 2" xfId="21177" xr:uid="{DDBA613F-5F23-4548-8DAB-594C7935AAEB}"/>
    <cellStyle name="Normal 13 2 2 4 9" xfId="14072" xr:uid="{1FE9ACAA-8046-4CCB-A7EB-434D4F12BEED}"/>
    <cellStyle name="Normal 13 2 2 5" xfId="2153" xr:uid="{00000000-0005-0000-0000-000084120000}"/>
    <cellStyle name="Normal 13 2 2 5 2" xfId="9228" xr:uid="{00000000-0005-0000-0000-000085120000}"/>
    <cellStyle name="Normal 13 2 2 5 2 2" xfId="18034" xr:uid="{E1ED995F-5666-4E89-AE2F-C6CF1E254C05}"/>
    <cellStyle name="Normal 13 2 2 5 3" xfId="7625" xr:uid="{00000000-0005-0000-0000-000086120000}"/>
    <cellStyle name="Normal 13 2 2 5 3 2" xfId="16435" xr:uid="{5D5F5319-506E-412C-ADC8-15F58C73643D}"/>
    <cellStyle name="Normal 13 2 2 5 4" xfId="10838" xr:uid="{00000000-0005-0000-0000-000087120000}"/>
    <cellStyle name="Normal 13 2 2 5 4 2" xfId="19581" xr:uid="{6353B765-E0DE-4C49-AC2D-686810DEA0AD}"/>
    <cellStyle name="Normal 13 2 2 5 5" xfId="12445" xr:uid="{00000000-0005-0000-0000-000088120000}"/>
    <cellStyle name="Normal 13 2 2 5 5 2" xfId="21181" xr:uid="{D085B893-B8BD-4738-989A-D27D4F40E2AE}"/>
    <cellStyle name="Normal 13 2 2 5 6" xfId="14420" xr:uid="{5A4E7C24-E92E-450D-BFB5-BA1B88111E14}"/>
    <cellStyle name="Normal 13 2 2 6" xfId="2154" xr:uid="{00000000-0005-0000-0000-000089120000}"/>
    <cellStyle name="Normal 13 2 2 6 2" xfId="9229" xr:uid="{00000000-0005-0000-0000-00008A120000}"/>
    <cellStyle name="Normal 13 2 2 6 2 2" xfId="18035" xr:uid="{02955677-F985-497D-946E-335A45BBBBD9}"/>
    <cellStyle name="Normal 13 2 2 6 3" xfId="7626" xr:uid="{00000000-0005-0000-0000-00008B120000}"/>
    <cellStyle name="Normal 13 2 2 6 3 2" xfId="16436" xr:uid="{09D4D80E-5FCD-43EB-9435-13E9A917DC8C}"/>
    <cellStyle name="Normal 13 2 2 6 4" xfId="10839" xr:uid="{00000000-0005-0000-0000-00008C120000}"/>
    <cellStyle name="Normal 13 2 2 6 4 2" xfId="19582" xr:uid="{4C742BBA-05FB-4B07-86E6-110B0CB44E40}"/>
    <cellStyle name="Normal 13 2 2 6 5" xfId="12446" xr:uid="{00000000-0005-0000-0000-00008D120000}"/>
    <cellStyle name="Normal 13 2 2 6 5 2" xfId="21182" xr:uid="{91322099-E960-4ED7-A913-7DA1BAA2CEC5}"/>
    <cellStyle name="Normal 13 2 2 6 6" xfId="14679" xr:uid="{02EDDD45-0524-4034-90FF-CC750C879E15}"/>
    <cellStyle name="Normal 13 2 2 7" xfId="2155" xr:uid="{00000000-0005-0000-0000-00008E120000}"/>
    <cellStyle name="Normal 13 2 2 7 2" xfId="9230" xr:uid="{00000000-0005-0000-0000-00008F120000}"/>
    <cellStyle name="Normal 13 2 2 7 2 2" xfId="18036" xr:uid="{9A2B70CB-1F9A-4D92-BEFF-0B283586FF3F}"/>
    <cellStyle name="Normal 13 2 2 7 3" xfId="7627" xr:uid="{00000000-0005-0000-0000-000090120000}"/>
    <cellStyle name="Normal 13 2 2 7 3 2" xfId="16437" xr:uid="{91BD25CC-A051-4288-8A72-0B35DF3DABC4}"/>
    <cellStyle name="Normal 13 2 2 7 4" xfId="10840" xr:uid="{00000000-0005-0000-0000-000091120000}"/>
    <cellStyle name="Normal 13 2 2 7 4 2" xfId="19583" xr:uid="{EA9EEC79-2241-4356-8A56-452CC89FFDEA}"/>
    <cellStyle name="Normal 13 2 2 7 5" xfId="12447" xr:uid="{00000000-0005-0000-0000-000092120000}"/>
    <cellStyle name="Normal 13 2 2 7 5 2" xfId="21183" xr:uid="{00C82B50-8DC5-421E-B698-07625BAB57E0}"/>
    <cellStyle name="Normal 13 2 2 7 6" xfId="14831" xr:uid="{0922EF63-44B6-47C8-880B-C61BAF1D14FE}"/>
    <cellStyle name="Normal 13 2 3" xfId="2156" xr:uid="{00000000-0005-0000-0000-000093120000}"/>
    <cellStyle name="Normal 13 2 3 2" xfId="2157" xr:uid="{00000000-0005-0000-0000-000094120000}"/>
    <cellStyle name="Normal 13 2 3 2 2" xfId="9232" xr:uid="{00000000-0005-0000-0000-000095120000}"/>
    <cellStyle name="Normal 13 2 3 2 2 2" xfId="18038" xr:uid="{828B81B2-16AD-4875-9116-488BE5003B3B}"/>
    <cellStyle name="Normal 13 2 3 2 3" xfId="7629" xr:uid="{00000000-0005-0000-0000-000096120000}"/>
    <cellStyle name="Normal 13 2 3 2 3 2" xfId="16439" xr:uid="{648F2B8F-E4E5-47EA-B465-5A6B48471CF1}"/>
    <cellStyle name="Normal 13 2 3 2 4" xfId="10842" xr:uid="{00000000-0005-0000-0000-000097120000}"/>
    <cellStyle name="Normal 13 2 3 2 4 2" xfId="19585" xr:uid="{6B71A95B-E18F-4CB6-A234-A1DCF86B81DE}"/>
    <cellStyle name="Normal 13 2 3 2 5" xfId="12449" xr:uid="{00000000-0005-0000-0000-000098120000}"/>
    <cellStyle name="Normal 13 2 3 2 5 2" xfId="21185" xr:uid="{4ACB838B-9043-408B-9E28-1188889CF8F8}"/>
    <cellStyle name="Normal 13 2 3 2 6" xfId="14707" xr:uid="{44A7B8FE-C178-4082-A577-55179550492C}"/>
    <cellStyle name="Normal 13 2 3 3" xfId="2158" xr:uid="{00000000-0005-0000-0000-000099120000}"/>
    <cellStyle name="Normal 13 2 3 3 2" xfId="9233" xr:uid="{00000000-0005-0000-0000-00009A120000}"/>
    <cellStyle name="Normal 13 2 3 3 2 2" xfId="18039" xr:uid="{503AF253-3C23-433E-9095-0F2711DD9306}"/>
    <cellStyle name="Normal 13 2 3 3 3" xfId="7630" xr:uid="{00000000-0005-0000-0000-00009B120000}"/>
    <cellStyle name="Normal 13 2 3 3 3 2" xfId="16440" xr:uid="{644C7C2F-147D-4BF8-B6AC-1F6773ED721F}"/>
    <cellStyle name="Normal 13 2 3 3 4" xfId="10843" xr:uid="{00000000-0005-0000-0000-00009C120000}"/>
    <cellStyle name="Normal 13 2 3 3 4 2" xfId="19586" xr:uid="{00198064-2D00-4E33-BC5B-6624C8DA5356}"/>
    <cellStyle name="Normal 13 2 3 3 5" xfId="12450" xr:uid="{00000000-0005-0000-0000-00009D120000}"/>
    <cellStyle name="Normal 13 2 3 3 5 2" xfId="21186" xr:uid="{0ED87450-52EF-4505-ABBB-468352096D24}"/>
    <cellStyle name="Normal 13 2 3 3 6" xfId="14207" xr:uid="{C10D4E84-B62A-428B-B550-95E0FA677718}"/>
    <cellStyle name="Normal 13 2 3 4" xfId="2159" xr:uid="{00000000-0005-0000-0000-00009E120000}"/>
    <cellStyle name="Normal 13 2 3 4 2" xfId="9234" xr:uid="{00000000-0005-0000-0000-00009F120000}"/>
    <cellStyle name="Normal 13 2 3 4 2 2" xfId="18040" xr:uid="{A449484E-91E2-4749-A2D9-F54B73EDFE19}"/>
    <cellStyle name="Normal 13 2 3 4 3" xfId="7631" xr:uid="{00000000-0005-0000-0000-0000A0120000}"/>
    <cellStyle name="Normal 13 2 3 4 3 2" xfId="16441" xr:uid="{2F77CF3C-6425-4FBD-A518-44081266D999}"/>
    <cellStyle name="Normal 13 2 3 4 4" xfId="10844" xr:uid="{00000000-0005-0000-0000-0000A1120000}"/>
    <cellStyle name="Normal 13 2 3 4 4 2" xfId="19587" xr:uid="{2B360CF7-B88D-4CC4-8BE7-5C1FA9E4A7E4}"/>
    <cellStyle name="Normal 13 2 3 4 5" xfId="12451" xr:uid="{00000000-0005-0000-0000-0000A2120000}"/>
    <cellStyle name="Normal 13 2 3 4 5 2" xfId="21187" xr:uid="{0FC39CDC-0FEC-4BCC-8666-C5CA63F91F46}"/>
    <cellStyle name="Normal 13 2 3 4 6" xfId="14179" xr:uid="{7CC2E2DE-2C79-42B3-B6DB-6944F9468F42}"/>
    <cellStyle name="Normal 13 2 3 5" xfId="9231" xr:uid="{00000000-0005-0000-0000-0000A3120000}"/>
    <cellStyle name="Normal 13 2 3 5 2" xfId="18037" xr:uid="{5B5DF879-3A91-4435-95FA-05E1FC7BF6A8}"/>
    <cellStyle name="Normal 13 2 3 6" xfId="7628" xr:uid="{00000000-0005-0000-0000-0000A4120000}"/>
    <cellStyle name="Normal 13 2 3 6 2" xfId="16438" xr:uid="{34C63595-7486-413B-934C-4CCF5F239C7D}"/>
    <cellStyle name="Normal 13 2 3 7" xfId="10841" xr:uid="{00000000-0005-0000-0000-0000A5120000}"/>
    <cellStyle name="Normal 13 2 3 7 2" xfId="19584" xr:uid="{CAB892DE-09EE-4AE2-8C34-421CE4A71BB2}"/>
    <cellStyle name="Normal 13 2 3 8" xfId="12448" xr:uid="{00000000-0005-0000-0000-0000A6120000}"/>
    <cellStyle name="Normal 13 2 3 8 2" xfId="21184" xr:uid="{FB4EF57B-CE2D-4FFE-89D8-14A487F4BF61}"/>
    <cellStyle name="Normal 13 2 3 9" xfId="14143" xr:uid="{13C5E05E-7453-4585-8556-C2181376DDB3}"/>
    <cellStyle name="Normal 13 2 4" xfId="2160" xr:uid="{00000000-0005-0000-0000-0000A7120000}"/>
    <cellStyle name="Normal 13 2 5" xfId="2161" xr:uid="{00000000-0005-0000-0000-0000A8120000}"/>
    <cellStyle name="Normal 13 2 6" xfId="2162" xr:uid="{00000000-0005-0000-0000-0000A9120000}"/>
    <cellStyle name="Normal 13 2 6 2" xfId="9235" xr:uid="{00000000-0005-0000-0000-0000AA120000}"/>
    <cellStyle name="Normal 13 2 6 2 2" xfId="18041" xr:uid="{7D0B9B94-CE2F-4D12-805E-799E2B0C059D}"/>
    <cellStyle name="Normal 13 2 6 3" xfId="7632" xr:uid="{00000000-0005-0000-0000-0000AB120000}"/>
    <cellStyle name="Normal 13 2 6 3 2" xfId="16442" xr:uid="{D25BDE87-9663-41FF-BFDA-E415459F7D8B}"/>
    <cellStyle name="Normal 13 2 6 4" xfId="10845" xr:uid="{00000000-0005-0000-0000-0000AC120000}"/>
    <cellStyle name="Normal 13 2 6 4 2" xfId="19588" xr:uid="{81E23476-71FC-4FE5-B0AE-C6F7DDECB177}"/>
    <cellStyle name="Normal 13 2 6 5" xfId="12452" xr:uid="{00000000-0005-0000-0000-0000AD120000}"/>
    <cellStyle name="Normal 13 2 6 5 2" xfId="21188" xr:uid="{9DA58CB4-3A82-49E7-889C-5B1A391D5CB7}"/>
    <cellStyle name="Normal 13 2 6 6" xfId="14793" xr:uid="{703BE982-4403-4E1A-87CD-4119A1401EAD}"/>
    <cellStyle name="Normal 13 2 7" xfId="2163" xr:uid="{00000000-0005-0000-0000-0000AE120000}"/>
    <cellStyle name="Normal 13 2 7 2" xfId="9236" xr:uid="{00000000-0005-0000-0000-0000AF120000}"/>
    <cellStyle name="Normal 13 2 7 2 2" xfId="18042" xr:uid="{2750512E-B641-403C-AA33-362DE3C88A6F}"/>
    <cellStyle name="Normal 13 2 7 3" xfId="7633" xr:uid="{00000000-0005-0000-0000-0000B0120000}"/>
    <cellStyle name="Normal 13 2 7 3 2" xfId="16443" xr:uid="{0FD43E47-5886-4EAD-B275-C3C179D115D1}"/>
    <cellStyle name="Normal 13 2 7 4" xfId="10846" xr:uid="{00000000-0005-0000-0000-0000B1120000}"/>
    <cellStyle name="Normal 13 2 7 4 2" xfId="19589" xr:uid="{7034CA19-74E9-4356-943C-91A04EDE8D55}"/>
    <cellStyle name="Normal 13 2 7 5" xfId="12453" xr:uid="{00000000-0005-0000-0000-0000B2120000}"/>
    <cellStyle name="Normal 13 2 7 5 2" xfId="21189" xr:uid="{CC81964E-ACF9-447B-B763-1AED7CDC5240}"/>
    <cellStyle name="Normal 13 2 7 6" xfId="14149" xr:uid="{08E78ED1-FB7A-4BB8-9B5D-C169164E61A8}"/>
    <cellStyle name="Normal 13 2 8" xfId="2164" xr:uid="{00000000-0005-0000-0000-0000B3120000}"/>
    <cellStyle name="Normal 13 2 8 2" xfId="9237" xr:uid="{00000000-0005-0000-0000-0000B4120000}"/>
    <cellStyle name="Normal 13 2 8 2 2" xfId="18043" xr:uid="{BA7B85E4-803A-490E-9406-6AC59AC20F7A}"/>
    <cellStyle name="Normal 13 2 8 3" xfId="7634" xr:uid="{00000000-0005-0000-0000-0000B5120000}"/>
    <cellStyle name="Normal 13 2 8 3 2" xfId="16444" xr:uid="{DA1F3628-9708-4859-81A6-2E8B2E69B225}"/>
    <cellStyle name="Normal 13 2 8 4" xfId="10847" xr:uid="{00000000-0005-0000-0000-0000B6120000}"/>
    <cellStyle name="Normal 13 2 8 4 2" xfId="19590" xr:uid="{F8F9C78C-8A1A-43AD-A441-7DBA38EA21C4}"/>
    <cellStyle name="Normal 13 2 8 5" xfId="12454" xr:uid="{00000000-0005-0000-0000-0000B7120000}"/>
    <cellStyle name="Normal 13 2 8 5 2" xfId="21190" xr:uid="{59582A64-22E6-4152-99A1-8FF64B6EE717}"/>
    <cellStyle name="Normal 13 2 8 6" xfId="14600" xr:uid="{B9A118E5-52C5-4405-81F6-62F032E81DB3}"/>
    <cellStyle name="Normal 13 2 9" xfId="6928" xr:uid="{00000000-0005-0000-0000-0000B8120000}"/>
    <cellStyle name="Normal 13 2 9 2" xfId="9215" xr:uid="{00000000-0005-0000-0000-0000B9120000}"/>
    <cellStyle name="Normal 13 2 9 2 2" xfId="18021" xr:uid="{BA988C91-5F1B-4E6E-9505-6610E13E339F}"/>
    <cellStyle name="Normal 13 2 9 3" xfId="16194" xr:uid="{D81818B3-3B01-4593-BAB0-08EAC3B871D8}"/>
    <cellStyle name="Normal 13 3" xfId="2165" xr:uid="{00000000-0005-0000-0000-0000BA120000}"/>
    <cellStyle name="Normal 13 4" xfId="2166" xr:uid="{00000000-0005-0000-0000-0000BB120000}"/>
    <cellStyle name="Normal 13 5" xfId="2135" xr:uid="{00000000-0005-0000-0000-0000BC120000}"/>
    <cellStyle name="Normal 13 5 2" xfId="9214" xr:uid="{00000000-0005-0000-0000-0000BD120000}"/>
    <cellStyle name="Normal 13 5 2 2" xfId="18020" xr:uid="{44926833-198D-4F90-BAD5-46EE31AAD387}"/>
    <cellStyle name="Normal 13 5 3" xfId="10824" xr:uid="{00000000-0005-0000-0000-0000BE120000}"/>
    <cellStyle name="Normal 13 5 3 2" xfId="19567" xr:uid="{4B21630B-87D9-4341-B947-BD69BA6037D8}"/>
    <cellStyle name="Normal 13 5 4" xfId="14409" xr:uid="{933694F4-E71D-4104-8E3E-1EDD7991BE0F}"/>
    <cellStyle name="Normal 13 6" xfId="7611" xr:uid="{00000000-0005-0000-0000-0000BF120000}"/>
    <cellStyle name="Normal 13 6 2" xfId="16421" xr:uid="{DBCB6717-18CB-47E9-ADDA-55DE47CE5222}"/>
    <cellStyle name="Normal 13 7" xfId="10625" xr:uid="{00000000-0005-0000-0000-0000C0120000}"/>
    <cellStyle name="Normal 13 8" xfId="12431" xr:uid="{00000000-0005-0000-0000-0000C1120000}"/>
    <cellStyle name="Normal 13 8 2" xfId="21167" xr:uid="{1E6FF5F4-C08C-4F98-996F-ED10E0DBE093}"/>
    <cellStyle name="Normal 130" xfId="2167" xr:uid="{00000000-0005-0000-0000-0000C2120000}"/>
    <cellStyle name="Normal 130 2" xfId="2168" xr:uid="{00000000-0005-0000-0000-0000C3120000}"/>
    <cellStyle name="Normal 130 2 2" xfId="9239" xr:uid="{00000000-0005-0000-0000-0000C4120000}"/>
    <cellStyle name="Normal 130 2 2 2" xfId="18045" xr:uid="{F3C3BA22-4BC1-4DE7-A6DB-0F040222AD21}"/>
    <cellStyle name="Normal 130 2 3" xfId="7636" xr:uid="{00000000-0005-0000-0000-0000C5120000}"/>
    <cellStyle name="Normal 130 2 3 2" xfId="16446" xr:uid="{AE1CEFA4-0CF7-44D6-A76B-F2670750753C}"/>
    <cellStyle name="Normal 130 2 4" xfId="10849" xr:uid="{00000000-0005-0000-0000-0000C6120000}"/>
    <cellStyle name="Normal 130 2 4 2" xfId="19592" xr:uid="{A61F2C85-4C78-49DC-811D-20281F6C906B}"/>
    <cellStyle name="Normal 130 2 5" xfId="12456" xr:uid="{00000000-0005-0000-0000-0000C7120000}"/>
    <cellStyle name="Normal 130 2 5 2" xfId="21192" xr:uid="{443F9030-90C6-4997-B11D-9DD69E440F9A}"/>
    <cellStyle name="Normal 130 2 6" xfId="14804" xr:uid="{AE94F1A4-C39B-4025-B48F-9EC410823B67}"/>
    <cellStyle name="Normal 130 3" xfId="2169" xr:uid="{00000000-0005-0000-0000-0000C8120000}"/>
    <cellStyle name="Normal 130 3 2" xfId="9240" xr:uid="{00000000-0005-0000-0000-0000C9120000}"/>
    <cellStyle name="Normal 130 3 2 2" xfId="18046" xr:uid="{2E19CEBE-0415-4617-B1C0-D9B04764EC3F}"/>
    <cellStyle name="Normal 130 3 3" xfId="7637" xr:uid="{00000000-0005-0000-0000-0000CA120000}"/>
    <cellStyle name="Normal 130 3 3 2" xfId="16447" xr:uid="{8B202B8B-D230-4776-8959-7D40CA440203}"/>
    <cellStyle name="Normal 130 3 4" xfId="10850" xr:uid="{00000000-0005-0000-0000-0000CB120000}"/>
    <cellStyle name="Normal 130 3 4 2" xfId="19593" xr:uid="{2FC0B6FC-CBF5-4E05-AA80-12304EF0B623}"/>
    <cellStyle name="Normal 130 3 5" xfId="12457" xr:uid="{00000000-0005-0000-0000-0000CC120000}"/>
    <cellStyle name="Normal 130 3 5 2" xfId="21193" xr:uid="{DF7A2803-DFDF-4050-AFFF-DFF26DD73DB0}"/>
    <cellStyle name="Normal 130 3 6" xfId="14000" xr:uid="{76DCDFA1-F077-4E0D-BFE9-C73B0FD7E97B}"/>
    <cellStyle name="Normal 130 4" xfId="2170" xr:uid="{00000000-0005-0000-0000-0000CD120000}"/>
    <cellStyle name="Normal 130 4 2" xfId="9241" xr:uid="{00000000-0005-0000-0000-0000CE120000}"/>
    <cellStyle name="Normal 130 4 2 2" xfId="18047" xr:uid="{AB8B3C1C-691A-4AC2-9E7A-0265085C7E91}"/>
    <cellStyle name="Normal 130 4 3" xfId="7638" xr:uid="{00000000-0005-0000-0000-0000CF120000}"/>
    <cellStyle name="Normal 130 4 3 2" xfId="16448" xr:uid="{7C46BC0E-6672-4F78-B404-D090BD11112D}"/>
    <cellStyle name="Normal 130 4 4" xfId="10851" xr:uid="{00000000-0005-0000-0000-0000D0120000}"/>
    <cellStyle name="Normal 130 4 4 2" xfId="19594" xr:uid="{7DF7A20B-9BED-4CED-91EF-947F195FAAD4}"/>
    <cellStyle name="Normal 130 4 5" xfId="12458" xr:uid="{00000000-0005-0000-0000-0000D1120000}"/>
    <cellStyle name="Normal 130 4 5 2" xfId="21194" xr:uid="{38157B03-8C40-4C47-89D4-3C69C2E2EAF8}"/>
    <cellStyle name="Normal 130 4 6" xfId="14603" xr:uid="{4D2E7897-3F56-4A72-8523-E9318EAAA05D}"/>
    <cellStyle name="Normal 130 5" xfId="9238" xr:uid="{00000000-0005-0000-0000-0000D2120000}"/>
    <cellStyle name="Normal 130 5 2" xfId="18044" xr:uid="{CBC5C948-75EB-4E9A-9889-377B22D75BC6}"/>
    <cellStyle name="Normal 130 6" xfId="7635" xr:uid="{00000000-0005-0000-0000-0000D3120000}"/>
    <cellStyle name="Normal 130 6 2" xfId="16445" xr:uid="{49E65E4B-0977-4644-9791-CC52261D2B02}"/>
    <cellStyle name="Normal 130 7" xfId="10848" xr:uid="{00000000-0005-0000-0000-0000D4120000}"/>
    <cellStyle name="Normal 130 7 2" xfId="19591" xr:uid="{26976862-856E-4C35-A054-CA95D4EBE20F}"/>
    <cellStyle name="Normal 130 8" xfId="12455" xr:uid="{00000000-0005-0000-0000-0000D5120000}"/>
    <cellStyle name="Normal 130 8 2" xfId="21191" xr:uid="{E6506A0C-0B01-49FE-8434-9E9FA9EF4310}"/>
    <cellStyle name="Normal 130 9" xfId="14554" xr:uid="{32B929A1-3736-4F21-BF1D-6B8419DB7F2B}"/>
    <cellStyle name="Normal 131" xfId="2171" xr:uid="{00000000-0005-0000-0000-0000D6120000}"/>
    <cellStyle name="Normal 131 2" xfId="2172" xr:uid="{00000000-0005-0000-0000-0000D7120000}"/>
    <cellStyle name="Normal 131 2 2" xfId="9243" xr:uid="{00000000-0005-0000-0000-0000D8120000}"/>
    <cellStyle name="Normal 131 2 2 2" xfId="18049" xr:uid="{940AEB07-014B-4AFC-9959-CD6D9B4A55A6}"/>
    <cellStyle name="Normal 131 2 3" xfId="7640" xr:uid="{00000000-0005-0000-0000-0000D9120000}"/>
    <cellStyle name="Normal 131 2 3 2" xfId="16450" xr:uid="{09D83BB6-C283-4B47-BD25-7C121ABA0258}"/>
    <cellStyle name="Normal 131 2 4" xfId="10853" xr:uid="{00000000-0005-0000-0000-0000DA120000}"/>
    <cellStyle name="Normal 131 2 4 2" xfId="19596" xr:uid="{1819CFA6-F241-4BC1-BC72-347835F66569}"/>
    <cellStyle name="Normal 131 2 5" xfId="12460" xr:uid="{00000000-0005-0000-0000-0000DB120000}"/>
    <cellStyle name="Normal 131 2 5 2" xfId="21196" xr:uid="{453B21BD-6B00-4215-8DE2-B8DCBEC9E30D}"/>
    <cellStyle name="Normal 131 2 6" xfId="14861" xr:uid="{CA709758-5A45-49B4-AAE9-590D971C7302}"/>
    <cellStyle name="Normal 131 3" xfId="2173" xr:uid="{00000000-0005-0000-0000-0000DC120000}"/>
    <cellStyle name="Normal 131 3 2" xfId="9244" xr:uid="{00000000-0005-0000-0000-0000DD120000}"/>
    <cellStyle name="Normal 131 3 2 2" xfId="18050" xr:uid="{10E179C5-89C7-4831-B8F5-43559BCBCE09}"/>
    <cellStyle name="Normal 131 3 3" xfId="7641" xr:uid="{00000000-0005-0000-0000-0000DE120000}"/>
    <cellStyle name="Normal 131 3 3 2" xfId="16451" xr:uid="{B6910CCA-3050-4CB6-93B7-03F32A73788A}"/>
    <cellStyle name="Normal 131 3 4" xfId="10854" xr:uid="{00000000-0005-0000-0000-0000DF120000}"/>
    <cellStyle name="Normal 131 3 4 2" xfId="19597" xr:uid="{08CDC9AB-AA3C-415E-AFEB-BFA190DC5D00}"/>
    <cellStyle name="Normal 131 3 5" xfId="12461" xr:uid="{00000000-0005-0000-0000-0000E0120000}"/>
    <cellStyle name="Normal 131 3 5 2" xfId="21197" xr:uid="{F78886A2-9E12-4B2E-9BE0-EE9A7C48F05F}"/>
    <cellStyle name="Normal 131 3 6" xfId="14389" xr:uid="{C3143DB0-C41C-4F76-81E8-6FFFEB06CE32}"/>
    <cellStyle name="Normal 131 4" xfId="2174" xr:uid="{00000000-0005-0000-0000-0000E1120000}"/>
    <cellStyle name="Normal 131 4 2" xfId="9245" xr:uid="{00000000-0005-0000-0000-0000E2120000}"/>
    <cellStyle name="Normal 131 4 2 2" xfId="18051" xr:uid="{F1FC801B-AE88-4D14-8023-B7E726F39E5F}"/>
    <cellStyle name="Normal 131 4 3" xfId="7642" xr:uid="{00000000-0005-0000-0000-0000E3120000}"/>
    <cellStyle name="Normal 131 4 3 2" xfId="16452" xr:uid="{2A7DACCC-E495-4891-A951-72EA55893936}"/>
    <cellStyle name="Normal 131 4 4" xfId="10855" xr:uid="{00000000-0005-0000-0000-0000E4120000}"/>
    <cellStyle name="Normal 131 4 4 2" xfId="19598" xr:uid="{30C1AD7D-D58B-4294-A684-E5A4C845179A}"/>
    <cellStyle name="Normal 131 4 5" xfId="12462" xr:uid="{00000000-0005-0000-0000-0000E5120000}"/>
    <cellStyle name="Normal 131 4 5 2" xfId="21198" xr:uid="{3DEDE27A-7138-499A-90E4-EB14658D42FE}"/>
    <cellStyle name="Normal 131 4 6" xfId="13990" xr:uid="{5E1CCF0B-950C-4079-9BF5-F161853EBE5A}"/>
    <cellStyle name="Normal 131 5" xfId="9242" xr:uid="{00000000-0005-0000-0000-0000E6120000}"/>
    <cellStyle name="Normal 131 5 2" xfId="18048" xr:uid="{7C486732-763A-42A3-BE87-1C96A74BEC27}"/>
    <cellStyle name="Normal 131 6" xfId="7639" xr:uid="{00000000-0005-0000-0000-0000E7120000}"/>
    <cellStyle name="Normal 131 6 2" xfId="16449" xr:uid="{1BE0AE45-4A4F-4D67-A6AD-B6CF7D53AD42}"/>
    <cellStyle name="Normal 131 7" xfId="10852" xr:uid="{00000000-0005-0000-0000-0000E8120000}"/>
    <cellStyle name="Normal 131 7 2" xfId="19595" xr:uid="{CC7BDD27-8D9D-49DA-BCF3-4CDBE741B817}"/>
    <cellStyle name="Normal 131 8" xfId="12459" xr:uid="{00000000-0005-0000-0000-0000E9120000}"/>
    <cellStyle name="Normal 131 8 2" xfId="21195" xr:uid="{F7741789-9EC3-4778-B407-CF7DAF26F84D}"/>
    <cellStyle name="Normal 131 9" xfId="14390" xr:uid="{0E1349E2-3AF5-4DF4-8DE7-2F1AD0CEE9E5}"/>
    <cellStyle name="Normal 132" xfId="2175" xr:uid="{00000000-0005-0000-0000-0000EA120000}"/>
    <cellStyle name="Normal 133" xfId="2176" xr:uid="{00000000-0005-0000-0000-0000EB120000}"/>
    <cellStyle name="Normal 134" xfId="2177" xr:uid="{00000000-0005-0000-0000-0000EC120000}"/>
    <cellStyle name="Normal 134 2" xfId="9246" xr:uid="{00000000-0005-0000-0000-0000ED120000}"/>
    <cellStyle name="Normal 134 2 2" xfId="18052" xr:uid="{210984D1-B6B8-45D6-A04E-550FA8341D20}"/>
    <cellStyle name="Normal 134 3" xfId="7643" xr:uid="{00000000-0005-0000-0000-0000EE120000}"/>
    <cellStyle name="Normal 134 3 2" xfId="16453" xr:uid="{317E2E7C-71D3-414B-A7FA-032FD6C5C31C}"/>
    <cellStyle name="Normal 134 4" xfId="10856" xr:uid="{00000000-0005-0000-0000-0000EF120000}"/>
    <cellStyle name="Normal 134 4 2" xfId="19599" xr:uid="{7EC4A795-1DC6-47A6-A1D5-7061E1124811}"/>
    <cellStyle name="Normal 134 5" xfId="12463" xr:uid="{00000000-0005-0000-0000-0000F0120000}"/>
    <cellStyle name="Normal 134 5 2" xfId="21199" xr:uid="{594B3904-F8E5-41D8-B218-84BEBC09D23B}"/>
    <cellStyle name="Normal 134 6" xfId="14388" xr:uid="{88D89189-351B-427B-80A9-B1F7390DDE3F}"/>
    <cellStyle name="Normal 135" xfId="2178" xr:uid="{00000000-0005-0000-0000-0000F1120000}"/>
    <cellStyle name="Normal 136" xfId="2179" xr:uid="{00000000-0005-0000-0000-0000F2120000}"/>
    <cellStyle name="Normal 137" xfId="2180" xr:uid="{00000000-0005-0000-0000-0000F3120000}"/>
    <cellStyle name="Normal 138" xfId="2181" xr:uid="{00000000-0005-0000-0000-0000F4120000}"/>
    <cellStyle name="Normal 139" xfId="2182" xr:uid="{00000000-0005-0000-0000-0000F5120000}"/>
    <cellStyle name="Normal 14" xfId="156" xr:uid="{00000000-0005-0000-0000-0000F6120000}"/>
    <cellStyle name="Normal 14 10" xfId="14610" xr:uid="{E4260508-2D4D-43A2-AC65-E75276EB0D8A}"/>
    <cellStyle name="Normal 14 2" xfId="2184" xr:uid="{00000000-0005-0000-0000-0000F7120000}"/>
    <cellStyle name="Normal 14 2 10" xfId="7645" xr:uid="{00000000-0005-0000-0000-0000F8120000}"/>
    <cellStyle name="Normal 14 2 10 2" xfId="16455" xr:uid="{E4EF8C49-CDAC-442F-9056-30D1C45888FC}"/>
    <cellStyle name="Normal 14 2 11" xfId="10858" xr:uid="{00000000-0005-0000-0000-0000F9120000}"/>
    <cellStyle name="Normal 14 2 11 2" xfId="19601" xr:uid="{E5190524-7388-4551-A55C-FE25D87AA72A}"/>
    <cellStyle name="Normal 14 2 12" xfId="12465" xr:uid="{00000000-0005-0000-0000-0000FA120000}"/>
    <cellStyle name="Normal 14 2 12 2" xfId="21201" xr:uid="{71CDF84F-E6D3-469E-91E7-66ED4995611C}"/>
    <cellStyle name="Normal 14 2 13" xfId="14776" xr:uid="{51147505-E4FA-4D17-A290-E8DD80420016}"/>
    <cellStyle name="Normal 14 2 2" xfId="2185" xr:uid="{00000000-0005-0000-0000-0000FB120000}"/>
    <cellStyle name="Normal 14 2 2 2" xfId="2186" xr:uid="{00000000-0005-0000-0000-0000FC120000}"/>
    <cellStyle name="Normal 14 2 2 2 2" xfId="2187" xr:uid="{00000000-0005-0000-0000-0000FD120000}"/>
    <cellStyle name="Normal 14 2 2 2 2 2" xfId="2188" xr:uid="{00000000-0005-0000-0000-0000FE120000}"/>
    <cellStyle name="Normal 14 2 2 2 2 2 2" xfId="9250" xr:uid="{00000000-0005-0000-0000-0000FF120000}"/>
    <cellStyle name="Normal 14 2 2 2 2 2 2 2" xfId="18056" xr:uid="{9E4F5106-EDDB-4557-8C0A-BD314CDA976C}"/>
    <cellStyle name="Normal 14 2 2 2 2 2 3" xfId="7647" xr:uid="{00000000-0005-0000-0000-000000130000}"/>
    <cellStyle name="Normal 14 2 2 2 2 2 3 2" xfId="16457" xr:uid="{F0EE6407-1020-48EF-BE2C-C71328F6528D}"/>
    <cellStyle name="Normal 14 2 2 2 2 2 4" xfId="10860" xr:uid="{00000000-0005-0000-0000-000001130000}"/>
    <cellStyle name="Normal 14 2 2 2 2 2 4 2" xfId="19603" xr:uid="{5408EEED-6386-4B22-8C55-14EFDD42868D}"/>
    <cellStyle name="Normal 14 2 2 2 2 2 5" xfId="12467" xr:uid="{00000000-0005-0000-0000-000002130000}"/>
    <cellStyle name="Normal 14 2 2 2 2 2 5 2" xfId="21203" xr:uid="{4B8D8E6B-70F1-4324-A0C6-A6256995A924}"/>
    <cellStyle name="Normal 14 2 2 2 2 2 6" xfId="14684" xr:uid="{8E68F535-2F92-4261-AAC1-F53435613805}"/>
    <cellStyle name="Normal 14 2 2 2 2 3" xfId="2189" xr:uid="{00000000-0005-0000-0000-000003130000}"/>
    <cellStyle name="Normal 14 2 2 2 2 3 2" xfId="9251" xr:uid="{00000000-0005-0000-0000-000004130000}"/>
    <cellStyle name="Normal 14 2 2 2 2 3 2 2" xfId="18057" xr:uid="{FA8F5756-E989-4EAE-A210-4551CCC11F32}"/>
    <cellStyle name="Normal 14 2 2 2 2 3 3" xfId="7648" xr:uid="{00000000-0005-0000-0000-000005130000}"/>
    <cellStyle name="Normal 14 2 2 2 2 3 3 2" xfId="16458" xr:uid="{1F437C8E-12F6-40A2-89D5-4317604796C5}"/>
    <cellStyle name="Normal 14 2 2 2 2 3 4" xfId="10861" xr:uid="{00000000-0005-0000-0000-000006130000}"/>
    <cellStyle name="Normal 14 2 2 2 2 3 4 2" xfId="19604" xr:uid="{60CF916C-0013-43A2-98ED-2E2E3811C800}"/>
    <cellStyle name="Normal 14 2 2 2 2 3 5" xfId="12468" xr:uid="{00000000-0005-0000-0000-000007130000}"/>
    <cellStyle name="Normal 14 2 2 2 2 3 5 2" xfId="21204" xr:uid="{E3262124-39D3-434C-B839-6ADDFCED4616}"/>
    <cellStyle name="Normal 14 2 2 2 2 3 6" xfId="14856" xr:uid="{1612E2C8-1C17-4FE0-B22E-D7C12E330A22}"/>
    <cellStyle name="Normal 14 2 2 2 2 4" xfId="2190" xr:uid="{00000000-0005-0000-0000-000008130000}"/>
    <cellStyle name="Normal 14 2 2 2 2 4 2" xfId="9252" xr:uid="{00000000-0005-0000-0000-000009130000}"/>
    <cellStyle name="Normal 14 2 2 2 2 4 2 2" xfId="18058" xr:uid="{9C12571B-45BC-4CA1-8B9E-7C7EFD634FB1}"/>
    <cellStyle name="Normal 14 2 2 2 2 4 3" xfId="7649" xr:uid="{00000000-0005-0000-0000-00000A130000}"/>
    <cellStyle name="Normal 14 2 2 2 2 4 3 2" xfId="16459" xr:uid="{D5F2E2D5-7344-4F97-A7DB-2CAC18B7A012}"/>
    <cellStyle name="Normal 14 2 2 2 2 4 4" xfId="10862" xr:uid="{00000000-0005-0000-0000-00000B130000}"/>
    <cellStyle name="Normal 14 2 2 2 2 4 4 2" xfId="19605" xr:uid="{FEA7D64C-4428-48AF-A5AB-5BA1D954FE7C}"/>
    <cellStyle name="Normal 14 2 2 2 2 4 5" xfId="12469" xr:uid="{00000000-0005-0000-0000-00000C130000}"/>
    <cellStyle name="Normal 14 2 2 2 2 4 5 2" xfId="21205" xr:uid="{25AEDE58-7342-40A2-B3BD-4980E6D021FC}"/>
    <cellStyle name="Normal 14 2 2 2 2 4 6" xfId="14382" xr:uid="{03AB1FA6-A02B-4C97-AE93-573AB93DA568}"/>
    <cellStyle name="Normal 14 2 2 2 3" xfId="2191" xr:uid="{00000000-0005-0000-0000-00000D130000}"/>
    <cellStyle name="Normal 14 2 2 2 4" xfId="2192" xr:uid="{00000000-0005-0000-0000-00000E130000}"/>
    <cellStyle name="Normal 14 2 2 2 5" xfId="9249" xr:uid="{00000000-0005-0000-0000-00000F130000}"/>
    <cellStyle name="Normal 14 2 2 2 5 2" xfId="18055" xr:uid="{4F2AF4B0-F3B7-45CA-B8D6-583BBA5C3C2D}"/>
    <cellStyle name="Normal 14 2 2 2 6" xfId="7646" xr:uid="{00000000-0005-0000-0000-000010130000}"/>
    <cellStyle name="Normal 14 2 2 2 6 2" xfId="16456" xr:uid="{DBB8D774-9729-49C9-9E0E-658C77362F3F}"/>
    <cellStyle name="Normal 14 2 2 2 7" xfId="10859" xr:uid="{00000000-0005-0000-0000-000011130000}"/>
    <cellStyle name="Normal 14 2 2 2 7 2" xfId="19602" xr:uid="{0604164C-8AAC-4C09-A2BE-E958F60BC696}"/>
    <cellStyle name="Normal 14 2 2 2 8" xfId="12466" xr:uid="{00000000-0005-0000-0000-000012130000}"/>
    <cellStyle name="Normal 14 2 2 2 8 2" xfId="21202" xr:uid="{C780AA6D-29FF-4F3C-846F-455E9F5FDAF0}"/>
    <cellStyle name="Normal 14 2 2 2 9" xfId="14855" xr:uid="{E449E4B0-0A04-460E-98F7-DA3FB40C10F4}"/>
    <cellStyle name="Normal 14 2 2 3" xfId="2193" xr:uid="{00000000-0005-0000-0000-000013130000}"/>
    <cellStyle name="Normal 14 2 2 3 2" xfId="2194" xr:uid="{00000000-0005-0000-0000-000014130000}"/>
    <cellStyle name="Normal 14 2 2 3 2 2" xfId="9254" xr:uid="{00000000-0005-0000-0000-000015130000}"/>
    <cellStyle name="Normal 14 2 2 3 2 2 2" xfId="18060" xr:uid="{DB1AF38D-7DF9-4DBB-9DAA-D51DC98363BB}"/>
    <cellStyle name="Normal 14 2 2 3 2 3" xfId="7651" xr:uid="{00000000-0005-0000-0000-000016130000}"/>
    <cellStyle name="Normal 14 2 2 3 2 3 2" xfId="16461" xr:uid="{403F1C8E-4BE8-4764-9286-DA0D646ACAE6}"/>
    <cellStyle name="Normal 14 2 2 3 2 4" xfId="10864" xr:uid="{00000000-0005-0000-0000-000017130000}"/>
    <cellStyle name="Normal 14 2 2 3 2 4 2" xfId="19607" xr:uid="{3D011F58-AA7E-4E64-A83D-82696915FC64}"/>
    <cellStyle name="Normal 14 2 2 3 2 5" xfId="12471" xr:uid="{00000000-0005-0000-0000-000018130000}"/>
    <cellStyle name="Normal 14 2 2 3 2 5 2" xfId="21207" xr:uid="{5F24BEF8-7723-4782-9D11-705AB0EBF055}"/>
    <cellStyle name="Normal 14 2 2 3 2 6" xfId="13958" xr:uid="{0CAF9CE0-7A3B-42D9-AADF-1356DEFA8791}"/>
    <cellStyle name="Normal 14 2 2 3 3" xfId="2195" xr:uid="{00000000-0005-0000-0000-000019130000}"/>
    <cellStyle name="Normal 14 2 2 3 3 2" xfId="9255" xr:uid="{00000000-0005-0000-0000-00001A130000}"/>
    <cellStyle name="Normal 14 2 2 3 3 2 2" xfId="18061" xr:uid="{BEAF54E2-AA72-48A8-84B7-56B4CF402F52}"/>
    <cellStyle name="Normal 14 2 2 3 3 3" xfId="7652" xr:uid="{00000000-0005-0000-0000-00001B130000}"/>
    <cellStyle name="Normal 14 2 2 3 3 3 2" xfId="16462" xr:uid="{C61B1C73-8F9D-41CB-9F24-E23C2933440F}"/>
    <cellStyle name="Normal 14 2 2 3 3 4" xfId="10865" xr:uid="{00000000-0005-0000-0000-00001C130000}"/>
    <cellStyle name="Normal 14 2 2 3 3 4 2" xfId="19608" xr:uid="{294894DA-8D36-4CFE-A364-92676355387A}"/>
    <cellStyle name="Normal 14 2 2 3 3 5" xfId="12472" xr:uid="{00000000-0005-0000-0000-00001D130000}"/>
    <cellStyle name="Normal 14 2 2 3 3 5 2" xfId="21208" xr:uid="{E7219248-0DA9-490D-83FB-34D6B9617FBA}"/>
    <cellStyle name="Normal 14 2 2 3 3 6" xfId="13954" xr:uid="{1EB5C934-5AAE-4F3E-ACA8-FD357B692F25}"/>
    <cellStyle name="Normal 14 2 2 3 4" xfId="2196" xr:uid="{00000000-0005-0000-0000-00001E130000}"/>
    <cellStyle name="Normal 14 2 2 3 4 2" xfId="9256" xr:uid="{00000000-0005-0000-0000-00001F130000}"/>
    <cellStyle name="Normal 14 2 2 3 4 2 2" xfId="18062" xr:uid="{03259021-FECD-41FA-B513-E0ECE4DEBAFD}"/>
    <cellStyle name="Normal 14 2 2 3 4 3" xfId="7653" xr:uid="{00000000-0005-0000-0000-000020130000}"/>
    <cellStyle name="Normal 14 2 2 3 4 3 2" xfId="16463" xr:uid="{EFEC1BCE-3A8F-4364-99BF-DC3823AEF967}"/>
    <cellStyle name="Normal 14 2 2 3 4 4" xfId="10866" xr:uid="{00000000-0005-0000-0000-000021130000}"/>
    <cellStyle name="Normal 14 2 2 3 4 4 2" xfId="19609" xr:uid="{0C57E59A-C2FA-43E3-92C8-5D25EDFE28FF}"/>
    <cellStyle name="Normal 14 2 2 3 4 5" xfId="12473" xr:uid="{00000000-0005-0000-0000-000022130000}"/>
    <cellStyle name="Normal 14 2 2 3 4 5 2" xfId="21209" xr:uid="{EF8640B0-8C66-43D9-954D-7599CF2F8446}"/>
    <cellStyle name="Normal 14 2 2 3 4 6" xfId="14118" xr:uid="{765143BC-7570-46E7-BDC4-447D9BB4C351}"/>
    <cellStyle name="Normal 14 2 2 3 5" xfId="9253" xr:uid="{00000000-0005-0000-0000-000023130000}"/>
    <cellStyle name="Normal 14 2 2 3 5 2" xfId="18059" xr:uid="{57077ACF-E113-49F0-8230-4F0096B45506}"/>
    <cellStyle name="Normal 14 2 2 3 6" xfId="7650" xr:uid="{00000000-0005-0000-0000-000024130000}"/>
    <cellStyle name="Normal 14 2 2 3 6 2" xfId="16460" xr:uid="{7CD6B543-58A5-4EDC-9DA7-0781F060277B}"/>
    <cellStyle name="Normal 14 2 2 3 7" xfId="10863" xr:uid="{00000000-0005-0000-0000-000025130000}"/>
    <cellStyle name="Normal 14 2 2 3 7 2" xfId="19606" xr:uid="{0FB5EAA1-B24D-4BB7-ABE5-73D4D1F8B2D2}"/>
    <cellStyle name="Normal 14 2 2 3 8" xfId="12470" xr:uid="{00000000-0005-0000-0000-000026130000}"/>
    <cellStyle name="Normal 14 2 2 3 8 2" xfId="21206" xr:uid="{FF69811C-0312-405C-AAB6-A7FDBC24A55C}"/>
    <cellStyle name="Normal 14 2 2 3 9" xfId="14564" xr:uid="{27893EB8-7B2A-4613-A7CC-21EC7E807E4D}"/>
    <cellStyle name="Normal 14 2 2 4" xfId="2197" xr:uid="{00000000-0005-0000-0000-000027130000}"/>
    <cellStyle name="Normal 14 2 2 4 2" xfId="2198" xr:uid="{00000000-0005-0000-0000-000028130000}"/>
    <cellStyle name="Normal 14 2 2 4 2 2" xfId="9258" xr:uid="{00000000-0005-0000-0000-000029130000}"/>
    <cellStyle name="Normal 14 2 2 4 2 2 2" xfId="18064" xr:uid="{10AB29F5-169C-43B2-8484-440EDEFE8229}"/>
    <cellStyle name="Normal 14 2 2 4 2 3" xfId="7655" xr:uid="{00000000-0005-0000-0000-00002A130000}"/>
    <cellStyle name="Normal 14 2 2 4 2 3 2" xfId="16465" xr:uid="{44E826BB-8017-40BE-B6AC-BB54B6142CAE}"/>
    <cellStyle name="Normal 14 2 2 4 2 4" xfId="10868" xr:uid="{00000000-0005-0000-0000-00002B130000}"/>
    <cellStyle name="Normal 14 2 2 4 2 4 2" xfId="19611" xr:uid="{E1DAEE7B-6F30-404F-9719-C3B11B5FAC91}"/>
    <cellStyle name="Normal 14 2 2 4 2 5" xfId="12475" xr:uid="{00000000-0005-0000-0000-00002C130000}"/>
    <cellStyle name="Normal 14 2 2 4 2 5 2" xfId="21211" xr:uid="{F90CCD66-61C1-4D2B-BC41-E108A23B5267}"/>
    <cellStyle name="Normal 14 2 2 4 2 6" xfId="14595" xr:uid="{7714A076-B601-4713-85AE-C0E3B42D9E4D}"/>
    <cellStyle name="Normal 14 2 2 4 3" xfId="2199" xr:uid="{00000000-0005-0000-0000-00002D130000}"/>
    <cellStyle name="Normal 14 2 2 4 3 2" xfId="9259" xr:uid="{00000000-0005-0000-0000-00002E130000}"/>
    <cellStyle name="Normal 14 2 2 4 3 2 2" xfId="18065" xr:uid="{8C91E0FC-268F-4445-83CD-693EAE2B46A2}"/>
    <cellStyle name="Normal 14 2 2 4 3 3" xfId="7656" xr:uid="{00000000-0005-0000-0000-00002F130000}"/>
    <cellStyle name="Normal 14 2 2 4 3 3 2" xfId="16466" xr:uid="{1898B490-90A7-497A-8B1C-F53A222CA5F5}"/>
    <cellStyle name="Normal 14 2 2 4 3 4" xfId="10869" xr:uid="{00000000-0005-0000-0000-000030130000}"/>
    <cellStyle name="Normal 14 2 2 4 3 4 2" xfId="19612" xr:uid="{CE31C1A0-18A9-4C99-B878-2F92B070BDA5}"/>
    <cellStyle name="Normal 14 2 2 4 3 5" xfId="12476" xr:uid="{00000000-0005-0000-0000-000031130000}"/>
    <cellStyle name="Normal 14 2 2 4 3 5 2" xfId="21212" xr:uid="{923204AA-091D-4AD6-8DAE-172EE18F0941}"/>
    <cellStyle name="Normal 14 2 2 4 3 6" xfId="14572" xr:uid="{55FDD38A-61CA-43CB-95D2-D28DB535CCBC}"/>
    <cellStyle name="Normal 14 2 2 4 4" xfId="2200" xr:uid="{00000000-0005-0000-0000-000032130000}"/>
    <cellStyle name="Normal 14 2 2 4 4 2" xfId="9260" xr:uid="{00000000-0005-0000-0000-000033130000}"/>
    <cellStyle name="Normal 14 2 2 4 4 2 2" xfId="18066" xr:uid="{F4289FB0-628B-47AC-91BA-843150D0187A}"/>
    <cellStyle name="Normal 14 2 2 4 4 3" xfId="7657" xr:uid="{00000000-0005-0000-0000-000034130000}"/>
    <cellStyle name="Normal 14 2 2 4 4 3 2" xfId="16467" xr:uid="{7E854FBF-AE5C-4BD3-99B0-9608AA619B2D}"/>
    <cellStyle name="Normal 14 2 2 4 4 4" xfId="10870" xr:uid="{00000000-0005-0000-0000-000035130000}"/>
    <cellStyle name="Normal 14 2 2 4 4 4 2" xfId="19613" xr:uid="{827B94F2-454B-4ABA-A6EA-67015C1F1FB0}"/>
    <cellStyle name="Normal 14 2 2 4 4 5" xfId="12477" xr:uid="{00000000-0005-0000-0000-000036130000}"/>
    <cellStyle name="Normal 14 2 2 4 4 5 2" xfId="21213" xr:uid="{294DA43B-66AF-4A8B-AD88-B54A2A9AFE8A}"/>
    <cellStyle name="Normal 14 2 2 4 4 6" xfId="14571" xr:uid="{DC1313C1-A5F7-413D-85E0-93A0DB160D84}"/>
    <cellStyle name="Normal 14 2 2 4 5" xfId="9257" xr:uid="{00000000-0005-0000-0000-000037130000}"/>
    <cellStyle name="Normal 14 2 2 4 5 2" xfId="18063" xr:uid="{44AF52E5-D54E-4448-8C03-AF3A600E7728}"/>
    <cellStyle name="Normal 14 2 2 4 6" xfId="7654" xr:uid="{00000000-0005-0000-0000-000038130000}"/>
    <cellStyle name="Normal 14 2 2 4 6 2" xfId="16464" xr:uid="{0BD5C720-9C45-41D4-8E6B-5E7A3FC66844}"/>
    <cellStyle name="Normal 14 2 2 4 7" xfId="10867" xr:uid="{00000000-0005-0000-0000-000039130000}"/>
    <cellStyle name="Normal 14 2 2 4 7 2" xfId="19610" xr:uid="{51B24BB6-58CF-43B0-A1AF-DB0D20706EB9}"/>
    <cellStyle name="Normal 14 2 2 4 8" xfId="12474" xr:uid="{00000000-0005-0000-0000-00003A130000}"/>
    <cellStyle name="Normal 14 2 2 4 8 2" xfId="21210" xr:uid="{3C11C8AC-24AB-4472-9ACF-359115512EF7}"/>
    <cellStyle name="Normal 14 2 2 4 9" xfId="13950" xr:uid="{CB7943E0-521F-4090-BA90-B20A3ACFEC25}"/>
    <cellStyle name="Normal 14 2 2 5" xfId="2201" xr:uid="{00000000-0005-0000-0000-00003B130000}"/>
    <cellStyle name="Normal 14 2 2 5 2" xfId="9261" xr:uid="{00000000-0005-0000-0000-00003C130000}"/>
    <cellStyle name="Normal 14 2 2 5 2 2" xfId="18067" xr:uid="{52C1B14C-0BEF-422C-AE2F-99C77080D06F}"/>
    <cellStyle name="Normal 14 2 2 5 3" xfId="7658" xr:uid="{00000000-0005-0000-0000-00003D130000}"/>
    <cellStyle name="Normal 14 2 2 5 3 2" xfId="16468" xr:uid="{43CC5597-DB4E-44D7-8EC9-C2B98E5DB401}"/>
    <cellStyle name="Normal 14 2 2 5 4" xfId="10871" xr:uid="{00000000-0005-0000-0000-00003E130000}"/>
    <cellStyle name="Normal 14 2 2 5 4 2" xfId="19614" xr:uid="{0F2DD42E-557A-4AA4-BD0B-ED941FD2D139}"/>
    <cellStyle name="Normal 14 2 2 5 5" xfId="12478" xr:uid="{00000000-0005-0000-0000-00003F130000}"/>
    <cellStyle name="Normal 14 2 2 5 5 2" xfId="21214" xr:uid="{C31D691B-33E8-4145-8CAE-2B0EB643B4BE}"/>
    <cellStyle name="Normal 14 2 2 5 6" xfId="14713" xr:uid="{1043F663-6E55-444C-A538-6E3FAFEC4DEC}"/>
    <cellStyle name="Normal 14 2 2 6" xfId="2202" xr:uid="{00000000-0005-0000-0000-000040130000}"/>
    <cellStyle name="Normal 14 2 2 6 2" xfId="9262" xr:uid="{00000000-0005-0000-0000-000041130000}"/>
    <cellStyle name="Normal 14 2 2 6 2 2" xfId="18068" xr:uid="{79B15CC5-1C70-4A5D-82C2-A11410B986F9}"/>
    <cellStyle name="Normal 14 2 2 6 3" xfId="7659" xr:uid="{00000000-0005-0000-0000-000042130000}"/>
    <cellStyle name="Normal 14 2 2 6 3 2" xfId="16469" xr:uid="{7ECEF79B-6049-4E2B-A965-399BDF6C14DA}"/>
    <cellStyle name="Normal 14 2 2 6 4" xfId="10872" xr:uid="{00000000-0005-0000-0000-000043130000}"/>
    <cellStyle name="Normal 14 2 2 6 4 2" xfId="19615" xr:uid="{1C11830F-2066-4C0E-8F9D-F79556F73EFA}"/>
    <cellStyle name="Normal 14 2 2 6 5" xfId="12479" xr:uid="{00000000-0005-0000-0000-000044130000}"/>
    <cellStyle name="Normal 14 2 2 6 5 2" xfId="21215" xr:uid="{6CC38B4D-ADA2-48C4-8C6F-72089D4BC207}"/>
    <cellStyle name="Normal 14 2 2 6 6" xfId="14380" xr:uid="{E361841D-9B81-4A35-B7D5-22C7104BF13B}"/>
    <cellStyle name="Normal 14 2 2 7" xfId="2203" xr:uid="{00000000-0005-0000-0000-000045130000}"/>
    <cellStyle name="Normal 14 2 2 7 2" xfId="9263" xr:uid="{00000000-0005-0000-0000-000046130000}"/>
    <cellStyle name="Normal 14 2 2 7 2 2" xfId="18069" xr:uid="{CDF7AA7B-9B28-4E38-BE95-5EA41418C8C7}"/>
    <cellStyle name="Normal 14 2 2 7 3" xfId="7660" xr:uid="{00000000-0005-0000-0000-000047130000}"/>
    <cellStyle name="Normal 14 2 2 7 3 2" xfId="16470" xr:uid="{0429BBFE-895C-4D83-B61B-1737B8C4658B}"/>
    <cellStyle name="Normal 14 2 2 7 4" xfId="10873" xr:uid="{00000000-0005-0000-0000-000048130000}"/>
    <cellStyle name="Normal 14 2 2 7 4 2" xfId="19616" xr:uid="{B1405659-CD01-4F0B-A7C3-177FD93FE465}"/>
    <cellStyle name="Normal 14 2 2 7 5" xfId="12480" xr:uid="{00000000-0005-0000-0000-000049130000}"/>
    <cellStyle name="Normal 14 2 2 7 5 2" xfId="21216" xr:uid="{0D07FD48-AB18-4036-9F02-54AB07D31C07}"/>
    <cellStyle name="Normal 14 2 2 7 6" xfId="14378" xr:uid="{D40DD456-E066-42E9-BC6A-75AC5156DC44}"/>
    <cellStyle name="Normal 14 2 3" xfId="2204" xr:uid="{00000000-0005-0000-0000-00004A130000}"/>
    <cellStyle name="Normal 14 2 3 2" xfId="2205" xr:uid="{00000000-0005-0000-0000-00004B130000}"/>
    <cellStyle name="Normal 14 2 3 2 2" xfId="9265" xr:uid="{00000000-0005-0000-0000-00004C130000}"/>
    <cellStyle name="Normal 14 2 3 2 2 2" xfId="18071" xr:uid="{AE88848E-3865-4DFB-AF2E-B863FE841947}"/>
    <cellStyle name="Normal 14 2 3 2 3" xfId="7662" xr:uid="{00000000-0005-0000-0000-00004D130000}"/>
    <cellStyle name="Normal 14 2 3 2 3 2" xfId="16472" xr:uid="{E3644AC9-956C-40A6-94D3-44A7C5C3CF2C}"/>
    <cellStyle name="Normal 14 2 3 2 4" xfId="10875" xr:uid="{00000000-0005-0000-0000-00004E130000}"/>
    <cellStyle name="Normal 14 2 3 2 4 2" xfId="19618" xr:uid="{3670B7AA-9466-45E5-BBA3-B36BE9246E2A}"/>
    <cellStyle name="Normal 14 2 3 2 5" xfId="12482" xr:uid="{00000000-0005-0000-0000-00004F130000}"/>
    <cellStyle name="Normal 14 2 3 2 5 2" xfId="21218" xr:uid="{C0D46C38-46CD-41B3-ABF9-9E1DD4493ED2}"/>
    <cellStyle name="Normal 14 2 3 2 6" xfId="14374" xr:uid="{2F75EA49-055B-4B3A-B8CB-0684BC14F174}"/>
    <cellStyle name="Normal 14 2 3 3" xfId="2206" xr:uid="{00000000-0005-0000-0000-000050130000}"/>
    <cellStyle name="Normal 14 2 3 3 2" xfId="9266" xr:uid="{00000000-0005-0000-0000-000051130000}"/>
    <cellStyle name="Normal 14 2 3 3 2 2" xfId="18072" xr:uid="{5347620A-F436-4476-807E-F6732A4F2C49}"/>
    <cellStyle name="Normal 14 2 3 3 3" xfId="7663" xr:uid="{00000000-0005-0000-0000-000052130000}"/>
    <cellStyle name="Normal 14 2 3 3 3 2" xfId="16473" xr:uid="{770B9B92-77A6-413E-B56B-30859D9B6A71}"/>
    <cellStyle name="Normal 14 2 3 3 4" xfId="10876" xr:uid="{00000000-0005-0000-0000-000053130000}"/>
    <cellStyle name="Normal 14 2 3 3 4 2" xfId="19619" xr:uid="{2AB18C92-BE92-4E37-9242-CCB506B0B8D0}"/>
    <cellStyle name="Normal 14 2 3 3 5" xfId="12483" xr:uid="{00000000-0005-0000-0000-000054130000}"/>
    <cellStyle name="Normal 14 2 3 3 5 2" xfId="21219" xr:uid="{1CC2839F-4906-4A09-89B4-014F30048149}"/>
    <cellStyle name="Normal 14 2 3 3 6" xfId="13930" xr:uid="{2268C4A5-7454-49AF-8AE3-E492BAC5E406}"/>
    <cellStyle name="Normal 14 2 3 4" xfId="2207" xr:uid="{00000000-0005-0000-0000-000055130000}"/>
    <cellStyle name="Normal 14 2 3 4 2" xfId="9267" xr:uid="{00000000-0005-0000-0000-000056130000}"/>
    <cellStyle name="Normal 14 2 3 4 2 2" xfId="18073" xr:uid="{35A0EE6C-F40B-4EEE-95D4-D5E03306E1EE}"/>
    <cellStyle name="Normal 14 2 3 4 3" xfId="7664" xr:uid="{00000000-0005-0000-0000-000057130000}"/>
    <cellStyle name="Normal 14 2 3 4 3 2" xfId="16474" xr:uid="{E7C65C0E-4BE1-4FB9-9498-489B403355A0}"/>
    <cellStyle name="Normal 14 2 3 4 4" xfId="10877" xr:uid="{00000000-0005-0000-0000-000058130000}"/>
    <cellStyle name="Normal 14 2 3 4 4 2" xfId="19620" xr:uid="{9A9AA239-A9CC-4BAB-8BD8-4E836C3D0FA5}"/>
    <cellStyle name="Normal 14 2 3 4 5" xfId="12484" xr:uid="{00000000-0005-0000-0000-000059130000}"/>
    <cellStyle name="Normal 14 2 3 4 5 2" xfId="21220" xr:uid="{5CC091A7-EA9A-46F5-931D-8DD832C9C881}"/>
    <cellStyle name="Normal 14 2 3 4 6" xfId="14175" xr:uid="{C79B97FE-BE4F-41A8-9E6A-2BB969701B50}"/>
    <cellStyle name="Normal 14 2 3 5" xfId="9264" xr:uid="{00000000-0005-0000-0000-00005A130000}"/>
    <cellStyle name="Normal 14 2 3 5 2" xfId="18070" xr:uid="{D6531E26-4CDF-48E5-994C-54AF862B3742}"/>
    <cellStyle name="Normal 14 2 3 6" xfId="7661" xr:uid="{00000000-0005-0000-0000-00005B130000}"/>
    <cellStyle name="Normal 14 2 3 6 2" xfId="16471" xr:uid="{5CDA04A9-D4D3-421D-B3A4-8148DCC06839}"/>
    <cellStyle name="Normal 14 2 3 7" xfId="10874" xr:uid="{00000000-0005-0000-0000-00005C130000}"/>
    <cellStyle name="Normal 14 2 3 7 2" xfId="19617" xr:uid="{E2E73529-DC0F-42D5-A653-C0AEA289CEC0}"/>
    <cellStyle name="Normal 14 2 3 8" xfId="12481" xr:uid="{00000000-0005-0000-0000-00005D130000}"/>
    <cellStyle name="Normal 14 2 3 8 2" xfId="21217" xr:uid="{22B6545A-AF9A-4DEF-B2E3-0F0F0D89A277}"/>
    <cellStyle name="Normal 14 2 3 9" xfId="14376" xr:uid="{6A31886A-BD3F-4BB9-AFC8-21B2BDEA3EBD}"/>
    <cellStyle name="Normal 14 2 4" xfId="2208" xr:uid="{00000000-0005-0000-0000-00005E130000}"/>
    <cellStyle name="Normal 14 2 5" xfId="2209" xr:uid="{00000000-0005-0000-0000-00005F130000}"/>
    <cellStyle name="Normal 14 2 6" xfId="2210" xr:uid="{00000000-0005-0000-0000-000060130000}"/>
    <cellStyle name="Normal 14 2 6 2" xfId="9268" xr:uid="{00000000-0005-0000-0000-000061130000}"/>
    <cellStyle name="Normal 14 2 6 2 2" xfId="18074" xr:uid="{FBE53801-AB55-4CBF-BA42-7D5011BF3B21}"/>
    <cellStyle name="Normal 14 2 6 3" xfId="7665" xr:uid="{00000000-0005-0000-0000-000062130000}"/>
    <cellStyle name="Normal 14 2 6 3 2" xfId="16475" xr:uid="{8C5152A8-EF06-49A5-9E5A-36CD792FADC0}"/>
    <cellStyle name="Normal 14 2 6 4" xfId="10878" xr:uid="{00000000-0005-0000-0000-000063130000}"/>
    <cellStyle name="Normal 14 2 6 4 2" xfId="19621" xr:uid="{57FD12E2-36AF-4F72-8B62-64976D5F6FD7}"/>
    <cellStyle name="Normal 14 2 6 5" xfId="12485" xr:uid="{00000000-0005-0000-0000-000064130000}"/>
    <cellStyle name="Normal 14 2 6 5 2" xfId="21221" xr:uid="{D95C6EA5-0759-48E7-90DE-511D76DB52CA}"/>
    <cellStyle name="Normal 14 2 6 6" xfId="14148" xr:uid="{800EAAA8-E741-43A7-A7C6-116A647D805D}"/>
    <cellStyle name="Normal 14 2 7" xfId="2211" xr:uid="{00000000-0005-0000-0000-000065130000}"/>
    <cellStyle name="Normal 14 2 7 2" xfId="9269" xr:uid="{00000000-0005-0000-0000-000066130000}"/>
    <cellStyle name="Normal 14 2 7 2 2" xfId="18075" xr:uid="{EEA3FC67-4418-47F8-8BE4-2774C881B7E2}"/>
    <cellStyle name="Normal 14 2 7 3" xfId="7666" xr:uid="{00000000-0005-0000-0000-000067130000}"/>
    <cellStyle name="Normal 14 2 7 3 2" xfId="16476" xr:uid="{DD757E95-4B9D-4F44-8A38-799E142D4C8F}"/>
    <cellStyle name="Normal 14 2 7 4" xfId="10879" xr:uid="{00000000-0005-0000-0000-000068130000}"/>
    <cellStyle name="Normal 14 2 7 4 2" xfId="19622" xr:uid="{AD841387-B2C1-4F0C-BC54-33BEF706D081}"/>
    <cellStyle name="Normal 14 2 7 5" xfId="12486" xr:uid="{00000000-0005-0000-0000-000069130000}"/>
    <cellStyle name="Normal 14 2 7 5 2" xfId="21222" xr:uid="{107D9127-A378-4CDF-A48E-C860ECC3B299}"/>
    <cellStyle name="Normal 14 2 7 6" xfId="14706" xr:uid="{E5005B63-195E-4DD7-97CB-93C616803559}"/>
    <cellStyle name="Normal 14 2 8" xfId="2212" xr:uid="{00000000-0005-0000-0000-00006A130000}"/>
    <cellStyle name="Normal 14 2 8 2" xfId="9270" xr:uid="{00000000-0005-0000-0000-00006B130000}"/>
    <cellStyle name="Normal 14 2 8 2 2" xfId="18076" xr:uid="{366B486B-76C2-4EB2-89D2-951EAB6AD961}"/>
    <cellStyle name="Normal 14 2 8 3" xfId="7667" xr:uid="{00000000-0005-0000-0000-00006C130000}"/>
    <cellStyle name="Normal 14 2 8 3 2" xfId="16477" xr:uid="{E3744D33-7C6D-4EB7-BEB1-CDC7A4CAE9D6}"/>
    <cellStyle name="Normal 14 2 8 4" xfId="10880" xr:uid="{00000000-0005-0000-0000-00006D130000}"/>
    <cellStyle name="Normal 14 2 8 4 2" xfId="19623" xr:uid="{B643153F-D55D-449E-9691-86D9E477201A}"/>
    <cellStyle name="Normal 14 2 8 5" xfId="12487" xr:uid="{00000000-0005-0000-0000-00006E130000}"/>
    <cellStyle name="Normal 14 2 8 5 2" xfId="21223" xr:uid="{531920B0-E571-47A9-91D2-D3E603576308}"/>
    <cellStyle name="Normal 14 2 8 6" xfId="13919" xr:uid="{7CC4035F-54D3-4193-AAB6-14C01DE66A57}"/>
    <cellStyle name="Normal 14 2 9" xfId="7366" xr:uid="{00000000-0005-0000-0000-00006F130000}"/>
    <cellStyle name="Normal 14 2 9 2" xfId="9248" xr:uid="{00000000-0005-0000-0000-000070130000}"/>
    <cellStyle name="Normal 14 2 9 2 2" xfId="18054" xr:uid="{0EFFC6FA-D161-4CA2-B94C-350BAB0FEBA6}"/>
    <cellStyle name="Normal 14 2 9 3" xfId="16217" xr:uid="{30D45082-D352-472B-8D24-44B0729D2479}"/>
    <cellStyle name="Normal 14 3" xfId="2213" xr:uid="{00000000-0005-0000-0000-000071130000}"/>
    <cellStyle name="Normal 14 4" xfId="2214" xr:uid="{00000000-0005-0000-0000-000072130000}"/>
    <cellStyle name="Normal 14 5" xfId="2183" xr:uid="{00000000-0005-0000-0000-000073130000}"/>
    <cellStyle name="Normal 14 5 2" xfId="9247" xr:uid="{00000000-0005-0000-0000-000074130000}"/>
    <cellStyle name="Normal 14 5 2 2" xfId="18053" xr:uid="{FA2F5FFD-11E3-482C-88F3-3CB2E5DDDA7B}"/>
    <cellStyle name="Normal 14 5 3" xfId="10857" xr:uid="{00000000-0005-0000-0000-000075130000}"/>
    <cellStyle name="Normal 14 5 3 2" xfId="19600" xr:uid="{73E1FDFF-9EBE-4B2E-8285-DD47728B0001}"/>
    <cellStyle name="Normal 14 5 4" xfId="13987" xr:uid="{D0E4AE21-3A08-4907-8ED5-407EC99617EB}"/>
    <cellStyle name="Normal 14 6" xfId="6929" xr:uid="{00000000-0005-0000-0000-000076130000}"/>
    <cellStyle name="Normal 14 6 2" xfId="16195" xr:uid="{6EF4E3A6-90B6-4E8D-B87B-540EBCF1B512}"/>
    <cellStyle name="Normal 14 7" xfId="7644" xr:uid="{00000000-0005-0000-0000-000077130000}"/>
    <cellStyle name="Normal 14 7 2" xfId="16454" xr:uid="{DE109E7B-E298-45A2-BBEA-128E62BB0AB7}"/>
    <cellStyle name="Normal 14 8" xfId="10627" xr:uid="{00000000-0005-0000-0000-000078130000}"/>
    <cellStyle name="Normal 14 9" xfId="12464" xr:uid="{00000000-0005-0000-0000-000079130000}"/>
    <cellStyle name="Normal 14 9 2" xfId="21200" xr:uid="{451538CE-6ECC-4399-B6CF-B01A46E10172}"/>
    <cellStyle name="Normal 140" xfId="2215" xr:uid="{00000000-0005-0000-0000-00007A130000}"/>
    <cellStyle name="Normal 141" xfId="2216" xr:uid="{00000000-0005-0000-0000-00007B130000}"/>
    <cellStyle name="Normal 142" xfId="2217" xr:uid="{00000000-0005-0000-0000-00007C130000}"/>
    <cellStyle name="Normal 143" xfId="2218" xr:uid="{00000000-0005-0000-0000-00007D130000}"/>
    <cellStyle name="Normal 144" xfId="2219" xr:uid="{00000000-0005-0000-0000-00007E130000}"/>
    <cellStyle name="Normal 145" xfId="2220" xr:uid="{00000000-0005-0000-0000-00007F130000}"/>
    <cellStyle name="Normal 146" xfId="2221" xr:uid="{00000000-0005-0000-0000-000080130000}"/>
    <cellStyle name="Normal 147" xfId="2222" xr:uid="{00000000-0005-0000-0000-000081130000}"/>
    <cellStyle name="Normal 148" xfId="2223" xr:uid="{00000000-0005-0000-0000-000082130000}"/>
    <cellStyle name="Normal 149" xfId="2224" xr:uid="{00000000-0005-0000-0000-000083130000}"/>
    <cellStyle name="Normal 15" xfId="155" xr:uid="{00000000-0005-0000-0000-000084130000}"/>
    <cellStyle name="Normal 15 10" xfId="14611" xr:uid="{6F850A96-FD52-4835-A5F7-270CDFB205A6}"/>
    <cellStyle name="Normal 15 2" xfId="2226" xr:uid="{00000000-0005-0000-0000-000085130000}"/>
    <cellStyle name="Normal 15 2 10" xfId="7669" xr:uid="{00000000-0005-0000-0000-000086130000}"/>
    <cellStyle name="Normal 15 2 10 2" xfId="16479" xr:uid="{7276BF6C-31C9-4E96-8A47-B722B4D4FF3A}"/>
    <cellStyle name="Normal 15 2 11" xfId="10882" xr:uid="{00000000-0005-0000-0000-000087130000}"/>
    <cellStyle name="Normal 15 2 11 2" xfId="19625" xr:uid="{B873E53B-A406-4F6C-91B3-23C979BCAB3B}"/>
    <cellStyle name="Normal 15 2 12" xfId="12489" xr:uid="{00000000-0005-0000-0000-000088130000}"/>
    <cellStyle name="Normal 15 2 12 2" xfId="21225" xr:uid="{AE456E8A-12B0-4763-BD36-93BE19FFE1AA}"/>
    <cellStyle name="Normal 15 2 13" xfId="14777" xr:uid="{43CF48BE-30AC-4AEA-8D96-FFF7BD538192}"/>
    <cellStyle name="Normal 15 2 2" xfId="2227" xr:uid="{00000000-0005-0000-0000-000089130000}"/>
    <cellStyle name="Normal 15 2 2 2" xfId="2228" xr:uid="{00000000-0005-0000-0000-00008A130000}"/>
    <cellStyle name="Normal 15 2 2 2 2" xfId="2229" xr:uid="{00000000-0005-0000-0000-00008B130000}"/>
    <cellStyle name="Normal 15 2 2 2 2 2" xfId="2230" xr:uid="{00000000-0005-0000-0000-00008C130000}"/>
    <cellStyle name="Normal 15 2 2 2 2 2 2" xfId="9274" xr:uid="{00000000-0005-0000-0000-00008D130000}"/>
    <cellStyle name="Normal 15 2 2 2 2 2 2 2" xfId="18080" xr:uid="{D4D84474-DB5A-4AE7-8662-B384FDE2EFAD}"/>
    <cellStyle name="Normal 15 2 2 2 2 2 3" xfId="7671" xr:uid="{00000000-0005-0000-0000-00008E130000}"/>
    <cellStyle name="Normal 15 2 2 2 2 2 3 2" xfId="16481" xr:uid="{3D25CF99-3EA2-4325-99C8-D309EF327A62}"/>
    <cellStyle name="Normal 15 2 2 2 2 2 4" xfId="10884" xr:uid="{00000000-0005-0000-0000-00008F130000}"/>
    <cellStyle name="Normal 15 2 2 2 2 2 4 2" xfId="19627" xr:uid="{C99072E3-0782-435A-9306-A7AEA71C6A62}"/>
    <cellStyle name="Normal 15 2 2 2 2 2 5" xfId="12491" xr:uid="{00000000-0005-0000-0000-000090130000}"/>
    <cellStyle name="Normal 15 2 2 2 2 2 5 2" xfId="21227" xr:uid="{7B4F1399-283E-45BF-B96F-037DF459C733}"/>
    <cellStyle name="Normal 15 2 2 2 2 2 6" xfId="13962" xr:uid="{86034D30-1310-4E80-8DB3-316FA997325E}"/>
    <cellStyle name="Normal 15 2 2 2 2 3" xfId="2231" xr:uid="{00000000-0005-0000-0000-000091130000}"/>
    <cellStyle name="Normal 15 2 2 2 2 3 2" xfId="9275" xr:uid="{00000000-0005-0000-0000-000092130000}"/>
    <cellStyle name="Normal 15 2 2 2 2 3 2 2" xfId="18081" xr:uid="{3E9B2026-63E4-4A5C-A2A6-32C50FFC9C6E}"/>
    <cellStyle name="Normal 15 2 2 2 2 3 3" xfId="7672" xr:uid="{00000000-0005-0000-0000-000093130000}"/>
    <cellStyle name="Normal 15 2 2 2 2 3 3 2" xfId="16482" xr:uid="{8466BEAE-2F12-44D5-BB91-6A7102603BC7}"/>
    <cellStyle name="Normal 15 2 2 2 2 3 4" xfId="10885" xr:uid="{00000000-0005-0000-0000-000094130000}"/>
    <cellStyle name="Normal 15 2 2 2 2 3 4 2" xfId="19628" xr:uid="{1BBB3D5A-48EB-42B6-A800-112A23287AA6}"/>
    <cellStyle name="Normal 15 2 2 2 2 3 5" xfId="12492" xr:uid="{00000000-0005-0000-0000-000095130000}"/>
    <cellStyle name="Normal 15 2 2 2 2 3 5 2" xfId="21228" xr:uid="{A55B873F-7938-4443-B1A2-41CBB49FE3C8}"/>
    <cellStyle name="Normal 15 2 2 2 2 3 6" xfId="14697" xr:uid="{F176BB4B-365D-4B02-A9FC-015D8B4A2A21}"/>
    <cellStyle name="Normal 15 2 2 2 2 4" xfId="2232" xr:uid="{00000000-0005-0000-0000-000096130000}"/>
    <cellStyle name="Normal 15 2 2 2 2 4 2" xfId="9276" xr:uid="{00000000-0005-0000-0000-000097130000}"/>
    <cellStyle name="Normal 15 2 2 2 2 4 2 2" xfId="18082" xr:uid="{95021791-B1AE-42D0-BFF3-6CB6BD6496FA}"/>
    <cellStyle name="Normal 15 2 2 2 2 4 3" xfId="7673" xr:uid="{00000000-0005-0000-0000-000098130000}"/>
    <cellStyle name="Normal 15 2 2 2 2 4 3 2" xfId="16483" xr:uid="{3940DE07-2D62-4395-9FF6-567A9F7D785F}"/>
    <cellStyle name="Normal 15 2 2 2 2 4 4" xfId="10886" xr:uid="{00000000-0005-0000-0000-000099130000}"/>
    <cellStyle name="Normal 15 2 2 2 2 4 4 2" xfId="19629" xr:uid="{D0DC5509-0C3F-426E-A21B-249E8E19C45C}"/>
    <cellStyle name="Normal 15 2 2 2 2 4 5" xfId="12493" xr:uid="{00000000-0005-0000-0000-00009A130000}"/>
    <cellStyle name="Normal 15 2 2 2 2 4 5 2" xfId="21229" xr:uid="{B3997906-5D2D-4254-AB1F-2C46C0F5BF93}"/>
    <cellStyle name="Normal 15 2 2 2 2 4 6" xfId="14130" xr:uid="{AD4730CA-22D9-4D4F-9753-DCB25549596B}"/>
    <cellStyle name="Normal 15 2 2 2 3" xfId="2233" xr:uid="{00000000-0005-0000-0000-00009B130000}"/>
    <cellStyle name="Normal 15 2 2 2 4" xfId="2234" xr:uid="{00000000-0005-0000-0000-00009C130000}"/>
    <cellStyle name="Normal 15 2 2 2 5" xfId="9273" xr:uid="{00000000-0005-0000-0000-00009D130000}"/>
    <cellStyle name="Normal 15 2 2 2 5 2" xfId="18079" xr:uid="{2B22697F-2F30-4955-8A66-B25B797B95DB}"/>
    <cellStyle name="Normal 15 2 2 2 6" xfId="7670" xr:uid="{00000000-0005-0000-0000-00009E130000}"/>
    <cellStyle name="Normal 15 2 2 2 6 2" xfId="16480" xr:uid="{B1CF2C64-4636-4E4D-95B8-72E945057F3B}"/>
    <cellStyle name="Normal 15 2 2 2 7" xfId="10883" xr:uid="{00000000-0005-0000-0000-00009F130000}"/>
    <cellStyle name="Normal 15 2 2 2 7 2" xfId="19626" xr:uid="{9623D474-9533-414D-9CC5-27776BBFDBB5}"/>
    <cellStyle name="Normal 15 2 2 2 8" xfId="12490" xr:uid="{00000000-0005-0000-0000-0000A0130000}"/>
    <cellStyle name="Normal 15 2 2 2 8 2" xfId="21226" xr:uid="{965DD154-11DC-413E-BD04-3EF949272866}"/>
    <cellStyle name="Normal 15 2 2 2 9" xfId="13947" xr:uid="{0CD357C5-4CAA-4FAC-AF44-32384EE9FEB5}"/>
    <cellStyle name="Normal 15 2 2 3" xfId="2235" xr:uid="{00000000-0005-0000-0000-0000A1130000}"/>
    <cellStyle name="Normal 15 2 2 3 2" xfId="2236" xr:uid="{00000000-0005-0000-0000-0000A2130000}"/>
    <cellStyle name="Normal 15 2 2 3 2 2" xfId="9278" xr:uid="{00000000-0005-0000-0000-0000A3130000}"/>
    <cellStyle name="Normal 15 2 2 3 2 2 2" xfId="18084" xr:uid="{CFFC9BA6-62D4-41A0-98C6-AC26E6B0B202}"/>
    <cellStyle name="Normal 15 2 2 3 2 3" xfId="7675" xr:uid="{00000000-0005-0000-0000-0000A4130000}"/>
    <cellStyle name="Normal 15 2 2 3 2 3 2" xfId="16485" xr:uid="{C2A17FFB-71B9-4C81-83B8-3BF9F7A122E2}"/>
    <cellStyle name="Normal 15 2 2 3 2 4" xfId="10888" xr:uid="{00000000-0005-0000-0000-0000A5130000}"/>
    <cellStyle name="Normal 15 2 2 3 2 4 2" xfId="19631" xr:uid="{39A50203-DB5B-4131-A431-51AF7F83ABA2}"/>
    <cellStyle name="Normal 15 2 2 3 2 5" xfId="12495" xr:uid="{00000000-0005-0000-0000-0000A6130000}"/>
    <cellStyle name="Normal 15 2 2 3 2 5 2" xfId="21231" xr:uid="{D2EF8D4A-6CD4-4032-8F2E-E09469F92CF0}"/>
    <cellStyle name="Normal 15 2 2 3 2 6" xfId="14080" xr:uid="{3B1F674E-4CF4-4691-BC17-4FD73908C738}"/>
    <cellStyle name="Normal 15 2 2 3 3" xfId="2237" xr:uid="{00000000-0005-0000-0000-0000A7130000}"/>
    <cellStyle name="Normal 15 2 2 3 3 2" xfId="9279" xr:uid="{00000000-0005-0000-0000-0000A8130000}"/>
    <cellStyle name="Normal 15 2 2 3 3 2 2" xfId="18085" xr:uid="{23E07800-6496-4284-881B-06A4C4A8AAE1}"/>
    <cellStyle name="Normal 15 2 2 3 3 3" xfId="7676" xr:uid="{00000000-0005-0000-0000-0000A9130000}"/>
    <cellStyle name="Normal 15 2 2 3 3 3 2" xfId="16486" xr:uid="{71D045E6-5F2E-448D-B47D-1458047D1345}"/>
    <cellStyle name="Normal 15 2 2 3 3 4" xfId="10889" xr:uid="{00000000-0005-0000-0000-0000AA130000}"/>
    <cellStyle name="Normal 15 2 2 3 3 4 2" xfId="19632" xr:uid="{44011434-2005-40AC-9364-54445FFA9293}"/>
    <cellStyle name="Normal 15 2 2 3 3 5" xfId="12496" xr:uid="{00000000-0005-0000-0000-0000AB130000}"/>
    <cellStyle name="Normal 15 2 2 3 3 5 2" xfId="21232" xr:uid="{A0EE9325-910D-4A77-86B6-2A4AB6EB991F}"/>
    <cellStyle name="Normal 15 2 2 3 3 6" xfId="14099" xr:uid="{DC039027-5FB7-40F5-A803-5536739F7EFF}"/>
    <cellStyle name="Normal 15 2 2 3 4" xfId="2238" xr:uid="{00000000-0005-0000-0000-0000AC130000}"/>
    <cellStyle name="Normal 15 2 2 3 4 2" xfId="9280" xr:uid="{00000000-0005-0000-0000-0000AD130000}"/>
    <cellStyle name="Normal 15 2 2 3 4 2 2" xfId="18086" xr:uid="{94F12E23-9B53-40F2-B526-E8915005F885}"/>
    <cellStyle name="Normal 15 2 2 3 4 3" xfId="7677" xr:uid="{00000000-0005-0000-0000-0000AE130000}"/>
    <cellStyle name="Normal 15 2 2 3 4 3 2" xfId="16487" xr:uid="{947C2CA3-0A32-46E0-B7C0-368EFDA1AEA9}"/>
    <cellStyle name="Normal 15 2 2 3 4 4" xfId="10890" xr:uid="{00000000-0005-0000-0000-0000AF130000}"/>
    <cellStyle name="Normal 15 2 2 3 4 4 2" xfId="19633" xr:uid="{C639D8AF-0854-4F62-AFD0-980B4E8FE6BF}"/>
    <cellStyle name="Normal 15 2 2 3 4 5" xfId="12497" xr:uid="{00000000-0005-0000-0000-0000B0130000}"/>
    <cellStyle name="Normal 15 2 2 3 4 5 2" xfId="21233" xr:uid="{B49D6800-0157-4788-911F-93749A80A784}"/>
    <cellStyle name="Normal 15 2 2 3 4 6" xfId="14809" xr:uid="{E824B15D-C957-46A5-9D1B-50FF52F71284}"/>
    <cellStyle name="Normal 15 2 2 3 5" xfId="9277" xr:uid="{00000000-0005-0000-0000-0000B1130000}"/>
    <cellStyle name="Normal 15 2 2 3 5 2" xfId="18083" xr:uid="{DFFE3E62-68B9-4E71-92DF-5A5AA7964F95}"/>
    <cellStyle name="Normal 15 2 2 3 6" xfId="7674" xr:uid="{00000000-0005-0000-0000-0000B2130000}"/>
    <cellStyle name="Normal 15 2 2 3 6 2" xfId="16484" xr:uid="{5D2F875A-C608-4F21-A9AB-178D4F4C3C1D}"/>
    <cellStyle name="Normal 15 2 2 3 7" xfId="10887" xr:uid="{00000000-0005-0000-0000-0000B3130000}"/>
    <cellStyle name="Normal 15 2 2 3 7 2" xfId="19630" xr:uid="{F7BB75ED-A6F1-4BBD-B2DE-1BEA592F1802}"/>
    <cellStyle name="Normal 15 2 2 3 8" xfId="12494" xr:uid="{00000000-0005-0000-0000-0000B4130000}"/>
    <cellStyle name="Normal 15 2 2 3 8 2" xfId="21230" xr:uid="{260D9BB0-9907-4AC9-80D7-FC669C4A9998}"/>
    <cellStyle name="Normal 15 2 2 3 9" xfId="14803" xr:uid="{5E316716-8CF6-428C-AD8C-798C86C7243C}"/>
    <cellStyle name="Normal 15 2 2 4" xfId="2239" xr:uid="{00000000-0005-0000-0000-0000B5130000}"/>
    <cellStyle name="Normal 15 2 2 4 2" xfId="2240" xr:uid="{00000000-0005-0000-0000-0000B6130000}"/>
    <cellStyle name="Normal 15 2 2 4 2 2" xfId="9282" xr:uid="{00000000-0005-0000-0000-0000B7130000}"/>
    <cellStyle name="Normal 15 2 2 4 2 2 2" xfId="18088" xr:uid="{F22C3BE1-BFD8-4861-95E9-AEFA97AA0E8B}"/>
    <cellStyle name="Normal 15 2 2 4 2 3" xfId="7679" xr:uid="{00000000-0005-0000-0000-0000B8130000}"/>
    <cellStyle name="Normal 15 2 2 4 2 3 2" xfId="16489" xr:uid="{84CA1994-E64B-4D6B-BD9D-AFBCF793F510}"/>
    <cellStyle name="Normal 15 2 2 4 2 4" xfId="10892" xr:uid="{00000000-0005-0000-0000-0000B9130000}"/>
    <cellStyle name="Normal 15 2 2 4 2 4 2" xfId="19635" xr:uid="{FB7D1129-C8ED-408B-8706-2B8949CDDB74}"/>
    <cellStyle name="Normal 15 2 2 4 2 5" xfId="12499" xr:uid="{00000000-0005-0000-0000-0000BA130000}"/>
    <cellStyle name="Normal 15 2 2 4 2 5 2" xfId="21235" xr:uid="{65678D40-49F8-4F29-89BF-5FD4A84D1128}"/>
    <cellStyle name="Normal 15 2 2 4 2 6" xfId="14073" xr:uid="{61249F6A-5AE6-4511-A8D9-609B504F4122}"/>
    <cellStyle name="Normal 15 2 2 4 3" xfId="2241" xr:uid="{00000000-0005-0000-0000-0000BB130000}"/>
    <cellStyle name="Normal 15 2 2 4 3 2" xfId="9283" xr:uid="{00000000-0005-0000-0000-0000BC130000}"/>
    <cellStyle name="Normal 15 2 2 4 3 2 2" xfId="18089" xr:uid="{002C12D6-6E36-43B6-8F15-DFA82B676657}"/>
    <cellStyle name="Normal 15 2 2 4 3 3" xfId="7680" xr:uid="{00000000-0005-0000-0000-0000BD130000}"/>
    <cellStyle name="Normal 15 2 2 4 3 3 2" xfId="16490" xr:uid="{F11DB38F-118D-4E56-915A-E5102187FAAA}"/>
    <cellStyle name="Normal 15 2 2 4 3 4" xfId="10893" xr:uid="{00000000-0005-0000-0000-0000BE130000}"/>
    <cellStyle name="Normal 15 2 2 4 3 4 2" xfId="19636" xr:uid="{C9E904D7-C26C-4997-BB04-EF173DC4766B}"/>
    <cellStyle name="Normal 15 2 2 4 3 5" xfId="12500" xr:uid="{00000000-0005-0000-0000-0000BF130000}"/>
    <cellStyle name="Normal 15 2 2 4 3 5 2" xfId="21236" xr:uid="{C18A13FA-B4BF-42AD-AF3C-DE86A3B9F854}"/>
    <cellStyle name="Normal 15 2 2 4 3 6" xfId="14065" xr:uid="{1624B803-4036-408A-A5DC-D46295BC2D09}"/>
    <cellStyle name="Normal 15 2 2 4 4" xfId="2242" xr:uid="{00000000-0005-0000-0000-0000C0130000}"/>
    <cellStyle name="Normal 15 2 2 4 4 2" xfId="9284" xr:uid="{00000000-0005-0000-0000-0000C1130000}"/>
    <cellStyle name="Normal 15 2 2 4 4 2 2" xfId="18090" xr:uid="{0EDAC7B8-49B9-43D2-B3CA-98AE73B702E9}"/>
    <cellStyle name="Normal 15 2 2 4 4 3" xfId="7681" xr:uid="{00000000-0005-0000-0000-0000C2130000}"/>
    <cellStyle name="Normal 15 2 2 4 4 3 2" xfId="16491" xr:uid="{771F9258-0CCD-4D76-9551-02174AA4D9B0}"/>
    <cellStyle name="Normal 15 2 2 4 4 4" xfId="10894" xr:uid="{00000000-0005-0000-0000-0000C3130000}"/>
    <cellStyle name="Normal 15 2 2 4 4 4 2" xfId="19637" xr:uid="{7A3CE425-F123-4AA9-BB31-E0C7DB973FE6}"/>
    <cellStyle name="Normal 15 2 2 4 4 5" xfId="12501" xr:uid="{00000000-0005-0000-0000-0000C4130000}"/>
    <cellStyle name="Normal 15 2 2 4 4 5 2" xfId="21237" xr:uid="{1C6F841A-2226-448B-930B-8B2830493789}"/>
    <cellStyle name="Normal 15 2 2 4 4 6" xfId="14811" xr:uid="{4DD1F852-7732-451D-BC74-D357EF5A3B30}"/>
    <cellStyle name="Normal 15 2 2 4 5" xfId="9281" xr:uid="{00000000-0005-0000-0000-0000C5130000}"/>
    <cellStyle name="Normal 15 2 2 4 5 2" xfId="18087" xr:uid="{05371A65-449A-40E2-8D41-89ABF602DEF8}"/>
    <cellStyle name="Normal 15 2 2 4 6" xfId="7678" xr:uid="{00000000-0005-0000-0000-0000C6130000}"/>
    <cellStyle name="Normal 15 2 2 4 6 2" xfId="16488" xr:uid="{2C9677E9-0DDC-44D1-80DB-60E23EC32678}"/>
    <cellStyle name="Normal 15 2 2 4 7" xfId="10891" xr:uid="{00000000-0005-0000-0000-0000C7130000}"/>
    <cellStyle name="Normal 15 2 2 4 7 2" xfId="19634" xr:uid="{DE4052BF-51FA-4421-9DAB-58E8A578DF57}"/>
    <cellStyle name="Normal 15 2 2 4 8" xfId="12498" xr:uid="{00000000-0005-0000-0000-0000C8130000}"/>
    <cellStyle name="Normal 15 2 2 4 8 2" xfId="21234" xr:uid="{2CEC0085-020A-4B86-BC6E-CFF1C18ACE5B}"/>
    <cellStyle name="Normal 15 2 2 4 9" xfId="14371" xr:uid="{FB822477-933B-4813-BA46-BDDF2AE5F7BD}"/>
    <cellStyle name="Normal 15 2 2 5" xfId="2243" xr:uid="{00000000-0005-0000-0000-0000C9130000}"/>
    <cellStyle name="Normal 15 2 2 5 2" xfId="9285" xr:uid="{00000000-0005-0000-0000-0000CA130000}"/>
    <cellStyle name="Normal 15 2 2 5 2 2" xfId="18091" xr:uid="{EB8893E6-E4A2-4291-AC4B-33010D98ABA0}"/>
    <cellStyle name="Normal 15 2 2 5 3" xfId="7682" xr:uid="{00000000-0005-0000-0000-0000CB130000}"/>
    <cellStyle name="Normal 15 2 2 5 3 2" xfId="16492" xr:uid="{B20224A5-88D7-4457-8518-95DB04A29A87}"/>
    <cellStyle name="Normal 15 2 2 5 4" xfId="10895" xr:uid="{00000000-0005-0000-0000-0000CC130000}"/>
    <cellStyle name="Normal 15 2 2 5 4 2" xfId="19638" xr:uid="{C9643545-8C7C-47F2-8DC9-39A8B4AB8018}"/>
    <cellStyle name="Normal 15 2 2 5 5" xfId="12502" xr:uid="{00000000-0005-0000-0000-0000CD130000}"/>
    <cellStyle name="Normal 15 2 2 5 5 2" xfId="21238" xr:uid="{D4469BEC-36E9-4F11-ACFC-E5DFC067731A}"/>
    <cellStyle name="Normal 15 2 2 5 6" xfId="14007" xr:uid="{32714BCE-7C56-4D03-9130-99F065ECC6A8}"/>
    <cellStyle name="Normal 15 2 2 6" xfId="2244" xr:uid="{00000000-0005-0000-0000-0000CE130000}"/>
    <cellStyle name="Normal 15 2 2 6 2" xfId="9286" xr:uid="{00000000-0005-0000-0000-0000CF130000}"/>
    <cellStyle name="Normal 15 2 2 6 2 2" xfId="18092" xr:uid="{935276FD-81A6-4477-9B3F-6476EBEED33E}"/>
    <cellStyle name="Normal 15 2 2 6 3" xfId="7683" xr:uid="{00000000-0005-0000-0000-0000D0130000}"/>
    <cellStyle name="Normal 15 2 2 6 3 2" xfId="16493" xr:uid="{90E98226-9A3C-4980-9299-06636333B6B7}"/>
    <cellStyle name="Normal 15 2 2 6 4" xfId="10896" xr:uid="{00000000-0005-0000-0000-0000D1130000}"/>
    <cellStyle name="Normal 15 2 2 6 4 2" xfId="19639" xr:uid="{53C3972E-E4FF-4829-9FAE-71D76495A4EC}"/>
    <cellStyle name="Normal 15 2 2 6 5" xfId="12503" xr:uid="{00000000-0005-0000-0000-0000D2130000}"/>
    <cellStyle name="Normal 15 2 2 6 5 2" xfId="21239" xr:uid="{6B853462-27FA-4979-80EA-BA9890F11062}"/>
    <cellStyle name="Normal 15 2 2 6 6" xfId="14055" xr:uid="{63D33ED9-435C-4785-8318-E57023C27196}"/>
    <cellStyle name="Normal 15 2 2 7" xfId="2245" xr:uid="{00000000-0005-0000-0000-0000D3130000}"/>
    <cellStyle name="Normal 15 2 2 7 2" xfId="9287" xr:uid="{00000000-0005-0000-0000-0000D4130000}"/>
    <cellStyle name="Normal 15 2 2 7 2 2" xfId="18093" xr:uid="{6129D946-D23C-439F-B6D9-356F5A1E9CF1}"/>
    <cellStyle name="Normal 15 2 2 7 3" xfId="7684" xr:uid="{00000000-0005-0000-0000-0000D5130000}"/>
    <cellStyle name="Normal 15 2 2 7 3 2" xfId="16494" xr:uid="{35914B99-01EC-46F4-A671-8E290D82B49A}"/>
    <cellStyle name="Normal 15 2 2 7 4" xfId="10897" xr:uid="{00000000-0005-0000-0000-0000D6130000}"/>
    <cellStyle name="Normal 15 2 2 7 4 2" xfId="19640" xr:uid="{6478CF3A-4188-4021-96EE-8C5AC69682FB}"/>
    <cellStyle name="Normal 15 2 2 7 5" xfId="12504" xr:uid="{00000000-0005-0000-0000-0000D7130000}"/>
    <cellStyle name="Normal 15 2 2 7 5 2" xfId="21240" xr:uid="{6DB5EC23-1CEE-46C9-A84C-D7ACC280FF9D}"/>
    <cellStyle name="Normal 15 2 2 7 6" xfId="13999" xr:uid="{C01531F2-030B-4376-8488-0CF8F5A25BCE}"/>
    <cellStyle name="Normal 15 2 3" xfId="2246" xr:uid="{00000000-0005-0000-0000-0000D8130000}"/>
    <cellStyle name="Normal 15 2 3 2" xfId="2247" xr:uid="{00000000-0005-0000-0000-0000D9130000}"/>
    <cellStyle name="Normal 15 2 3 2 2" xfId="9289" xr:uid="{00000000-0005-0000-0000-0000DA130000}"/>
    <cellStyle name="Normal 15 2 3 2 2 2" xfId="18095" xr:uid="{E7F2F17B-1D16-4543-B491-A0DED4FE437A}"/>
    <cellStyle name="Normal 15 2 3 2 3" xfId="7686" xr:uid="{00000000-0005-0000-0000-0000DB130000}"/>
    <cellStyle name="Normal 15 2 3 2 3 2" xfId="16496" xr:uid="{4AD6D382-A9B5-4B95-97C4-023C9ED0A567}"/>
    <cellStyle name="Normal 15 2 3 2 4" xfId="10899" xr:uid="{00000000-0005-0000-0000-0000DC130000}"/>
    <cellStyle name="Normal 15 2 3 2 4 2" xfId="19642" xr:uid="{E631267F-2CF0-4C71-8D7B-EB88A77D2E02}"/>
    <cellStyle name="Normal 15 2 3 2 5" xfId="12506" xr:uid="{00000000-0005-0000-0000-0000DD130000}"/>
    <cellStyle name="Normal 15 2 3 2 5 2" xfId="21242" xr:uid="{3BAEF95B-34E0-41F7-B4A7-0D9AC29D98C1}"/>
    <cellStyle name="Normal 15 2 3 2 6" xfId="14816" xr:uid="{1E79DB76-798D-47CB-B1B9-6769DBA4EB29}"/>
    <cellStyle name="Normal 15 2 3 3" xfId="2248" xr:uid="{00000000-0005-0000-0000-0000DE130000}"/>
    <cellStyle name="Normal 15 2 3 3 2" xfId="9290" xr:uid="{00000000-0005-0000-0000-0000DF130000}"/>
    <cellStyle name="Normal 15 2 3 3 2 2" xfId="18096" xr:uid="{3749D37D-588D-4145-8750-FB3C62911E92}"/>
    <cellStyle name="Normal 15 2 3 3 3" xfId="7687" xr:uid="{00000000-0005-0000-0000-0000E0130000}"/>
    <cellStyle name="Normal 15 2 3 3 3 2" xfId="16497" xr:uid="{3866FD80-269A-475F-B85E-621092AF6F74}"/>
    <cellStyle name="Normal 15 2 3 3 4" xfId="10900" xr:uid="{00000000-0005-0000-0000-0000E1130000}"/>
    <cellStyle name="Normal 15 2 3 3 4 2" xfId="19643" xr:uid="{88F94BCD-B50D-4A6F-B4AF-16070821AC48}"/>
    <cellStyle name="Normal 15 2 3 3 5" xfId="12507" xr:uid="{00000000-0005-0000-0000-0000E2130000}"/>
    <cellStyle name="Normal 15 2 3 3 5 2" xfId="21243" xr:uid="{AF13F15F-3423-4701-84F7-7DA9E6682A01}"/>
    <cellStyle name="Normal 15 2 3 3 6" xfId="14699" xr:uid="{CAC4FEA8-2F6E-4263-AE4B-C275BC6ABE22}"/>
    <cellStyle name="Normal 15 2 3 4" xfId="2249" xr:uid="{00000000-0005-0000-0000-0000E3130000}"/>
    <cellStyle name="Normal 15 2 3 4 2" xfId="9291" xr:uid="{00000000-0005-0000-0000-0000E4130000}"/>
    <cellStyle name="Normal 15 2 3 4 2 2" xfId="18097" xr:uid="{CB918F47-4F69-4226-A718-8B1739DEBE05}"/>
    <cellStyle name="Normal 15 2 3 4 3" xfId="7688" xr:uid="{00000000-0005-0000-0000-0000E5130000}"/>
    <cellStyle name="Normal 15 2 3 4 3 2" xfId="16498" xr:uid="{C7F43E47-921F-42C3-8EF6-2A1BF79D16D7}"/>
    <cellStyle name="Normal 15 2 3 4 4" xfId="10901" xr:uid="{00000000-0005-0000-0000-0000E6130000}"/>
    <cellStyle name="Normal 15 2 3 4 4 2" xfId="19644" xr:uid="{86FBC41A-CB4A-4428-BE03-0A0EE0D9C2F9}"/>
    <cellStyle name="Normal 15 2 3 4 5" xfId="12508" xr:uid="{00000000-0005-0000-0000-0000E7130000}"/>
    <cellStyle name="Normal 15 2 3 4 5 2" xfId="21244" xr:uid="{62D230A3-100B-4D03-92EF-7F4D06B47F0F}"/>
    <cellStyle name="Normal 15 2 3 4 6" xfId="14359" xr:uid="{DDBD7D09-2660-4DD3-AF09-BC343A13966C}"/>
    <cellStyle name="Normal 15 2 3 5" xfId="9288" xr:uid="{00000000-0005-0000-0000-0000E8130000}"/>
    <cellStyle name="Normal 15 2 3 5 2" xfId="18094" xr:uid="{46BE45C1-0A81-4914-9059-657314D57CA3}"/>
    <cellStyle name="Normal 15 2 3 6" xfId="7685" xr:uid="{00000000-0005-0000-0000-0000E9130000}"/>
    <cellStyle name="Normal 15 2 3 6 2" xfId="16495" xr:uid="{3CA88FEB-6B6D-4B1F-9A3F-20C270E7A3F7}"/>
    <cellStyle name="Normal 15 2 3 7" xfId="10898" xr:uid="{00000000-0005-0000-0000-0000EA130000}"/>
    <cellStyle name="Normal 15 2 3 7 2" xfId="19641" xr:uid="{8C6751CF-2886-48CB-92BC-301832011C47}"/>
    <cellStyle name="Normal 15 2 3 8" xfId="12505" xr:uid="{00000000-0005-0000-0000-0000EB130000}"/>
    <cellStyle name="Normal 15 2 3 8 2" xfId="21241" xr:uid="{9FDF9945-5F20-412E-BA8E-779DCD94A171}"/>
    <cellStyle name="Normal 15 2 3 9" xfId="14044" xr:uid="{B0E5EEE8-93B2-40E0-BA96-8FE3E299610F}"/>
    <cellStyle name="Normal 15 2 4" xfId="2250" xr:uid="{00000000-0005-0000-0000-0000EC130000}"/>
    <cellStyle name="Normal 15 2 5" xfId="2251" xr:uid="{00000000-0005-0000-0000-0000ED130000}"/>
    <cellStyle name="Normal 15 2 6" xfId="2252" xr:uid="{00000000-0005-0000-0000-0000EE130000}"/>
    <cellStyle name="Normal 15 2 6 2" xfId="9292" xr:uid="{00000000-0005-0000-0000-0000EF130000}"/>
    <cellStyle name="Normal 15 2 6 2 2" xfId="18098" xr:uid="{5845AA04-20AD-4BE5-B8C3-6A1916285838}"/>
    <cellStyle name="Normal 15 2 6 3" xfId="7689" xr:uid="{00000000-0005-0000-0000-0000F0130000}"/>
    <cellStyle name="Normal 15 2 6 3 2" xfId="16499" xr:uid="{4A8653DE-F1FB-4D9F-8D11-B7480678F8CD}"/>
    <cellStyle name="Normal 15 2 6 4" xfId="10902" xr:uid="{00000000-0005-0000-0000-0000F1130000}"/>
    <cellStyle name="Normal 15 2 6 4 2" xfId="19645" xr:uid="{02838195-DC59-4CDC-8DB3-5F2C7E2B9E56}"/>
    <cellStyle name="Normal 15 2 6 5" xfId="12509" xr:uid="{00000000-0005-0000-0000-0000F2130000}"/>
    <cellStyle name="Normal 15 2 6 5 2" xfId="21245" xr:uid="{15BA705C-D1AD-4B97-B516-148C0494A4F8}"/>
    <cellStyle name="Normal 15 2 6 6" xfId="14381" xr:uid="{8452AAC5-960E-495A-B066-6CA72D385BCD}"/>
    <cellStyle name="Normal 15 2 7" xfId="2253" xr:uid="{00000000-0005-0000-0000-0000F3130000}"/>
    <cellStyle name="Normal 15 2 7 2" xfId="9293" xr:uid="{00000000-0005-0000-0000-0000F4130000}"/>
    <cellStyle name="Normal 15 2 7 2 2" xfId="18099" xr:uid="{4360C4F7-545F-4711-A9DC-2C1EF8FCACF8}"/>
    <cellStyle name="Normal 15 2 7 3" xfId="7690" xr:uid="{00000000-0005-0000-0000-0000F5130000}"/>
    <cellStyle name="Normal 15 2 7 3 2" xfId="16500" xr:uid="{EEB5C454-16C8-4CC5-9186-2BFCED705C77}"/>
    <cellStyle name="Normal 15 2 7 4" xfId="10903" xr:uid="{00000000-0005-0000-0000-0000F6130000}"/>
    <cellStyle name="Normal 15 2 7 4 2" xfId="19646" xr:uid="{2223872E-BBFB-4505-BF6B-3DC5545655E9}"/>
    <cellStyle name="Normal 15 2 7 5" xfId="12510" xr:uid="{00000000-0005-0000-0000-0000F7130000}"/>
    <cellStyle name="Normal 15 2 7 5 2" xfId="21246" xr:uid="{81EDF127-06CD-4554-80A2-7663B8DCD25D}"/>
    <cellStyle name="Normal 15 2 7 6" xfId="14678" xr:uid="{EFD4B9F7-43F7-4979-9CFE-DDE961241B2C}"/>
    <cellStyle name="Normal 15 2 8" xfId="2254" xr:uid="{00000000-0005-0000-0000-0000F8130000}"/>
    <cellStyle name="Normal 15 2 8 2" xfId="9294" xr:uid="{00000000-0005-0000-0000-0000F9130000}"/>
    <cellStyle name="Normal 15 2 8 2 2" xfId="18100" xr:uid="{6F517636-EFC7-49EA-89CA-E78E27D4E721}"/>
    <cellStyle name="Normal 15 2 8 3" xfId="7691" xr:uid="{00000000-0005-0000-0000-0000FA130000}"/>
    <cellStyle name="Normal 15 2 8 3 2" xfId="16501" xr:uid="{BF4EBACE-1AD4-42F1-9CA5-C9A833440786}"/>
    <cellStyle name="Normal 15 2 8 4" xfId="10904" xr:uid="{00000000-0005-0000-0000-0000FB130000}"/>
    <cellStyle name="Normal 15 2 8 4 2" xfId="19647" xr:uid="{567D9DF3-AC78-4A5A-A2E6-6F71102FD49D}"/>
    <cellStyle name="Normal 15 2 8 5" xfId="12511" xr:uid="{00000000-0005-0000-0000-0000FC130000}"/>
    <cellStyle name="Normal 15 2 8 5 2" xfId="21247" xr:uid="{4D2306D7-B949-4C76-8F95-77DD408A4662}"/>
    <cellStyle name="Normal 15 2 8 6" xfId="14358" xr:uid="{3804C3C2-8E11-4D35-91CD-261801DB833F}"/>
    <cellStyle name="Normal 15 2 9" xfId="7367" xr:uid="{00000000-0005-0000-0000-0000FD130000}"/>
    <cellStyle name="Normal 15 2 9 2" xfId="9272" xr:uid="{00000000-0005-0000-0000-0000FE130000}"/>
    <cellStyle name="Normal 15 2 9 2 2" xfId="18078" xr:uid="{8AB5E809-E528-40C3-86A5-D6B51B7EB234}"/>
    <cellStyle name="Normal 15 2 9 3" xfId="16218" xr:uid="{61608306-AE6D-4DA6-BD31-A33DB0BC6EE6}"/>
    <cellStyle name="Normal 15 3" xfId="2255" xr:uid="{00000000-0005-0000-0000-0000FF130000}"/>
    <cellStyle name="Normal 15 4" xfId="2256" xr:uid="{00000000-0005-0000-0000-000000140000}"/>
    <cellStyle name="Normal 15 5" xfId="2225" xr:uid="{00000000-0005-0000-0000-000001140000}"/>
    <cellStyle name="Normal 15 5 2" xfId="9271" xr:uid="{00000000-0005-0000-0000-000002140000}"/>
    <cellStyle name="Normal 15 5 2 2" xfId="18077" xr:uid="{94246D23-2DD3-4491-B719-A4E40B99B402}"/>
    <cellStyle name="Normal 15 5 3" xfId="10881" xr:uid="{00000000-0005-0000-0000-000003140000}"/>
    <cellStyle name="Normal 15 5 3 2" xfId="19624" xr:uid="{B727DB3B-4D0E-4476-B783-C9C438D819BE}"/>
    <cellStyle name="Normal 15 5 4" xfId="14832" xr:uid="{DF5E53BF-B577-4300-AEB9-135331D57251}"/>
    <cellStyle name="Normal 15 6" xfId="6930" xr:uid="{00000000-0005-0000-0000-000004140000}"/>
    <cellStyle name="Normal 15 6 2" xfId="16196" xr:uid="{98D4EA46-A9C3-493D-A9ED-F261F7ECFF9A}"/>
    <cellStyle name="Normal 15 7" xfId="7668" xr:uid="{00000000-0005-0000-0000-000005140000}"/>
    <cellStyle name="Normal 15 7 2" xfId="16478" xr:uid="{8DE51B0B-F1C6-41BD-B688-925FFC576544}"/>
    <cellStyle name="Normal 15 8" xfId="10626" xr:uid="{00000000-0005-0000-0000-000006140000}"/>
    <cellStyle name="Normal 15 9" xfId="12488" xr:uid="{00000000-0005-0000-0000-000007140000}"/>
    <cellStyle name="Normal 15 9 2" xfId="21224" xr:uid="{64ED5A4A-2EC4-4D30-BEDB-E494E1F61365}"/>
    <cellStyle name="Normal 150" xfId="2257" xr:uid="{00000000-0005-0000-0000-000008140000}"/>
    <cellStyle name="Normal 151" xfId="4890" xr:uid="{00000000-0005-0000-0000-000009140000}"/>
    <cellStyle name="Normal 152" xfId="124" xr:uid="{00000000-0005-0000-0000-00000A140000}"/>
    <cellStyle name="Normal 152 2" xfId="4896" xr:uid="{00000000-0005-0000-0000-00000B140000}"/>
    <cellStyle name="Normal 153" xfId="4894" xr:uid="{00000000-0005-0000-0000-00000C140000}"/>
    <cellStyle name="Normal 153 2" xfId="4899" xr:uid="{00000000-0005-0000-0000-00000D140000}"/>
    <cellStyle name="Normal 154" xfId="170" xr:uid="{00000000-0005-0000-0000-00000E140000}"/>
    <cellStyle name="Normal 154 2" xfId="7416" xr:uid="{00000000-0005-0000-0000-00000F140000}"/>
    <cellStyle name="Normal 154 2 2" xfId="16232" xr:uid="{BE9AB35C-8782-43BF-865F-15906EEF9752}"/>
    <cellStyle name="Normal 154 3" xfId="10641" xr:uid="{00000000-0005-0000-0000-000010140000}"/>
    <cellStyle name="Normal 154 3 2" xfId="19384" xr:uid="{DC51275E-6077-433E-8B0D-2CBB12E568A0}"/>
    <cellStyle name="Normal 154 4" xfId="13938" xr:uid="{64880935-1426-47C1-948A-B3E9C89322EF}"/>
    <cellStyle name="Normal 155" xfId="4880" xr:uid="{00000000-0005-0000-0000-000011140000}"/>
    <cellStyle name="Normal 155 2" xfId="9025" xr:uid="{00000000-0005-0000-0000-000012140000}"/>
    <cellStyle name="Normal 155 2 2" xfId="17831" xr:uid="{BFF2B204-F7E3-4BF9-ABB8-6C85F470FBD7}"/>
    <cellStyle name="Normal 155 3" xfId="12229" xr:uid="{00000000-0005-0000-0000-000013140000}"/>
    <cellStyle name="Normal 155 3 2" xfId="20970" xr:uid="{198A519F-4A75-465C-99D5-9912D8A4CF40}"/>
    <cellStyle name="Normal 155 4" xfId="16087" xr:uid="{23C0D67B-42E1-4C50-9AFD-C290917A8C8D}"/>
    <cellStyle name="Normal 156" xfId="4916" xr:uid="{00000000-0005-0000-0000-000014140000}"/>
    <cellStyle name="Normal 156 2" xfId="9038" xr:uid="{00000000-0005-0000-0000-000015140000}"/>
    <cellStyle name="Normal 156 2 2" xfId="17844" xr:uid="{009C5DB8-719B-48F4-A5A0-207210AEC625}"/>
    <cellStyle name="Normal 156 3" xfId="12241" xr:uid="{00000000-0005-0000-0000-000016140000}"/>
    <cellStyle name="Normal 156 3 2" xfId="20982" xr:uid="{13682945-448C-4B7B-A8CB-632FB9DF4BA4}"/>
    <cellStyle name="Normal 156 4" xfId="16099" xr:uid="{C456CC5A-A469-4517-8104-5963A4CB25EF}"/>
    <cellStyle name="Normal 157" xfId="4918" xr:uid="{00000000-0005-0000-0000-000017140000}"/>
    <cellStyle name="Normal 157 2" xfId="9036" xr:uid="{00000000-0005-0000-0000-000018140000}"/>
    <cellStyle name="Normal 157 2 2" xfId="17842" xr:uid="{F31DD0B4-CEB1-44EA-BCC1-E52953F0CD2B}"/>
    <cellStyle name="Normal 157 3" xfId="16100" xr:uid="{BCD39AAE-DA78-49DB-9C71-6D2492C9756D}"/>
    <cellStyle name="Normal 158" xfId="5176" xr:uid="{00000000-0005-0000-0000-000019140000}"/>
    <cellStyle name="Normal 158 2" xfId="9037" xr:uid="{00000000-0005-0000-0000-00001A140000}"/>
    <cellStyle name="Normal 158 2 2" xfId="17843" xr:uid="{18DC656F-4DAB-405C-BD26-C4C5E91BFD5A}"/>
    <cellStyle name="Normal 158 3" xfId="16127" xr:uid="{7DDBBFDB-F3B7-444F-8773-F0BECE2778C7}"/>
    <cellStyle name="Normal 159" xfId="7399" xr:uid="{00000000-0005-0000-0000-00001B140000}"/>
    <cellStyle name="Normal 159 2" xfId="9039" xr:uid="{00000000-0005-0000-0000-00001C140000}"/>
    <cellStyle name="Normal 159 2 2" xfId="17845" xr:uid="{16205AAD-ABE9-47D2-93CA-0D331D7FA742}"/>
    <cellStyle name="Normal 159 3" xfId="16223" xr:uid="{0605CA00-AA4C-40D1-9A01-532881D8EBFA}"/>
    <cellStyle name="Normal 16" xfId="158" xr:uid="{00000000-0005-0000-0000-00001D140000}"/>
    <cellStyle name="Normal 16 10" xfId="10629" xr:uid="{00000000-0005-0000-0000-00001E140000}"/>
    <cellStyle name="Normal 16 11" xfId="12512" xr:uid="{00000000-0005-0000-0000-00001F140000}"/>
    <cellStyle name="Normal 16 11 2" xfId="21248" xr:uid="{484D866C-1CB9-42D3-A777-DAB6888E6053}"/>
    <cellStyle name="Normal 16 2" xfId="2259" xr:uid="{00000000-0005-0000-0000-000020140000}"/>
    <cellStyle name="Normal 16 2 2" xfId="2260" xr:uid="{00000000-0005-0000-0000-000021140000}"/>
    <cellStyle name="Normal 16 2 2 2" xfId="9297" xr:uid="{00000000-0005-0000-0000-000022140000}"/>
    <cellStyle name="Normal 16 2 2 2 2" xfId="18103" xr:uid="{4E495BA9-6D66-4847-829B-34B8078720BF}"/>
    <cellStyle name="Normal 16 2 2 3" xfId="7694" xr:uid="{00000000-0005-0000-0000-000023140000}"/>
    <cellStyle name="Normal 16 2 2 3 2" xfId="16504" xr:uid="{F11860D0-6142-40D7-8EB9-0766A9F9C32B}"/>
    <cellStyle name="Normal 16 2 2 4" xfId="10907" xr:uid="{00000000-0005-0000-0000-000024140000}"/>
    <cellStyle name="Normal 16 2 2 4 2" xfId="19650" xr:uid="{D8E51494-6822-42F1-A8D6-FA2E1E4ACD71}"/>
    <cellStyle name="Normal 16 2 2 5" xfId="12514" xr:uid="{00000000-0005-0000-0000-000025140000}"/>
    <cellStyle name="Normal 16 2 2 5 2" xfId="21250" xr:uid="{2240D169-2BF2-42F3-BA1E-BB43EFE863B6}"/>
    <cellStyle name="Normal 16 2 2 6" xfId="14350" xr:uid="{BF109CD7-1A1E-442E-B18B-C69E18195B1B}"/>
    <cellStyle name="Normal 16 2 3" xfId="2261" xr:uid="{00000000-0005-0000-0000-000026140000}"/>
    <cellStyle name="Normal 16 2 3 2" xfId="9298" xr:uid="{00000000-0005-0000-0000-000027140000}"/>
    <cellStyle name="Normal 16 2 3 2 2" xfId="18104" xr:uid="{77F73C1A-DE1B-4959-AA5F-0272902E3AE4}"/>
    <cellStyle name="Normal 16 2 3 3" xfId="7695" xr:uid="{00000000-0005-0000-0000-000028140000}"/>
    <cellStyle name="Normal 16 2 3 3 2" xfId="16505" xr:uid="{3B3D3970-1A84-4A21-9F6C-A222B0402553}"/>
    <cellStyle name="Normal 16 2 3 4" xfId="10908" xr:uid="{00000000-0005-0000-0000-000029140000}"/>
    <cellStyle name="Normal 16 2 3 4 2" xfId="19651" xr:uid="{FECC3771-0B42-42C2-83D7-297AD42EDAC5}"/>
    <cellStyle name="Normal 16 2 3 5" xfId="12515" xr:uid="{00000000-0005-0000-0000-00002A140000}"/>
    <cellStyle name="Normal 16 2 3 5 2" xfId="21251" xr:uid="{CFB9FE47-9EF1-4B7D-B204-6908468D4EF1}"/>
    <cellStyle name="Normal 16 2 3 6" xfId="14354" xr:uid="{432AEC6C-242D-4F05-B7E0-5F69971E2C87}"/>
    <cellStyle name="Normal 16 2 4" xfId="2262" xr:uid="{00000000-0005-0000-0000-00002B140000}"/>
    <cellStyle name="Normal 16 2 4 2" xfId="9299" xr:uid="{00000000-0005-0000-0000-00002C140000}"/>
    <cellStyle name="Normal 16 2 4 2 2" xfId="18105" xr:uid="{13168356-B857-4A54-8CAE-435EE64E8957}"/>
    <cellStyle name="Normal 16 2 4 3" xfId="7696" xr:uid="{00000000-0005-0000-0000-00002D140000}"/>
    <cellStyle name="Normal 16 2 4 3 2" xfId="16506" xr:uid="{C0D26D11-3F77-41D8-8719-ABF241BC4BEC}"/>
    <cellStyle name="Normal 16 2 4 4" xfId="10909" xr:uid="{00000000-0005-0000-0000-00002E140000}"/>
    <cellStyle name="Normal 16 2 4 4 2" xfId="19652" xr:uid="{138A2F02-683D-45C7-BC0B-D1A8F337F5DF}"/>
    <cellStyle name="Normal 16 2 4 5" xfId="12516" xr:uid="{00000000-0005-0000-0000-00002F140000}"/>
    <cellStyle name="Normal 16 2 4 5 2" xfId="21252" xr:uid="{E4FD0124-611C-4C26-8B99-98B22C8ED71B}"/>
    <cellStyle name="Normal 16 2 4 6" xfId="14681" xr:uid="{752C5C5F-18C4-4978-B9E5-68B2B9ED46A5}"/>
    <cellStyle name="Normal 16 2 5" xfId="9296" xr:uid="{00000000-0005-0000-0000-000030140000}"/>
    <cellStyle name="Normal 16 2 5 2" xfId="18102" xr:uid="{18C32F14-5BB6-4E13-A88E-0BF6C8A0D3AB}"/>
    <cellStyle name="Normal 16 2 6" xfId="7693" xr:uid="{00000000-0005-0000-0000-000031140000}"/>
    <cellStyle name="Normal 16 2 6 2" xfId="16503" xr:uid="{7EFAD8A1-40E4-4F2C-8E76-E0D6A53503DC}"/>
    <cellStyle name="Normal 16 2 7" xfId="10906" xr:uid="{00000000-0005-0000-0000-000032140000}"/>
    <cellStyle name="Normal 16 2 7 2" xfId="19649" xr:uid="{7891254F-BB4F-4A46-A85B-BD471144A806}"/>
    <cellStyle name="Normal 16 2 8" xfId="12513" xr:uid="{00000000-0005-0000-0000-000033140000}"/>
    <cellStyle name="Normal 16 2 8 2" xfId="21249" xr:uid="{5DD6CE7F-C877-4AE9-B676-7E249687A329}"/>
    <cellStyle name="Normal 16 2 9" xfId="14351" xr:uid="{5F453365-668D-4F0C-8357-8357754661D7}"/>
    <cellStyle name="Normal 16 3" xfId="2263" xr:uid="{00000000-0005-0000-0000-000034140000}"/>
    <cellStyle name="Normal 16 3 2" xfId="2264" xr:uid="{00000000-0005-0000-0000-000035140000}"/>
    <cellStyle name="Normal 16 3 2 2" xfId="9301" xr:uid="{00000000-0005-0000-0000-000036140000}"/>
    <cellStyle name="Normal 16 3 2 2 2" xfId="18107" xr:uid="{EACD033D-4720-4279-ABC1-377E34CC0A4E}"/>
    <cellStyle name="Normal 16 3 2 3" xfId="7698" xr:uid="{00000000-0005-0000-0000-000037140000}"/>
    <cellStyle name="Normal 16 3 2 3 2" xfId="16508" xr:uid="{F5D2753E-F150-40FD-98A4-12C6D257FC55}"/>
    <cellStyle name="Normal 16 3 2 4" xfId="10911" xr:uid="{00000000-0005-0000-0000-000038140000}"/>
    <cellStyle name="Normal 16 3 2 4 2" xfId="19654" xr:uid="{11A81395-22A0-4A27-AB20-460B5054A933}"/>
    <cellStyle name="Normal 16 3 2 5" xfId="12518" xr:uid="{00000000-0005-0000-0000-000039140000}"/>
    <cellStyle name="Normal 16 3 2 5 2" xfId="21254" xr:uid="{82A25FE8-EBDA-4DAF-8EBE-0B018DD244E7}"/>
    <cellStyle name="Normal 16 3 2 6" xfId="14349" xr:uid="{697BDAB4-A7C4-476B-8539-532E6A46E65D}"/>
    <cellStyle name="Normal 16 3 3" xfId="2265" xr:uid="{00000000-0005-0000-0000-00003A140000}"/>
    <cellStyle name="Normal 16 3 3 2" xfId="9302" xr:uid="{00000000-0005-0000-0000-00003B140000}"/>
    <cellStyle name="Normal 16 3 3 2 2" xfId="18108" xr:uid="{A91E2FAD-981D-4EBE-99D9-6195932E07B7}"/>
    <cellStyle name="Normal 16 3 3 3" xfId="7699" xr:uid="{00000000-0005-0000-0000-00003C140000}"/>
    <cellStyle name="Normal 16 3 3 3 2" xfId="16509" xr:uid="{F568C910-315B-42D2-A08F-8E6D4C5425AD}"/>
    <cellStyle name="Normal 16 3 3 4" xfId="10912" xr:uid="{00000000-0005-0000-0000-00003D140000}"/>
    <cellStyle name="Normal 16 3 3 4 2" xfId="19655" xr:uid="{EF4D9E66-3298-4DDD-845B-950A6E7235F4}"/>
    <cellStyle name="Normal 16 3 3 5" xfId="12519" xr:uid="{00000000-0005-0000-0000-00003E140000}"/>
    <cellStyle name="Normal 16 3 3 5 2" xfId="21255" xr:uid="{F3FEAF5D-BF78-473A-86EE-F24D556F0629}"/>
    <cellStyle name="Normal 16 3 3 6" xfId="13988" xr:uid="{9A7E6892-B620-44FC-9BC3-08934B570738}"/>
    <cellStyle name="Normal 16 3 4" xfId="2266" xr:uid="{00000000-0005-0000-0000-00003F140000}"/>
    <cellStyle name="Normal 16 3 4 2" xfId="9303" xr:uid="{00000000-0005-0000-0000-000040140000}"/>
    <cellStyle name="Normal 16 3 4 2 2" xfId="18109" xr:uid="{E59C04C9-D8CF-492D-8A80-D87C7511A19E}"/>
    <cellStyle name="Normal 16 3 4 3" xfId="7700" xr:uid="{00000000-0005-0000-0000-000041140000}"/>
    <cellStyle name="Normal 16 3 4 3 2" xfId="16510" xr:uid="{8BD29EAB-18A1-4845-96C2-7D68CEF7198B}"/>
    <cellStyle name="Normal 16 3 4 4" xfId="10913" xr:uid="{00000000-0005-0000-0000-000042140000}"/>
    <cellStyle name="Normal 16 3 4 4 2" xfId="19656" xr:uid="{94E19191-39AB-4243-BB75-D823A0A14CD2}"/>
    <cellStyle name="Normal 16 3 4 5" xfId="12520" xr:uid="{00000000-0005-0000-0000-000043140000}"/>
    <cellStyle name="Normal 16 3 4 5 2" xfId="21256" xr:uid="{600F4607-0A6E-4ED3-AE12-EBC9E504F420}"/>
    <cellStyle name="Normal 16 3 4 6" xfId="14343" xr:uid="{302A1E00-C273-42D2-9AFC-64A76B63533C}"/>
    <cellStyle name="Normal 16 3 5" xfId="9300" xr:uid="{00000000-0005-0000-0000-000044140000}"/>
    <cellStyle name="Normal 16 3 5 2" xfId="18106" xr:uid="{17890736-C09A-4B03-BEFF-B578C9085AE0}"/>
    <cellStyle name="Normal 16 3 6" xfId="7697" xr:uid="{00000000-0005-0000-0000-000045140000}"/>
    <cellStyle name="Normal 16 3 6 2" xfId="16507" xr:uid="{5A84D2BD-43AC-402A-9FE7-927780B3BA49}"/>
    <cellStyle name="Normal 16 3 7" xfId="10910" xr:uid="{00000000-0005-0000-0000-000046140000}"/>
    <cellStyle name="Normal 16 3 7 2" xfId="19653" xr:uid="{2E79BCB3-E9B0-46A4-A667-0E9DE7D00F70}"/>
    <cellStyle name="Normal 16 3 8" xfId="12517" xr:uid="{00000000-0005-0000-0000-000047140000}"/>
    <cellStyle name="Normal 16 3 8 2" xfId="21253" xr:uid="{83975F42-0BE3-4E8C-BF03-E8A83CE8A238}"/>
    <cellStyle name="Normal 16 3 9" xfId="14347" xr:uid="{9D40D4D3-B9EE-4B32-A836-028E805EA39B}"/>
    <cellStyle name="Normal 16 4" xfId="2267" xr:uid="{00000000-0005-0000-0000-000048140000}"/>
    <cellStyle name="Normal 16 4 2" xfId="2268" xr:uid="{00000000-0005-0000-0000-000049140000}"/>
    <cellStyle name="Normal 16 4 2 2" xfId="9305" xr:uid="{00000000-0005-0000-0000-00004A140000}"/>
    <cellStyle name="Normal 16 4 2 2 2" xfId="18111" xr:uid="{6E90D097-C6FB-47B8-9716-CCF4C06B415A}"/>
    <cellStyle name="Normal 16 4 2 3" xfId="7702" xr:uid="{00000000-0005-0000-0000-00004B140000}"/>
    <cellStyle name="Normal 16 4 2 3 2" xfId="16512" xr:uid="{3B7F5E12-AE1F-4901-B06A-C65FC178365B}"/>
    <cellStyle name="Normal 16 4 2 4" xfId="10915" xr:uid="{00000000-0005-0000-0000-00004C140000}"/>
    <cellStyle name="Normal 16 4 2 4 2" xfId="19658" xr:uid="{119DCF61-865F-44C2-88CB-40C9AB3B4860}"/>
    <cellStyle name="Normal 16 4 2 5" xfId="12522" xr:uid="{00000000-0005-0000-0000-00004D140000}"/>
    <cellStyle name="Normal 16 4 2 5 2" xfId="21258" xr:uid="{C1A1A200-A74A-4CA4-8C13-F8CE68A62E49}"/>
    <cellStyle name="Normal 16 4 2 6" xfId="14345" xr:uid="{B0401B00-B4F6-4532-9200-5DC7E1E749D2}"/>
    <cellStyle name="Normal 16 4 3" xfId="2269" xr:uid="{00000000-0005-0000-0000-00004E140000}"/>
    <cellStyle name="Normal 16 4 3 2" xfId="9306" xr:uid="{00000000-0005-0000-0000-00004F140000}"/>
    <cellStyle name="Normal 16 4 3 2 2" xfId="18112" xr:uid="{A9E6FAC9-6D6C-40B7-A248-EBBDA3522AC2}"/>
    <cellStyle name="Normal 16 4 3 3" xfId="7703" xr:uid="{00000000-0005-0000-0000-000050140000}"/>
    <cellStyle name="Normal 16 4 3 3 2" xfId="16513" xr:uid="{0FD0D469-B4B3-444D-9C30-39FBE7A6E06C}"/>
    <cellStyle name="Normal 16 4 3 4" xfId="10916" xr:uid="{00000000-0005-0000-0000-000051140000}"/>
    <cellStyle name="Normal 16 4 3 4 2" xfId="19659" xr:uid="{75F9FAEC-0999-48A4-A513-CE4101D337CE}"/>
    <cellStyle name="Normal 16 4 3 5" xfId="12523" xr:uid="{00000000-0005-0000-0000-000052140000}"/>
    <cellStyle name="Normal 16 4 3 5 2" xfId="21259" xr:uid="{F9C76385-2B13-4810-A885-243C91913D94}"/>
    <cellStyle name="Normal 16 4 3 6" xfId="14683" xr:uid="{57DB0537-DBB9-4C0B-BE4A-8060E8E37DD0}"/>
    <cellStyle name="Normal 16 4 4" xfId="2270" xr:uid="{00000000-0005-0000-0000-000053140000}"/>
    <cellStyle name="Normal 16 4 4 2" xfId="9307" xr:uid="{00000000-0005-0000-0000-000054140000}"/>
    <cellStyle name="Normal 16 4 4 2 2" xfId="18113" xr:uid="{F0D45C21-068D-438E-BA54-050C6AB700F5}"/>
    <cellStyle name="Normal 16 4 4 3" xfId="7704" xr:uid="{00000000-0005-0000-0000-000055140000}"/>
    <cellStyle name="Normal 16 4 4 3 2" xfId="16514" xr:uid="{EFB94086-6623-409C-AAE8-E46244D5F5CF}"/>
    <cellStyle name="Normal 16 4 4 4" xfId="10917" xr:uid="{00000000-0005-0000-0000-000056140000}"/>
    <cellStyle name="Normal 16 4 4 4 2" xfId="19660" xr:uid="{D98E2365-1B24-4DF8-95AB-C690403F21A6}"/>
    <cellStyle name="Normal 16 4 4 5" xfId="12524" xr:uid="{00000000-0005-0000-0000-000057140000}"/>
    <cellStyle name="Normal 16 4 4 5 2" xfId="21260" xr:uid="{AFD509EB-8662-4EFB-B097-111589663261}"/>
    <cellStyle name="Normal 16 4 4 6" xfId="14858" xr:uid="{38FBF586-5695-41D9-9883-94F88FA77DEA}"/>
    <cellStyle name="Normal 16 4 5" xfId="9304" xr:uid="{00000000-0005-0000-0000-000058140000}"/>
    <cellStyle name="Normal 16 4 5 2" xfId="18110" xr:uid="{0B5EEEFC-8FF6-4995-BC34-7ED5ECDA4D85}"/>
    <cellStyle name="Normal 16 4 6" xfId="7701" xr:uid="{00000000-0005-0000-0000-000059140000}"/>
    <cellStyle name="Normal 16 4 6 2" xfId="16511" xr:uid="{B580C348-EDDF-4BDD-A2AF-4CEB3F069105}"/>
    <cellStyle name="Normal 16 4 7" xfId="10914" xr:uid="{00000000-0005-0000-0000-00005A140000}"/>
    <cellStyle name="Normal 16 4 7 2" xfId="19657" xr:uid="{10300915-19C5-4D52-8023-E42349FCAED0}"/>
    <cellStyle name="Normal 16 4 8" xfId="12521" xr:uid="{00000000-0005-0000-0000-00005B140000}"/>
    <cellStyle name="Normal 16 4 8 2" xfId="21257" xr:uid="{86DC96D6-6E75-42AE-BA94-1CC4FD6F1CA4}"/>
    <cellStyle name="Normal 16 4 9" xfId="14857" xr:uid="{F5B66E10-A213-4E05-AF76-82441935795D}"/>
    <cellStyle name="Normal 16 5" xfId="2271" xr:uid="{00000000-0005-0000-0000-00005C140000}"/>
    <cellStyle name="Normal 16 5 2" xfId="9308" xr:uid="{00000000-0005-0000-0000-00005D140000}"/>
    <cellStyle name="Normal 16 5 2 2" xfId="18114" xr:uid="{09C0642D-D765-40B8-B063-92C0507B6A43}"/>
    <cellStyle name="Normal 16 5 3" xfId="7705" xr:uid="{00000000-0005-0000-0000-00005E140000}"/>
    <cellStyle name="Normal 16 5 3 2" xfId="16515" xr:uid="{D04E2529-8983-41FC-9FF6-92A5935EF195}"/>
    <cellStyle name="Normal 16 5 4" xfId="10918" xr:uid="{00000000-0005-0000-0000-00005F140000}"/>
    <cellStyle name="Normal 16 5 4 2" xfId="19661" xr:uid="{57992430-B7A6-4B2F-80C7-E4011231E2C8}"/>
    <cellStyle name="Normal 16 5 5" xfId="12525" xr:uid="{00000000-0005-0000-0000-000060140000}"/>
    <cellStyle name="Normal 16 5 5 2" xfId="21261" xr:uid="{59F75C13-B014-4C93-A2CE-72F64FCD4D33}"/>
    <cellStyle name="Normal 16 5 6" xfId="13929" xr:uid="{1B96CD91-6926-43E7-9668-B5DA9EDC6C63}"/>
    <cellStyle name="Normal 16 6" xfId="2272" xr:uid="{00000000-0005-0000-0000-000061140000}"/>
    <cellStyle name="Normal 16 6 2" xfId="9309" xr:uid="{00000000-0005-0000-0000-000062140000}"/>
    <cellStyle name="Normal 16 6 2 2" xfId="18115" xr:uid="{D280C9C8-52B4-4B8A-9CFF-FE43DBDEA126}"/>
    <cellStyle name="Normal 16 6 3" xfId="7706" xr:uid="{00000000-0005-0000-0000-000063140000}"/>
    <cellStyle name="Normal 16 6 3 2" xfId="16516" xr:uid="{88303671-9CEB-4FB4-AD76-0912A64E4050}"/>
    <cellStyle name="Normal 16 6 4" xfId="10919" xr:uid="{00000000-0005-0000-0000-000064140000}"/>
    <cellStyle name="Normal 16 6 4 2" xfId="19662" xr:uid="{B768C050-D36F-418D-9636-F655A745887B}"/>
    <cellStyle name="Normal 16 6 5" xfId="12526" xr:uid="{00000000-0005-0000-0000-000065140000}"/>
    <cellStyle name="Normal 16 6 5 2" xfId="21262" xr:uid="{FC911637-0401-424B-BEC1-B560E54A29AE}"/>
    <cellStyle name="Normal 16 6 6" xfId="14833" xr:uid="{43743755-EE03-4E63-84D7-D3BAA888888E}"/>
    <cellStyle name="Normal 16 7" xfId="2273" xr:uid="{00000000-0005-0000-0000-000066140000}"/>
    <cellStyle name="Normal 16 7 2" xfId="9310" xr:uid="{00000000-0005-0000-0000-000067140000}"/>
    <cellStyle name="Normal 16 7 2 2" xfId="18116" xr:uid="{0AC0A0EB-D61F-4A37-B8D2-98FDA2F6150D}"/>
    <cellStyle name="Normal 16 7 3" xfId="7707" xr:uid="{00000000-0005-0000-0000-000068140000}"/>
    <cellStyle name="Normal 16 7 3 2" xfId="16517" xr:uid="{F0511F0A-1287-423A-9EA5-B15B67941129}"/>
    <cellStyle name="Normal 16 7 4" xfId="10920" xr:uid="{00000000-0005-0000-0000-000069140000}"/>
    <cellStyle name="Normal 16 7 4 2" xfId="19663" xr:uid="{EE22203D-8CDB-45CC-B7A2-F3ED9BC9AFC0}"/>
    <cellStyle name="Normal 16 7 5" xfId="12527" xr:uid="{00000000-0005-0000-0000-00006A140000}"/>
    <cellStyle name="Normal 16 7 5 2" xfId="21263" xr:uid="{EF8E6302-7A1D-4FFA-BDF1-6CA75290C771}"/>
    <cellStyle name="Normal 16 7 6" xfId="14151" xr:uid="{A2F69C21-FB52-4031-81EA-9BA166F1D3D0}"/>
    <cellStyle name="Normal 16 8" xfId="2258" xr:uid="{00000000-0005-0000-0000-00006B140000}"/>
    <cellStyle name="Normal 16 8 2" xfId="9295" xr:uid="{00000000-0005-0000-0000-00006C140000}"/>
    <cellStyle name="Normal 16 8 2 2" xfId="18101" xr:uid="{3C0300CB-D7BC-4B48-85C8-8F20E94FD2E1}"/>
    <cellStyle name="Normal 16 8 3" xfId="10905" xr:uid="{00000000-0005-0000-0000-00006D140000}"/>
    <cellStyle name="Normal 16 8 3 2" xfId="19648" xr:uid="{2A3CF7C3-78E4-48D8-B8B1-B96205D7CD23}"/>
    <cellStyle name="Normal 16 8 4" xfId="13991" xr:uid="{D6315682-B0B3-4578-8889-9030EEBACD60}"/>
    <cellStyle name="Normal 16 9" xfId="7692" xr:uid="{00000000-0005-0000-0000-00006E140000}"/>
    <cellStyle name="Normal 16 9 2" xfId="16502" xr:uid="{0486C7F3-1D1F-48F5-8E49-ADA11C50A095}"/>
    <cellStyle name="Normal 160" xfId="7406" xr:uid="{00000000-0005-0000-0000-00006F140000}"/>
    <cellStyle name="Normal 160 2" xfId="10439" xr:uid="{00000000-0005-0000-0000-000070140000}"/>
    <cellStyle name="Normal 160 2 2" xfId="19245" xr:uid="{F5A16562-FD12-4048-91CB-E900D0F68A5A}"/>
    <cellStyle name="Normal 160 3" xfId="16225" xr:uid="{E435D45A-8008-4128-9B21-BEB69E51EB8A}"/>
    <cellStyle name="Normal 161" xfId="7403" xr:uid="{00000000-0005-0000-0000-000071140000}"/>
    <cellStyle name="Normal 161 2" xfId="10448" xr:uid="{00000000-0005-0000-0000-000072140000}"/>
    <cellStyle name="Normal 161 3" xfId="16224" xr:uid="{A22A2B09-0ECF-4839-AECF-1B34EE9870CB}"/>
    <cellStyle name="Normal 162" xfId="10450" xr:uid="{00000000-0005-0000-0000-000073140000}"/>
    <cellStyle name="Normal 163" xfId="10468" xr:uid="{00000000-0005-0000-0000-000074140000}"/>
    <cellStyle name="Normal 164" xfId="10469" xr:uid="{00000000-0005-0000-0000-000075140000}"/>
    <cellStyle name="Normal 165" xfId="10453" xr:uid="{00000000-0005-0000-0000-000076140000}"/>
    <cellStyle name="Normal 166" xfId="10449" xr:uid="{00000000-0005-0000-0000-000077140000}"/>
    <cellStyle name="Normal 167" xfId="10470" xr:uid="{00000000-0005-0000-0000-000078140000}"/>
    <cellStyle name="Normal 168" xfId="10471" xr:uid="{00000000-0005-0000-0000-000079140000}"/>
    <cellStyle name="Normal 169" xfId="10472" xr:uid="{00000000-0005-0000-0000-00007A140000}"/>
    <cellStyle name="Normal 17" xfId="159" xr:uid="{00000000-0005-0000-0000-00007B140000}"/>
    <cellStyle name="Normal 17 2" xfId="2275" xr:uid="{00000000-0005-0000-0000-00007C140000}"/>
    <cellStyle name="Normal 17 2 10" xfId="7708" xr:uid="{00000000-0005-0000-0000-00007D140000}"/>
    <cellStyle name="Normal 17 2 10 2" xfId="16518" xr:uid="{DF25B281-F4C1-46DE-B971-60E7D422C33F}"/>
    <cellStyle name="Normal 17 2 11" xfId="10921" xr:uid="{00000000-0005-0000-0000-00007E140000}"/>
    <cellStyle name="Normal 17 2 11 2" xfId="19664" xr:uid="{1834DAE5-7D80-4D7A-B97D-3B8105321F30}"/>
    <cellStyle name="Normal 17 2 12" xfId="12528" xr:uid="{00000000-0005-0000-0000-00007F140000}"/>
    <cellStyle name="Normal 17 2 12 2" xfId="21264" xr:uid="{A0DCD3B8-EED2-43D2-A7EF-776565F6DDEA}"/>
    <cellStyle name="Normal 17 2 13" xfId="14177" xr:uid="{EA59BA83-B0F7-4045-8BDF-962B55496B3F}"/>
    <cellStyle name="Normal 17 2 2" xfId="2276" xr:uid="{00000000-0005-0000-0000-000080140000}"/>
    <cellStyle name="Normal 17 2 2 2" xfId="2277" xr:uid="{00000000-0005-0000-0000-000081140000}"/>
    <cellStyle name="Normal 17 2 2 2 2" xfId="2278" xr:uid="{00000000-0005-0000-0000-000082140000}"/>
    <cellStyle name="Normal 17 2 2 2 2 2" xfId="2279" xr:uid="{00000000-0005-0000-0000-000083140000}"/>
    <cellStyle name="Normal 17 2 2 2 2 2 2" xfId="9313" xr:uid="{00000000-0005-0000-0000-000084140000}"/>
    <cellStyle name="Normal 17 2 2 2 2 2 2 2" xfId="18119" xr:uid="{DD473177-FAA3-4E06-80E2-B7034D1934A4}"/>
    <cellStyle name="Normal 17 2 2 2 2 2 3" xfId="7710" xr:uid="{00000000-0005-0000-0000-000085140000}"/>
    <cellStyle name="Normal 17 2 2 2 2 2 3 2" xfId="16520" xr:uid="{33AB1F79-FD02-422F-8BEB-FDC0928AFD67}"/>
    <cellStyle name="Normal 17 2 2 2 2 2 4" xfId="10923" xr:uid="{00000000-0005-0000-0000-000086140000}"/>
    <cellStyle name="Normal 17 2 2 2 2 2 4 2" xfId="19666" xr:uid="{B04F210D-BD75-4B9E-ABE8-B1DA181B4537}"/>
    <cellStyle name="Normal 17 2 2 2 2 2 5" xfId="12530" xr:uid="{00000000-0005-0000-0000-000087140000}"/>
    <cellStyle name="Normal 17 2 2 2 2 2 5 2" xfId="21266" xr:uid="{892D5323-E7A7-4144-AC5E-88586F11E0CC}"/>
    <cellStyle name="Normal 17 2 2 2 2 2 6" xfId="14794" xr:uid="{02218D41-D2FC-4663-872D-09986D0CDC53}"/>
    <cellStyle name="Normal 17 2 2 2 2 3" xfId="2280" xr:uid="{00000000-0005-0000-0000-000088140000}"/>
    <cellStyle name="Normal 17 2 2 2 2 3 2" xfId="9314" xr:uid="{00000000-0005-0000-0000-000089140000}"/>
    <cellStyle name="Normal 17 2 2 2 2 3 2 2" xfId="18120" xr:uid="{7942592D-D510-426C-9405-543D30C307D5}"/>
    <cellStyle name="Normal 17 2 2 2 2 3 3" xfId="7711" xr:uid="{00000000-0005-0000-0000-00008A140000}"/>
    <cellStyle name="Normal 17 2 2 2 2 3 3 2" xfId="16521" xr:uid="{828A06DC-1D30-4223-BE99-DC63DBD838ED}"/>
    <cellStyle name="Normal 17 2 2 2 2 3 4" xfId="10924" xr:uid="{00000000-0005-0000-0000-00008B140000}"/>
    <cellStyle name="Normal 17 2 2 2 2 3 4 2" xfId="19667" xr:uid="{8A6BCC8E-8189-4F8D-BFFA-3BEC074D2F8D}"/>
    <cellStyle name="Normal 17 2 2 2 2 3 5" xfId="12531" xr:uid="{00000000-0005-0000-0000-00008C140000}"/>
    <cellStyle name="Normal 17 2 2 2 2 3 5 2" xfId="21267" xr:uid="{339FEAAB-2931-4908-9118-3B51B9672611}"/>
    <cellStyle name="Normal 17 2 2 2 2 3 6" xfId="14250" xr:uid="{20DE3DC8-E2B3-48D0-BADD-C66A5C957C26}"/>
    <cellStyle name="Normal 17 2 2 2 2 4" xfId="2281" xr:uid="{00000000-0005-0000-0000-00008D140000}"/>
    <cellStyle name="Normal 17 2 2 2 2 4 2" xfId="9315" xr:uid="{00000000-0005-0000-0000-00008E140000}"/>
    <cellStyle name="Normal 17 2 2 2 2 4 2 2" xfId="18121" xr:uid="{69E2476C-656F-48D4-87C2-C6F57A69D950}"/>
    <cellStyle name="Normal 17 2 2 2 2 4 3" xfId="7712" xr:uid="{00000000-0005-0000-0000-00008F140000}"/>
    <cellStyle name="Normal 17 2 2 2 2 4 3 2" xfId="16522" xr:uid="{3DA8D995-6AC9-43AE-B2FD-64F43164A217}"/>
    <cellStyle name="Normal 17 2 2 2 2 4 4" xfId="10925" xr:uid="{00000000-0005-0000-0000-000090140000}"/>
    <cellStyle name="Normal 17 2 2 2 2 4 4 2" xfId="19668" xr:uid="{2838F479-0149-4714-B110-CC84E933EAD6}"/>
    <cellStyle name="Normal 17 2 2 2 2 4 5" xfId="12532" xr:uid="{00000000-0005-0000-0000-000091140000}"/>
    <cellStyle name="Normal 17 2 2 2 2 4 5 2" xfId="21268" xr:uid="{E233DA72-10BA-4992-A2AA-8C13592A5837}"/>
    <cellStyle name="Normal 17 2 2 2 2 4 6" xfId="14700" xr:uid="{CCCE7D7D-01D8-4BC9-AD8B-82A715399108}"/>
    <cellStyle name="Normal 17 2 2 2 3" xfId="2282" xr:uid="{00000000-0005-0000-0000-000092140000}"/>
    <cellStyle name="Normal 17 2 2 2 4" xfId="2283" xr:uid="{00000000-0005-0000-0000-000093140000}"/>
    <cellStyle name="Normal 17 2 2 2 5" xfId="9312" xr:uid="{00000000-0005-0000-0000-000094140000}"/>
    <cellStyle name="Normal 17 2 2 2 5 2" xfId="18118" xr:uid="{A6F53862-DD95-42E4-BB33-993453CA5A71}"/>
    <cellStyle name="Normal 17 2 2 2 6" xfId="7709" xr:uid="{00000000-0005-0000-0000-000095140000}"/>
    <cellStyle name="Normal 17 2 2 2 6 2" xfId="16519" xr:uid="{ADE6E4C3-7A2F-4AA2-8239-059621266C8D}"/>
    <cellStyle name="Normal 17 2 2 2 7" xfId="10922" xr:uid="{00000000-0005-0000-0000-000096140000}"/>
    <cellStyle name="Normal 17 2 2 2 7 2" xfId="19665" xr:uid="{B28A4E74-9437-420A-B1DB-8B0DD1ED2029}"/>
    <cellStyle name="Normal 17 2 2 2 8" xfId="12529" xr:uid="{00000000-0005-0000-0000-000097140000}"/>
    <cellStyle name="Normal 17 2 2 2 8 2" xfId="21265" xr:uid="{6891FB14-20DE-4535-88E4-6EE2CC5370CB}"/>
    <cellStyle name="Normal 17 2 2 2 9" xfId="14701" xr:uid="{E01A1721-5E04-4124-B308-D9C6FEECBFAC}"/>
    <cellStyle name="Normal 17 2 2 3" xfId="2284" xr:uid="{00000000-0005-0000-0000-000098140000}"/>
    <cellStyle name="Normal 17 2 2 3 2" xfId="2285" xr:uid="{00000000-0005-0000-0000-000099140000}"/>
    <cellStyle name="Normal 17 2 2 3 2 2" xfId="9317" xr:uid="{00000000-0005-0000-0000-00009A140000}"/>
    <cellStyle name="Normal 17 2 2 3 2 2 2" xfId="18123" xr:uid="{F8E1065E-90BA-46D7-8010-576DDD748CFA}"/>
    <cellStyle name="Normal 17 2 2 3 2 3" xfId="7714" xr:uid="{00000000-0005-0000-0000-00009B140000}"/>
    <cellStyle name="Normal 17 2 2 3 2 3 2" xfId="16524" xr:uid="{EE7CEB04-44A4-475A-9D0A-84BE56932DA4}"/>
    <cellStyle name="Normal 17 2 2 3 2 4" xfId="10927" xr:uid="{00000000-0005-0000-0000-00009C140000}"/>
    <cellStyle name="Normal 17 2 2 3 2 4 2" xfId="19670" xr:uid="{E551FFD9-6A67-4CB6-8060-9A426C42CBF7}"/>
    <cellStyle name="Normal 17 2 2 3 2 5" xfId="12534" xr:uid="{00000000-0005-0000-0000-00009D140000}"/>
    <cellStyle name="Normal 17 2 2 3 2 5 2" xfId="21270" xr:uid="{AB6D37D9-B067-4A52-B56B-75405FE0E0F3}"/>
    <cellStyle name="Normal 17 2 2 3 2 6" xfId="14698" xr:uid="{4A2E5371-E761-479F-B861-764B3158AFC8}"/>
    <cellStyle name="Normal 17 2 2 3 3" xfId="2286" xr:uid="{00000000-0005-0000-0000-00009E140000}"/>
    <cellStyle name="Normal 17 2 2 3 3 2" xfId="9318" xr:uid="{00000000-0005-0000-0000-00009F140000}"/>
    <cellStyle name="Normal 17 2 2 3 3 2 2" xfId="18124" xr:uid="{A2ECAC3F-189D-46D2-A6A4-328297E4E018}"/>
    <cellStyle name="Normal 17 2 2 3 3 3" xfId="7715" xr:uid="{00000000-0005-0000-0000-0000A0140000}"/>
    <cellStyle name="Normal 17 2 2 3 3 3 2" xfId="16525" xr:uid="{CC8465B0-1BFD-411B-BFBF-D362C1D959DA}"/>
    <cellStyle name="Normal 17 2 2 3 3 4" xfId="10928" xr:uid="{00000000-0005-0000-0000-0000A1140000}"/>
    <cellStyle name="Normal 17 2 2 3 3 4 2" xfId="19671" xr:uid="{4FBF0C01-37F9-4F3F-8DEF-DCA0C57A79F3}"/>
    <cellStyle name="Normal 17 2 2 3 3 5" xfId="12535" xr:uid="{00000000-0005-0000-0000-0000A2140000}"/>
    <cellStyle name="Normal 17 2 2 3 3 5 2" xfId="21271" xr:uid="{76006331-299F-4F97-BEAD-EC480207B56A}"/>
    <cellStyle name="Normal 17 2 2 3 3 6" xfId="13957" xr:uid="{C8439837-FB53-4BAD-8296-CAE9B47B2619}"/>
    <cellStyle name="Normal 17 2 2 3 4" xfId="2287" xr:uid="{00000000-0005-0000-0000-0000A3140000}"/>
    <cellStyle name="Normal 17 2 2 3 4 2" xfId="9319" xr:uid="{00000000-0005-0000-0000-0000A4140000}"/>
    <cellStyle name="Normal 17 2 2 3 4 2 2" xfId="18125" xr:uid="{00BF3009-6517-4DDB-ACBB-CB7846B4E356}"/>
    <cellStyle name="Normal 17 2 2 3 4 3" xfId="7716" xr:uid="{00000000-0005-0000-0000-0000A5140000}"/>
    <cellStyle name="Normal 17 2 2 3 4 3 2" xfId="16526" xr:uid="{98366A51-388E-459C-A359-1F87480777A2}"/>
    <cellStyle name="Normal 17 2 2 3 4 4" xfId="10929" xr:uid="{00000000-0005-0000-0000-0000A6140000}"/>
    <cellStyle name="Normal 17 2 2 3 4 4 2" xfId="19672" xr:uid="{599D2817-5E53-4F5B-81E6-FCF67795294B}"/>
    <cellStyle name="Normal 17 2 2 3 4 5" xfId="12536" xr:uid="{00000000-0005-0000-0000-0000A7140000}"/>
    <cellStyle name="Normal 17 2 2 3 4 5 2" xfId="21272" xr:uid="{350C3872-845C-4FE7-93B7-43E61CB0F0F1}"/>
    <cellStyle name="Normal 17 2 2 3 4 6" xfId="13943" xr:uid="{E30D77EE-EEC8-446A-9771-6B1C0CA7722A}"/>
    <cellStyle name="Normal 17 2 2 3 5" xfId="9316" xr:uid="{00000000-0005-0000-0000-0000A8140000}"/>
    <cellStyle name="Normal 17 2 2 3 5 2" xfId="18122" xr:uid="{5D456BFD-7B68-4E0E-88AF-9242677B1B4B}"/>
    <cellStyle name="Normal 17 2 2 3 6" xfId="7713" xr:uid="{00000000-0005-0000-0000-0000A9140000}"/>
    <cellStyle name="Normal 17 2 2 3 6 2" xfId="16523" xr:uid="{7613DBB7-A458-4996-9D20-DCBA13202BDB}"/>
    <cellStyle name="Normal 17 2 2 3 7" xfId="10926" xr:uid="{00000000-0005-0000-0000-0000AA140000}"/>
    <cellStyle name="Normal 17 2 2 3 7 2" xfId="19669" xr:uid="{9A7C29EB-9D98-4068-BFF9-307DF977D6F1}"/>
    <cellStyle name="Normal 17 2 2 3 8" xfId="12533" xr:uid="{00000000-0005-0000-0000-0000AB140000}"/>
    <cellStyle name="Normal 17 2 2 3 8 2" xfId="21269" xr:uid="{68AFDEE8-1FC4-497F-8666-3A260021B947}"/>
    <cellStyle name="Normal 17 2 2 3 9" xfId="14028" xr:uid="{7048FC81-7EB0-4A82-A312-382B6449513D}"/>
    <cellStyle name="Normal 17 2 2 4" xfId="2288" xr:uid="{00000000-0005-0000-0000-0000AC140000}"/>
    <cellStyle name="Normal 17 2 2 4 2" xfId="2289" xr:uid="{00000000-0005-0000-0000-0000AD140000}"/>
    <cellStyle name="Normal 17 2 2 4 2 2" xfId="9321" xr:uid="{00000000-0005-0000-0000-0000AE140000}"/>
    <cellStyle name="Normal 17 2 2 4 2 2 2" xfId="18127" xr:uid="{022E49AD-C0D1-4267-904B-094D19D6B350}"/>
    <cellStyle name="Normal 17 2 2 4 2 3" xfId="7718" xr:uid="{00000000-0005-0000-0000-0000AF140000}"/>
    <cellStyle name="Normal 17 2 2 4 2 3 2" xfId="16528" xr:uid="{D9892A96-3AA2-4904-8559-8938FAE7C72B}"/>
    <cellStyle name="Normal 17 2 2 4 2 4" xfId="10931" xr:uid="{00000000-0005-0000-0000-0000B0140000}"/>
    <cellStyle name="Normal 17 2 2 4 2 4 2" xfId="19674" xr:uid="{B6495E69-B519-416C-BE25-EB19AEB69459}"/>
    <cellStyle name="Normal 17 2 2 4 2 5" xfId="12538" xr:uid="{00000000-0005-0000-0000-0000B1140000}"/>
    <cellStyle name="Normal 17 2 2 4 2 5 2" xfId="21274" xr:uid="{465D4B59-B1DF-48AA-8761-DC171F160AE9}"/>
    <cellStyle name="Normal 17 2 2 4 2 6" xfId="14802" xr:uid="{CFBBB54E-21A1-48FA-84C5-6DF6A92500EC}"/>
    <cellStyle name="Normal 17 2 2 4 3" xfId="2290" xr:uid="{00000000-0005-0000-0000-0000B2140000}"/>
    <cellStyle name="Normal 17 2 2 4 3 2" xfId="9322" xr:uid="{00000000-0005-0000-0000-0000B3140000}"/>
    <cellStyle name="Normal 17 2 2 4 3 2 2" xfId="18128" xr:uid="{E9DAD5F1-6D93-45D9-865B-2B1665E26B99}"/>
    <cellStyle name="Normal 17 2 2 4 3 3" xfId="7719" xr:uid="{00000000-0005-0000-0000-0000B4140000}"/>
    <cellStyle name="Normal 17 2 2 4 3 3 2" xfId="16529" xr:uid="{5C391DC7-8768-437F-87B1-6688BF216C12}"/>
    <cellStyle name="Normal 17 2 2 4 3 4" xfId="10932" xr:uid="{00000000-0005-0000-0000-0000B5140000}"/>
    <cellStyle name="Normal 17 2 2 4 3 4 2" xfId="19675" xr:uid="{BF8D14F9-84CB-4735-8CAC-DBD2D7D23E49}"/>
    <cellStyle name="Normal 17 2 2 4 3 5" xfId="12539" xr:uid="{00000000-0005-0000-0000-0000B6140000}"/>
    <cellStyle name="Normal 17 2 2 4 3 5 2" xfId="21275" xr:uid="{9656E034-8E47-4F08-8E21-E24BB031EE70}"/>
    <cellStyle name="Normal 17 2 2 4 3 6" xfId="14109" xr:uid="{78677919-A10F-44FF-86CA-04000CBAF3C9}"/>
    <cellStyle name="Normal 17 2 2 4 4" xfId="2291" xr:uid="{00000000-0005-0000-0000-0000B7140000}"/>
    <cellStyle name="Normal 17 2 2 4 4 2" xfId="9323" xr:uid="{00000000-0005-0000-0000-0000B8140000}"/>
    <cellStyle name="Normal 17 2 2 4 4 2 2" xfId="18129" xr:uid="{D88B3573-F6BF-45F1-9BBF-CDA585CF84FC}"/>
    <cellStyle name="Normal 17 2 2 4 4 3" xfId="7720" xr:uid="{00000000-0005-0000-0000-0000B9140000}"/>
    <cellStyle name="Normal 17 2 2 4 4 3 2" xfId="16530" xr:uid="{3EED68F0-DC6B-4C75-8F7E-8AA643BB0C61}"/>
    <cellStyle name="Normal 17 2 2 4 4 4" xfId="10933" xr:uid="{00000000-0005-0000-0000-0000BA140000}"/>
    <cellStyle name="Normal 17 2 2 4 4 4 2" xfId="19676" xr:uid="{18F625AC-21C2-4147-9083-2BF8F7F6B667}"/>
    <cellStyle name="Normal 17 2 2 4 4 5" xfId="12540" xr:uid="{00000000-0005-0000-0000-0000BB140000}"/>
    <cellStyle name="Normal 17 2 2 4 4 5 2" xfId="21276" xr:uid="{F4CE6473-C09F-443D-99FB-56F4E48DEEAD}"/>
    <cellStyle name="Normal 17 2 2 4 4 6" xfId="13955" xr:uid="{34F97B72-ADB3-43F0-BF6A-A6CF92F4B015}"/>
    <cellStyle name="Normal 17 2 2 4 5" xfId="9320" xr:uid="{00000000-0005-0000-0000-0000BC140000}"/>
    <cellStyle name="Normal 17 2 2 4 5 2" xfId="18126" xr:uid="{58E29DE8-9467-42F0-AE59-9ED35F2FEAE9}"/>
    <cellStyle name="Normal 17 2 2 4 6" xfId="7717" xr:uid="{00000000-0005-0000-0000-0000BD140000}"/>
    <cellStyle name="Normal 17 2 2 4 6 2" xfId="16527" xr:uid="{784EC8C4-CFAF-4DCE-AA4C-719A6A2C1A9E}"/>
    <cellStyle name="Normal 17 2 2 4 7" xfId="10930" xr:uid="{00000000-0005-0000-0000-0000BE140000}"/>
    <cellStyle name="Normal 17 2 2 4 7 2" xfId="19673" xr:uid="{8A2484F6-C466-49D2-A30A-6C68D05EA8F6}"/>
    <cellStyle name="Normal 17 2 2 4 8" xfId="12537" xr:uid="{00000000-0005-0000-0000-0000BF140000}"/>
    <cellStyle name="Normal 17 2 2 4 8 2" xfId="21273" xr:uid="{735F1B10-B0BD-468C-8101-D43F6EF9AFC4}"/>
    <cellStyle name="Normal 17 2 2 4 9" xfId="14563" xr:uid="{8F8A6A90-C838-4E2C-8E32-B38537A8F28A}"/>
    <cellStyle name="Normal 17 2 2 5" xfId="2292" xr:uid="{00000000-0005-0000-0000-0000C0140000}"/>
    <cellStyle name="Normal 17 2 2 5 2" xfId="9324" xr:uid="{00000000-0005-0000-0000-0000C1140000}"/>
    <cellStyle name="Normal 17 2 2 5 2 2" xfId="18130" xr:uid="{46371999-3834-4F40-99AA-D59099EAB747}"/>
    <cellStyle name="Normal 17 2 2 5 3" xfId="7721" xr:uid="{00000000-0005-0000-0000-0000C2140000}"/>
    <cellStyle name="Normal 17 2 2 5 3 2" xfId="16531" xr:uid="{CC5A3D32-D279-4616-A595-A086D19BF50D}"/>
    <cellStyle name="Normal 17 2 2 5 4" xfId="10934" xr:uid="{00000000-0005-0000-0000-0000C3140000}"/>
    <cellStyle name="Normal 17 2 2 5 4 2" xfId="19677" xr:uid="{E33E6686-F2C4-422D-8737-F9F949C1E009}"/>
    <cellStyle name="Normal 17 2 2 5 5" xfId="12541" xr:uid="{00000000-0005-0000-0000-0000C4140000}"/>
    <cellStyle name="Normal 17 2 2 5 5 2" xfId="21277" xr:uid="{F72D2C96-3AA3-4817-BCFE-61484622B919}"/>
    <cellStyle name="Normal 17 2 2 5 6" xfId="14049" xr:uid="{AEEA2D76-20ED-4A58-ACCA-56FDD63B0797}"/>
    <cellStyle name="Normal 17 2 2 6" xfId="2293" xr:uid="{00000000-0005-0000-0000-0000C5140000}"/>
    <cellStyle name="Normal 17 2 2 6 2" xfId="9325" xr:uid="{00000000-0005-0000-0000-0000C6140000}"/>
    <cellStyle name="Normal 17 2 2 6 2 2" xfId="18131" xr:uid="{00D48401-A070-4A24-A339-0616336A3186}"/>
    <cellStyle name="Normal 17 2 2 6 3" xfId="7722" xr:uid="{00000000-0005-0000-0000-0000C7140000}"/>
    <cellStyle name="Normal 17 2 2 6 3 2" xfId="16532" xr:uid="{EADDCDAD-F282-477E-BB78-C3F63DC1078E}"/>
    <cellStyle name="Normal 17 2 2 6 4" xfId="10935" xr:uid="{00000000-0005-0000-0000-0000C8140000}"/>
    <cellStyle name="Normal 17 2 2 6 4 2" xfId="19678" xr:uid="{529C0875-8AF1-4EF6-B6CA-5A2956714BAF}"/>
    <cellStyle name="Normal 17 2 2 6 5" xfId="12542" xr:uid="{00000000-0005-0000-0000-0000C9140000}"/>
    <cellStyle name="Normal 17 2 2 6 5 2" xfId="21278" xr:uid="{12556012-F919-4CB8-8E75-0D4ECCD08A38}"/>
    <cellStyle name="Normal 17 2 2 6 6" xfId="14773" xr:uid="{B99DFD20-870D-460D-B337-B885DF9FFF07}"/>
    <cellStyle name="Normal 17 2 2 7" xfId="2294" xr:uid="{00000000-0005-0000-0000-0000CA140000}"/>
    <cellStyle name="Normal 17 2 2 7 2" xfId="9326" xr:uid="{00000000-0005-0000-0000-0000CB140000}"/>
    <cellStyle name="Normal 17 2 2 7 2 2" xfId="18132" xr:uid="{1510B277-F978-4310-B7A0-6DACC63A0647}"/>
    <cellStyle name="Normal 17 2 2 7 3" xfId="7723" xr:uid="{00000000-0005-0000-0000-0000CC140000}"/>
    <cellStyle name="Normal 17 2 2 7 3 2" xfId="16533" xr:uid="{54FCF84D-FECA-4255-A90C-A212A82B647A}"/>
    <cellStyle name="Normal 17 2 2 7 4" xfId="10936" xr:uid="{00000000-0005-0000-0000-0000CD140000}"/>
    <cellStyle name="Normal 17 2 2 7 4 2" xfId="19679" xr:uid="{A09EEF07-4EFE-43F1-AEA4-15D056D24444}"/>
    <cellStyle name="Normal 17 2 2 7 5" xfId="12543" xr:uid="{00000000-0005-0000-0000-0000CE140000}"/>
    <cellStyle name="Normal 17 2 2 7 5 2" xfId="21279" xr:uid="{F36A614C-353F-47DF-878E-8BD6CF3AB8D5}"/>
    <cellStyle name="Normal 17 2 2 7 6" xfId="13951" xr:uid="{B203D7DB-06FA-4E3B-8ADB-9999508EE692}"/>
    <cellStyle name="Normal 17 2 3" xfId="2295" xr:uid="{00000000-0005-0000-0000-0000CF140000}"/>
    <cellStyle name="Normal 17 2 3 2" xfId="2296" xr:uid="{00000000-0005-0000-0000-0000D0140000}"/>
    <cellStyle name="Normal 17 2 3 2 2" xfId="9328" xr:uid="{00000000-0005-0000-0000-0000D1140000}"/>
    <cellStyle name="Normal 17 2 3 2 2 2" xfId="18134" xr:uid="{5529ABE3-EF12-4663-92CC-4433B846D78B}"/>
    <cellStyle name="Normal 17 2 3 2 3" xfId="7725" xr:uid="{00000000-0005-0000-0000-0000D2140000}"/>
    <cellStyle name="Normal 17 2 3 2 3 2" xfId="16535" xr:uid="{791FD471-A785-42A7-8938-885B5DF819D8}"/>
    <cellStyle name="Normal 17 2 3 2 4" xfId="10938" xr:uid="{00000000-0005-0000-0000-0000D3140000}"/>
    <cellStyle name="Normal 17 2 3 2 4 2" xfId="19681" xr:uid="{70E819EC-1F60-4D84-B771-7B2C34E50C64}"/>
    <cellStyle name="Normal 17 2 3 2 5" xfId="12545" xr:uid="{00000000-0005-0000-0000-0000D4140000}"/>
    <cellStyle name="Normal 17 2 3 2 5 2" xfId="21281" xr:uid="{CDB7CA8A-F5CA-4B31-A50B-06F27769CF54}"/>
    <cellStyle name="Normal 17 2 3 2 6" xfId="14153" xr:uid="{1929338F-B732-486B-B4A7-6BFAFE6C706A}"/>
    <cellStyle name="Normal 17 2 3 3" xfId="2297" xr:uid="{00000000-0005-0000-0000-0000D5140000}"/>
    <cellStyle name="Normal 17 2 3 3 2" xfId="9329" xr:uid="{00000000-0005-0000-0000-0000D6140000}"/>
    <cellStyle name="Normal 17 2 3 3 2 2" xfId="18135" xr:uid="{CBD11E4F-1238-4666-BC1F-1FC7614A56CB}"/>
    <cellStyle name="Normal 17 2 3 3 3" xfId="7726" xr:uid="{00000000-0005-0000-0000-0000D7140000}"/>
    <cellStyle name="Normal 17 2 3 3 3 2" xfId="16536" xr:uid="{5AC4D7B6-0B09-4637-9CCB-4CCC0D8C8182}"/>
    <cellStyle name="Normal 17 2 3 3 4" xfId="10939" xr:uid="{00000000-0005-0000-0000-0000D8140000}"/>
    <cellStyle name="Normal 17 2 3 3 4 2" xfId="19682" xr:uid="{DF91C4D7-34C9-44AC-BD2C-E5D02DDA22E9}"/>
    <cellStyle name="Normal 17 2 3 3 5" xfId="12546" xr:uid="{00000000-0005-0000-0000-0000D9140000}"/>
    <cellStyle name="Normal 17 2 3 3 5 2" xfId="21282" xr:uid="{3156477C-009F-4D31-9641-8F9B9451CDF9}"/>
    <cellStyle name="Normal 17 2 3 3 6" xfId="14146" xr:uid="{066A508D-2F7B-4B9A-8A14-9B0E924EEBFE}"/>
    <cellStyle name="Normal 17 2 3 4" xfId="2298" xr:uid="{00000000-0005-0000-0000-0000DA140000}"/>
    <cellStyle name="Normal 17 2 3 4 2" xfId="9330" xr:uid="{00000000-0005-0000-0000-0000DB140000}"/>
    <cellStyle name="Normal 17 2 3 4 2 2" xfId="18136" xr:uid="{E5FCC952-E8BF-4FAB-9E80-C0AAD72D7285}"/>
    <cellStyle name="Normal 17 2 3 4 3" xfId="7727" xr:uid="{00000000-0005-0000-0000-0000DC140000}"/>
    <cellStyle name="Normal 17 2 3 4 3 2" xfId="16537" xr:uid="{382BFD81-6941-43E4-B4D4-F1C8DAFE7CAD}"/>
    <cellStyle name="Normal 17 2 3 4 4" xfId="10940" xr:uid="{00000000-0005-0000-0000-0000DD140000}"/>
    <cellStyle name="Normal 17 2 3 4 4 2" xfId="19683" xr:uid="{50D7CA1D-269D-488D-9AC9-DACF4E4923A5}"/>
    <cellStyle name="Normal 17 2 3 4 5" xfId="12547" xr:uid="{00000000-0005-0000-0000-0000DE140000}"/>
    <cellStyle name="Normal 17 2 3 4 5 2" xfId="21283" xr:uid="{18384091-3721-4C89-AAB5-36D692ED92DD}"/>
    <cellStyle name="Normal 17 2 3 4 6" xfId="14570" xr:uid="{07E7A150-C1F2-4DC8-AFED-06B9995D57DE}"/>
    <cellStyle name="Normal 17 2 3 5" xfId="9327" xr:uid="{00000000-0005-0000-0000-0000DF140000}"/>
    <cellStyle name="Normal 17 2 3 5 2" xfId="18133" xr:uid="{EB68A2A9-7A97-43AC-9E1A-3FDC44B21A30}"/>
    <cellStyle name="Normal 17 2 3 6" xfId="7724" xr:uid="{00000000-0005-0000-0000-0000E0140000}"/>
    <cellStyle name="Normal 17 2 3 6 2" xfId="16534" xr:uid="{7AB60D49-561D-401B-83A4-3E1D203A5BD6}"/>
    <cellStyle name="Normal 17 2 3 7" xfId="10937" xr:uid="{00000000-0005-0000-0000-0000E1140000}"/>
    <cellStyle name="Normal 17 2 3 7 2" xfId="19680" xr:uid="{4164CD00-8144-4110-BA1A-79CDCE963ACA}"/>
    <cellStyle name="Normal 17 2 3 8" xfId="12544" xr:uid="{00000000-0005-0000-0000-0000E2140000}"/>
    <cellStyle name="Normal 17 2 3 8 2" xfId="21280" xr:uid="{7BEB4198-664C-420F-B82F-B777D433B463}"/>
    <cellStyle name="Normal 17 2 3 9" xfId="14594" xr:uid="{B0B39ED0-46AA-4EAB-966A-B3BD0A212ADD}"/>
    <cellStyle name="Normal 17 2 4" xfId="2299" xr:uid="{00000000-0005-0000-0000-0000E3140000}"/>
    <cellStyle name="Normal 17 2 5" xfId="2300" xr:uid="{00000000-0005-0000-0000-0000E4140000}"/>
    <cellStyle name="Normal 17 2 6" xfId="2301" xr:uid="{00000000-0005-0000-0000-0000E5140000}"/>
    <cellStyle name="Normal 17 2 6 2" xfId="9331" xr:uid="{00000000-0005-0000-0000-0000E6140000}"/>
    <cellStyle name="Normal 17 2 6 2 2" xfId="18137" xr:uid="{EB447F8B-56E4-4168-9A84-3F6B49D52E55}"/>
    <cellStyle name="Normal 17 2 6 3" xfId="7728" xr:uid="{00000000-0005-0000-0000-0000E7140000}"/>
    <cellStyle name="Normal 17 2 6 3 2" xfId="16538" xr:uid="{889BB34C-6874-4CB8-82F5-1196FBA5D022}"/>
    <cellStyle name="Normal 17 2 6 4" xfId="10941" xr:uid="{00000000-0005-0000-0000-0000E8140000}"/>
    <cellStyle name="Normal 17 2 6 4 2" xfId="19684" xr:uid="{C2838725-4635-46A2-B3B6-B6422778F447}"/>
    <cellStyle name="Normal 17 2 6 5" xfId="12548" xr:uid="{00000000-0005-0000-0000-0000E9140000}"/>
    <cellStyle name="Normal 17 2 6 5 2" xfId="21284" xr:uid="{88B1DDA8-A5CB-4F5E-877F-7E202B3F4C68}"/>
    <cellStyle name="Normal 17 2 6 6" xfId="14817" xr:uid="{761AD8F1-D8A1-4E65-ADD5-867594381BC8}"/>
    <cellStyle name="Normal 17 2 7" xfId="2302" xr:uid="{00000000-0005-0000-0000-0000EA140000}"/>
    <cellStyle name="Normal 17 2 7 2" xfId="9332" xr:uid="{00000000-0005-0000-0000-0000EB140000}"/>
    <cellStyle name="Normal 17 2 7 2 2" xfId="18138" xr:uid="{5886B3D5-39A4-456E-BA2D-3272A8303E5C}"/>
    <cellStyle name="Normal 17 2 7 3" xfId="7729" xr:uid="{00000000-0005-0000-0000-0000EC140000}"/>
    <cellStyle name="Normal 17 2 7 3 2" xfId="16539" xr:uid="{A0F15BBA-C2E8-4EC0-B172-4EE450AD2D3E}"/>
    <cellStyle name="Normal 17 2 7 4" xfId="10942" xr:uid="{00000000-0005-0000-0000-0000ED140000}"/>
    <cellStyle name="Normal 17 2 7 4 2" xfId="19685" xr:uid="{B6AD8E77-D470-43DE-8D2A-46ADAE360607}"/>
    <cellStyle name="Normal 17 2 7 5" xfId="12549" xr:uid="{00000000-0005-0000-0000-0000EE140000}"/>
    <cellStyle name="Normal 17 2 7 5 2" xfId="21285" xr:uid="{58ED7EEC-4B2B-49B9-8912-40C5B54541D4}"/>
    <cellStyle name="Normal 17 2 7 6" xfId="14328" xr:uid="{CB08B23B-7000-4747-A82D-7589536F796A}"/>
    <cellStyle name="Normal 17 2 8" xfId="2303" xr:uid="{00000000-0005-0000-0000-0000EF140000}"/>
    <cellStyle name="Normal 17 2 8 2" xfId="9333" xr:uid="{00000000-0005-0000-0000-0000F0140000}"/>
    <cellStyle name="Normal 17 2 8 2 2" xfId="18139" xr:uid="{22F64ED4-9D90-483F-8F42-0C0FDC13890E}"/>
    <cellStyle name="Normal 17 2 8 3" xfId="7730" xr:uid="{00000000-0005-0000-0000-0000F1140000}"/>
    <cellStyle name="Normal 17 2 8 3 2" xfId="16540" xr:uid="{ADEA4471-371F-4FF2-9FC1-1804AEA2EC4F}"/>
    <cellStyle name="Normal 17 2 8 4" xfId="10943" xr:uid="{00000000-0005-0000-0000-0000F2140000}"/>
    <cellStyle name="Normal 17 2 8 4 2" xfId="19686" xr:uid="{0D7C78EE-EA2B-409C-812F-9BC9EE1999BC}"/>
    <cellStyle name="Normal 17 2 8 5" xfId="12550" xr:uid="{00000000-0005-0000-0000-0000F3140000}"/>
    <cellStyle name="Normal 17 2 8 5 2" xfId="21286" xr:uid="{A89B6FD3-26D8-4CB2-B50B-412D94D29CDD}"/>
    <cellStyle name="Normal 17 2 8 6" xfId="14138" xr:uid="{8C650717-0564-4480-BAAB-F07D5297C9BD}"/>
    <cellStyle name="Normal 17 2 9" xfId="9311" xr:uid="{00000000-0005-0000-0000-0000F4140000}"/>
    <cellStyle name="Normal 17 2 9 2" xfId="18117" xr:uid="{B24AB3ED-8ACB-4FE4-9B78-EEB6EE83CF4A}"/>
    <cellStyle name="Normal 17 3" xfId="2304" xr:uid="{00000000-0005-0000-0000-0000F5140000}"/>
    <cellStyle name="Normal 17 4" xfId="2305" xr:uid="{00000000-0005-0000-0000-0000F6140000}"/>
    <cellStyle name="Normal 17 5" xfId="2274" xr:uid="{00000000-0005-0000-0000-0000F7140000}"/>
    <cellStyle name="Normal 17 6" xfId="10630" xr:uid="{00000000-0005-0000-0000-0000F8140000}"/>
    <cellStyle name="Normal 170" xfId="10473" xr:uid="{00000000-0005-0000-0000-0000F9140000}"/>
    <cellStyle name="Normal 171" xfId="10474" xr:uid="{00000000-0005-0000-0000-0000FA140000}"/>
    <cellStyle name="Normal 172" xfId="10475" xr:uid="{00000000-0005-0000-0000-0000FB140000}"/>
    <cellStyle name="Normal 173" xfId="10476" xr:uid="{00000000-0005-0000-0000-0000FC140000}"/>
    <cellStyle name="Normal 174" xfId="10477" xr:uid="{00000000-0005-0000-0000-0000FD140000}"/>
    <cellStyle name="Normal 175" xfId="10478" xr:uid="{00000000-0005-0000-0000-0000FE140000}"/>
    <cellStyle name="Normal 176" xfId="10479" xr:uid="{00000000-0005-0000-0000-0000FF140000}"/>
    <cellStyle name="Normal 177" xfId="10480" xr:uid="{00000000-0005-0000-0000-000000150000}"/>
    <cellStyle name="Normal 178" xfId="10481" xr:uid="{00000000-0005-0000-0000-000001150000}"/>
    <cellStyle name="Normal 179" xfId="10482" xr:uid="{00000000-0005-0000-0000-000002150000}"/>
    <cellStyle name="Normal 18" xfId="160" xr:uid="{00000000-0005-0000-0000-000003150000}"/>
    <cellStyle name="Normal 18 2" xfId="2307" xr:uid="{00000000-0005-0000-0000-000004150000}"/>
    <cellStyle name="Normal 18 2 10" xfId="7731" xr:uid="{00000000-0005-0000-0000-000005150000}"/>
    <cellStyle name="Normal 18 2 10 2" xfId="16541" xr:uid="{3E20D659-97A6-453E-AFF6-AFCC65DCD866}"/>
    <cellStyle name="Normal 18 2 11" xfId="10944" xr:uid="{00000000-0005-0000-0000-000006150000}"/>
    <cellStyle name="Normal 18 2 11 2" xfId="19687" xr:uid="{58714CDB-CB4A-41D5-8674-02FC4D5FF98B}"/>
    <cellStyle name="Normal 18 2 12" xfId="12551" xr:uid="{00000000-0005-0000-0000-000007150000}"/>
    <cellStyle name="Normal 18 2 12 2" xfId="21287" xr:uid="{51304752-D9E2-4F24-9613-B1558502EC80}"/>
    <cellStyle name="Normal 18 2 13" xfId="13928" xr:uid="{7624C7D2-9A4C-4DE5-BAC7-C44C9515F675}"/>
    <cellStyle name="Normal 18 2 2" xfId="2308" xr:uid="{00000000-0005-0000-0000-000008150000}"/>
    <cellStyle name="Normal 18 2 2 2" xfId="2309" xr:uid="{00000000-0005-0000-0000-000009150000}"/>
    <cellStyle name="Normal 18 2 2 2 2" xfId="2310" xr:uid="{00000000-0005-0000-0000-00000A150000}"/>
    <cellStyle name="Normal 18 2 2 2 2 2" xfId="2311" xr:uid="{00000000-0005-0000-0000-00000B150000}"/>
    <cellStyle name="Normal 18 2 2 2 2 2 2" xfId="9336" xr:uid="{00000000-0005-0000-0000-00000C150000}"/>
    <cellStyle name="Normal 18 2 2 2 2 2 2 2" xfId="18142" xr:uid="{0C68B823-10A8-4CCE-B097-F1D3ECD860AB}"/>
    <cellStyle name="Normal 18 2 2 2 2 2 3" xfId="7733" xr:uid="{00000000-0005-0000-0000-00000D150000}"/>
    <cellStyle name="Normal 18 2 2 2 2 2 3 2" xfId="16543" xr:uid="{197510EE-681F-432D-802F-E718FBA698A0}"/>
    <cellStyle name="Normal 18 2 2 2 2 2 4" xfId="10946" xr:uid="{00000000-0005-0000-0000-00000E150000}"/>
    <cellStyle name="Normal 18 2 2 2 2 2 4 2" xfId="19689" xr:uid="{D22E0905-642C-46A8-BFD9-AA64A7853162}"/>
    <cellStyle name="Normal 18 2 2 2 2 2 5" xfId="12553" xr:uid="{00000000-0005-0000-0000-00000F150000}"/>
    <cellStyle name="Normal 18 2 2 2 2 2 5 2" xfId="21289" xr:uid="{582E29F3-417D-4776-A132-3CED6708C0A2}"/>
    <cellStyle name="Normal 18 2 2 2 2 2 6" xfId="13926" xr:uid="{1964F57E-18B6-4E55-B582-ADEEB09E445E}"/>
    <cellStyle name="Normal 18 2 2 2 2 3" xfId="2312" xr:uid="{00000000-0005-0000-0000-000010150000}"/>
    <cellStyle name="Normal 18 2 2 2 2 3 2" xfId="9337" xr:uid="{00000000-0005-0000-0000-000011150000}"/>
    <cellStyle name="Normal 18 2 2 2 2 3 2 2" xfId="18143" xr:uid="{4E3ACCEB-57D0-44B3-AC99-A954C5AF804E}"/>
    <cellStyle name="Normal 18 2 2 2 2 3 3" xfId="7734" xr:uid="{00000000-0005-0000-0000-000012150000}"/>
    <cellStyle name="Normal 18 2 2 2 2 3 3 2" xfId="16544" xr:uid="{417F752A-3DA6-45D5-BE0B-ACB8F2C15B97}"/>
    <cellStyle name="Normal 18 2 2 2 2 3 4" xfId="10947" xr:uid="{00000000-0005-0000-0000-000013150000}"/>
    <cellStyle name="Normal 18 2 2 2 2 3 4 2" xfId="19690" xr:uid="{165043AE-E63D-41C7-89C0-8AE870F6BB2E}"/>
    <cellStyle name="Normal 18 2 2 2 2 3 5" xfId="12554" xr:uid="{00000000-0005-0000-0000-000014150000}"/>
    <cellStyle name="Normal 18 2 2 2 2 3 5 2" xfId="21290" xr:uid="{8D01DD11-6163-4FDD-AD62-858B8B612C6B}"/>
    <cellStyle name="Normal 18 2 2 2 2 3 6" xfId="13925" xr:uid="{A96CF56E-A21C-44C0-AF63-A18D929EB757}"/>
    <cellStyle name="Normal 18 2 2 2 2 4" xfId="2313" xr:uid="{00000000-0005-0000-0000-000015150000}"/>
    <cellStyle name="Normal 18 2 2 2 2 4 2" xfId="9338" xr:uid="{00000000-0005-0000-0000-000016150000}"/>
    <cellStyle name="Normal 18 2 2 2 2 4 2 2" xfId="18144" xr:uid="{FEEDD04C-8447-48AD-AE30-C6340B09E68D}"/>
    <cellStyle name="Normal 18 2 2 2 2 4 3" xfId="7735" xr:uid="{00000000-0005-0000-0000-000017150000}"/>
    <cellStyle name="Normal 18 2 2 2 2 4 3 2" xfId="16545" xr:uid="{6104FA03-C151-418A-A1EF-28460C3E487C}"/>
    <cellStyle name="Normal 18 2 2 2 2 4 4" xfId="10948" xr:uid="{00000000-0005-0000-0000-000018150000}"/>
    <cellStyle name="Normal 18 2 2 2 2 4 4 2" xfId="19691" xr:uid="{E6449EB2-ACCC-4B27-AB64-C93538FF963F}"/>
    <cellStyle name="Normal 18 2 2 2 2 4 5" xfId="12555" xr:uid="{00000000-0005-0000-0000-000019150000}"/>
    <cellStyle name="Normal 18 2 2 2 2 4 5 2" xfId="21291" xr:uid="{D6996489-36D2-42BA-AD4D-6EC56442E941}"/>
    <cellStyle name="Normal 18 2 2 2 2 4 6" xfId="13924" xr:uid="{E8ADD813-21FA-44A5-B4BE-9A2BB6E7FDA6}"/>
    <cellStyle name="Normal 18 2 2 2 3" xfId="2314" xr:uid="{00000000-0005-0000-0000-00001A150000}"/>
    <cellStyle name="Normal 18 2 2 2 4" xfId="2315" xr:uid="{00000000-0005-0000-0000-00001B150000}"/>
    <cellStyle name="Normal 18 2 2 2 5" xfId="9335" xr:uid="{00000000-0005-0000-0000-00001C150000}"/>
    <cellStyle name="Normal 18 2 2 2 5 2" xfId="18141" xr:uid="{CF76AB2B-FDAB-4422-8BEE-04AB9885B89A}"/>
    <cellStyle name="Normal 18 2 2 2 6" xfId="7732" xr:uid="{00000000-0005-0000-0000-00001D150000}"/>
    <cellStyle name="Normal 18 2 2 2 6 2" xfId="16542" xr:uid="{7185438D-935F-4D59-85B6-B17A47A9D42B}"/>
    <cellStyle name="Normal 18 2 2 2 7" xfId="10945" xr:uid="{00000000-0005-0000-0000-00001E150000}"/>
    <cellStyle name="Normal 18 2 2 2 7 2" xfId="19688" xr:uid="{46DBE6F3-6372-4A4D-989A-A6688029BF43}"/>
    <cellStyle name="Normal 18 2 2 2 8" xfId="12552" xr:uid="{00000000-0005-0000-0000-00001F150000}"/>
    <cellStyle name="Normal 18 2 2 2 8 2" xfId="21288" xr:uid="{DEEDD008-699A-41CF-84A4-4853F9C4BF09}"/>
    <cellStyle name="Normal 18 2 2 2 9" xfId="13927" xr:uid="{F4E12C6C-EAF9-43D0-8142-8E176D012BA0}"/>
    <cellStyle name="Normal 18 2 2 3" xfId="2316" xr:uid="{00000000-0005-0000-0000-000020150000}"/>
    <cellStyle name="Normal 18 2 2 3 2" xfId="2317" xr:uid="{00000000-0005-0000-0000-000021150000}"/>
    <cellStyle name="Normal 18 2 2 3 2 2" xfId="9340" xr:uid="{00000000-0005-0000-0000-000022150000}"/>
    <cellStyle name="Normal 18 2 2 3 2 2 2" xfId="18146" xr:uid="{F352BA1A-9BA4-4E45-8E76-CD68C9DDFE07}"/>
    <cellStyle name="Normal 18 2 2 3 2 3" xfId="7737" xr:uid="{00000000-0005-0000-0000-000023150000}"/>
    <cellStyle name="Normal 18 2 2 3 2 3 2" xfId="16547" xr:uid="{04F950C0-D968-4299-A171-62E6D300C085}"/>
    <cellStyle name="Normal 18 2 2 3 2 4" xfId="10950" xr:uid="{00000000-0005-0000-0000-000024150000}"/>
    <cellStyle name="Normal 18 2 2 3 2 4 2" xfId="19693" xr:uid="{84718C04-7FB5-4B2C-83F0-3177AD9D3D17}"/>
    <cellStyle name="Normal 18 2 2 3 2 5" xfId="12557" xr:uid="{00000000-0005-0000-0000-000025150000}"/>
    <cellStyle name="Normal 18 2 2 3 2 5 2" xfId="21293" xr:uid="{4F907254-90C8-44A2-97DA-D14A6227F6CD}"/>
    <cellStyle name="Normal 18 2 2 3 2 6" xfId="14081" xr:uid="{9CE852A5-DCCD-471E-9F64-C4E077106AD5}"/>
    <cellStyle name="Normal 18 2 2 3 3" xfId="2318" xr:uid="{00000000-0005-0000-0000-000026150000}"/>
    <cellStyle name="Normal 18 2 2 3 3 2" xfId="9341" xr:uid="{00000000-0005-0000-0000-000027150000}"/>
    <cellStyle name="Normal 18 2 2 3 3 2 2" xfId="18147" xr:uid="{68EA51CF-3F7E-4AEB-B0CF-4D1847D8AA29}"/>
    <cellStyle name="Normal 18 2 2 3 3 3" xfId="7738" xr:uid="{00000000-0005-0000-0000-000028150000}"/>
    <cellStyle name="Normal 18 2 2 3 3 3 2" xfId="16548" xr:uid="{11BE5EB9-F2C4-4F17-BE7E-978923DFAC93}"/>
    <cellStyle name="Normal 18 2 2 3 3 4" xfId="10951" xr:uid="{00000000-0005-0000-0000-000029150000}"/>
    <cellStyle name="Normal 18 2 2 3 3 4 2" xfId="19694" xr:uid="{A5E8C92D-212A-4037-BC23-3DD3008424F6}"/>
    <cellStyle name="Normal 18 2 2 3 3 5" xfId="12558" xr:uid="{00000000-0005-0000-0000-00002A150000}"/>
    <cellStyle name="Normal 18 2 2 3 3 5 2" xfId="21294" xr:uid="{6D65D9F6-41F4-475C-AFCB-540E7B7DAC11}"/>
    <cellStyle name="Normal 18 2 2 3 3 6" xfId="14076" xr:uid="{64DCE937-8A3B-4137-8E24-E6020639B649}"/>
    <cellStyle name="Normal 18 2 2 3 4" xfId="2319" xr:uid="{00000000-0005-0000-0000-00002B150000}"/>
    <cellStyle name="Normal 18 2 2 3 4 2" xfId="9342" xr:uid="{00000000-0005-0000-0000-00002C150000}"/>
    <cellStyle name="Normal 18 2 2 3 4 2 2" xfId="18148" xr:uid="{8268615B-C2A3-4A09-B0F9-C80EEB562BDF}"/>
    <cellStyle name="Normal 18 2 2 3 4 3" xfId="7739" xr:uid="{00000000-0005-0000-0000-00002D150000}"/>
    <cellStyle name="Normal 18 2 2 3 4 3 2" xfId="16549" xr:uid="{1A813FA4-F345-482A-AC8C-710C91525051}"/>
    <cellStyle name="Normal 18 2 2 3 4 4" xfId="10952" xr:uid="{00000000-0005-0000-0000-00002E150000}"/>
    <cellStyle name="Normal 18 2 2 3 4 4 2" xfId="19695" xr:uid="{0962D5DB-58FC-4F69-BDC8-977469E2F9BA}"/>
    <cellStyle name="Normal 18 2 2 3 4 5" xfId="12559" xr:uid="{00000000-0005-0000-0000-00002F150000}"/>
    <cellStyle name="Normal 18 2 2 3 4 5 2" xfId="21295" xr:uid="{EE699D7B-B211-4AE5-90FC-E07CF9A48B1B}"/>
    <cellStyle name="Normal 18 2 2 3 4 6" xfId="14340" xr:uid="{6BC417E1-8512-4C28-810B-ACB52BB2B04D}"/>
    <cellStyle name="Normal 18 2 2 3 5" xfId="9339" xr:uid="{00000000-0005-0000-0000-000030150000}"/>
    <cellStyle name="Normal 18 2 2 3 5 2" xfId="18145" xr:uid="{27C5CB56-1337-4C73-B248-558259A2646C}"/>
    <cellStyle name="Normal 18 2 2 3 6" xfId="7736" xr:uid="{00000000-0005-0000-0000-000031150000}"/>
    <cellStyle name="Normal 18 2 2 3 6 2" xfId="16546" xr:uid="{851F0467-3104-429C-AC9D-C34EB30C41F6}"/>
    <cellStyle name="Normal 18 2 2 3 7" xfId="10949" xr:uid="{00000000-0005-0000-0000-000032150000}"/>
    <cellStyle name="Normal 18 2 2 3 7 2" xfId="19692" xr:uid="{2014371F-3D45-4E96-A461-1FAE6C96DC9B}"/>
    <cellStyle name="Normal 18 2 2 3 8" xfId="12556" xr:uid="{00000000-0005-0000-0000-000033150000}"/>
    <cellStyle name="Normal 18 2 2 3 8 2" xfId="21292" xr:uid="{F094D368-67E1-4718-A545-C5C15C8581F5}"/>
    <cellStyle name="Normal 18 2 2 3 9" xfId="14085" xr:uid="{2C083ABA-740D-4853-A92D-FB00562CDC00}"/>
    <cellStyle name="Normal 18 2 2 4" xfId="2320" xr:uid="{00000000-0005-0000-0000-000034150000}"/>
    <cellStyle name="Normal 18 2 2 4 2" xfId="2321" xr:uid="{00000000-0005-0000-0000-000035150000}"/>
    <cellStyle name="Normal 18 2 2 4 2 2" xfId="9344" xr:uid="{00000000-0005-0000-0000-000036150000}"/>
    <cellStyle name="Normal 18 2 2 4 2 2 2" xfId="18150" xr:uid="{5DCF6937-E7C9-41CD-9756-C972543CA395}"/>
    <cellStyle name="Normal 18 2 2 4 2 3" xfId="7741" xr:uid="{00000000-0005-0000-0000-000037150000}"/>
    <cellStyle name="Normal 18 2 2 4 2 3 2" xfId="16551" xr:uid="{2E2E3864-A472-4330-8C5D-E3616E20E559}"/>
    <cellStyle name="Normal 18 2 2 4 2 4" xfId="10954" xr:uid="{00000000-0005-0000-0000-000038150000}"/>
    <cellStyle name="Normal 18 2 2 4 2 4 2" xfId="19697" xr:uid="{B10E20CE-AA47-40BA-A1E8-D01C93126333}"/>
    <cellStyle name="Normal 18 2 2 4 2 5" xfId="12561" xr:uid="{00000000-0005-0000-0000-000039150000}"/>
    <cellStyle name="Normal 18 2 2 4 2 5 2" xfId="21297" xr:uid="{A6FFA638-09A3-4278-90DB-1B41D989C582}"/>
    <cellStyle name="Normal 18 2 2 4 2 6" xfId="14058" xr:uid="{2C680268-3867-4846-9BCF-214B7814266E}"/>
    <cellStyle name="Normal 18 2 2 4 3" xfId="2322" xr:uid="{00000000-0005-0000-0000-00003A150000}"/>
    <cellStyle name="Normal 18 2 2 4 3 2" xfId="9345" xr:uid="{00000000-0005-0000-0000-00003B150000}"/>
    <cellStyle name="Normal 18 2 2 4 3 2 2" xfId="18151" xr:uid="{2C777D08-FA08-4C26-BB9A-1A33D4C1B3B6}"/>
    <cellStyle name="Normal 18 2 2 4 3 3" xfId="7742" xr:uid="{00000000-0005-0000-0000-00003C150000}"/>
    <cellStyle name="Normal 18 2 2 4 3 3 2" xfId="16552" xr:uid="{2411AA7C-41F4-4BAD-B767-97304BC00861}"/>
    <cellStyle name="Normal 18 2 2 4 3 4" xfId="10955" xr:uid="{00000000-0005-0000-0000-00003D150000}"/>
    <cellStyle name="Normal 18 2 2 4 3 4 2" xfId="19698" xr:uid="{22921090-5C6E-4EDC-9FCA-F784E9A37984}"/>
    <cellStyle name="Normal 18 2 2 4 3 5" xfId="12562" xr:uid="{00000000-0005-0000-0000-00003E150000}"/>
    <cellStyle name="Normal 18 2 2 4 3 5 2" xfId="21298" xr:uid="{7A2E9FEC-204E-4665-8D92-50F259FB787E}"/>
    <cellStyle name="Normal 18 2 2 4 3 6" xfId="14047" xr:uid="{32C78D64-FEDE-4DA0-A009-BDCE523E7EEC}"/>
    <cellStyle name="Normal 18 2 2 4 4" xfId="2323" xr:uid="{00000000-0005-0000-0000-00003F150000}"/>
    <cellStyle name="Normal 18 2 2 4 4 2" xfId="9346" xr:uid="{00000000-0005-0000-0000-000040150000}"/>
    <cellStyle name="Normal 18 2 2 4 4 2 2" xfId="18152" xr:uid="{001BE851-CCC3-4737-8998-1185AAEE4D0D}"/>
    <cellStyle name="Normal 18 2 2 4 4 3" xfId="7743" xr:uid="{00000000-0005-0000-0000-000041150000}"/>
    <cellStyle name="Normal 18 2 2 4 4 3 2" xfId="16553" xr:uid="{6D5D9C51-0D09-47BC-A6B2-3E5F08B26A1A}"/>
    <cellStyle name="Normal 18 2 2 4 4 4" xfId="10956" xr:uid="{00000000-0005-0000-0000-000042150000}"/>
    <cellStyle name="Normal 18 2 2 4 4 4 2" xfId="19699" xr:uid="{EDCC018E-A084-47EA-9F80-B5D6FD9333BD}"/>
    <cellStyle name="Normal 18 2 2 4 4 5" xfId="12563" xr:uid="{00000000-0005-0000-0000-000043150000}"/>
    <cellStyle name="Normal 18 2 2 4 4 5 2" xfId="21299" xr:uid="{B9A157BB-EFB0-40C3-9282-404CE8ECFC9F}"/>
    <cellStyle name="Normal 18 2 2 4 4 6" xfId="14004" xr:uid="{00A3EDAE-BA36-4083-AAD6-879220F4E6B8}"/>
    <cellStyle name="Normal 18 2 2 4 5" xfId="9343" xr:uid="{00000000-0005-0000-0000-000044150000}"/>
    <cellStyle name="Normal 18 2 2 4 5 2" xfId="18149" xr:uid="{A1673368-61D5-43DB-91A4-C53E99EBD8A9}"/>
    <cellStyle name="Normal 18 2 2 4 6" xfId="7740" xr:uid="{00000000-0005-0000-0000-000045150000}"/>
    <cellStyle name="Normal 18 2 2 4 6 2" xfId="16550" xr:uid="{5115E75A-73F7-4050-9A4E-1C2BBB9C1A35}"/>
    <cellStyle name="Normal 18 2 2 4 7" xfId="10953" xr:uid="{00000000-0005-0000-0000-000046150000}"/>
    <cellStyle name="Normal 18 2 2 4 7 2" xfId="19696" xr:uid="{292CD982-E4EC-4C38-8A05-6AC902AEA7D6}"/>
    <cellStyle name="Normal 18 2 2 4 8" xfId="12560" xr:uid="{00000000-0005-0000-0000-000047150000}"/>
    <cellStyle name="Normal 18 2 2 4 8 2" xfId="21296" xr:uid="{69D789EB-29C3-4F62-9FE7-1BED5BB85D9A}"/>
    <cellStyle name="Normal 18 2 2 4 9" xfId="14068" xr:uid="{7683572F-207E-4790-9175-04F36601C4C1}"/>
    <cellStyle name="Normal 18 2 2 5" xfId="2324" xr:uid="{00000000-0005-0000-0000-000048150000}"/>
    <cellStyle name="Normal 18 2 2 5 2" xfId="9347" xr:uid="{00000000-0005-0000-0000-000049150000}"/>
    <cellStyle name="Normal 18 2 2 5 2 2" xfId="18153" xr:uid="{B5690E41-A050-41B4-A4BF-9F3B7783AEF9}"/>
    <cellStyle name="Normal 18 2 2 5 3" xfId="7744" xr:uid="{00000000-0005-0000-0000-00004A150000}"/>
    <cellStyle name="Normal 18 2 2 5 3 2" xfId="16554" xr:uid="{F35F423F-B37A-4D9A-9C53-D55BF0D8F033}"/>
    <cellStyle name="Normal 18 2 2 5 4" xfId="10957" xr:uid="{00000000-0005-0000-0000-00004B150000}"/>
    <cellStyle name="Normal 18 2 2 5 4 2" xfId="19700" xr:uid="{67562CAC-82EB-4AA8-8047-FE428CCC367D}"/>
    <cellStyle name="Normal 18 2 2 5 5" xfId="12564" xr:uid="{00000000-0005-0000-0000-00004C150000}"/>
    <cellStyle name="Normal 18 2 2 5 5 2" xfId="21300" xr:uid="{11FD23FD-BF4D-4068-A355-59C429816828}"/>
    <cellStyle name="Normal 18 2 2 5 6" xfId="14176" xr:uid="{22892DAC-C6D0-454B-9069-380AE7A3ECF4}"/>
    <cellStyle name="Normal 18 2 2 6" xfId="2325" xr:uid="{00000000-0005-0000-0000-00004D150000}"/>
    <cellStyle name="Normal 18 2 2 6 2" xfId="9348" xr:uid="{00000000-0005-0000-0000-00004E150000}"/>
    <cellStyle name="Normal 18 2 2 6 2 2" xfId="18154" xr:uid="{50E62714-247C-4245-A328-A78B07C1A6B8}"/>
    <cellStyle name="Normal 18 2 2 6 3" xfId="7745" xr:uid="{00000000-0005-0000-0000-00004F150000}"/>
    <cellStyle name="Normal 18 2 2 6 3 2" xfId="16555" xr:uid="{27C8C0B5-6FD6-4A28-82EF-6F0DA9DF317C}"/>
    <cellStyle name="Normal 18 2 2 6 4" xfId="10958" xr:uid="{00000000-0005-0000-0000-000050150000}"/>
    <cellStyle name="Normal 18 2 2 6 4 2" xfId="19701" xr:uid="{89141207-6D8F-441C-8093-DFFB8C114669}"/>
    <cellStyle name="Normal 18 2 2 6 5" xfId="12565" xr:uid="{00000000-0005-0000-0000-000051150000}"/>
    <cellStyle name="Normal 18 2 2 6 5 2" xfId="21301" xr:uid="{5B87661B-64E8-48E4-B22E-669E62F2295C}"/>
    <cellStyle name="Normal 18 2 2 6 6" xfId="14677" xr:uid="{9E186141-5065-460C-9AFB-21FC524BD0D8}"/>
    <cellStyle name="Normal 18 2 2 7" xfId="2326" xr:uid="{00000000-0005-0000-0000-000052150000}"/>
    <cellStyle name="Normal 18 2 2 7 2" xfId="9349" xr:uid="{00000000-0005-0000-0000-000053150000}"/>
    <cellStyle name="Normal 18 2 2 7 2 2" xfId="18155" xr:uid="{AB7F2EAB-58A9-46EE-BC19-2E3C8738F3AA}"/>
    <cellStyle name="Normal 18 2 2 7 3" xfId="7746" xr:uid="{00000000-0005-0000-0000-000054150000}"/>
    <cellStyle name="Normal 18 2 2 7 3 2" xfId="16556" xr:uid="{5FB6B9D0-2473-463A-9603-5505AAE6C5A7}"/>
    <cellStyle name="Normal 18 2 2 7 4" xfId="10959" xr:uid="{00000000-0005-0000-0000-000055150000}"/>
    <cellStyle name="Normal 18 2 2 7 4 2" xfId="19702" xr:uid="{5D09178D-4646-4268-A8A1-990B76083C6D}"/>
    <cellStyle name="Normal 18 2 2 7 5" xfId="12566" xr:uid="{00000000-0005-0000-0000-000056150000}"/>
    <cellStyle name="Normal 18 2 2 7 5 2" xfId="21302" xr:uid="{3B876912-808B-4E86-9A2D-9D1D66BFF941}"/>
    <cellStyle name="Normal 18 2 2 7 6" xfId="14834" xr:uid="{89EC9DCA-B352-4032-9C55-FA2C5C5F5277}"/>
    <cellStyle name="Normal 18 2 3" xfId="2327" xr:uid="{00000000-0005-0000-0000-000057150000}"/>
    <cellStyle name="Normal 18 2 3 2" xfId="2328" xr:uid="{00000000-0005-0000-0000-000058150000}"/>
    <cellStyle name="Normal 18 2 3 2 2" xfId="9351" xr:uid="{00000000-0005-0000-0000-000059150000}"/>
    <cellStyle name="Normal 18 2 3 2 2 2" xfId="18157" xr:uid="{86447976-76AB-4D2C-A406-16BBE9021CE6}"/>
    <cellStyle name="Normal 18 2 3 2 3" xfId="7748" xr:uid="{00000000-0005-0000-0000-00005A150000}"/>
    <cellStyle name="Normal 18 2 3 2 3 2" xfId="16558" xr:uid="{10C24F00-C6D8-43ED-B8B6-650CE1CF2FE0}"/>
    <cellStyle name="Normal 18 2 3 2 4" xfId="10961" xr:uid="{00000000-0005-0000-0000-00005B150000}"/>
    <cellStyle name="Normal 18 2 3 2 4 2" xfId="19704" xr:uid="{76D4CAB5-CF58-4556-A223-37A0DD1B0705}"/>
    <cellStyle name="Normal 18 2 3 2 5" xfId="12568" xr:uid="{00000000-0005-0000-0000-00005C150000}"/>
    <cellStyle name="Normal 18 2 3 2 5 2" xfId="21304" xr:uid="{0E1D4BB6-3D49-4634-BAC1-A6DD01BE5428}"/>
    <cellStyle name="Normal 18 2 3 2 6" xfId="14705" xr:uid="{FFE43180-A5F0-4BB2-8C5A-E99C2468670B}"/>
    <cellStyle name="Normal 18 2 3 3" xfId="2329" xr:uid="{00000000-0005-0000-0000-00005D150000}"/>
    <cellStyle name="Normal 18 2 3 3 2" xfId="9352" xr:uid="{00000000-0005-0000-0000-00005E150000}"/>
    <cellStyle name="Normal 18 2 3 3 2 2" xfId="18158" xr:uid="{8CCEAE63-592B-4054-B61E-3E61472EF918}"/>
    <cellStyle name="Normal 18 2 3 3 3" xfId="7749" xr:uid="{00000000-0005-0000-0000-00005F150000}"/>
    <cellStyle name="Normal 18 2 3 3 3 2" xfId="16559" xr:uid="{979DE415-0338-43AA-B97D-311D23AB9F5A}"/>
    <cellStyle name="Normal 18 2 3 3 4" xfId="10962" xr:uid="{00000000-0005-0000-0000-000060150000}"/>
    <cellStyle name="Normal 18 2 3 3 4 2" xfId="19705" xr:uid="{83B94E51-CEC1-4C59-B444-102BDA4FA4C3}"/>
    <cellStyle name="Normal 18 2 3 3 5" xfId="12569" xr:uid="{00000000-0005-0000-0000-000061150000}"/>
    <cellStyle name="Normal 18 2 3 3 5 2" xfId="21305" xr:uid="{EFDA81EB-9517-4EE0-B860-FE3F400A1170}"/>
    <cellStyle name="Normal 18 2 3 3 6" xfId="13923" xr:uid="{F68C84E1-2499-4007-9011-2013E342CF6D}"/>
    <cellStyle name="Normal 18 2 3 4" xfId="2330" xr:uid="{00000000-0005-0000-0000-000062150000}"/>
    <cellStyle name="Normal 18 2 3 4 2" xfId="9353" xr:uid="{00000000-0005-0000-0000-000063150000}"/>
    <cellStyle name="Normal 18 2 3 4 2 2" xfId="18159" xr:uid="{6D8E4849-CC22-4FF4-967E-4064548ECF43}"/>
    <cellStyle name="Normal 18 2 3 4 3" xfId="7750" xr:uid="{00000000-0005-0000-0000-000064150000}"/>
    <cellStyle name="Normal 18 2 3 4 3 2" xfId="16560" xr:uid="{943B8349-F427-4945-B818-C00C17F79F5C}"/>
    <cellStyle name="Normal 18 2 3 4 4" xfId="10963" xr:uid="{00000000-0005-0000-0000-000065150000}"/>
    <cellStyle name="Normal 18 2 3 4 4 2" xfId="19706" xr:uid="{88C65D9E-1595-4D32-A9A6-3B18CCB07793}"/>
    <cellStyle name="Normal 18 2 3 4 5" xfId="12570" xr:uid="{00000000-0005-0000-0000-000066150000}"/>
    <cellStyle name="Normal 18 2 3 4 5 2" xfId="21306" xr:uid="{E113D1B8-0A89-4B01-A9B2-8F47B5BD3A21}"/>
    <cellStyle name="Normal 18 2 3 4 6" xfId="13920" xr:uid="{0558E7EB-0576-4CB4-9785-4E97344FFE6B}"/>
    <cellStyle name="Normal 18 2 3 5" xfId="9350" xr:uid="{00000000-0005-0000-0000-000067150000}"/>
    <cellStyle name="Normal 18 2 3 5 2" xfId="18156" xr:uid="{FDE75BDE-D68B-4B7B-9CBB-8B116FBB0C21}"/>
    <cellStyle name="Normal 18 2 3 6" xfId="7747" xr:uid="{00000000-0005-0000-0000-000068150000}"/>
    <cellStyle name="Normal 18 2 3 6 2" xfId="16557" xr:uid="{F597002C-2003-4A69-A9FA-427B2748514A}"/>
    <cellStyle name="Normal 18 2 3 7" xfId="10960" xr:uid="{00000000-0005-0000-0000-000069150000}"/>
    <cellStyle name="Normal 18 2 3 7 2" xfId="19703" xr:uid="{31B440FC-2F27-4F9E-962C-F403C2E335F0}"/>
    <cellStyle name="Normal 18 2 3 8" xfId="12567" xr:uid="{00000000-0005-0000-0000-00006A150000}"/>
    <cellStyle name="Normal 18 2 3 8 2" xfId="21303" xr:uid="{5C0BA416-C397-40A1-AADB-42DD0920AEEE}"/>
    <cellStyle name="Normal 18 2 3 9" xfId="14158" xr:uid="{1B31414A-B7A0-4770-854B-F308571D811A}"/>
    <cellStyle name="Normal 18 2 4" xfId="2331" xr:uid="{00000000-0005-0000-0000-00006B150000}"/>
    <cellStyle name="Normal 18 2 5" xfId="2332" xr:uid="{00000000-0005-0000-0000-00006C150000}"/>
    <cellStyle name="Normal 18 2 6" xfId="2333" xr:uid="{00000000-0005-0000-0000-00006D150000}"/>
    <cellStyle name="Normal 18 2 6 2" xfId="9354" xr:uid="{00000000-0005-0000-0000-00006E150000}"/>
    <cellStyle name="Normal 18 2 6 2 2" xfId="18160" xr:uid="{67BAC0F1-7B67-450A-A9EB-6128FA7E30CB}"/>
    <cellStyle name="Normal 18 2 6 3" xfId="7751" xr:uid="{00000000-0005-0000-0000-00006F150000}"/>
    <cellStyle name="Normal 18 2 6 3 2" xfId="16561" xr:uid="{35E2E554-5164-4B17-85AF-0E5B07C59165}"/>
    <cellStyle name="Normal 18 2 6 4" xfId="10964" xr:uid="{00000000-0005-0000-0000-000070150000}"/>
    <cellStyle name="Normal 18 2 6 4 2" xfId="19707" xr:uid="{47B9004B-6E16-4301-AE76-C950132F1CA7}"/>
    <cellStyle name="Normal 18 2 6 5" xfId="12571" xr:uid="{00000000-0005-0000-0000-000071150000}"/>
    <cellStyle name="Normal 18 2 6 5 2" xfId="21307" xr:uid="{8B59060C-1AD9-4C9A-972E-47E1D8009011}"/>
    <cellStyle name="Normal 18 2 6 6" xfId="14795" xr:uid="{B578DCCC-7760-4032-A268-4C3648B7EBF9}"/>
    <cellStyle name="Normal 18 2 7" xfId="2334" xr:uid="{00000000-0005-0000-0000-000072150000}"/>
    <cellStyle name="Normal 18 2 7 2" xfId="9355" xr:uid="{00000000-0005-0000-0000-000073150000}"/>
    <cellStyle name="Normal 18 2 7 2 2" xfId="18161" xr:uid="{2455D8C1-B858-401D-89E4-0074B8F7E9E3}"/>
    <cellStyle name="Normal 18 2 7 3" xfId="7752" xr:uid="{00000000-0005-0000-0000-000074150000}"/>
    <cellStyle name="Normal 18 2 7 3 2" xfId="16562" xr:uid="{53A595F4-57B1-4F1A-92DD-9C5111FFD922}"/>
    <cellStyle name="Normal 18 2 7 4" xfId="10965" xr:uid="{00000000-0005-0000-0000-000075150000}"/>
    <cellStyle name="Normal 18 2 7 4 2" xfId="19708" xr:uid="{B0984239-995E-43F8-9AE7-5806A420A266}"/>
    <cellStyle name="Normal 18 2 7 5" xfId="12572" xr:uid="{00000000-0005-0000-0000-000076150000}"/>
    <cellStyle name="Normal 18 2 7 5 2" xfId="21308" xr:uid="{C83C259F-0DE3-487F-9003-63A4C18F8A62}"/>
    <cellStyle name="Normal 18 2 7 6" xfId="14246" xr:uid="{C235BE63-3443-41D9-93FB-60B20160F453}"/>
    <cellStyle name="Normal 18 2 8" xfId="2335" xr:uid="{00000000-0005-0000-0000-000077150000}"/>
    <cellStyle name="Normal 18 2 8 2" xfId="9356" xr:uid="{00000000-0005-0000-0000-000078150000}"/>
    <cellStyle name="Normal 18 2 8 2 2" xfId="18162" xr:uid="{60BA227A-B3F5-49C8-BCFB-8E752EECD684}"/>
    <cellStyle name="Normal 18 2 8 3" xfId="7753" xr:uid="{00000000-0005-0000-0000-000079150000}"/>
    <cellStyle name="Normal 18 2 8 3 2" xfId="16563" xr:uid="{AA7B59E5-A2B3-4D8F-896A-024487D71D93}"/>
    <cellStyle name="Normal 18 2 8 4" xfId="10966" xr:uid="{00000000-0005-0000-0000-00007A150000}"/>
    <cellStyle name="Normal 18 2 8 4 2" xfId="19709" xr:uid="{3E6B404D-5B76-4C2E-9D29-C86145405F18}"/>
    <cellStyle name="Normal 18 2 8 5" xfId="12573" xr:uid="{00000000-0005-0000-0000-00007B150000}"/>
    <cellStyle name="Normal 18 2 8 5 2" xfId="21309" xr:uid="{E89F633A-2814-40B5-BD49-CB571BB157A3}"/>
    <cellStyle name="Normal 18 2 8 6" xfId="14696" xr:uid="{2FF3AC33-858A-4D50-B5D1-A2CF9DBFF442}"/>
    <cellStyle name="Normal 18 2 9" xfId="9334" xr:uid="{00000000-0005-0000-0000-00007C150000}"/>
    <cellStyle name="Normal 18 2 9 2" xfId="18140" xr:uid="{31099F3A-926E-4B0A-9445-F69FE055D8CA}"/>
    <cellStyle name="Normal 18 3" xfId="2336" xr:uid="{00000000-0005-0000-0000-00007D150000}"/>
    <cellStyle name="Normal 18 4" xfId="2337" xr:uid="{00000000-0005-0000-0000-00007E150000}"/>
    <cellStyle name="Normal 18 5" xfId="2306" xr:uid="{00000000-0005-0000-0000-00007F150000}"/>
    <cellStyle name="Normal 18 6" xfId="10631" xr:uid="{00000000-0005-0000-0000-000080150000}"/>
    <cellStyle name="Normal 180" xfId="7408" xr:uid="{00000000-0005-0000-0000-000081150000}"/>
    <cellStyle name="Normal 180 2" xfId="16226" xr:uid="{9C923A87-C91A-40FA-83A4-3664FDC45B23}"/>
    <cellStyle name="Normal 181" xfId="9022" xr:uid="{00000000-0005-0000-0000-000082150000}"/>
    <cellStyle name="Normal 181 2" xfId="17828" xr:uid="{5161F65A-A016-45A5-983E-1A88838E561F}"/>
    <cellStyle name="Normal 182" xfId="9021" xr:uid="{00000000-0005-0000-0000-000083150000}"/>
    <cellStyle name="Normal 182 2" xfId="17827" xr:uid="{8569D9DB-42CC-4E19-9209-82D6D79ED5B5}"/>
    <cellStyle name="Normal 183" xfId="9018" xr:uid="{00000000-0005-0000-0000-000084150000}"/>
    <cellStyle name="Normal 183 2" xfId="17826" xr:uid="{95D25E5D-85AE-4D54-99C4-E722B3B76DDF}"/>
    <cellStyle name="Normal 184" xfId="10492" xr:uid="{00000000-0005-0000-0000-000085150000}"/>
    <cellStyle name="Normal 184 2" xfId="2338" xr:uid="{00000000-0005-0000-0000-000086150000}"/>
    <cellStyle name="Normal 184 2 2" xfId="2339" xr:uid="{00000000-0005-0000-0000-000087150000}"/>
    <cellStyle name="Normal 185" xfId="7438" xr:uid="{00000000-0005-0000-0000-000088150000}"/>
    <cellStyle name="Normal 185 2" xfId="16250" xr:uid="{35F1B54E-265B-4C1C-8A4E-46987B6D634E}"/>
    <cellStyle name="Normal 186" xfId="9017" xr:uid="{00000000-0005-0000-0000-000089150000}"/>
    <cellStyle name="Normal 186 2" xfId="17825" xr:uid="{B9451171-B35B-457B-B6C7-18D132EB7D43}"/>
    <cellStyle name="Normal 187" xfId="10487" xr:uid="{00000000-0005-0000-0000-00008A150000}"/>
    <cellStyle name="Normal 187 2" xfId="19271" xr:uid="{7A75690C-58D3-43B1-A5A4-27753BAC52FF}"/>
    <cellStyle name="Normal 188" xfId="10496" xr:uid="{00000000-0005-0000-0000-00008B150000}"/>
    <cellStyle name="Normal 188 2" xfId="19279" xr:uid="{98FB20FD-4F2E-466E-8A66-6692406D4BA5}"/>
    <cellStyle name="Normal 189" xfId="10491" xr:uid="{00000000-0005-0000-0000-00008C150000}"/>
    <cellStyle name="Normal 189 2" xfId="19275" xr:uid="{4037518C-8D53-4586-A7F8-CB7F4ADEAB54}"/>
    <cellStyle name="Normal 19" xfId="161" xr:uid="{00000000-0005-0000-0000-00008D150000}"/>
    <cellStyle name="Normal 19 2" xfId="2341" xr:uid="{00000000-0005-0000-0000-00008E150000}"/>
    <cellStyle name="Normal 19 2 10" xfId="7754" xr:uid="{00000000-0005-0000-0000-00008F150000}"/>
    <cellStyle name="Normal 19 2 10 2" xfId="16564" xr:uid="{6A4983FC-F7C0-4839-BC87-599D106CEA06}"/>
    <cellStyle name="Normal 19 2 11" xfId="10967" xr:uid="{00000000-0005-0000-0000-000090150000}"/>
    <cellStyle name="Normal 19 2 11 2" xfId="19710" xr:uid="{BB13BEA7-8802-4F0F-89A7-D87555361FBE}"/>
    <cellStyle name="Normal 19 2 12" xfId="12574" xr:uid="{00000000-0005-0000-0000-000091150000}"/>
    <cellStyle name="Normal 19 2 12 2" xfId="21310" xr:uid="{6C437DC8-5DAD-494E-B2D2-E41EACFF5CFF}"/>
    <cellStyle name="Normal 19 2 13" xfId="14110" xr:uid="{C1BA3144-76A9-4B0B-BF20-E907766733E9}"/>
    <cellStyle name="Normal 19 2 2" xfId="2342" xr:uid="{00000000-0005-0000-0000-000092150000}"/>
    <cellStyle name="Normal 19 2 2 2" xfId="2343" xr:uid="{00000000-0005-0000-0000-000093150000}"/>
    <cellStyle name="Normal 19 2 2 2 2" xfId="2344" xr:uid="{00000000-0005-0000-0000-000094150000}"/>
    <cellStyle name="Normal 19 2 2 2 2 2" xfId="2345" xr:uid="{00000000-0005-0000-0000-000095150000}"/>
    <cellStyle name="Normal 19 2 2 2 2 2 2" xfId="9359" xr:uid="{00000000-0005-0000-0000-000096150000}"/>
    <cellStyle name="Normal 19 2 2 2 2 2 2 2" xfId="18165" xr:uid="{7361D722-8250-4813-99A6-2753277F7D0D}"/>
    <cellStyle name="Normal 19 2 2 2 2 2 3" xfId="7756" xr:uid="{00000000-0005-0000-0000-000097150000}"/>
    <cellStyle name="Normal 19 2 2 2 2 2 3 2" xfId="16566" xr:uid="{DEE39673-6D7E-48C4-A5E2-2AAB06DDA319}"/>
    <cellStyle name="Normal 19 2 2 2 2 2 4" xfId="10969" xr:uid="{00000000-0005-0000-0000-000098150000}"/>
    <cellStyle name="Normal 19 2 2 2 2 2 4 2" xfId="19712" xr:uid="{E0F5C64B-CB66-4582-B755-423065599B47}"/>
    <cellStyle name="Normal 19 2 2 2 2 2 5" xfId="12576" xr:uid="{00000000-0005-0000-0000-000099150000}"/>
    <cellStyle name="Normal 19 2 2 2 2 2 5 2" xfId="21312" xr:uid="{E8C62453-6E00-42FE-8746-DEA54BA89423}"/>
    <cellStyle name="Normal 19 2 2 2 2 2 6" xfId="14183" xr:uid="{3AB6A8BF-9B6D-4DF5-865F-3AA02A2BE1E0}"/>
    <cellStyle name="Normal 19 2 2 2 2 3" xfId="2346" xr:uid="{00000000-0005-0000-0000-00009A150000}"/>
    <cellStyle name="Normal 19 2 2 2 2 3 2" xfId="9360" xr:uid="{00000000-0005-0000-0000-00009B150000}"/>
    <cellStyle name="Normal 19 2 2 2 2 3 2 2" xfId="18166" xr:uid="{584A91CD-A248-454F-A4CB-F4F0833EA2DA}"/>
    <cellStyle name="Normal 19 2 2 2 2 3 3" xfId="7757" xr:uid="{00000000-0005-0000-0000-00009C150000}"/>
    <cellStyle name="Normal 19 2 2 2 2 3 3 2" xfId="16567" xr:uid="{DC8DB7B5-88C3-4552-896A-0872197551AF}"/>
    <cellStyle name="Normal 19 2 2 2 2 3 4" xfId="10970" xr:uid="{00000000-0005-0000-0000-00009D150000}"/>
    <cellStyle name="Normal 19 2 2 2 2 3 4 2" xfId="19713" xr:uid="{3BE168CF-C5DF-4359-989D-F67715013EA0}"/>
    <cellStyle name="Normal 19 2 2 2 2 3 5" xfId="12577" xr:uid="{00000000-0005-0000-0000-00009E150000}"/>
    <cellStyle name="Normal 19 2 2 2 2 3 5 2" xfId="21313" xr:uid="{1569586B-30E7-4EA8-8CBA-B235EC7A9E8F}"/>
    <cellStyle name="Normal 19 2 2 2 2 3 6" xfId="14808" xr:uid="{D92EA9B6-B403-4016-8823-65C44D2BEA0A}"/>
    <cellStyle name="Normal 19 2 2 2 2 4" xfId="2347" xr:uid="{00000000-0005-0000-0000-00009F150000}"/>
    <cellStyle name="Normal 19 2 2 2 2 4 2" xfId="9361" xr:uid="{00000000-0005-0000-0000-0000A0150000}"/>
    <cellStyle name="Normal 19 2 2 2 2 4 2 2" xfId="18167" xr:uid="{5F5E8F4F-2D87-42DA-A79F-5708A9AED841}"/>
    <cellStyle name="Normal 19 2 2 2 2 4 3" xfId="7758" xr:uid="{00000000-0005-0000-0000-0000A1150000}"/>
    <cellStyle name="Normal 19 2 2 2 2 4 3 2" xfId="16568" xr:uid="{6AA48BA8-D25A-438C-96FE-17D4EA051E04}"/>
    <cellStyle name="Normal 19 2 2 2 2 4 4" xfId="10971" xr:uid="{00000000-0005-0000-0000-0000A2150000}"/>
    <cellStyle name="Normal 19 2 2 2 2 4 4 2" xfId="19714" xr:uid="{9ACEF6E7-4DCD-4345-B077-E89A1E706D24}"/>
    <cellStyle name="Normal 19 2 2 2 2 4 5" xfId="12578" xr:uid="{00000000-0005-0000-0000-0000A3150000}"/>
    <cellStyle name="Normal 19 2 2 2 2 4 5 2" xfId="21314" xr:uid="{99951C6A-8307-4175-83AB-F05A3C6F546A}"/>
    <cellStyle name="Normal 19 2 2 2 2 4 6" xfId="14680" xr:uid="{55CA92DE-9CDE-4D65-A7AD-509814641B68}"/>
    <cellStyle name="Normal 19 2 2 2 3" xfId="2348" xr:uid="{00000000-0005-0000-0000-0000A4150000}"/>
    <cellStyle name="Normal 19 2 2 2 4" xfId="2349" xr:uid="{00000000-0005-0000-0000-0000A5150000}"/>
    <cellStyle name="Normal 19 2 2 2 5" xfId="9358" xr:uid="{00000000-0005-0000-0000-0000A6150000}"/>
    <cellStyle name="Normal 19 2 2 2 5 2" xfId="18164" xr:uid="{C357C0F8-BEE0-40BD-91FD-96BD0787F501}"/>
    <cellStyle name="Normal 19 2 2 2 6" xfId="7755" xr:uid="{00000000-0005-0000-0000-0000A7150000}"/>
    <cellStyle name="Normal 19 2 2 2 6 2" xfId="16565" xr:uid="{56E61E03-5C95-4BDA-A06C-BB7270F0A5EB}"/>
    <cellStyle name="Normal 19 2 2 2 7" xfId="10968" xr:uid="{00000000-0005-0000-0000-0000A8150000}"/>
    <cellStyle name="Normal 19 2 2 2 7 2" xfId="19711" xr:uid="{EA4933AB-43A9-42B0-8442-22C5EB8818D0}"/>
    <cellStyle name="Normal 19 2 2 2 8" xfId="12575" xr:uid="{00000000-0005-0000-0000-0000A9150000}"/>
    <cellStyle name="Normal 19 2 2 2 8 2" xfId="21311" xr:uid="{23E95CEA-6B6F-4C51-BF3E-1BA90424B9FB}"/>
    <cellStyle name="Normal 19 2 2 2 9" xfId="14801" xr:uid="{18C006D6-E12B-48D0-8292-EB8BB4F89E49}"/>
    <cellStyle name="Normal 19 2 2 3" xfId="2350" xr:uid="{00000000-0005-0000-0000-0000AA150000}"/>
    <cellStyle name="Normal 19 2 2 3 2" xfId="2351" xr:uid="{00000000-0005-0000-0000-0000AB150000}"/>
    <cellStyle name="Normal 19 2 2 3 2 2" xfId="9363" xr:uid="{00000000-0005-0000-0000-0000AC150000}"/>
    <cellStyle name="Normal 19 2 2 3 2 2 2" xfId="18169" xr:uid="{0789E9EA-6DC5-4931-829C-F8B21F96C810}"/>
    <cellStyle name="Normal 19 2 2 3 2 3" xfId="7760" xr:uid="{00000000-0005-0000-0000-0000AD150000}"/>
    <cellStyle name="Normal 19 2 2 3 2 3 2" xfId="16570" xr:uid="{4E7A958F-56BD-4358-933D-16FCF45DD9B8}"/>
    <cellStyle name="Normal 19 2 2 3 2 4" xfId="10973" xr:uid="{00000000-0005-0000-0000-0000AE150000}"/>
    <cellStyle name="Normal 19 2 2 3 2 4 2" xfId="19716" xr:uid="{1A32141A-36C4-4D34-B922-725497B8389F}"/>
    <cellStyle name="Normal 19 2 2 3 2 5" xfId="12580" xr:uid="{00000000-0005-0000-0000-0000AF150000}"/>
    <cellStyle name="Normal 19 2 2 3 2 5 2" xfId="21316" xr:uid="{657BEC5E-2618-40D9-A224-023803C8DD45}"/>
    <cellStyle name="Normal 19 2 2 3 2 6" xfId="14319" xr:uid="{560118FA-69C3-4520-B193-C9AA5C04A012}"/>
    <cellStyle name="Normal 19 2 2 3 3" xfId="2352" xr:uid="{00000000-0005-0000-0000-0000B0150000}"/>
    <cellStyle name="Normal 19 2 2 3 3 2" xfId="9364" xr:uid="{00000000-0005-0000-0000-0000B1150000}"/>
    <cellStyle name="Normal 19 2 2 3 3 2 2" xfId="18170" xr:uid="{275A7834-FD37-4D2B-904D-6EAFE22A918D}"/>
    <cellStyle name="Normal 19 2 2 3 3 3" xfId="7761" xr:uid="{00000000-0005-0000-0000-0000B2150000}"/>
    <cellStyle name="Normal 19 2 2 3 3 3 2" xfId="16571" xr:uid="{699BD646-7F80-4D43-A798-97C266CBCF98}"/>
    <cellStyle name="Normal 19 2 2 3 3 4" xfId="10974" xr:uid="{00000000-0005-0000-0000-0000B3150000}"/>
    <cellStyle name="Normal 19 2 2 3 3 4 2" xfId="19717" xr:uid="{8641F623-542E-4845-85B8-5B1574FA3417}"/>
    <cellStyle name="Normal 19 2 2 3 3 5" xfId="12581" xr:uid="{00000000-0005-0000-0000-0000B4150000}"/>
    <cellStyle name="Normal 19 2 2 3 3 5 2" xfId="21317" xr:uid="{B9470C6F-D6E3-4C5B-ABF5-CC214B974381}"/>
    <cellStyle name="Normal 19 2 2 3 3 6" xfId="14321" xr:uid="{29106F70-0307-42DD-9F5D-7077785F96E7}"/>
    <cellStyle name="Normal 19 2 2 3 4" xfId="2353" xr:uid="{00000000-0005-0000-0000-0000B5150000}"/>
    <cellStyle name="Normal 19 2 2 3 4 2" xfId="9365" xr:uid="{00000000-0005-0000-0000-0000B6150000}"/>
    <cellStyle name="Normal 19 2 2 3 4 2 2" xfId="18171" xr:uid="{AFA73FEB-70A2-4CCE-B988-BEA003E2818E}"/>
    <cellStyle name="Normal 19 2 2 3 4 3" xfId="7762" xr:uid="{00000000-0005-0000-0000-0000B7150000}"/>
    <cellStyle name="Normal 19 2 2 3 4 3 2" xfId="16572" xr:uid="{B2CF83C1-2F8F-4A4D-ACED-CAD3E79A9850}"/>
    <cellStyle name="Normal 19 2 2 3 4 4" xfId="10975" xr:uid="{00000000-0005-0000-0000-0000B8150000}"/>
    <cellStyle name="Normal 19 2 2 3 4 4 2" xfId="19718" xr:uid="{D1023CF7-A6A6-475C-92A5-D667EE37E404}"/>
    <cellStyle name="Normal 19 2 2 3 4 5" xfId="12582" xr:uid="{00000000-0005-0000-0000-0000B9150000}"/>
    <cellStyle name="Normal 19 2 2 3 4 5 2" xfId="21318" xr:uid="{D5D18E16-9DDD-46E4-B174-F07E8EB0F680}"/>
    <cellStyle name="Normal 19 2 2 3 4 6" xfId="14324" xr:uid="{35C2306A-00FA-4BAA-A47A-9ADC16CBA865}"/>
    <cellStyle name="Normal 19 2 2 3 5" xfId="9362" xr:uid="{00000000-0005-0000-0000-0000BA150000}"/>
    <cellStyle name="Normal 19 2 2 3 5 2" xfId="18168" xr:uid="{62482BC9-9B03-4B26-971B-FF0AD8F76A66}"/>
    <cellStyle name="Normal 19 2 2 3 6" xfId="7759" xr:uid="{00000000-0005-0000-0000-0000BB150000}"/>
    <cellStyle name="Normal 19 2 2 3 6 2" xfId="16569" xr:uid="{908DC323-502B-4D42-96AF-75B19301C254}"/>
    <cellStyle name="Normal 19 2 2 3 7" xfId="10972" xr:uid="{00000000-0005-0000-0000-0000BC150000}"/>
    <cellStyle name="Normal 19 2 2 3 7 2" xfId="19715" xr:uid="{30B0EEDF-2A97-4942-99E1-AE66AFED51FF}"/>
    <cellStyle name="Normal 19 2 2 3 8" xfId="12579" xr:uid="{00000000-0005-0000-0000-0000BD150000}"/>
    <cellStyle name="Normal 19 2 2 3 8 2" xfId="21315" xr:uid="{4239D457-3F91-4A23-B394-7BAB8F658049}"/>
    <cellStyle name="Normal 19 2 2 3 9" xfId="14155" xr:uid="{93A7EEDF-1DA9-48B5-B6F0-632D2CEC09F2}"/>
    <cellStyle name="Normal 19 2 2 4" xfId="2354" xr:uid="{00000000-0005-0000-0000-0000BE150000}"/>
    <cellStyle name="Normal 19 2 2 4 2" xfId="2355" xr:uid="{00000000-0005-0000-0000-0000BF150000}"/>
    <cellStyle name="Normal 19 2 2 4 2 2" xfId="9367" xr:uid="{00000000-0005-0000-0000-0000C0150000}"/>
    <cellStyle name="Normal 19 2 2 4 2 2 2" xfId="18173" xr:uid="{79981674-F9C0-4813-8220-287CE6176D81}"/>
    <cellStyle name="Normal 19 2 2 4 2 3" xfId="7764" xr:uid="{00000000-0005-0000-0000-0000C1150000}"/>
    <cellStyle name="Normal 19 2 2 4 2 3 2" xfId="16574" xr:uid="{365905F4-5EA9-48CD-9571-3297E6106372}"/>
    <cellStyle name="Normal 19 2 2 4 2 4" xfId="10977" xr:uid="{00000000-0005-0000-0000-0000C2150000}"/>
    <cellStyle name="Normal 19 2 2 4 2 4 2" xfId="19720" xr:uid="{2CC10ACB-5F2E-4D55-A023-C8093A5991F3}"/>
    <cellStyle name="Normal 19 2 2 4 2 5" xfId="12584" xr:uid="{00000000-0005-0000-0000-0000C3150000}"/>
    <cellStyle name="Normal 19 2 2 4 2 5 2" xfId="21320" xr:uid="{AD82A44F-EB10-4C2D-BB43-274E0832FC3E}"/>
    <cellStyle name="Normal 19 2 2 4 2 6" xfId="14818" xr:uid="{FBE77D67-91A4-4AB1-A53C-7BE45A49E6B6}"/>
    <cellStyle name="Normal 19 2 2 4 3" xfId="2356" xr:uid="{00000000-0005-0000-0000-0000C4150000}"/>
    <cellStyle name="Normal 19 2 2 4 3 2" xfId="9368" xr:uid="{00000000-0005-0000-0000-0000C5150000}"/>
    <cellStyle name="Normal 19 2 2 4 3 2 2" xfId="18174" xr:uid="{AF63FBF9-4CA8-4B09-A657-95049C13C8F7}"/>
    <cellStyle name="Normal 19 2 2 4 3 3" xfId="7765" xr:uid="{00000000-0005-0000-0000-0000C6150000}"/>
    <cellStyle name="Normal 19 2 2 4 3 3 2" xfId="16575" xr:uid="{F6CC295B-74F1-415B-AD7A-A8A269A43318}"/>
    <cellStyle name="Normal 19 2 2 4 3 4" xfId="10978" xr:uid="{00000000-0005-0000-0000-0000C7150000}"/>
    <cellStyle name="Normal 19 2 2 4 3 4 2" xfId="19721" xr:uid="{06F2AF7C-A3AE-44D2-BFF8-B37A63A93D4F}"/>
    <cellStyle name="Normal 19 2 2 4 3 5" xfId="12585" xr:uid="{00000000-0005-0000-0000-0000C8150000}"/>
    <cellStyle name="Normal 19 2 2 4 3 5 2" xfId="21321" xr:uid="{DD4118DC-7A1E-452E-BD2F-98DA2377EBF6}"/>
    <cellStyle name="Normal 19 2 2 4 3 6" xfId="14132" xr:uid="{F98D6B15-9A12-4BAC-9FE7-25BEC22BBFAB}"/>
    <cellStyle name="Normal 19 2 2 4 4" xfId="2357" xr:uid="{00000000-0005-0000-0000-0000C9150000}"/>
    <cellStyle name="Normal 19 2 2 4 4 2" xfId="9369" xr:uid="{00000000-0005-0000-0000-0000CA150000}"/>
    <cellStyle name="Normal 19 2 2 4 4 2 2" xfId="18175" xr:uid="{E9100505-84C3-446C-B96C-9AB0F21F7137}"/>
    <cellStyle name="Normal 19 2 2 4 4 3" xfId="7766" xr:uid="{00000000-0005-0000-0000-0000CB150000}"/>
    <cellStyle name="Normal 19 2 2 4 4 3 2" xfId="16576" xr:uid="{DDDF30E1-7B72-42B5-A7D5-A5B070069F4D}"/>
    <cellStyle name="Normal 19 2 2 4 4 4" xfId="10979" xr:uid="{00000000-0005-0000-0000-0000CC150000}"/>
    <cellStyle name="Normal 19 2 2 4 4 4 2" xfId="19722" xr:uid="{2885F26C-14BD-495E-896E-CB02BA12C24A}"/>
    <cellStyle name="Normal 19 2 2 4 4 5" xfId="12586" xr:uid="{00000000-0005-0000-0000-0000CD150000}"/>
    <cellStyle name="Normal 19 2 2 4 4 5 2" xfId="21322" xr:uid="{EF3B984C-636F-4C56-AB9F-5CC646B6F416}"/>
    <cellStyle name="Normal 19 2 2 4 4 6" xfId="14859" xr:uid="{A2C9FF75-E2B9-41A5-A88A-0767C666FCCB}"/>
    <cellStyle name="Normal 19 2 2 4 5" xfId="9366" xr:uid="{00000000-0005-0000-0000-0000CE150000}"/>
    <cellStyle name="Normal 19 2 2 4 5 2" xfId="18172" xr:uid="{567D6FEF-77A2-424C-B141-53ED77F62BCF}"/>
    <cellStyle name="Normal 19 2 2 4 6" xfId="7763" xr:uid="{00000000-0005-0000-0000-0000CF150000}"/>
    <cellStyle name="Normal 19 2 2 4 6 2" xfId="16573" xr:uid="{AE9B974C-E2B5-40DE-9123-6F6897075958}"/>
    <cellStyle name="Normal 19 2 2 4 7" xfId="10976" xr:uid="{00000000-0005-0000-0000-0000D0150000}"/>
    <cellStyle name="Normal 19 2 2 4 7 2" xfId="19719" xr:uid="{C11A6308-6AF2-411E-84AC-5CD1F6BE2B35}"/>
    <cellStyle name="Normal 19 2 2 4 8" xfId="12583" xr:uid="{00000000-0005-0000-0000-0000D1150000}"/>
    <cellStyle name="Normal 19 2 2 4 8 2" xfId="21319" xr:uid="{8583D50C-32A5-4182-B084-9610BE1B353B}"/>
    <cellStyle name="Normal 19 2 2 4 9" xfId="13989" xr:uid="{97B1D601-1E0A-47ED-ABB9-4B9C308460AD}"/>
    <cellStyle name="Normal 19 2 2 5" xfId="2358" xr:uid="{00000000-0005-0000-0000-0000D2150000}"/>
    <cellStyle name="Normal 19 2 2 5 2" xfId="9370" xr:uid="{00000000-0005-0000-0000-0000D3150000}"/>
    <cellStyle name="Normal 19 2 2 5 2 2" xfId="18176" xr:uid="{2FBB5DEF-6C8A-4D2F-931A-6DC259CD5B98}"/>
    <cellStyle name="Normal 19 2 2 5 3" xfId="7767" xr:uid="{00000000-0005-0000-0000-0000D4150000}"/>
    <cellStyle name="Normal 19 2 2 5 3 2" xfId="16577" xr:uid="{99CC0CF4-BB70-455F-B394-1FE5494F8933}"/>
    <cellStyle name="Normal 19 2 2 5 4" xfId="10980" xr:uid="{00000000-0005-0000-0000-0000D5150000}"/>
    <cellStyle name="Normal 19 2 2 5 4 2" xfId="19723" xr:uid="{F38F649C-C1E9-48B4-AF29-E528578894A3}"/>
    <cellStyle name="Normal 19 2 2 5 5" xfId="12587" xr:uid="{00000000-0005-0000-0000-0000D6150000}"/>
    <cellStyle name="Normal 19 2 2 5 5 2" xfId="21323" xr:uid="{C3649DC8-4DD5-4E22-BFCB-99A868643CFB}"/>
    <cellStyle name="Normal 19 2 2 5 6" xfId="14320" xr:uid="{B724E59E-A279-44CF-8D33-DF29837FA765}"/>
    <cellStyle name="Normal 19 2 2 6" xfId="2359" xr:uid="{00000000-0005-0000-0000-0000D7150000}"/>
    <cellStyle name="Normal 19 2 2 6 2" xfId="9371" xr:uid="{00000000-0005-0000-0000-0000D8150000}"/>
    <cellStyle name="Normal 19 2 2 6 2 2" xfId="18177" xr:uid="{20062E26-5C6E-4B1B-80D8-A9788EFC2C68}"/>
    <cellStyle name="Normal 19 2 2 6 3" xfId="7768" xr:uid="{00000000-0005-0000-0000-0000D9150000}"/>
    <cellStyle name="Normal 19 2 2 6 3 2" xfId="16578" xr:uid="{DAD1E9CE-6CDF-4CF5-9BF9-B639E792EC7F}"/>
    <cellStyle name="Normal 19 2 2 6 4" xfId="10981" xr:uid="{00000000-0005-0000-0000-0000DA150000}"/>
    <cellStyle name="Normal 19 2 2 6 4 2" xfId="19724" xr:uid="{C6B07CE0-5CE4-489C-9A9C-E06BF080F184}"/>
    <cellStyle name="Normal 19 2 2 6 5" xfId="12588" xr:uid="{00000000-0005-0000-0000-0000DB150000}"/>
    <cellStyle name="Normal 19 2 2 6 5 2" xfId="21324" xr:uid="{0EB7E662-119B-4369-97A8-C378FA5593DF}"/>
    <cellStyle name="Normal 19 2 2 6 6" xfId="14682" xr:uid="{2DDD238B-69F3-4AB9-902C-BD44722EBAD5}"/>
    <cellStyle name="Normal 19 2 2 7" xfId="2360" xr:uid="{00000000-0005-0000-0000-0000DC150000}"/>
    <cellStyle name="Normal 19 2 2 7 2" xfId="9372" xr:uid="{00000000-0005-0000-0000-0000DD150000}"/>
    <cellStyle name="Normal 19 2 2 7 2 2" xfId="18178" xr:uid="{3C9FF49F-6D7E-4FFE-9245-FFB202EBD74B}"/>
    <cellStyle name="Normal 19 2 2 7 3" xfId="7769" xr:uid="{00000000-0005-0000-0000-0000DE150000}"/>
    <cellStyle name="Normal 19 2 2 7 3 2" xfId="16579" xr:uid="{AF732087-FBA3-4F21-9D57-870DB4F0BEAC}"/>
    <cellStyle name="Normal 19 2 2 7 4" xfId="10982" xr:uid="{00000000-0005-0000-0000-0000DF150000}"/>
    <cellStyle name="Normal 19 2 2 7 4 2" xfId="19725" xr:uid="{A25EEA9B-7267-4EA1-89AB-31F35DA4D859}"/>
    <cellStyle name="Normal 19 2 2 7 5" xfId="12589" xr:uid="{00000000-0005-0000-0000-0000E0150000}"/>
    <cellStyle name="Normal 19 2 2 7 5 2" xfId="21325" xr:uid="{4A040699-831F-42AD-94F7-BEA27FB744E2}"/>
    <cellStyle name="Normal 19 2 2 7 6" xfId="14860" xr:uid="{980126CB-7FAE-4D30-8233-0953F8A2C59B}"/>
    <cellStyle name="Normal 19 2 3" xfId="2361" xr:uid="{00000000-0005-0000-0000-0000E1150000}"/>
    <cellStyle name="Normal 19 2 3 2" xfId="2362" xr:uid="{00000000-0005-0000-0000-0000E2150000}"/>
    <cellStyle name="Normal 19 2 3 2 2" xfId="9374" xr:uid="{00000000-0005-0000-0000-0000E3150000}"/>
    <cellStyle name="Normal 19 2 3 2 2 2" xfId="18180" xr:uid="{E52191AF-52C6-4A13-B2EA-29F7F30B15D4}"/>
    <cellStyle name="Normal 19 2 3 2 3" xfId="7771" xr:uid="{00000000-0005-0000-0000-0000E4150000}"/>
    <cellStyle name="Normal 19 2 3 2 3 2" xfId="16581" xr:uid="{F4F6F1CE-A661-4478-A918-3153DC96C24D}"/>
    <cellStyle name="Normal 19 2 3 2 4" xfId="10984" xr:uid="{00000000-0005-0000-0000-0000E5150000}"/>
    <cellStyle name="Normal 19 2 3 2 4 2" xfId="19727" xr:uid="{D4911663-23AA-4A0C-B180-80F0858605B1}"/>
    <cellStyle name="Normal 19 2 3 2 5" xfId="12591" xr:uid="{00000000-0005-0000-0000-0000E6150000}"/>
    <cellStyle name="Normal 19 2 3 2 5 2" xfId="21327" xr:uid="{945E4A77-522B-4631-A130-9D04A35ED0D8}"/>
    <cellStyle name="Normal 19 2 3 2 6" xfId="13986" xr:uid="{D0DF6F67-55CA-4EF6-8223-1D2E9AB6ED9F}"/>
    <cellStyle name="Normal 19 2 3 3" xfId="2363" xr:uid="{00000000-0005-0000-0000-0000E7150000}"/>
    <cellStyle name="Normal 19 2 3 3 2" xfId="9375" xr:uid="{00000000-0005-0000-0000-0000E8150000}"/>
    <cellStyle name="Normal 19 2 3 3 2 2" xfId="18181" xr:uid="{10D86C2B-43A9-416B-A785-AB3078483B5D}"/>
    <cellStyle name="Normal 19 2 3 3 3" xfId="7772" xr:uid="{00000000-0005-0000-0000-0000E9150000}"/>
    <cellStyle name="Normal 19 2 3 3 3 2" xfId="16582" xr:uid="{089D5DFB-5EED-47B8-93A1-3E307F1B567F}"/>
    <cellStyle name="Normal 19 2 3 3 4" xfId="10985" xr:uid="{00000000-0005-0000-0000-0000EA150000}"/>
    <cellStyle name="Normal 19 2 3 3 4 2" xfId="19728" xr:uid="{7B6FF255-AAC6-4C76-BD8B-E85D7262A1D4}"/>
    <cellStyle name="Normal 19 2 3 3 5" xfId="12592" xr:uid="{00000000-0005-0000-0000-0000EB150000}"/>
    <cellStyle name="Normal 19 2 3 3 5 2" xfId="21328" xr:uid="{52AD687D-0E09-4E79-AC84-37D0E56FE8FB}"/>
    <cellStyle name="Normal 19 2 3 3 6" xfId="14059" xr:uid="{41711EE5-2027-4D0B-BFB6-1B97C63F86DD}"/>
    <cellStyle name="Normal 19 2 3 4" xfId="2364" xr:uid="{00000000-0005-0000-0000-0000EC150000}"/>
    <cellStyle name="Normal 19 2 3 4 2" xfId="9376" xr:uid="{00000000-0005-0000-0000-0000ED150000}"/>
    <cellStyle name="Normal 19 2 3 4 2 2" xfId="18182" xr:uid="{1E5C412B-3156-4566-AED3-024C52009EE4}"/>
    <cellStyle name="Normal 19 2 3 4 3" xfId="7773" xr:uid="{00000000-0005-0000-0000-0000EE150000}"/>
    <cellStyle name="Normal 19 2 3 4 3 2" xfId="16583" xr:uid="{594F2190-8118-4377-9FC6-531E8E22C22C}"/>
    <cellStyle name="Normal 19 2 3 4 4" xfId="10986" xr:uid="{00000000-0005-0000-0000-0000EF150000}"/>
    <cellStyle name="Normal 19 2 3 4 4 2" xfId="19729" xr:uid="{8B20E644-56FF-4AAC-9C33-F6ADDDD84E4F}"/>
    <cellStyle name="Normal 19 2 3 4 5" xfId="12593" xr:uid="{00000000-0005-0000-0000-0000F0150000}"/>
    <cellStyle name="Normal 19 2 3 4 5 2" xfId="21329" xr:uid="{124D2F8B-326E-4430-B795-97A64CD4DE7B}"/>
    <cellStyle name="Normal 19 2 3 4 6" xfId="14561" xr:uid="{0189CE6E-6BF7-475E-BE3D-2C7E6B3DD6EF}"/>
    <cellStyle name="Normal 19 2 3 5" xfId="9373" xr:uid="{00000000-0005-0000-0000-0000F1150000}"/>
    <cellStyle name="Normal 19 2 3 5 2" xfId="18179" xr:uid="{E910C6E7-5A3E-45FE-8A8D-3D7F0F36E55F}"/>
    <cellStyle name="Normal 19 2 3 6" xfId="7770" xr:uid="{00000000-0005-0000-0000-0000F2150000}"/>
    <cellStyle name="Normal 19 2 3 6 2" xfId="16580" xr:uid="{63DD464F-EC1B-4293-9104-E9645A1B9DF4}"/>
    <cellStyle name="Normal 19 2 3 7" xfId="10983" xr:uid="{00000000-0005-0000-0000-0000F3150000}"/>
    <cellStyle name="Normal 19 2 3 7 2" xfId="19726" xr:uid="{63BB3978-7C96-402B-AC12-64927F3F1665}"/>
    <cellStyle name="Normal 19 2 3 8" xfId="12590" xr:uid="{00000000-0005-0000-0000-0000F4150000}"/>
    <cellStyle name="Normal 19 2 3 8 2" xfId="21326" xr:uid="{52139425-2FDD-4116-83FA-2816B8163E35}"/>
    <cellStyle name="Normal 19 2 3 9" xfId="14317" xr:uid="{2C329CF6-9640-427A-BA51-7E12212AE631}"/>
    <cellStyle name="Normal 19 2 4" xfId="2365" xr:uid="{00000000-0005-0000-0000-0000F5150000}"/>
    <cellStyle name="Normal 19 2 5" xfId="2366" xr:uid="{00000000-0005-0000-0000-0000F6150000}"/>
    <cellStyle name="Normal 19 2 6" xfId="2367" xr:uid="{00000000-0005-0000-0000-0000F7150000}"/>
    <cellStyle name="Normal 19 2 6 2" xfId="9377" xr:uid="{00000000-0005-0000-0000-0000F8150000}"/>
    <cellStyle name="Normal 19 2 6 2 2" xfId="18183" xr:uid="{A2648E56-55BE-4397-B19A-F740435E2508}"/>
    <cellStyle name="Normal 19 2 6 3" xfId="7774" xr:uid="{00000000-0005-0000-0000-0000F9150000}"/>
    <cellStyle name="Normal 19 2 6 3 2" xfId="16584" xr:uid="{3468A690-820B-45BB-99E2-0AEB0283A646}"/>
    <cellStyle name="Normal 19 2 6 4" xfId="10987" xr:uid="{00000000-0005-0000-0000-0000FA150000}"/>
    <cellStyle name="Normal 19 2 6 4 2" xfId="19730" xr:uid="{21839E9D-8905-43E5-8096-279BBCB197B9}"/>
    <cellStyle name="Normal 19 2 6 5" xfId="12594" xr:uid="{00000000-0005-0000-0000-0000FB150000}"/>
    <cellStyle name="Normal 19 2 6 5 2" xfId="21330" xr:uid="{D944DAAF-2351-485F-9851-B9D08B9A73F0}"/>
    <cellStyle name="Normal 19 2 6 6" xfId="14117" xr:uid="{0C51A4AE-2A9C-4E2E-A3AF-DD15CC1C8BAF}"/>
    <cellStyle name="Normal 19 2 7" xfId="2368" xr:uid="{00000000-0005-0000-0000-0000FC150000}"/>
    <cellStyle name="Normal 19 2 7 2" xfId="9378" xr:uid="{00000000-0005-0000-0000-0000FD150000}"/>
    <cellStyle name="Normal 19 2 7 2 2" xfId="18184" xr:uid="{688E05DB-0040-4E77-B212-77049846B9C4}"/>
    <cellStyle name="Normal 19 2 7 3" xfId="7775" xr:uid="{00000000-0005-0000-0000-0000FE150000}"/>
    <cellStyle name="Normal 19 2 7 3 2" xfId="16585" xr:uid="{501360B6-FCE2-4D8D-8A36-A616D2271ACC}"/>
    <cellStyle name="Normal 19 2 7 4" xfId="10988" xr:uid="{00000000-0005-0000-0000-0000FF150000}"/>
    <cellStyle name="Normal 19 2 7 4 2" xfId="19731" xr:uid="{71CEFB2F-6B56-4D64-8074-7221AB30F6BB}"/>
    <cellStyle name="Normal 19 2 7 5" xfId="12595" xr:uid="{00000000-0005-0000-0000-000000160000}"/>
    <cellStyle name="Normal 19 2 7 5 2" xfId="21331" xr:uid="{A8C40DBD-0594-444F-8905-349EFA633BB5}"/>
    <cellStyle name="Normal 19 2 7 6" xfId="13952" xr:uid="{17A556BA-07CF-4773-8EA1-EFF2CEFF3D75}"/>
    <cellStyle name="Normal 19 2 8" xfId="2369" xr:uid="{00000000-0005-0000-0000-000001160000}"/>
    <cellStyle name="Normal 19 2 8 2" xfId="9379" xr:uid="{00000000-0005-0000-0000-000002160000}"/>
    <cellStyle name="Normal 19 2 8 2 2" xfId="18185" xr:uid="{A72C4CDF-B497-40D1-B49F-1657E7AFBA9D}"/>
    <cellStyle name="Normal 19 2 8 3" xfId="7776" xr:uid="{00000000-0005-0000-0000-000003160000}"/>
    <cellStyle name="Normal 19 2 8 3 2" xfId="16586" xr:uid="{F95C6A91-6767-4723-A4F9-14C96C5D09B0}"/>
    <cellStyle name="Normal 19 2 8 4" xfId="10989" xr:uid="{00000000-0005-0000-0000-000004160000}"/>
    <cellStyle name="Normal 19 2 8 4 2" xfId="19732" xr:uid="{92C74F5A-AAFA-40C4-9B3B-425EEDD3C53F}"/>
    <cellStyle name="Normal 19 2 8 5" xfId="12596" xr:uid="{00000000-0005-0000-0000-000005160000}"/>
    <cellStyle name="Normal 19 2 8 5 2" xfId="21332" xr:uid="{47FA7D1E-4460-478D-AD30-090DD5D635D6}"/>
    <cellStyle name="Normal 19 2 8 6" xfId="13961" xr:uid="{4034A846-A912-48EE-8985-025055AE6D95}"/>
    <cellStyle name="Normal 19 2 9" xfId="9357" xr:uid="{00000000-0005-0000-0000-000006160000}"/>
    <cellStyle name="Normal 19 2 9 2" xfId="18163" xr:uid="{A0FD71D7-8174-4EE1-A937-163726DE0D83}"/>
    <cellStyle name="Normal 19 3" xfId="2370" xr:uid="{00000000-0005-0000-0000-000007160000}"/>
    <cellStyle name="Normal 19 4" xfId="2340" xr:uid="{00000000-0005-0000-0000-000008160000}"/>
    <cellStyle name="Normal 19 5" xfId="10632" xr:uid="{00000000-0005-0000-0000-000009160000}"/>
    <cellStyle name="Normal 190" xfId="7417" xr:uid="{00000000-0005-0000-0000-00000A160000}"/>
    <cellStyle name="Normal 190 2" xfId="16233" xr:uid="{88715F66-1A18-4FAA-9F57-E9EDB2FD47C0}"/>
    <cellStyle name="Normal 191" xfId="10488" xr:uid="{00000000-0005-0000-0000-00000B160000}"/>
    <cellStyle name="Normal 191 2" xfId="19272" xr:uid="{4BDB8D32-D241-4B33-B4BD-B6560AE3B684}"/>
    <cellStyle name="Normal 192" xfId="7437" xr:uid="{00000000-0005-0000-0000-00000C160000}"/>
    <cellStyle name="Normal 192 2" xfId="16249" xr:uid="{042B5867-D956-466D-BF77-B427E76F2165}"/>
    <cellStyle name="Normal 193" xfId="10483" xr:uid="{00000000-0005-0000-0000-00000D160000}"/>
    <cellStyle name="Normal 193 2" xfId="19267" xr:uid="{D0269B8C-0299-4837-8377-C0B9EE1407C1}"/>
    <cellStyle name="Normal 194" xfId="10484" xr:uid="{00000000-0005-0000-0000-00000E160000}"/>
    <cellStyle name="Normal 194 2" xfId="19268" xr:uid="{527C2F70-F768-47A2-AA2C-9A4436932C9B}"/>
    <cellStyle name="Normal 195" xfId="10495" xr:uid="{00000000-0005-0000-0000-00000F160000}"/>
    <cellStyle name="Normal 195 2" xfId="19278" xr:uid="{9D45AE49-D1C0-4C64-8EC4-CC02EEEFCD01}"/>
    <cellStyle name="Normal 196" xfId="7441" xr:uid="{00000000-0005-0000-0000-000010160000}"/>
    <cellStyle name="Normal 196 2" xfId="16251" xr:uid="{0528C153-B548-4C38-B95A-B4C23FF605D0}"/>
    <cellStyle name="Normal 197" xfId="10485" xr:uid="{00000000-0005-0000-0000-000011160000}"/>
    <cellStyle name="Normal 197 2" xfId="19269" xr:uid="{10AA01E4-9836-4513-A5BA-BF6F1D91845C}"/>
    <cellStyle name="Normal 198" xfId="10493" xr:uid="{00000000-0005-0000-0000-000012160000}"/>
    <cellStyle name="Normal 198 2" xfId="19276" xr:uid="{4FEF6AB8-D28C-47B2-8B7E-C461AD1111DC}"/>
    <cellStyle name="Normal 199" xfId="10498" xr:uid="{00000000-0005-0000-0000-000013160000}"/>
    <cellStyle name="Normal 199 2" xfId="19281" xr:uid="{03785BBA-375A-4066-8AE6-3772B8518FA6}"/>
    <cellStyle name="Normal 2" xfId="101" xr:uid="{00000000-0005-0000-0000-000014160000}"/>
    <cellStyle name="Normal 2 10" xfId="7777" xr:uid="{00000000-0005-0000-0000-000015160000}"/>
    <cellStyle name="Normal 2 103" xfId="4901" xr:uid="{00000000-0005-0000-0000-000016160000}"/>
    <cellStyle name="Normal 2 11" xfId="7410" xr:uid="{00000000-0005-0000-0000-000017160000}"/>
    <cellStyle name="Normal 2 11 2" xfId="16227" xr:uid="{6A0F125F-21AC-48EA-91DE-B07AD127F608}"/>
    <cellStyle name="Normal 2 2" xfId="128" xr:uid="{00000000-0005-0000-0000-000018160000}"/>
    <cellStyle name="Normal 2 2 10" xfId="2371" xr:uid="{00000000-0005-0000-0000-000019160000}"/>
    <cellStyle name="Normal 2 2 10 2" xfId="2372" xr:uid="{00000000-0005-0000-0000-00001A160000}"/>
    <cellStyle name="Normal 2 2 11" xfId="2373" xr:uid="{00000000-0005-0000-0000-00001B160000}"/>
    <cellStyle name="Normal 2 2 11 2" xfId="2374" xr:uid="{00000000-0005-0000-0000-00001C160000}"/>
    <cellStyle name="Normal 2 2 12" xfId="2375" xr:uid="{00000000-0005-0000-0000-00001D160000}"/>
    <cellStyle name="Normal 2 2 12 2" xfId="2376" xr:uid="{00000000-0005-0000-0000-00001E160000}"/>
    <cellStyle name="Normal 2 2 13" xfId="2377" xr:uid="{00000000-0005-0000-0000-00001F160000}"/>
    <cellStyle name="Normal 2 2 13 2" xfId="2378" xr:uid="{00000000-0005-0000-0000-000020160000}"/>
    <cellStyle name="Normal 2 2 14" xfId="2379" xr:uid="{00000000-0005-0000-0000-000021160000}"/>
    <cellStyle name="Normal 2 2 14 2" xfId="2380" xr:uid="{00000000-0005-0000-0000-000022160000}"/>
    <cellStyle name="Normal 2 2 15" xfId="2381" xr:uid="{00000000-0005-0000-0000-000023160000}"/>
    <cellStyle name="Normal 2 2 15 2" xfId="2382" xr:uid="{00000000-0005-0000-0000-000024160000}"/>
    <cellStyle name="Normal 2 2 16" xfId="2383" xr:uid="{00000000-0005-0000-0000-000025160000}"/>
    <cellStyle name="Normal 2 2 16 2" xfId="2384" xr:uid="{00000000-0005-0000-0000-000026160000}"/>
    <cellStyle name="Normal 2 2 17" xfId="2385" xr:uid="{00000000-0005-0000-0000-000027160000}"/>
    <cellStyle name="Normal 2 2 17 2" xfId="2386" xr:uid="{00000000-0005-0000-0000-000028160000}"/>
    <cellStyle name="Normal 2 2 18" xfId="2387" xr:uid="{00000000-0005-0000-0000-000029160000}"/>
    <cellStyle name="Normal 2 2 18 2" xfId="2388" xr:uid="{00000000-0005-0000-0000-00002A160000}"/>
    <cellStyle name="Normal 2 2 19" xfId="2389" xr:uid="{00000000-0005-0000-0000-00002B160000}"/>
    <cellStyle name="Normal 2 2 19 2" xfId="2390" xr:uid="{00000000-0005-0000-0000-00002C160000}"/>
    <cellStyle name="Normal 2 2 19 2 2" xfId="2391" xr:uid="{00000000-0005-0000-0000-00002D160000}"/>
    <cellStyle name="Normal 2 2 19 3" xfId="2392" xr:uid="{00000000-0005-0000-0000-00002E160000}"/>
    <cellStyle name="Normal 2 2 19 3 2" xfId="2393" xr:uid="{00000000-0005-0000-0000-00002F160000}"/>
    <cellStyle name="Normal 2 2 19 4" xfId="2394" xr:uid="{00000000-0005-0000-0000-000030160000}"/>
    <cellStyle name="Normal 2 2 19 4 2" xfId="2395" xr:uid="{00000000-0005-0000-0000-000031160000}"/>
    <cellStyle name="Normal 2 2 19 5" xfId="2396" xr:uid="{00000000-0005-0000-0000-000032160000}"/>
    <cellStyle name="Normal 2 2 19 5 2" xfId="2397" xr:uid="{00000000-0005-0000-0000-000033160000}"/>
    <cellStyle name="Normal 2 2 19 6" xfId="2398" xr:uid="{00000000-0005-0000-0000-000034160000}"/>
    <cellStyle name="Normal 2 2 19 6 2" xfId="2399" xr:uid="{00000000-0005-0000-0000-000035160000}"/>
    <cellStyle name="Normal 2 2 19 7" xfId="2400" xr:uid="{00000000-0005-0000-0000-000036160000}"/>
    <cellStyle name="Normal 2 2 2" xfId="140" xr:uid="{00000000-0005-0000-0000-000037160000}"/>
    <cellStyle name="Normal 2 2 2 10" xfId="2401" xr:uid="{00000000-0005-0000-0000-000038160000}"/>
    <cellStyle name="Normal 2 2 2 2" xfId="2402" xr:uid="{00000000-0005-0000-0000-000039160000}"/>
    <cellStyle name="Normal 2 2 2 2 2" xfId="2403" xr:uid="{00000000-0005-0000-0000-00003A160000}"/>
    <cellStyle name="Normal 2 2 2 2 2 2" xfId="2404" xr:uid="{00000000-0005-0000-0000-00003B160000}"/>
    <cellStyle name="Normal 2 2 2 2 2 2 2" xfId="2405" xr:uid="{00000000-0005-0000-0000-00003C160000}"/>
    <cellStyle name="Normal 2 2 2 2 2 2 2 2" xfId="2406" xr:uid="{00000000-0005-0000-0000-00003D160000}"/>
    <cellStyle name="Normal 2 2 2 2 2 2 3" xfId="2407" xr:uid="{00000000-0005-0000-0000-00003E160000}"/>
    <cellStyle name="Normal 2 2 2 2 2 2 3 2" xfId="2408" xr:uid="{00000000-0005-0000-0000-00003F160000}"/>
    <cellStyle name="Normal 2 2 2 2 2 2 4" xfId="2409" xr:uid="{00000000-0005-0000-0000-000040160000}"/>
    <cellStyle name="Normal 2 2 2 2 2 2 4 2" xfId="2410" xr:uid="{00000000-0005-0000-0000-000041160000}"/>
    <cellStyle name="Normal 2 2 2 2 2 2 5" xfId="2411" xr:uid="{00000000-0005-0000-0000-000042160000}"/>
    <cellStyle name="Normal 2 2 2 2 2 2 5 2" xfId="2412" xr:uid="{00000000-0005-0000-0000-000043160000}"/>
    <cellStyle name="Normal 2 2 2 2 2 2 6" xfId="2413" xr:uid="{00000000-0005-0000-0000-000044160000}"/>
    <cellStyle name="Normal 2 2 2 2 2 2 6 2" xfId="2414" xr:uid="{00000000-0005-0000-0000-000045160000}"/>
    <cellStyle name="Normal 2 2 2 2 2 2 7" xfId="2415" xr:uid="{00000000-0005-0000-0000-000046160000}"/>
    <cellStyle name="Normal 2 2 2 2 2 3" xfId="2416" xr:uid="{00000000-0005-0000-0000-000047160000}"/>
    <cellStyle name="Normal 2 2 2 2 2 3 2" xfId="2417" xr:uid="{00000000-0005-0000-0000-000048160000}"/>
    <cellStyle name="Normal 2 2 2 2 2 4" xfId="2418" xr:uid="{00000000-0005-0000-0000-000049160000}"/>
    <cellStyle name="Normal 2 2 2 2 2 4 2" xfId="2419" xr:uid="{00000000-0005-0000-0000-00004A160000}"/>
    <cellStyle name="Normal 2 2 2 2 2 5" xfId="2420" xr:uid="{00000000-0005-0000-0000-00004B160000}"/>
    <cellStyle name="Normal 2 2 2 2 2 5 2" xfId="2421" xr:uid="{00000000-0005-0000-0000-00004C160000}"/>
    <cellStyle name="Normal 2 2 2 2 2 6" xfId="2422" xr:uid="{00000000-0005-0000-0000-00004D160000}"/>
    <cellStyle name="Normal 2 2 2 2 2 6 2" xfId="2423" xr:uid="{00000000-0005-0000-0000-00004E160000}"/>
    <cellStyle name="Normal 2 2 2 2 2 7" xfId="2424" xr:uid="{00000000-0005-0000-0000-00004F160000}"/>
    <cellStyle name="Normal 2 2 2 2 2 7 2" xfId="2425" xr:uid="{00000000-0005-0000-0000-000050160000}"/>
    <cellStyle name="Normal 2 2 2 2 2 8" xfId="2426" xr:uid="{00000000-0005-0000-0000-000051160000}"/>
    <cellStyle name="Normal 2 2 2 2 2 8 2" xfId="2427" xr:uid="{00000000-0005-0000-0000-000052160000}"/>
    <cellStyle name="Normal 2 2 2 2 2 9" xfId="2428" xr:uid="{00000000-0005-0000-0000-000053160000}"/>
    <cellStyle name="Normal 2 2 2 2 3" xfId="2429" xr:uid="{00000000-0005-0000-0000-000054160000}"/>
    <cellStyle name="Normal 2 2 2 2 3 2" xfId="2430" xr:uid="{00000000-0005-0000-0000-000055160000}"/>
    <cellStyle name="Normal 2 2 2 2 3 2 2" xfId="2431" xr:uid="{00000000-0005-0000-0000-000056160000}"/>
    <cellStyle name="Normal 2 2 2 2 3 3" xfId="2432" xr:uid="{00000000-0005-0000-0000-000057160000}"/>
    <cellStyle name="Normal 2 2 2 2 3 3 2" xfId="2433" xr:uid="{00000000-0005-0000-0000-000058160000}"/>
    <cellStyle name="Normal 2 2 2 2 3 4" xfId="2434" xr:uid="{00000000-0005-0000-0000-000059160000}"/>
    <cellStyle name="Normal 2 2 2 2 3 4 2" xfId="2435" xr:uid="{00000000-0005-0000-0000-00005A160000}"/>
    <cellStyle name="Normal 2 2 2 2 3 5" xfId="2436" xr:uid="{00000000-0005-0000-0000-00005B160000}"/>
    <cellStyle name="Normal 2 2 2 2 3 5 2" xfId="2437" xr:uid="{00000000-0005-0000-0000-00005C160000}"/>
    <cellStyle name="Normal 2 2 2 2 3 6" xfId="2438" xr:uid="{00000000-0005-0000-0000-00005D160000}"/>
    <cellStyle name="Normal 2 2 2 2 3 6 2" xfId="2439" xr:uid="{00000000-0005-0000-0000-00005E160000}"/>
    <cellStyle name="Normal 2 2 2 2 3 7" xfId="2440" xr:uid="{00000000-0005-0000-0000-00005F160000}"/>
    <cellStyle name="Normal 2 2 2 2 4" xfId="2441" xr:uid="{00000000-0005-0000-0000-000060160000}"/>
    <cellStyle name="Normal 2 2 2 2 4 2" xfId="2442" xr:uid="{00000000-0005-0000-0000-000061160000}"/>
    <cellStyle name="Normal 2 2 2 2 5" xfId="2443" xr:uid="{00000000-0005-0000-0000-000062160000}"/>
    <cellStyle name="Normal 2 2 2 2 5 2" xfId="2444" xr:uid="{00000000-0005-0000-0000-000063160000}"/>
    <cellStyle name="Normal 2 2 2 2 6" xfId="2445" xr:uid="{00000000-0005-0000-0000-000064160000}"/>
    <cellStyle name="Normal 2 2 2 2 6 2" xfId="2446" xr:uid="{00000000-0005-0000-0000-000065160000}"/>
    <cellStyle name="Normal 2 2 2 2 7" xfId="2447" xr:uid="{00000000-0005-0000-0000-000066160000}"/>
    <cellStyle name="Normal 2 2 2 2 7 2" xfId="2448" xr:uid="{00000000-0005-0000-0000-000067160000}"/>
    <cellStyle name="Normal 2 2 2 2 8" xfId="2449" xr:uid="{00000000-0005-0000-0000-000068160000}"/>
    <cellStyle name="Normal 2 2 2 2 8 2" xfId="2450" xr:uid="{00000000-0005-0000-0000-000069160000}"/>
    <cellStyle name="Normal 2 2 2 2 9" xfId="2451" xr:uid="{00000000-0005-0000-0000-00006A160000}"/>
    <cellStyle name="Normal 2 2 2 3" xfId="2452" xr:uid="{00000000-0005-0000-0000-00006B160000}"/>
    <cellStyle name="Normal 2 2 2 3 2" xfId="2453" xr:uid="{00000000-0005-0000-0000-00006C160000}"/>
    <cellStyle name="Normal 2 2 2 3 2 2" xfId="2454" xr:uid="{00000000-0005-0000-0000-00006D160000}"/>
    <cellStyle name="Normal 2 2 2 3 3" xfId="2455" xr:uid="{00000000-0005-0000-0000-00006E160000}"/>
    <cellStyle name="Normal 2 2 2 3 3 2" xfId="2456" xr:uid="{00000000-0005-0000-0000-00006F160000}"/>
    <cellStyle name="Normal 2 2 2 3 4" xfId="2457" xr:uid="{00000000-0005-0000-0000-000070160000}"/>
    <cellStyle name="Normal 2 2 2 3 4 2" xfId="2458" xr:uid="{00000000-0005-0000-0000-000071160000}"/>
    <cellStyle name="Normal 2 2 2 3 5" xfId="2459" xr:uid="{00000000-0005-0000-0000-000072160000}"/>
    <cellStyle name="Normal 2 2 2 3 5 2" xfId="2460" xr:uid="{00000000-0005-0000-0000-000073160000}"/>
    <cellStyle name="Normal 2 2 2 3 6" xfId="2461" xr:uid="{00000000-0005-0000-0000-000074160000}"/>
    <cellStyle name="Normal 2 2 2 3 6 2" xfId="2462" xr:uid="{00000000-0005-0000-0000-000075160000}"/>
    <cellStyle name="Normal 2 2 2 3 7" xfId="2463" xr:uid="{00000000-0005-0000-0000-000076160000}"/>
    <cellStyle name="Normal 2 2 2 4" xfId="2464" xr:uid="{00000000-0005-0000-0000-000077160000}"/>
    <cellStyle name="Normal 2 2 2 4 2" xfId="2465" xr:uid="{00000000-0005-0000-0000-000078160000}"/>
    <cellStyle name="Normal 2 2 2 5" xfId="2466" xr:uid="{00000000-0005-0000-0000-000079160000}"/>
    <cellStyle name="Normal 2 2 2 5 2" xfId="2467" xr:uid="{00000000-0005-0000-0000-00007A160000}"/>
    <cellStyle name="Normal 2 2 2 6" xfId="2468" xr:uid="{00000000-0005-0000-0000-00007B160000}"/>
    <cellStyle name="Normal 2 2 2 6 2" xfId="2469" xr:uid="{00000000-0005-0000-0000-00007C160000}"/>
    <cellStyle name="Normal 2 2 2 7" xfId="2470" xr:uid="{00000000-0005-0000-0000-00007D160000}"/>
    <cellStyle name="Normal 2 2 2 7 2" xfId="2471" xr:uid="{00000000-0005-0000-0000-00007E160000}"/>
    <cellStyle name="Normal 2 2 2 8" xfId="2472" xr:uid="{00000000-0005-0000-0000-00007F160000}"/>
    <cellStyle name="Normal 2 2 2 8 2" xfId="2473" xr:uid="{00000000-0005-0000-0000-000080160000}"/>
    <cellStyle name="Normal 2 2 2 9" xfId="2474" xr:uid="{00000000-0005-0000-0000-000081160000}"/>
    <cellStyle name="Normal 2 2 20" xfId="2475" xr:uid="{00000000-0005-0000-0000-000082160000}"/>
    <cellStyle name="Normal 2 2 20 2" xfId="2476" xr:uid="{00000000-0005-0000-0000-000083160000}"/>
    <cellStyle name="Normal 2 2 21" xfId="2477" xr:uid="{00000000-0005-0000-0000-000084160000}"/>
    <cellStyle name="Normal 2 2 21 2" xfId="2478" xr:uid="{00000000-0005-0000-0000-000085160000}"/>
    <cellStyle name="Normal 2 2 22" xfId="2479" xr:uid="{00000000-0005-0000-0000-000086160000}"/>
    <cellStyle name="Normal 2 2 22 2" xfId="2480" xr:uid="{00000000-0005-0000-0000-000087160000}"/>
    <cellStyle name="Normal 2 2 23" xfId="2481" xr:uid="{00000000-0005-0000-0000-000088160000}"/>
    <cellStyle name="Normal 2 2 23 2" xfId="2482" xr:uid="{00000000-0005-0000-0000-000089160000}"/>
    <cellStyle name="Normal 2 2 24" xfId="2483" xr:uid="{00000000-0005-0000-0000-00008A160000}"/>
    <cellStyle name="Normal 2 2 24 2" xfId="2484" xr:uid="{00000000-0005-0000-0000-00008B160000}"/>
    <cellStyle name="Normal 2 2 25" xfId="2485" xr:uid="{00000000-0005-0000-0000-00008C160000}"/>
    <cellStyle name="Normal 2 2 25 10" xfId="12597" xr:uid="{00000000-0005-0000-0000-00008D160000}"/>
    <cellStyle name="Normal 2 2 25 10 2" xfId="21333" xr:uid="{46EC4046-CAEF-4E0C-8207-4D641D0BD11C}"/>
    <cellStyle name="Normal 2 2 25 11" xfId="14274" xr:uid="{744A3EDB-1017-430B-BB40-4FF3003B0528}"/>
    <cellStyle name="Normal 2 2 25 2" xfId="2486" xr:uid="{00000000-0005-0000-0000-00008E160000}"/>
    <cellStyle name="Normal 2 2 25 2 2" xfId="2487" xr:uid="{00000000-0005-0000-0000-00008F160000}"/>
    <cellStyle name="Normal 2 2 25 2 2 2" xfId="9382" xr:uid="{00000000-0005-0000-0000-000090160000}"/>
    <cellStyle name="Normal 2 2 25 2 2 2 2" xfId="18188" xr:uid="{F955F546-4372-489E-A2BB-E1031F597F2F}"/>
    <cellStyle name="Normal 2 2 25 2 2 3" xfId="7780" xr:uid="{00000000-0005-0000-0000-000091160000}"/>
    <cellStyle name="Normal 2 2 25 2 2 3 2" xfId="16589" xr:uid="{0E748492-0E95-4564-BA7A-4535E08042E4}"/>
    <cellStyle name="Normal 2 2 25 2 2 4" xfId="10992" xr:uid="{00000000-0005-0000-0000-000092160000}"/>
    <cellStyle name="Normal 2 2 25 2 2 4 2" xfId="19735" xr:uid="{8C0E77D7-F073-4F60-B4CC-DC5C4628ED3D}"/>
    <cellStyle name="Normal 2 2 25 2 2 5" xfId="12599" xr:uid="{00000000-0005-0000-0000-000093160000}"/>
    <cellStyle name="Normal 2 2 25 2 2 5 2" xfId="21335" xr:uid="{F88E70B7-757D-4022-8D08-C3DDDD2CD687}"/>
    <cellStyle name="Normal 2 2 25 2 2 6" xfId="14676" xr:uid="{877B8055-0ED2-45EA-84C8-1C0CC91AE9B6}"/>
    <cellStyle name="Normal 2 2 25 2 3" xfId="2488" xr:uid="{00000000-0005-0000-0000-000094160000}"/>
    <cellStyle name="Normal 2 2 25 2 3 2" xfId="9383" xr:uid="{00000000-0005-0000-0000-000095160000}"/>
    <cellStyle name="Normal 2 2 25 2 3 2 2" xfId="18189" xr:uid="{199C2535-4446-4269-8C71-BDBE2B85A5F2}"/>
    <cellStyle name="Normal 2 2 25 2 3 3" xfId="7781" xr:uid="{00000000-0005-0000-0000-000096160000}"/>
    <cellStyle name="Normal 2 2 25 2 3 3 2" xfId="16590" xr:uid="{BE2FFCEA-3336-4B39-B638-58D6B5920E5A}"/>
    <cellStyle name="Normal 2 2 25 2 3 4" xfId="10993" xr:uid="{00000000-0005-0000-0000-000097160000}"/>
    <cellStyle name="Normal 2 2 25 2 3 4 2" xfId="19736" xr:uid="{1553DE80-6C11-41B0-8E50-75ADC13F7F96}"/>
    <cellStyle name="Normal 2 2 25 2 3 5" xfId="12600" xr:uid="{00000000-0005-0000-0000-000098160000}"/>
    <cellStyle name="Normal 2 2 25 2 3 5 2" xfId="21336" xr:uid="{F61BF73F-04B0-43E8-81C7-B8C863B7724E}"/>
    <cellStyle name="Normal 2 2 25 2 3 6" xfId="14835" xr:uid="{1C5BFAE1-AB6A-4778-88B3-47B3FB392F1C}"/>
    <cellStyle name="Normal 2 2 25 2 4" xfId="2489" xr:uid="{00000000-0005-0000-0000-000099160000}"/>
    <cellStyle name="Normal 2 2 25 2 4 2" xfId="9384" xr:uid="{00000000-0005-0000-0000-00009A160000}"/>
    <cellStyle name="Normal 2 2 25 2 4 2 2" xfId="18190" xr:uid="{4C59D8F6-97E4-4C69-9355-9CDBE1520D38}"/>
    <cellStyle name="Normal 2 2 25 2 4 3" xfId="7782" xr:uid="{00000000-0005-0000-0000-00009B160000}"/>
    <cellStyle name="Normal 2 2 25 2 4 3 2" xfId="16591" xr:uid="{F717F225-420C-4B8C-8EE6-77CC7B341DB9}"/>
    <cellStyle name="Normal 2 2 25 2 4 4" xfId="10994" xr:uid="{00000000-0005-0000-0000-00009C160000}"/>
    <cellStyle name="Normal 2 2 25 2 4 4 2" xfId="19737" xr:uid="{DB8CD58E-4B34-40FC-81CE-B49DE02BE547}"/>
    <cellStyle name="Normal 2 2 25 2 4 5" xfId="12601" xr:uid="{00000000-0005-0000-0000-00009D160000}"/>
    <cellStyle name="Normal 2 2 25 2 4 5 2" xfId="21337" xr:uid="{FBF93C11-8558-43F9-ABDC-BA87B630E43C}"/>
    <cellStyle name="Normal 2 2 25 2 4 6" xfId="14224" xr:uid="{7BF7BE6D-BB76-4915-8F77-80A581631B5C}"/>
    <cellStyle name="Normal 2 2 25 2 5" xfId="9381" xr:uid="{00000000-0005-0000-0000-00009E160000}"/>
    <cellStyle name="Normal 2 2 25 2 5 2" xfId="18187" xr:uid="{5CFA5C31-BAA3-4622-89E3-4556C90F1EBF}"/>
    <cellStyle name="Normal 2 2 25 2 6" xfId="7779" xr:uid="{00000000-0005-0000-0000-00009F160000}"/>
    <cellStyle name="Normal 2 2 25 2 6 2" xfId="16588" xr:uid="{EB8D4508-CBF3-4DF2-BCD3-6828AA831E45}"/>
    <cellStyle name="Normal 2 2 25 2 7" xfId="10991" xr:uid="{00000000-0005-0000-0000-0000A0160000}"/>
    <cellStyle name="Normal 2 2 25 2 7 2" xfId="19734" xr:uid="{F9934A9E-8658-43FD-A302-4A542028F176}"/>
    <cellStyle name="Normal 2 2 25 2 8" xfId="12598" xr:uid="{00000000-0005-0000-0000-0000A1160000}"/>
    <cellStyle name="Normal 2 2 25 2 8 2" xfId="21334" xr:uid="{4DE10A78-6940-4EB8-8BFB-7EA86488EFFD}"/>
    <cellStyle name="Normal 2 2 25 2 9" xfId="14147" xr:uid="{67B4FC56-200E-43D8-8C3E-DC8A95AE5354}"/>
    <cellStyle name="Normal 2 2 25 3" xfId="2490" xr:uid="{00000000-0005-0000-0000-0000A2160000}"/>
    <cellStyle name="Normal 2 2 25 3 2" xfId="2491" xr:uid="{00000000-0005-0000-0000-0000A3160000}"/>
    <cellStyle name="Normal 2 2 25 3 2 2" xfId="9386" xr:uid="{00000000-0005-0000-0000-0000A4160000}"/>
    <cellStyle name="Normal 2 2 25 3 2 2 2" xfId="18192" xr:uid="{1AA493F9-D6D8-401E-A2B5-6922A48276A7}"/>
    <cellStyle name="Normal 2 2 25 3 2 3" xfId="7784" xr:uid="{00000000-0005-0000-0000-0000A5160000}"/>
    <cellStyle name="Normal 2 2 25 3 2 3 2" xfId="16593" xr:uid="{747AFC92-3F54-4217-874D-51AA3379ADF9}"/>
    <cellStyle name="Normal 2 2 25 3 2 4" xfId="10996" xr:uid="{00000000-0005-0000-0000-0000A6160000}"/>
    <cellStyle name="Normal 2 2 25 3 2 4 2" xfId="19739" xr:uid="{42B8556B-1B8B-4B16-861E-E9E7CB830F18}"/>
    <cellStyle name="Normal 2 2 25 3 2 5" xfId="12603" xr:uid="{00000000-0005-0000-0000-0000A7160000}"/>
    <cellStyle name="Normal 2 2 25 3 2 5 2" xfId="21339" xr:uid="{E993EAF8-03AF-4040-9F0B-D312A3A034D0}"/>
    <cellStyle name="Normal 2 2 25 3 2 6" xfId="14202" xr:uid="{EDA7ED81-0369-4C83-91DF-0FDFB81FC39D}"/>
    <cellStyle name="Normal 2 2 25 3 3" xfId="2492" xr:uid="{00000000-0005-0000-0000-0000A8160000}"/>
    <cellStyle name="Normal 2 2 25 3 3 2" xfId="9387" xr:uid="{00000000-0005-0000-0000-0000A9160000}"/>
    <cellStyle name="Normal 2 2 25 3 3 2 2" xfId="18193" xr:uid="{C4BEA087-D40A-4234-86A9-A645053626BD}"/>
    <cellStyle name="Normal 2 2 25 3 3 3" xfId="7785" xr:uid="{00000000-0005-0000-0000-0000AA160000}"/>
    <cellStyle name="Normal 2 2 25 3 3 3 2" xfId="16594" xr:uid="{3D20E4F0-DE79-4C19-8151-513F136BE1A8}"/>
    <cellStyle name="Normal 2 2 25 3 3 4" xfId="10997" xr:uid="{00000000-0005-0000-0000-0000AB160000}"/>
    <cellStyle name="Normal 2 2 25 3 3 4 2" xfId="19740" xr:uid="{A7228620-539B-4685-95AF-B83C8ABBDFC2}"/>
    <cellStyle name="Normal 2 2 25 3 3 5" xfId="12604" xr:uid="{00000000-0005-0000-0000-0000AC160000}"/>
    <cellStyle name="Normal 2 2 25 3 3 5 2" xfId="21340" xr:uid="{C57F0C9C-74BB-4631-83DE-BC9852A48A77}"/>
    <cellStyle name="Normal 2 2 25 3 3 6" xfId="13921" xr:uid="{6A1F3509-0E02-4E60-A8CB-1D3C8E833199}"/>
    <cellStyle name="Normal 2 2 25 3 4" xfId="2493" xr:uid="{00000000-0005-0000-0000-0000AD160000}"/>
    <cellStyle name="Normal 2 2 25 3 4 2" xfId="9388" xr:uid="{00000000-0005-0000-0000-0000AE160000}"/>
    <cellStyle name="Normal 2 2 25 3 4 2 2" xfId="18194" xr:uid="{352001E7-123B-429A-89D6-D6F081A99DD0}"/>
    <cellStyle name="Normal 2 2 25 3 4 3" xfId="7786" xr:uid="{00000000-0005-0000-0000-0000AF160000}"/>
    <cellStyle name="Normal 2 2 25 3 4 3 2" xfId="16595" xr:uid="{284E1254-0BDD-4122-8159-E4D394958DAC}"/>
    <cellStyle name="Normal 2 2 25 3 4 4" xfId="10998" xr:uid="{00000000-0005-0000-0000-0000B0160000}"/>
    <cellStyle name="Normal 2 2 25 3 4 4 2" xfId="19741" xr:uid="{FB0482A3-DCD7-4187-A2D1-C174ABC2B6E8}"/>
    <cellStyle name="Normal 2 2 25 3 4 5" xfId="12605" xr:uid="{00000000-0005-0000-0000-0000B1160000}"/>
    <cellStyle name="Normal 2 2 25 3 4 5 2" xfId="21341" xr:uid="{4AEE1E6C-C63D-42CE-9A03-FD78B3885F8D}"/>
    <cellStyle name="Normal 2 2 25 3 4 6" xfId="13915" xr:uid="{CC6F168D-30D5-476C-9F61-E446266DC60A}"/>
    <cellStyle name="Normal 2 2 25 3 5" xfId="9385" xr:uid="{00000000-0005-0000-0000-0000B2160000}"/>
    <cellStyle name="Normal 2 2 25 3 5 2" xfId="18191" xr:uid="{6EB5C708-7788-49C4-9171-77D0CDE3FBF6}"/>
    <cellStyle name="Normal 2 2 25 3 6" xfId="7783" xr:uid="{00000000-0005-0000-0000-0000B3160000}"/>
    <cellStyle name="Normal 2 2 25 3 6 2" xfId="16592" xr:uid="{EF7A6059-CB04-481A-9C84-1F0593213AED}"/>
    <cellStyle name="Normal 2 2 25 3 7" xfId="10995" xr:uid="{00000000-0005-0000-0000-0000B4160000}"/>
    <cellStyle name="Normal 2 2 25 3 7 2" xfId="19738" xr:uid="{6B4EAFF8-E3C9-4143-A400-A034CD50D74D}"/>
    <cellStyle name="Normal 2 2 25 3 8" xfId="12602" xr:uid="{00000000-0005-0000-0000-0000B5160000}"/>
    <cellStyle name="Normal 2 2 25 3 8 2" xfId="21338" xr:uid="{784B627F-0F46-4FE6-990A-81F398B14855}"/>
    <cellStyle name="Normal 2 2 25 3 9" xfId="14704" xr:uid="{9C726942-FA87-47C9-8B95-79535B6F55DA}"/>
    <cellStyle name="Normal 2 2 25 4" xfId="2494" xr:uid="{00000000-0005-0000-0000-0000B6160000}"/>
    <cellStyle name="Normal 2 2 25 4 2" xfId="9389" xr:uid="{00000000-0005-0000-0000-0000B7160000}"/>
    <cellStyle name="Normal 2 2 25 4 2 2" xfId="18195" xr:uid="{A8EEC07F-9C71-4780-B22A-EB25A802F722}"/>
    <cellStyle name="Normal 2 2 25 4 3" xfId="7787" xr:uid="{00000000-0005-0000-0000-0000B8160000}"/>
    <cellStyle name="Normal 2 2 25 4 3 2" xfId="16596" xr:uid="{00DA165A-7CDC-4009-BE70-7E9556066373}"/>
    <cellStyle name="Normal 2 2 25 4 4" xfId="10999" xr:uid="{00000000-0005-0000-0000-0000B9160000}"/>
    <cellStyle name="Normal 2 2 25 4 4 2" xfId="19742" xr:uid="{29C9170D-8530-437D-A351-0D94BE325228}"/>
    <cellStyle name="Normal 2 2 25 4 5" xfId="12606" xr:uid="{00000000-0005-0000-0000-0000BA160000}"/>
    <cellStyle name="Normal 2 2 25 4 5 2" xfId="21342" xr:uid="{62473B95-3966-48AD-8158-5C483361AC52}"/>
    <cellStyle name="Normal 2 2 25 4 6" xfId="13979" xr:uid="{C41673AE-B061-452C-A948-1E03A6F00E1E}"/>
    <cellStyle name="Normal 2 2 25 5" xfId="2495" xr:uid="{00000000-0005-0000-0000-0000BB160000}"/>
    <cellStyle name="Normal 2 2 25 5 2" xfId="9390" xr:uid="{00000000-0005-0000-0000-0000BC160000}"/>
    <cellStyle name="Normal 2 2 25 5 2 2" xfId="18196" xr:uid="{DD4EDDE7-1110-45C4-8FBA-5C98D80004B1}"/>
    <cellStyle name="Normal 2 2 25 5 3" xfId="7788" xr:uid="{00000000-0005-0000-0000-0000BD160000}"/>
    <cellStyle name="Normal 2 2 25 5 3 2" xfId="16597" xr:uid="{C781A510-C9D8-4CC1-A88C-7B02FDD21BA9}"/>
    <cellStyle name="Normal 2 2 25 5 4" xfId="11000" xr:uid="{00000000-0005-0000-0000-0000BE160000}"/>
    <cellStyle name="Normal 2 2 25 5 4 2" xfId="19743" xr:uid="{6DB36A77-DC34-4075-A4A6-FCAA2A0CB211}"/>
    <cellStyle name="Normal 2 2 25 5 5" xfId="12607" xr:uid="{00000000-0005-0000-0000-0000BF160000}"/>
    <cellStyle name="Normal 2 2 25 5 5 2" xfId="21343" xr:uid="{F1871AE5-75BF-4554-AE6E-1F8EC56F83C2}"/>
    <cellStyle name="Normal 2 2 25 5 6" xfId="14796" xr:uid="{7F38510D-3577-4365-86C0-AB7A0CCFB27B}"/>
    <cellStyle name="Normal 2 2 25 6" xfId="2496" xr:uid="{00000000-0005-0000-0000-0000C0160000}"/>
    <cellStyle name="Normal 2 2 25 6 2" xfId="9391" xr:uid="{00000000-0005-0000-0000-0000C1160000}"/>
    <cellStyle name="Normal 2 2 25 6 2 2" xfId="18197" xr:uid="{2675D653-C46E-4983-AC9C-0A3063A60B3E}"/>
    <cellStyle name="Normal 2 2 25 6 3" xfId="7789" xr:uid="{00000000-0005-0000-0000-0000C2160000}"/>
    <cellStyle name="Normal 2 2 25 6 3 2" xfId="16598" xr:uid="{02DA51C5-8732-48BE-9F9B-F29918915449}"/>
    <cellStyle name="Normal 2 2 25 6 4" xfId="11001" xr:uid="{00000000-0005-0000-0000-0000C3160000}"/>
    <cellStyle name="Normal 2 2 25 6 4 2" xfId="19744" xr:uid="{5F97A38D-D359-4995-A226-59E4BA56E134}"/>
    <cellStyle name="Normal 2 2 25 6 5" xfId="12608" xr:uid="{00000000-0005-0000-0000-0000C4160000}"/>
    <cellStyle name="Normal 2 2 25 6 5 2" xfId="21344" xr:uid="{9C695F11-4CC0-4637-B026-6C1F796418FF}"/>
    <cellStyle name="Normal 2 2 25 6 6" xfId="14082" xr:uid="{57C7DC00-2359-45D6-AC7D-64F1645C035F}"/>
    <cellStyle name="Normal 2 2 25 7" xfId="9380" xr:uid="{00000000-0005-0000-0000-0000C5160000}"/>
    <cellStyle name="Normal 2 2 25 7 2" xfId="18186" xr:uid="{EB372127-4186-4B98-862A-94F9549505D4}"/>
    <cellStyle name="Normal 2 2 25 8" xfId="7778" xr:uid="{00000000-0005-0000-0000-0000C6160000}"/>
    <cellStyle name="Normal 2 2 25 8 2" xfId="16587" xr:uid="{B201A7BD-A601-42AB-9567-F30E83AD6E05}"/>
    <cellStyle name="Normal 2 2 25 9" xfId="10990" xr:uid="{00000000-0005-0000-0000-0000C7160000}"/>
    <cellStyle name="Normal 2 2 25 9 2" xfId="19733" xr:uid="{8F90BFEF-1B09-4F53-B9EA-A1EF1E323E53}"/>
    <cellStyle name="Normal 2 2 26" xfId="2497" xr:uid="{00000000-0005-0000-0000-0000C8160000}"/>
    <cellStyle name="Normal 2 2 27" xfId="2498" xr:uid="{00000000-0005-0000-0000-0000C9160000}"/>
    <cellStyle name="Normal 2 2 28" xfId="4907" xr:uid="{00000000-0005-0000-0000-0000CA160000}"/>
    <cellStyle name="Normal 2 2 29" xfId="10456" xr:uid="{00000000-0005-0000-0000-0000CB160000}"/>
    <cellStyle name="Normal 2 2 3" xfId="2499" xr:uid="{00000000-0005-0000-0000-0000CC160000}"/>
    <cellStyle name="Normal 2 2 3 2" xfId="2500" xr:uid="{00000000-0005-0000-0000-0000CD160000}"/>
    <cellStyle name="Normal 2 2 4" xfId="2501" xr:uid="{00000000-0005-0000-0000-0000CE160000}"/>
    <cellStyle name="Normal 2 2 4 2" xfId="2502" xr:uid="{00000000-0005-0000-0000-0000CF160000}"/>
    <cellStyle name="Normal 2 2 5" xfId="2503" xr:uid="{00000000-0005-0000-0000-0000D0160000}"/>
    <cellStyle name="Normal 2 2 5 2" xfId="2504" xr:uid="{00000000-0005-0000-0000-0000D1160000}"/>
    <cellStyle name="Normal 2 2 6" xfId="2505" xr:uid="{00000000-0005-0000-0000-0000D2160000}"/>
    <cellStyle name="Normal 2 2 6 2" xfId="2506" xr:uid="{00000000-0005-0000-0000-0000D3160000}"/>
    <cellStyle name="Normal 2 2 7" xfId="2507" xr:uid="{00000000-0005-0000-0000-0000D4160000}"/>
    <cellStyle name="Normal 2 2 7 2" xfId="2508" xr:uid="{00000000-0005-0000-0000-0000D5160000}"/>
    <cellStyle name="Normal 2 2 8" xfId="2509" xr:uid="{00000000-0005-0000-0000-0000D6160000}"/>
    <cellStyle name="Normal 2 2 8 2" xfId="2510" xr:uid="{00000000-0005-0000-0000-0000D7160000}"/>
    <cellStyle name="Normal 2 2 9" xfId="2511" xr:uid="{00000000-0005-0000-0000-0000D8160000}"/>
    <cellStyle name="Normal 2 2 9 2" xfId="2512" xr:uid="{00000000-0005-0000-0000-0000D9160000}"/>
    <cellStyle name="Normal 2 3" xfId="2513" xr:uid="{00000000-0005-0000-0000-0000DA160000}"/>
    <cellStyle name="Normal 2 3 2" xfId="2514" xr:uid="{00000000-0005-0000-0000-0000DB160000}"/>
    <cellStyle name="Normal 2 3 2 2" xfId="2515" xr:uid="{00000000-0005-0000-0000-0000DC160000}"/>
    <cellStyle name="Normal 2 3 3" xfId="2516" xr:uid="{00000000-0005-0000-0000-0000DD160000}"/>
    <cellStyle name="Normal 2 3 3 2" xfId="2517" xr:uid="{00000000-0005-0000-0000-0000DE160000}"/>
    <cellStyle name="Normal 2 3 4" xfId="2518" xr:uid="{00000000-0005-0000-0000-0000DF160000}"/>
    <cellStyle name="Normal 2 3 4 2" xfId="2519" xr:uid="{00000000-0005-0000-0000-0000E0160000}"/>
    <cellStyle name="Normal 2 3 5" xfId="2520" xr:uid="{00000000-0005-0000-0000-0000E1160000}"/>
    <cellStyle name="Normal 2 3 5 2" xfId="2521" xr:uid="{00000000-0005-0000-0000-0000E2160000}"/>
    <cellStyle name="Normal 2 3 6" xfId="2522" xr:uid="{00000000-0005-0000-0000-0000E3160000}"/>
    <cellStyle name="Normal 2 3 6 2" xfId="2523" xr:uid="{00000000-0005-0000-0000-0000E4160000}"/>
    <cellStyle name="Normal 2 3 7" xfId="2524" xr:uid="{00000000-0005-0000-0000-0000E5160000}"/>
    <cellStyle name="Normal 2 3 7 2" xfId="2525" xr:uid="{00000000-0005-0000-0000-0000E6160000}"/>
    <cellStyle name="Normal 2 3 8" xfId="2526" xr:uid="{00000000-0005-0000-0000-0000E7160000}"/>
    <cellStyle name="Normal 2 4" xfId="2527" xr:uid="{00000000-0005-0000-0000-0000E8160000}"/>
    <cellStyle name="Normal 2 4 2" xfId="2528" xr:uid="{00000000-0005-0000-0000-0000E9160000}"/>
    <cellStyle name="Normal 2 4 2 2" xfId="6932" xr:uid="{00000000-0005-0000-0000-0000EA160000}"/>
    <cellStyle name="Normal 2 4 3" xfId="6931" xr:uid="{00000000-0005-0000-0000-0000EB160000}"/>
    <cellStyle name="Normal 2 5" xfId="2529" xr:uid="{00000000-0005-0000-0000-0000EC160000}"/>
    <cellStyle name="Normal 2 5 2" xfId="2530" xr:uid="{00000000-0005-0000-0000-0000ED160000}"/>
    <cellStyle name="Normal 2 5 3" xfId="2531" xr:uid="{00000000-0005-0000-0000-0000EE160000}"/>
    <cellStyle name="Normal 2 5 4" xfId="7303" xr:uid="{00000000-0005-0000-0000-0000EF160000}"/>
    <cellStyle name="Normal 2 5 4 2" xfId="9392" xr:uid="{00000000-0005-0000-0000-0000F0160000}"/>
    <cellStyle name="Normal 2 5 4 2 2" xfId="18198" xr:uid="{BF0B1E33-F444-4F88-9E8A-DE6B17BCA690}"/>
    <cellStyle name="Normal 2 5 5" xfId="7790" xr:uid="{00000000-0005-0000-0000-0000F1160000}"/>
    <cellStyle name="Normal 2 5 5 2" xfId="16599" xr:uid="{41841ED9-8E0B-4578-BC87-D66959DC8E6A}"/>
    <cellStyle name="Normal 2 5 6" xfId="11002" xr:uid="{00000000-0005-0000-0000-0000F2160000}"/>
    <cellStyle name="Normal 2 5 6 2" xfId="19745" xr:uid="{67946B4E-24D3-4E1C-B839-BD0A607B7311}"/>
    <cellStyle name="Normal 2 5 7" xfId="12609" xr:uid="{00000000-0005-0000-0000-0000F3160000}"/>
    <cellStyle name="Normal 2 5 7 2" xfId="21345" xr:uid="{89CC496C-5652-46BD-A406-96F55C1E92E1}"/>
    <cellStyle name="Normal 2 5 8" xfId="13960" xr:uid="{ADBF8A20-76F1-4A85-BAA1-C2F8A64543FC}"/>
    <cellStyle name="Normal 2 6" xfId="2532" xr:uid="{00000000-0005-0000-0000-0000F4160000}"/>
    <cellStyle name="Normal 2 6 2" xfId="2533" xr:uid="{00000000-0005-0000-0000-0000F5160000}"/>
    <cellStyle name="Normal 2 7" xfId="2534" xr:uid="{00000000-0005-0000-0000-0000F6160000}"/>
    <cellStyle name="Normal 2 7 2" xfId="2535" xr:uid="{00000000-0005-0000-0000-0000F7160000}"/>
    <cellStyle name="Normal 2 7 3" xfId="2536" xr:uid="{00000000-0005-0000-0000-0000F8160000}"/>
    <cellStyle name="Normal 2 8" xfId="2537" xr:uid="{00000000-0005-0000-0000-0000F9160000}"/>
    <cellStyle name="Normal 2 9" xfId="4892" xr:uid="{00000000-0005-0000-0000-0000FA160000}"/>
    <cellStyle name="Normal 2 9 2" xfId="4898" xr:uid="{00000000-0005-0000-0000-0000FB160000}"/>
    <cellStyle name="Normal 2_Base Arquivos PA 2008_OEI_V4" xfId="2538" xr:uid="{00000000-0005-0000-0000-0000FC160000}"/>
    <cellStyle name="Normal 20" xfId="165" xr:uid="{00000000-0005-0000-0000-0000FD160000}"/>
    <cellStyle name="Normal 20 2" xfId="2540" xr:uid="{00000000-0005-0000-0000-0000FE160000}"/>
    <cellStyle name="Normal 20 2 10" xfId="7791" xr:uid="{00000000-0005-0000-0000-0000FF160000}"/>
    <cellStyle name="Normal 20 2 10 2" xfId="16600" xr:uid="{37A8FB61-2D76-47F0-A29A-DB3C63648497}"/>
    <cellStyle name="Normal 20 2 11" xfId="11003" xr:uid="{00000000-0005-0000-0000-000000170000}"/>
    <cellStyle name="Normal 20 2 11 2" xfId="19746" xr:uid="{BA29C033-050C-4090-AE6E-91D8DED5880B}"/>
    <cellStyle name="Normal 20 2 12" xfId="12610" xr:uid="{00000000-0005-0000-0000-000001170000}"/>
    <cellStyle name="Normal 20 2 12 2" xfId="21346" xr:uid="{7B5EB08C-40AB-4A40-ADBE-88C0CEDB7E27}"/>
    <cellStyle name="Normal 20 2 13" xfId="14258" xr:uid="{B6490610-1989-4C4E-8FC4-41ACF1719DB3}"/>
    <cellStyle name="Normal 20 2 2" xfId="2541" xr:uid="{00000000-0005-0000-0000-000002170000}"/>
    <cellStyle name="Normal 20 2 2 2" xfId="2542" xr:uid="{00000000-0005-0000-0000-000003170000}"/>
    <cellStyle name="Normal 20 2 2 2 2" xfId="2543" xr:uid="{00000000-0005-0000-0000-000004170000}"/>
    <cellStyle name="Normal 20 2 2 2 2 2" xfId="2544" xr:uid="{00000000-0005-0000-0000-000005170000}"/>
    <cellStyle name="Normal 20 2 2 2 2 2 2" xfId="9395" xr:uid="{00000000-0005-0000-0000-000006170000}"/>
    <cellStyle name="Normal 20 2 2 2 2 2 2 2" xfId="18201" xr:uid="{B4775796-C10F-4710-A659-4EB30889EADF}"/>
    <cellStyle name="Normal 20 2 2 2 2 2 3" xfId="7793" xr:uid="{00000000-0005-0000-0000-000007170000}"/>
    <cellStyle name="Normal 20 2 2 2 2 2 3 2" xfId="16602" xr:uid="{C1875BD2-33BD-4111-8143-BC772C3A8BFE}"/>
    <cellStyle name="Normal 20 2 2 2 2 2 4" xfId="11005" xr:uid="{00000000-0005-0000-0000-000008170000}"/>
    <cellStyle name="Normal 20 2 2 2 2 2 4 2" xfId="19748" xr:uid="{E447402B-7457-4352-B101-9BB9085228C8}"/>
    <cellStyle name="Normal 20 2 2 2 2 2 5" xfId="12612" xr:uid="{00000000-0005-0000-0000-000009170000}"/>
    <cellStyle name="Normal 20 2 2 2 2 2 5 2" xfId="21348" xr:uid="{FC8217A5-546B-4AA4-A7DA-5D72B8916329}"/>
    <cellStyle name="Normal 20 2 2 2 2 2 6" xfId="14703" xr:uid="{6A4FAC5B-2E1A-4121-9C4B-DFD6F7A87F51}"/>
    <cellStyle name="Normal 20 2 2 2 2 3" xfId="2545" xr:uid="{00000000-0005-0000-0000-00000A170000}"/>
    <cellStyle name="Normal 20 2 2 2 2 3 2" xfId="9396" xr:uid="{00000000-0005-0000-0000-00000B170000}"/>
    <cellStyle name="Normal 20 2 2 2 2 3 2 2" xfId="18202" xr:uid="{B9788066-1F12-42ED-A01B-B13D08789BF9}"/>
    <cellStyle name="Normal 20 2 2 2 2 3 3" xfId="7794" xr:uid="{00000000-0005-0000-0000-00000C170000}"/>
    <cellStyle name="Normal 20 2 2 2 2 3 3 2" xfId="16603" xr:uid="{DB645BFA-3B17-451F-BD82-C3A069119FF7}"/>
    <cellStyle name="Normal 20 2 2 2 2 3 4" xfId="11006" xr:uid="{00000000-0005-0000-0000-00000D170000}"/>
    <cellStyle name="Normal 20 2 2 2 2 3 4 2" xfId="19749" xr:uid="{AE6A3703-ACF8-4041-B9E8-016CBCCCFCF6}"/>
    <cellStyle name="Normal 20 2 2 2 2 3 5" xfId="12613" xr:uid="{00000000-0005-0000-0000-00000E170000}"/>
    <cellStyle name="Normal 20 2 2 2 2 3 5 2" xfId="21349" xr:uid="{67A9B7CD-A896-48C8-BE15-6021958C19F1}"/>
    <cellStyle name="Normal 20 2 2 2 2 3 6" xfId="14204" xr:uid="{06402D9E-D680-4C18-9B40-A8713AE049FD}"/>
    <cellStyle name="Normal 20 2 2 2 2 4" xfId="2546" xr:uid="{00000000-0005-0000-0000-00000F170000}"/>
    <cellStyle name="Normal 20 2 2 2 2 4 2" xfId="9397" xr:uid="{00000000-0005-0000-0000-000010170000}"/>
    <cellStyle name="Normal 20 2 2 2 2 4 2 2" xfId="18203" xr:uid="{8D61D89A-DF38-4CD9-BD74-B9EEB308C42C}"/>
    <cellStyle name="Normal 20 2 2 2 2 4 3" xfId="7795" xr:uid="{00000000-0005-0000-0000-000011170000}"/>
    <cellStyle name="Normal 20 2 2 2 2 4 3 2" xfId="16604" xr:uid="{E6A55109-718D-423E-B100-97776E22F4DE}"/>
    <cellStyle name="Normal 20 2 2 2 2 4 4" xfId="11007" xr:uid="{00000000-0005-0000-0000-000012170000}"/>
    <cellStyle name="Normal 20 2 2 2 2 4 4 2" xfId="19750" xr:uid="{6D1BE282-5932-42CE-9E66-5C9A54E6752F}"/>
    <cellStyle name="Normal 20 2 2 2 2 4 5" xfId="12614" xr:uid="{00000000-0005-0000-0000-000013170000}"/>
    <cellStyle name="Normal 20 2 2 2 2 4 5 2" xfId="21350" xr:uid="{8F989777-7BE7-4027-B7AA-88C796C6AFBD}"/>
    <cellStyle name="Normal 20 2 2 2 2 4 6" xfId="13922" xr:uid="{439945EF-3C95-4048-AC8D-873BF42C7B20}"/>
    <cellStyle name="Normal 20 2 2 2 3" xfId="2547" xr:uid="{00000000-0005-0000-0000-000014170000}"/>
    <cellStyle name="Normal 20 2 2 2 4" xfId="2548" xr:uid="{00000000-0005-0000-0000-000015170000}"/>
    <cellStyle name="Normal 20 2 2 2 5" xfId="9394" xr:uid="{00000000-0005-0000-0000-000016170000}"/>
    <cellStyle name="Normal 20 2 2 2 5 2" xfId="18200" xr:uid="{566C5A59-0C5B-463F-8F6A-5067D421D4D3}"/>
    <cellStyle name="Normal 20 2 2 2 6" xfId="7792" xr:uid="{00000000-0005-0000-0000-000017170000}"/>
    <cellStyle name="Normal 20 2 2 2 6 2" xfId="16601" xr:uid="{B6FB72D1-7380-4298-9D8E-A9C135DE0F19}"/>
    <cellStyle name="Normal 20 2 2 2 7" xfId="11004" xr:uid="{00000000-0005-0000-0000-000018170000}"/>
    <cellStyle name="Normal 20 2 2 2 7 2" xfId="19747" xr:uid="{CD066EA7-D464-4F32-92C5-3727F22E613D}"/>
    <cellStyle name="Normal 20 2 2 2 8" xfId="12611" xr:uid="{00000000-0005-0000-0000-000019170000}"/>
    <cellStyle name="Normal 20 2 2 2 8 2" xfId="21347" xr:uid="{918D7077-FD62-4BC9-9121-0B0077295191}"/>
    <cellStyle name="Normal 20 2 2 2 9" xfId="14836" xr:uid="{A64D0FC9-FAAC-49C5-B5F5-0030EE1B9DEC}"/>
    <cellStyle name="Normal 20 2 2 3" xfId="2549" xr:uid="{00000000-0005-0000-0000-00001A170000}"/>
    <cellStyle name="Normal 20 2 2 3 2" xfId="2550" xr:uid="{00000000-0005-0000-0000-00001B170000}"/>
    <cellStyle name="Normal 20 2 2 3 2 2" xfId="9399" xr:uid="{00000000-0005-0000-0000-00001C170000}"/>
    <cellStyle name="Normal 20 2 2 3 2 2 2" xfId="18205" xr:uid="{47717E88-F8F3-4367-A381-23CDBBEC9173}"/>
    <cellStyle name="Normal 20 2 2 3 2 3" xfId="7797" xr:uid="{00000000-0005-0000-0000-00001D170000}"/>
    <cellStyle name="Normal 20 2 2 3 2 3 2" xfId="16606" xr:uid="{AD6C09C0-2065-469F-9FE8-21977A8C7DB4}"/>
    <cellStyle name="Normal 20 2 2 3 2 4" xfId="11009" xr:uid="{00000000-0005-0000-0000-00001E170000}"/>
    <cellStyle name="Normal 20 2 2 3 2 4 2" xfId="19752" xr:uid="{A3C99AFE-BEEC-4F18-A4BD-3A709DA02E63}"/>
    <cellStyle name="Normal 20 2 2 3 2 5" xfId="12616" xr:uid="{00000000-0005-0000-0000-00001F170000}"/>
    <cellStyle name="Normal 20 2 2 3 2 5 2" xfId="21352" xr:uid="{861D6CA3-CC9F-492C-B45E-BBF1A88C8E65}"/>
    <cellStyle name="Normal 20 2 2 3 2 6" xfId="14069" xr:uid="{3DE343F2-7E42-4FEA-85E3-68091EBD8755}"/>
    <cellStyle name="Normal 20 2 2 3 3" xfId="2551" xr:uid="{00000000-0005-0000-0000-000020170000}"/>
    <cellStyle name="Normal 20 2 2 3 3 2" xfId="9400" xr:uid="{00000000-0005-0000-0000-000021170000}"/>
    <cellStyle name="Normal 20 2 2 3 3 2 2" xfId="18206" xr:uid="{A9647609-331F-4133-A48A-9D36C677E515}"/>
    <cellStyle name="Normal 20 2 2 3 3 3" xfId="7798" xr:uid="{00000000-0005-0000-0000-000022170000}"/>
    <cellStyle name="Normal 20 2 2 3 3 3 2" xfId="16607" xr:uid="{359533E3-C151-4678-82DE-775F514FC657}"/>
    <cellStyle name="Normal 20 2 2 3 3 4" xfId="11010" xr:uid="{00000000-0005-0000-0000-000023170000}"/>
    <cellStyle name="Normal 20 2 2 3 3 4 2" xfId="19753" xr:uid="{C3E618C6-A5A2-497F-A520-C8F40314C607}"/>
    <cellStyle name="Normal 20 2 2 3 3 5" xfId="12617" xr:uid="{00000000-0005-0000-0000-000024170000}"/>
    <cellStyle name="Normal 20 2 2 3 3 5 2" xfId="21353" xr:uid="{4713D761-663D-44EE-AB8F-B6801E499C82}"/>
    <cellStyle name="Normal 20 2 2 3 3 6" xfId="14837" xr:uid="{E5A2BEB6-8E7E-4684-8C0C-A8FDFE01893A}"/>
    <cellStyle name="Normal 20 2 2 3 4" xfId="2552" xr:uid="{00000000-0005-0000-0000-000025170000}"/>
    <cellStyle name="Normal 20 2 2 3 4 2" xfId="9401" xr:uid="{00000000-0005-0000-0000-000026170000}"/>
    <cellStyle name="Normal 20 2 2 3 4 2 2" xfId="18207" xr:uid="{99864E3D-D7C8-4531-91D2-62ED0474E7FE}"/>
    <cellStyle name="Normal 20 2 2 3 4 3" xfId="7799" xr:uid="{00000000-0005-0000-0000-000027170000}"/>
    <cellStyle name="Normal 20 2 2 3 4 3 2" xfId="16608" xr:uid="{FC846E38-5D04-41E5-9DAA-4F95AE4B901D}"/>
    <cellStyle name="Normal 20 2 2 3 4 4" xfId="11011" xr:uid="{00000000-0005-0000-0000-000028170000}"/>
    <cellStyle name="Normal 20 2 2 3 4 4 2" xfId="19754" xr:uid="{C967DD8F-36B1-422D-9768-1BAF4281B3F6}"/>
    <cellStyle name="Normal 20 2 2 3 4 5" xfId="12618" xr:uid="{00000000-0005-0000-0000-000029170000}"/>
    <cellStyle name="Normal 20 2 2 3 4 5 2" xfId="21354" xr:uid="{A794E048-E083-46E2-8A45-E413DD3C39F4}"/>
    <cellStyle name="Normal 20 2 2 3 4 6" xfId="14838" xr:uid="{36F798CF-407D-43D6-B3A2-DF9BA9268B0E}"/>
    <cellStyle name="Normal 20 2 2 3 5" xfId="9398" xr:uid="{00000000-0005-0000-0000-00002A170000}"/>
    <cellStyle name="Normal 20 2 2 3 5 2" xfId="18204" xr:uid="{E75DA1DF-1FC1-4A47-915E-0BAAF8CBFA83}"/>
    <cellStyle name="Normal 20 2 2 3 6" xfId="7796" xr:uid="{00000000-0005-0000-0000-00002B170000}"/>
    <cellStyle name="Normal 20 2 2 3 6 2" xfId="16605" xr:uid="{340B4DB1-DFBF-4D46-ABB2-7A92E4D5A7EE}"/>
    <cellStyle name="Normal 20 2 2 3 7" xfId="11008" xr:uid="{00000000-0005-0000-0000-00002C170000}"/>
    <cellStyle name="Normal 20 2 2 3 7 2" xfId="19751" xr:uid="{9B1F1B05-C067-4C25-BC27-79F954DD0018}"/>
    <cellStyle name="Normal 20 2 2 3 8" xfId="12615" xr:uid="{00000000-0005-0000-0000-00002D170000}"/>
    <cellStyle name="Normal 20 2 2 3 8 2" xfId="21351" xr:uid="{EE6602DD-8582-46D6-AEF4-4D84E2A3FAAC}"/>
    <cellStyle name="Normal 20 2 2 3 9" xfId="14797" xr:uid="{A27A9CCF-1313-46BC-BE68-05D291A6066D}"/>
    <cellStyle name="Normal 20 2 2 4" xfId="2553" xr:uid="{00000000-0005-0000-0000-00002E170000}"/>
    <cellStyle name="Normal 20 2 2 4 2" xfId="2554" xr:uid="{00000000-0005-0000-0000-00002F170000}"/>
    <cellStyle name="Normal 20 2 2 4 2 2" xfId="9403" xr:uid="{00000000-0005-0000-0000-000030170000}"/>
    <cellStyle name="Normal 20 2 2 4 2 2 2" xfId="18209" xr:uid="{57709E39-C305-4C0C-90D1-3829E41EBA62}"/>
    <cellStyle name="Normal 20 2 2 4 2 3" xfId="7801" xr:uid="{00000000-0005-0000-0000-000031170000}"/>
    <cellStyle name="Normal 20 2 2 4 2 3 2" xfId="16610" xr:uid="{0CF28C0A-E922-44F0-A1F1-D36B965BE0AE}"/>
    <cellStyle name="Normal 20 2 2 4 2 4" xfId="11013" xr:uid="{00000000-0005-0000-0000-000032170000}"/>
    <cellStyle name="Normal 20 2 2 4 2 4 2" xfId="19756" xr:uid="{6A9569C1-8B75-483F-AEEE-B5923CDEA586}"/>
    <cellStyle name="Normal 20 2 2 4 2 5" xfId="12620" xr:uid="{00000000-0005-0000-0000-000033170000}"/>
    <cellStyle name="Normal 20 2 2 4 2 5 2" xfId="21356" xr:uid="{1FB9729C-E787-4070-A118-8DD34BEF191D}"/>
    <cellStyle name="Normal 20 2 2 4 2 6" xfId="14840" xr:uid="{2F83580B-AE5D-4C84-ABA1-9AA8DF67639C}"/>
    <cellStyle name="Normal 20 2 2 4 3" xfId="2555" xr:uid="{00000000-0005-0000-0000-000034170000}"/>
    <cellStyle name="Normal 20 2 2 4 3 2" xfId="9404" xr:uid="{00000000-0005-0000-0000-000035170000}"/>
    <cellStyle name="Normal 20 2 2 4 3 2 2" xfId="18210" xr:uid="{F9D505AA-0D4F-4323-BE9D-0D81F77B5E8B}"/>
    <cellStyle name="Normal 20 2 2 4 3 3" xfId="7802" xr:uid="{00000000-0005-0000-0000-000036170000}"/>
    <cellStyle name="Normal 20 2 2 4 3 3 2" xfId="16611" xr:uid="{76F78D2D-945B-402B-86C9-D839C8F27C70}"/>
    <cellStyle name="Normal 20 2 2 4 3 4" xfId="11014" xr:uid="{00000000-0005-0000-0000-000037170000}"/>
    <cellStyle name="Normal 20 2 2 4 3 4 2" xfId="19757" xr:uid="{9BE4784E-B78B-4845-8495-A0E5A7A7A258}"/>
    <cellStyle name="Normal 20 2 2 4 3 5" xfId="12621" xr:uid="{00000000-0005-0000-0000-000038170000}"/>
    <cellStyle name="Normal 20 2 2 4 3 5 2" xfId="21357" xr:uid="{B5A7280D-39E2-4B99-87E5-8CF6CD864B8F}"/>
    <cellStyle name="Normal 20 2 2 4 3 6" xfId="14841" xr:uid="{0D173D8C-1C9E-4380-A1AF-4956C15976D1}"/>
    <cellStyle name="Normal 20 2 2 4 4" xfId="2556" xr:uid="{00000000-0005-0000-0000-000039170000}"/>
    <cellStyle name="Normal 20 2 2 4 4 2" xfId="9405" xr:uid="{00000000-0005-0000-0000-00003A170000}"/>
    <cellStyle name="Normal 20 2 2 4 4 2 2" xfId="18211" xr:uid="{F4DA5F94-CEB4-4021-AC04-E451C7497962}"/>
    <cellStyle name="Normal 20 2 2 4 4 3" xfId="7803" xr:uid="{00000000-0005-0000-0000-00003B170000}"/>
    <cellStyle name="Normal 20 2 2 4 4 3 2" xfId="16612" xr:uid="{15E2E33E-2CE7-4CAA-B253-776E3A51E5B4}"/>
    <cellStyle name="Normal 20 2 2 4 4 4" xfId="11015" xr:uid="{00000000-0005-0000-0000-00003C170000}"/>
    <cellStyle name="Normal 20 2 2 4 4 4 2" xfId="19758" xr:uid="{2E4C5139-FEAF-438F-9B12-DDC6858F0ADE}"/>
    <cellStyle name="Normal 20 2 2 4 4 5" xfId="12622" xr:uid="{00000000-0005-0000-0000-00003D170000}"/>
    <cellStyle name="Normal 20 2 2 4 4 5 2" xfId="21358" xr:uid="{CB99C9A1-C96A-4ADF-9CD9-28C7F84B588C}"/>
    <cellStyle name="Normal 20 2 2 4 4 6" xfId="14842" xr:uid="{5B53B8EA-3A6A-4051-BB94-2382EAB50EF2}"/>
    <cellStyle name="Normal 20 2 2 4 5" xfId="9402" xr:uid="{00000000-0005-0000-0000-00003E170000}"/>
    <cellStyle name="Normal 20 2 2 4 5 2" xfId="18208" xr:uid="{5123C03B-A07D-4729-91AF-C4B279891935}"/>
    <cellStyle name="Normal 20 2 2 4 6" xfId="7800" xr:uid="{00000000-0005-0000-0000-00003F170000}"/>
    <cellStyle name="Normal 20 2 2 4 6 2" xfId="16609" xr:uid="{218C1350-A292-4685-8E66-0A912C89DBFB}"/>
    <cellStyle name="Normal 20 2 2 4 7" xfId="11012" xr:uid="{00000000-0005-0000-0000-000040170000}"/>
    <cellStyle name="Normal 20 2 2 4 7 2" xfId="19755" xr:uid="{E1A1A001-633E-4B43-A91D-1A670DF52604}"/>
    <cellStyle name="Normal 20 2 2 4 8" xfId="12619" xr:uid="{00000000-0005-0000-0000-000041170000}"/>
    <cellStyle name="Normal 20 2 2 4 8 2" xfId="21355" xr:uid="{36A4B046-52ED-44F9-A585-875D24BD69F6}"/>
    <cellStyle name="Normal 20 2 2 4 9" xfId="14839" xr:uid="{850D072D-C071-4E7F-9A68-A7B98F30948F}"/>
    <cellStyle name="Normal 20 2 2 5" xfId="2557" xr:uid="{00000000-0005-0000-0000-000042170000}"/>
    <cellStyle name="Normal 20 2 2 5 2" xfId="9406" xr:uid="{00000000-0005-0000-0000-000043170000}"/>
    <cellStyle name="Normal 20 2 2 5 2 2" xfId="18212" xr:uid="{FB8D0810-54A3-4DD0-A1C2-B0C8187FFC80}"/>
    <cellStyle name="Normal 20 2 2 5 3" xfId="7804" xr:uid="{00000000-0005-0000-0000-000044170000}"/>
    <cellStyle name="Normal 20 2 2 5 3 2" xfId="16613" xr:uid="{4954358C-82F8-435F-8D32-FCE2C07BDA7E}"/>
    <cellStyle name="Normal 20 2 2 5 4" xfId="11016" xr:uid="{00000000-0005-0000-0000-000045170000}"/>
    <cellStyle name="Normal 20 2 2 5 4 2" xfId="19759" xr:uid="{63E2320B-E3FE-4BDC-B35F-B7ED9863D932}"/>
    <cellStyle name="Normal 20 2 2 5 5" xfId="12623" xr:uid="{00000000-0005-0000-0000-000046170000}"/>
    <cellStyle name="Normal 20 2 2 5 5 2" xfId="21359" xr:uid="{A42E7133-756A-4066-B4DC-32CF4EC7749F}"/>
    <cellStyle name="Normal 20 2 2 5 6" xfId="14843" xr:uid="{C291CF39-9213-48DF-8B76-78A242D576DC}"/>
    <cellStyle name="Normal 20 2 2 6" xfId="2558" xr:uid="{00000000-0005-0000-0000-000047170000}"/>
    <cellStyle name="Normal 20 2 2 6 2" xfId="9407" xr:uid="{00000000-0005-0000-0000-000048170000}"/>
    <cellStyle name="Normal 20 2 2 6 2 2" xfId="18213" xr:uid="{51756953-AE1F-46AD-A221-4C30D538C81A}"/>
    <cellStyle name="Normal 20 2 2 6 3" xfId="7805" xr:uid="{00000000-0005-0000-0000-000049170000}"/>
    <cellStyle name="Normal 20 2 2 6 3 2" xfId="16614" xr:uid="{4A7480A7-7323-469D-AE96-F45881084BED}"/>
    <cellStyle name="Normal 20 2 2 6 4" xfId="11017" xr:uid="{00000000-0005-0000-0000-00004A170000}"/>
    <cellStyle name="Normal 20 2 2 6 4 2" xfId="19760" xr:uid="{1DBE8680-3847-4AAE-BCBA-A781E2FE9BDB}"/>
    <cellStyle name="Normal 20 2 2 6 5" xfId="12624" xr:uid="{00000000-0005-0000-0000-00004B170000}"/>
    <cellStyle name="Normal 20 2 2 6 5 2" xfId="21360" xr:uid="{471E657C-D41D-42FB-8648-9016D2A4A01C}"/>
    <cellStyle name="Normal 20 2 2 6 6" xfId="14844" xr:uid="{7263204F-644B-4728-883E-726B1A10190A}"/>
    <cellStyle name="Normal 20 2 2 7" xfId="2559" xr:uid="{00000000-0005-0000-0000-00004C170000}"/>
    <cellStyle name="Normal 20 2 2 7 2" xfId="9408" xr:uid="{00000000-0005-0000-0000-00004D170000}"/>
    <cellStyle name="Normal 20 2 2 7 2 2" xfId="18214" xr:uid="{64EA73A0-C1B5-4194-92E6-264B1270DD4E}"/>
    <cellStyle name="Normal 20 2 2 7 3" xfId="7806" xr:uid="{00000000-0005-0000-0000-00004E170000}"/>
    <cellStyle name="Normal 20 2 2 7 3 2" xfId="16615" xr:uid="{0EA0FF17-AB66-429A-A9EE-101E2B64DA5E}"/>
    <cellStyle name="Normal 20 2 2 7 4" xfId="11018" xr:uid="{00000000-0005-0000-0000-00004F170000}"/>
    <cellStyle name="Normal 20 2 2 7 4 2" xfId="19761" xr:uid="{80486319-769A-432B-82A6-9E43E5897446}"/>
    <cellStyle name="Normal 20 2 2 7 5" xfId="12625" xr:uid="{00000000-0005-0000-0000-000050170000}"/>
    <cellStyle name="Normal 20 2 2 7 5 2" xfId="21361" xr:uid="{CE18EEC6-6549-4355-8B7E-E8613D0D0047}"/>
    <cellStyle name="Normal 20 2 2 7 6" xfId="14863" xr:uid="{ABC16383-8E15-498C-9B6E-08FB187E17FA}"/>
    <cellStyle name="Normal 20 2 3" xfId="2560" xr:uid="{00000000-0005-0000-0000-000051170000}"/>
    <cellStyle name="Normal 20 2 3 2" xfId="2561" xr:uid="{00000000-0005-0000-0000-000052170000}"/>
    <cellStyle name="Normal 20 2 3 2 2" xfId="9410" xr:uid="{00000000-0005-0000-0000-000053170000}"/>
    <cellStyle name="Normal 20 2 3 2 2 2" xfId="18216" xr:uid="{C5BE1D4E-8DC6-4617-9A57-1AE49E4A4E7D}"/>
    <cellStyle name="Normal 20 2 3 2 3" xfId="7808" xr:uid="{00000000-0005-0000-0000-000054170000}"/>
    <cellStyle name="Normal 20 2 3 2 3 2" xfId="16617" xr:uid="{433CEB73-5BFA-484E-95DB-8E3B782C30BB}"/>
    <cellStyle name="Normal 20 2 3 2 4" xfId="11020" xr:uid="{00000000-0005-0000-0000-000055170000}"/>
    <cellStyle name="Normal 20 2 3 2 4 2" xfId="19763" xr:uid="{3669EDE9-9DE1-42C8-B3CF-3BDACF50817F}"/>
    <cellStyle name="Normal 20 2 3 2 5" xfId="12627" xr:uid="{00000000-0005-0000-0000-000056170000}"/>
    <cellStyle name="Normal 20 2 3 2 5 2" xfId="21363" xr:uid="{A48D93EA-C91D-4653-8A2D-EB2706022EE1}"/>
    <cellStyle name="Normal 20 2 3 2 6" xfId="14864" xr:uid="{CAB84CA2-D636-485E-8A8D-E493FC388302}"/>
    <cellStyle name="Normal 20 2 3 3" xfId="2562" xr:uid="{00000000-0005-0000-0000-000057170000}"/>
    <cellStyle name="Normal 20 2 3 3 2" xfId="9411" xr:uid="{00000000-0005-0000-0000-000058170000}"/>
    <cellStyle name="Normal 20 2 3 3 2 2" xfId="18217" xr:uid="{C71B69B8-0BD6-43DF-8975-EB9267115B6C}"/>
    <cellStyle name="Normal 20 2 3 3 3" xfId="7809" xr:uid="{00000000-0005-0000-0000-000059170000}"/>
    <cellStyle name="Normal 20 2 3 3 3 2" xfId="16618" xr:uid="{A1D286DA-AE02-4296-AC30-353961D10C0C}"/>
    <cellStyle name="Normal 20 2 3 3 4" xfId="11021" xr:uid="{00000000-0005-0000-0000-00005A170000}"/>
    <cellStyle name="Normal 20 2 3 3 4 2" xfId="19764" xr:uid="{349CE77D-1764-4E1F-8F62-D195BC017E07}"/>
    <cellStyle name="Normal 20 2 3 3 5" xfId="12628" xr:uid="{00000000-0005-0000-0000-00005B170000}"/>
    <cellStyle name="Normal 20 2 3 3 5 2" xfId="21364" xr:uid="{4AB3BCEB-6071-4BEF-BCDF-E47A6C32AE43}"/>
    <cellStyle name="Normal 20 2 3 3 6" xfId="14862" xr:uid="{29742406-85FA-4E4E-B0DD-6C9252DD2653}"/>
    <cellStyle name="Normal 20 2 3 4" xfId="2563" xr:uid="{00000000-0005-0000-0000-00005C170000}"/>
    <cellStyle name="Normal 20 2 3 4 2" xfId="9412" xr:uid="{00000000-0005-0000-0000-00005D170000}"/>
    <cellStyle name="Normal 20 2 3 4 2 2" xfId="18218" xr:uid="{DA65B677-390B-41B7-B57D-9D0DF85359D6}"/>
    <cellStyle name="Normal 20 2 3 4 3" xfId="7810" xr:uid="{00000000-0005-0000-0000-00005E170000}"/>
    <cellStyle name="Normal 20 2 3 4 3 2" xfId="16619" xr:uid="{0CC45FAC-A095-4D9F-A62A-64D884BA7E35}"/>
    <cellStyle name="Normal 20 2 3 4 4" xfId="11022" xr:uid="{00000000-0005-0000-0000-00005F170000}"/>
    <cellStyle name="Normal 20 2 3 4 4 2" xfId="19765" xr:uid="{5E817FAF-D7E6-426B-A560-EBE387A7D07A}"/>
    <cellStyle name="Normal 20 2 3 4 5" xfId="12629" xr:uid="{00000000-0005-0000-0000-000060170000}"/>
    <cellStyle name="Normal 20 2 3 4 5 2" xfId="21365" xr:uid="{8DDBD31F-A615-4234-8962-0AA7323E30EC}"/>
    <cellStyle name="Normal 20 2 3 4 6" xfId="14827" xr:uid="{BE435160-3E59-4BD9-8AF6-A359A903CA11}"/>
    <cellStyle name="Normal 20 2 3 5" xfId="9409" xr:uid="{00000000-0005-0000-0000-000061170000}"/>
    <cellStyle name="Normal 20 2 3 5 2" xfId="18215" xr:uid="{1192291F-A4DF-41A5-8F1B-35C23BB868C4}"/>
    <cellStyle name="Normal 20 2 3 6" xfId="7807" xr:uid="{00000000-0005-0000-0000-000062170000}"/>
    <cellStyle name="Normal 20 2 3 6 2" xfId="16616" xr:uid="{F64803FE-77BB-4B8C-B62D-7A8807793311}"/>
    <cellStyle name="Normal 20 2 3 7" xfId="11019" xr:uid="{00000000-0005-0000-0000-000063170000}"/>
    <cellStyle name="Normal 20 2 3 7 2" xfId="19762" xr:uid="{A3C63F44-EBE5-47D3-BFF1-F570D1A71359}"/>
    <cellStyle name="Normal 20 2 3 8" xfId="12626" xr:uid="{00000000-0005-0000-0000-000064170000}"/>
    <cellStyle name="Normal 20 2 3 8 2" xfId="21362" xr:uid="{F23A3117-EBED-4492-88DF-FA7E5E12AE10}"/>
    <cellStyle name="Normal 20 2 3 9" xfId="14845" xr:uid="{B78B38D1-A222-4FE6-9F77-D10591B932E1}"/>
    <cellStyle name="Normal 20 2 4" xfId="2564" xr:uid="{00000000-0005-0000-0000-000065170000}"/>
    <cellStyle name="Normal 20 2 5" xfId="2565" xr:uid="{00000000-0005-0000-0000-000066170000}"/>
    <cellStyle name="Normal 20 2 6" xfId="2566" xr:uid="{00000000-0005-0000-0000-000067170000}"/>
    <cellStyle name="Normal 20 2 6 2" xfId="9413" xr:uid="{00000000-0005-0000-0000-000068170000}"/>
    <cellStyle name="Normal 20 2 6 2 2" xfId="18219" xr:uid="{A499AEC2-F988-4DD2-8020-C843A7210A44}"/>
    <cellStyle name="Normal 20 2 6 3" xfId="7811" xr:uid="{00000000-0005-0000-0000-000069170000}"/>
    <cellStyle name="Normal 20 2 6 3 2" xfId="16620" xr:uid="{B113233C-D158-47B9-A750-0855904472C4}"/>
    <cellStyle name="Normal 20 2 6 4" xfId="11023" xr:uid="{00000000-0005-0000-0000-00006A170000}"/>
    <cellStyle name="Normal 20 2 6 4 2" xfId="19766" xr:uid="{F4329359-5A3F-4FDF-874B-41455EF31705}"/>
    <cellStyle name="Normal 20 2 6 5" xfId="12630" xr:uid="{00000000-0005-0000-0000-00006B170000}"/>
    <cellStyle name="Normal 20 2 6 5 2" xfId="21366" xr:uid="{FD624CA3-AFC2-44B7-B481-1523FC52EAB8}"/>
    <cellStyle name="Normal 20 2 6 6" xfId="13995" xr:uid="{3CBACE55-2B1D-4C0E-9955-51A26EB2E829}"/>
    <cellStyle name="Normal 20 2 7" xfId="2567" xr:uid="{00000000-0005-0000-0000-00006C170000}"/>
    <cellStyle name="Normal 20 2 7 2" xfId="9414" xr:uid="{00000000-0005-0000-0000-00006D170000}"/>
    <cellStyle name="Normal 20 2 7 2 2" xfId="18220" xr:uid="{D00FE0DC-17BC-494F-B6E5-2B4DC23247C9}"/>
    <cellStyle name="Normal 20 2 7 3" xfId="7812" xr:uid="{00000000-0005-0000-0000-00006E170000}"/>
    <cellStyle name="Normal 20 2 7 3 2" xfId="16621" xr:uid="{3E085829-E5F4-4FB5-A19A-3023E46C76F6}"/>
    <cellStyle name="Normal 20 2 7 4" xfId="11024" xr:uid="{00000000-0005-0000-0000-00006F170000}"/>
    <cellStyle name="Normal 20 2 7 4 2" xfId="19767" xr:uid="{CB80DA33-8626-444E-96A5-5A9866813AB1}"/>
    <cellStyle name="Normal 20 2 7 5" xfId="12631" xr:uid="{00000000-0005-0000-0000-000070170000}"/>
    <cellStyle name="Normal 20 2 7 5 2" xfId="21367" xr:uid="{CCAFB11A-4B44-4BE5-814D-9A8D6368232B}"/>
    <cellStyle name="Normal 20 2 7 6" xfId="14027" xr:uid="{DBD9DD98-C81D-4E16-BC81-B0C1C6C28A9E}"/>
    <cellStyle name="Normal 20 2 8" xfId="2568" xr:uid="{00000000-0005-0000-0000-000071170000}"/>
    <cellStyle name="Normal 20 2 8 2" xfId="9415" xr:uid="{00000000-0005-0000-0000-000072170000}"/>
    <cellStyle name="Normal 20 2 8 2 2" xfId="18221" xr:uid="{20AB00F1-2D6B-4D7D-9CDF-32DF5EF38BB9}"/>
    <cellStyle name="Normal 20 2 8 3" xfId="7813" xr:uid="{00000000-0005-0000-0000-000073170000}"/>
    <cellStyle name="Normal 20 2 8 3 2" xfId="16622" xr:uid="{D9E46977-041B-4806-B087-E2EC2F26A4B8}"/>
    <cellStyle name="Normal 20 2 8 4" xfId="11025" xr:uid="{00000000-0005-0000-0000-000074170000}"/>
    <cellStyle name="Normal 20 2 8 4 2" xfId="19768" xr:uid="{EC54616D-1BB3-44D3-8DB3-E477747E1316}"/>
    <cellStyle name="Normal 20 2 8 5" xfId="12632" xr:uid="{00000000-0005-0000-0000-000075170000}"/>
    <cellStyle name="Normal 20 2 8 5 2" xfId="21368" xr:uid="{F6545D0F-A417-4B82-BE20-71F7FE746A46}"/>
    <cellStyle name="Normal 20 2 8 6" xfId="14108" xr:uid="{EC19FAC7-4362-454E-B804-2DEE91580B84}"/>
    <cellStyle name="Normal 20 2 9" xfId="9393" xr:uid="{00000000-0005-0000-0000-000076170000}"/>
    <cellStyle name="Normal 20 2 9 2" xfId="18199" xr:uid="{33C16941-2BE0-488D-81AE-BDB11B86B633}"/>
    <cellStyle name="Normal 20 3" xfId="2569" xr:uid="{00000000-0005-0000-0000-000077170000}"/>
    <cellStyle name="Normal 20 4" xfId="2539" xr:uid="{00000000-0005-0000-0000-000078170000}"/>
    <cellStyle name="Normal 20 5" xfId="10636" xr:uid="{00000000-0005-0000-0000-000079170000}"/>
    <cellStyle name="Normal 200" xfId="7434" xr:uid="{00000000-0005-0000-0000-00007A170000}"/>
    <cellStyle name="Normal 200 2" xfId="16248" xr:uid="{BEE57DAD-BBEB-4F39-B6A4-CF28F4BC5824}"/>
    <cellStyle name="Normal 201" xfId="10494" xr:uid="{00000000-0005-0000-0000-00007B170000}"/>
    <cellStyle name="Normal 201 2" xfId="19277" xr:uid="{7088F747-B0F1-41A2-87A6-7268AFD89EFF}"/>
    <cellStyle name="Normal 202" xfId="7433" xr:uid="{00000000-0005-0000-0000-00007C170000}"/>
    <cellStyle name="Normal 202 2" xfId="16247" xr:uid="{D72FCC8F-63E9-40AF-9467-A0B8F75E507B}"/>
    <cellStyle name="Normal 203" xfId="10499" xr:uid="{00000000-0005-0000-0000-00007D170000}"/>
    <cellStyle name="Normal 203 2" xfId="19282" xr:uid="{081224F7-11B1-4051-B483-7D2DFF4157FA}"/>
    <cellStyle name="Normal 204" xfId="10501" xr:uid="{00000000-0005-0000-0000-00007E170000}"/>
    <cellStyle name="Normal 204 2" xfId="19284" xr:uid="{994E6DD2-FDEC-49D2-9D7E-8D314F7D85A1}"/>
    <cellStyle name="Normal 205" xfId="10486" xr:uid="{00000000-0005-0000-0000-00007F170000}"/>
    <cellStyle name="Normal 205 2" xfId="19270" xr:uid="{F3411391-AEE8-413A-B73D-D1503EFF16C4}"/>
    <cellStyle name="Normal 206" xfId="10502" xr:uid="{00000000-0005-0000-0000-000080170000}"/>
    <cellStyle name="Normal 206 2" xfId="19285" xr:uid="{EAC839FC-B05D-44F5-BD37-04C1BCFD40A0}"/>
    <cellStyle name="Normal 207" xfId="10489" xr:uid="{00000000-0005-0000-0000-000081170000}"/>
    <cellStyle name="Normal 207 2" xfId="19273" xr:uid="{27E7B2FC-C858-451D-A4A1-689B9B0A25C7}"/>
    <cellStyle name="Normal 208" xfId="10500" xr:uid="{00000000-0005-0000-0000-000082170000}"/>
    <cellStyle name="Normal 208 2" xfId="19283" xr:uid="{D3D06839-2658-4BE6-B8A5-05927F513241}"/>
    <cellStyle name="Normal 209" xfId="10589" xr:uid="{00000000-0005-0000-0000-000083170000}"/>
    <cellStyle name="Normal 209 2" xfId="19351" xr:uid="{4C515DC7-A231-4B22-8AE4-06A4AC236345}"/>
    <cellStyle name="Normal 21" xfId="162" xr:uid="{00000000-0005-0000-0000-000084170000}"/>
    <cellStyle name="Normal 21 2" xfId="2571" xr:uid="{00000000-0005-0000-0000-000085170000}"/>
    <cellStyle name="Normal 21 2 10" xfId="7814" xr:uid="{00000000-0005-0000-0000-000086170000}"/>
    <cellStyle name="Normal 21 2 10 2" xfId="16623" xr:uid="{82B0E9E1-8309-44CF-9BD2-B8893E088BF2}"/>
    <cellStyle name="Normal 21 2 11" xfId="11026" xr:uid="{00000000-0005-0000-0000-000087170000}"/>
    <cellStyle name="Normal 21 2 11 2" xfId="19769" xr:uid="{026D0982-56CF-4BF9-9B77-A612D85BFF1E}"/>
    <cellStyle name="Normal 21 2 12" xfId="12633" xr:uid="{00000000-0005-0000-0000-000088170000}"/>
    <cellStyle name="Normal 21 2 12 2" xfId="21369" xr:uid="{F16242B2-0821-4F46-B310-4B6C3993BFA2}"/>
    <cellStyle name="Normal 21 2 13" xfId="14090" xr:uid="{A5795F44-146D-4F47-A71D-92329AD65B32}"/>
    <cellStyle name="Normal 21 2 2" xfId="2572" xr:uid="{00000000-0005-0000-0000-000089170000}"/>
    <cellStyle name="Normal 21 2 2 2" xfId="2573" xr:uid="{00000000-0005-0000-0000-00008A170000}"/>
    <cellStyle name="Normal 21 2 2 2 2" xfId="2574" xr:uid="{00000000-0005-0000-0000-00008B170000}"/>
    <cellStyle name="Normal 21 2 2 2 2 2" xfId="2575" xr:uid="{00000000-0005-0000-0000-00008C170000}"/>
    <cellStyle name="Normal 21 2 2 2 2 2 2" xfId="9418" xr:uid="{00000000-0005-0000-0000-00008D170000}"/>
    <cellStyle name="Normal 21 2 2 2 2 2 2 2" xfId="18224" xr:uid="{74740C99-CBC1-4D50-AA86-2A4224A2F074}"/>
    <cellStyle name="Normal 21 2 2 2 2 2 3" xfId="7816" xr:uid="{00000000-0005-0000-0000-00008E170000}"/>
    <cellStyle name="Normal 21 2 2 2 2 2 3 2" xfId="16625" xr:uid="{878B6269-903B-4C27-9F62-B63BE568091F}"/>
    <cellStyle name="Normal 21 2 2 2 2 2 4" xfId="11028" xr:uid="{00000000-0005-0000-0000-00008F170000}"/>
    <cellStyle name="Normal 21 2 2 2 2 2 4 2" xfId="19771" xr:uid="{C9146D79-207B-4E7E-BE7F-18527E1573F1}"/>
    <cellStyle name="Normal 21 2 2 2 2 2 5" xfId="12635" xr:uid="{00000000-0005-0000-0000-000090170000}"/>
    <cellStyle name="Normal 21 2 2 2 2 2 5 2" xfId="21371" xr:uid="{1411B3D0-1442-428B-822A-A6536047CA2D}"/>
    <cellStyle name="Normal 21 2 2 2 2 2 6" xfId="14083" xr:uid="{EB308455-C680-4D39-A215-44DE0A90B3F4}"/>
    <cellStyle name="Normal 21 2 2 2 2 3" xfId="2576" xr:uid="{00000000-0005-0000-0000-000091170000}"/>
    <cellStyle name="Normal 21 2 2 2 2 3 2" xfId="9419" xr:uid="{00000000-0005-0000-0000-000092170000}"/>
    <cellStyle name="Normal 21 2 2 2 2 3 2 2" xfId="18225" xr:uid="{DCE7F377-A73F-4E12-993B-FEEC518EFB29}"/>
    <cellStyle name="Normal 21 2 2 2 2 3 3" xfId="7817" xr:uid="{00000000-0005-0000-0000-000093170000}"/>
    <cellStyle name="Normal 21 2 2 2 2 3 3 2" xfId="16626" xr:uid="{51EB365A-6B90-4847-8A55-1847352F883A}"/>
    <cellStyle name="Normal 21 2 2 2 2 3 4" xfId="11029" xr:uid="{00000000-0005-0000-0000-000094170000}"/>
    <cellStyle name="Normal 21 2 2 2 2 3 4 2" xfId="19772" xr:uid="{AFDE1A8D-EF08-4C1D-BFA7-B64C8343C0CF}"/>
    <cellStyle name="Normal 21 2 2 2 2 3 5" xfId="12636" xr:uid="{00000000-0005-0000-0000-000095170000}"/>
    <cellStyle name="Normal 21 2 2 2 2 3 5 2" xfId="21372" xr:uid="{7D7B8BD1-483C-457B-9F44-CB5A88A275CD}"/>
    <cellStyle name="Normal 21 2 2 2 2 3 6" xfId="14866" xr:uid="{85D1134D-738F-480B-8C21-C3DEF0C706B0}"/>
    <cellStyle name="Normal 21 2 2 2 2 4" xfId="2577" xr:uid="{00000000-0005-0000-0000-000096170000}"/>
    <cellStyle name="Normal 21 2 2 2 2 4 2" xfId="9420" xr:uid="{00000000-0005-0000-0000-000097170000}"/>
    <cellStyle name="Normal 21 2 2 2 2 4 2 2" xfId="18226" xr:uid="{0DE7F0B0-3782-477D-A70F-1B1BD84E9E3F}"/>
    <cellStyle name="Normal 21 2 2 2 2 4 3" xfId="7818" xr:uid="{00000000-0005-0000-0000-000098170000}"/>
    <cellStyle name="Normal 21 2 2 2 2 4 3 2" xfId="16627" xr:uid="{9252A86E-33E6-4693-AA01-C3C89CDB9790}"/>
    <cellStyle name="Normal 21 2 2 2 2 4 4" xfId="11030" xr:uid="{00000000-0005-0000-0000-000099170000}"/>
    <cellStyle name="Normal 21 2 2 2 2 4 4 2" xfId="19773" xr:uid="{027BD01F-C065-4EB0-A454-F26A7780FFB2}"/>
    <cellStyle name="Normal 21 2 2 2 2 4 5" xfId="12637" xr:uid="{00000000-0005-0000-0000-00009A170000}"/>
    <cellStyle name="Normal 21 2 2 2 2 4 5 2" xfId="21373" xr:uid="{8866FFDF-12C6-4570-8D84-7081C589631D}"/>
    <cellStyle name="Normal 21 2 2 2 2 4 6" xfId="14867" xr:uid="{CE668249-B141-40B0-B1CC-A06B5400FFF0}"/>
    <cellStyle name="Normal 21 2 2 2 3" xfId="2578" xr:uid="{00000000-0005-0000-0000-00009B170000}"/>
    <cellStyle name="Normal 21 2 2 2 4" xfId="2579" xr:uid="{00000000-0005-0000-0000-00009C170000}"/>
    <cellStyle name="Normal 21 2 2 2 5" xfId="9417" xr:uid="{00000000-0005-0000-0000-00009D170000}"/>
    <cellStyle name="Normal 21 2 2 2 5 2" xfId="18223" xr:uid="{BEF3BD80-E152-4CF4-B3C4-261CADE17031}"/>
    <cellStyle name="Normal 21 2 2 2 6" xfId="7815" xr:uid="{00000000-0005-0000-0000-00009E170000}"/>
    <cellStyle name="Normal 21 2 2 2 6 2" xfId="16624" xr:uid="{71A38674-5465-4516-8EAF-3FBDDB112AC1}"/>
    <cellStyle name="Normal 21 2 2 2 7" xfId="11027" xr:uid="{00000000-0005-0000-0000-00009F170000}"/>
    <cellStyle name="Normal 21 2 2 2 7 2" xfId="19770" xr:uid="{017F468A-6DBE-4532-8740-A1C791BC1FBC}"/>
    <cellStyle name="Normal 21 2 2 2 8" xfId="12634" xr:uid="{00000000-0005-0000-0000-0000A0170000}"/>
    <cellStyle name="Normal 21 2 2 2 8 2" xfId="21370" xr:uid="{7C449D19-733C-4CEA-B57F-52C559C0FC02}"/>
    <cellStyle name="Normal 21 2 2 2 9" xfId="14692" xr:uid="{0ACD496F-A6CF-4B0C-8288-AF41946122DD}"/>
    <cellStyle name="Normal 21 2 2 3" xfId="2580" xr:uid="{00000000-0005-0000-0000-0000A1170000}"/>
    <cellStyle name="Normal 21 2 2 3 2" xfId="2581" xr:uid="{00000000-0005-0000-0000-0000A2170000}"/>
    <cellStyle name="Normal 21 2 2 3 2 2" xfId="9422" xr:uid="{00000000-0005-0000-0000-0000A3170000}"/>
    <cellStyle name="Normal 21 2 2 3 2 2 2" xfId="18228" xr:uid="{46A016DD-4004-474E-A747-1893D3FF4255}"/>
    <cellStyle name="Normal 21 2 2 3 2 3" xfId="7820" xr:uid="{00000000-0005-0000-0000-0000A4170000}"/>
    <cellStyle name="Normal 21 2 2 3 2 3 2" xfId="16629" xr:uid="{B0BD80F4-1A16-4338-9831-97E5AE02FF1B}"/>
    <cellStyle name="Normal 21 2 2 3 2 4" xfId="11032" xr:uid="{00000000-0005-0000-0000-0000A5170000}"/>
    <cellStyle name="Normal 21 2 2 3 2 4 2" xfId="19775" xr:uid="{A5EA1558-26D0-48EA-AC21-077CEED87EC4}"/>
    <cellStyle name="Normal 21 2 2 3 2 5" xfId="12639" xr:uid="{00000000-0005-0000-0000-0000A6170000}"/>
    <cellStyle name="Normal 21 2 2 3 2 5 2" xfId="21375" xr:uid="{9D8DA030-92E7-4B25-8D83-FD845495FA40}"/>
    <cellStyle name="Normal 21 2 2 3 2 6" xfId="14869" xr:uid="{89760613-A991-41E0-8F73-D27279A68749}"/>
    <cellStyle name="Normal 21 2 2 3 3" xfId="2582" xr:uid="{00000000-0005-0000-0000-0000A7170000}"/>
    <cellStyle name="Normal 21 2 2 3 3 2" xfId="9423" xr:uid="{00000000-0005-0000-0000-0000A8170000}"/>
    <cellStyle name="Normal 21 2 2 3 3 2 2" xfId="18229" xr:uid="{37C8F8F6-A838-4CE5-A5FD-758178FC1553}"/>
    <cellStyle name="Normal 21 2 2 3 3 3" xfId="7821" xr:uid="{00000000-0005-0000-0000-0000A9170000}"/>
    <cellStyle name="Normal 21 2 2 3 3 3 2" xfId="16630" xr:uid="{8C29FB00-B4EC-4FBE-989C-005EE106DDD6}"/>
    <cellStyle name="Normal 21 2 2 3 3 4" xfId="11033" xr:uid="{00000000-0005-0000-0000-0000AA170000}"/>
    <cellStyle name="Normal 21 2 2 3 3 4 2" xfId="19776" xr:uid="{6E1C3282-6F9A-47C3-8FC0-63AB461939BA}"/>
    <cellStyle name="Normal 21 2 2 3 3 5" xfId="12640" xr:uid="{00000000-0005-0000-0000-0000AB170000}"/>
    <cellStyle name="Normal 21 2 2 3 3 5 2" xfId="21376" xr:uid="{1C4881E1-5ED0-4D83-88D0-5E6C7F898D27}"/>
    <cellStyle name="Normal 21 2 2 3 3 6" xfId="14870" xr:uid="{93CCD767-C515-4A7E-805D-136E62FBE071}"/>
    <cellStyle name="Normal 21 2 2 3 4" xfId="2583" xr:uid="{00000000-0005-0000-0000-0000AC170000}"/>
    <cellStyle name="Normal 21 2 2 3 4 2" xfId="9424" xr:uid="{00000000-0005-0000-0000-0000AD170000}"/>
    <cellStyle name="Normal 21 2 2 3 4 2 2" xfId="18230" xr:uid="{4FB39C21-3E84-4176-B01A-2D115BF3FE07}"/>
    <cellStyle name="Normal 21 2 2 3 4 3" xfId="7822" xr:uid="{00000000-0005-0000-0000-0000AE170000}"/>
    <cellStyle name="Normal 21 2 2 3 4 3 2" xfId="16631" xr:uid="{89EA035A-BA77-4D1C-BA8C-C7B3495B4D45}"/>
    <cellStyle name="Normal 21 2 2 3 4 4" xfId="11034" xr:uid="{00000000-0005-0000-0000-0000AF170000}"/>
    <cellStyle name="Normal 21 2 2 3 4 4 2" xfId="19777" xr:uid="{13CDB1C2-4BFF-4530-9D26-F327D2F3E434}"/>
    <cellStyle name="Normal 21 2 2 3 4 5" xfId="12641" xr:uid="{00000000-0005-0000-0000-0000B0170000}"/>
    <cellStyle name="Normal 21 2 2 3 4 5 2" xfId="21377" xr:uid="{C709EA76-F205-43D2-8048-CE595F1709CF}"/>
    <cellStyle name="Normal 21 2 2 3 4 6" xfId="14871" xr:uid="{7961444D-5B50-435E-B602-3EA09509B7C0}"/>
    <cellStyle name="Normal 21 2 2 3 5" xfId="9421" xr:uid="{00000000-0005-0000-0000-0000B1170000}"/>
    <cellStyle name="Normal 21 2 2 3 5 2" xfId="18227" xr:uid="{1E38FAFA-6347-40BF-B124-7476B67D28CD}"/>
    <cellStyle name="Normal 21 2 2 3 6" xfId="7819" xr:uid="{00000000-0005-0000-0000-0000B2170000}"/>
    <cellStyle name="Normal 21 2 2 3 6 2" xfId="16628" xr:uid="{472B668E-EB38-4117-9619-E58D2B700812}"/>
    <cellStyle name="Normal 21 2 2 3 7" xfId="11031" xr:uid="{00000000-0005-0000-0000-0000B3170000}"/>
    <cellStyle name="Normal 21 2 2 3 7 2" xfId="19774" xr:uid="{CD803F81-6D08-4BC0-9A95-287DE7E90924}"/>
    <cellStyle name="Normal 21 2 2 3 8" xfId="12638" xr:uid="{00000000-0005-0000-0000-0000B4170000}"/>
    <cellStyle name="Normal 21 2 2 3 8 2" xfId="21374" xr:uid="{3D3C48E3-117E-479E-90B9-CD562B3D41EE}"/>
    <cellStyle name="Normal 21 2 2 3 9" xfId="14868" xr:uid="{2F525D03-F9AE-498B-82D8-3526BCD8E4ED}"/>
    <cellStyle name="Normal 21 2 2 4" xfId="2584" xr:uid="{00000000-0005-0000-0000-0000B5170000}"/>
    <cellStyle name="Normal 21 2 2 4 2" xfId="2585" xr:uid="{00000000-0005-0000-0000-0000B6170000}"/>
    <cellStyle name="Normal 21 2 2 4 2 2" xfId="9426" xr:uid="{00000000-0005-0000-0000-0000B7170000}"/>
    <cellStyle name="Normal 21 2 2 4 2 2 2" xfId="18232" xr:uid="{A8E749D6-ACCA-4BF1-B8D8-0DB9E6408D9B}"/>
    <cellStyle name="Normal 21 2 2 4 2 3" xfId="7824" xr:uid="{00000000-0005-0000-0000-0000B8170000}"/>
    <cellStyle name="Normal 21 2 2 4 2 3 2" xfId="16633" xr:uid="{9B5B5DFF-C6DF-427F-8E76-23076815BEBB}"/>
    <cellStyle name="Normal 21 2 2 4 2 4" xfId="11036" xr:uid="{00000000-0005-0000-0000-0000B9170000}"/>
    <cellStyle name="Normal 21 2 2 4 2 4 2" xfId="19779" xr:uid="{412360B6-A495-43F1-93B1-11748A8BCB7C}"/>
    <cellStyle name="Normal 21 2 2 4 2 5" xfId="12643" xr:uid="{00000000-0005-0000-0000-0000BA170000}"/>
    <cellStyle name="Normal 21 2 2 4 2 5 2" xfId="21379" xr:uid="{DEAB5AB4-49FB-4071-997F-BC1C2316A509}"/>
    <cellStyle name="Normal 21 2 2 4 2 6" xfId="14873" xr:uid="{0BBC5E5F-7DD7-420A-8C55-07717D268EA2}"/>
    <cellStyle name="Normal 21 2 2 4 3" xfId="2586" xr:uid="{00000000-0005-0000-0000-0000BB170000}"/>
    <cellStyle name="Normal 21 2 2 4 3 2" xfId="9427" xr:uid="{00000000-0005-0000-0000-0000BC170000}"/>
    <cellStyle name="Normal 21 2 2 4 3 2 2" xfId="18233" xr:uid="{0CF8885E-18B8-41F0-A04F-7C9282A4E441}"/>
    <cellStyle name="Normal 21 2 2 4 3 3" xfId="7825" xr:uid="{00000000-0005-0000-0000-0000BD170000}"/>
    <cellStyle name="Normal 21 2 2 4 3 3 2" xfId="16634" xr:uid="{AF517643-6466-4892-B31E-EA3F07280D5F}"/>
    <cellStyle name="Normal 21 2 2 4 3 4" xfId="11037" xr:uid="{00000000-0005-0000-0000-0000BE170000}"/>
    <cellStyle name="Normal 21 2 2 4 3 4 2" xfId="19780" xr:uid="{F8112ADA-92BD-446F-987E-3E157DA7C44A}"/>
    <cellStyle name="Normal 21 2 2 4 3 5" xfId="12644" xr:uid="{00000000-0005-0000-0000-0000BF170000}"/>
    <cellStyle name="Normal 21 2 2 4 3 5 2" xfId="21380" xr:uid="{5C198015-FC72-46E4-873B-1640D38A44C7}"/>
    <cellStyle name="Normal 21 2 2 4 3 6" xfId="14874" xr:uid="{F24EDC70-7E90-4C34-A284-18F446457589}"/>
    <cellStyle name="Normal 21 2 2 4 4" xfId="2587" xr:uid="{00000000-0005-0000-0000-0000C0170000}"/>
    <cellStyle name="Normal 21 2 2 4 4 2" xfId="9428" xr:uid="{00000000-0005-0000-0000-0000C1170000}"/>
    <cellStyle name="Normal 21 2 2 4 4 2 2" xfId="18234" xr:uid="{3797D716-206A-42FB-89B8-92F06A26EC64}"/>
    <cellStyle name="Normal 21 2 2 4 4 3" xfId="7826" xr:uid="{00000000-0005-0000-0000-0000C2170000}"/>
    <cellStyle name="Normal 21 2 2 4 4 3 2" xfId="16635" xr:uid="{82FD60D4-40DE-41D9-9341-F2ED66F337E1}"/>
    <cellStyle name="Normal 21 2 2 4 4 4" xfId="11038" xr:uid="{00000000-0005-0000-0000-0000C3170000}"/>
    <cellStyle name="Normal 21 2 2 4 4 4 2" xfId="19781" xr:uid="{4F4C6FB8-ED32-43FA-AE91-0C96ACAAEC4F}"/>
    <cellStyle name="Normal 21 2 2 4 4 5" xfId="12645" xr:uid="{00000000-0005-0000-0000-0000C4170000}"/>
    <cellStyle name="Normal 21 2 2 4 4 5 2" xfId="21381" xr:uid="{1620E003-D48E-40BD-8FA8-776D8BCA86B6}"/>
    <cellStyle name="Normal 21 2 2 4 4 6" xfId="14875" xr:uid="{1AE11D90-C9B2-49B6-A373-53A806652CA0}"/>
    <cellStyle name="Normal 21 2 2 4 5" xfId="9425" xr:uid="{00000000-0005-0000-0000-0000C5170000}"/>
    <cellStyle name="Normal 21 2 2 4 5 2" xfId="18231" xr:uid="{544B77DF-FD7B-465B-9F7A-34AAAF5A7DDB}"/>
    <cellStyle name="Normal 21 2 2 4 6" xfId="7823" xr:uid="{00000000-0005-0000-0000-0000C6170000}"/>
    <cellStyle name="Normal 21 2 2 4 6 2" xfId="16632" xr:uid="{10D7509A-6A1C-4523-A489-3353D2A55AF1}"/>
    <cellStyle name="Normal 21 2 2 4 7" xfId="11035" xr:uid="{00000000-0005-0000-0000-0000C7170000}"/>
    <cellStyle name="Normal 21 2 2 4 7 2" xfId="19778" xr:uid="{F01F6714-F306-4AB9-BCCD-7FB10CB6D605}"/>
    <cellStyle name="Normal 21 2 2 4 8" xfId="12642" xr:uid="{00000000-0005-0000-0000-0000C8170000}"/>
    <cellStyle name="Normal 21 2 2 4 8 2" xfId="21378" xr:uid="{90899CAA-04E6-431B-A5DF-FFE33FC0B994}"/>
    <cellStyle name="Normal 21 2 2 4 9" xfId="14872" xr:uid="{C0A0A2E6-F21F-46F3-8361-CB2C0CC3E96D}"/>
    <cellStyle name="Normal 21 2 2 5" xfId="2588" xr:uid="{00000000-0005-0000-0000-0000C9170000}"/>
    <cellStyle name="Normal 21 2 2 5 2" xfId="9429" xr:uid="{00000000-0005-0000-0000-0000CA170000}"/>
    <cellStyle name="Normal 21 2 2 5 2 2" xfId="18235" xr:uid="{16CF441A-EFA4-4A4F-8BE1-230009824D5D}"/>
    <cellStyle name="Normal 21 2 2 5 3" xfId="7827" xr:uid="{00000000-0005-0000-0000-0000CB170000}"/>
    <cellStyle name="Normal 21 2 2 5 3 2" xfId="16636" xr:uid="{74222CB3-A978-4D49-8F67-0BA3EB757C41}"/>
    <cellStyle name="Normal 21 2 2 5 4" xfId="11039" xr:uid="{00000000-0005-0000-0000-0000CC170000}"/>
    <cellStyle name="Normal 21 2 2 5 4 2" xfId="19782" xr:uid="{CD2AA20A-108B-4348-8D1F-10FFA7E19857}"/>
    <cellStyle name="Normal 21 2 2 5 5" xfId="12646" xr:uid="{00000000-0005-0000-0000-0000CD170000}"/>
    <cellStyle name="Normal 21 2 2 5 5 2" xfId="21382" xr:uid="{397A9E4C-F1F0-4DE4-A2F2-993114666123}"/>
    <cellStyle name="Normal 21 2 2 5 6" xfId="14876" xr:uid="{7484EE1D-C027-4A9F-BD1B-CF4260E7FCC3}"/>
    <cellStyle name="Normal 21 2 2 6" xfId="2589" xr:uid="{00000000-0005-0000-0000-0000CE170000}"/>
    <cellStyle name="Normal 21 2 2 6 2" xfId="9430" xr:uid="{00000000-0005-0000-0000-0000CF170000}"/>
    <cellStyle name="Normal 21 2 2 6 2 2" xfId="18236" xr:uid="{4E17C4DF-81C1-4A26-BAB6-E1D63B5E8B7F}"/>
    <cellStyle name="Normal 21 2 2 6 3" xfId="7828" xr:uid="{00000000-0005-0000-0000-0000D0170000}"/>
    <cellStyle name="Normal 21 2 2 6 3 2" xfId="16637" xr:uid="{11EFEB6B-4424-44F2-A119-C3DD4448345A}"/>
    <cellStyle name="Normal 21 2 2 6 4" xfId="11040" xr:uid="{00000000-0005-0000-0000-0000D1170000}"/>
    <cellStyle name="Normal 21 2 2 6 4 2" xfId="19783" xr:uid="{7D5301B7-6A78-4483-AF22-1FB6AEBCB863}"/>
    <cellStyle name="Normal 21 2 2 6 5" xfId="12647" xr:uid="{00000000-0005-0000-0000-0000D2170000}"/>
    <cellStyle name="Normal 21 2 2 6 5 2" xfId="21383" xr:uid="{C6032D6A-80A1-47A9-8B42-31743DD7BD6D}"/>
    <cellStyle name="Normal 21 2 2 6 6" xfId="14877" xr:uid="{B8A5C621-F1DD-4EB8-9DAB-0F76A29CA532}"/>
    <cellStyle name="Normal 21 2 2 7" xfId="2590" xr:uid="{00000000-0005-0000-0000-0000D3170000}"/>
    <cellStyle name="Normal 21 2 2 7 2" xfId="9431" xr:uid="{00000000-0005-0000-0000-0000D4170000}"/>
    <cellStyle name="Normal 21 2 2 7 2 2" xfId="18237" xr:uid="{41F017F7-330B-4DE1-BA74-2F2CBD7BEB0E}"/>
    <cellStyle name="Normal 21 2 2 7 3" xfId="7829" xr:uid="{00000000-0005-0000-0000-0000D5170000}"/>
    <cellStyle name="Normal 21 2 2 7 3 2" xfId="16638" xr:uid="{1DB8DA7D-B40A-4471-A343-0795B99907C2}"/>
    <cellStyle name="Normal 21 2 2 7 4" xfId="11041" xr:uid="{00000000-0005-0000-0000-0000D6170000}"/>
    <cellStyle name="Normal 21 2 2 7 4 2" xfId="19784" xr:uid="{12A8AAB5-F095-4760-9C05-4281E9570B84}"/>
    <cellStyle name="Normal 21 2 2 7 5" xfId="12648" xr:uid="{00000000-0005-0000-0000-0000D7170000}"/>
    <cellStyle name="Normal 21 2 2 7 5 2" xfId="21384" xr:uid="{73FECEB2-629E-4936-8BD3-CBC406987024}"/>
    <cellStyle name="Normal 21 2 2 7 6" xfId="14878" xr:uid="{28B4EABA-5416-4677-AFEB-AFB444280C9C}"/>
    <cellStyle name="Normal 21 2 3" xfId="2591" xr:uid="{00000000-0005-0000-0000-0000D8170000}"/>
    <cellStyle name="Normal 21 2 3 2" xfId="2592" xr:uid="{00000000-0005-0000-0000-0000D9170000}"/>
    <cellStyle name="Normal 21 2 3 2 2" xfId="9433" xr:uid="{00000000-0005-0000-0000-0000DA170000}"/>
    <cellStyle name="Normal 21 2 3 2 2 2" xfId="18239" xr:uid="{C5264F3D-6669-4773-AB1F-34C9FBE52C0A}"/>
    <cellStyle name="Normal 21 2 3 2 3" xfId="7831" xr:uid="{00000000-0005-0000-0000-0000DB170000}"/>
    <cellStyle name="Normal 21 2 3 2 3 2" xfId="16640" xr:uid="{34156D57-E425-45A1-9E06-6EBED1A39005}"/>
    <cellStyle name="Normal 21 2 3 2 4" xfId="11043" xr:uid="{00000000-0005-0000-0000-0000DC170000}"/>
    <cellStyle name="Normal 21 2 3 2 4 2" xfId="19786" xr:uid="{F5BFBF12-6683-4A60-9FEA-32AD79223B9D}"/>
    <cellStyle name="Normal 21 2 3 2 5" xfId="12650" xr:uid="{00000000-0005-0000-0000-0000DD170000}"/>
    <cellStyle name="Normal 21 2 3 2 5 2" xfId="21386" xr:uid="{DC55404D-DDA2-40D8-A52E-6A63F68EEB15}"/>
    <cellStyle name="Normal 21 2 3 2 6" xfId="14880" xr:uid="{B55CFD3B-45A1-4592-868D-61A71036C946}"/>
    <cellStyle name="Normal 21 2 3 3" xfId="2593" xr:uid="{00000000-0005-0000-0000-0000DE170000}"/>
    <cellStyle name="Normal 21 2 3 3 2" xfId="9434" xr:uid="{00000000-0005-0000-0000-0000DF170000}"/>
    <cellStyle name="Normal 21 2 3 3 2 2" xfId="18240" xr:uid="{49E1E687-2DD4-455F-BD80-8E722F370733}"/>
    <cellStyle name="Normal 21 2 3 3 3" xfId="7832" xr:uid="{00000000-0005-0000-0000-0000E0170000}"/>
    <cellStyle name="Normal 21 2 3 3 3 2" xfId="16641" xr:uid="{A64F4EE3-8289-4D38-9089-4D83CC99E66A}"/>
    <cellStyle name="Normal 21 2 3 3 4" xfId="11044" xr:uid="{00000000-0005-0000-0000-0000E1170000}"/>
    <cellStyle name="Normal 21 2 3 3 4 2" xfId="19787" xr:uid="{809F2494-4E8A-434C-A143-9764FA83F3F8}"/>
    <cellStyle name="Normal 21 2 3 3 5" xfId="12651" xr:uid="{00000000-0005-0000-0000-0000E2170000}"/>
    <cellStyle name="Normal 21 2 3 3 5 2" xfId="21387" xr:uid="{307744F2-1F27-4379-AC00-7067EE6C6CE0}"/>
    <cellStyle name="Normal 21 2 3 3 6" xfId="14881" xr:uid="{810330A2-0772-495F-B888-5106043C609F}"/>
    <cellStyle name="Normal 21 2 3 4" xfId="2594" xr:uid="{00000000-0005-0000-0000-0000E3170000}"/>
    <cellStyle name="Normal 21 2 3 4 2" xfId="9435" xr:uid="{00000000-0005-0000-0000-0000E4170000}"/>
    <cellStyle name="Normal 21 2 3 4 2 2" xfId="18241" xr:uid="{331BCA3E-9F0E-4EDF-A1E5-A46065281C6B}"/>
    <cellStyle name="Normal 21 2 3 4 3" xfId="7833" xr:uid="{00000000-0005-0000-0000-0000E5170000}"/>
    <cellStyle name="Normal 21 2 3 4 3 2" xfId="16642" xr:uid="{D4A6FB8A-B48E-48CF-A365-E5EC84EF6095}"/>
    <cellStyle name="Normal 21 2 3 4 4" xfId="11045" xr:uid="{00000000-0005-0000-0000-0000E6170000}"/>
    <cellStyle name="Normal 21 2 3 4 4 2" xfId="19788" xr:uid="{C2D876EF-660D-4188-A7EF-17397F32BFBA}"/>
    <cellStyle name="Normal 21 2 3 4 5" xfId="12652" xr:uid="{00000000-0005-0000-0000-0000E7170000}"/>
    <cellStyle name="Normal 21 2 3 4 5 2" xfId="21388" xr:uid="{A9A11C29-0E1A-402D-9D7F-417679251D0B}"/>
    <cellStyle name="Normal 21 2 3 4 6" xfId="14882" xr:uid="{8DEBB37E-06DC-407B-96E7-5B3B804608CC}"/>
    <cellStyle name="Normal 21 2 3 5" xfId="9432" xr:uid="{00000000-0005-0000-0000-0000E8170000}"/>
    <cellStyle name="Normal 21 2 3 5 2" xfId="18238" xr:uid="{8704C61B-C197-4A14-AB94-86F78F2E003E}"/>
    <cellStyle name="Normal 21 2 3 6" xfId="7830" xr:uid="{00000000-0005-0000-0000-0000E9170000}"/>
    <cellStyle name="Normal 21 2 3 6 2" xfId="16639" xr:uid="{042E8105-0B02-4DC7-9A60-75F1036636D3}"/>
    <cellStyle name="Normal 21 2 3 7" xfId="11042" xr:uid="{00000000-0005-0000-0000-0000EA170000}"/>
    <cellStyle name="Normal 21 2 3 7 2" xfId="19785" xr:uid="{3903B781-32FF-465D-9A2A-3603BCFD7B12}"/>
    <cellStyle name="Normal 21 2 3 8" xfId="12649" xr:uid="{00000000-0005-0000-0000-0000EB170000}"/>
    <cellStyle name="Normal 21 2 3 8 2" xfId="21385" xr:uid="{4A5E77C0-40C1-4E20-9E6D-70CD36F6DA28}"/>
    <cellStyle name="Normal 21 2 3 9" xfId="14879" xr:uid="{A0EBCC71-3804-4826-86CF-EA531C847B87}"/>
    <cellStyle name="Normal 21 2 4" xfId="2595" xr:uid="{00000000-0005-0000-0000-0000EC170000}"/>
    <cellStyle name="Normal 21 2 5" xfId="2596" xr:uid="{00000000-0005-0000-0000-0000ED170000}"/>
    <cellStyle name="Normal 21 2 6" xfId="2597" xr:uid="{00000000-0005-0000-0000-0000EE170000}"/>
    <cellStyle name="Normal 21 2 6 2" xfId="9436" xr:uid="{00000000-0005-0000-0000-0000EF170000}"/>
    <cellStyle name="Normal 21 2 6 2 2" xfId="18242" xr:uid="{C48D4377-2220-4ABD-92C9-BC5E3280E805}"/>
    <cellStyle name="Normal 21 2 6 3" xfId="7834" xr:uid="{00000000-0005-0000-0000-0000F0170000}"/>
    <cellStyle name="Normal 21 2 6 3 2" xfId="16643" xr:uid="{BA90BD18-8BC0-474A-9078-2671FBD3129C}"/>
    <cellStyle name="Normal 21 2 6 4" xfId="11046" xr:uid="{00000000-0005-0000-0000-0000F1170000}"/>
    <cellStyle name="Normal 21 2 6 4 2" xfId="19789" xr:uid="{E2CC5A8B-A816-41AA-B944-376D279C5CCF}"/>
    <cellStyle name="Normal 21 2 6 5" xfId="12653" xr:uid="{00000000-0005-0000-0000-0000F2170000}"/>
    <cellStyle name="Normal 21 2 6 5 2" xfId="21389" xr:uid="{521A22D5-7142-49C0-A441-4E9504CC4AEC}"/>
    <cellStyle name="Normal 21 2 6 6" xfId="14883" xr:uid="{8AD26446-569F-4B1C-AA59-6A4A8021A56E}"/>
    <cellStyle name="Normal 21 2 7" xfId="2598" xr:uid="{00000000-0005-0000-0000-0000F3170000}"/>
    <cellStyle name="Normal 21 2 7 2" xfId="9437" xr:uid="{00000000-0005-0000-0000-0000F4170000}"/>
    <cellStyle name="Normal 21 2 7 2 2" xfId="18243" xr:uid="{EADCD098-3E14-47C7-B654-75EB8602A289}"/>
    <cellStyle name="Normal 21 2 7 3" xfId="7835" xr:uid="{00000000-0005-0000-0000-0000F5170000}"/>
    <cellStyle name="Normal 21 2 7 3 2" xfId="16644" xr:uid="{10D9BEFF-4E0C-4911-9B8D-650117803325}"/>
    <cellStyle name="Normal 21 2 7 4" xfId="11047" xr:uid="{00000000-0005-0000-0000-0000F6170000}"/>
    <cellStyle name="Normal 21 2 7 4 2" xfId="19790" xr:uid="{33484393-4740-41EB-9EE7-C34169B220F9}"/>
    <cellStyle name="Normal 21 2 7 5" xfId="12654" xr:uid="{00000000-0005-0000-0000-0000F7170000}"/>
    <cellStyle name="Normal 21 2 7 5 2" xfId="21390" xr:uid="{4B049057-D893-4BBF-AFCD-19AD4151ABB0}"/>
    <cellStyle name="Normal 21 2 7 6" xfId="14884" xr:uid="{1FC59135-FB88-487C-B1D1-4C8BC2721E22}"/>
    <cellStyle name="Normal 21 2 8" xfId="2599" xr:uid="{00000000-0005-0000-0000-0000F8170000}"/>
    <cellStyle name="Normal 21 2 8 2" xfId="9438" xr:uid="{00000000-0005-0000-0000-0000F9170000}"/>
    <cellStyle name="Normal 21 2 8 2 2" xfId="18244" xr:uid="{9C14E185-846A-46DB-A6C3-5CBCAFAB2DBA}"/>
    <cellStyle name="Normal 21 2 8 3" xfId="7836" xr:uid="{00000000-0005-0000-0000-0000FA170000}"/>
    <cellStyle name="Normal 21 2 8 3 2" xfId="16645" xr:uid="{89671808-C945-42D4-8CE3-9B94CBAD9F51}"/>
    <cellStyle name="Normal 21 2 8 4" xfId="11048" xr:uid="{00000000-0005-0000-0000-0000FB170000}"/>
    <cellStyle name="Normal 21 2 8 4 2" xfId="19791" xr:uid="{16E236AD-7AE7-4A6F-95D0-64B58644177C}"/>
    <cellStyle name="Normal 21 2 8 5" xfId="12655" xr:uid="{00000000-0005-0000-0000-0000FC170000}"/>
    <cellStyle name="Normal 21 2 8 5 2" xfId="21391" xr:uid="{7C1ABE72-1EFC-4452-8A92-EE2802C17FE7}"/>
    <cellStyle name="Normal 21 2 8 6" xfId="14885" xr:uid="{1A6AA4BD-DE5E-4DE7-8D90-FED7940A0521}"/>
    <cellStyle name="Normal 21 2 9" xfId="9416" xr:uid="{00000000-0005-0000-0000-0000FD170000}"/>
    <cellStyle name="Normal 21 2 9 2" xfId="18222" xr:uid="{716186F0-50BA-4FFD-85A8-46BCB6417C87}"/>
    <cellStyle name="Normal 21 3" xfId="2600" xr:uid="{00000000-0005-0000-0000-0000FE170000}"/>
    <cellStyle name="Normal 21 4" xfId="2570" xr:uid="{00000000-0005-0000-0000-0000FF170000}"/>
    <cellStyle name="Normal 21 5" xfId="10633" xr:uid="{00000000-0005-0000-0000-000000180000}"/>
    <cellStyle name="Normal 210" xfId="10525" xr:uid="{00000000-0005-0000-0000-000001180000}"/>
    <cellStyle name="Normal 210 2" xfId="19308" xr:uid="{FE8EE9AC-A838-47C8-A923-8ABA4416C7D5}"/>
    <cellStyle name="Normal 211" xfId="10532" xr:uid="{00000000-0005-0000-0000-000002180000}"/>
    <cellStyle name="Normal 211 2" xfId="19315" xr:uid="{F90FCEC4-EBB0-47B1-B133-0BA1FC417962}"/>
    <cellStyle name="Normal 212" xfId="10528" xr:uid="{00000000-0005-0000-0000-000003180000}"/>
    <cellStyle name="Normal 212 2" xfId="19311" xr:uid="{844722BB-E3D5-45E2-AED4-1C62615CF2BF}"/>
    <cellStyle name="Normal 213" xfId="10515" xr:uid="{00000000-0005-0000-0000-000004180000}"/>
    <cellStyle name="Normal 213 2" xfId="19298" xr:uid="{4A373671-6D78-45DB-A0DE-A0A3B1F4F30D}"/>
    <cellStyle name="Normal 214" xfId="10533" xr:uid="{00000000-0005-0000-0000-000005180000}"/>
    <cellStyle name="Normal 214 2" xfId="19316" xr:uid="{9D893BF4-7DC5-4C8E-86BD-3CDB1501617A}"/>
    <cellStyle name="Normal 215" xfId="10590" xr:uid="{00000000-0005-0000-0000-000006180000}"/>
    <cellStyle name="Normal 215 2" xfId="19352" xr:uid="{253D1937-B50D-4CB0-AD3D-9E2362960EC3}"/>
    <cellStyle name="Normal 216" xfId="10530" xr:uid="{00000000-0005-0000-0000-000007180000}"/>
    <cellStyle name="Normal 216 2" xfId="19313" xr:uid="{5D3E19A7-D877-47E2-8585-275249E0AB6F}"/>
    <cellStyle name="Normal 217" xfId="12242" xr:uid="{00000000-0005-0000-0000-000008180000}"/>
    <cellStyle name="Normal 217 2" xfId="20983" xr:uid="{94B32C34-F4A2-497F-BEA8-52CBCF54CBE4}"/>
    <cellStyle name="Normal 218" xfId="13" xr:uid="{00000000-0005-0000-0000-000009180000}"/>
    <cellStyle name="Normal 218 2" xfId="13910" xr:uid="{47D8A5AE-EFD1-480E-A101-40ADEBCA97C8}"/>
    <cellStyle name="Normal 219" xfId="13996" xr:uid="{0F7F7FF8-D0F6-4673-9C0E-50DB5EA2D5DA}"/>
    <cellStyle name="Normal 22" xfId="164" xr:uid="{00000000-0005-0000-0000-00000A180000}"/>
    <cellStyle name="Normal 22 2" xfId="2602" xr:uid="{00000000-0005-0000-0000-00000B180000}"/>
    <cellStyle name="Normal 22 2 10" xfId="7837" xr:uid="{00000000-0005-0000-0000-00000C180000}"/>
    <cellStyle name="Normal 22 2 10 2" xfId="16646" xr:uid="{2EFADC14-D9EF-407A-B350-0CC801DF98A9}"/>
    <cellStyle name="Normal 22 2 11" xfId="11049" xr:uid="{00000000-0005-0000-0000-00000D180000}"/>
    <cellStyle name="Normal 22 2 11 2" xfId="19792" xr:uid="{5B9A6596-C6A6-45CB-8EE0-A2D6F4B62F5B}"/>
    <cellStyle name="Normal 22 2 12" xfId="12656" xr:uid="{00000000-0005-0000-0000-00000E180000}"/>
    <cellStyle name="Normal 22 2 12 2" xfId="21392" xr:uid="{A6849AAC-FF84-44C0-9D2C-81108F9D55CD}"/>
    <cellStyle name="Normal 22 2 13" xfId="14886" xr:uid="{AE707040-7662-4346-B9A2-CD0A12B72B28}"/>
    <cellStyle name="Normal 22 2 2" xfId="2603" xr:uid="{00000000-0005-0000-0000-00000F180000}"/>
    <cellStyle name="Normal 22 2 2 2" xfId="2604" xr:uid="{00000000-0005-0000-0000-000010180000}"/>
    <cellStyle name="Normal 22 2 2 2 2" xfId="2605" xr:uid="{00000000-0005-0000-0000-000011180000}"/>
    <cellStyle name="Normal 22 2 2 2 2 2" xfId="2606" xr:uid="{00000000-0005-0000-0000-000012180000}"/>
    <cellStyle name="Normal 22 2 2 2 2 2 2" xfId="9441" xr:uid="{00000000-0005-0000-0000-000013180000}"/>
    <cellStyle name="Normal 22 2 2 2 2 2 2 2" xfId="18247" xr:uid="{C12CE838-F341-4629-8FD5-167BB6C2B60F}"/>
    <cellStyle name="Normal 22 2 2 2 2 2 3" xfId="7839" xr:uid="{00000000-0005-0000-0000-000014180000}"/>
    <cellStyle name="Normal 22 2 2 2 2 2 3 2" xfId="16648" xr:uid="{9D2B560A-3B02-403A-AB33-1E9705A38921}"/>
    <cellStyle name="Normal 22 2 2 2 2 2 4" xfId="11051" xr:uid="{00000000-0005-0000-0000-000015180000}"/>
    <cellStyle name="Normal 22 2 2 2 2 2 4 2" xfId="19794" xr:uid="{4E4695C7-5BE5-4A1B-B64E-EF6AD52F443E}"/>
    <cellStyle name="Normal 22 2 2 2 2 2 5" xfId="12658" xr:uid="{00000000-0005-0000-0000-000016180000}"/>
    <cellStyle name="Normal 22 2 2 2 2 2 5 2" xfId="21394" xr:uid="{20430E52-72A8-443A-90F9-A680A7568E9F}"/>
    <cellStyle name="Normal 22 2 2 2 2 2 6" xfId="14888" xr:uid="{9BA2D85E-22AB-4C11-ADCF-53D067967CCA}"/>
    <cellStyle name="Normal 22 2 2 2 2 3" xfId="2607" xr:uid="{00000000-0005-0000-0000-000017180000}"/>
    <cellStyle name="Normal 22 2 2 2 2 3 2" xfId="9442" xr:uid="{00000000-0005-0000-0000-000018180000}"/>
    <cellStyle name="Normal 22 2 2 2 2 3 2 2" xfId="18248" xr:uid="{6C1CFA23-4DB2-4F86-B6B9-56F1B79CF2D8}"/>
    <cellStyle name="Normal 22 2 2 2 2 3 3" xfId="7840" xr:uid="{00000000-0005-0000-0000-000019180000}"/>
    <cellStyle name="Normal 22 2 2 2 2 3 3 2" xfId="16649" xr:uid="{FCC2C329-3ED9-4F12-995D-5BBC125EDB91}"/>
    <cellStyle name="Normal 22 2 2 2 2 3 4" xfId="11052" xr:uid="{00000000-0005-0000-0000-00001A180000}"/>
    <cellStyle name="Normal 22 2 2 2 2 3 4 2" xfId="19795" xr:uid="{64A60AD2-C980-424D-A220-7BE304F10EF9}"/>
    <cellStyle name="Normal 22 2 2 2 2 3 5" xfId="12659" xr:uid="{00000000-0005-0000-0000-00001B180000}"/>
    <cellStyle name="Normal 22 2 2 2 2 3 5 2" xfId="21395" xr:uid="{B0D1ACBD-B09B-4E7E-A593-7CB456D2C401}"/>
    <cellStyle name="Normal 22 2 2 2 2 3 6" xfId="14889" xr:uid="{5B975119-2F1A-4806-87CF-7B93A9283AB2}"/>
    <cellStyle name="Normal 22 2 2 2 2 4" xfId="2608" xr:uid="{00000000-0005-0000-0000-00001C180000}"/>
    <cellStyle name="Normal 22 2 2 2 2 4 2" xfId="9443" xr:uid="{00000000-0005-0000-0000-00001D180000}"/>
    <cellStyle name="Normal 22 2 2 2 2 4 2 2" xfId="18249" xr:uid="{2B8CBD41-3B84-468E-80F8-A12F9AD016BF}"/>
    <cellStyle name="Normal 22 2 2 2 2 4 3" xfId="7841" xr:uid="{00000000-0005-0000-0000-00001E180000}"/>
    <cellStyle name="Normal 22 2 2 2 2 4 3 2" xfId="16650" xr:uid="{DEBC8A2A-4A05-4EA0-A11B-71B5FC793EE2}"/>
    <cellStyle name="Normal 22 2 2 2 2 4 4" xfId="11053" xr:uid="{00000000-0005-0000-0000-00001F180000}"/>
    <cellStyle name="Normal 22 2 2 2 2 4 4 2" xfId="19796" xr:uid="{006F4593-34C8-42FD-A7DA-00AFA5074897}"/>
    <cellStyle name="Normal 22 2 2 2 2 4 5" xfId="12660" xr:uid="{00000000-0005-0000-0000-000020180000}"/>
    <cellStyle name="Normal 22 2 2 2 2 4 5 2" xfId="21396" xr:uid="{134714DE-2E90-461D-AA01-A9C2F9F3163D}"/>
    <cellStyle name="Normal 22 2 2 2 2 4 6" xfId="14890" xr:uid="{08067C4A-0BDB-4BD1-A0C9-2B0EA9AFD267}"/>
    <cellStyle name="Normal 22 2 2 2 3" xfId="2609" xr:uid="{00000000-0005-0000-0000-000021180000}"/>
    <cellStyle name="Normal 22 2 2 2 4" xfId="2610" xr:uid="{00000000-0005-0000-0000-000022180000}"/>
    <cellStyle name="Normal 22 2 2 2 5" xfId="9440" xr:uid="{00000000-0005-0000-0000-000023180000}"/>
    <cellStyle name="Normal 22 2 2 2 5 2" xfId="18246" xr:uid="{6B8DB802-006B-4756-A3A2-6A6E83800E14}"/>
    <cellStyle name="Normal 22 2 2 2 6" xfId="7838" xr:uid="{00000000-0005-0000-0000-000024180000}"/>
    <cellStyle name="Normal 22 2 2 2 6 2" xfId="16647" xr:uid="{D1D1D75D-C8A6-448C-968D-A635D3BCF0C5}"/>
    <cellStyle name="Normal 22 2 2 2 7" xfId="11050" xr:uid="{00000000-0005-0000-0000-000025180000}"/>
    <cellStyle name="Normal 22 2 2 2 7 2" xfId="19793" xr:uid="{A7711CF1-337D-4BC2-A865-F98EB001758C}"/>
    <cellStyle name="Normal 22 2 2 2 8" xfId="12657" xr:uid="{00000000-0005-0000-0000-000026180000}"/>
    <cellStyle name="Normal 22 2 2 2 8 2" xfId="21393" xr:uid="{0562C7E9-CF22-476E-A852-BE16753C4CC9}"/>
    <cellStyle name="Normal 22 2 2 2 9" xfId="14887" xr:uid="{CD5F4FDE-F986-4782-B175-CBC8D9AF18D0}"/>
    <cellStyle name="Normal 22 2 2 3" xfId="2611" xr:uid="{00000000-0005-0000-0000-000027180000}"/>
    <cellStyle name="Normal 22 2 2 3 2" xfId="2612" xr:uid="{00000000-0005-0000-0000-000028180000}"/>
    <cellStyle name="Normal 22 2 2 3 2 2" xfId="9445" xr:uid="{00000000-0005-0000-0000-000029180000}"/>
    <cellStyle name="Normal 22 2 2 3 2 2 2" xfId="18251" xr:uid="{1A167722-60D8-4808-B63F-0883B13C4CE4}"/>
    <cellStyle name="Normal 22 2 2 3 2 3" xfId="7843" xr:uid="{00000000-0005-0000-0000-00002A180000}"/>
    <cellStyle name="Normal 22 2 2 3 2 3 2" xfId="16652" xr:uid="{93B4F79B-FAB4-4CD0-B39A-692CAAE800A3}"/>
    <cellStyle name="Normal 22 2 2 3 2 4" xfId="11055" xr:uid="{00000000-0005-0000-0000-00002B180000}"/>
    <cellStyle name="Normal 22 2 2 3 2 4 2" xfId="19798" xr:uid="{8B80DB57-178C-44EE-9334-4142C2A8FE28}"/>
    <cellStyle name="Normal 22 2 2 3 2 5" xfId="12662" xr:uid="{00000000-0005-0000-0000-00002C180000}"/>
    <cellStyle name="Normal 22 2 2 3 2 5 2" xfId="21398" xr:uid="{A35E9160-0B5A-4632-B755-30A98F7BCB5B}"/>
    <cellStyle name="Normal 22 2 2 3 2 6" xfId="14892" xr:uid="{3029D21A-673B-4935-B50C-0EAC76FE621F}"/>
    <cellStyle name="Normal 22 2 2 3 3" xfId="2613" xr:uid="{00000000-0005-0000-0000-00002D180000}"/>
    <cellStyle name="Normal 22 2 2 3 3 2" xfId="9446" xr:uid="{00000000-0005-0000-0000-00002E180000}"/>
    <cellStyle name="Normal 22 2 2 3 3 2 2" xfId="18252" xr:uid="{12BE8E76-7DA0-472E-BA8B-F161827B11A0}"/>
    <cellStyle name="Normal 22 2 2 3 3 3" xfId="7844" xr:uid="{00000000-0005-0000-0000-00002F180000}"/>
    <cellStyle name="Normal 22 2 2 3 3 3 2" xfId="16653" xr:uid="{902E9DB5-4267-416F-9561-95E73DFCC96B}"/>
    <cellStyle name="Normal 22 2 2 3 3 4" xfId="11056" xr:uid="{00000000-0005-0000-0000-000030180000}"/>
    <cellStyle name="Normal 22 2 2 3 3 4 2" xfId="19799" xr:uid="{39855C49-1762-473F-927E-F35C0E570491}"/>
    <cellStyle name="Normal 22 2 2 3 3 5" xfId="12663" xr:uid="{00000000-0005-0000-0000-000031180000}"/>
    <cellStyle name="Normal 22 2 2 3 3 5 2" xfId="21399" xr:uid="{F2A6F1DF-2634-4C68-8A95-487FBF40CA41}"/>
    <cellStyle name="Normal 22 2 2 3 3 6" xfId="14893" xr:uid="{7C326CAD-4F19-402E-B1C9-034E93544957}"/>
    <cellStyle name="Normal 22 2 2 3 4" xfId="2614" xr:uid="{00000000-0005-0000-0000-000032180000}"/>
    <cellStyle name="Normal 22 2 2 3 4 2" xfId="9447" xr:uid="{00000000-0005-0000-0000-000033180000}"/>
    <cellStyle name="Normal 22 2 2 3 4 2 2" xfId="18253" xr:uid="{43700401-EE6B-462F-A252-2E8FD4D80CCC}"/>
    <cellStyle name="Normal 22 2 2 3 4 3" xfId="7845" xr:uid="{00000000-0005-0000-0000-000034180000}"/>
    <cellStyle name="Normal 22 2 2 3 4 3 2" xfId="16654" xr:uid="{EB09D673-BF62-4376-A444-FECB611D59EC}"/>
    <cellStyle name="Normal 22 2 2 3 4 4" xfId="11057" xr:uid="{00000000-0005-0000-0000-000035180000}"/>
    <cellStyle name="Normal 22 2 2 3 4 4 2" xfId="19800" xr:uid="{88D80049-004A-4872-834E-AC7EA31DEF76}"/>
    <cellStyle name="Normal 22 2 2 3 4 5" xfId="12664" xr:uid="{00000000-0005-0000-0000-000036180000}"/>
    <cellStyle name="Normal 22 2 2 3 4 5 2" xfId="21400" xr:uid="{9387FB22-19F4-4482-A702-603117DFACE9}"/>
    <cellStyle name="Normal 22 2 2 3 4 6" xfId="14894" xr:uid="{833F4A4F-C7E6-4AB7-9D08-FD7E6FC8DF5F}"/>
    <cellStyle name="Normal 22 2 2 3 5" xfId="9444" xr:uid="{00000000-0005-0000-0000-000037180000}"/>
    <cellStyle name="Normal 22 2 2 3 5 2" xfId="18250" xr:uid="{9866F524-AA84-418D-B20B-FFE27783FA4F}"/>
    <cellStyle name="Normal 22 2 2 3 6" xfId="7842" xr:uid="{00000000-0005-0000-0000-000038180000}"/>
    <cellStyle name="Normal 22 2 2 3 6 2" xfId="16651" xr:uid="{F18F250F-AF5E-4EAB-A558-8E54878B6E58}"/>
    <cellStyle name="Normal 22 2 2 3 7" xfId="11054" xr:uid="{00000000-0005-0000-0000-000039180000}"/>
    <cellStyle name="Normal 22 2 2 3 7 2" xfId="19797" xr:uid="{1745F6E1-DB6F-4032-9944-2E266835A9DF}"/>
    <cellStyle name="Normal 22 2 2 3 8" xfId="12661" xr:uid="{00000000-0005-0000-0000-00003A180000}"/>
    <cellStyle name="Normal 22 2 2 3 8 2" xfId="21397" xr:uid="{5D1CD3C0-4B1E-46EE-9875-5D8A610226BA}"/>
    <cellStyle name="Normal 22 2 2 3 9" xfId="14891" xr:uid="{966AA6AA-EF71-4A7C-B01E-5564D302D61F}"/>
    <cellStyle name="Normal 22 2 2 4" xfId="2615" xr:uid="{00000000-0005-0000-0000-00003B180000}"/>
    <cellStyle name="Normal 22 2 2 4 2" xfId="2616" xr:uid="{00000000-0005-0000-0000-00003C180000}"/>
    <cellStyle name="Normal 22 2 2 4 2 2" xfId="9449" xr:uid="{00000000-0005-0000-0000-00003D180000}"/>
    <cellStyle name="Normal 22 2 2 4 2 2 2" xfId="18255" xr:uid="{B6B02FF1-1FF3-42F1-8E99-2940DA95B02E}"/>
    <cellStyle name="Normal 22 2 2 4 2 3" xfId="7847" xr:uid="{00000000-0005-0000-0000-00003E180000}"/>
    <cellStyle name="Normal 22 2 2 4 2 3 2" xfId="16656" xr:uid="{B3B64665-B754-4940-B8D4-2B2AEBB658B0}"/>
    <cellStyle name="Normal 22 2 2 4 2 4" xfId="11059" xr:uid="{00000000-0005-0000-0000-00003F180000}"/>
    <cellStyle name="Normal 22 2 2 4 2 4 2" xfId="19802" xr:uid="{BB701BE6-D872-4A5D-95E0-419442D40EFC}"/>
    <cellStyle name="Normal 22 2 2 4 2 5" xfId="12666" xr:uid="{00000000-0005-0000-0000-000040180000}"/>
    <cellStyle name="Normal 22 2 2 4 2 5 2" xfId="21402" xr:uid="{FE95ACF8-865D-47F8-B60E-B5EE671E104A}"/>
    <cellStyle name="Normal 22 2 2 4 2 6" xfId="14896" xr:uid="{C88D0AF7-F4B4-4848-8553-2B56DE71C333}"/>
    <cellStyle name="Normal 22 2 2 4 3" xfId="2617" xr:uid="{00000000-0005-0000-0000-000041180000}"/>
    <cellStyle name="Normal 22 2 2 4 3 2" xfId="9450" xr:uid="{00000000-0005-0000-0000-000042180000}"/>
    <cellStyle name="Normal 22 2 2 4 3 2 2" xfId="18256" xr:uid="{05F0C0A1-E022-4CDC-80ED-2E7C3FBB7C61}"/>
    <cellStyle name="Normal 22 2 2 4 3 3" xfId="7848" xr:uid="{00000000-0005-0000-0000-000043180000}"/>
    <cellStyle name="Normal 22 2 2 4 3 3 2" xfId="16657" xr:uid="{AFF2922B-8F46-4E6C-8CE3-3F61E791756A}"/>
    <cellStyle name="Normal 22 2 2 4 3 4" xfId="11060" xr:uid="{00000000-0005-0000-0000-000044180000}"/>
    <cellStyle name="Normal 22 2 2 4 3 4 2" xfId="19803" xr:uid="{BB49CCB2-20B9-45D3-A9BC-E132E549CA04}"/>
    <cellStyle name="Normal 22 2 2 4 3 5" xfId="12667" xr:uid="{00000000-0005-0000-0000-000045180000}"/>
    <cellStyle name="Normal 22 2 2 4 3 5 2" xfId="21403" xr:uid="{AFEA6F52-7972-452A-9C2E-15E721F7DF31}"/>
    <cellStyle name="Normal 22 2 2 4 3 6" xfId="14897" xr:uid="{17478A9E-7CE1-4900-BBD6-FCE93ED39832}"/>
    <cellStyle name="Normal 22 2 2 4 4" xfId="2618" xr:uid="{00000000-0005-0000-0000-000046180000}"/>
    <cellStyle name="Normal 22 2 2 4 4 2" xfId="9451" xr:uid="{00000000-0005-0000-0000-000047180000}"/>
    <cellStyle name="Normal 22 2 2 4 4 2 2" xfId="18257" xr:uid="{3BB8CBF6-5A40-438A-88FF-62DDB93E3D71}"/>
    <cellStyle name="Normal 22 2 2 4 4 3" xfId="7849" xr:uid="{00000000-0005-0000-0000-000048180000}"/>
    <cellStyle name="Normal 22 2 2 4 4 3 2" xfId="16658" xr:uid="{5AA1671C-AE4C-4E2A-8294-EDEB669DF8E7}"/>
    <cellStyle name="Normal 22 2 2 4 4 4" xfId="11061" xr:uid="{00000000-0005-0000-0000-000049180000}"/>
    <cellStyle name="Normal 22 2 2 4 4 4 2" xfId="19804" xr:uid="{E2E2C7D3-4FA1-42AE-8288-5F4A6D2BF0D7}"/>
    <cellStyle name="Normal 22 2 2 4 4 5" xfId="12668" xr:uid="{00000000-0005-0000-0000-00004A180000}"/>
    <cellStyle name="Normal 22 2 2 4 4 5 2" xfId="21404" xr:uid="{839EC34A-931C-4DC5-9498-A1CA1568AFE5}"/>
    <cellStyle name="Normal 22 2 2 4 4 6" xfId="14898" xr:uid="{5AB7B65F-824C-4B19-B9CC-B462FCC95908}"/>
    <cellStyle name="Normal 22 2 2 4 5" xfId="9448" xr:uid="{00000000-0005-0000-0000-00004B180000}"/>
    <cellStyle name="Normal 22 2 2 4 5 2" xfId="18254" xr:uid="{66A4D21E-994B-4AAD-A3BC-F89C5158AB66}"/>
    <cellStyle name="Normal 22 2 2 4 6" xfId="7846" xr:uid="{00000000-0005-0000-0000-00004C180000}"/>
    <cellStyle name="Normal 22 2 2 4 6 2" xfId="16655" xr:uid="{D04F19EF-7025-4AFD-A4DB-E458CE87B04A}"/>
    <cellStyle name="Normal 22 2 2 4 7" xfId="11058" xr:uid="{00000000-0005-0000-0000-00004D180000}"/>
    <cellStyle name="Normal 22 2 2 4 7 2" xfId="19801" xr:uid="{B0B15BB2-282E-4D78-A024-04F23CFE43CC}"/>
    <cellStyle name="Normal 22 2 2 4 8" xfId="12665" xr:uid="{00000000-0005-0000-0000-00004E180000}"/>
    <cellStyle name="Normal 22 2 2 4 8 2" xfId="21401" xr:uid="{5141D766-9505-4C0E-8827-500C4463F7BA}"/>
    <cellStyle name="Normal 22 2 2 4 9" xfId="14895" xr:uid="{5E1759FC-AA83-4A2C-B153-D7EF3964AD76}"/>
    <cellStyle name="Normal 22 2 2 5" xfId="2619" xr:uid="{00000000-0005-0000-0000-00004F180000}"/>
    <cellStyle name="Normal 22 2 2 5 2" xfId="9452" xr:uid="{00000000-0005-0000-0000-000050180000}"/>
    <cellStyle name="Normal 22 2 2 5 2 2" xfId="18258" xr:uid="{ADE4BEFC-3F3A-4BE1-9B5B-7082C69E65E6}"/>
    <cellStyle name="Normal 22 2 2 5 3" xfId="7850" xr:uid="{00000000-0005-0000-0000-000051180000}"/>
    <cellStyle name="Normal 22 2 2 5 3 2" xfId="16659" xr:uid="{0691E20E-76EB-453C-9892-4FBBFE1ACF59}"/>
    <cellStyle name="Normal 22 2 2 5 4" xfId="11062" xr:uid="{00000000-0005-0000-0000-000052180000}"/>
    <cellStyle name="Normal 22 2 2 5 4 2" xfId="19805" xr:uid="{1E939377-7E87-4664-A438-3D49278DFAC4}"/>
    <cellStyle name="Normal 22 2 2 5 5" xfId="12669" xr:uid="{00000000-0005-0000-0000-000053180000}"/>
    <cellStyle name="Normal 22 2 2 5 5 2" xfId="21405" xr:uid="{6191EDF7-E3C8-4B2F-AE88-7BEA54A02842}"/>
    <cellStyle name="Normal 22 2 2 5 6" xfId="14899" xr:uid="{9DDB5392-6669-4701-B4D7-C4F1D0BC8851}"/>
    <cellStyle name="Normal 22 2 2 6" xfId="2620" xr:uid="{00000000-0005-0000-0000-000054180000}"/>
    <cellStyle name="Normal 22 2 2 6 2" xfId="9453" xr:uid="{00000000-0005-0000-0000-000055180000}"/>
    <cellStyle name="Normal 22 2 2 6 2 2" xfId="18259" xr:uid="{55750A1A-49D7-4A97-B7A3-7BE64A2371F8}"/>
    <cellStyle name="Normal 22 2 2 6 3" xfId="7851" xr:uid="{00000000-0005-0000-0000-000056180000}"/>
    <cellStyle name="Normal 22 2 2 6 3 2" xfId="16660" xr:uid="{8B3646B6-B43B-4B72-B1D4-B0658CEB7E23}"/>
    <cellStyle name="Normal 22 2 2 6 4" xfId="11063" xr:uid="{00000000-0005-0000-0000-000057180000}"/>
    <cellStyle name="Normal 22 2 2 6 4 2" xfId="19806" xr:uid="{783CC657-B465-4369-AB4B-93864C6E4C51}"/>
    <cellStyle name="Normal 22 2 2 6 5" xfId="12670" xr:uid="{00000000-0005-0000-0000-000058180000}"/>
    <cellStyle name="Normal 22 2 2 6 5 2" xfId="21406" xr:uid="{5FCFFEB8-B954-4D4A-B52D-BC2F2FA8F49D}"/>
    <cellStyle name="Normal 22 2 2 6 6" xfId="14900" xr:uid="{0FFD77DA-751B-49AC-B883-7F1DDDE24C0E}"/>
    <cellStyle name="Normal 22 2 2 7" xfId="2621" xr:uid="{00000000-0005-0000-0000-000059180000}"/>
    <cellStyle name="Normal 22 2 2 7 2" xfId="9454" xr:uid="{00000000-0005-0000-0000-00005A180000}"/>
    <cellStyle name="Normal 22 2 2 7 2 2" xfId="18260" xr:uid="{D312878D-AE6B-4025-9E96-25D4CED35BB5}"/>
    <cellStyle name="Normal 22 2 2 7 3" xfId="7852" xr:uid="{00000000-0005-0000-0000-00005B180000}"/>
    <cellStyle name="Normal 22 2 2 7 3 2" xfId="16661" xr:uid="{128FC611-DA8A-4F2D-BDF3-62246AF98B6C}"/>
    <cellStyle name="Normal 22 2 2 7 4" xfId="11064" xr:uid="{00000000-0005-0000-0000-00005C180000}"/>
    <cellStyle name="Normal 22 2 2 7 4 2" xfId="19807" xr:uid="{338A16D2-7AEB-498A-A806-8F8A41FFC1DA}"/>
    <cellStyle name="Normal 22 2 2 7 5" xfId="12671" xr:uid="{00000000-0005-0000-0000-00005D180000}"/>
    <cellStyle name="Normal 22 2 2 7 5 2" xfId="21407" xr:uid="{0BC6EFD7-818D-4CF5-9764-5E1F8422213A}"/>
    <cellStyle name="Normal 22 2 2 7 6" xfId="14901" xr:uid="{78AE2E3F-C493-4EAA-9BCC-73A0AA8B3C88}"/>
    <cellStyle name="Normal 22 2 3" xfId="2622" xr:uid="{00000000-0005-0000-0000-00005E180000}"/>
    <cellStyle name="Normal 22 2 3 2" xfId="2623" xr:uid="{00000000-0005-0000-0000-00005F180000}"/>
    <cellStyle name="Normal 22 2 3 2 2" xfId="9456" xr:uid="{00000000-0005-0000-0000-000060180000}"/>
    <cellStyle name="Normal 22 2 3 2 2 2" xfId="18262" xr:uid="{EA0ECAF7-5065-4306-AE7A-3B5EA21AB00F}"/>
    <cellStyle name="Normal 22 2 3 2 3" xfId="7854" xr:uid="{00000000-0005-0000-0000-000061180000}"/>
    <cellStyle name="Normal 22 2 3 2 3 2" xfId="16663" xr:uid="{7C6E9E1E-43B1-495D-A610-BD1B50691BF4}"/>
    <cellStyle name="Normal 22 2 3 2 4" xfId="11066" xr:uid="{00000000-0005-0000-0000-000062180000}"/>
    <cellStyle name="Normal 22 2 3 2 4 2" xfId="19809" xr:uid="{4A3B8DF0-1AE1-441A-A12B-638D97C6A48A}"/>
    <cellStyle name="Normal 22 2 3 2 5" xfId="12673" xr:uid="{00000000-0005-0000-0000-000063180000}"/>
    <cellStyle name="Normal 22 2 3 2 5 2" xfId="21409" xr:uid="{F142CC6C-EE52-4106-999E-F6A606A5903F}"/>
    <cellStyle name="Normal 22 2 3 2 6" xfId="14903" xr:uid="{C71A6CF3-6140-4077-8BCD-C9EF7BB523F6}"/>
    <cellStyle name="Normal 22 2 3 3" xfId="2624" xr:uid="{00000000-0005-0000-0000-000064180000}"/>
    <cellStyle name="Normal 22 2 3 3 2" xfId="9457" xr:uid="{00000000-0005-0000-0000-000065180000}"/>
    <cellStyle name="Normal 22 2 3 3 2 2" xfId="18263" xr:uid="{4AE56832-AE35-4F25-876F-F0380091E01B}"/>
    <cellStyle name="Normal 22 2 3 3 3" xfId="7855" xr:uid="{00000000-0005-0000-0000-000066180000}"/>
    <cellStyle name="Normal 22 2 3 3 3 2" xfId="16664" xr:uid="{3B41AEC1-9246-4F86-851D-10BDDD04AA44}"/>
    <cellStyle name="Normal 22 2 3 3 4" xfId="11067" xr:uid="{00000000-0005-0000-0000-000067180000}"/>
    <cellStyle name="Normal 22 2 3 3 4 2" xfId="19810" xr:uid="{4F2977F7-4463-4DBC-9661-20810C84AAB3}"/>
    <cellStyle name="Normal 22 2 3 3 5" xfId="12674" xr:uid="{00000000-0005-0000-0000-000068180000}"/>
    <cellStyle name="Normal 22 2 3 3 5 2" xfId="21410" xr:uid="{FEAD2820-BDBF-4DDD-AEB1-5231C1CFB5F1}"/>
    <cellStyle name="Normal 22 2 3 3 6" xfId="14904" xr:uid="{E26D45FF-01EC-4EB9-A55F-6442EBB3490B}"/>
    <cellStyle name="Normal 22 2 3 4" xfId="2625" xr:uid="{00000000-0005-0000-0000-000069180000}"/>
    <cellStyle name="Normal 22 2 3 4 2" xfId="9458" xr:uid="{00000000-0005-0000-0000-00006A180000}"/>
    <cellStyle name="Normal 22 2 3 4 2 2" xfId="18264" xr:uid="{9836541A-62D1-4B92-AB41-634F3B0ED178}"/>
    <cellStyle name="Normal 22 2 3 4 3" xfId="7856" xr:uid="{00000000-0005-0000-0000-00006B180000}"/>
    <cellStyle name="Normal 22 2 3 4 3 2" xfId="16665" xr:uid="{4E23E73E-3DA6-46E8-B8D6-E3F9B39652D3}"/>
    <cellStyle name="Normal 22 2 3 4 4" xfId="11068" xr:uid="{00000000-0005-0000-0000-00006C180000}"/>
    <cellStyle name="Normal 22 2 3 4 4 2" xfId="19811" xr:uid="{B7B90019-52AC-4C01-BAAD-1B87ED914624}"/>
    <cellStyle name="Normal 22 2 3 4 5" xfId="12675" xr:uid="{00000000-0005-0000-0000-00006D180000}"/>
    <cellStyle name="Normal 22 2 3 4 5 2" xfId="21411" xr:uid="{68AEA553-D1DE-41E1-9C96-E9A6FD7F1744}"/>
    <cellStyle name="Normal 22 2 3 4 6" xfId="14905" xr:uid="{3F748F32-0A91-4ED2-BFDF-9CC57CEDC4C9}"/>
    <cellStyle name="Normal 22 2 3 5" xfId="9455" xr:uid="{00000000-0005-0000-0000-00006E180000}"/>
    <cellStyle name="Normal 22 2 3 5 2" xfId="18261" xr:uid="{FEACBE06-1AE3-4A5A-93CF-D2738A1CC8F7}"/>
    <cellStyle name="Normal 22 2 3 6" xfId="7853" xr:uid="{00000000-0005-0000-0000-00006F180000}"/>
    <cellStyle name="Normal 22 2 3 6 2" xfId="16662" xr:uid="{1DF43DD3-0D3F-49C3-AEE9-96EC23F8B63D}"/>
    <cellStyle name="Normal 22 2 3 7" xfId="11065" xr:uid="{00000000-0005-0000-0000-000070180000}"/>
    <cellStyle name="Normal 22 2 3 7 2" xfId="19808" xr:uid="{D9F16BC7-980A-4A44-9DE2-3FB3EF28E434}"/>
    <cellStyle name="Normal 22 2 3 8" xfId="12672" xr:uid="{00000000-0005-0000-0000-000071180000}"/>
    <cellStyle name="Normal 22 2 3 8 2" xfId="21408" xr:uid="{AC7EB4EC-5E5A-4D7B-977A-76781F072EA4}"/>
    <cellStyle name="Normal 22 2 3 9" xfId="14902" xr:uid="{A924483F-B017-4901-B0C0-2C8471D28629}"/>
    <cellStyle name="Normal 22 2 4" xfId="2626" xr:uid="{00000000-0005-0000-0000-000072180000}"/>
    <cellStyle name="Normal 22 2 5" xfId="2627" xr:uid="{00000000-0005-0000-0000-000073180000}"/>
    <cellStyle name="Normal 22 2 6" xfId="2628" xr:uid="{00000000-0005-0000-0000-000074180000}"/>
    <cellStyle name="Normal 22 2 6 2" xfId="9459" xr:uid="{00000000-0005-0000-0000-000075180000}"/>
    <cellStyle name="Normal 22 2 6 2 2" xfId="18265" xr:uid="{DA695618-B128-44DD-B64C-BD47340C8EA1}"/>
    <cellStyle name="Normal 22 2 6 3" xfId="7857" xr:uid="{00000000-0005-0000-0000-000076180000}"/>
    <cellStyle name="Normal 22 2 6 3 2" xfId="16666" xr:uid="{C0A18441-9A40-48C5-B89E-8FBE2340C979}"/>
    <cellStyle name="Normal 22 2 6 4" xfId="11069" xr:uid="{00000000-0005-0000-0000-000077180000}"/>
    <cellStyle name="Normal 22 2 6 4 2" xfId="19812" xr:uid="{4D851D46-B7F4-40D4-912A-5AE519D584FC}"/>
    <cellStyle name="Normal 22 2 6 5" xfId="12676" xr:uid="{00000000-0005-0000-0000-000078180000}"/>
    <cellStyle name="Normal 22 2 6 5 2" xfId="21412" xr:uid="{83B9ACDF-2451-46A8-814C-A8B9A990FA54}"/>
    <cellStyle name="Normal 22 2 6 6" xfId="14906" xr:uid="{FB639B97-8428-4725-A226-AAD1636B7487}"/>
    <cellStyle name="Normal 22 2 7" xfId="2629" xr:uid="{00000000-0005-0000-0000-000079180000}"/>
    <cellStyle name="Normal 22 2 7 2" xfId="9460" xr:uid="{00000000-0005-0000-0000-00007A180000}"/>
    <cellStyle name="Normal 22 2 7 2 2" xfId="18266" xr:uid="{46078820-B141-42D5-82C2-47F11A374C6A}"/>
    <cellStyle name="Normal 22 2 7 3" xfId="7858" xr:uid="{00000000-0005-0000-0000-00007B180000}"/>
    <cellStyle name="Normal 22 2 7 3 2" xfId="16667" xr:uid="{7B76188D-E549-4740-A060-35A7BC65D23A}"/>
    <cellStyle name="Normal 22 2 7 4" xfId="11070" xr:uid="{00000000-0005-0000-0000-00007C180000}"/>
    <cellStyle name="Normal 22 2 7 4 2" xfId="19813" xr:uid="{F6E09B70-28B1-41A2-9286-6CFBE8E8D277}"/>
    <cellStyle name="Normal 22 2 7 5" xfId="12677" xr:uid="{00000000-0005-0000-0000-00007D180000}"/>
    <cellStyle name="Normal 22 2 7 5 2" xfId="21413" xr:uid="{1462D656-38E2-4B61-9F60-F8642EAFDCD2}"/>
    <cellStyle name="Normal 22 2 7 6" xfId="14907" xr:uid="{3F3A15BA-3E1E-4853-91BE-BACE74139D2A}"/>
    <cellStyle name="Normal 22 2 8" xfId="2630" xr:uid="{00000000-0005-0000-0000-00007E180000}"/>
    <cellStyle name="Normal 22 2 8 2" xfId="9461" xr:uid="{00000000-0005-0000-0000-00007F180000}"/>
    <cellStyle name="Normal 22 2 8 2 2" xfId="18267" xr:uid="{E6C458CC-1C12-4C94-816D-DAFAED49FF9B}"/>
    <cellStyle name="Normal 22 2 8 3" xfId="7859" xr:uid="{00000000-0005-0000-0000-000080180000}"/>
    <cellStyle name="Normal 22 2 8 3 2" xfId="16668" xr:uid="{82FC7A61-A171-499C-BAFD-93D6F8F035FA}"/>
    <cellStyle name="Normal 22 2 8 4" xfId="11071" xr:uid="{00000000-0005-0000-0000-000081180000}"/>
    <cellStyle name="Normal 22 2 8 4 2" xfId="19814" xr:uid="{F5D6C01C-D733-4B29-88EB-4A274590F7D2}"/>
    <cellStyle name="Normal 22 2 8 5" xfId="12678" xr:uid="{00000000-0005-0000-0000-000082180000}"/>
    <cellStyle name="Normal 22 2 8 5 2" xfId="21414" xr:uid="{C57D4DB9-9E28-4C35-9BC6-666DF9EDC66E}"/>
    <cellStyle name="Normal 22 2 8 6" xfId="14908" xr:uid="{DFDC135E-5406-4DE5-A0D1-087D755F26AD}"/>
    <cellStyle name="Normal 22 2 9" xfId="9439" xr:uid="{00000000-0005-0000-0000-000083180000}"/>
    <cellStyle name="Normal 22 2 9 2" xfId="18245" xr:uid="{34BBA632-314D-4639-824C-5FE7A2C108FC}"/>
    <cellStyle name="Normal 22 3" xfId="2631" xr:uid="{00000000-0005-0000-0000-000084180000}"/>
    <cellStyle name="Normal 22 4" xfId="2601" xr:uid="{00000000-0005-0000-0000-000085180000}"/>
    <cellStyle name="Normal 22 5" xfId="10635" xr:uid="{00000000-0005-0000-0000-000086180000}"/>
    <cellStyle name="Normal 220" xfId="14690" xr:uid="{6435F665-404F-4D18-A813-E8BA206CD871}"/>
    <cellStyle name="Normal 221" xfId="16166" xr:uid="{55011DEC-9884-42BD-B522-94D1CF54DDE6}"/>
    <cellStyle name="Normal 222" xfId="22602" xr:uid="{1E382C44-1453-4DF9-830B-01B49AE9EC1B}"/>
    <cellStyle name="Normal 223" xfId="22587" xr:uid="{0C44A215-8744-47C3-A411-6FF646B3991A}"/>
    <cellStyle name="Normal 224" xfId="22641" xr:uid="{4630CBF4-C687-45B8-8601-127C900605FE}"/>
    <cellStyle name="Normal 225" xfId="13855" xr:uid="{9A57C8CE-122C-4A04-BD97-9E52836B9C12}"/>
    <cellStyle name="Normal 226" xfId="13880" xr:uid="{47B39A3A-71D7-4BDF-9890-29DBC82F9E12}"/>
    <cellStyle name="Normal 227" xfId="13908" xr:uid="{31AA91EC-4E2B-469B-B63A-CDC7C75E9216}"/>
    <cellStyle name="Normal 228" xfId="13866" xr:uid="{29661C8B-04F1-44E0-88FC-811184B07A4A}"/>
    <cellStyle name="Normal 229" xfId="13861" xr:uid="{155659DC-6A93-4D63-AC99-6ECAF147BF1E}"/>
    <cellStyle name="Normal 23" xfId="163" xr:uid="{00000000-0005-0000-0000-000087180000}"/>
    <cellStyle name="Normal 23 2" xfId="2633" xr:uid="{00000000-0005-0000-0000-000088180000}"/>
    <cellStyle name="Normal 23 2 10" xfId="7860" xr:uid="{00000000-0005-0000-0000-000089180000}"/>
    <cellStyle name="Normal 23 2 10 2" xfId="16669" xr:uid="{88C683BC-09B0-48C0-88EF-F26A447A5FB9}"/>
    <cellStyle name="Normal 23 2 11" xfId="11072" xr:uid="{00000000-0005-0000-0000-00008A180000}"/>
    <cellStyle name="Normal 23 2 11 2" xfId="19815" xr:uid="{744140B3-8A10-4C2A-B853-EE063D36E84A}"/>
    <cellStyle name="Normal 23 2 12" xfId="12679" xr:uid="{00000000-0005-0000-0000-00008B180000}"/>
    <cellStyle name="Normal 23 2 12 2" xfId="21415" xr:uid="{6A03F2C6-7675-411D-9D84-5CDC09CA9B0F}"/>
    <cellStyle name="Normal 23 2 13" xfId="14909" xr:uid="{F1A34027-35DE-4A14-B466-DD371A0E9473}"/>
    <cellStyle name="Normal 23 2 2" xfId="2634" xr:uid="{00000000-0005-0000-0000-00008C180000}"/>
    <cellStyle name="Normal 23 2 2 2" xfId="2635" xr:uid="{00000000-0005-0000-0000-00008D180000}"/>
    <cellStyle name="Normal 23 2 2 2 2" xfId="2636" xr:uid="{00000000-0005-0000-0000-00008E180000}"/>
    <cellStyle name="Normal 23 2 2 2 2 2" xfId="2637" xr:uid="{00000000-0005-0000-0000-00008F180000}"/>
    <cellStyle name="Normal 23 2 2 2 2 2 2" xfId="9464" xr:uid="{00000000-0005-0000-0000-000090180000}"/>
    <cellStyle name="Normal 23 2 2 2 2 2 2 2" xfId="18270" xr:uid="{963AD9A8-3A6F-4890-8484-E33C5D6DC915}"/>
    <cellStyle name="Normal 23 2 2 2 2 2 3" xfId="7862" xr:uid="{00000000-0005-0000-0000-000091180000}"/>
    <cellStyle name="Normal 23 2 2 2 2 2 3 2" xfId="16671" xr:uid="{7E6465AA-BA93-48BA-A7C3-4CA73A5B20EB}"/>
    <cellStyle name="Normal 23 2 2 2 2 2 4" xfId="11074" xr:uid="{00000000-0005-0000-0000-000092180000}"/>
    <cellStyle name="Normal 23 2 2 2 2 2 4 2" xfId="19817" xr:uid="{D95A301D-4011-49AB-8A4B-FD273BD59B94}"/>
    <cellStyle name="Normal 23 2 2 2 2 2 5" xfId="12681" xr:uid="{00000000-0005-0000-0000-000093180000}"/>
    <cellStyle name="Normal 23 2 2 2 2 2 5 2" xfId="21417" xr:uid="{F3D17A1F-625F-4E75-8DFC-509F83CE0957}"/>
    <cellStyle name="Normal 23 2 2 2 2 2 6" xfId="14911" xr:uid="{72D47BFD-E413-45D8-A782-2B2763F4244E}"/>
    <cellStyle name="Normal 23 2 2 2 2 3" xfId="2638" xr:uid="{00000000-0005-0000-0000-000094180000}"/>
    <cellStyle name="Normal 23 2 2 2 2 3 2" xfId="9465" xr:uid="{00000000-0005-0000-0000-000095180000}"/>
    <cellStyle name="Normal 23 2 2 2 2 3 2 2" xfId="18271" xr:uid="{412930D1-9146-458B-A0B8-382E018A6C13}"/>
    <cellStyle name="Normal 23 2 2 2 2 3 3" xfId="7863" xr:uid="{00000000-0005-0000-0000-000096180000}"/>
    <cellStyle name="Normal 23 2 2 2 2 3 3 2" xfId="16672" xr:uid="{3661ABF5-2393-4A1E-A882-6B338AD263A5}"/>
    <cellStyle name="Normal 23 2 2 2 2 3 4" xfId="11075" xr:uid="{00000000-0005-0000-0000-000097180000}"/>
    <cellStyle name="Normal 23 2 2 2 2 3 4 2" xfId="19818" xr:uid="{A83AFA2E-CE3C-4C46-B134-F460846B0546}"/>
    <cellStyle name="Normal 23 2 2 2 2 3 5" xfId="12682" xr:uid="{00000000-0005-0000-0000-000098180000}"/>
    <cellStyle name="Normal 23 2 2 2 2 3 5 2" xfId="21418" xr:uid="{6200E77F-E691-4015-A0BC-7C8B741F6359}"/>
    <cellStyle name="Normal 23 2 2 2 2 3 6" xfId="14912" xr:uid="{2B7D8322-16E8-4F08-9873-7962088EF096}"/>
    <cellStyle name="Normal 23 2 2 2 2 4" xfId="2639" xr:uid="{00000000-0005-0000-0000-000099180000}"/>
    <cellStyle name="Normal 23 2 2 2 2 4 2" xfId="9466" xr:uid="{00000000-0005-0000-0000-00009A180000}"/>
    <cellStyle name="Normal 23 2 2 2 2 4 2 2" xfId="18272" xr:uid="{F99F14BC-B7E9-454E-91D2-E449B47D47AC}"/>
    <cellStyle name="Normal 23 2 2 2 2 4 3" xfId="7864" xr:uid="{00000000-0005-0000-0000-00009B180000}"/>
    <cellStyle name="Normal 23 2 2 2 2 4 3 2" xfId="16673" xr:uid="{17C4C045-6714-49A4-B88D-43C0EC87499A}"/>
    <cellStyle name="Normal 23 2 2 2 2 4 4" xfId="11076" xr:uid="{00000000-0005-0000-0000-00009C180000}"/>
    <cellStyle name="Normal 23 2 2 2 2 4 4 2" xfId="19819" xr:uid="{29EA26F2-EB2A-41D9-A234-94307D78EC10}"/>
    <cellStyle name="Normal 23 2 2 2 2 4 5" xfId="12683" xr:uid="{00000000-0005-0000-0000-00009D180000}"/>
    <cellStyle name="Normal 23 2 2 2 2 4 5 2" xfId="21419" xr:uid="{23B7DBF4-1728-4597-AB55-46269E4776C3}"/>
    <cellStyle name="Normal 23 2 2 2 2 4 6" xfId="14913" xr:uid="{4F8FD8D9-D8BF-44AD-A6DB-356A8E72929A}"/>
    <cellStyle name="Normal 23 2 2 2 3" xfId="2640" xr:uid="{00000000-0005-0000-0000-00009E180000}"/>
    <cellStyle name="Normal 23 2 2 2 4" xfId="2641" xr:uid="{00000000-0005-0000-0000-00009F180000}"/>
    <cellStyle name="Normal 23 2 2 2 5" xfId="9463" xr:uid="{00000000-0005-0000-0000-0000A0180000}"/>
    <cellStyle name="Normal 23 2 2 2 5 2" xfId="18269" xr:uid="{BC35FC0E-9589-42F5-9574-4D3AE6BD4A94}"/>
    <cellStyle name="Normal 23 2 2 2 6" xfId="7861" xr:uid="{00000000-0005-0000-0000-0000A1180000}"/>
    <cellStyle name="Normal 23 2 2 2 6 2" xfId="16670" xr:uid="{A12952C6-284B-4CB5-9CAE-4F1D9DB96B37}"/>
    <cellStyle name="Normal 23 2 2 2 7" xfId="11073" xr:uid="{00000000-0005-0000-0000-0000A2180000}"/>
    <cellStyle name="Normal 23 2 2 2 7 2" xfId="19816" xr:uid="{7C847A56-AE9F-426B-AE36-C9E50474E107}"/>
    <cellStyle name="Normal 23 2 2 2 8" xfId="12680" xr:uid="{00000000-0005-0000-0000-0000A3180000}"/>
    <cellStyle name="Normal 23 2 2 2 8 2" xfId="21416" xr:uid="{00235974-850C-4C9C-AB7F-6FA71635580C}"/>
    <cellStyle name="Normal 23 2 2 2 9" xfId="14910" xr:uid="{04740267-0889-4939-A734-4239DD9CF95B}"/>
    <cellStyle name="Normal 23 2 2 3" xfId="2642" xr:uid="{00000000-0005-0000-0000-0000A4180000}"/>
    <cellStyle name="Normal 23 2 2 3 2" xfId="2643" xr:uid="{00000000-0005-0000-0000-0000A5180000}"/>
    <cellStyle name="Normal 23 2 2 3 2 2" xfId="9468" xr:uid="{00000000-0005-0000-0000-0000A6180000}"/>
    <cellStyle name="Normal 23 2 2 3 2 2 2" xfId="18274" xr:uid="{27CBC93D-B72D-4888-920A-D1F70696DCFE}"/>
    <cellStyle name="Normal 23 2 2 3 2 3" xfId="7866" xr:uid="{00000000-0005-0000-0000-0000A7180000}"/>
    <cellStyle name="Normal 23 2 2 3 2 3 2" xfId="16675" xr:uid="{5039F1CA-51FC-444D-BC53-3511E55B82AF}"/>
    <cellStyle name="Normal 23 2 2 3 2 4" xfId="11078" xr:uid="{00000000-0005-0000-0000-0000A8180000}"/>
    <cellStyle name="Normal 23 2 2 3 2 4 2" xfId="19821" xr:uid="{E7AC0F51-02F7-42D4-A181-D2A723051931}"/>
    <cellStyle name="Normal 23 2 2 3 2 5" xfId="12685" xr:uid="{00000000-0005-0000-0000-0000A9180000}"/>
    <cellStyle name="Normal 23 2 2 3 2 5 2" xfId="21421" xr:uid="{C00E142B-AEBE-4EEB-87E9-55ECF3EB60B5}"/>
    <cellStyle name="Normal 23 2 2 3 2 6" xfId="14915" xr:uid="{68E4B53B-AD3D-468C-86BE-5C42DA1FC873}"/>
    <cellStyle name="Normal 23 2 2 3 3" xfId="2644" xr:uid="{00000000-0005-0000-0000-0000AA180000}"/>
    <cellStyle name="Normal 23 2 2 3 3 2" xfId="9469" xr:uid="{00000000-0005-0000-0000-0000AB180000}"/>
    <cellStyle name="Normal 23 2 2 3 3 2 2" xfId="18275" xr:uid="{5E6F6B80-92DA-4322-A81A-76B98505A74F}"/>
    <cellStyle name="Normal 23 2 2 3 3 3" xfId="7867" xr:uid="{00000000-0005-0000-0000-0000AC180000}"/>
    <cellStyle name="Normal 23 2 2 3 3 3 2" xfId="16676" xr:uid="{DEABE818-14D9-4D71-9BFA-F38988A62815}"/>
    <cellStyle name="Normal 23 2 2 3 3 4" xfId="11079" xr:uid="{00000000-0005-0000-0000-0000AD180000}"/>
    <cellStyle name="Normal 23 2 2 3 3 4 2" xfId="19822" xr:uid="{FE79BB27-C574-4BA6-9FC3-5F12E3C8BFDE}"/>
    <cellStyle name="Normal 23 2 2 3 3 5" xfId="12686" xr:uid="{00000000-0005-0000-0000-0000AE180000}"/>
    <cellStyle name="Normal 23 2 2 3 3 5 2" xfId="21422" xr:uid="{384E03B6-7C58-4210-AD4C-187BE88A471E}"/>
    <cellStyle name="Normal 23 2 2 3 3 6" xfId="14916" xr:uid="{962DC885-73F2-4ABB-9321-B020FE4A2572}"/>
    <cellStyle name="Normal 23 2 2 3 4" xfId="2645" xr:uid="{00000000-0005-0000-0000-0000AF180000}"/>
    <cellStyle name="Normal 23 2 2 3 4 2" xfId="9470" xr:uid="{00000000-0005-0000-0000-0000B0180000}"/>
    <cellStyle name="Normal 23 2 2 3 4 2 2" xfId="18276" xr:uid="{ECDB1272-F621-4E38-9F80-89B8F166D17A}"/>
    <cellStyle name="Normal 23 2 2 3 4 3" xfId="7868" xr:uid="{00000000-0005-0000-0000-0000B1180000}"/>
    <cellStyle name="Normal 23 2 2 3 4 3 2" xfId="16677" xr:uid="{016D2BFE-9198-41D1-BB77-E3FB35FB35B5}"/>
    <cellStyle name="Normal 23 2 2 3 4 4" xfId="11080" xr:uid="{00000000-0005-0000-0000-0000B2180000}"/>
    <cellStyle name="Normal 23 2 2 3 4 4 2" xfId="19823" xr:uid="{79EC2DC7-0309-4E0E-89CA-54F30AB6B30F}"/>
    <cellStyle name="Normal 23 2 2 3 4 5" xfId="12687" xr:uid="{00000000-0005-0000-0000-0000B3180000}"/>
    <cellStyle name="Normal 23 2 2 3 4 5 2" xfId="21423" xr:uid="{32D494D3-6D76-4EFE-AF01-FBDCEDF6DCC9}"/>
    <cellStyle name="Normal 23 2 2 3 4 6" xfId="14917" xr:uid="{1F37D1E0-7E1F-40AA-8C74-6830DEFC58FF}"/>
    <cellStyle name="Normal 23 2 2 3 5" xfId="9467" xr:uid="{00000000-0005-0000-0000-0000B4180000}"/>
    <cellStyle name="Normal 23 2 2 3 5 2" xfId="18273" xr:uid="{500EF4CD-97A8-4839-9502-DD3FF06ACB24}"/>
    <cellStyle name="Normal 23 2 2 3 6" xfId="7865" xr:uid="{00000000-0005-0000-0000-0000B5180000}"/>
    <cellStyle name="Normal 23 2 2 3 6 2" xfId="16674" xr:uid="{3A64BDAA-282C-47F2-945D-7798502E560C}"/>
    <cellStyle name="Normal 23 2 2 3 7" xfId="11077" xr:uid="{00000000-0005-0000-0000-0000B6180000}"/>
    <cellStyle name="Normal 23 2 2 3 7 2" xfId="19820" xr:uid="{65D5CCE7-889F-407C-BFC0-4B21E226796C}"/>
    <cellStyle name="Normal 23 2 2 3 8" xfId="12684" xr:uid="{00000000-0005-0000-0000-0000B7180000}"/>
    <cellStyle name="Normal 23 2 2 3 8 2" xfId="21420" xr:uid="{226F8E67-691E-41AA-9993-D8BC4F854C0F}"/>
    <cellStyle name="Normal 23 2 2 3 9" xfId="14914" xr:uid="{5E5C6E76-3528-427C-946F-DCCF3F311862}"/>
    <cellStyle name="Normal 23 2 2 4" xfId="2646" xr:uid="{00000000-0005-0000-0000-0000B8180000}"/>
    <cellStyle name="Normal 23 2 2 4 2" xfId="2647" xr:uid="{00000000-0005-0000-0000-0000B9180000}"/>
    <cellStyle name="Normal 23 2 2 4 2 2" xfId="9472" xr:uid="{00000000-0005-0000-0000-0000BA180000}"/>
    <cellStyle name="Normal 23 2 2 4 2 2 2" xfId="18278" xr:uid="{1E3E8DCD-AA82-4FA6-8214-8A30D5BFB6DE}"/>
    <cellStyle name="Normal 23 2 2 4 2 3" xfId="7870" xr:uid="{00000000-0005-0000-0000-0000BB180000}"/>
    <cellStyle name="Normal 23 2 2 4 2 3 2" xfId="16679" xr:uid="{A721080A-6D24-4FD1-81BC-28B19D3842E7}"/>
    <cellStyle name="Normal 23 2 2 4 2 4" xfId="11082" xr:uid="{00000000-0005-0000-0000-0000BC180000}"/>
    <cellStyle name="Normal 23 2 2 4 2 4 2" xfId="19825" xr:uid="{6CFD1D97-0726-4415-B19B-1A591EB3CA08}"/>
    <cellStyle name="Normal 23 2 2 4 2 5" xfId="12689" xr:uid="{00000000-0005-0000-0000-0000BD180000}"/>
    <cellStyle name="Normal 23 2 2 4 2 5 2" xfId="21425" xr:uid="{23BB0FEA-8520-4089-A6E8-35E0ED8584D3}"/>
    <cellStyle name="Normal 23 2 2 4 2 6" xfId="14919" xr:uid="{9954273A-CF4A-42A8-86BD-CAA3F66C17BA}"/>
    <cellStyle name="Normal 23 2 2 4 3" xfId="2648" xr:uid="{00000000-0005-0000-0000-0000BE180000}"/>
    <cellStyle name="Normal 23 2 2 4 3 2" xfId="9473" xr:uid="{00000000-0005-0000-0000-0000BF180000}"/>
    <cellStyle name="Normal 23 2 2 4 3 2 2" xfId="18279" xr:uid="{75A9D424-A1DB-4F7E-86F3-C8EBE5AC6EF6}"/>
    <cellStyle name="Normal 23 2 2 4 3 3" xfId="7871" xr:uid="{00000000-0005-0000-0000-0000C0180000}"/>
    <cellStyle name="Normal 23 2 2 4 3 3 2" xfId="16680" xr:uid="{73D7FD2C-B9B2-440E-8E38-7281812EF435}"/>
    <cellStyle name="Normal 23 2 2 4 3 4" xfId="11083" xr:uid="{00000000-0005-0000-0000-0000C1180000}"/>
    <cellStyle name="Normal 23 2 2 4 3 4 2" xfId="19826" xr:uid="{DC4D3FEF-277A-4788-9BB8-DD84D354BE9C}"/>
    <cellStyle name="Normal 23 2 2 4 3 5" xfId="12690" xr:uid="{00000000-0005-0000-0000-0000C2180000}"/>
    <cellStyle name="Normal 23 2 2 4 3 5 2" xfId="21426" xr:uid="{DADBACA2-4136-4232-8108-C89C5E5C77BF}"/>
    <cellStyle name="Normal 23 2 2 4 3 6" xfId="14920" xr:uid="{BC77B2C1-9E44-46B0-9D4D-1DA8E4AA7B10}"/>
    <cellStyle name="Normal 23 2 2 4 4" xfId="2649" xr:uid="{00000000-0005-0000-0000-0000C3180000}"/>
    <cellStyle name="Normal 23 2 2 4 4 2" xfId="9474" xr:uid="{00000000-0005-0000-0000-0000C4180000}"/>
    <cellStyle name="Normal 23 2 2 4 4 2 2" xfId="18280" xr:uid="{959FF9C4-5A1E-48D4-A6DE-E4069C262184}"/>
    <cellStyle name="Normal 23 2 2 4 4 3" xfId="7872" xr:uid="{00000000-0005-0000-0000-0000C5180000}"/>
    <cellStyle name="Normal 23 2 2 4 4 3 2" xfId="16681" xr:uid="{55489991-FCBA-4129-85CC-F98D7E6B86C2}"/>
    <cellStyle name="Normal 23 2 2 4 4 4" xfId="11084" xr:uid="{00000000-0005-0000-0000-0000C6180000}"/>
    <cellStyle name="Normal 23 2 2 4 4 4 2" xfId="19827" xr:uid="{1CF48A3B-BE15-4B22-B900-CF2E6435FA3B}"/>
    <cellStyle name="Normal 23 2 2 4 4 5" xfId="12691" xr:uid="{00000000-0005-0000-0000-0000C7180000}"/>
    <cellStyle name="Normal 23 2 2 4 4 5 2" xfId="21427" xr:uid="{27101D91-D8B2-4152-9BB5-4642F75E2935}"/>
    <cellStyle name="Normal 23 2 2 4 4 6" xfId="14921" xr:uid="{63B55DBB-1772-4291-AC08-DFBBB3686F07}"/>
    <cellStyle name="Normal 23 2 2 4 5" xfId="9471" xr:uid="{00000000-0005-0000-0000-0000C8180000}"/>
    <cellStyle name="Normal 23 2 2 4 5 2" xfId="18277" xr:uid="{4AE6761A-5627-4190-A6DF-8F5D154E23B7}"/>
    <cellStyle name="Normal 23 2 2 4 6" xfId="7869" xr:uid="{00000000-0005-0000-0000-0000C9180000}"/>
    <cellStyle name="Normal 23 2 2 4 6 2" xfId="16678" xr:uid="{28C0076C-79F3-402D-95CB-12DA70EDD5EC}"/>
    <cellStyle name="Normal 23 2 2 4 7" xfId="11081" xr:uid="{00000000-0005-0000-0000-0000CA180000}"/>
    <cellStyle name="Normal 23 2 2 4 7 2" xfId="19824" xr:uid="{BB7ED9CD-8B41-4A93-9563-AC0394AF4F5F}"/>
    <cellStyle name="Normal 23 2 2 4 8" xfId="12688" xr:uid="{00000000-0005-0000-0000-0000CB180000}"/>
    <cellStyle name="Normal 23 2 2 4 8 2" xfId="21424" xr:uid="{88A0A10F-F696-4427-8047-64B8AA1D5CA8}"/>
    <cellStyle name="Normal 23 2 2 4 9" xfId="14918" xr:uid="{1197E1FF-BA4E-451F-9495-E796DBA7FCF1}"/>
    <cellStyle name="Normal 23 2 2 5" xfId="2650" xr:uid="{00000000-0005-0000-0000-0000CC180000}"/>
    <cellStyle name="Normal 23 2 2 5 2" xfId="9475" xr:uid="{00000000-0005-0000-0000-0000CD180000}"/>
    <cellStyle name="Normal 23 2 2 5 2 2" xfId="18281" xr:uid="{3C889ABF-59E0-49DD-8F60-FFDD87689251}"/>
    <cellStyle name="Normal 23 2 2 5 3" xfId="7873" xr:uid="{00000000-0005-0000-0000-0000CE180000}"/>
    <cellStyle name="Normal 23 2 2 5 3 2" xfId="16682" xr:uid="{9A6CE848-5AF1-423D-9AF8-5286B6D38C84}"/>
    <cellStyle name="Normal 23 2 2 5 4" xfId="11085" xr:uid="{00000000-0005-0000-0000-0000CF180000}"/>
    <cellStyle name="Normal 23 2 2 5 4 2" xfId="19828" xr:uid="{EE077B3F-D74A-42DC-85FF-EC73A2293F10}"/>
    <cellStyle name="Normal 23 2 2 5 5" xfId="12692" xr:uid="{00000000-0005-0000-0000-0000D0180000}"/>
    <cellStyle name="Normal 23 2 2 5 5 2" xfId="21428" xr:uid="{E6C129F2-EF72-4143-9543-3DAD3C0BFF3E}"/>
    <cellStyle name="Normal 23 2 2 5 6" xfId="14922" xr:uid="{5E0F83DB-2E1C-4E61-960E-33A030EA4E8F}"/>
    <cellStyle name="Normal 23 2 2 6" xfId="2651" xr:uid="{00000000-0005-0000-0000-0000D1180000}"/>
    <cellStyle name="Normal 23 2 2 6 2" xfId="9476" xr:uid="{00000000-0005-0000-0000-0000D2180000}"/>
    <cellStyle name="Normal 23 2 2 6 2 2" xfId="18282" xr:uid="{C4AF65BA-D90C-4D8A-AB04-6276631F372F}"/>
    <cellStyle name="Normal 23 2 2 6 3" xfId="7874" xr:uid="{00000000-0005-0000-0000-0000D3180000}"/>
    <cellStyle name="Normal 23 2 2 6 3 2" xfId="16683" xr:uid="{1C541F43-21A3-4E46-8021-83ABAC8E2DEE}"/>
    <cellStyle name="Normal 23 2 2 6 4" xfId="11086" xr:uid="{00000000-0005-0000-0000-0000D4180000}"/>
    <cellStyle name="Normal 23 2 2 6 4 2" xfId="19829" xr:uid="{610A564E-EF26-4745-8398-EBDEA1CB813B}"/>
    <cellStyle name="Normal 23 2 2 6 5" xfId="12693" xr:uid="{00000000-0005-0000-0000-0000D5180000}"/>
    <cellStyle name="Normal 23 2 2 6 5 2" xfId="21429" xr:uid="{5CABD8C0-7EA6-4B20-A344-686BABE97596}"/>
    <cellStyle name="Normal 23 2 2 6 6" xfId="14923" xr:uid="{B570FB57-6828-49AB-A792-27144509F50B}"/>
    <cellStyle name="Normal 23 2 2 7" xfId="2652" xr:uid="{00000000-0005-0000-0000-0000D6180000}"/>
    <cellStyle name="Normal 23 2 2 7 2" xfId="9477" xr:uid="{00000000-0005-0000-0000-0000D7180000}"/>
    <cellStyle name="Normal 23 2 2 7 2 2" xfId="18283" xr:uid="{1E7AFE6E-70C9-4A3F-AE02-74E08E79F67D}"/>
    <cellStyle name="Normal 23 2 2 7 3" xfId="7875" xr:uid="{00000000-0005-0000-0000-0000D8180000}"/>
    <cellStyle name="Normal 23 2 2 7 3 2" xfId="16684" xr:uid="{90905DF5-6A47-4864-9305-3B8A56E6229A}"/>
    <cellStyle name="Normal 23 2 2 7 4" xfId="11087" xr:uid="{00000000-0005-0000-0000-0000D9180000}"/>
    <cellStyle name="Normal 23 2 2 7 4 2" xfId="19830" xr:uid="{BD5F7F50-E0AA-479F-B9F3-B2494AE3EBAB}"/>
    <cellStyle name="Normal 23 2 2 7 5" xfId="12694" xr:uid="{00000000-0005-0000-0000-0000DA180000}"/>
    <cellStyle name="Normal 23 2 2 7 5 2" xfId="21430" xr:uid="{C8F2E999-9D55-45CF-8DC3-C2911E94EACB}"/>
    <cellStyle name="Normal 23 2 2 7 6" xfId="14924" xr:uid="{36134952-C041-48D6-8367-C9E4B7FC4818}"/>
    <cellStyle name="Normal 23 2 3" xfId="2653" xr:uid="{00000000-0005-0000-0000-0000DB180000}"/>
    <cellStyle name="Normal 23 2 3 2" xfId="2654" xr:uid="{00000000-0005-0000-0000-0000DC180000}"/>
    <cellStyle name="Normal 23 2 3 2 2" xfId="9479" xr:uid="{00000000-0005-0000-0000-0000DD180000}"/>
    <cellStyle name="Normal 23 2 3 2 2 2" xfId="18285" xr:uid="{0134D27F-ECFD-4465-828D-6329B68B8C7D}"/>
    <cellStyle name="Normal 23 2 3 2 3" xfId="7877" xr:uid="{00000000-0005-0000-0000-0000DE180000}"/>
    <cellStyle name="Normal 23 2 3 2 3 2" xfId="16686" xr:uid="{E81CBF8E-B26F-4F6B-AA32-769C0B569C71}"/>
    <cellStyle name="Normal 23 2 3 2 4" xfId="11089" xr:uid="{00000000-0005-0000-0000-0000DF180000}"/>
    <cellStyle name="Normal 23 2 3 2 4 2" xfId="19832" xr:uid="{6444E47B-B241-4F41-B9D0-A9903E26FE97}"/>
    <cellStyle name="Normal 23 2 3 2 5" xfId="12696" xr:uid="{00000000-0005-0000-0000-0000E0180000}"/>
    <cellStyle name="Normal 23 2 3 2 5 2" xfId="21432" xr:uid="{E011F738-8452-47EC-836E-7C635C031892}"/>
    <cellStyle name="Normal 23 2 3 2 6" xfId="14926" xr:uid="{9F68B13F-FD9C-4D90-AAE4-A59047B5917F}"/>
    <cellStyle name="Normal 23 2 3 3" xfId="2655" xr:uid="{00000000-0005-0000-0000-0000E1180000}"/>
    <cellStyle name="Normal 23 2 3 3 2" xfId="9480" xr:uid="{00000000-0005-0000-0000-0000E2180000}"/>
    <cellStyle name="Normal 23 2 3 3 2 2" xfId="18286" xr:uid="{45046CF5-4435-4720-AD54-9229574E7342}"/>
    <cellStyle name="Normal 23 2 3 3 3" xfId="7878" xr:uid="{00000000-0005-0000-0000-0000E3180000}"/>
    <cellStyle name="Normal 23 2 3 3 3 2" xfId="16687" xr:uid="{CECC3540-9200-4606-B8AD-03C698B51576}"/>
    <cellStyle name="Normal 23 2 3 3 4" xfId="11090" xr:uid="{00000000-0005-0000-0000-0000E4180000}"/>
    <cellStyle name="Normal 23 2 3 3 4 2" xfId="19833" xr:uid="{75C72069-A45C-4027-948B-16E8BCDBD33E}"/>
    <cellStyle name="Normal 23 2 3 3 5" xfId="12697" xr:uid="{00000000-0005-0000-0000-0000E5180000}"/>
    <cellStyle name="Normal 23 2 3 3 5 2" xfId="21433" xr:uid="{5DF8752A-77F5-4474-9FB6-89C28EE07DD8}"/>
    <cellStyle name="Normal 23 2 3 3 6" xfId="14927" xr:uid="{9E252902-EA13-47C0-AAA3-572156DA511B}"/>
    <cellStyle name="Normal 23 2 3 4" xfId="2656" xr:uid="{00000000-0005-0000-0000-0000E6180000}"/>
    <cellStyle name="Normal 23 2 3 4 2" xfId="9481" xr:uid="{00000000-0005-0000-0000-0000E7180000}"/>
    <cellStyle name="Normal 23 2 3 4 2 2" xfId="18287" xr:uid="{BA4A3EC3-0B7C-4630-ABA7-2CFDC81E59DF}"/>
    <cellStyle name="Normal 23 2 3 4 3" xfId="7879" xr:uid="{00000000-0005-0000-0000-0000E8180000}"/>
    <cellStyle name="Normal 23 2 3 4 3 2" xfId="16688" xr:uid="{2DBA4C18-D4FE-4C6B-A4C3-47D7FE28E70B}"/>
    <cellStyle name="Normal 23 2 3 4 4" xfId="11091" xr:uid="{00000000-0005-0000-0000-0000E9180000}"/>
    <cellStyle name="Normal 23 2 3 4 4 2" xfId="19834" xr:uid="{7BD2EBC3-7F05-4B8C-8EF3-97EA08608070}"/>
    <cellStyle name="Normal 23 2 3 4 5" xfId="12698" xr:uid="{00000000-0005-0000-0000-0000EA180000}"/>
    <cellStyle name="Normal 23 2 3 4 5 2" xfId="21434" xr:uid="{7B171A2D-B217-41D1-AB00-B2560B02FE53}"/>
    <cellStyle name="Normal 23 2 3 4 6" xfId="14928" xr:uid="{2238E1B7-A6C0-4B84-AA80-53BF06BE240E}"/>
    <cellStyle name="Normal 23 2 3 5" xfId="9478" xr:uid="{00000000-0005-0000-0000-0000EB180000}"/>
    <cellStyle name="Normal 23 2 3 5 2" xfId="18284" xr:uid="{996BDA79-2FCF-4838-AEE4-70EE899D90A2}"/>
    <cellStyle name="Normal 23 2 3 6" xfId="7876" xr:uid="{00000000-0005-0000-0000-0000EC180000}"/>
    <cellStyle name="Normal 23 2 3 6 2" xfId="16685" xr:uid="{DD44C561-FC7F-45C9-A91B-BE18E84336CD}"/>
    <cellStyle name="Normal 23 2 3 7" xfId="11088" xr:uid="{00000000-0005-0000-0000-0000ED180000}"/>
    <cellStyle name="Normal 23 2 3 7 2" xfId="19831" xr:uid="{E68D4BE7-3193-4548-AFFF-B6F65554B71E}"/>
    <cellStyle name="Normal 23 2 3 8" xfId="12695" xr:uid="{00000000-0005-0000-0000-0000EE180000}"/>
    <cellStyle name="Normal 23 2 3 8 2" xfId="21431" xr:uid="{2F571093-2BA1-4DA5-8522-CBF96E2F3D51}"/>
    <cellStyle name="Normal 23 2 3 9" xfId="14925" xr:uid="{7373F9BA-51D0-422C-8CC7-D5EC91A292F6}"/>
    <cellStyle name="Normal 23 2 4" xfId="2657" xr:uid="{00000000-0005-0000-0000-0000EF180000}"/>
    <cellStyle name="Normal 23 2 5" xfId="2658" xr:uid="{00000000-0005-0000-0000-0000F0180000}"/>
    <cellStyle name="Normal 23 2 6" xfId="2659" xr:uid="{00000000-0005-0000-0000-0000F1180000}"/>
    <cellStyle name="Normal 23 2 6 2" xfId="9482" xr:uid="{00000000-0005-0000-0000-0000F2180000}"/>
    <cellStyle name="Normal 23 2 6 2 2" xfId="18288" xr:uid="{D5C9EA31-4226-48FA-AC51-4F664C2BB7AD}"/>
    <cellStyle name="Normal 23 2 6 3" xfId="7880" xr:uid="{00000000-0005-0000-0000-0000F3180000}"/>
    <cellStyle name="Normal 23 2 6 3 2" xfId="16689" xr:uid="{4AFF03D1-16AC-4A38-A3A6-95B0533F0365}"/>
    <cellStyle name="Normal 23 2 6 4" xfId="11092" xr:uid="{00000000-0005-0000-0000-0000F4180000}"/>
    <cellStyle name="Normal 23 2 6 4 2" xfId="19835" xr:uid="{EE896090-1647-4FE5-8F7E-11C36EB5DD30}"/>
    <cellStyle name="Normal 23 2 6 5" xfId="12699" xr:uid="{00000000-0005-0000-0000-0000F5180000}"/>
    <cellStyle name="Normal 23 2 6 5 2" xfId="21435" xr:uid="{B121777E-D4DB-4F62-95BC-2D16BA1DB17F}"/>
    <cellStyle name="Normal 23 2 6 6" xfId="14929" xr:uid="{FFCA3F16-9D85-46C6-8493-F787330FF155}"/>
    <cellStyle name="Normal 23 2 7" xfId="2660" xr:uid="{00000000-0005-0000-0000-0000F6180000}"/>
    <cellStyle name="Normal 23 2 7 2" xfId="9483" xr:uid="{00000000-0005-0000-0000-0000F7180000}"/>
    <cellStyle name="Normal 23 2 7 2 2" xfId="18289" xr:uid="{2F577D70-C966-4AEF-A5EC-9196DDF97F36}"/>
    <cellStyle name="Normal 23 2 7 3" xfId="7881" xr:uid="{00000000-0005-0000-0000-0000F8180000}"/>
    <cellStyle name="Normal 23 2 7 3 2" xfId="16690" xr:uid="{ED3F5DBE-9CED-4A09-A931-76301F2CAD66}"/>
    <cellStyle name="Normal 23 2 7 4" xfId="11093" xr:uid="{00000000-0005-0000-0000-0000F9180000}"/>
    <cellStyle name="Normal 23 2 7 4 2" xfId="19836" xr:uid="{3E08F205-F584-49F9-A12E-866A8DE284C7}"/>
    <cellStyle name="Normal 23 2 7 5" xfId="12700" xr:uid="{00000000-0005-0000-0000-0000FA180000}"/>
    <cellStyle name="Normal 23 2 7 5 2" xfId="21436" xr:uid="{44B5C5C2-18C1-444C-A070-870999A4757D}"/>
    <cellStyle name="Normal 23 2 7 6" xfId="14930" xr:uid="{92883F2C-CD79-495E-8B40-4678CBF7488E}"/>
    <cellStyle name="Normal 23 2 8" xfId="2661" xr:uid="{00000000-0005-0000-0000-0000FB180000}"/>
    <cellStyle name="Normal 23 2 8 2" xfId="9484" xr:uid="{00000000-0005-0000-0000-0000FC180000}"/>
    <cellStyle name="Normal 23 2 8 2 2" xfId="18290" xr:uid="{755A8BB1-1DA5-45B7-BBB7-F7AEF28BBD06}"/>
    <cellStyle name="Normal 23 2 8 3" xfId="7882" xr:uid="{00000000-0005-0000-0000-0000FD180000}"/>
    <cellStyle name="Normal 23 2 8 3 2" xfId="16691" xr:uid="{4EAFF269-33D2-45BD-8686-B5F09B5A6CBB}"/>
    <cellStyle name="Normal 23 2 8 4" xfId="11094" xr:uid="{00000000-0005-0000-0000-0000FE180000}"/>
    <cellStyle name="Normal 23 2 8 4 2" xfId="19837" xr:uid="{1E5645BC-1838-44D8-B3CB-E8E369EAE08A}"/>
    <cellStyle name="Normal 23 2 8 5" xfId="12701" xr:uid="{00000000-0005-0000-0000-0000FF180000}"/>
    <cellStyle name="Normal 23 2 8 5 2" xfId="21437" xr:uid="{59C465D8-7488-4EE4-8CF4-E251B51FF17D}"/>
    <cellStyle name="Normal 23 2 8 6" xfId="14931" xr:uid="{219C1ED3-C15C-4C00-B37A-318795BC84A6}"/>
    <cellStyle name="Normal 23 2 9" xfId="9462" xr:uid="{00000000-0005-0000-0000-000000190000}"/>
    <cellStyle name="Normal 23 2 9 2" xfId="18268" xr:uid="{FE8A2260-88D2-4B7D-B8AA-59F520892B1F}"/>
    <cellStyle name="Normal 23 3" xfId="2662" xr:uid="{00000000-0005-0000-0000-000001190000}"/>
    <cellStyle name="Normal 23 4" xfId="2632" xr:uid="{00000000-0005-0000-0000-000002190000}"/>
    <cellStyle name="Normal 23 5" xfId="10634" xr:uid="{00000000-0005-0000-0000-000003190000}"/>
    <cellStyle name="Normal 230" xfId="22683" xr:uid="{8F1D68E8-6DD1-498B-87CA-5B1859B7B687}"/>
    <cellStyle name="Normal 231" xfId="13909" xr:uid="{68FA5EB2-0721-425E-ABBE-578A5DFB987B}"/>
    <cellStyle name="Normal 232" xfId="22688" xr:uid="{1F6A9882-6109-459E-91AC-A2F1CF3C75C6}"/>
    <cellStyle name="Normal 233" xfId="22689" xr:uid="{1F9EC823-212C-4E7A-A76B-35FB3CD42E11}"/>
    <cellStyle name="Normal 234" xfId="13906" xr:uid="{9448F4A8-3CA8-4636-90C8-CE5836916851}"/>
    <cellStyle name="Normal 235" xfId="13893" xr:uid="{12C149C3-FBF6-4027-B7B3-5158C224B4A0}"/>
    <cellStyle name="Normal 236" xfId="22682" xr:uid="{629C9E35-D389-457E-9D97-3ECFD22CC814}"/>
    <cellStyle name="Normal 237" xfId="22691" xr:uid="{381FF2C1-A7D4-4795-AEDD-D1CA03063750}"/>
    <cellStyle name="Normal 238" xfId="13864" xr:uid="{125964E2-8B80-4BF7-A2ED-EDE9970251F0}"/>
    <cellStyle name="Normal 239" xfId="22694" xr:uid="{59323726-140D-4BCE-879F-DC0147F44448}"/>
    <cellStyle name="Normal 24" xfId="169" xr:uid="{00000000-0005-0000-0000-000004190000}"/>
    <cellStyle name="Normal 24 2" xfId="2664" xr:uid="{00000000-0005-0000-0000-000005190000}"/>
    <cellStyle name="Normal 24 2 10" xfId="7883" xr:uid="{00000000-0005-0000-0000-000006190000}"/>
    <cellStyle name="Normal 24 2 10 2" xfId="16692" xr:uid="{2E9CE6E5-6868-4E27-BD84-B08323EA530A}"/>
    <cellStyle name="Normal 24 2 11" xfId="11095" xr:uid="{00000000-0005-0000-0000-000007190000}"/>
    <cellStyle name="Normal 24 2 11 2" xfId="19838" xr:uid="{5F52C953-4586-4A64-844F-2BAA4827C20A}"/>
    <cellStyle name="Normal 24 2 12" xfId="12702" xr:uid="{00000000-0005-0000-0000-000008190000}"/>
    <cellStyle name="Normal 24 2 12 2" xfId="21438" xr:uid="{F9306E78-7904-4DD7-A6DA-BBF6465D5CD1}"/>
    <cellStyle name="Normal 24 2 13" xfId="14932" xr:uid="{3F552E1A-6565-4ECF-B481-CA05AEC25393}"/>
    <cellStyle name="Normal 24 2 2" xfId="2665" xr:uid="{00000000-0005-0000-0000-000009190000}"/>
    <cellStyle name="Normal 24 2 2 2" xfId="2666" xr:uid="{00000000-0005-0000-0000-00000A190000}"/>
    <cellStyle name="Normal 24 2 2 2 2" xfId="2667" xr:uid="{00000000-0005-0000-0000-00000B190000}"/>
    <cellStyle name="Normal 24 2 2 2 2 2" xfId="2668" xr:uid="{00000000-0005-0000-0000-00000C190000}"/>
    <cellStyle name="Normal 24 2 2 2 2 2 2" xfId="9487" xr:uid="{00000000-0005-0000-0000-00000D190000}"/>
    <cellStyle name="Normal 24 2 2 2 2 2 2 2" xfId="18293" xr:uid="{335EC89F-C880-4433-9F94-0F0DF4F6E2BC}"/>
    <cellStyle name="Normal 24 2 2 2 2 2 3" xfId="7885" xr:uid="{00000000-0005-0000-0000-00000E190000}"/>
    <cellStyle name="Normal 24 2 2 2 2 2 3 2" xfId="16694" xr:uid="{FFE718A4-9544-4F13-97B4-6D6480C3BCE3}"/>
    <cellStyle name="Normal 24 2 2 2 2 2 4" xfId="11097" xr:uid="{00000000-0005-0000-0000-00000F190000}"/>
    <cellStyle name="Normal 24 2 2 2 2 2 4 2" xfId="19840" xr:uid="{EB642C5E-1C02-4E23-8D8D-C5721A72CB48}"/>
    <cellStyle name="Normal 24 2 2 2 2 2 5" xfId="12704" xr:uid="{00000000-0005-0000-0000-000010190000}"/>
    <cellStyle name="Normal 24 2 2 2 2 2 5 2" xfId="21440" xr:uid="{C018A4DD-ECC8-46EA-A83D-BBDA1C71C2D4}"/>
    <cellStyle name="Normal 24 2 2 2 2 2 6" xfId="14934" xr:uid="{BA3ED2ED-CF59-458E-87C7-D52442133DC5}"/>
    <cellStyle name="Normal 24 2 2 2 2 3" xfId="2669" xr:uid="{00000000-0005-0000-0000-000011190000}"/>
    <cellStyle name="Normal 24 2 2 2 2 3 2" xfId="9488" xr:uid="{00000000-0005-0000-0000-000012190000}"/>
    <cellStyle name="Normal 24 2 2 2 2 3 2 2" xfId="18294" xr:uid="{3ED018A3-4268-47CB-AE30-3DC25FD528ED}"/>
    <cellStyle name="Normal 24 2 2 2 2 3 3" xfId="7886" xr:uid="{00000000-0005-0000-0000-000013190000}"/>
    <cellStyle name="Normal 24 2 2 2 2 3 3 2" xfId="16695" xr:uid="{54323C65-A544-4068-AD89-60344EC42066}"/>
    <cellStyle name="Normal 24 2 2 2 2 3 4" xfId="11098" xr:uid="{00000000-0005-0000-0000-000014190000}"/>
    <cellStyle name="Normal 24 2 2 2 2 3 4 2" xfId="19841" xr:uid="{089DA25A-59F8-45A2-8B6E-50424F60A37B}"/>
    <cellStyle name="Normal 24 2 2 2 2 3 5" xfId="12705" xr:uid="{00000000-0005-0000-0000-000015190000}"/>
    <cellStyle name="Normal 24 2 2 2 2 3 5 2" xfId="21441" xr:uid="{BDFB5C8D-CA85-455F-86C4-E311A794873A}"/>
    <cellStyle name="Normal 24 2 2 2 2 3 6" xfId="14935" xr:uid="{C6118A8A-8C84-4CD0-B7FB-50A5F49E7F83}"/>
    <cellStyle name="Normal 24 2 2 2 2 4" xfId="2670" xr:uid="{00000000-0005-0000-0000-000016190000}"/>
    <cellStyle name="Normal 24 2 2 2 2 4 2" xfId="9489" xr:uid="{00000000-0005-0000-0000-000017190000}"/>
    <cellStyle name="Normal 24 2 2 2 2 4 2 2" xfId="18295" xr:uid="{FAB78D6E-C0FA-4168-8BB2-AA04BA5868E9}"/>
    <cellStyle name="Normal 24 2 2 2 2 4 3" xfId="7887" xr:uid="{00000000-0005-0000-0000-000018190000}"/>
    <cellStyle name="Normal 24 2 2 2 2 4 3 2" xfId="16696" xr:uid="{632E8E03-7FD8-44E0-AB3D-35810503F9B9}"/>
    <cellStyle name="Normal 24 2 2 2 2 4 4" xfId="11099" xr:uid="{00000000-0005-0000-0000-000019190000}"/>
    <cellStyle name="Normal 24 2 2 2 2 4 4 2" xfId="19842" xr:uid="{ECECAA95-0860-4C6D-A39B-6C78841EAF93}"/>
    <cellStyle name="Normal 24 2 2 2 2 4 5" xfId="12706" xr:uid="{00000000-0005-0000-0000-00001A190000}"/>
    <cellStyle name="Normal 24 2 2 2 2 4 5 2" xfId="21442" xr:uid="{768E5D1D-6AC1-46FC-884F-A1105E518298}"/>
    <cellStyle name="Normal 24 2 2 2 2 4 6" xfId="14936" xr:uid="{67D1A795-7BD6-442B-A994-FC4AB047E8C5}"/>
    <cellStyle name="Normal 24 2 2 2 3" xfId="2671" xr:uid="{00000000-0005-0000-0000-00001B190000}"/>
    <cellStyle name="Normal 24 2 2 2 4" xfId="2672" xr:uid="{00000000-0005-0000-0000-00001C190000}"/>
    <cellStyle name="Normal 24 2 2 2 5" xfId="9486" xr:uid="{00000000-0005-0000-0000-00001D190000}"/>
    <cellStyle name="Normal 24 2 2 2 5 2" xfId="18292" xr:uid="{64BBD7DB-2F41-4A39-9243-410F7722B294}"/>
    <cellStyle name="Normal 24 2 2 2 6" xfId="7884" xr:uid="{00000000-0005-0000-0000-00001E190000}"/>
    <cellStyle name="Normal 24 2 2 2 6 2" xfId="16693" xr:uid="{CC6F7F8C-279B-4E65-8871-51EC0CF9FDE2}"/>
    <cellStyle name="Normal 24 2 2 2 7" xfId="11096" xr:uid="{00000000-0005-0000-0000-00001F190000}"/>
    <cellStyle name="Normal 24 2 2 2 7 2" xfId="19839" xr:uid="{DAD74572-FF79-42D4-84A7-0D27D0439141}"/>
    <cellStyle name="Normal 24 2 2 2 8" xfId="12703" xr:uid="{00000000-0005-0000-0000-000020190000}"/>
    <cellStyle name="Normal 24 2 2 2 8 2" xfId="21439" xr:uid="{01B03D29-67D4-4D0D-850D-3AEAB8A64F94}"/>
    <cellStyle name="Normal 24 2 2 2 9" xfId="14933" xr:uid="{53FECBBD-82AA-40F4-AB42-B5F3450BF1CD}"/>
    <cellStyle name="Normal 24 2 2 3" xfId="2673" xr:uid="{00000000-0005-0000-0000-000021190000}"/>
    <cellStyle name="Normal 24 2 2 3 2" xfId="2674" xr:uid="{00000000-0005-0000-0000-000022190000}"/>
    <cellStyle name="Normal 24 2 2 3 2 2" xfId="9491" xr:uid="{00000000-0005-0000-0000-000023190000}"/>
    <cellStyle name="Normal 24 2 2 3 2 2 2" xfId="18297" xr:uid="{F9F7FD8D-E3B3-422F-9DAB-53EB94AE7AED}"/>
    <cellStyle name="Normal 24 2 2 3 2 3" xfId="7889" xr:uid="{00000000-0005-0000-0000-000024190000}"/>
    <cellStyle name="Normal 24 2 2 3 2 3 2" xfId="16698" xr:uid="{97E14EAA-DF0F-458C-92CA-CA27563C1346}"/>
    <cellStyle name="Normal 24 2 2 3 2 4" xfId="11101" xr:uid="{00000000-0005-0000-0000-000025190000}"/>
    <cellStyle name="Normal 24 2 2 3 2 4 2" xfId="19844" xr:uid="{C53D8982-662A-4CD6-A378-4423DD174B90}"/>
    <cellStyle name="Normal 24 2 2 3 2 5" xfId="12708" xr:uid="{00000000-0005-0000-0000-000026190000}"/>
    <cellStyle name="Normal 24 2 2 3 2 5 2" xfId="21444" xr:uid="{2810FD20-0251-48FA-900C-AD21177B7618}"/>
    <cellStyle name="Normal 24 2 2 3 2 6" xfId="14938" xr:uid="{ECE5B446-DDBD-4D87-8B0C-727EC5CDE857}"/>
    <cellStyle name="Normal 24 2 2 3 3" xfId="2675" xr:uid="{00000000-0005-0000-0000-000027190000}"/>
    <cellStyle name="Normal 24 2 2 3 3 2" xfId="9492" xr:uid="{00000000-0005-0000-0000-000028190000}"/>
    <cellStyle name="Normal 24 2 2 3 3 2 2" xfId="18298" xr:uid="{19757D74-DBED-41B0-940C-8C4188FA6F31}"/>
    <cellStyle name="Normal 24 2 2 3 3 3" xfId="7890" xr:uid="{00000000-0005-0000-0000-000029190000}"/>
    <cellStyle name="Normal 24 2 2 3 3 3 2" xfId="16699" xr:uid="{4083F1EB-5456-416D-9F3B-1E4C4432F878}"/>
    <cellStyle name="Normal 24 2 2 3 3 4" xfId="11102" xr:uid="{00000000-0005-0000-0000-00002A190000}"/>
    <cellStyle name="Normal 24 2 2 3 3 4 2" xfId="19845" xr:uid="{28A2C01E-9D7E-4AC7-B711-73C85AEE1937}"/>
    <cellStyle name="Normal 24 2 2 3 3 5" xfId="12709" xr:uid="{00000000-0005-0000-0000-00002B190000}"/>
    <cellStyle name="Normal 24 2 2 3 3 5 2" xfId="21445" xr:uid="{C26469F4-72F5-4098-9AC3-6874DB53F1C5}"/>
    <cellStyle name="Normal 24 2 2 3 3 6" xfId="14939" xr:uid="{A461E9CC-AAB1-43A3-8A8B-81DF29893636}"/>
    <cellStyle name="Normal 24 2 2 3 4" xfId="2676" xr:uid="{00000000-0005-0000-0000-00002C190000}"/>
    <cellStyle name="Normal 24 2 2 3 4 2" xfId="9493" xr:uid="{00000000-0005-0000-0000-00002D190000}"/>
    <cellStyle name="Normal 24 2 2 3 4 2 2" xfId="18299" xr:uid="{36185D0B-235E-49C2-9E72-B936892A98D1}"/>
    <cellStyle name="Normal 24 2 2 3 4 3" xfId="7891" xr:uid="{00000000-0005-0000-0000-00002E190000}"/>
    <cellStyle name="Normal 24 2 2 3 4 3 2" xfId="16700" xr:uid="{B15BE1E6-4AB4-4E5C-A589-5F9A0EB1CA45}"/>
    <cellStyle name="Normal 24 2 2 3 4 4" xfId="11103" xr:uid="{00000000-0005-0000-0000-00002F190000}"/>
    <cellStyle name="Normal 24 2 2 3 4 4 2" xfId="19846" xr:uid="{C2FC6823-7791-4CF4-B183-05D23C792F55}"/>
    <cellStyle name="Normal 24 2 2 3 4 5" xfId="12710" xr:uid="{00000000-0005-0000-0000-000030190000}"/>
    <cellStyle name="Normal 24 2 2 3 4 5 2" xfId="21446" xr:uid="{314C462C-E8B8-4549-B3ED-7EF92DA3C3F7}"/>
    <cellStyle name="Normal 24 2 2 3 4 6" xfId="14940" xr:uid="{D8172C4B-FB4F-4F7F-A18D-91ACD78828F6}"/>
    <cellStyle name="Normal 24 2 2 3 5" xfId="9490" xr:uid="{00000000-0005-0000-0000-000031190000}"/>
    <cellStyle name="Normal 24 2 2 3 5 2" xfId="18296" xr:uid="{A1518911-2EC5-48DD-A375-34B28D9B9063}"/>
    <cellStyle name="Normal 24 2 2 3 6" xfId="7888" xr:uid="{00000000-0005-0000-0000-000032190000}"/>
    <cellStyle name="Normal 24 2 2 3 6 2" xfId="16697" xr:uid="{403AA080-BEF0-45D0-9ED1-26E8A1A7BBB8}"/>
    <cellStyle name="Normal 24 2 2 3 7" xfId="11100" xr:uid="{00000000-0005-0000-0000-000033190000}"/>
    <cellStyle name="Normal 24 2 2 3 7 2" xfId="19843" xr:uid="{52DC17DB-62D2-4367-8F2D-8D58B0C21E0C}"/>
    <cellStyle name="Normal 24 2 2 3 8" xfId="12707" xr:uid="{00000000-0005-0000-0000-000034190000}"/>
    <cellStyle name="Normal 24 2 2 3 8 2" xfId="21443" xr:uid="{2C1A7983-A6DE-417C-9EFE-76367606EAB9}"/>
    <cellStyle name="Normal 24 2 2 3 9" xfId="14937" xr:uid="{C4D9EFD7-F259-4A6E-AD06-36562D567BFF}"/>
    <cellStyle name="Normal 24 2 2 4" xfId="2677" xr:uid="{00000000-0005-0000-0000-000035190000}"/>
    <cellStyle name="Normal 24 2 2 4 2" xfId="2678" xr:uid="{00000000-0005-0000-0000-000036190000}"/>
    <cellStyle name="Normal 24 2 2 4 2 2" xfId="9495" xr:uid="{00000000-0005-0000-0000-000037190000}"/>
    <cellStyle name="Normal 24 2 2 4 2 2 2" xfId="18301" xr:uid="{062A5438-84FC-4483-9118-79AECAB09973}"/>
    <cellStyle name="Normal 24 2 2 4 2 3" xfId="7893" xr:uid="{00000000-0005-0000-0000-000038190000}"/>
    <cellStyle name="Normal 24 2 2 4 2 3 2" xfId="16702" xr:uid="{A75EBBD8-5017-4A83-8EA3-2892E4150091}"/>
    <cellStyle name="Normal 24 2 2 4 2 4" xfId="11105" xr:uid="{00000000-0005-0000-0000-000039190000}"/>
    <cellStyle name="Normal 24 2 2 4 2 4 2" xfId="19848" xr:uid="{A1BA28C1-D367-4D6A-A01E-D5D531F5AE9D}"/>
    <cellStyle name="Normal 24 2 2 4 2 5" xfId="12712" xr:uid="{00000000-0005-0000-0000-00003A190000}"/>
    <cellStyle name="Normal 24 2 2 4 2 5 2" xfId="21448" xr:uid="{395A1C92-D85E-40DC-8F92-9580DECBA1FA}"/>
    <cellStyle name="Normal 24 2 2 4 2 6" xfId="14942" xr:uid="{1043213E-363D-4A95-8B18-F78AF6F0EC64}"/>
    <cellStyle name="Normal 24 2 2 4 3" xfId="2679" xr:uid="{00000000-0005-0000-0000-00003B190000}"/>
    <cellStyle name="Normal 24 2 2 4 3 2" xfId="9496" xr:uid="{00000000-0005-0000-0000-00003C190000}"/>
    <cellStyle name="Normal 24 2 2 4 3 2 2" xfId="18302" xr:uid="{46A17276-0714-4F82-9EF1-A560A8CBA1D1}"/>
    <cellStyle name="Normal 24 2 2 4 3 3" xfId="7894" xr:uid="{00000000-0005-0000-0000-00003D190000}"/>
    <cellStyle name="Normal 24 2 2 4 3 3 2" xfId="16703" xr:uid="{7A58B4D7-1839-48DD-9AF3-EABCBD0BF8DA}"/>
    <cellStyle name="Normal 24 2 2 4 3 4" xfId="11106" xr:uid="{00000000-0005-0000-0000-00003E190000}"/>
    <cellStyle name="Normal 24 2 2 4 3 4 2" xfId="19849" xr:uid="{F90068B9-96DC-4B9D-BB41-EB5E7AF08CA0}"/>
    <cellStyle name="Normal 24 2 2 4 3 5" xfId="12713" xr:uid="{00000000-0005-0000-0000-00003F190000}"/>
    <cellStyle name="Normal 24 2 2 4 3 5 2" xfId="21449" xr:uid="{0B138CFC-F523-4BA1-A234-28890762E220}"/>
    <cellStyle name="Normal 24 2 2 4 3 6" xfId="14943" xr:uid="{D837669A-A2D9-4E9F-93D2-C5DF60C3D84E}"/>
    <cellStyle name="Normal 24 2 2 4 4" xfId="2680" xr:uid="{00000000-0005-0000-0000-000040190000}"/>
    <cellStyle name="Normal 24 2 2 4 4 2" xfId="9497" xr:uid="{00000000-0005-0000-0000-000041190000}"/>
    <cellStyle name="Normal 24 2 2 4 4 2 2" xfId="18303" xr:uid="{C894BCC2-B4D0-422F-9FCD-7997946A2542}"/>
    <cellStyle name="Normal 24 2 2 4 4 3" xfId="7895" xr:uid="{00000000-0005-0000-0000-000042190000}"/>
    <cellStyle name="Normal 24 2 2 4 4 3 2" xfId="16704" xr:uid="{76A97EEF-2D9B-4943-81D1-6F18040AD900}"/>
    <cellStyle name="Normal 24 2 2 4 4 4" xfId="11107" xr:uid="{00000000-0005-0000-0000-000043190000}"/>
    <cellStyle name="Normal 24 2 2 4 4 4 2" xfId="19850" xr:uid="{15793BA3-44E1-4B79-9EC3-12CAE26CE15C}"/>
    <cellStyle name="Normal 24 2 2 4 4 5" xfId="12714" xr:uid="{00000000-0005-0000-0000-000044190000}"/>
    <cellStyle name="Normal 24 2 2 4 4 5 2" xfId="21450" xr:uid="{C4812E79-AA51-4E5B-9D8D-3B997F71F913}"/>
    <cellStyle name="Normal 24 2 2 4 4 6" xfId="14944" xr:uid="{40D937DB-7BC3-4B91-A6DE-63F1F9809120}"/>
    <cellStyle name="Normal 24 2 2 4 5" xfId="9494" xr:uid="{00000000-0005-0000-0000-000045190000}"/>
    <cellStyle name="Normal 24 2 2 4 5 2" xfId="18300" xr:uid="{194C4214-ED82-42A5-A659-D99BC88FDB43}"/>
    <cellStyle name="Normal 24 2 2 4 6" xfId="7892" xr:uid="{00000000-0005-0000-0000-000046190000}"/>
    <cellStyle name="Normal 24 2 2 4 6 2" xfId="16701" xr:uid="{55817B61-77ED-4A8D-A0D4-50B148F8C9D4}"/>
    <cellStyle name="Normal 24 2 2 4 7" xfId="11104" xr:uid="{00000000-0005-0000-0000-000047190000}"/>
    <cellStyle name="Normal 24 2 2 4 7 2" xfId="19847" xr:uid="{36F5195C-F354-4F39-854B-EA96FA772BD3}"/>
    <cellStyle name="Normal 24 2 2 4 8" xfId="12711" xr:uid="{00000000-0005-0000-0000-000048190000}"/>
    <cellStyle name="Normal 24 2 2 4 8 2" xfId="21447" xr:uid="{6F95C5AC-84EC-4BDF-AC28-1485669E854C}"/>
    <cellStyle name="Normal 24 2 2 4 9" xfId="14941" xr:uid="{50B41703-77F7-4EE5-B7D7-B513F2C4B8D1}"/>
    <cellStyle name="Normal 24 2 2 5" xfId="2681" xr:uid="{00000000-0005-0000-0000-000049190000}"/>
    <cellStyle name="Normal 24 2 2 5 2" xfId="9498" xr:uid="{00000000-0005-0000-0000-00004A190000}"/>
    <cellStyle name="Normal 24 2 2 5 2 2" xfId="18304" xr:uid="{4475F5D3-530B-4C24-8515-1A698BED6313}"/>
    <cellStyle name="Normal 24 2 2 5 3" xfId="7896" xr:uid="{00000000-0005-0000-0000-00004B190000}"/>
    <cellStyle name="Normal 24 2 2 5 3 2" xfId="16705" xr:uid="{F5F1D188-4626-444C-AC0D-33E63A072A77}"/>
    <cellStyle name="Normal 24 2 2 5 4" xfId="11108" xr:uid="{00000000-0005-0000-0000-00004C190000}"/>
    <cellStyle name="Normal 24 2 2 5 4 2" xfId="19851" xr:uid="{EFC8366E-A5B7-49EB-BE48-850832070E3F}"/>
    <cellStyle name="Normal 24 2 2 5 5" xfId="12715" xr:uid="{00000000-0005-0000-0000-00004D190000}"/>
    <cellStyle name="Normal 24 2 2 5 5 2" xfId="21451" xr:uid="{89969B0D-FEC1-442C-B3DE-A5154E905DED}"/>
    <cellStyle name="Normal 24 2 2 5 6" xfId="14945" xr:uid="{D48FACC1-90AC-461A-8EB5-69B8C35D06B8}"/>
    <cellStyle name="Normal 24 2 2 6" xfId="2682" xr:uid="{00000000-0005-0000-0000-00004E190000}"/>
    <cellStyle name="Normal 24 2 2 6 2" xfId="9499" xr:uid="{00000000-0005-0000-0000-00004F190000}"/>
    <cellStyle name="Normal 24 2 2 6 2 2" xfId="18305" xr:uid="{932F9F04-BCA9-4637-9B8F-7E61E3CF1A62}"/>
    <cellStyle name="Normal 24 2 2 6 3" xfId="7897" xr:uid="{00000000-0005-0000-0000-000050190000}"/>
    <cellStyle name="Normal 24 2 2 6 3 2" xfId="16706" xr:uid="{79F6632E-B4B7-49B9-AF53-A7D2DED7F102}"/>
    <cellStyle name="Normal 24 2 2 6 4" xfId="11109" xr:uid="{00000000-0005-0000-0000-000051190000}"/>
    <cellStyle name="Normal 24 2 2 6 4 2" xfId="19852" xr:uid="{89BB448C-1E40-4A7D-BCC5-4F446CF13511}"/>
    <cellStyle name="Normal 24 2 2 6 5" xfId="12716" xr:uid="{00000000-0005-0000-0000-000052190000}"/>
    <cellStyle name="Normal 24 2 2 6 5 2" xfId="21452" xr:uid="{F6A9EF21-A4E5-4FDC-9781-75F80AC24177}"/>
    <cellStyle name="Normal 24 2 2 6 6" xfId="14946" xr:uid="{9B362228-116F-4EAA-816C-DECED410D9CA}"/>
    <cellStyle name="Normal 24 2 2 7" xfId="2683" xr:uid="{00000000-0005-0000-0000-000053190000}"/>
    <cellStyle name="Normal 24 2 2 7 2" xfId="9500" xr:uid="{00000000-0005-0000-0000-000054190000}"/>
    <cellStyle name="Normal 24 2 2 7 2 2" xfId="18306" xr:uid="{E83C0B78-8880-49F2-AB4A-180C33C14183}"/>
    <cellStyle name="Normal 24 2 2 7 3" xfId="7898" xr:uid="{00000000-0005-0000-0000-000055190000}"/>
    <cellStyle name="Normal 24 2 2 7 3 2" xfId="16707" xr:uid="{1E0B5E15-C370-4EF4-BD6A-1E280C907853}"/>
    <cellStyle name="Normal 24 2 2 7 4" xfId="11110" xr:uid="{00000000-0005-0000-0000-000056190000}"/>
    <cellStyle name="Normal 24 2 2 7 4 2" xfId="19853" xr:uid="{C78A2AF5-169F-4032-A12F-6561E5D6C0D7}"/>
    <cellStyle name="Normal 24 2 2 7 5" xfId="12717" xr:uid="{00000000-0005-0000-0000-000057190000}"/>
    <cellStyle name="Normal 24 2 2 7 5 2" xfId="21453" xr:uid="{6ED4B39A-71D3-4FB2-A3F7-F6BB00696A60}"/>
    <cellStyle name="Normal 24 2 2 7 6" xfId="14947" xr:uid="{9F05A4FC-44BB-4A5E-891A-76F3765DED0F}"/>
    <cellStyle name="Normal 24 2 3" xfId="2684" xr:uid="{00000000-0005-0000-0000-000058190000}"/>
    <cellStyle name="Normal 24 2 3 2" xfId="2685" xr:uid="{00000000-0005-0000-0000-000059190000}"/>
    <cellStyle name="Normal 24 2 3 2 2" xfId="9502" xr:uid="{00000000-0005-0000-0000-00005A190000}"/>
    <cellStyle name="Normal 24 2 3 2 2 2" xfId="18308" xr:uid="{93425609-1620-4278-B13A-26F6BD8C77A9}"/>
    <cellStyle name="Normal 24 2 3 2 3" xfId="7900" xr:uid="{00000000-0005-0000-0000-00005B190000}"/>
    <cellStyle name="Normal 24 2 3 2 3 2" xfId="16709" xr:uid="{2765AB23-684C-4E72-BF4C-4E16FC99BB7F}"/>
    <cellStyle name="Normal 24 2 3 2 4" xfId="11112" xr:uid="{00000000-0005-0000-0000-00005C190000}"/>
    <cellStyle name="Normal 24 2 3 2 4 2" xfId="19855" xr:uid="{AA1F2FB4-D909-4B49-A648-310AD0EE0AF9}"/>
    <cellStyle name="Normal 24 2 3 2 5" xfId="12719" xr:uid="{00000000-0005-0000-0000-00005D190000}"/>
    <cellStyle name="Normal 24 2 3 2 5 2" xfId="21455" xr:uid="{DE082B96-608A-4A59-AF94-FC92E0205DAD}"/>
    <cellStyle name="Normal 24 2 3 2 6" xfId="14949" xr:uid="{E3CA42D6-8AB0-4091-A48C-374E8DB2A8AE}"/>
    <cellStyle name="Normal 24 2 3 3" xfId="2686" xr:uid="{00000000-0005-0000-0000-00005E190000}"/>
    <cellStyle name="Normal 24 2 3 3 2" xfId="9503" xr:uid="{00000000-0005-0000-0000-00005F190000}"/>
    <cellStyle name="Normal 24 2 3 3 2 2" xfId="18309" xr:uid="{B8BC4CC3-32CB-4EAB-89BF-4324F5BDAE62}"/>
    <cellStyle name="Normal 24 2 3 3 3" xfId="7901" xr:uid="{00000000-0005-0000-0000-000060190000}"/>
    <cellStyle name="Normal 24 2 3 3 3 2" xfId="16710" xr:uid="{31BF0901-FEB1-4EB7-894A-56D6B3A26CD2}"/>
    <cellStyle name="Normal 24 2 3 3 4" xfId="11113" xr:uid="{00000000-0005-0000-0000-000061190000}"/>
    <cellStyle name="Normal 24 2 3 3 4 2" xfId="19856" xr:uid="{EE52474C-9F6A-4014-9027-87EEF1FEE67F}"/>
    <cellStyle name="Normal 24 2 3 3 5" xfId="12720" xr:uid="{00000000-0005-0000-0000-000062190000}"/>
    <cellStyle name="Normal 24 2 3 3 5 2" xfId="21456" xr:uid="{B942961E-A2DB-4285-8512-39A5F61503EA}"/>
    <cellStyle name="Normal 24 2 3 3 6" xfId="14950" xr:uid="{BEB9B9FC-638D-45A8-B2A9-929919D8AF98}"/>
    <cellStyle name="Normal 24 2 3 4" xfId="2687" xr:uid="{00000000-0005-0000-0000-000063190000}"/>
    <cellStyle name="Normal 24 2 3 4 2" xfId="9504" xr:uid="{00000000-0005-0000-0000-000064190000}"/>
    <cellStyle name="Normal 24 2 3 4 2 2" xfId="18310" xr:uid="{6F0627C5-E040-488A-AF6F-1D49A5657467}"/>
    <cellStyle name="Normal 24 2 3 4 3" xfId="7902" xr:uid="{00000000-0005-0000-0000-000065190000}"/>
    <cellStyle name="Normal 24 2 3 4 3 2" xfId="16711" xr:uid="{ECD12010-D0B1-4199-9F41-EAD8C057F2A4}"/>
    <cellStyle name="Normal 24 2 3 4 4" xfId="11114" xr:uid="{00000000-0005-0000-0000-000066190000}"/>
    <cellStyle name="Normal 24 2 3 4 4 2" xfId="19857" xr:uid="{97FC2E50-084F-40B0-AAB3-31B8247E58FB}"/>
    <cellStyle name="Normal 24 2 3 4 5" xfId="12721" xr:uid="{00000000-0005-0000-0000-000067190000}"/>
    <cellStyle name="Normal 24 2 3 4 5 2" xfId="21457" xr:uid="{76FCA941-FD67-43CE-BB3F-2DC46D9DA8C1}"/>
    <cellStyle name="Normal 24 2 3 4 6" xfId="14951" xr:uid="{A7952FEC-DBAF-499E-A830-E1525E6F93CA}"/>
    <cellStyle name="Normal 24 2 3 5" xfId="9501" xr:uid="{00000000-0005-0000-0000-000068190000}"/>
    <cellStyle name="Normal 24 2 3 5 2" xfId="18307" xr:uid="{E81633F6-F063-4C83-A151-69FF3C282962}"/>
    <cellStyle name="Normal 24 2 3 6" xfId="7899" xr:uid="{00000000-0005-0000-0000-000069190000}"/>
    <cellStyle name="Normal 24 2 3 6 2" xfId="16708" xr:uid="{7A74BA1E-5D77-48F2-941C-91E4DDBB2E5E}"/>
    <cellStyle name="Normal 24 2 3 7" xfId="11111" xr:uid="{00000000-0005-0000-0000-00006A190000}"/>
    <cellStyle name="Normal 24 2 3 7 2" xfId="19854" xr:uid="{9A774FCB-0DCA-4383-809C-44167A06FC1A}"/>
    <cellStyle name="Normal 24 2 3 8" xfId="12718" xr:uid="{00000000-0005-0000-0000-00006B190000}"/>
    <cellStyle name="Normal 24 2 3 8 2" xfId="21454" xr:uid="{D50B4777-E373-43D0-B05E-5C1B55A69EAE}"/>
    <cellStyle name="Normal 24 2 3 9" xfId="14948" xr:uid="{11EFC62F-3EA4-4FF6-88A1-68E16994B7FB}"/>
    <cellStyle name="Normal 24 2 4" xfId="2688" xr:uid="{00000000-0005-0000-0000-00006C190000}"/>
    <cellStyle name="Normal 24 2 5" xfId="2689" xr:uid="{00000000-0005-0000-0000-00006D190000}"/>
    <cellStyle name="Normal 24 2 6" xfId="2690" xr:uid="{00000000-0005-0000-0000-00006E190000}"/>
    <cellStyle name="Normal 24 2 6 2" xfId="9505" xr:uid="{00000000-0005-0000-0000-00006F190000}"/>
    <cellStyle name="Normal 24 2 6 2 2" xfId="18311" xr:uid="{B565F2EB-0ED3-4DD0-A292-DF6D28EA9730}"/>
    <cellStyle name="Normal 24 2 6 3" xfId="7903" xr:uid="{00000000-0005-0000-0000-000070190000}"/>
    <cellStyle name="Normal 24 2 6 3 2" xfId="16712" xr:uid="{48588DAB-56E3-4E28-B945-CEFEFCDDF2E7}"/>
    <cellStyle name="Normal 24 2 6 4" xfId="11115" xr:uid="{00000000-0005-0000-0000-000071190000}"/>
    <cellStyle name="Normal 24 2 6 4 2" xfId="19858" xr:uid="{90B3D1B0-2B20-4E67-ADCF-17A7F19BCD2F}"/>
    <cellStyle name="Normal 24 2 6 5" xfId="12722" xr:uid="{00000000-0005-0000-0000-000072190000}"/>
    <cellStyle name="Normal 24 2 6 5 2" xfId="21458" xr:uid="{1D49DC88-1F94-4FE3-A060-2EF32A9B8A0D}"/>
    <cellStyle name="Normal 24 2 6 6" xfId="14952" xr:uid="{9AD566EF-E3BA-476B-A250-1ACE1C7958CD}"/>
    <cellStyle name="Normal 24 2 7" xfId="2691" xr:uid="{00000000-0005-0000-0000-000073190000}"/>
    <cellStyle name="Normal 24 2 7 2" xfId="9506" xr:uid="{00000000-0005-0000-0000-000074190000}"/>
    <cellStyle name="Normal 24 2 7 2 2" xfId="18312" xr:uid="{CB7F4E1E-217F-480A-83FA-75E92D38647C}"/>
    <cellStyle name="Normal 24 2 7 3" xfId="7904" xr:uid="{00000000-0005-0000-0000-000075190000}"/>
    <cellStyle name="Normal 24 2 7 3 2" xfId="16713" xr:uid="{10B78775-9003-42B1-B010-D5397231A3FF}"/>
    <cellStyle name="Normal 24 2 7 4" xfId="11116" xr:uid="{00000000-0005-0000-0000-000076190000}"/>
    <cellStyle name="Normal 24 2 7 4 2" xfId="19859" xr:uid="{C3B484B9-1A06-4C40-8159-53F084AB242B}"/>
    <cellStyle name="Normal 24 2 7 5" xfId="12723" xr:uid="{00000000-0005-0000-0000-000077190000}"/>
    <cellStyle name="Normal 24 2 7 5 2" xfId="21459" xr:uid="{2EB33474-1A15-4134-AD24-C063DE07AB56}"/>
    <cellStyle name="Normal 24 2 7 6" xfId="14953" xr:uid="{654CCC85-BB9D-4701-985B-6862AEFC8860}"/>
    <cellStyle name="Normal 24 2 8" xfId="2692" xr:uid="{00000000-0005-0000-0000-000078190000}"/>
    <cellStyle name="Normal 24 2 8 2" xfId="9507" xr:uid="{00000000-0005-0000-0000-000079190000}"/>
    <cellStyle name="Normal 24 2 8 2 2" xfId="18313" xr:uid="{109052F8-176E-4A4E-AC88-87BA2D779406}"/>
    <cellStyle name="Normal 24 2 8 3" xfId="7905" xr:uid="{00000000-0005-0000-0000-00007A190000}"/>
    <cellStyle name="Normal 24 2 8 3 2" xfId="16714" xr:uid="{DAF88C63-5A8A-46D1-84A4-DA3476A51A98}"/>
    <cellStyle name="Normal 24 2 8 4" xfId="11117" xr:uid="{00000000-0005-0000-0000-00007B190000}"/>
    <cellStyle name="Normal 24 2 8 4 2" xfId="19860" xr:uid="{B48ABBD7-22F9-420D-84DD-5B84CB7AC7A9}"/>
    <cellStyle name="Normal 24 2 8 5" xfId="12724" xr:uid="{00000000-0005-0000-0000-00007C190000}"/>
    <cellStyle name="Normal 24 2 8 5 2" xfId="21460" xr:uid="{0712736A-F11F-4D5A-8B39-E8F80B588A16}"/>
    <cellStyle name="Normal 24 2 8 6" xfId="14954" xr:uid="{A2926AFA-826F-4311-887F-F6AAB13689EB}"/>
    <cellStyle name="Normal 24 2 9" xfId="9485" xr:uid="{00000000-0005-0000-0000-00007D190000}"/>
    <cellStyle name="Normal 24 2 9 2" xfId="18291" xr:uid="{4D1439DA-33FF-4022-901D-80A66CFFA0A6}"/>
    <cellStyle name="Normal 24 3" xfId="2693" xr:uid="{00000000-0005-0000-0000-00007E190000}"/>
    <cellStyle name="Normal 24 4" xfId="2663" xr:uid="{00000000-0005-0000-0000-00007F190000}"/>
    <cellStyle name="Normal 24 5" xfId="10640" xr:uid="{00000000-0005-0000-0000-000080190000}"/>
    <cellStyle name="Normal 240" xfId="13878" xr:uid="{0C2D9977-9FE5-46E4-AC2E-1F90EA6CB2AF}"/>
    <cellStyle name="Normal 241" xfId="13905" xr:uid="{7FFD04C5-EF8D-4B7C-9459-89073776DDC0}"/>
    <cellStyle name="Normal 242" xfId="22696" xr:uid="{3E4C51DD-6B16-407D-842A-6A2E8E70DE14}"/>
    <cellStyle name="Normal 243" xfId="22719" xr:uid="{2BB89D10-8855-4F75-9D75-7B5D054E8EAC}"/>
    <cellStyle name="Normal 244" xfId="22724" xr:uid="{98D28918-A89D-4AAD-A4A8-6915EB9B876F}"/>
    <cellStyle name="Normal 245" xfId="22729" xr:uid="{64ABD3B8-55EC-43B6-8288-8FE4B89F4D64}"/>
    <cellStyle name="Normal 246" xfId="22739" xr:uid="{C0AC1C83-0909-45B5-A334-7CBEDE211681}"/>
    <cellStyle name="Normal 247" xfId="22767" xr:uid="{C14222C3-76ED-4D1F-A95D-A29C6736521C}"/>
    <cellStyle name="Normal 248" xfId="22738" xr:uid="{40232FE0-3604-4B27-A102-21EFC279C49C}"/>
    <cellStyle name="Normal 249" xfId="22761" xr:uid="{6A82AEFD-D46C-4A49-9D77-8320BFAFC85B}"/>
    <cellStyle name="Normal 25" xfId="166" xr:uid="{00000000-0005-0000-0000-000081190000}"/>
    <cellStyle name="Normal 25 2" xfId="2695" xr:uid="{00000000-0005-0000-0000-000082190000}"/>
    <cellStyle name="Normal 25 2 10" xfId="7906" xr:uid="{00000000-0005-0000-0000-000083190000}"/>
    <cellStyle name="Normal 25 2 10 2" xfId="16715" xr:uid="{8CDCAF0B-2798-4013-930B-1BDCBB7DA68C}"/>
    <cellStyle name="Normal 25 2 11" xfId="11118" xr:uid="{00000000-0005-0000-0000-000084190000}"/>
    <cellStyle name="Normal 25 2 11 2" xfId="19861" xr:uid="{D2424887-F3CB-4229-9D1E-14A2D0366C8F}"/>
    <cellStyle name="Normal 25 2 12" xfId="12725" xr:uid="{00000000-0005-0000-0000-000085190000}"/>
    <cellStyle name="Normal 25 2 12 2" xfId="21461" xr:uid="{01154013-2962-4CFD-9213-3B2C98A05F52}"/>
    <cellStyle name="Normal 25 2 13" xfId="14955" xr:uid="{0C5FCA01-724E-4647-8C83-E135B2EF4B68}"/>
    <cellStyle name="Normal 25 2 2" xfId="2696" xr:uid="{00000000-0005-0000-0000-000086190000}"/>
    <cellStyle name="Normal 25 2 2 2" xfId="2697" xr:uid="{00000000-0005-0000-0000-000087190000}"/>
    <cellStyle name="Normal 25 2 2 2 2" xfId="2698" xr:uid="{00000000-0005-0000-0000-000088190000}"/>
    <cellStyle name="Normal 25 2 2 2 2 2" xfId="2699" xr:uid="{00000000-0005-0000-0000-000089190000}"/>
    <cellStyle name="Normal 25 2 2 2 2 2 2" xfId="9510" xr:uid="{00000000-0005-0000-0000-00008A190000}"/>
    <cellStyle name="Normal 25 2 2 2 2 2 2 2" xfId="18316" xr:uid="{A0B0FCC9-F957-4FC7-9AD2-68EA5EBBA6BF}"/>
    <cellStyle name="Normal 25 2 2 2 2 2 3" xfId="7908" xr:uid="{00000000-0005-0000-0000-00008B190000}"/>
    <cellStyle name="Normal 25 2 2 2 2 2 3 2" xfId="16717" xr:uid="{60938FCF-3D29-4354-9736-4692888D0799}"/>
    <cellStyle name="Normal 25 2 2 2 2 2 4" xfId="11120" xr:uid="{00000000-0005-0000-0000-00008C190000}"/>
    <cellStyle name="Normal 25 2 2 2 2 2 4 2" xfId="19863" xr:uid="{F7A41A4B-0690-449B-961F-30C2D117B08E}"/>
    <cellStyle name="Normal 25 2 2 2 2 2 5" xfId="12727" xr:uid="{00000000-0005-0000-0000-00008D190000}"/>
    <cellStyle name="Normal 25 2 2 2 2 2 5 2" xfId="21463" xr:uid="{B7A26C5C-D43C-4216-BDAF-D9AA014E934F}"/>
    <cellStyle name="Normal 25 2 2 2 2 2 6" xfId="14957" xr:uid="{C0406662-DD9F-4759-9276-3F7128A0AFE7}"/>
    <cellStyle name="Normal 25 2 2 2 2 3" xfId="2700" xr:uid="{00000000-0005-0000-0000-00008E190000}"/>
    <cellStyle name="Normal 25 2 2 2 2 3 2" xfId="9511" xr:uid="{00000000-0005-0000-0000-00008F190000}"/>
    <cellStyle name="Normal 25 2 2 2 2 3 2 2" xfId="18317" xr:uid="{FDA13D6D-E6E8-4414-80C1-1754C38CCE70}"/>
    <cellStyle name="Normal 25 2 2 2 2 3 3" xfId="7909" xr:uid="{00000000-0005-0000-0000-000090190000}"/>
    <cellStyle name="Normal 25 2 2 2 2 3 3 2" xfId="16718" xr:uid="{99F9B93D-AA98-482E-97B8-CF9B0D096730}"/>
    <cellStyle name="Normal 25 2 2 2 2 3 4" xfId="11121" xr:uid="{00000000-0005-0000-0000-000091190000}"/>
    <cellStyle name="Normal 25 2 2 2 2 3 4 2" xfId="19864" xr:uid="{98E21A65-5A0E-4522-95A5-2C5036BC25DF}"/>
    <cellStyle name="Normal 25 2 2 2 2 3 5" xfId="12728" xr:uid="{00000000-0005-0000-0000-000092190000}"/>
    <cellStyle name="Normal 25 2 2 2 2 3 5 2" xfId="21464" xr:uid="{F698E57F-2002-4600-9B5C-BD88B8C633D4}"/>
    <cellStyle name="Normal 25 2 2 2 2 3 6" xfId="14958" xr:uid="{B5EBCBDE-A17E-4DFA-9FFA-712B97EC9786}"/>
    <cellStyle name="Normal 25 2 2 2 2 4" xfId="2701" xr:uid="{00000000-0005-0000-0000-000093190000}"/>
    <cellStyle name="Normal 25 2 2 2 2 4 2" xfId="9512" xr:uid="{00000000-0005-0000-0000-000094190000}"/>
    <cellStyle name="Normal 25 2 2 2 2 4 2 2" xfId="18318" xr:uid="{6D13FA91-0E22-4267-9A3D-6B2CD4AA045E}"/>
    <cellStyle name="Normal 25 2 2 2 2 4 3" xfId="7910" xr:uid="{00000000-0005-0000-0000-000095190000}"/>
    <cellStyle name="Normal 25 2 2 2 2 4 3 2" xfId="16719" xr:uid="{8118F2EA-5E49-4F7E-8C61-2CB2A26BFE07}"/>
    <cellStyle name="Normal 25 2 2 2 2 4 4" xfId="11122" xr:uid="{00000000-0005-0000-0000-000096190000}"/>
    <cellStyle name="Normal 25 2 2 2 2 4 4 2" xfId="19865" xr:uid="{772B9BF9-89AE-461C-867C-BD60804FC9AC}"/>
    <cellStyle name="Normal 25 2 2 2 2 4 5" xfId="12729" xr:uid="{00000000-0005-0000-0000-000097190000}"/>
    <cellStyle name="Normal 25 2 2 2 2 4 5 2" xfId="21465" xr:uid="{307814CC-0623-476E-B55F-7C8D1DC841C2}"/>
    <cellStyle name="Normal 25 2 2 2 2 4 6" xfId="14959" xr:uid="{165F2B5B-3722-4C23-80DA-33791787BB56}"/>
    <cellStyle name="Normal 25 2 2 2 3" xfId="2702" xr:uid="{00000000-0005-0000-0000-000098190000}"/>
    <cellStyle name="Normal 25 2 2 2 4" xfId="2703" xr:uid="{00000000-0005-0000-0000-000099190000}"/>
    <cellStyle name="Normal 25 2 2 2 5" xfId="9509" xr:uid="{00000000-0005-0000-0000-00009A190000}"/>
    <cellStyle name="Normal 25 2 2 2 5 2" xfId="18315" xr:uid="{499A8CD0-D3CE-4910-A55B-EEAC68E04567}"/>
    <cellStyle name="Normal 25 2 2 2 6" xfId="7907" xr:uid="{00000000-0005-0000-0000-00009B190000}"/>
    <cellStyle name="Normal 25 2 2 2 6 2" xfId="16716" xr:uid="{5E899AA5-8F77-4A48-B86E-A0ED2D795ED3}"/>
    <cellStyle name="Normal 25 2 2 2 7" xfId="11119" xr:uid="{00000000-0005-0000-0000-00009C190000}"/>
    <cellStyle name="Normal 25 2 2 2 7 2" xfId="19862" xr:uid="{0BC5DEA1-0CAB-4E20-A21F-60FAD6593B97}"/>
    <cellStyle name="Normal 25 2 2 2 8" xfId="12726" xr:uid="{00000000-0005-0000-0000-00009D190000}"/>
    <cellStyle name="Normal 25 2 2 2 8 2" xfId="21462" xr:uid="{2C4ACE03-F6FD-4C57-8DD3-5B9946FA6AE8}"/>
    <cellStyle name="Normal 25 2 2 2 9" xfId="14956" xr:uid="{EEC8EFBA-6A76-4254-82A4-6986D84C9599}"/>
    <cellStyle name="Normal 25 2 2 3" xfId="2704" xr:uid="{00000000-0005-0000-0000-00009E190000}"/>
    <cellStyle name="Normal 25 2 2 3 2" xfId="2705" xr:uid="{00000000-0005-0000-0000-00009F190000}"/>
    <cellStyle name="Normal 25 2 2 3 2 2" xfId="9514" xr:uid="{00000000-0005-0000-0000-0000A0190000}"/>
    <cellStyle name="Normal 25 2 2 3 2 2 2" xfId="18320" xr:uid="{9F8170B5-006C-40EA-BCC4-5EC5F4CEA4B8}"/>
    <cellStyle name="Normal 25 2 2 3 2 3" xfId="7912" xr:uid="{00000000-0005-0000-0000-0000A1190000}"/>
    <cellStyle name="Normal 25 2 2 3 2 3 2" xfId="16721" xr:uid="{3EE17DEE-F522-4594-90DA-F798172DCAB1}"/>
    <cellStyle name="Normal 25 2 2 3 2 4" xfId="11124" xr:uid="{00000000-0005-0000-0000-0000A2190000}"/>
    <cellStyle name="Normal 25 2 2 3 2 4 2" xfId="19867" xr:uid="{4F2EE3F1-48B1-46D7-B2AD-7980E4386E93}"/>
    <cellStyle name="Normal 25 2 2 3 2 5" xfId="12731" xr:uid="{00000000-0005-0000-0000-0000A3190000}"/>
    <cellStyle name="Normal 25 2 2 3 2 5 2" xfId="21467" xr:uid="{A9B75B1C-8A04-47A4-8015-68B0FA5BFC43}"/>
    <cellStyle name="Normal 25 2 2 3 2 6" xfId="14961" xr:uid="{DB19E165-F87B-470A-905C-8B017E9133FA}"/>
    <cellStyle name="Normal 25 2 2 3 3" xfId="2706" xr:uid="{00000000-0005-0000-0000-0000A4190000}"/>
    <cellStyle name="Normal 25 2 2 3 3 2" xfId="9515" xr:uid="{00000000-0005-0000-0000-0000A5190000}"/>
    <cellStyle name="Normal 25 2 2 3 3 2 2" xfId="18321" xr:uid="{8E21B564-8CEC-4791-A72C-2DF01F9D201C}"/>
    <cellStyle name="Normal 25 2 2 3 3 3" xfId="7913" xr:uid="{00000000-0005-0000-0000-0000A6190000}"/>
    <cellStyle name="Normal 25 2 2 3 3 3 2" xfId="16722" xr:uid="{1C9183DA-BFA2-4308-B421-992FBE8F1029}"/>
    <cellStyle name="Normal 25 2 2 3 3 4" xfId="11125" xr:uid="{00000000-0005-0000-0000-0000A7190000}"/>
    <cellStyle name="Normal 25 2 2 3 3 4 2" xfId="19868" xr:uid="{B6255C52-2981-41D7-B352-36242C212CD0}"/>
    <cellStyle name="Normal 25 2 2 3 3 5" xfId="12732" xr:uid="{00000000-0005-0000-0000-0000A8190000}"/>
    <cellStyle name="Normal 25 2 2 3 3 5 2" xfId="21468" xr:uid="{D9E561EA-8B14-4A17-9A71-1F5D1D2ACFA1}"/>
    <cellStyle name="Normal 25 2 2 3 3 6" xfId="14962" xr:uid="{EA39C510-86B5-4055-82DE-37834C56B3BE}"/>
    <cellStyle name="Normal 25 2 2 3 4" xfId="2707" xr:uid="{00000000-0005-0000-0000-0000A9190000}"/>
    <cellStyle name="Normal 25 2 2 3 4 2" xfId="9516" xr:uid="{00000000-0005-0000-0000-0000AA190000}"/>
    <cellStyle name="Normal 25 2 2 3 4 2 2" xfId="18322" xr:uid="{A94255E9-CE91-4114-9410-2633005DEF8D}"/>
    <cellStyle name="Normal 25 2 2 3 4 3" xfId="7914" xr:uid="{00000000-0005-0000-0000-0000AB190000}"/>
    <cellStyle name="Normal 25 2 2 3 4 3 2" xfId="16723" xr:uid="{96AF6271-DD5A-4B6F-9160-70B7820F3B16}"/>
    <cellStyle name="Normal 25 2 2 3 4 4" xfId="11126" xr:uid="{00000000-0005-0000-0000-0000AC190000}"/>
    <cellStyle name="Normal 25 2 2 3 4 4 2" xfId="19869" xr:uid="{52825E6A-7092-49C2-9B43-76C013985A47}"/>
    <cellStyle name="Normal 25 2 2 3 4 5" xfId="12733" xr:uid="{00000000-0005-0000-0000-0000AD190000}"/>
    <cellStyle name="Normal 25 2 2 3 4 5 2" xfId="21469" xr:uid="{C374239C-DF02-4B7C-AB83-164F7EF9CCC5}"/>
    <cellStyle name="Normal 25 2 2 3 4 6" xfId="14963" xr:uid="{F93FA972-97CB-4C8C-ACFE-E173744AB0B9}"/>
    <cellStyle name="Normal 25 2 2 3 5" xfId="9513" xr:uid="{00000000-0005-0000-0000-0000AE190000}"/>
    <cellStyle name="Normal 25 2 2 3 5 2" xfId="18319" xr:uid="{8637B46D-BFCA-4147-8F4F-DAD26A31F683}"/>
    <cellStyle name="Normal 25 2 2 3 6" xfId="7911" xr:uid="{00000000-0005-0000-0000-0000AF190000}"/>
    <cellStyle name="Normal 25 2 2 3 6 2" xfId="16720" xr:uid="{E83714D6-D26C-447D-B9AB-20C754665550}"/>
    <cellStyle name="Normal 25 2 2 3 7" xfId="11123" xr:uid="{00000000-0005-0000-0000-0000B0190000}"/>
    <cellStyle name="Normal 25 2 2 3 7 2" xfId="19866" xr:uid="{0A56AA98-CE9D-4DBA-9328-0F9F9E671CD1}"/>
    <cellStyle name="Normal 25 2 2 3 8" xfId="12730" xr:uid="{00000000-0005-0000-0000-0000B1190000}"/>
    <cellStyle name="Normal 25 2 2 3 8 2" xfId="21466" xr:uid="{D03C78FD-43DF-44B2-AF95-228830428B6B}"/>
    <cellStyle name="Normal 25 2 2 3 9" xfId="14960" xr:uid="{E3CDCBC8-5D91-47A7-A719-07E7397B7604}"/>
    <cellStyle name="Normal 25 2 2 4" xfId="2708" xr:uid="{00000000-0005-0000-0000-0000B2190000}"/>
    <cellStyle name="Normal 25 2 2 4 2" xfId="2709" xr:uid="{00000000-0005-0000-0000-0000B3190000}"/>
    <cellStyle name="Normal 25 2 2 4 2 2" xfId="9518" xr:uid="{00000000-0005-0000-0000-0000B4190000}"/>
    <cellStyle name="Normal 25 2 2 4 2 2 2" xfId="18324" xr:uid="{C4D08AE8-61BF-4861-AB04-956FBE85BDF5}"/>
    <cellStyle name="Normal 25 2 2 4 2 3" xfId="7916" xr:uid="{00000000-0005-0000-0000-0000B5190000}"/>
    <cellStyle name="Normal 25 2 2 4 2 3 2" xfId="16725" xr:uid="{44756301-533D-46F2-B877-0FDE5D559E7D}"/>
    <cellStyle name="Normal 25 2 2 4 2 4" xfId="11128" xr:uid="{00000000-0005-0000-0000-0000B6190000}"/>
    <cellStyle name="Normal 25 2 2 4 2 4 2" xfId="19871" xr:uid="{B3AADF05-68A7-452D-B446-4D112101B914}"/>
    <cellStyle name="Normal 25 2 2 4 2 5" xfId="12735" xr:uid="{00000000-0005-0000-0000-0000B7190000}"/>
    <cellStyle name="Normal 25 2 2 4 2 5 2" xfId="21471" xr:uid="{63A5E509-2171-4085-BAF8-3B7B39E0CF46}"/>
    <cellStyle name="Normal 25 2 2 4 2 6" xfId="14965" xr:uid="{2AA82257-6A2D-492D-93C4-5AE22E236C78}"/>
    <cellStyle name="Normal 25 2 2 4 3" xfId="2710" xr:uid="{00000000-0005-0000-0000-0000B8190000}"/>
    <cellStyle name="Normal 25 2 2 4 3 2" xfId="9519" xr:uid="{00000000-0005-0000-0000-0000B9190000}"/>
    <cellStyle name="Normal 25 2 2 4 3 2 2" xfId="18325" xr:uid="{18EA5FFA-55EE-421A-8FEC-F53B1297E3EF}"/>
    <cellStyle name="Normal 25 2 2 4 3 3" xfId="7917" xr:uid="{00000000-0005-0000-0000-0000BA190000}"/>
    <cellStyle name="Normal 25 2 2 4 3 3 2" xfId="16726" xr:uid="{6E6226B7-CF35-4C65-B4FF-93CFDA2EAC78}"/>
    <cellStyle name="Normal 25 2 2 4 3 4" xfId="11129" xr:uid="{00000000-0005-0000-0000-0000BB190000}"/>
    <cellStyle name="Normal 25 2 2 4 3 4 2" xfId="19872" xr:uid="{B239DD42-7F8B-4C69-9AF9-EAD39F1B1EF3}"/>
    <cellStyle name="Normal 25 2 2 4 3 5" xfId="12736" xr:uid="{00000000-0005-0000-0000-0000BC190000}"/>
    <cellStyle name="Normal 25 2 2 4 3 5 2" xfId="21472" xr:uid="{DD20E01C-CEF0-4D70-B8F8-E58740BBE8DD}"/>
    <cellStyle name="Normal 25 2 2 4 3 6" xfId="14966" xr:uid="{A96CD3EF-B5BF-48C7-8F6F-A62F8E3CCDAE}"/>
    <cellStyle name="Normal 25 2 2 4 4" xfId="2711" xr:uid="{00000000-0005-0000-0000-0000BD190000}"/>
    <cellStyle name="Normal 25 2 2 4 4 2" xfId="9520" xr:uid="{00000000-0005-0000-0000-0000BE190000}"/>
    <cellStyle name="Normal 25 2 2 4 4 2 2" xfId="18326" xr:uid="{E6683A58-FE86-4FD1-8CCD-5E2DDE89CE30}"/>
    <cellStyle name="Normal 25 2 2 4 4 3" xfId="7918" xr:uid="{00000000-0005-0000-0000-0000BF190000}"/>
    <cellStyle name="Normal 25 2 2 4 4 3 2" xfId="16727" xr:uid="{6D3B1650-8461-4B9F-9261-F8D62A78FAF1}"/>
    <cellStyle name="Normal 25 2 2 4 4 4" xfId="11130" xr:uid="{00000000-0005-0000-0000-0000C0190000}"/>
    <cellStyle name="Normal 25 2 2 4 4 4 2" xfId="19873" xr:uid="{F1EC66F8-1E47-47FC-A5C2-271EF62F0981}"/>
    <cellStyle name="Normal 25 2 2 4 4 5" xfId="12737" xr:uid="{00000000-0005-0000-0000-0000C1190000}"/>
    <cellStyle name="Normal 25 2 2 4 4 5 2" xfId="21473" xr:uid="{64807AFF-94C6-4EED-BEE5-6E47F90A878A}"/>
    <cellStyle name="Normal 25 2 2 4 4 6" xfId="14967" xr:uid="{214E2563-BF42-4D2C-B33C-1DF882BB880C}"/>
    <cellStyle name="Normal 25 2 2 4 5" xfId="9517" xr:uid="{00000000-0005-0000-0000-0000C2190000}"/>
    <cellStyle name="Normal 25 2 2 4 5 2" xfId="18323" xr:uid="{06E820EE-8B24-4D32-9208-4D1400FCE1A1}"/>
    <cellStyle name="Normal 25 2 2 4 6" xfId="7915" xr:uid="{00000000-0005-0000-0000-0000C3190000}"/>
    <cellStyle name="Normal 25 2 2 4 6 2" xfId="16724" xr:uid="{FFBCB6AB-C8D7-408B-AFB4-E8CD03BAE734}"/>
    <cellStyle name="Normal 25 2 2 4 7" xfId="11127" xr:uid="{00000000-0005-0000-0000-0000C4190000}"/>
    <cellStyle name="Normal 25 2 2 4 7 2" xfId="19870" xr:uid="{F2C778E1-872C-4088-AE89-24A7207666C9}"/>
    <cellStyle name="Normal 25 2 2 4 8" xfId="12734" xr:uid="{00000000-0005-0000-0000-0000C5190000}"/>
    <cellStyle name="Normal 25 2 2 4 8 2" xfId="21470" xr:uid="{39D1F532-CFCC-49EF-AA45-2C58AF37573F}"/>
    <cellStyle name="Normal 25 2 2 4 9" xfId="14964" xr:uid="{FC1A9F74-F014-4719-B890-3B6E7DA34688}"/>
    <cellStyle name="Normal 25 2 2 5" xfId="2712" xr:uid="{00000000-0005-0000-0000-0000C6190000}"/>
    <cellStyle name="Normal 25 2 2 5 2" xfId="9521" xr:uid="{00000000-0005-0000-0000-0000C7190000}"/>
    <cellStyle name="Normal 25 2 2 5 2 2" xfId="18327" xr:uid="{0E1D73B4-C4E7-4F38-B406-50A23C2F9189}"/>
    <cellStyle name="Normal 25 2 2 5 3" xfId="7919" xr:uid="{00000000-0005-0000-0000-0000C8190000}"/>
    <cellStyle name="Normal 25 2 2 5 3 2" xfId="16728" xr:uid="{868B0AC6-4810-429D-B2A5-3EAC92D26225}"/>
    <cellStyle name="Normal 25 2 2 5 4" xfId="11131" xr:uid="{00000000-0005-0000-0000-0000C9190000}"/>
    <cellStyle name="Normal 25 2 2 5 4 2" xfId="19874" xr:uid="{E14EE34D-9DE2-493B-A7ED-1852DF616708}"/>
    <cellStyle name="Normal 25 2 2 5 5" xfId="12738" xr:uid="{00000000-0005-0000-0000-0000CA190000}"/>
    <cellStyle name="Normal 25 2 2 5 5 2" xfId="21474" xr:uid="{41026605-3F7E-4AEC-AE9D-3CD4C4D20BF7}"/>
    <cellStyle name="Normal 25 2 2 5 6" xfId="14968" xr:uid="{9A974A30-7816-41CE-A63A-10BFDA471185}"/>
    <cellStyle name="Normal 25 2 2 6" xfId="2713" xr:uid="{00000000-0005-0000-0000-0000CB190000}"/>
    <cellStyle name="Normal 25 2 2 6 2" xfId="9522" xr:uid="{00000000-0005-0000-0000-0000CC190000}"/>
    <cellStyle name="Normal 25 2 2 6 2 2" xfId="18328" xr:uid="{5D05AFE6-7E50-440D-85E8-F3EB83B6BA70}"/>
    <cellStyle name="Normal 25 2 2 6 3" xfId="7920" xr:uid="{00000000-0005-0000-0000-0000CD190000}"/>
    <cellStyle name="Normal 25 2 2 6 3 2" xfId="16729" xr:uid="{9D195DF5-2481-41F3-A6BF-A69CD35B37E7}"/>
    <cellStyle name="Normal 25 2 2 6 4" xfId="11132" xr:uid="{00000000-0005-0000-0000-0000CE190000}"/>
    <cellStyle name="Normal 25 2 2 6 4 2" xfId="19875" xr:uid="{AF7176EA-400C-40C4-9A3B-B672A54A820A}"/>
    <cellStyle name="Normal 25 2 2 6 5" xfId="12739" xr:uid="{00000000-0005-0000-0000-0000CF190000}"/>
    <cellStyle name="Normal 25 2 2 6 5 2" xfId="21475" xr:uid="{4319FF80-069F-4C27-9FCC-D29EA222B235}"/>
    <cellStyle name="Normal 25 2 2 6 6" xfId="14969" xr:uid="{2BB96CB9-7B8A-4BA3-9424-484DD2F4CC48}"/>
    <cellStyle name="Normal 25 2 2 7" xfId="2714" xr:uid="{00000000-0005-0000-0000-0000D0190000}"/>
    <cellStyle name="Normal 25 2 2 7 2" xfId="9523" xr:uid="{00000000-0005-0000-0000-0000D1190000}"/>
    <cellStyle name="Normal 25 2 2 7 2 2" xfId="18329" xr:uid="{DDB0CDD8-6AD3-47EA-BCF5-FFF624907ADA}"/>
    <cellStyle name="Normal 25 2 2 7 3" xfId="7921" xr:uid="{00000000-0005-0000-0000-0000D2190000}"/>
    <cellStyle name="Normal 25 2 2 7 3 2" xfId="16730" xr:uid="{06949969-82B0-4EBF-B23D-0D9AF9D50A3A}"/>
    <cellStyle name="Normal 25 2 2 7 4" xfId="11133" xr:uid="{00000000-0005-0000-0000-0000D3190000}"/>
    <cellStyle name="Normal 25 2 2 7 4 2" xfId="19876" xr:uid="{DE3B4BC5-9115-456F-BE2A-9551D9A6F167}"/>
    <cellStyle name="Normal 25 2 2 7 5" xfId="12740" xr:uid="{00000000-0005-0000-0000-0000D4190000}"/>
    <cellStyle name="Normal 25 2 2 7 5 2" xfId="21476" xr:uid="{A1C4775D-99B9-43EF-9665-D4843E2C8EA4}"/>
    <cellStyle name="Normal 25 2 2 7 6" xfId="14970" xr:uid="{B4B3A883-AB99-4949-815D-4424E947640C}"/>
    <cellStyle name="Normal 25 2 3" xfId="2715" xr:uid="{00000000-0005-0000-0000-0000D5190000}"/>
    <cellStyle name="Normal 25 2 3 2" xfId="2716" xr:uid="{00000000-0005-0000-0000-0000D6190000}"/>
    <cellStyle name="Normal 25 2 3 2 2" xfId="9525" xr:uid="{00000000-0005-0000-0000-0000D7190000}"/>
    <cellStyle name="Normal 25 2 3 2 2 2" xfId="18331" xr:uid="{2DCDC13C-B4A8-4508-91B7-FD777BF33B7A}"/>
    <cellStyle name="Normal 25 2 3 2 3" xfId="7923" xr:uid="{00000000-0005-0000-0000-0000D8190000}"/>
    <cellStyle name="Normal 25 2 3 2 3 2" xfId="16732" xr:uid="{608A8578-A97E-4AD8-B889-D2507EAD3048}"/>
    <cellStyle name="Normal 25 2 3 2 4" xfId="11135" xr:uid="{00000000-0005-0000-0000-0000D9190000}"/>
    <cellStyle name="Normal 25 2 3 2 4 2" xfId="19878" xr:uid="{9C823D4F-29C5-4F5A-82D7-AE37E34D9273}"/>
    <cellStyle name="Normal 25 2 3 2 5" xfId="12742" xr:uid="{00000000-0005-0000-0000-0000DA190000}"/>
    <cellStyle name="Normal 25 2 3 2 5 2" xfId="21478" xr:uid="{1FFB4459-C501-444A-BBF7-6F5CDF1E1BEF}"/>
    <cellStyle name="Normal 25 2 3 2 6" xfId="14972" xr:uid="{0331E345-D561-43F0-A7EA-50A0F1874523}"/>
    <cellStyle name="Normal 25 2 3 3" xfId="2717" xr:uid="{00000000-0005-0000-0000-0000DB190000}"/>
    <cellStyle name="Normal 25 2 3 3 2" xfId="9526" xr:uid="{00000000-0005-0000-0000-0000DC190000}"/>
    <cellStyle name="Normal 25 2 3 3 2 2" xfId="18332" xr:uid="{B68B8614-2A42-4037-A382-63977E4CE8AF}"/>
    <cellStyle name="Normal 25 2 3 3 3" xfId="7924" xr:uid="{00000000-0005-0000-0000-0000DD190000}"/>
    <cellStyle name="Normal 25 2 3 3 3 2" xfId="16733" xr:uid="{851017EC-7924-41E6-92C1-A8FECF16E210}"/>
    <cellStyle name="Normal 25 2 3 3 4" xfId="11136" xr:uid="{00000000-0005-0000-0000-0000DE190000}"/>
    <cellStyle name="Normal 25 2 3 3 4 2" xfId="19879" xr:uid="{1A535F3E-7DFC-437D-8AA5-7683E6BBC435}"/>
    <cellStyle name="Normal 25 2 3 3 5" xfId="12743" xr:uid="{00000000-0005-0000-0000-0000DF190000}"/>
    <cellStyle name="Normal 25 2 3 3 5 2" xfId="21479" xr:uid="{0E950D5B-D7BC-408E-B186-871864BA9C8F}"/>
    <cellStyle name="Normal 25 2 3 3 6" xfId="14973" xr:uid="{0DF2BAF6-6043-42AB-93F6-EBE3CD48D40D}"/>
    <cellStyle name="Normal 25 2 3 4" xfId="2718" xr:uid="{00000000-0005-0000-0000-0000E0190000}"/>
    <cellStyle name="Normal 25 2 3 4 2" xfId="9527" xr:uid="{00000000-0005-0000-0000-0000E1190000}"/>
    <cellStyle name="Normal 25 2 3 4 2 2" xfId="18333" xr:uid="{8834CBA2-12E1-4A7E-A5E1-8AD6ECB79FB2}"/>
    <cellStyle name="Normal 25 2 3 4 3" xfId="7925" xr:uid="{00000000-0005-0000-0000-0000E2190000}"/>
    <cellStyle name="Normal 25 2 3 4 3 2" xfId="16734" xr:uid="{26D9DDB4-BE45-4DE1-B889-909A0F6A21AA}"/>
    <cellStyle name="Normal 25 2 3 4 4" xfId="11137" xr:uid="{00000000-0005-0000-0000-0000E3190000}"/>
    <cellStyle name="Normal 25 2 3 4 4 2" xfId="19880" xr:uid="{7459D22B-D4CD-48C0-A711-672CE30E375B}"/>
    <cellStyle name="Normal 25 2 3 4 5" xfId="12744" xr:uid="{00000000-0005-0000-0000-0000E4190000}"/>
    <cellStyle name="Normal 25 2 3 4 5 2" xfId="21480" xr:uid="{7049728E-41C1-4DCF-9B6A-A4E3527A2115}"/>
    <cellStyle name="Normal 25 2 3 4 6" xfId="14974" xr:uid="{D3565791-A998-41B8-AA25-A1CEA5AD3569}"/>
    <cellStyle name="Normal 25 2 3 5" xfId="9524" xr:uid="{00000000-0005-0000-0000-0000E5190000}"/>
    <cellStyle name="Normal 25 2 3 5 2" xfId="18330" xr:uid="{7280AA0A-9B4B-4620-8C90-9631930652DC}"/>
    <cellStyle name="Normal 25 2 3 6" xfId="7922" xr:uid="{00000000-0005-0000-0000-0000E6190000}"/>
    <cellStyle name="Normal 25 2 3 6 2" xfId="16731" xr:uid="{34494BF8-E19F-4707-8EA5-AF26EFC39FC6}"/>
    <cellStyle name="Normal 25 2 3 7" xfId="11134" xr:uid="{00000000-0005-0000-0000-0000E7190000}"/>
    <cellStyle name="Normal 25 2 3 7 2" xfId="19877" xr:uid="{325ABC84-8DEC-4E45-9401-3189E416D873}"/>
    <cellStyle name="Normal 25 2 3 8" xfId="12741" xr:uid="{00000000-0005-0000-0000-0000E8190000}"/>
    <cellStyle name="Normal 25 2 3 8 2" xfId="21477" xr:uid="{DB1AA3EC-CAA2-4619-BB44-4645983A9AEF}"/>
    <cellStyle name="Normal 25 2 3 9" xfId="14971" xr:uid="{0630E0CC-3CED-4F4F-A7D2-6C68DB68EC36}"/>
    <cellStyle name="Normal 25 2 4" xfId="2719" xr:uid="{00000000-0005-0000-0000-0000E9190000}"/>
    <cellStyle name="Normal 25 2 5" xfId="2720" xr:uid="{00000000-0005-0000-0000-0000EA190000}"/>
    <cellStyle name="Normal 25 2 6" xfId="2721" xr:uid="{00000000-0005-0000-0000-0000EB190000}"/>
    <cellStyle name="Normal 25 2 6 2" xfId="9528" xr:uid="{00000000-0005-0000-0000-0000EC190000}"/>
    <cellStyle name="Normal 25 2 6 2 2" xfId="18334" xr:uid="{E36271AD-FB4B-43FC-8634-7611408395BE}"/>
    <cellStyle name="Normal 25 2 6 3" xfId="7926" xr:uid="{00000000-0005-0000-0000-0000ED190000}"/>
    <cellStyle name="Normal 25 2 6 3 2" xfId="16735" xr:uid="{5BF53C58-B5B0-4FFC-855E-F00E495AB81E}"/>
    <cellStyle name="Normal 25 2 6 4" xfId="11138" xr:uid="{00000000-0005-0000-0000-0000EE190000}"/>
    <cellStyle name="Normal 25 2 6 4 2" xfId="19881" xr:uid="{E29755C9-BA3D-4EB1-A6DF-6356F8615251}"/>
    <cellStyle name="Normal 25 2 6 5" xfId="12745" xr:uid="{00000000-0005-0000-0000-0000EF190000}"/>
    <cellStyle name="Normal 25 2 6 5 2" xfId="21481" xr:uid="{213B429A-0EDA-4141-B4C6-B0A20BA2E88A}"/>
    <cellStyle name="Normal 25 2 6 6" xfId="14975" xr:uid="{384D2671-B110-42DA-B308-382B680B2C99}"/>
    <cellStyle name="Normal 25 2 7" xfId="2722" xr:uid="{00000000-0005-0000-0000-0000F0190000}"/>
    <cellStyle name="Normal 25 2 7 2" xfId="9529" xr:uid="{00000000-0005-0000-0000-0000F1190000}"/>
    <cellStyle name="Normal 25 2 7 2 2" xfId="18335" xr:uid="{A6120519-A4CF-4D50-B6E5-B79D0EBD0DAB}"/>
    <cellStyle name="Normal 25 2 7 3" xfId="7927" xr:uid="{00000000-0005-0000-0000-0000F2190000}"/>
    <cellStyle name="Normal 25 2 7 3 2" xfId="16736" xr:uid="{CD9F903A-5899-4A1B-889D-EAB2932ECF24}"/>
    <cellStyle name="Normal 25 2 7 4" xfId="11139" xr:uid="{00000000-0005-0000-0000-0000F3190000}"/>
    <cellStyle name="Normal 25 2 7 4 2" xfId="19882" xr:uid="{F65449D3-C2F6-4AED-A5E5-282C8C73D994}"/>
    <cellStyle name="Normal 25 2 7 5" xfId="12746" xr:uid="{00000000-0005-0000-0000-0000F4190000}"/>
    <cellStyle name="Normal 25 2 7 5 2" xfId="21482" xr:uid="{A9599245-9FA4-416D-AE3D-55C08C478CB1}"/>
    <cellStyle name="Normal 25 2 7 6" xfId="14976" xr:uid="{A5A8DE8E-B112-4DFA-9D41-6A57CA375137}"/>
    <cellStyle name="Normal 25 2 8" xfId="2723" xr:uid="{00000000-0005-0000-0000-0000F5190000}"/>
    <cellStyle name="Normal 25 2 8 2" xfId="9530" xr:uid="{00000000-0005-0000-0000-0000F6190000}"/>
    <cellStyle name="Normal 25 2 8 2 2" xfId="18336" xr:uid="{0AE5B13E-43C5-4A70-9865-1C121B3E481D}"/>
    <cellStyle name="Normal 25 2 8 3" xfId="7928" xr:uid="{00000000-0005-0000-0000-0000F7190000}"/>
    <cellStyle name="Normal 25 2 8 3 2" xfId="16737" xr:uid="{06CFF2B0-4E8A-46C7-8E70-F8DA93B45FEF}"/>
    <cellStyle name="Normal 25 2 8 4" xfId="11140" xr:uid="{00000000-0005-0000-0000-0000F8190000}"/>
    <cellStyle name="Normal 25 2 8 4 2" xfId="19883" xr:uid="{8FD2542F-8347-4349-B4DD-C52E4E5F33DE}"/>
    <cellStyle name="Normal 25 2 8 5" xfId="12747" xr:uid="{00000000-0005-0000-0000-0000F9190000}"/>
    <cellStyle name="Normal 25 2 8 5 2" xfId="21483" xr:uid="{FE2F71BC-7F8E-4C06-9CA6-356E5FB9C110}"/>
    <cellStyle name="Normal 25 2 8 6" xfId="14977" xr:uid="{32C0C52E-E356-4B83-9FF7-7BEBE187C0FE}"/>
    <cellStyle name="Normal 25 2 9" xfId="9508" xr:uid="{00000000-0005-0000-0000-0000FA190000}"/>
    <cellStyle name="Normal 25 2 9 2" xfId="18314" xr:uid="{6DE8C61A-F4F1-45CA-92D2-C5323B4226CE}"/>
    <cellStyle name="Normal 25 3" xfId="2724" xr:uid="{00000000-0005-0000-0000-0000FB190000}"/>
    <cellStyle name="Normal 25 4" xfId="2694" xr:uid="{00000000-0005-0000-0000-0000FC190000}"/>
    <cellStyle name="Normal 25 5" xfId="10637" xr:uid="{00000000-0005-0000-0000-0000FD190000}"/>
    <cellStyle name="Normal 250" xfId="22754" xr:uid="{736E1F2D-08E8-413E-8600-148194861324}"/>
    <cellStyle name="Normal 251" xfId="22760" xr:uid="{7394AF19-8749-4E7B-8E5B-4130EA8BBAC1}"/>
    <cellStyle name="Normal 252" xfId="22736" xr:uid="{A54A5B53-CED2-419D-89F9-CB66917434EB}"/>
    <cellStyle name="Normal 253" xfId="22735" xr:uid="{F6A32FC9-A58B-4528-80C5-CDF08AED98BC}"/>
    <cellStyle name="Normal 254" xfId="22752" xr:uid="{9DB1B0D0-8B20-4FEF-88A2-23A43DACF794}"/>
    <cellStyle name="Normal 255" xfId="22779" xr:uid="{F3A3EC21-C542-4882-8A26-EF52B9509CCC}"/>
    <cellStyle name="Normal 256" xfId="153" xr:uid="{00000000-0005-0000-0000-0000FE190000}"/>
    <cellStyle name="Normal 257" xfId="22816" xr:uid="{8A275598-F3D4-4CF6-B0F1-E849468018A2}"/>
    <cellStyle name="Normal 258" xfId="22848" xr:uid="{D0BAEF8A-6827-405F-8E81-D298ACC40A65}"/>
    <cellStyle name="Normal 259" xfId="22831" xr:uid="{6567720B-EB17-4827-910F-11D72B226BE3}"/>
    <cellStyle name="Normal 26" xfId="168" xr:uid="{00000000-0005-0000-0000-0000FF190000}"/>
    <cellStyle name="Normal 26 2" xfId="2726" xr:uid="{00000000-0005-0000-0000-0000001A0000}"/>
    <cellStyle name="Normal 26 2 10" xfId="7929" xr:uid="{00000000-0005-0000-0000-0000011A0000}"/>
    <cellStyle name="Normal 26 2 10 2" xfId="16738" xr:uid="{0D7AC023-27E2-4CD0-A5B0-63E0A1D9FF07}"/>
    <cellStyle name="Normal 26 2 11" xfId="11141" xr:uid="{00000000-0005-0000-0000-0000021A0000}"/>
    <cellStyle name="Normal 26 2 11 2" xfId="19884" xr:uid="{78DF1CCE-44E0-4CF8-8926-8C6D9D87538A}"/>
    <cellStyle name="Normal 26 2 12" xfId="12748" xr:uid="{00000000-0005-0000-0000-0000031A0000}"/>
    <cellStyle name="Normal 26 2 12 2" xfId="21484" xr:uid="{411B1A0E-1BB2-4FFC-925C-FB852D49BB25}"/>
    <cellStyle name="Normal 26 2 13" xfId="14978" xr:uid="{484CAACA-0B28-450F-A863-D78A717B3CB7}"/>
    <cellStyle name="Normal 26 2 2" xfId="2727" xr:uid="{00000000-0005-0000-0000-0000041A0000}"/>
    <cellStyle name="Normal 26 2 2 2" xfId="2728" xr:uid="{00000000-0005-0000-0000-0000051A0000}"/>
    <cellStyle name="Normal 26 2 2 2 2" xfId="2729" xr:uid="{00000000-0005-0000-0000-0000061A0000}"/>
    <cellStyle name="Normal 26 2 2 2 2 2" xfId="2730" xr:uid="{00000000-0005-0000-0000-0000071A0000}"/>
    <cellStyle name="Normal 26 2 2 2 2 2 2" xfId="9533" xr:uid="{00000000-0005-0000-0000-0000081A0000}"/>
    <cellStyle name="Normal 26 2 2 2 2 2 2 2" xfId="18339" xr:uid="{E6813077-29BC-4512-9CD7-06199109915F}"/>
    <cellStyle name="Normal 26 2 2 2 2 2 3" xfId="7931" xr:uid="{00000000-0005-0000-0000-0000091A0000}"/>
    <cellStyle name="Normal 26 2 2 2 2 2 3 2" xfId="16740" xr:uid="{D603CBFF-B43C-4450-8561-C9BEC2DE048D}"/>
    <cellStyle name="Normal 26 2 2 2 2 2 4" xfId="11143" xr:uid="{00000000-0005-0000-0000-00000A1A0000}"/>
    <cellStyle name="Normal 26 2 2 2 2 2 4 2" xfId="19886" xr:uid="{97F5D0D7-5E05-4EB2-BAAB-A5540C137DAF}"/>
    <cellStyle name="Normal 26 2 2 2 2 2 5" xfId="12750" xr:uid="{00000000-0005-0000-0000-00000B1A0000}"/>
    <cellStyle name="Normal 26 2 2 2 2 2 5 2" xfId="21486" xr:uid="{01C41B49-1F39-4A0E-B3CF-45FD337697C2}"/>
    <cellStyle name="Normal 26 2 2 2 2 2 6" xfId="14980" xr:uid="{009D39CE-151D-43B7-8001-284633DDDD13}"/>
    <cellStyle name="Normal 26 2 2 2 2 3" xfId="2731" xr:uid="{00000000-0005-0000-0000-00000C1A0000}"/>
    <cellStyle name="Normal 26 2 2 2 2 3 2" xfId="9534" xr:uid="{00000000-0005-0000-0000-00000D1A0000}"/>
    <cellStyle name="Normal 26 2 2 2 2 3 2 2" xfId="18340" xr:uid="{0E9953D4-4311-423E-AC68-89030F90CE27}"/>
    <cellStyle name="Normal 26 2 2 2 2 3 3" xfId="7932" xr:uid="{00000000-0005-0000-0000-00000E1A0000}"/>
    <cellStyle name="Normal 26 2 2 2 2 3 3 2" xfId="16741" xr:uid="{F59BC75F-4B73-485C-A4B3-EC6C9E4F3462}"/>
    <cellStyle name="Normal 26 2 2 2 2 3 4" xfId="11144" xr:uid="{00000000-0005-0000-0000-00000F1A0000}"/>
    <cellStyle name="Normal 26 2 2 2 2 3 4 2" xfId="19887" xr:uid="{ABCD3564-8FB6-4103-BD44-B0261D2F28B3}"/>
    <cellStyle name="Normal 26 2 2 2 2 3 5" xfId="12751" xr:uid="{00000000-0005-0000-0000-0000101A0000}"/>
    <cellStyle name="Normal 26 2 2 2 2 3 5 2" xfId="21487" xr:uid="{DA7BEE57-1814-4637-B855-BF87A092B541}"/>
    <cellStyle name="Normal 26 2 2 2 2 3 6" xfId="14981" xr:uid="{3AB3677F-4902-437A-9095-8155C211B9B6}"/>
    <cellStyle name="Normal 26 2 2 2 2 4" xfId="2732" xr:uid="{00000000-0005-0000-0000-0000111A0000}"/>
    <cellStyle name="Normal 26 2 2 2 2 4 2" xfId="9535" xr:uid="{00000000-0005-0000-0000-0000121A0000}"/>
    <cellStyle name="Normal 26 2 2 2 2 4 2 2" xfId="18341" xr:uid="{E81D428C-6C49-494E-9275-997EC99A4805}"/>
    <cellStyle name="Normal 26 2 2 2 2 4 3" xfId="7933" xr:uid="{00000000-0005-0000-0000-0000131A0000}"/>
    <cellStyle name="Normal 26 2 2 2 2 4 3 2" xfId="16742" xr:uid="{F5BAEAAC-E483-4D35-B177-981CCCE6EC18}"/>
    <cellStyle name="Normal 26 2 2 2 2 4 4" xfId="11145" xr:uid="{00000000-0005-0000-0000-0000141A0000}"/>
    <cellStyle name="Normal 26 2 2 2 2 4 4 2" xfId="19888" xr:uid="{D2606DB9-1609-4CE6-93E3-A0FC1FFD2A78}"/>
    <cellStyle name="Normal 26 2 2 2 2 4 5" xfId="12752" xr:uid="{00000000-0005-0000-0000-0000151A0000}"/>
    <cellStyle name="Normal 26 2 2 2 2 4 5 2" xfId="21488" xr:uid="{3774F6C6-0717-4AB7-9606-5269AF615546}"/>
    <cellStyle name="Normal 26 2 2 2 2 4 6" xfId="14982" xr:uid="{01B6348B-3618-44F7-B1FC-450F9315A65C}"/>
    <cellStyle name="Normal 26 2 2 2 3" xfId="2733" xr:uid="{00000000-0005-0000-0000-0000161A0000}"/>
    <cellStyle name="Normal 26 2 2 2 4" xfId="2734" xr:uid="{00000000-0005-0000-0000-0000171A0000}"/>
    <cellStyle name="Normal 26 2 2 2 5" xfId="9532" xr:uid="{00000000-0005-0000-0000-0000181A0000}"/>
    <cellStyle name="Normal 26 2 2 2 5 2" xfId="18338" xr:uid="{C67DC5F0-C94A-424F-940C-FE62A44A609B}"/>
    <cellStyle name="Normal 26 2 2 2 6" xfId="7930" xr:uid="{00000000-0005-0000-0000-0000191A0000}"/>
    <cellStyle name="Normal 26 2 2 2 6 2" xfId="16739" xr:uid="{0ACA0A9B-7193-436E-BB0E-16474E8337D2}"/>
    <cellStyle name="Normal 26 2 2 2 7" xfId="11142" xr:uid="{00000000-0005-0000-0000-00001A1A0000}"/>
    <cellStyle name="Normal 26 2 2 2 7 2" xfId="19885" xr:uid="{F0E9048D-B5AF-4552-9054-063989E27AE4}"/>
    <cellStyle name="Normal 26 2 2 2 8" xfId="12749" xr:uid="{00000000-0005-0000-0000-00001B1A0000}"/>
    <cellStyle name="Normal 26 2 2 2 8 2" xfId="21485" xr:uid="{E22ADE08-4A63-471C-926F-4B507C04D0F3}"/>
    <cellStyle name="Normal 26 2 2 2 9" xfId="14979" xr:uid="{6C6B031F-2C58-4FC7-A42E-80D326CD6689}"/>
    <cellStyle name="Normal 26 2 2 3" xfId="2735" xr:uid="{00000000-0005-0000-0000-00001C1A0000}"/>
    <cellStyle name="Normal 26 2 2 3 2" xfId="2736" xr:uid="{00000000-0005-0000-0000-00001D1A0000}"/>
    <cellStyle name="Normal 26 2 2 3 2 2" xfId="9537" xr:uid="{00000000-0005-0000-0000-00001E1A0000}"/>
    <cellStyle name="Normal 26 2 2 3 2 2 2" xfId="18343" xr:uid="{FD3932DC-1563-4C54-AFD8-D8B777917FD3}"/>
    <cellStyle name="Normal 26 2 2 3 2 3" xfId="7935" xr:uid="{00000000-0005-0000-0000-00001F1A0000}"/>
    <cellStyle name="Normal 26 2 2 3 2 3 2" xfId="16744" xr:uid="{59BD80A9-2FB2-41A8-ACAC-ABC61BD07543}"/>
    <cellStyle name="Normal 26 2 2 3 2 4" xfId="11147" xr:uid="{00000000-0005-0000-0000-0000201A0000}"/>
    <cellStyle name="Normal 26 2 2 3 2 4 2" xfId="19890" xr:uid="{684AE62A-D19C-4071-915A-16BE6D2BA6FD}"/>
    <cellStyle name="Normal 26 2 2 3 2 5" xfId="12754" xr:uid="{00000000-0005-0000-0000-0000211A0000}"/>
    <cellStyle name="Normal 26 2 2 3 2 5 2" xfId="21490" xr:uid="{E3B97E84-37E6-440B-A281-DA0D0905F233}"/>
    <cellStyle name="Normal 26 2 2 3 2 6" xfId="14984" xr:uid="{9A89B885-FB22-4700-9B79-B99AC19D8D3C}"/>
    <cellStyle name="Normal 26 2 2 3 3" xfId="2737" xr:uid="{00000000-0005-0000-0000-0000221A0000}"/>
    <cellStyle name="Normal 26 2 2 3 3 2" xfId="9538" xr:uid="{00000000-0005-0000-0000-0000231A0000}"/>
    <cellStyle name="Normal 26 2 2 3 3 2 2" xfId="18344" xr:uid="{79F7D30F-51EB-4016-A5A0-8B41E54AE699}"/>
    <cellStyle name="Normal 26 2 2 3 3 3" xfId="7936" xr:uid="{00000000-0005-0000-0000-0000241A0000}"/>
    <cellStyle name="Normal 26 2 2 3 3 3 2" xfId="16745" xr:uid="{5D3F23AE-A306-4CCD-9D44-2690B70F4239}"/>
    <cellStyle name="Normal 26 2 2 3 3 4" xfId="11148" xr:uid="{00000000-0005-0000-0000-0000251A0000}"/>
    <cellStyle name="Normal 26 2 2 3 3 4 2" xfId="19891" xr:uid="{88898A40-3328-4254-A39E-D349F3F052A4}"/>
    <cellStyle name="Normal 26 2 2 3 3 5" xfId="12755" xr:uid="{00000000-0005-0000-0000-0000261A0000}"/>
    <cellStyle name="Normal 26 2 2 3 3 5 2" xfId="21491" xr:uid="{408BD91B-F26D-4E41-854D-E2AE7A75D93F}"/>
    <cellStyle name="Normal 26 2 2 3 3 6" xfId="14985" xr:uid="{B84ABAB7-0744-4398-AC9F-181522D2345F}"/>
    <cellStyle name="Normal 26 2 2 3 4" xfId="2738" xr:uid="{00000000-0005-0000-0000-0000271A0000}"/>
    <cellStyle name="Normal 26 2 2 3 4 2" xfId="9539" xr:uid="{00000000-0005-0000-0000-0000281A0000}"/>
    <cellStyle name="Normal 26 2 2 3 4 2 2" xfId="18345" xr:uid="{F27443F2-610B-4ADD-B6D4-C4760806384A}"/>
    <cellStyle name="Normal 26 2 2 3 4 3" xfId="7937" xr:uid="{00000000-0005-0000-0000-0000291A0000}"/>
    <cellStyle name="Normal 26 2 2 3 4 3 2" xfId="16746" xr:uid="{BE29E2BB-5085-4A44-B430-FB5EE6CEEE37}"/>
    <cellStyle name="Normal 26 2 2 3 4 4" xfId="11149" xr:uid="{00000000-0005-0000-0000-00002A1A0000}"/>
    <cellStyle name="Normal 26 2 2 3 4 4 2" xfId="19892" xr:uid="{745986EF-3CD4-4040-AD4D-4FA245999F7A}"/>
    <cellStyle name="Normal 26 2 2 3 4 5" xfId="12756" xr:uid="{00000000-0005-0000-0000-00002B1A0000}"/>
    <cellStyle name="Normal 26 2 2 3 4 5 2" xfId="21492" xr:uid="{47EBE78D-B244-4151-8DA0-9CC9E5DC5592}"/>
    <cellStyle name="Normal 26 2 2 3 4 6" xfId="14986" xr:uid="{996AA47F-CED0-4F3B-8936-008D14FFF263}"/>
    <cellStyle name="Normal 26 2 2 3 5" xfId="9536" xr:uid="{00000000-0005-0000-0000-00002C1A0000}"/>
    <cellStyle name="Normal 26 2 2 3 5 2" xfId="18342" xr:uid="{D1DADE3C-FC44-4108-83FB-CB2BB59B56D7}"/>
    <cellStyle name="Normal 26 2 2 3 6" xfId="7934" xr:uid="{00000000-0005-0000-0000-00002D1A0000}"/>
    <cellStyle name="Normal 26 2 2 3 6 2" xfId="16743" xr:uid="{1591C900-4F28-4279-BC28-2498ECE2D328}"/>
    <cellStyle name="Normal 26 2 2 3 7" xfId="11146" xr:uid="{00000000-0005-0000-0000-00002E1A0000}"/>
    <cellStyle name="Normal 26 2 2 3 7 2" xfId="19889" xr:uid="{FC159002-EB6A-425A-B003-984C8D8021BB}"/>
    <cellStyle name="Normal 26 2 2 3 8" xfId="12753" xr:uid="{00000000-0005-0000-0000-00002F1A0000}"/>
    <cellStyle name="Normal 26 2 2 3 8 2" xfId="21489" xr:uid="{B66B1CC8-F10A-4B50-8DFF-3D928411FE2A}"/>
    <cellStyle name="Normal 26 2 2 3 9" xfId="14983" xr:uid="{E2C0EBE6-F7BD-4956-A032-E7DA2C64D3BE}"/>
    <cellStyle name="Normal 26 2 2 4" xfId="2739" xr:uid="{00000000-0005-0000-0000-0000301A0000}"/>
    <cellStyle name="Normal 26 2 2 4 2" xfId="2740" xr:uid="{00000000-0005-0000-0000-0000311A0000}"/>
    <cellStyle name="Normal 26 2 2 4 2 2" xfId="9541" xr:uid="{00000000-0005-0000-0000-0000321A0000}"/>
    <cellStyle name="Normal 26 2 2 4 2 2 2" xfId="18347" xr:uid="{4D4F8638-15DF-40F1-BB75-E178633DCD80}"/>
    <cellStyle name="Normal 26 2 2 4 2 3" xfId="7939" xr:uid="{00000000-0005-0000-0000-0000331A0000}"/>
    <cellStyle name="Normal 26 2 2 4 2 3 2" xfId="16748" xr:uid="{D436B994-C2CC-4421-A4EF-3649E8BF2D47}"/>
    <cellStyle name="Normal 26 2 2 4 2 4" xfId="11151" xr:uid="{00000000-0005-0000-0000-0000341A0000}"/>
    <cellStyle name="Normal 26 2 2 4 2 4 2" xfId="19894" xr:uid="{060814E0-5907-46F0-A329-B04EB6A16DDE}"/>
    <cellStyle name="Normal 26 2 2 4 2 5" xfId="12758" xr:uid="{00000000-0005-0000-0000-0000351A0000}"/>
    <cellStyle name="Normal 26 2 2 4 2 5 2" xfId="21494" xr:uid="{436B7B71-C51B-4CFE-9482-78AA735D57CD}"/>
    <cellStyle name="Normal 26 2 2 4 2 6" xfId="14988" xr:uid="{B78B840B-4F0B-410C-B1E4-14E4A0316C35}"/>
    <cellStyle name="Normal 26 2 2 4 3" xfId="2741" xr:uid="{00000000-0005-0000-0000-0000361A0000}"/>
    <cellStyle name="Normal 26 2 2 4 3 2" xfId="9542" xr:uid="{00000000-0005-0000-0000-0000371A0000}"/>
    <cellStyle name="Normal 26 2 2 4 3 2 2" xfId="18348" xr:uid="{3F9341E1-15FC-4919-8901-AB704EA5624B}"/>
    <cellStyle name="Normal 26 2 2 4 3 3" xfId="7940" xr:uid="{00000000-0005-0000-0000-0000381A0000}"/>
    <cellStyle name="Normal 26 2 2 4 3 3 2" xfId="16749" xr:uid="{27D38678-A27D-4516-8C91-E14E1D7D8F2D}"/>
    <cellStyle name="Normal 26 2 2 4 3 4" xfId="11152" xr:uid="{00000000-0005-0000-0000-0000391A0000}"/>
    <cellStyle name="Normal 26 2 2 4 3 4 2" xfId="19895" xr:uid="{0C4D4A9B-27D9-492D-8848-718FF66BEBD9}"/>
    <cellStyle name="Normal 26 2 2 4 3 5" xfId="12759" xr:uid="{00000000-0005-0000-0000-00003A1A0000}"/>
    <cellStyle name="Normal 26 2 2 4 3 5 2" xfId="21495" xr:uid="{A142D5D1-720C-45C2-B635-1AE2EF66E33B}"/>
    <cellStyle name="Normal 26 2 2 4 3 6" xfId="14989" xr:uid="{1588508D-DD2A-499A-9E26-8DA6B08B8C9F}"/>
    <cellStyle name="Normal 26 2 2 4 4" xfId="2742" xr:uid="{00000000-0005-0000-0000-00003B1A0000}"/>
    <cellStyle name="Normal 26 2 2 4 4 2" xfId="9543" xr:uid="{00000000-0005-0000-0000-00003C1A0000}"/>
    <cellStyle name="Normal 26 2 2 4 4 2 2" xfId="18349" xr:uid="{CC7A0130-A33D-473B-A73F-2C8D72710107}"/>
    <cellStyle name="Normal 26 2 2 4 4 3" xfId="7941" xr:uid="{00000000-0005-0000-0000-00003D1A0000}"/>
    <cellStyle name="Normal 26 2 2 4 4 3 2" xfId="16750" xr:uid="{45832097-C4E2-4832-AF71-1FB2033A563B}"/>
    <cellStyle name="Normal 26 2 2 4 4 4" xfId="11153" xr:uid="{00000000-0005-0000-0000-00003E1A0000}"/>
    <cellStyle name="Normal 26 2 2 4 4 4 2" xfId="19896" xr:uid="{61D68341-CA6C-40BA-8ACD-3780D7899F5C}"/>
    <cellStyle name="Normal 26 2 2 4 4 5" xfId="12760" xr:uid="{00000000-0005-0000-0000-00003F1A0000}"/>
    <cellStyle name="Normal 26 2 2 4 4 5 2" xfId="21496" xr:uid="{DBD35B83-B095-4C01-8926-9D7D57124B80}"/>
    <cellStyle name="Normal 26 2 2 4 4 6" xfId="14990" xr:uid="{B6D7E9FF-8130-4E12-B5F5-EC9532E3F565}"/>
    <cellStyle name="Normal 26 2 2 4 5" xfId="9540" xr:uid="{00000000-0005-0000-0000-0000401A0000}"/>
    <cellStyle name="Normal 26 2 2 4 5 2" xfId="18346" xr:uid="{60BB4291-8BAF-498D-956D-B9ED4A299DCA}"/>
    <cellStyle name="Normal 26 2 2 4 6" xfId="7938" xr:uid="{00000000-0005-0000-0000-0000411A0000}"/>
    <cellStyle name="Normal 26 2 2 4 6 2" xfId="16747" xr:uid="{4C4713B7-FBD8-43E9-B07E-51EAEBC9AD04}"/>
    <cellStyle name="Normal 26 2 2 4 7" xfId="11150" xr:uid="{00000000-0005-0000-0000-0000421A0000}"/>
    <cellStyle name="Normal 26 2 2 4 7 2" xfId="19893" xr:uid="{46820CE4-E60F-4100-AAC6-70B5F07F8D76}"/>
    <cellStyle name="Normal 26 2 2 4 8" xfId="12757" xr:uid="{00000000-0005-0000-0000-0000431A0000}"/>
    <cellStyle name="Normal 26 2 2 4 8 2" xfId="21493" xr:uid="{225E55CD-7FB9-4952-AE10-CAF4D898B222}"/>
    <cellStyle name="Normal 26 2 2 4 9" xfId="14987" xr:uid="{886EF284-52EC-4700-8CFF-A728F310AC44}"/>
    <cellStyle name="Normal 26 2 2 5" xfId="2743" xr:uid="{00000000-0005-0000-0000-0000441A0000}"/>
    <cellStyle name="Normal 26 2 2 5 2" xfId="9544" xr:uid="{00000000-0005-0000-0000-0000451A0000}"/>
    <cellStyle name="Normal 26 2 2 5 2 2" xfId="18350" xr:uid="{C3CC7F96-33D6-4D4E-96C0-C2D0BCC70E00}"/>
    <cellStyle name="Normal 26 2 2 5 3" xfId="7942" xr:uid="{00000000-0005-0000-0000-0000461A0000}"/>
    <cellStyle name="Normal 26 2 2 5 3 2" xfId="16751" xr:uid="{9B64D63C-76C3-4533-960D-A583606A5A11}"/>
    <cellStyle name="Normal 26 2 2 5 4" xfId="11154" xr:uid="{00000000-0005-0000-0000-0000471A0000}"/>
    <cellStyle name="Normal 26 2 2 5 4 2" xfId="19897" xr:uid="{7C189A30-3A0D-48BC-9EF3-393BE301B5F3}"/>
    <cellStyle name="Normal 26 2 2 5 5" xfId="12761" xr:uid="{00000000-0005-0000-0000-0000481A0000}"/>
    <cellStyle name="Normal 26 2 2 5 5 2" xfId="21497" xr:uid="{B576D6FC-505E-40E8-98CE-4CB86BF76224}"/>
    <cellStyle name="Normal 26 2 2 5 6" xfId="14991" xr:uid="{2F239851-C1F0-4B95-BC2C-88B52662FEE7}"/>
    <cellStyle name="Normal 26 2 2 6" xfId="2744" xr:uid="{00000000-0005-0000-0000-0000491A0000}"/>
    <cellStyle name="Normal 26 2 2 6 2" xfId="9545" xr:uid="{00000000-0005-0000-0000-00004A1A0000}"/>
    <cellStyle name="Normal 26 2 2 6 2 2" xfId="18351" xr:uid="{A9F129DA-543B-49C0-9836-4C578F106874}"/>
    <cellStyle name="Normal 26 2 2 6 3" xfId="7943" xr:uid="{00000000-0005-0000-0000-00004B1A0000}"/>
    <cellStyle name="Normal 26 2 2 6 3 2" xfId="16752" xr:uid="{2488AD05-B6E9-4105-BD6E-CFCD85E713AF}"/>
    <cellStyle name="Normal 26 2 2 6 4" xfId="11155" xr:uid="{00000000-0005-0000-0000-00004C1A0000}"/>
    <cellStyle name="Normal 26 2 2 6 4 2" xfId="19898" xr:uid="{6C775A53-DB74-4D49-BC54-541CEF9B1DDF}"/>
    <cellStyle name="Normal 26 2 2 6 5" xfId="12762" xr:uid="{00000000-0005-0000-0000-00004D1A0000}"/>
    <cellStyle name="Normal 26 2 2 6 5 2" xfId="21498" xr:uid="{58A59C92-5A50-44EC-8F84-C841BF8F7A29}"/>
    <cellStyle name="Normal 26 2 2 6 6" xfId="14992" xr:uid="{C16FC834-1861-4903-B868-74A8216C8474}"/>
    <cellStyle name="Normal 26 2 2 7" xfId="2745" xr:uid="{00000000-0005-0000-0000-00004E1A0000}"/>
    <cellStyle name="Normal 26 2 2 7 2" xfId="9546" xr:uid="{00000000-0005-0000-0000-00004F1A0000}"/>
    <cellStyle name="Normal 26 2 2 7 2 2" xfId="18352" xr:uid="{FE4C9352-D486-4C15-8349-509BF3BA7824}"/>
    <cellStyle name="Normal 26 2 2 7 3" xfId="7944" xr:uid="{00000000-0005-0000-0000-0000501A0000}"/>
    <cellStyle name="Normal 26 2 2 7 3 2" xfId="16753" xr:uid="{143D7F08-BB59-4548-BCA7-290419DD27CF}"/>
    <cellStyle name="Normal 26 2 2 7 4" xfId="11156" xr:uid="{00000000-0005-0000-0000-0000511A0000}"/>
    <cellStyle name="Normal 26 2 2 7 4 2" xfId="19899" xr:uid="{74D48EEF-3646-4D4A-93A5-AFD02CE22900}"/>
    <cellStyle name="Normal 26 2 2 7 5" xfId="12763" xr:uid="{00000000-0005-0000-0000-0000521A0000}"/>
    <cellStyle name="Normal 26 2 2 7 5 2" xfId="21499" xr:uid="{1669E26A-64B6-4847-AA3D-6743C00F5DB4}"/>
    <cellStyle name="Normal 26 2 2 7 6" xfId="14993" xr:uid="{04A438D5-164A-4090-A300-A3326DB0D5DC}"/>
    <cellStyle name="Normal 26 2 3" xfId="2746" xr:uid="{00000000-0005-0000-0000-0000531A0000}"/>
    <cellStyle name="Normal 26 2 3 2" xfId="2747" xr:uid="{00000000-0005-0000-0000-0000541A0000}"/>
    <cellStyle name="Normal 26 2 3 2 2" xfId="9548" xr:uid="{00000000-0005-0000-0000-0000551A0000}"/>
    <cellStyle name="Normal 26 2 3 2 2 2" xfId="18354" xr:uid="{4E480AF3-18F9-40F8-B59E-603337F7EE90}"/>
    <cellStyle name="Normal 26 2 3 2 3" xfId="7946" xr:uid="{00000000-0005-0000-0000-0000561A0000}"/>
    <cellStyle name="Normal 26 2 3 2 3 2" xfId="16755" xr:uid="{E2B530FF-5A43-484E-91FF-47A70AF4D8D9}"/>
    <cellStyle name="Normal 26 2 3 2 4" xfId="11158" xr:uid="{00000000-0005-0000-0000-0000571A0000}"/>
    <cellStyle name="Normal 26 2 3 2 4 2" xfId="19901" xr:uid="{40D1EC75-E5B1-49F0-8554-916C7FEA3575}"/>
    <cellStyle name="Normal 26 2 3 2 5" xfId="12765" xr:uid="{00000000-0005-0000-0000-0000581A0000}"/>
    <cellStyle name="Normal 26 2 3 2 5 2" xfId="21501" xr:uid="{622C667E-EC7B-4E41-AA66-96DEB27476BB}"/>
    <cellStyle name="Normal 26 2 3 2 6" xfId="14995" xr:uid="{49A15B24-7AEF-4F70-829A-7028E03352D6}"/>
    <cellStyle name="Normal 26 2 3 3" xfId="2748" xr:uid="{00000000-0005-0000-0000-0000591A0000}"/>
    <cellStyle name="Normal 26 2 3 3 2" xfId="9549" xr:uid="{00000000-0005-0000-0000-00005A1A0000}"/>
    <cellStyle name="Normal 26 2 3 3 2 2" xfId="18355" xr:uid="{9562FAB7-4E7D-4110-9B79-FCF9EB559A00}"/>
    <cellStyle name="Normal 26 2 3 3 3" xfId="7947" xr:uid="{00000000-0005-0000-0000-00005B1A0000}"/>
    <cellStyle name="Normal 26 2 3 3 3 2" xfId="16756" xr:uid="{48F45412-3D2D-4B27-8C4A-0093854EA7BD}"/>
    <cellStyle name="Normal 26 2 3 3 4" xfId="11159" xr:uid="{00000000-0005-0000-0000-00005C1A0000}"/>
    <cellStyle name="Normal 26 2 3 3 4 2" xfId="19902" xr:uid="{9D7DDDBF-752E-4ACA-A0F6-5C9F52908C20}"/>
    <cellStyle name="Normal 26 2 3 3 5" xfId="12766" xr:uid="{00000000-0005-0000-0000-00005D1A0000}"/>
    <cellStyle name="Normal 26 2 3 3 5 2" xfId="21502" xr:uid="{ECD1DC90-FF92-47CE-B83E-9F316720A58D}"/>
    <cellStyle name="Normal 26 2 3 3 6" xfId="14996" xr:uid="{75F349FB-1852-40FF-B8F3-30937976AF23}"/>
    <cellStyle name="Normal 26 2 3 4" xfId="2749" xr:uid="{00000000-0005-0000-0000-00005E1A0000}"/>
    <cellStyle name="Normal 26 2 3 4 2" xfId="9550" xr:uid="{00000000-0005-0000-0000-00005F1A0000}"/>
    <cellStyle name="Normal 26 2 3 4 2 2" xfId="18356" xr:uid="{B01552DD-D573-4B2F-A6FB-9A0B82852C18}"/>
    <cellStyle name="Normal 26 2 3 4 3" xfId="7948" xr:uid="{00000000-0005-0000-0000-0000601A0000}"/>
    <cellStyle name="Normal 26 2 3 4 3 2" xfId="16757" xr:uid="{F91E0675-C9BA-4442-9606-745205812DE4}"/>
    <cellStyle name="Normal 26 2 3 4 4" xfId="11160" xr:uid="{00000000-0005-0000-0000-0000611A0000}"/>
    <cellStyle name="Normal 26 2 3 4 4 2" xfId="19903" xr:uid="{E5044A25-C9BD-448F-B493-97333F249542}"/>
    <cellStyle name="Normal 26 2 3 4 5" xfId="12767" xr:uid="{00000000-0005-0000-0000-0000621A0000}"/>
    <cellStyle name="Normal 26 2 3 4 5 2" xfId="21503" xr:uid="{2DFA8960-DDFD-4387-A0BB-BDC83DF12D00}"/>
    <cellStyle name="Normal 26 2 3 4 6" xfId="14997" xr:uid="{6BC14E75-860C-42FF-8983-9B89F510029F}"/>
    <cellStyle name="Normal 26 2 3 5" xfId="9547" xr:uid="{00000000-0005-0000-0000-0000631A0000}"/>
    <cellStyle name="Normal 26 2 3 5 2" xfId="18353" xr:uid="{2466D58D-E390-4C5E-BBCC-6D53ADBA7C79}"/>
    <cellStyle name="Normal 26 2 3 6" xfId="7945" xr:uid="{00000000-0005-0000-0000-0000641A0000}"/>
    <cellStyle name="Normal 26 2 3 6 2" xfId="16754" xr:uid="{F1DD6C86-CA7B-4C97-9A5A-77F9533FF1DD}"/>
    <cellStyle name="Normal 26 2 3 7" xfId="11157" xr:uid="{00000000-0005-0000-0000-0000651A0000}"/>
    <cellStyle name="Normal 26 2 3 7 2" xfId="19900" xr:uid="{CF3CCECB-1346-4C7C-98A7-D57A5BFBE8F0}"/>
    <cellStyle name="Normal 26 2 3 8" xfId="12764" xr:uid="{00000000-0005-0000-0000-0000661A0000}"/>
    <cellStyle name="Normal 26 2 3 8 2" xfId="21500" xr:uid="{AA6EE065-91E7-44C3-B158-A38AA2431026}"/>
    <cellStyle name="Normal 26 2 3 9" xfId="14994" xr:uid="{01C1D727-CB4A-4E55-8615-F84F216446B3}"/>
    <cellStyle name="Normal 26 2 4" xfId="2750" xr:uid="{00000000-0005-0000-0000-0000671A0000}"/>
    <cellStyle name="Normal 26 2 5" xfId="2751" xr:uid="{00000000-0005-0000-0000-0000681A0000}"/>
    <cellStyle name="Normal 26 2 6" xfId="2752" xr:uid="{00000000-0005-0000-0000-0000691A0000}"/>
    <cellStyle name="Normal 26 2 6 2" xfId="9551" xr:uid="{00000000-0005-0000-0000-00006A1A0000}"/>
    <cellStyle name="Normal 26 2 6 2 2" xfId="18357" xr:uid="{8DD43FA0-8841-41AA-8E57-F150F2098EBB}"/>
    <cellStyle name="Normal 26 2 6 3" xfId="7949" xr:uid="{00000000-0005-0000-0000-00006B1A0000}"/>
    <cellStyle name="Normal 26 2 6 3 2" xfId="16758" xr:uid="{FE2DEDB4-7FC5-44E2-B454-C476FC1C4D70}"/>
    <cellStyle name="Normal 26 2 6 4" xfId="11161" xr:uid="{00000000-0005-0000-0000-00006C1A0000}"/>
    <cellStyle name="Normal 26 2 6 4 2" xfId="19904" xr:uid="{4B29B1D3-A421-4457-A55A-AAE72C7B614A}"/>
    <cellStyle name="Normal 26 2 6 5" xfId="12768" xr:uid="{00000000-0005-0000-0000-00006D1A0000}"/>
    <cellStyle name="Normal 26 2 6 5 2" xfId="21504" xr:uid="{B709F46F-F3B1-451B-865A-1C349448AA0F}"/>
    <cellStyle name="Normal 26 2 6 6" xfId="14998" xr:uid="{7D5E9104-971F-423D-8321-AD3786563A26}"/>
    <cellStyle name="Normal 26 2 7" xfId="2753" xr:uid="{00000000-0005-0000-0000-00006E1A0000}"/>
    <cellStyle name="Normal 26 2 7 2" xfId="9552" xr:uid="{00000000-0005-0000-0000-00006F1A0000}"/>
    <cellStyle name="Normal 26 2 7 2 2" xfId="18358" xr:uid="{39C7C7E1-3686-402E-B792-144DB8121C8E}"/>
    <cellStyle name="Normal 26 2 7 3" xfId="7950" xr:uid="{00000000-0005-0000-0000-0000701A0000}"/>
    <cellStyle name="Normal 26 2 7 3 2" xfId="16759" xr:uid="{52A093BE-EA01-4A8F-A0DA-76817736BB2C}"/>
    <cellStyle name="Normal 26 2 7 4" xfId="11162" xr:uid="{00000000-0005-0000-0000-0000711A0000}"/>
    <cellStyle name="Normal 26 2 7 4 2" xfId="19905" xr:uid="{A368F93E-72C3-451A-BEA5-1B79BFA55BC3}"/>
    <cellStyle name="Normal 26 2 7 5" xfId="12769" xr:uid="{00000000-0005-0000-0000-0000721A0000}"/>
    <cellStyle name="Normal 26 2 7 5 2" xfId="21505" xr:uid="{D10255E3-4AFC-4FA7-A34B-3AA4AF22F8EF}"/>
    <cellStyle name="Normal 26 2 7 6" xfId="14999" xr:uid="{F6632BC7-6EDE-4225-B834-83E724D4B766}"/>
    <cellStyle name="Normal 26 2 8" xfId="2754" xr:uid="{00000000-0005-0000-0000-0000731A0000}"/>
    <cellStyle name="Normal 26 2 8 2" xfId="9553" xr:uid="{00000000-0005-0000-0000-0000741A0000}"/>
    <cellStyle name="Normal 26 2 8 2 2" xfId="18359" xr:uid="{5F6CBC69-2F2C-44C1-A6DB-48870CA20932}"/>
    <cellStyle name="Normal 26 2 8 3" xfId="7951" xr:uid="{00000000-0005-0000-0000-0000751A0000}"/>
    <cellStyle name="Normal 26 2 8 3 2" xfId="16760" xr:uid="{591874BA-D0C6-48E8-8E8D-60BFCA1A3D90}"/>
    <cellStyle name="Normal 26 2 8 4" xfId="11163" xr:uid="{00000000-0005-0000-0000-0000761A0000}"/>
    <cellStyle name="Normal 26 2 8 4 2" xfId="19906" xr:uid="{D267F23B-60C8-4C53-91B9-12B9A2F29A21}"/>
    <cellStyle name="Normal 26 2 8 5" xfId="12770" xr:uid="{00000000-0005-0000-0000-0000771A0000}"/>
    <cellStyle name="Normal 26 2 8 5 2" xfId="21506" xr:uid="{D705B968-DB75-40C9-93A0-816A22C7EB7B}"/>
    <cellStyle name="Normal 26 2 8 6" xfId="15000" xr:uid="{60457FBD-D5E2-4B68-AEA5-7901FC136191}"/>
    <cellStyle name="Normal 26 2 9" xfId="9531" xr:uid="{00000000-0005-0000-0000-0000781A0000}"/>
    <cellStyle name="Normal 26 2 9 2" xfId="18337" xr:uid="{28CEA975-114F-48D6-B2ED-5A01C299A897}"/>
    <cellStyle name="Normal 26 3" xfId="2755" xr:uid="{00000000-0005-0000-0000-0000791A0000}"/>
    <cellStyle name="Normal 26 4" xfId="2725" xr:uid="{00000000-0005-0000-0000-00007A1A0000}"/>
    <cellStyle name="Normal 26 5" xfId="10639" xr:uid="{00000000-0005-0000-0000-00007B1A0000}"/>
    <cellStyle name="Normal 260" xfId="23877" xr:uid="{5C849F61-57A2-4084-84C6-C2119806A54D}"/>
    <cellStyle name="Normal 261" xfId="23223" xr:uid="{ADC3B27E-6744-4620-98BC-13341D2B867B}"/>
    <cellStyle name="Normal 262" xfId="22837" xr:uid="{D0B24995-7063-4CDC-9940-B68CC4DF6EA6}"/>
    <cellStyle name="Normal 263" xfId="22791" xr:uid="{BB571473-1F3F-475B-A12A-015E8C0FD518}"/>
    <cellStyle name="Normal 264" xfId="22790" xr:uid="{611AEA26-3357-475D-8EE4-5C4D87BBC944}"/>
    <cellStyle name="Normal 265" xfId="22804" xr:uid="{2F8932DA-82C1-4E88-9BB8-2ED2C00DB369}"/>
    <cellStyle name="Normal 266" xfId="22830" xr:uid="{859DE48C-E597-4C0B-A4C0-9A502124EB99}"/>
    <cellStyle name="Normal 267" xfId="22860" xr:uid="{591FC6A0-40BB-4958-AF96-DAEC1571422A}"/>
    <cellStyle name="Normal 268" xfId="23873" xr:uid="{5ED828F1-DFAD-454F-A86E-C39C111F602E}"/>
    <cellStyle name="Normal 269" xfId="23603" xr:uid="{B8326BD4-B723-428F-9E1B-2886C736833B}"/>
    <cellStyle name="Normal 27" xfId="167" xr:uid="{00000000-0005-0000-0000-00007C1A0000}"/>
    <cellStyle name="Normal 27 2" xfId="2757" xr:uid="{00000000-0005-0000-0000-00007D1A0000}"/>
    <cellStyle name="Normal 27 2 10" xfId="7952" xr:uid="{00000000-0005-0000-0000-00007E1A0000}"/>
    <cellStyle name="Normal 27 2 10 2" xfId="16761" xr:uid="{F6DBAE6C-16CE-4007-9E12-9AE9292EF058}"/>
    <cellStyle name="Normal 27 2 11" xfId="11164" xr:uid="{00000000-0005-0000-0000-00007F1A0000}"/>
    <cellStyle name="Normal 27 2 11 2" xfId="19907" xr:uid="{415C2C2F-35B4-4473-939C-4B08CB0A6CE9}"/>
    <cellStyle name="Normal 27 2 12" xfId="12771" xr:uid="{00000000-0005-0000-0000-0000801A0000}"/>
    <cellStyle name="Normal 27 2 12 2" xfId="21507" xr:uid="{53E246E7-BD4E-417E-90F9-3E9F28505337}"/>
    <cellStyle name="Normal 27 2 13" xfId="15001" xr:uid="{6F1DCEC6-FAE1-45E7-8D4A-5A65D8D6E4F4}"/>
    <cellStyle name="Normal 27 2 2" xfId="2758" xr:uid="{00000000-0005-0000-0000-0000811A0000}"/>
    <cellStyle name="Normal 27 2 2 2" xfId="2759" xr:uid="{00000000-0005-0000-0000-0000821A0000}"/>
    <cellStyle name="Normal 27 2 2 2 2" xfId="2760" xr:uid="{00000000-0005-0000-0000-0000831A0000}"/>
    <cellStyle name="Normal 27 2 2 2 2 2" xfId="2761" xr:uid="{00000000-0005-0000-0000-0000841A0000}"/>
    <cellStyle name="Normal 27 2 2 2 2 2 2" xfId="9556" xr:uid="{00000000-0005-0000-0000-0000851A0000}"/>
    <cellStyle name="Normal 27 2 2 2 2 2 2 2" xfId="18362" xr:uid="{7BB42BFB-64AF-4CE5-8E0D-0A3A660D8A09}"/>
    <cellStyle name="Normal 27 2 2 2 2 2 3" xfId="7954" xr:uid="{00000000-0005-0000-0000-0000861A0000}"/>
    <cellStyle name="Normal 27 2 2 2 2 2 3 2" xfId="16763" xr:uid="{F78430B4-4119-4E0C-BD8A-94081D3753F0}"/>
    <cellStyle name="Normal 27 2 2 2 2 2 4" xfId="11166" xr:uid="{00000000-0005-0000-0000-0000871A0000}"/>
    <cellStyle name="Normal 27 2 2 2 2 2 4 2" xfId="19909" xr:uid="{D3EB7095-8CF0-4C74-BDE7-6246FB3209FA}"/>
    <cellStyle name="Normal 27 2 2 2 2 2 5" xfId="12773" xr:uid="{00000000-0005-0000-0000-0000881A0000}"/>
    <cellStyle name="Normal 27 2 2 2 2 2 5 2" xfId="21509" xr:uid="{3FB7C7B9-87FF-4AE9-A600-F2A9852AF889}"/>
    <cellStyle name="Normal 27 2 2 2 2 2 6" xfId="15003" xr:uid="{0CAA4615-607A-42DC-9CDF-164905EF69EB}"/>
    <cellStyle name="Normal 27 2 2 2 2 3" xfId="2762" xr:uid="{00000000-0005-0000-0000-0000891A0000}"/>
    <cellStyle name="Normal 27 2 2 2 2 3 2" xfId="9557" xr:uid="{00000000-0005-0000-0000-00008A1A0000}"/>
    <cellStyle name="Normal 27 2 2 2 2 3 2 2" xfId="18363" xr:uid="{03DBD972-FEB1-4398-AA50-7D89957A975A}"/>
    <cellStyle name="Normal 27 2 2 2 2 3 3" xfId="7955" xr:uid="{00000000-0005-0000-0000-00008B1A0000}"/>
    <cellStyle name="Normal 27 2 2 2 2 3 3 2" xfId="16764" xr:uid="{DB8B993E-CA94-4089-AA8D-773C52683744}"/>
    <cellStyle name="Normal 27 2 2 2 2 3 4" xfId="11167" xr:uid="{00000000-0005-0000-0000-00008C1A0000}"/>
    <cellStyle name="Normal 27 2 2 2 2 3 4 2" xfId="19910" xr:uid="{6388DD2D-1778-420E-8CFB-0FE185ADB10A}"/>
    <cellStyle name="Normal 27 2 2 2 2 3 5" xfId="12774" xr:uid="{00000000-0005-0000-0000-00008D1A0000}"/>
    <cellStyle name="Normal 27 2 2 2 2 3 5 2" xfId="21510" xr:uid="{A79B3A59-8F28-4FAD-99F3-CDCBBA8E36C9}"/>
    <cellStyle name="Normal 27 2 2 2 2 3 6" xfId="15004" xr:uid="{69AEF097-A1A3-4E72-A762-CB55217B5338}"/>
    <cellStyle name="Normal 27 2 2 2 2 4" xfId="2763" xr:uid="{00000000-0005-0000-0000-00008E1A0000}"/>
    <cellStyle name="Normal 27 2 2 2 2 4 2" xfId="9558" xr:uid="{00000000-0005-0000-0000-00008F1A0000}"/>
    <cellStyle name="Normal 27 2 2 2 2 4 2 2" xfId="18364" xr:uid="{28CA60CF-D3D9-48A7-A061-F51067F51E64}"/>
    <cellStyle name="Normal 27 2 2 2 2 4 3" xfId="7956" xr:uid="{00000000-0005-0000-0000-0000901A0000}"/>
    <cellStyle name="Normal 27 2 2 2 2 4 3 2" xfId="16765" xr:uid="{0E9BDBA0-7304-4C5A-B38A-AFFBAAEB4673}"/>
    <cellStyle name="Normal 27 2 2 2 2 4 4" xfId="11168" xr:uid="{00000000-0005-0000-0000-0000911A0000}"/>
    <cellStyle name="Normal 27 2 2 2 2 4 4 2" xfId="19911" xr:uid="{9F2BBA9D-D636-49D2-9312-34F7AF191A0A}"/>
    <cellStyle name="Normal 27 2 2 2 2 4 5" xfId="12775" xr:uid="{00000000-0005-0000-0000-0000921A0000}"/>
    <cellStyle name="Normal 27 2 2 2 2 4 5 2" xfId="21511" xr:uid="{312E8D17-0066-41B3-9B42-4E559EA5B0C6}"/>
    <cellStyle name="Normal 27 2 2 2 2 4 6" xfId="15005" xr:uid="{5DFD1D4A-B674-4B5F-A45D-CEAC1A456BA5}"/>
    <cellStyle name="Normal 27 2 2 2 3" xfId="2764" xr:uid="{00000000-0005-0000-0000-0000931A0000}"/>
    <cellStyle name="Normal 27 2 2 2 4" xfId="2765" xr:uid="{00000000-0005-0000-0000-0000941A0000}"/>
    <cellStyle name="Normal 27 2 2 2 5" xfId="9555" xr:uid="{00000000-0005-0000-0000-0000951A0000}"/>
    <cellStyle name="Normal 27 2 2 2 5 2" xfId="18361" xr:uid="{8FE901F9-7087-48EC-BF3B-E449B028D5EA}"/>
    <cellStyle name="Normal 27 2 2 2 6" xfId="7953" xr:uid="{00000000-0005-0000-0000-0000961A0000}"/>
    <cellStyle name="Normal 27 2 2 2 6 2" xfId="16762" xr:uid="{54503AAF-6830-47C7-B0C2-5F2503570E43}"/>
    <cellStyle name="Normal 27 2 2 2 7" xfId="11165" xr:uid="{00000000-0005-0000-0000-0000971A0000}"/>
    <cellStyle name="Normal 27 2 2 2 7 2" xfId="19908" xr:uid="{E386ADBE-9069-4A0C-A131-F8E2A85273AF}"/>
    <cellStyle name="Normal 27 2 2 2 8" xfId="12772" xr:uid="{00000000-0005-0000-0000-0000981A0000}"/>
    <cellStyle name="Normal 27 2 2 2 8 2" xfId="21508" xr:uid="{BF227C48-4CA6-4F34-9934-CCF82F37E0C8}"/>
    <cellStyle name="Normal 27 2 2 2 9" xfId="15002" xr:uid="{3EA4821E-887A-452D-B4B4-C21A3B349E33}"/>
    <cellStyle name="Normal 27 2 2 3" xfId="2766" xr:uid="{00000000-0005-0000-0000-0000991A0000}"/>
    <cellStyle name="Normal 27 2 2 3 2" xfId="2767" xr:uid="{00000000-0005-0000-0000-00009A1A0000}"/>
    <cellStyle name="Normal 27 2 2 3 2 2" xfId="9560" xr:uid="{00000000-0005-0000-0000-00009B1A0000}"/>
    <cellStyle name="Normal 27 2 2 3 2 2 2" xfId="18366" xr:uid="{209C80A4-C92A-424F-9EB4-0256F364AE6E}"/>
    <cellStyle name="Normal 27 2 2 3 2 3" xfId="7958" xr:uid="{00000000-0005-0000-0000-00009C1A0000}"/>
    <cellStyle name="Normal 27 2 2 3 2 3 2" xfId="16767" xr:uid="{5206A43A-D2D8-4017-AA18-848987897C26}"/>
    <cellStyle name="Normal 27 2 2 3 2 4" xfId="11170" xr:uid="{00000000-0005-0000-0000-00009D1A0000}"/>
    <cellStyle name="Normal 27 2 2 3 2 4 2" xfId="19913" xr:uid="{5B7FD71C-6075-4023-9C66-14EEBB6176B4}"/>
    <cellStyle name="Normal 27 2 2 3 2 5" xfId="12777" xr:uid="{00000000-0005-0000-0000-00009E1A0000}"/>
    <cellStyle name="Normal 27 2 2 3 2 5 2" xfId="21513" xr:uid="{C634D7F2-B205-4892-B9C6-71F3F5126428}"/>
    <cellStyle name="Normal 27 2 2 3 2 6" xfId="15007" xr:uid="{3DA7EA89-01F1-4B4E-AB14-EEEA78CD11EA}"/>
    <cellStyle name="Normal 27 2 2 3 3" xfId="2768" xr:uid="{00000000-0005-0000-0000-00009F1A0000}"/>
    <cellStyle name="Normal 27 2 2 3 3 2" xfId="9561" xr:uid="{00000000-0005-0000-0000-0000A01A0000}"/>
    <cellStyle name="Normal 27 2 2 3 3 2 2" xfId="18367" xr:uid="{F39E315C-59AB-4C26-B00C-B4910C2D16E7}"/>
    <cellStyle name="Normal 27 2 2 3 3 3" xfId="7959" xr:uid="{00000000-0005-0000-0000-0000A11A0000}"/>
    <cellStyle name="Normal 27 2 2 3 3 3 2" xfId="16768" xr:uid="{A97E7C06-FDD1-400E-B488-31C1CE8149F9}"/>
    <cellStyle name="Normal 27 2 2 3 3 4" xfId="11171" xr:uid="{00000000-0005-0000-0000-0000A21A0000}"/>
    <cellStyle name="Normal 27 2 2 3 3 4 2" xfId="19914" xr:uid="{9E78C300-FEBE-4BED-80A6-33E8E823B19D}"/>
    <cellStyle name="Normal 27 2 2 3 3 5" xfId="12778" xr:uid="{00000000-0005-0000-0000-0000A31A0000}"/>
    <cellStyle name="Normal 27 2 2 3 3 5 2" xfId="21514" xr:uid="{AC7EECB6-A87A-4DE8-9F7B-519D0E67E2D7}"/>
    <cellStyle name="Normal 27 2 2 3 3 6" xfId="15008" xr:uid="{80D9BE64-98D8-4159-919D-49C3C2991A37}"/>
    <cellStyle name="Normal 27 2 2 3 4" xfId="2769" xr:uid="{00000000-0005-0000-0000-0000A41A0000}"/>
    <cellStyle name="Normal 27 2 2 3 4 2" xfId="9562" xr:uid="{00000000-0005-0000-0000-0000A51A0000}"/>
    <cellStyle name="Normal 27 2 2 3 4 2 2" xfId="18368" xr:uid="{C267869C-A2EB-47A3-9398-EA30F92C49C1}"/>
    <cellStyle name="Normal 27 2 2 3 4 3" xfId="7960" xr:uid="{00000000-0005-0000-0000-0000A61A0000}"/>
    <cellStyle name="Normal 27 2 2 3 4 3 2" xfId="16769" xr:uid="{5FAD0A9C-E110-4D30-9004-531F3799BCBA}"/>
    <cellStyle name="Normal 27 2 2 3 4 4" xfId="11172" xr:uid="{00000000-0005-0000-0000-0000A71A0000}"/>
    <cellStyle name="Normal 27 2 2 3 4 4 2" xfId="19915" xr:uid="{68271A0F-2FF7-44A6-A651-C8AA927C9152}"/>
    <cellStyle name="Normal 27 2 2 3 4 5" xfId="12779" xr:uid="{00000000-0005-0000-0000-0000A81A0000}"/>
    <cellStyle name="Normal 27 2 2 3 4 5 2" xfId="21515" xr:uid="{43805043-E088-4A15-913C-E0FF63785CF4}"/>
    <cellStyle name="Normal 27 2 2 3 4 6" xfId="15009" xr:uid="{EC8B125C-0EF0-4054-91F7-468EDA0A81F4}"/>
    <cellStyle name="Normal 27 2 2 3 5" xfId="9559" xr:uid="{00000000-0005-0000-0000-0000A91A0000}"/>
    <cellStyle name="Normal 27 2 2 3 5 2" xfId="18365" xr:uid="{8B133FC2-2E36-46B2-ADBC-EB0B21B270F1}"/>
    <cellStyle name="Normal 27 2 2 3 6" xfId="7957" xr:uid="{00000000-0005-0000-0000-0000AA1A0000}"/>
    <cellStyle name="Normal 27 2 2 3 6 2" xfId="16766" xr:uid="{F5306E98-B01F-4548-8BA3-718EB82C1068}"/>
    <cellStyle name="Normal 27 2 2 3 7" xfId="11169" xr:uid="{00000000-0005-0000-0000-0000AB1A0000}"/>
    <cellStyle name="Normal 27 2 2 3 7 2" xfId="19912" xr:uid="{C97B0128-48D2-4026-A6D4-E4F15FFDB01B}"/>
    <cellStyle name="Normal 27 2 2 3 8" xfId="12776" xr:uid="{00000000-0005-0000-0000-0000AC1A0000}"/>
    <cellStyle name="Normal 27 2 2 3 8 2" xfId="21512" xr:uid="{A7D59F65-19F1-4834-BE79-B9E056DB0331}"/>
    <cellStyle name="Normal 27 2 2 3 9" xfId="15006" xr:uid="{20AE1EBD-F1C9-4634-81C9-AC23304A4EE4}"/>
    <cellStyle name="Normal 27 2 2 4" xfId="2770" xr:uid="{00000000-0005-0000-0000-0000AD1A0000}"/>
    <cellStyle name="Normal 27 2 2 4 2" xfId="2771" xr:uid="{00000000-0005-0000-0000-0000AE1A0000}"/>
    <cellStyle name="Normal 27 2 2 4 2 2" xfId="9564" xr:uid="{00000000-0005-0000-0000-0000AF1A0000}"/>
    <cellStyle name="Normal 27 2 2 4 2 2 2" xfId="18370" xr:uid="{75E5A5BD-D985-4333-A395-D73A9C6E6F56}"/>
    <cellStyle name="Normal 27 2 2 4 2 3" xfId="7962" xr:uid="{00000000-0005-0000-0000-0000B01A0000}"/>
    <cellStyle name="Normal 27 2 2 4 2 3 2" xfId="16771" xr:uid="{9828D0C3-FF82-403B-91C6-114E70C3C6B5}"/>
    <cellStyle name="Normal 27 2 2 4 2 4" xfId="11174" xr:uid="{00000000-0005-0000-0000-0000B11A0000}"/>
    <cellStyle name="Normal 27 2 2 4 2 4 2" xfId="19917" xr:uid="{4795487D-A9EA-41E1-9947-D4C0C3D52CB2}"/>
    <cellStyle name="Normal 27 2 2 4 2 5" xfId="12781" xr:uid="{00000000-0005-0000-0000-0000B21A0000}"/>
    <cellStyle name="Normal 27 2 2 4 2 5 2" xfId="21517" xr:uid="{FCD36731-1A73-4A92-A12B-F8D94C4AB686}"/>
    <cellStyle name="Normal 27 2 2 4 2 6" xfId="15011" xr:uid="{F589E1A0-C50D-4143-845C-852D2341AA47}"/>
    <cellStyle name="Normal 27 2 2 4 3" xfId="2772" xr:uid="{00000000-0005-0000-0000-0000B31A0000}"/>
    <cellStyle name="Normal 27 2 2 4 3 2" xfId="9565" xr:uid="{00000000-0005-0000-0000-0000B41A0000}"/>
    <cellStyle name="Normal 27 2 2 4 3 2 2" xfId="18371" xr:uid="{25347CF7-7CF1-4797-95D1-1D60F8DE09DE}"/>
    <cellStyle name="Normal 27 2 2 4 3 3" xfId="7963" xr:uid="{00000000-0005-0000-0000-0000B51A0000}"/>
    <cellStyle name="Normal 27 2 2 4 3 3 2" xfId="16772" xr:uid="{9AA33810-DBB4-49DB-8153-F1725D70D57E}"/>
    <cellStyle name="Normal 27 2 2 4 3 4" xfId="11175" xr:uid="{00000000-0005-0000-0000-0000B61A0000}"/>
    <cellStyle name="Normal 27 2 2 4 3 4 2" xfId="19918" xr:uid="{A639D944-6E11-4736-AC6E-D4D799D21B78}"/>
    <cellStyle name="Normal 27 2 2 4 3 5" xfId="12782" xr:uid="{00000000-0005-0000-0000-0000B71A0000}"/>
    <cellStyle name="Normal 27 2 2 4 3 5 2" xfId="21518" xr:uid="{72095DE7-E1A6-4AEC-AAB1-C36F07CAE7AB}"/>
    <cellStyle name="Normal 27 2 2 4 3 6" xfId="15012" xr:uid="{BCC062AA-F94E-432E-8EF2-AC34FA46E4B8}"/>
    <cellStyle name="Normal 27 2 2 4 4" xfId="2773" xr:uid="{00000000-0005-0000-0000-0000B81A0000}"/>
    <cellStyle name="Normal 27 2 2 4 4 2" xfId="9566" xr:uid="{00000000-0005-0000-0000-0000B91A0000}"/>
    <cellStyle name="Normal 27 2 2 4 4 2 2" xfId="18372" xr:uid="{E93ADFB4-A3D2-48EE-A98C-6DF1A2791CC1}"/>
    <cellStyle name="Normal 27 2 2 4 4 3" xfId="7964" xr:uid="{00000000-0005-0000-0000-0000BA1A0000}"/>
    <cellStyle name="Normal 27 2 2 4 4 3 2" xfId="16773" xr:uid="{5C3B0EEC-29F1-419A-B5D6-7BAF25F5E5D0}"/>
    <cellStyle name="Normal 27 2 2 4 4 4" xfId="11176" xr:uid="{00000000-0005-0000-0000-0000BB1A0000}"/>
    <cellStyle name="Normal 27 2 2 4 4 4 2" xfId="19919" xr:uid="{7D76F24A-9956-4549-B0E4-630452294072}"/>
    <cellStyle name="Normal 27 2 2 4 4 5" xfId="12783" xr:uid="{00000000-0005-0000-0000-0000BC1A0000}"/>
    <cellStyle name="Normal 27 2 2 4 4 5 2" xfId="21519" xr:uid="{26AB98DE-E51B-4B32-94E9-A8AF67E806E8}"/>
    <cellStyle name="Normal 27 2 2 4 4 6" xfId="15013" xr:uid="{68ED6F16-24FF-410F-B705-5E413A3A33D9}"/>
    <cellStyle name="Normal 27 2 2 4 5" xfId="9563" xr:uid="{00000000-0005-0000-0000-0000BD1A0000}"/>
    <cellStyle name="Normal 27 2 2 4 5 2" xfId="18369" xr:uid="{B0B7FE44-1914-4352-AC87-7C0918E09B3A}"/>
    <cellStyle name="Normal 27 2 2 4 6" xfId="7961" xr:uid="{00000000-0005-0000-0000-0000BE1A0000}"/>
    <cellStyle name="Normal 27 2 2 4 6 2" xfId="16770" xr:uid="{1C7B7AB6-A09A-479E-BBC0-8688B9166636}"/>
    <cellStyle name="Normal 27 2 2 4 7" xfId="11173" xr:uid="{00000000-0005-0000-0000-0000BF1A0000}"/>
    <cellStyle name="Normal 27 2 2 4 7 2" xfId="19916" xr:uid="{EFC44A9D-BC60-4280-BFAE-5A8EC616EF0A}"/>
    <cellStyle name="Normal 27 2 2 4 8" xfId="12780" xr:uid="{00000000-0005-0000-0000-0000C01A0000}"/>
    <cellStyle name="Normal 27 2 2 4 8 2" xfId="21516" xr:uid="{1029F5A1-FB21-49D9-9100-2ACB9F09015A}"/>
    <cellStyle name="Normal 27 2 2 4 9" xfId="15010" xr:uid="{B34E335E-D11D-4A6A-B073-0DFA8AD9BE42}"/>
    <cellStyle name="Normal 27 2 2 5" xfId="2774" xr:uid="{00000000-0005-0000-0000-0000C11A0000}"/>
    <cellStyle name="Normal 27 2 2 5 2" xfId="9567" xr:uid="{00000000-0005-0000-0000-0000C21A0000}"/>
    <cellStyle name="Normal 27 2 2 5 2 2" xfId="18373" xr:uid="{36AD554E-C5A9-47A6-B512-C20343AA4B3F}"/>
    <cellStyle name="Normal 27 2 2 5 3" xfId="7965" xr:uid="{00000000-0005-0000-0000-0000C31A0000}"/>
    <cellStyle name="Normal 27 2 2 5 3 2" xfId="16774" xr:uid="{AFB926C2-BC5C-4720-BE5A-9C68FCFEDAF7}"/>
    <cellStyle name="Normal 27 2 2 5 4" xfId="11177" xr:uid="{00000000-0005-0000-0000-0000C41A0000}"/>
    <cellStyle name="Normal 27 2 2 5 4 2" xfId="19920" xr:uid="{F2B1D86B-07D8-4E1B-B0A6-8F4D7541991C}"/>
    <cellStyle name="Normal 27 2 2 5 5" xfId="12784" xr:uid="{00000000-0005-0000-0000-0000C51A0000}"/>
    <cellStyle name="Normal 27 2 2 5 5 2" xfId="21520" xr:uid="{731B5B7B-4FC1-44FA-BDA9-5DB064848C12}"/>
    <cellStyle name="Normal 27 2 2 5 6" xfId="15014" xr:uid="{5C534867-7D63-4C6C-B963-71FD6F16F725}"/>
    <cellStyle name="Normal 27 2 2 6" xfId="2775" xr:uid="{00000000-0005-0000-0000-0000C61A0000}"/>
    <cellStyle name="Normal 27 2 2 6 2" xfId="9568" xr:uid="{00000000-0005-0000-0000-0000C71A0000}"/>
    <cellStyle name="Normal 27 2 2 6 2 2" xfId="18374" xr:uid="{783B980A-AF61-40DC-B3EB-EC694D07EF0E}"/>
    <cellStyle name="Normal 27 2 2 6 3" xfId="7966" xr:uid="{00000000-0005-0000-0000-0000C81A0000}"/>
    <cellStyle name="Normal 27 2 2 6 3 2" xfId="16775" xr:uid="{3FC5FE28-0D6A-409A-A2F1-66EA625DF8A3}"/>
    <cellStyle name="Normal 27 2 2 6 4" xfId="11178" xr:uid="{00000000-0005-0000-0000-0000C91A0000}"/>
    <cellStyle name="Normal 27 2 2 6 4 2" xfId="19921" xr:uid="{DFD335C7-62A3-4926-87F0-D36968298888}"/>
    <cellStyle name="Normal 27 2 2 6 5" xfId="12785" xr:uid="{00000000-0005-0000-0000-0000CA1A0000}"/>
    <cellStyle name="Normal 27 2 2 6 5 2" xfId="21521" xr:uid="{2D8A1066-56DC-4461-B7AF-9783ADE1F1C5}"/>
    <cellStyle name="Normal 27 2 2 6 6" xfId="15015" xr:uid="{A9B06E91-CF56-4DD1-BE80-9703095CB25D}"/>
    <cellStyle name="Normal 27 2 2 7" xfId="2776" xr:uid="{00000000-0005-0000-0000-0000CB1A0000}"/>
    <cellStyle name="Normal 27 2 2 7 2" xfId="9569" xr:uid="{00000000-0005-0000-0000-0000CC1A0000}"/>
    <cellStyle name="Normal 27 2 2 7 2 2" xfId="18375" xr:uid="{9FF8064C-9125-4B78-80DA-3C10FCC49445}"/>
    <cellStyle name="Normal 27 2 2 7 3" xfId="7967" xr:uid="{00000000-0005-0000-0000-0000CD1A0000}"/>
    <cellStyle name="Normal 27 2 2 7 3 2" xfId="16776" xr:uid="{CE09F7B1-F078-4E2B-947F-4E493B532EE7}"/>
    <cellStyle name="Normal 27 2 2 7 4" xfId="11179" xr:uid="{00000000-0005-0000-0000-0000CE1A0000}"/>
    <cellStyle name="Normal 27 2 2 7 4 2" xfId="19922" xr:uid="{D7896B5A-CB61-4C5F-9F83-F8DD30721315}"/>
    <cellStyle name="Normal 27 2 2 7 5" xfId="12786" xr:uid="{00000000-0005-0000-0000-0000CF1A0000}"/>
    <cellStyle name="Normal 27 2 2 7 5 2" xfId="21522" xr:uid="{37CBBB8A-4DDE-4C03-A33F-2608E824C5FA}"/>
    <cellStyle name="Normal 27 2 2 7 6" xfId="15016" xr:uid="{C236DBE4-C06F-4444-B40F-92EA2A0195F7}"/>
    <cellStyle name="Normal 27 2 3" xfId="2777" xr:uid="{00000000-0005-0000-0000-0000D01A0000}"/>
    <cellStyle name="Normal 27 2 3 2" xfId="2778" xr:uid="{00000000-0005-0000-0000-0000D11A0000}"/>
    <cellStyle name="Normal 27 2 3 2 2" xfId="9571" xr:uid="{00000000-0005-0000-0000-0000D21A0000}"/>
    <cellStyle name="Normal 27 2 3 2 2 2" xfId="18377" xr:uid="{4F6D5552-59D5-4DAF-9546-AC55C32FBEE9}"/>
    <cellStyle name="Normal 27 2 3 2 3" xfId="7969" xr:uid="{00000000-0005-0000-0000-0000D31A0000}"/>
    <cellStyle name="Normal 27 2 3 2 3 2" xfId="16778" xr:uid="{C38D3671-21CA-4D9E-86CA-E0E2563C3F34}"/>
    <cellStyle name="Normal 27 2 3 2 4" xfId="11181" xr:uid="{00000000-0005-0000-0000-0000D41A0000}"/>
    <cellStyle name="Normal 27 2 3 2 4 2" xfId="19924" xr:uid="{7676EF14-0B34-4F02-AFD2-910EA398FA78}"/>
    <cellStyle name="Normal 27 2 3 2 5" xfId="12788" xr:uid="{00000000-0005-0000-0000-0000D51A0000}"/>
    <cellStyle name="Normal 27 2 3 2 5 2" xfId="21524" xr:uid="{924AE5CB-A670-40B5-9B01-FF91E59FF36B}"/>
    <cellStyle name="Normal 27 2 3 2 6" xfId="15018" xr:uid="{0460BC7D-968C-483B-A928-B60ED054FCD8}"/>
    <cellStyle name="Normal 27 2 3 3" xfId="2779" xr:uid="{00000000-0005-0000-0000-0000D61A0000}"/>
    <cellStyle name="Normal 27 2 3 3 2" xfId="9572" xr:uid="{00000000-0005-0000-0000-0000D71A0000}"/>
    <cellStyle name="Normal 27 2 3 3 2 2" xfId="18378" xr:uid="{53545983-C3A6-4FA4-A755-DDFDAD0F2888}"/>
    <cellStyle name="Normal 27 2 3 3 3" xfId="7970" xr:uid="{00000000-0005-0000-0000-0000D81A0000}"/>
    <cellStyle name="Normal 27 2 3 3 3 2" xfId="16779" xr:uid="{7CF09B70-46C6-4349-AEFD-B6001AD81F65}"/>
    <cellStyle name="Normal 27 2 3 3 4" xfId="11182" xr:uid="{00000000-0005-0000-0000-0000D91A0000}"/>
    <cellStyle name="Normal 27 2 3 3 4 2" xfId="19925" xr:uid="{17A2E983-617F-47CC-85D0-5E5470887838}"/>
    <cellStyle name="Normal 27 2 3 3 5" xfId="12789" xr:uid="{00000000-0005-0000-0000-0000DA1A0000}"/>
    <cellStyle name="Normal 27 2 3 3 5 2" xfId="21525" xr:uid="{DF717DBF-1691-4150-B66C-6095E2A6F1A6}"/>
    <cellStyle name="Normal 27 2 3 3 6" xfId="15019" xr:uid="{4A6013FF-3DBF-4DB7-AD6F-0D6AF0C2869C}"/>
    <cellStyle name="Normal 27 2 3 4" xfId="2780" xr:uid="{00000000-0005-0000-0000-0000DB1A0000}"/>
    <cellStyle name="Normal 27 2 3 4 2" xfId="9573" xr:uid="{00000000-0005-0000-0000-0000DC1A0000}"/>
    <cellStyle name="Normal 27 2 3 4 2 2" xfId="18379" xr:uid="{8BDC3974-8147-45B5-9B18-35ED95D3B893}"/>
    <cellStyle name="Normal 27 2 3 4 3" xfId="7971" xr:uid="{00000000-0005-0000-0000-0000DD1A0000}"/>
    <cellStyle name="Normal 27 2 3 4 3 2" xfId="16780" xr:uid="{18E5FC68-297B-4301-B160-9BF1EEC07890}"/>
    <cellStyle name="Normal 27 2 3 4 4" xfId="11183" xr:uid="{00000000-0005-0000-0000-0000DE1A0000}"/>
    <cellStyle name="Normal 27 2 3 4 4 2" xfId="19926" xr:uid="{30CFE644-2683-4EAB-BDC8-BFB082858CA5}"/>
    <cellStyle name="Normal 27 2 3 4 5" xfId="12790" xr:uid="{00000000-0005-0000-0000-0000DF1A0000}"/>
    <cellStyle name="Normal 27 2 3 4 5 2" xfId="21526" xr:uid="{69BE30C1-5475-445B-A5B1-7BDC12356933}"/>
    <cellStyle name="Normal 27 2 3 4 6" xfId="15020" xr:uid="{81474B52-37E1-456E-83EE-9E2DD2249126}"/>
    <cellStyle name="Normal 27 2 3 5" xfId="9570" xr:uid="{00000000-0005-0000-0000-0000E01A0000}"/>
    <cellStyle name="Normal 27 2 3 5 2" xfId="18376" xr:uid="{69EC4A84-3C07-478E-BB88-FF98691BE8E3}"/>
    <cellStyle name="Normal 27 2 3 6" xfId="7968" xr:uid="{00000000-0005-0000-0000-0000E11A0000}"/>
    <cellStyle name="Normal 27 2 3 6 2" xfId="16777" xr:uid="{5989D57C-00D3-453A-A555-B43F33CCB990}"/>
    <cellStyle name="Normal 27 2 3 7" xfId="11180" xr:uid="{00000000-0005-0000-0000-0000E21A0000}"/>
    <cellStyle name="Normal 27 2 3 7 2" xfId="19923" xr:uid="{F2A12608-8065-4CA7-A562-649A2BDB3130}"/>
    <cellStyle name="Normal 27 2 3 8" xfId="12787" xr:uid="{00000000-0005-0000-0000-0000E31A0000}"/>
    <cellStyle name="Normal 27 2 3 8 2" xfId="21523" xr:uid="{A7056B1F-DBC8-4D07-AB5F-94B4587B7DC2}"/>
    <cellStyle name="Normal 27 2 3 9" xfId="15017" xr:uid="{FF191B3D-5E09-440B-9874-8E9E8C768703}"/>
    <cellStyle name="Normal 27 2 4" xfId="2781" xr:uid="{00000000-0005-0000-0000-0000E41A0000}"/>
    <cellStyle name="Normal 27 2 5" xfId="2782" xr:uid="{00000000-0005-0000-0000-0000E51A0000}"/>
    <cellStyle name="Normal 27 2 6" xfId="2783" xr:uid="{00000000-0005-0000-0000-0000E61A0000}"/>
    <cellStyle name="Normal 27 2 6 2" xfId="9574" xr:uid="{00000000-0005-0000-0000-0000E71A0000}"/>
    <cellStyle name="Normal 27 2 6 2 2" xfId="18380" xr:uid="{6D0922B1-9695-40A7-BD69-4C0208F32286}"/>
    <cellStyle name="Normal 27 2 6 3" xfId="7972" xr:uid="{00000000-0005-0000-0000-0000E81A0000}"/>
    <cellStyle name="Normal 27 2 6 3 2" xfId="16781" xr:uid="{257F7A8E-9CD7-45F3-B61B-8F2DAD4FEF42}"/>
    <cellStyle name="Normal 27 2 6 4" xfId="11184" xr:uid="{00000000-0005-0000-0000-0000E91A0000}"/>
    <cellStyle name="Normal 27 2 6 4 2" xfId="19927" xr:uid="{ED4558A3-6045-4CC3-A56D-114EDF0E3084}"/>
    <cellStyle name="Normal 27 2 6 5" xfId="12791" xr:uid="{00000000-0005-0000-0000-0000EA1A0000}"/>
    <cellStyle name="Normal 27 2 6 5 2" xfId="21527" xr:uid="{3BA7A2AD-D9B1-4BCB-98F3-CFD2DF7FD1DE}"/>
    <cellStyle name="Normal 27 2 6 6" xfId="15021" xr:uid="{C7094A65-7604-46C4-890C-C13F6BBE9E7B}"/>
    <cellStyle name="Normal 27 2 7" xfId="2784" xr:uid="{00000000-0005-0000-0000-0000EB1A0000}"/>
    <cellStyle name="Normal 27 2 7 2" xfId="9575" xr:uid="{00000000-0005-0000-0000-0000EC1A0000}"/>
    <cellStyle name="Normal 27 2 7 2 2" xfId="18381" xr:uid="{473EC2E4-34D9-4C9A-942D-EF69EB8512D5}"/>
    <cellStyle name="Normal 27 2 7 3" xfId="7973" xr:uid="{00000000-0005-0000-0000-0000ED1A0000}"/>
    <cellStyle name="Normal 27 2 7 3 2" xfId="16782" xr:uid="{930419D1-AC36-4DE8-B800-5942F3F87CBC}"/>
    <cellStyle name="Normal 27 2 7 4" xfId="11185" xr:uid="{00000000-0005-0000-0000-0000EE1A0000}"/>
    <cellStyle name="Normal 27 2 7 4 2" xfId="19928" xr:uid="{EE8F2B70-592E-4886-BC71-EACD6A946A0B}"/>
    <cellStyle name="Normal 27 2 7 5" xfId="12792" xr:uid="{00000000-0005-0000-0000-0000EF1A0000}"/>
    <cellStyle name="Normal 27 2 7 5 2" xfId="21528" xr:uid="{5D68AFCF-111D-4221-909B-81DD4ADE878C}"/>
    <cellStyle name="Normal 27 2 7 6" xfId="15022" xr:uid="{2B7F4976-303F-4E65-AAE8-5FB82F404EA4}"/>
    <cellStyle name="Normal 27 2 8" xfId="2785" xr:uid="{00000000-0005-0000-0000-0000F01A0000}"/>
    <cellStyle name="Normal 27 2 8 2" xfId="9576" xr:uid="{00000000-0005-0000-0000-0000F11A0000}"/>
    <cellStyle name="Normal 27 2 8 2 2" xfId="18382" xr:uid="{E400B5B3-029D-41DB-BB78-3474FC620D4F}"/>
    <cellStyle name="Normal 27 2 8 3" xfId="7974" xr:uid="{00000000-0005-0000-0000-0000F21A0000}"/>
    <cellStyle name="Normal 27 2 8 3 2" xfId="16783" xr:uid="{49E43C20-A23D-4DB9-937E-C5EE38FDAD93}"/>
    <cellStyle name="Normal 27 2 8 4" xfId="11186" xr:uid="{00000000-0005-0000-0000-0000F31A0000}"/>
    <cellStyle name="Normal 27 2 8 4 2" xfId="19929" xr:uid="{711EF595-E216-45C9-A253-E667ABD570BE}"/>
    <cellStyle name="Normal 27 2 8 5" xfId="12793" xr:uid="{00000000-0005-0000-0000-0000F41A0000}"/>
    <cellStyle name="Normal 27 2 8 5 2" xfId="21529" xr:uid="{BEEF55E8-3972-4AF3-92A9-2FE211169DE4}"/>
    <cellStyle name="Normal 27 2 8 6" xfId="15023" xr:uid="{68D301F0-0115-42B0-9254-B5FFDCB130CE}"/>
    <cellStyle name="Normal 27 2 9" xfId="9554" xr:uid="{00000000-0005-0000-0000-0000F51A0000}"/>
    <cellStyle name="Normal 27 2 9 2" xfId="18360" xr:uid="{D13AFC93-CFD0-476C-8BF2-5CC136B87C86}"/>
    <cellStyle name="Normal 27 3" xfId="2786" xr:uid="{00000000-0005-0000-0000-0000F61A0000}"/>
    <cellStyle name="Normal 27 4" xfId="2756" xr:uid="{00000000-0005-0000-0000-0000F71A0000}"/>
    <cellStyle name="Normal 27 5" xfId="10638" xr:uid="{00000000-0005-0000-0000-0000F81A0000}"/>
    <cellStyle name="Normal 270" xfId="22822" xr:uid="{DF3CDE19-984F-4E09-B180-D80801FBCA78}"/>
    <cellStyle name="Normal 271" xfId="22812" xr:uid="{4DF07A34-3FE4-43D1-BBBE-EBCC5906C372}"/>
    <cellStyle name="Normal 272" xfId="23879" xr:uid="{813613BF-2BA8-42B0-ACAB-8B71A3293391}"/>
    <cellStyle name="Normal 273" xfId="22820" xr:uid="{9B739350-A342-403C-8724-A35B19A1ADD2}"/>
    <cellStyle name="Normal 274" xfId="22851" xr:uid="{58F12F8E-9867-49F6-88EE-2C920A8D0C86}"/>
    <cellStyle name="Normal 275" xfId="22839" xr:uid="{4AFFBC14-265A-4F6A-AF49-07CA2556823D}"/>
    <cellStyle name="Normal 276" xfId="22800" xr:uid="{497270AD-203B-4DAE-A623-2D938686AA64}"/>
    <cellStyle name="Normal 277" xfId="22840" xr:uid="{9ECE9295-261D-4F72-986D-10D91891926C}"/>
    <cellStyle name="Normal 278" xfId="22864" xr:uid="{31052FD4-8B44-4038-8F01-B5633A5004B2}"/>
    <cellStyle name="Normal 279" xfId="24139" xr:uid="{8D55445A-990E-4143-AE93-936152591183}"/>
    <cellStyle name="Normal 28" xfId="2787" xr:uid="{00000000-0005-0000-0000-0000F91A0000}"/>
    <cellStyle name="Normal 28 2" xfId="2788" xr:uid="{00000000-0005-0000-0000-0000FA1A0000}"/>
    <cellStyle name="Normal 28 2 10" xfId="9577" xr:uid="{00000000-0005-0000-0000-0000FB1A0000}"/>
    <cellStyle name="Normal 28 2 10 2" xfId="18383" xr:uid="{CD3424E8-C3B9-4CFC-AB26-D56C8CB61550}"/>
    <cellStyle name="Normal 28 2 11" xfId="7975" xr:uid="{00000000-0005-0000-0000-0000FC1A0000}"/>
    <cellStyle name="Normal 28 2 11 2" xfId="16784" xr:uid="{EFC6B16B-6CFB-4D98-A37A-27C8E8B67D3A}"/>
    <cellStyle name="Normal 28 2 12" xfId="11187" xr:uid="{00000000-0005-0000-0000-0000FD1A0000}"/>
    <cellStyle name="Normal 28 2 12 2" xfId="19930" xr:uid="{2664E15F-5E3B-411A-AC9F-63D3A6D7CE10}"/>
    <cellStyle name="Normal 28 2 13" xfId="12794" xr:uid="{00000000-0005-0000-0000-0000FE1A0000}"/>
    <cellStyle name="Normal 28 2 13 2" xfId="21530" xr:uid="{E36F3701-1904-438B-B9D5-9173DB061BBB}"/>
    <cellStyle name="Normal 28 2 14" xfId="15024" xr:uid="{90FED1BA-C336-451A-95D1-4F13FDB3D82A}"/>
    <cellStyle name="Normal 28 2 2" xfId="2789" xr:uid="{00000000-0005-0000-0000-0000FF1A0000}"/>
    <cellStyle name="Normal 28 2 2 2" xfId="2790" xr:uid="{00000000-0005-0000-0000-0000001B0000}"/>
    <cellStyle name="Normal 28 2 2 2 2" xfId="9579" xr:uid="{00000000-0005-0000-0000-0000011B0000}"/>
    <cellStyle name="Normal 28 2 2 2 2 2" xfId="18385" xr:uid="{B6D37999-B7B9-4D30-AB51-56D4AA1CD215}"/>
    <cellStyle name="Normal 28 2 2 2 3" xfId="7977" xr:uid="{00000000-0005-0000-0000-0000021B0000}"/>
    <cellStyle name="Normal 28 2 2 2 3 2" xfId="16786" xr:uid="{106EA48D-7D24-4D95-B57B-3097CAAC7138}"/>
    <cellStyle name="Normal 28 2 2 2 4" xfId="11189" xr:uid="{00000000-0005-0000-0000-0000031B0000}"/>
    <cellStyle name="Normal 28 2 2 2 4 2" xfId="19932" xr:uid="{C9573EB3-23DE-42AC-BFEA-1DCDBBF96817}"/>
    <cellStyle name="Normal 28 2 2 2 5" xfId="12796" xr:uid="{00000000-0005-0000-0000-0000041B0000}"/>
    <cellStyle name="Normal 28 2 2 2 5 2" xfId="21532" xr:uid="{27F6F3F1-2D8C-4C8E-9C79-FA9B40331819}"/>
    <cellStyle name="Normal 28 2 2 2 6" xfId="15026" xr:uid="{4040E188-FD8E-4DC9-8D8B-9CD3E2CF5B35}"/>
    <cellStyle name="Normal 28 2 2 3" xfId="2791" xr:uid="{00000000-0005-0000-0000-0000051B0000}"/>
    <cellStyle name="Normal 28 2 2 3 2" xfId="9580" xr:uid="{00000000-0005-0000-0000-0000061B0000}"/>
    <cellStyle name="Normal 28 2 2 3 2 2" xfId="18386" xr:uid="{AB27046F-7255-4068-9D4F-6C7C7221E5C8}"/>
    <cellStyle name="Normal 28 2 2 3 3" xfId="7978" xr:uid="{00000000-0005-0000-0000-0000071B0000}"/>
    <cellStyle name="Normal 28 2 2 3 3 2" xfId="16787" xr:uid="{7829348A-1DA4-4A3D-B96F-C9B10C258A89}"/>
    <cellStyle name="Normal 28 2 2 3 4" xfId="11190" xr:uid="{00000000-0005-0000-0000-0000081B0000}"/>
    <cellStyle name="Normal 28 2 2 3 4 2" xfId="19933" xr:uid="{2A20C746-1FAB-4EDF-B9CF-3A2D35830B00}"/>
    <cellStyle name="Normal 28 2 2 3 5" xfId="12797" xr:uid="{00000000-0005-0000-0000-0000091B0000}"/>
    <cellStyle name="Normal 28 2 2 3 5 2" xfId="21533" xr:uid="{D8FAB62E-1EDC-41A0-92BF-4BED24A90ED5}"/>
    <cellStyle name="Normal 28 2 2 3 6" xfId="15027" xr:uid="{98F19791-6AC5-4DCD-B193-2010EE162FF0}"/>
    <cellStyle name="Normal 28 2 2 4" xfId="2792" xr:uid="{00000000-0005-0000-0000-00000A1B0000}"/>
    <cellStyle name="Normal 28 2 2 4 2" xfId="9581" xr:uid="{00000000-0005-0000-0000-00000B1B0000}"/>
    <cellStyle name="Normal 28 2 2 4 2 2" xfId="18387" xr:uid="{AB568D80-4AE4-4906-BE3F-C931558FCA11}"/>
    <cellStyle name="Normal 28 2 2 4 3" xfId="7979" xr:uid="{00000000-0005-0000-0000-00000C1B0000}"/>
    <cellStyle name="Normal 28 2 2 4 3 2" xfId="16788" xr:uid="{A2AB165F-4033-4E2B-8684-C3B7A78FE0DB}"/>
    <cellStyle name="Normal 28 2 2 4 4" xfId="11191" xr:uid="{00000000-0005-0000-0000-00000D1B0000}"/>
    <cellStyle name="Normal 28 2 2 4 4 2" xfId="19934" xr:uid="{8906DE89-430E-4460-949A-34155A1EF676}"/>
    <cellStyle name="Normal 28 2 2 4 5" xfId="12798" xr:uid="{00000000-0005-0000-0000-00000E1B0000}"/>
    <cellStyle name="Normal 28 2 2 4 5 2" xfId="21534" xr:uid="{EF10E9E9-29C6-4705-867D-E6D0D6FF4887}"/>
    <cellStyle name="Normal 28 2 2 4 6" xfId="15028" xr:uid="{4CEA384B-6396-4FDB-970E-C05C63DE43F2}"/>
    <cellStyle name="Normal 28 2 2 5" xfId="9578" xr:uid="{00000000-0005-0000-0000-00000F1B0000}"/>
    <cellStyle name="Normal 28 2 2 5 2" xfId="18384" xr:uid="{0B318F7E-9E9F-42F8-9B9D-0E5E740430A5}"/>
    <cellStyle name="Normal 28 2 2 6" xfId="7976" xr:uid="{00000000-0005-0000-0000-0000101B0000}"/>
    <cellStyle name="Normal 28 2 2 6 2" xfId="16785" xr:uid="{B3775BEF-B3B5-4B2B-9F00-E89216AB4B2A}"/>
    <cellStyle name="Normal 28 2 2 7" xfId="11188" xr:uid="{00000000-0005-0000-0000-0000111B0000}"/>
    <cellStyle name="Normal 28 2 2 7 2" xfId="19931" xr:uid="{D19A7FB8-7004-47E3-A3D2-F53041E5765D}"/>
    <cellStyle name="Normal 28 2 2 8" xfId="12795" xr:uid="{00000000-0005-0000-0000-0000121B0000}"/>
    <cellStyle name="Normal 28 2 2 8 2" xfId="21531" xr:uid="{C4994ABF-16CE-405F-BDAF-07CBF7DECDDB}"/>
    <cellStyle name="Normal 28 2 2 9" xfId="15025" xr:uid="{F3258943-29A8-4661-B09F-15CBDF83B2CF}"/>
    <cellStyle name="Normal 28 2 3" xfId="2793" xr:uid="{00000000-0005-0000-0000-0000131B0000}"/>
    <cellStyle name="Normal 28 2 3 2" xfId="2794" xr:uid="{00000000-0005-0000-0000-0000141B0000}"/>
    <cellStyle name="Normal 28 2 3 2 2" xfId="9583" xr:uid="{00000000-0005-0000-0000-0000151B0000}"/>
    <cellStyle name="Normal 28 2 3 2 2 2" xfId="18389" xr:uid="{D0C8699D-4B2C-43FD-8279-136A87A5CFBB}"/>
    <cellStyle name="Normal 28 2 3 2 3" xfId="7981" xr:uid="{00000000-0005-0000-0000-0000161B0000}"/>
    <cellStyle name="Normal 28 2 3 2 3 2" xfId="16790" xr:uid="{74B1C8F9-C05C-4C23-925C-C089D6E67A69}"/>
    <cellStyle name="Normal 28 2 3 2 4" xfId="11193" xr:uid="{00000000-0005-0000-0000-0000171B0000}"/>
    <cellStyle name="Normal 28 2 3 2 4 2" xfId="19936" xr:uid="{B947514F-CEFE-46EA-A40B-71DF09709E96}"/>
    <cellStyle name="Normal 28 2 3 2 5" xfId="12800" xr:uid="{00000000-0005-0000-0000-0000181B0000}"/>
    <cellStyle name="Normal 28 2 3 2 5 2" xfId="21536" xr:uid="{8F1A18BF-638B-446B-AC47-D5E44D4932BB}"/>
    <cellStyle name="Normal 28 2 3 2 6" xfId="15030" xr:uid="{F748E7D1-1071-4A7B-BCCF-B222009FA41F}"/>
    <cellStyle name="Normal 28 2 3 3" xfId="2795" xr:uid="{00000000-0005-0000-0000-0000191B0000}"/>
    <cellStyle name="Normal 28 2 3 3 2" xfId="9584" xr:uid="{00000000-0005-0000-0000-00001A1B0000}"/>
    <cellStyle name="Normal 28 2 3 3 2 2" xfId="18390" xr:uid="{12E941FA-3473-4F2F-B506-8DFEF5442540}"/>
    <cellStyle name="Normal 28 2 3 3 3" xfId="7982" xr:uid="{00000000-0005-0000-0000-00001B1B0000}"/>
    <cellStyle name="Normal 28 2 3 3 3 2" xfId="16791" xr:uid="{AAB6FB33-12A5-4428-BF09-0E58A203D950}"/>
    <cellStyle name="Normal 28 2 3 3 4" xfId="11194" xr:uid="{00000000-0005-0000-0000-00001C1B0000}"/>
    <cellStyle name="Normal 28 2 3 3 4 2" xfId="19937" xr:uid="{AB61BA95-EF5D-438E-9994-241A20628286}"/>
    <cellStyle name="Normal 28 2 3 3 5" xfId="12801" xr:uid="{00000000-0005-0000-0000-00001D1B0000}"/>
    <cellStyle name="Normal 28 2 3 3 5 2" xfId="21537" xr:uid="{4EA393AA-72C5-4312-A183-EC9F2D9A5721}"/>
    <cellStyle name="Normal 28 2 3 3 6" xfId="15031" xr:uid="{7F4FC754-ED0D-4253-82C2-D9E7A5418D77}"/>
    <cellStyle name="Normal 28 2 3 4" xfId="2796" xr:uid="{00000000-0005-0000-0000-00001E1B0000}"/>
    <cellStyle name="Normal 28 2 3 4 2" xfId="9585" xr:uid="{00000000-0005-0000-0000-00001F1B0000}"/>
    <cellStyle name="Normal 28 2 3 4 2 2" xfId="18391" xr:uid="{57EE28FD-408B-45DF-A05D-7ED6C02D84B0}"/>
    <cellStyle name="Normal 28 2 3 4 3" xfId="7983" xr:uid="{00000000-0005-0000-0000-0000201B0000}"/>
    <cellStyle name="Normal 28 2 3 4 3 2" xfId="16792" xr:uid="{28E82FF3-232C-48B8-BCE6-6AAB2D7090EE}"/>
    <cellStyle name="Normal 28 2 3 4 4" xfId="11195" xr:uid="{00000000-0005-0000-0000-0000211B0000}"/>
    <cellStyle name="Normal 28 2 3 4 4 2" xfId="19938" xr:uid="{2CF5E460-4D9E-4E41-B04D-EB34613C83AF}"/>
    <cellStyle name="Normal 28 2 3 4 5" xfId="12802" xr:uid="{00000000-0005-0000-0000-0000221B0000}"/>
    <cellStyle name="Normal 28 2 3 4 5 2" xfId="21538" xr:uid="{5E845F28-575C-43CD-8F88-0F4BC57D3DE9}"/>
    <cellStyle name="Normal 28 2 3 4 6" xfId="15032" xr:uid="{BD7F1187-F037-4DC1-B7D4-769092A8DBD2}"/>
    <cellStyle name="Normal 28 2 3 5" xfId="9582" xr:uid="{00000000-0005-0000-0000-0000231B0000}"/>
    <cellStyle name="Normal 28 2 3 5 2" xfId="18388" xr:uid="{48911757-E800-42E0-A5AA-8C8293C46CBE}"/>
    <cellStyle name="Normal 28 2 3 6" xfId="7980" xr:uid="{00000000-0005-0000-0000-0000241B0000}"/>
    <cellStyle name="Normal 28 2 3 6 2" xfId="16789" xr:uid="{3B698A43-473C-475F-9839-B126958A7CF1}"/>
    <cellStyle name="Normal 28 2 3 7" xfId="11192" xr:uid="{00000000-0005-0000-0000-0000251B0000}"/>
    <cellStyle name="Normal 28 2 3 7 2" xfId="19935" xr:uid="{D1F66E9F-5523-4648-984D-18AFC2EB1961}"/>
    <cellStyle name="Normal 28 2 3 8" xfId="12799" xr:uid="{00000000-0005-0000-0000-0000261B0000}"/>
    <cellStyle name="Normal 28 2 3 8 2" xfId="21535" xr:uid="{6373AB22-F2A7-4B33-9209-D824099AF2F4}"/>
    <cellStyle name="Normal 28 2 3 9" xfId="15029" xr:uid="{C74B459A-08C3-4C74-A2A5-747004C2C851}"/>
    <cellStyle name="Normal 28 2 4" xfId="2797" xr:uid="{00000000-0005-0000-0000-0000271B0000}"/>
    <cellStyle name="Normal 28 2 4 2" xfId="2798" xr:uid="{00000000-0005-0000-0000-0000281B0000}"/>
    <cellStyle name="Normal 28 2 4 2 2" xfId="2799" xr:uid="{00000000-0005-0000-0000-0000291B0000}"/>
    <cellStyle name="Normal 28 2 4 2 2 2" xfId="2800" xr:uid="{00000000-0005-0000-0000-00002A1B0000}"/>
    <cellStyle name="Normal 28 2 4 2 2 2 2" xfId="9587" xr:uid="{00000000-0005-0000-0000-00002B1B0000}"/>
    <cellStyle name="Normal 28 2 4 2 2 2 2 2" xfId="18393" xr:uid="{9E0FA1BF-30CF-4230-9AB3-95809C605058}"/>
    <cellStyle name="Normal 28 2 4 2 2 2 3" xfId="7985" xr:uid="{00000000-0005-0000-0000-00002C1B0000}"/>
    <cellStyle name="Normal 28 2 4 2 2 2 3 2" xfId="16794" xr:uid="{C90417C2-37CB-4AB5-BC80-208537B845E4}"/>
    <cellStyle name="Normal 28 2 4 2 2 2 4" xfId="11197" xr:uid="{00000000-0005-0000-0000-00002D1B0000}"/>
    <cellStyle name="Normal 28 2 4 2 2 2 4 2" xfId="19940" xr:uid="{C676FB1D-6687-4B82-8F32-02C084CDA261}"/>
    <cellStyle name="Normal 28 2 4 2 2 2 5" xfId="12804" xr:uid="{00000000-0005-0000-0000-00002E1B0000}"/>
    <cellStyle name="Normal 28 2 4 2 2 2 5 2" xfId="21540" xr:uid="{234EF25B-3650-43F0-A5C1-4C78034A8704}"/>
    <cellStyle name="Normal 28 2 4 2 2 2 6" xfId="15034" xr:uid="{FC42DC3E-DE69-47C4-ACD4-03E82BD72503}"/>
    <cellStyle name="Normal 28 2 4 2 2 3" xfId="2801" xr:uid="{00000000-0005-0000-0000-00002F1B0000}"/>
    <cellStyle name="Normal 28 2 4 2 2 3 2" xfId="9588" xr:uid="{00000000-0005-0000-0000-0000301B0000}"/>
    <cellStyle name="Normal 28 2 4 2 2 3 2 2" xfId="18394" xr:uid="{02C0E675-72DC-4732-9869-89EC0CE5682B}"/>
    <cellStyle name="Normal 28 2 4 2 2 3 3" xfId="7986" xr:uid="{00000000-0005-0000-0000-0000311B0000}"/>
    <cellStyle name="Normal 28 2 4 2 2 3 3 2" xfId="16795" xr:uid="{13E6C385-9ACB-4F27-9449-E67E9FADB67B}"/>
    <cellStyle name="Normal 28 2 4 2 2 3 4" xfId="11198" xr:uid="{00000000-0005-0000-0000-0000321B0000}"/>
    <cellStyle name="Normal 28 2 4 2 2 3 4 2" xfId="19941" xr:uid="{F78D5244-7245-4903-91E7-F963413019A8}"/>
    <cellStyle name="Normal 28 2 4 2 2 3 5" xfId="12805" xr:uid="{00000000-0005-0000-0000-0000331B0000}"/>
    <cellStyle name="Normal 28 2 4 2 2 3 5 2" xfId="21541" xr:uid="{AEB23204-F0DC-4A93-B270-C5BCE147BFC4}"/>
    <cellStyle name="Normal 28 2 4 2 2 3 6" xfId="15035" xr:uid="{6263C8CB-1E84-4D35-B613-679924642C68}"/>
    <cellStyle name="Normal 28 2 4 2 2 4" xfId="2802" xr:uid="{00000000-0005-0000-0000-0000341B0000}"/>
    <cellStyle name="Normal 28 2 4 2 2 4 2" xfId="9589" xr:uid="{00000000-0005-0000-0000-0000351B0000}"/>
    <cellStyle name="Normal 28 2 4 2 2 4 2 2" xfId="18395" xr:uid="{649A333E-7E8E-4DC7-9269-50AE04E8224B}"/>
    <cellStyle name="Normal 28 2 4 2 2 4 3" xfId="7987" xr:uid="{00000000-0005-0000-0000-0000361B0000}"/>
    <cellStyle name="Normal 28 2 4 2 2 4 3 2" xfId="16796" xr:uid="{9F5AF772-337E-4FAC-A899-77845DA5F91A}"/>
    <cellStyle name="Normal 28 2 4 2 2 4 4" xfId="11199" xr:uid="{00000000-0005-0000-0000-0000371B0000}"/>
    <cellStyle name="Normal 28 2 4 2 2 4 4 2" xfId="19942" xr:uid="{E51C0E8C-268F-402D-A663-F86509725218}"/>
    <cellStyle name="Normal 28 2 4 2 2 4 5" xfId="12806" xr:uid="{00000000-0005-0000-0000-0000381B0000}"/>
    <cellStyle name="Normal 28 2 4 2 2 4 5 2" xfId="21542" xr:uid="{01FF98AA-0864-4A9A-B469-5AB34017E5C4}"/>
    <cellStyle name="Normal 28 2 4 2 2 4 6" xfId="15036" xr:uid="{1D0E5057-C279-4B55-BB46-7CB0AF399C01}"/>
    <cellStyle name="Normal 28 2 4 2 3" xfId="2803" xr:uid="{00000000-0005-0000-0000-0000391B0000}"/>
    <cellStyle name="Normal 28 2 4 2 4" xfId="2804" xr:uid="{00000000-0005-0000-0000-00003A1B0000}"/>
    <cellStyle name="Normal 28 2 4 2 5" xfId="9586" xr:uid="{00000000-0005-0000-0000-00003B1B0000}"/>
    <cellStyle name="Normal 28 2 4 2 5 2" xfId="18392" xr:uid="{A853E4F7-675D-48BB-A18A-98DE8D0C3B73}"/>
    <cellStyle name="Normal 28 2 4 2 6" xfId="7984" xr:uid="{00000000-0005-0000-0000-00003C1B0000}"/>
    <cellStyle name="Normal 28 2 4 2 6 2" xfId="16793" xr:uid="{5A6F8AF6-2C39-4BB9-A4DA-6F52B8725026}"/>
    <cellStyle name="Normal 28 2 4 2 7" xfId="11196" xr:uid="{00000000-0005-0000-0000-00003D1B0000}"/>
    <cellStyle name="Normal 28 2 4 2 7 2" xfId="19939" xr:uid="{8126EBC5-A54B-4E23-BEB5-1A6A133A77A6}"/>
    <cellStyle name="Normal 28 2 4 2 8" xfId="12803" xr:uid="{00000000-0005-0000-0000-00003E1B0000}"/>
    <cellStyle name="Normal 28 2 4 2 8 2" xfId="21539" xr:uid="{924A5CBB-39DD-46D9-9366-214009B7AA68}"/>
    <cellStyle name="Normal 28 2 4 2 9" xfId="15033" xr:uid="{EC16B0A9-FA9C-4BE3-B041-98F622B7D19E}"/>
    <cellStyle name="Normal 28 2 4 3" xfId="2805" xr:uid="{00000000-0005-0000-0000-00003F1B0000}"/>
    <cellStyle name="Normal 28 2 4 3 2" xfId="2806" xr:uid="{00000000-0005-0000-0000-0000401B0000}"/>
    <cellStyle name="Normal 28 2 4 3 2 2" xfId="9591" xr:uid="{00000000-0005-0000-0000-0000411B0000}"/>
    <cellStyle name="Normal 28 2 4 3 2 2 2" xfId="18397" xr:uid="{CD369AD3-E1CD-40FB-B215-DF9519CFEA1E}"/>
    <cellStyle name="Normal 28 2 4 3 2 3" xfId="7989" xr:uid="{00000000-0005-0000-0000-0000421B0000}"/>
    <cellStyle name="Normal 28 2 4 3 2 3 2" xfId="16798" xr:uid="{BB40B2A7-E080-45CD-9BC5-0F4C9371BBEE}"/>
    <cellStyle name="Normal 28 2 4 3 2 4" xfId="11201" xr:uid="{00000000-0005-0000-0000-0000431B0000}"/>
    <cellStyle name="Normal 28 2 4 3 2 4 2" xfId="19944" xr:uid="{B50014B8-A326-49A2-93EE-A3459EA811B1}"/>
    <cellStyle name="Normal 28 2 4 3 2 5" xfId="12808" xr:uid="{00000000-0005-0000-0000-0000441B0000}"/>
    <cellStyle name="Normal 28 2 4 3 2 5 2" xfId="21544" xr:uid="{2A5F9D1D-B96A-45BD-9E13-C26B832B5DAB}"/>
    <cellStyle name="Normal 28 2 4 3 2 6" xfId="15038" xr:uid="{32E7DF4D-A314-467A-A2C7-F8069F1E78F7}"/>
    <cellStyle name="Normal 28 2 4 3 3" xfId="2807" xr:uid="{00000000-0005-0000-0000-0000451B0000}"/>
    <cellStyle name="Normal 28 2 4 3 3 2" xfId="9592" xr:uid="{00000000-0005-0000-0000-0000461B0000}"/>
    <cellStyle name="Normal 28 2 4 3 3 2 2" xfId="18398" xr:uid="{A968CA7E-350F-449A-8184-487FBAF6A764}"/>
    <cellStyle name="Normal 28 2 4 3 3 3" xfId="7990" xr:uid="{00000000-0005-0000-0000-0000471B0000}"/>
    <cellStyle name="Normal 28 2 4 3 3 3 2" xfId="16799" xr:uid="{68323A37-F797-477C-9844-60A248A9383C}"/>
    <cellStyle name="Normal 28 2 4 3 3 4" xfId="11202" xr:uid="{00000000-0005-0000-0000-0000481B0000}"/>
    <cellStyle name="Normal 28 2 4 3 3 4 2" xfId="19945" xr:uid="{3DC8C112-43A1-4A33-8DC4-06509343B38E}"/>
    <cellStyle name="Normal 28 2 4 3 3 5" xfId="12809" xr:uid="{00000000-0005-0000-0000-0000491B0000}"/>
    <cellStyle name="Normal 28 2 4 3 3 5 2" xfId="21545" xr:uid="{6112454E-954C-4881-A42A-C243BC72080A}"/>
    <cellStyle name="Normal 28 2 4 3 3 6" xfId="15039" xr:uid="{26A99674-84BA-4496-BCD6-5E210F645254}"/>
    <cellStyle name="Normal 28 2 4 3 4" xfId="2808" xr:uid="{00000000-0005-0000-0000-00004A1B0000}"/>
    <cellStyle name="Normal 28 2 4 3 4 2" xfId="9593" xr:uid="{00000000-0005-0000-0000-00004B1B0000}"/>
    <cellStyle name="Normal 28 2 4 3 4 2 2" xfId="18399" xr:uid="{29F1E2DA-6BC0-4B45-BCB0-60618660AB52}"/>
    <cellStyle name="Normal 28 2 4 3 4 3" xfId="7991" xr:uid="{00000000-0005-0000-0000-00004C1B0000}"/>
    <cellStyle name="Normal 28 2 4 3 4 3 2" xfId="16800" xr:uid="{54A4D3C8-EB86-4D82-9737-FCCDE74150A7}"/>
    <cellStyle name="Normal 28 2 4 3 4 4" xfId="11203" xr:uid="{00000000-0005-0000-0000-00004D1B0000}"/>
    <cellStyle name="Normal 28 2 4 3 4 4 2" xfId="19946" xr:uid="{A9DF8C85-29AC-403B-9BB9-52982FD5CA20}"/>
    <cellStyle name="Normal 28 2 4 3 4 5" xfId="12810" xr:uid="{00000000-0005-0000-0000-00004E1B0000}"/>
    <cellStyle name="Normal 28 2 4 3 4 5 2" xfId="21546" xr:uid="{921E48A0-86E2-4577-AB6C-CD879AEBD4AD}"/>
    <cellStyle name="Normal 28 2 4 3 4 6" xfId="15040" xr:uid="{29015830-0A37-44F5-9FD3-5F6446083B75}"/>
    <cellStyle name="Normal 28 2 4 3 5" xfId="9590" xr:uid="{00000000-0005-0000-0000-00004F1B0000}"/>
    <cellStyle name="Normal 28 2 4 3 5 2" xfId="18396" xr:uid="{4D6E527A-36D2-4555-AF13-9DEBE221BE54}"/>
    <cellStyle name="Normal 28 2 4 3 6" xfId="7988" xr:uid="{00000000-0005-0000-0000-0000501B0000}"/>
    <cellStyle name="Normal 28 2 4 3 6 2" xfId="16797" xr:uid="{C36B8F8F-014B-4202-86DB-C60772AA2FE3}"/>
    <cellStyle name="Normal 28 2 4 3 7" xfId="11200" xr:uid="{00000000-0005-0000-0000-0000511B0000}"/>
    <cellStyle name="Normal 28 2 4 3 7 2" xfId="19943" xr:uid="{DFDA3655-38F0-4F2F-B9A5-69CFBA125B39}"/>
    <cellStyle name="Normal 28 2 4 3 8" xfId="12807" xr:uid="{00000000-0005-0000-0000-0000521B0000}"/>
    <cellStyle name="Normal 28 2 4 3 8 2" xfId="21543" xr:uid="{8D23483E-93C1-46F9-9C5D-B7EEB71FD6EB}"/>
    <cellStyle name="Normal 28 2 4 3 9" xfId="15037" xr:uid="{DA591EB7-63CF-48B0-8786-4DC8F9A5B710}"/>
    <cellStyle name="Normal 28 2 4 4" xfId="2809" xr:uid="{00000000-0005-0000-0000-0000531B0000}"/>
    <cellStyle name="Normal 28 2 4 4 2" xfId="2810" xr:uid="{00000000-0005-0000-0000-0000541B0000}"/>
    <cellStyle name="Normal 28 2 4 4 2 2" xfId="9595" xr:uid="{00000000-0005-0000-0000-0000551B0000}"/>
    <cellStyle name="Normal 28 2 4 4 2 2 2" xfId="18401" xr:uid="{01638342-C059-4916-A817-B817DE07E578}"/>
    <cellStyle name="Normal 28 2 4 4 2 3" xfId="7993" xr:uid="{00000000-0005-0000-0000-0000561B0000}"/>
    <cellStyle name="Normal 28 2 4 4 2 3 2" xfId="16802" xr:uid="{DE092B6D-0E67-4F2D-8863-966DE3A4EB78}"/>
    <cellStyle name="Normal 28 2 4 4 2 4" xfId="11205" xr:uid="{00000000-0005-0000-0000-0000571B0000}"/>
    <cellStyle name="Normal 28 2 4 4 2 4 2" xfId="19948" xr:uid="{4D73C05A-4C7E-4683-A493-8A385E05B542}"/>
    <cellStyle name="Normal 28 2 4 4 2 5" xfId="12812" xr:uid="{00000000-0005-0000-0000-0000581B0000}"/>
    <cellStyle name="Normal 28 2 4 4 2 5 2" xfId="21548" xr:uid="{ED7E1E31-1E1C-4B13-9916-8EF229DFE9FF}"/>
    <cellStyle name="Normal 28 2 4 4 2 6" xfId="15042" xr:uid="{C60E354A-4D4C-4ADD-98F8-7CE4D52FF584}"/>
    <cellStyle name="Normal 28 2 4 4 3" xfId="2811" xr:uid="{00000000-0005-0000-0000-0000591B0000}"/>
    <cellStyle name="Normal 28 2 4 4 3 2" xfId="9596" xr:uid="{00000000-0005-0000-0000-00005A1B0000}"/>
    <cellStyle name="Normal 28 2 4 4 3 2 2" xfId="18402" xr:uid="{96F19546-1FD4-49C7-AF37-8C88B3780A2C}"/>
    <cellStyle name="Normal 28 2 4 4 3 3" xfId="7994" xr:uid="{00000000-0005-0000-0000-00005B1B0000}"/>
    <cellStyle name="Normal 28 2 4 4 3 3 2" xfId="16803" xr:uid="{0AC52C92-964D-4A30-BCC4-2CE59601CDA5}"/>
    <cellStyle name="Normal 28 2 4 4 3 4" xfId="11206" xr:uid="{00000000-0005-0000-0000-00005C1B0000}"/>
    <cellStyle name="Normal 28 2 4 4 3 4 2" xfId="19949" xr:uid="{27F523E1-206A-4B86-A9D5-167736896F6E}"/>
    <cellStyle name="Normal 28 2 4 4 3 5" xfId="12813" xr:uid="{00000000-0005-0000-0000-00005D1B0000}"/>
    <cellStyle name="Normal 28 2 4 4 3 5 2" xfId="21549" xr:uid="{810EB6A3-387D-41B3-BF27-0651C575AA1C}"/>
    <cellStyle name="Normal 28 2 4 4 3 6" xfId="15043" xr:uid="{CA825453-DBAA-485A-A9DB-3347424FA0FA}"/>
    <cellStyle name="Normal 28 2 4 4 4" xfId="2812" xr:uid="{00000000-0005-0000-0000-00005E1B0000}"/>
    <cellStyle name="Normal 28 2 4 4 4 2" xfId="9597" xr:uid="{00000000-0005-0000-0000-00005F1B0000}"/>
    <cellStyle name="Normal 28 2 4 4 4 2 2" xfId="18403" xr:uid="{AB754699-1E41-400A-8E41-A9CCB9DC29E6}"/>
    <cellStyle name="Normal 28 2 4 4 4 3" xfId="7995" xr:uid="{00000000-0005-0000-0000-0000601B0000}"/>
    <cellStyle name="Normal 28 2 4 4 4 3 2" xfId="16804" xr:uid="{6D8ABAF6-D7D8-4A11-A8FE-B2FBB193592E}"/>
    <cellStyle name="Normal 28 2 4 4 4 4" xfId="11207" xr:uid="{00000000-0005-0000-0000-0000611B0000}"/>
    <cellStyle name="Normal 28 2 4 4 4 4 2" xfId="19950" xr:uid="{0131BFAC-04BF-440E-A701-D3AD9A40F3A7}"/>
    <cellStyle name="Normal 28 2 4 4 4 5" xfId="12814" xr:uid="{00000000-0005-0000-0000-0000621B0000}"/>
    <cellStyle name="Normal 28 2 4 4 4 5 2" xfId="21550" xr:uid="{CEF0BEE5-52AE-4D88-B0D6-A8D72485C7B3}"/>
    <cellStyle name="Normal 28 2 4 4 4 6" xfId="15044" xr:uid="{C7281AE0-049B-4536-AECE-0EE2F5DAF1D8}"/>
    <cellStyle name="Normal 28 2 4 4 5" xfId="9594" xr:uid="{00000000-0005-0000-0000-0000631B0000}"/>
    <cellStyle name="Normal 28 2 4 4 5 2" xfId="18400" xr:uid="{F6DDB00A-6732-4CCD-B5D1-A828F0F211CF}"/>
    <cellStyle name="Normal 28 2 4 4 6" xfId="7992" xr:uid="{00000000-0005-0000-0000-0000641B0000}"/>
    <cellStyle name="Normal 28 2 4 4 6 2" xfId="16801" xr:uid="{BF38F233-715E-41DF-9356-3D44060204A8}"/>
    <cellStyle name="Normal 28 2 4 4 7" xfId="11204" xr:uid="{00000000-0005-0000-0000-0000651B0000}"/>
    <cellStyle name="Normal 28 2 4 4 7 2" xfId="19947" xr:uid="{DDEE8D84-84E8-4AB7-B6DE-69E2EC8E8ABA}"/>
    <cellStyle name="Normal 28 2 4 4 8" xfId="12811" xr:uid="{00000000-0005-0000-0000-0000661B0000}"/>
    <cellStyle name="Normal 28 2 4 4 8 2" xfId="21547" xr:uid="{F233562A-542C-46CB-9F23-5D5EACD7E7AD}"/>
    <cellStyle name="Normal 28 2 4 4 9" xfId="15041" xr:uid="{243A6F17-F785-4ADD-8E0A-82B156D343AA}"/>
    <cellStyle name="Normal 28 2 4 5" xfId="2813" xr:uid="{00000000-0005-0000-0000-0000671B0000}"/>
    <cellStyle name="Normal 28 2 4 5 2" xfId="9598" xr:uid="{00000000-0005-0000-0000-0000681B0000}"/>
    <cellStyle name="Normal 28 2 4 5 2 2" xfId="18404" xr:uid="{FF490B99-B9A6-44A8-A02C-6BADB0C8041A}"/>
    <cellStyle name="Normal 28 2 4 5 3" xfId="7996" xr:uid="{00000000-0005-0000-0000-0000691B0000}"/>
    <cellStyle name="Normal 28 2 4 5 3 2" xfId="16805" xr:uid="{97B5DCAB-609F-4EA3-94A5-25BC612B6CD8}"/>
    <cellStyle name="Normal 28 2 4 5 4" xfId="11208" xr:uid="{00000000-0005-0000-0000-00006A1B0000}"/>
    <cellStyle name="Normal 28 2 4 5 4 2" xfId="19951" xr:uid="{075EDFB7-7AEF-4B61-9C88-136A992C2850}"/>
    <cellStyle name="Normal 28 2 4 5 5" xfId="12815" xr:uid="{00000000-0005-0000-0000-00006B1B0000}"/>
    <cellStyle name="Normal 28 2 4 5 5 2" xfId="21551" xr:uid="{EE0F2AAC-37B6-4038-BBB1-9B5FCEE0A742}"/>
    <cellStyle name="Normal 28 2 4 5 6" xfId="15045" xr:uid="{D8751D6F-B2D0-43DD-AC34-6552DBE03E75}"/>
    <cellStyle name="Normal 28 2 4 6" xfId="2814" xr:uid="{00000000-0005-0000-0000-00006C1B0000}"/>
    <cellStyle name="Normal 28 2 4 6 2" xfId="9599" xr:uid="{00000000-0005-0000-0000-00006D1B0000}"/>
    <cellStyle name="Normal 28 2 4 6 2 2" xfId="18405" xr:uid="{1500FB37-9A31-4E20-94F2-9C4CDAEC7A92}"/>
    <cellStyle name="Normal 28 2 4 6 3" xfId="7997" xr:uid="{00000000-0005-0000-0000-00006E1B0000}"/>
    <cellStyle name="Normal 28 2 4 6 3 2" xfId="16806" xr:uid="{42ADB1FB-577D-43F2-A1DC-FADD553EF357}"/>
    <cellStyle name="Normal 28 2 4 6 4" xfId="11209" xr:uid="{00000000-0005-0000-0000-00006F1B0000}"/>
    <cellStyle name="Normal 28 2 4 6 4 2" xfId="19952" xr:uid="{0B72274C-809D-4D09-A0E3-82F004C6E5DC}"/>
    <cellStyle name="Normal 28 2 4 6 5" xfId="12816" xr:uid="{00000000-0005-0000-0000-0000701B0000}"/>
    <cellStyle name="Normal 28 2 4 6 5 2" xfId="21552" xr:uid="{30788005-7BBC-4927-8F78-DB3EF5833C7B}"/>
    <cellStyle name="Normal 28 2 4 6 6" xfId="15046" xr:uid="{3B83D0A1-901A-4AF5-BC5C-14A9075E6FA4}"/>
    <cellStyle name="Normal 28 2 4 7" xfId="2815" xr:uid="{00000000-0005-0000-0000-0000711B0000}"/>
    <cellStyle name="Normal 28 2 4 7 2" xfId="9600" xr:uid="{00000000-0005-0000-0000-0000721B0000}"/>
    <cellStyle name="Normal 28 2 4 7 2 2" xfId="18406" xr:uid="{0983E82C-F1DC-425E-81FD-418A7A333C38}"/>
    <cellStyle name="Normal 28 2 4 7 3" xfId="7998" xr:uid="{00000000-0005-0000-0000-0000731B0000}"/>
    <cellStyle name="Normal 28 2 4 7 3 2" xfId="16807" xr:uid="{C5991F8F-4DED-4C9D-A260-D7920AC2EA42}"/>
    <cellStyle name="Normal 28 2 4 7 4" xfId="11210" xr:uid="{00000000-0005-0000-0000-0000741B0000}"/>
    <cellStyle name="Normal 28 2 4 7 4 2" xfId="19953" xr:uid="{A7D568D5-06E8-4B73-89E9-C258941885AD}"/>
    <cellStyle name="Normal 28 2 4 7 5" xfId="12817" xr:uid="{00000000-0005-0000-0000-0000751B0000}"/>
    <cellStyle name="Normal 28 2 4 7 5 2" xfId="21553" xr:uid="{BC2802D4-1C92-44D1-8C21-68FDD269CA50}"/>
    <cellStyle name="Normal 28 2 4 7 6" xfId="15047" xr:uid="{7C45E3FD-35E9-4664-B6FA-0E1D7F5F220E}"/>
    <cellStyle name="Normal 28 2 5" xfId="2816" xr:uid="{00000000-0005-0000-0000-0000761B0000}"/>
    <cellStyle name="Normal 28 2 6" xfId="2817" xr:uid="{00000000-0005-0000-0000-0000771B0000}"/>
    <cellStyle name="Normal 28 2 7" xfId="2818" xr:uid="{00000000-0005-0000-0000-0000781B0000}"/>
    <cellStyle name="Normal 28 2 7 2" xfId="9601" xr:uid="{00000000-0005-0000-0000-0000791B0000}"/>
    <cellStyle name="Normal 28 2 7 2 2" xfId="18407" xr:uid="{8933B261-85EF-41F2-B0AE-15D392087804}"/>
    <cellStyle name="Normal 28 2 7 3" xfId="7999" xr:uid="{00000000-0005-0000-0000-00007A1B0000}"/>
    <cellStyle name="Normal 28 2 7 3 2" xfId="16808" xr:uid="{7AD342EC-8BD2-4146-BD4D-A60DCBD4E158}"/>
    <cellStyle name="Normal 28 2 7 4" xfId="11211" xr:uid="{00000000-0005-0000-0000-00007B1B0000}"/>
    <cellStyle name="Normal 28 2 7 4 2" xfId="19954" xr:uid="{FA8221B8-328F-4E0C-B5AC-7F6FB99D998F}"/>
    <cellStyle name="Normal 28 2 7 5" xfId="12818" xr:uid="{00000000-0005-0000-0000-00007C1B0000}"/>
    <cellStyle name="Normal 28 2 7 5 2" xfId="21554" xr:uid="{CC8C798F-5EA7-4059-AACB-289794218661}"/>
    <cellStyle name="Normal 28 2 7 6" xfId="15048" xr:uid="{C140C8EA-80B1-44F5-A8B6-4CE865316466}"/>
    <cellStyle name="Normal 28 2 8" xfId="2819" xr:uid="{00000000-0005-0000-0000-00007D1B0000}"/>
    <cellStyle name="Normal 28 2 8 2" xfId="9602" xr:uid="{00000000-0005-0000-0000-00007E1B0000}"/>
    <cellStyle name="Normal 28 2 8 2 2" xfId="18408" xr:uid="{BBCF56EF-1107-4362-8378-DCDC884765E2}"/>
    <cellStyle name="Normal 28 2 8 3" xfId="8000" xr:uid="{00000000-0005-0000-0000-00007F1B0000}"/>
    <cellStyle name="Normal 28 2 8 3 2" xfId="16809" xr:uid="{7BC5BCEA-5210-4F51-BBCD-163AAEF8199A}"/>
    <cellStyle name="Normal 28 2 8 4" xfId="11212" xr:uid="{00000000-0005-0000-0000-0000801B0000}"/>
    <cellStyle name="Normal 28 2 8 4 2" xfId="19955" xr:uid="{6E1411E6-C9C0-4BE5-8862-4A08D6C09EF1}"/>
    <cellStyle name="Normal 28 2 8 5" xfId="12819" xr:uid="{00000000-0005-0000-0000-0000811B0000}"/>
    <cellStyle name="Normal 28 2 8 5 2" xfId="21555" xr:uid="{4234A6FA-A9C6-458C-A945-1A16EAC82D68}"/>
    <cellStyle name="Normal 28 2 8 6" xfId="15049" xr:uid="{CA5C1C23-2D43-47AB-9B5A-BD09BDEE4CCC}"/>
    <cellStyle name="Normal 28 2 9" xfId="2820" xr:uid="{00000000-0005-0000-0000-0000821B0000}"/>
    <cellStyle name="Normal 28 2 9 2" xfId="9603" xr:uid="{00000000-0005-0000-0000-0000831B0000}"/>
    <cellStyle name="Normal 28 2 9 2 2" xfId="18409" xr:uid="{218C4A4A-3A81-4CC7-9E9C-35C48F169BD2}"/>
    <cellStyle name="Normal 28 2 9 3" xfId="8001" xr:uid="{00000000-0005-0000-0000-0000841B0000}"/>
    <cellStyle name="Normal 28 2 9 3 2" xfId="16810" xr:uid="{11981E9F-6737-483E-A8B0-9E7F207D9279}"/>
    <cellStyle name="Normal 28 2 9 4" xfId="11213" xr:uid="{00000000-0005-0000-0000-0000851B0000}"/>
    <cellStyle name="Normal 28 2 9 4 2" xfId="19956" xr:uid="{456D3713-CE95-41D0-92B8-BE76C3AD0154}"/>
    <cellStyle name="Normal 28 2 9 5" xfId="12820" xr:uid="{00000000-0005-0000-0000-0000861B0000}"/>
    <cellStyle name="Normal 28 2 9 5 2" xfId="21556" xr:uid="{4F87025A-B18C-42E6-BF7F-44EAC3E28D64}"/>
    <cellStyle name="Normal 28 2 9 6" xfId="15050" xr:uid="{73BF79FA-8264-43A4-B6B2-F136CE44AD9F}"/>
    <cellStyle name="Normal 28 3" xfId="2821" xr:uid="{00000000-0005-0000-0000-0000871B0000}"/>
    <cellStyle name="Normal 28 3 2" xfId="2822" xr:uid="{00000000-0005-0000-0000-0000881B0000}"/>
    <cellStyle name="Normal 28 3 2 2" xfId="9605" xr:uid="{00000000-0005-0000-0000-0000891B0000}"/>
    <cellStyle name="Normal 28 3 2 2 2" xfId="18411" xr:uid="{090AE695-A444-4DC9-A1B9-5FD8BC57F97A}"/>
    <cellStyle name="Normal 28 3 2 3" xfId="8003" xr:uid="{00000000-0005-0000-0000-00008A1B0000}"/>
    <cellStyle name="Normal 28 3 2 3 2" xfId="16812" xr:uid="{76B406CF-1A0F-4337-BDFA-A30DE88698EE}"/>
    <cellStyle name="Normal 28 3 2 4" xfId="11215" xr:uid="{00000000-0005-0000-0000-00008B1B0000}"/>
    <cellStyle name="Normal 28 3 2 4 2" xfId="19958" xr:uid="{0A116AD8-BC68-4541-B8F3-46643297F1DA}"/>
    <cellStyle name="Normal 28 3 2 5" xfId="12822" xr:uid="{00000000-0005-0000-0000-00008C1B0000}"/>
    <cellStyle name="Normal 28 3 2 5 2" xfId="21558" xr:uid="{1F6BD607-2154-4874-89B8-14B16D800587}"/>
    <cellStyle name="Normal 28 3 2 6" xfId="15052" xr:uid="{2C25DBBE-5B1C-4F9E-8CFF-BCF616453E06}"/>
    <cellStyle name="Normal 28 3 3" xfId="2823" xr:uid="{00000000-0005-0000-0000-00008D1B0000}"/>
    <cellStyle name="Normal 28 3 3 2" xfId="9606" xr:uid="{00000000-0005-0000-0000-00008E1B0000}"/>
    <cellStyle name="Normal 28 3 3 2 2" xfId="18412" xr:uid="{DA3F6B3F-D1BF-46EF-936A-766B15D75938}"/>
    <cellStyle name="Normal 28 3 3 3" xfId="8004" xr:uid="{00000000-0005-0000-0000-00008F1B0000}"/>
    <cellStyle name="Normal 28 3 3 3 2" xfId="16813" xr:uid="{386767A9-034A-4250-B70C-5492BBB80082}"/>
    <cellStyle name="Normal 28 3 3 4" xfId="11216" xr:uid="{00000000-0005-0000-0000-0000901B0000}"/>
    <cellStyle name="Normal 28 3 3 4 2" xfId="19959" xr:uid="{D84D95C1-A1B1-4A69-B8CC-503AF69DA94B}"/>
    <cellStyle name="Normal 28 3 3 5" xfId="12823" xr:uid="{00000000-0005-0000-0000-0000911B0000}"/>
    <cellStyle name="Normal 28 3 3 5 2" xfId="21559" xr:uid="{25E2F19E-2FC1-431A-B49A-BE4F1D220AA2}"/>
    <cellStyle name="Normal 28 3 3 6" xfId="15053" xr:uid="{8EB37B0A-EA91-423F-B15A-2F0C4E1851D1}"/>
    <cellStyle name="Normal 28 3 4" xfId="2824" xr:uid="{00000000-0005-0000-0000-0000921B0000}"/>
    <cellStyle name="Normal 28 3 4 2" xfId="9607" xr:uid="{00000000-0005-0000-0000-0000931B0000}"/>
    <cellStyle name="Normal 28 3 4 2 2" xfId="18413" xr:uid="{49E4A84E-F946-42C8-9FA2-59F3558C7473}"/>
    <cellStyle name="Normal 28 3 4 3" xfId="8005" xr:uid="{00000000-0005-0000-0000-0000941B0000}"/>
    <cellStyle name="Normal 28 3 4 3 2" xfId="16814" xr:uid="{8D6BF90F-01A1-4404-9787-2EFE73E8E77F}"/>
    <cellStyle name="Normal 28 3 4 4" xfId="11217" xr:uid="{00000000-0005-0000-0000-0000951B0000}"/>
    <cellStyle name="Normal 28 3 4 4 2" xfId="19960" xr:uid="{164030B2-C0EE-4AF3-86F4-1F27A5208459}"/>
    <cellStyle name="Normal 28 3 4 5" xfId="12824" xr:uid="{00000000-0005-0000-0000-0000961B0000}"/>
    <cellStyle name="Normal 28 3 4 5 2" xfId="21560" xr:uid="{B37493C8-9F6A-4C17-8FD9-883F10383E36}"/>
    <cellStyle name="Normal 28 3 4 6" xfId="15054" xr:uid="{FAB3FF15-35D9-4274-B295-B812B94E46FC}"/>
    <cellStyle name="Normal 28 3 5" xfId="9604" xr:uid="{00000000-0005-0000-0000-0000971B0000}"/>
    <cellStyle name="Normal 28 3 5 2" xfId="18410" xr:uid="{1FDBA8EE-4ADD-4526-96AC-6871E5871651}"/>
    <cellStyle name="Normal 28 3 6" xfId="8002" xr:uid="{00000000-0005-0000-0000-0000981B0000}"/>
    <cellStyle name="Normal 28 3 6 2" xfId="16811" xr:uid="{DD5566D7-46A7-4334-929E-6631C1876A0B}"/>
    <cellStyle name="Normal 28 3 7" xfId="11214" xr:uid="{00000000-0005-0000-0000-0000991B0000}"/>
    <cellStyle name="Normal 28 3 7 2" xfId="19957" xr:uid="{ACAC94C2-6DC6-4369-822E-7ABB14C9B4D5}"/>
    <cellStyle name="Normal 28 3 8" xfId="12821" xr:uid="{00000000-0005-0000-0000-00009A1B0000}"/>
    <cellStyle name="Normal 28 3 8 2" xfId="21557" xr:uid="{2617BE78-10A3-4AAF-941D-6917193A6680}"/>
    <cellStyle name="Normal 28 3 9" xfId="15051" xr:uid="{28E3395B-20FC-4575-9A75-6596B51EA118}"/>
    <cellStyle name="Normal 28 4" xfId="2825" xr:uid="{00000000-0005-0000-0000-00009B1B0000}"/>
    <cellStyle name="Normal 280" xfId="22868" xr:uid="{84E24A3E-6A99-4CD8-97E1-54A1B5192D4F}"/>
    <cellStyle name="Normal 281" xfId="22794" xr:uid="{4CC98E88-A7AB-45CD-A843-447A08A7064A}"/>
    <cellStyle name="Normal 282" xfId="22789" xr:uid="{2C5B9063-32BF-46E6-AB93-8B0E76891416}"/>
    <cellStyle name="Normal 283" xfId="22906" xr:uid="{258E59ED-8CFC-472D-B005-0C6B8EA3941D}"/>
    <cellStyle name="Normal 284" xfId="23607" xr:uid="{2AF1E73C-F70F-4E0F-97E2-9671024484C2}"/>
    <cellStyle name="Normal 285" xfId="24143" xr:uid="{AA96B09A-1E2D-46C5-819F-1B311230BEC7}"/>
    <cellStyle name="Normal 286" xfId="22866" xr:uid="{D39BF572-57FA-43D2-94D7-CBE8E74A4778}"/>
    <cellStyle name="Normal 287" xfId="24137" xr:uid="{8E66564E-33A6-4C04-B5FF-CD2DA46A71EA}"/>
    <cellStyle name="Normal 288" xfId="24145" xr:uid="{27EA4C0F-3D5E-48FC-8E22-7236A165F3B1}"/>
    <cellStyle name="Normal 289" xfId="22889" xr:uid="{9BB2AADF-5F1E-4648-AB58-9766E6020C19}"/>
    <cellStyle name="Normal 29" xfId="2826" xr:uid="{00000000-0005-0000-0000-00009C1B0000}"/>
    <cellStyle name="Normal 29 2" xfId="2827" xr:uid="{00000000-0005-0000-0000-00009D1B0000}"/>
    <cellStyle name="Normal 29 2 10" xfId="8006" xr:uid="{00000000-0005-0000-0000-00009E1B0000}"/>
    <cellStyle name="Normal 29 2 10 2" xfId="16815" xr:uid="{4357DF57-62BC-43CA-BDCD-E074EF087E91}"/>
    <cellStyle name="Normal 29 2 11" xfId="11218" xr:uid="{00000000-0005-0000-0000-00009F1B0000}"/>
    <cellStyle name="Normal 29 2 11 2" xfId="19961" xr:uid="{D1C1EC82-638F-4F70-BE60-70AC0A9C5DC3}"/>
    <cellStyle name="Normal 29 2 12" xfId="12825" xr:uid="{00000000-0005-0000-0000-0000A01B0000}"/>
    <cellStyle name="Normal 29 2 12 2" xfId="21561" xr:uid="{F3BCA141-10AD-40E3-813C-7D56FBE35949}"/>
    <cellStyle name="Normal 29 2 13" xfId="15055" xr:uid="{39E85451-26AF-416F-BEF7-92081EB97BF8}"/>
    <cellStyle name="Normal 29 2 2" xfId="2828" xr:uid="{00000000-0005-0000-0000-0000A11B0000}"/>
    <cellStyle name="Normal 29 2 2 2" xfId="2829" xr:uid="{00000000-0005-0000-0000-0000A21B0000}"/>
    <cellStyle name="Normal 29 2 2 2 2" xfId="2830" xr:uid="{00000000-0005-0000-0000-0000A31B0000}"/>
    <cellStyle name="Normal 29 2 2 2 2 2" xfId="2831" xr:uid="{00000000-0005-0000-0000-0000A41B0000}"/>
    <cellStyle name="Normal 29 2 2 2 2 2 2" xfId="9610" xr:uid="{00000000-0005-0000-0000-0000A51B0000}"/>
    <cellStyle name="Normal 29 2 2 2 2 2 2 2" xfId="18416" xr:uid="{43B5E558-219A-42F4-9A52-758BF68DE183}"/>
    <cellStyle name="Normal 29 2 2 2 2 2 3" xfId="8008" xr:uid="{00000000-0005-0000-0000-0000A61B0000}"/>
    <cellStyle name="Normal 29 2 2 2 2 2 3 2" xfId="16817" xr:uid="{ED3A3F14-186F-4D58-9115-704796649983}"/>
    <cellStyle name="Normal 29 2 2 2 2 2 4" xfId="11220" xr:uid="{00000000-0005-0000-0000-0000A71B0000}"/>
    <cellStyle name="Normal 29 2 2 2 2 2 4 2" xfId="19963" xr:uid="{6D632136-26EB-4430-8277-A2A9E549A418}"/>
    <cellStyle name="Normal 29 2 2 2 2 2 5" xfId="12827" xr:uid="{00000000-0005-0000-0000-0000A81B0000}"/>
    <cellStyle name="Normal 29 2 2 2 2 2 5 2" xfId="21563" xr:uid="{DAA3638C-16CA-46FF-80AE-D93AA4CE4BA8}"/>
    <cellStyle name="Normal 29 2 2 2 2 2 6" xfId="15057" xr:uid="{1D18CBC8-9C14-413F-8C8A-6DB4AD68D9AC}"/>
    <cellStyle name="Normal 29 2 2 2 2 3" xfId="2832" xr:uid="{00000000-0005-0000-0000-0000A91B0000}"/>
    <cellStyle name="Normal 29 2 2 2 2 3 2" xfId="9611" xr:uid="{00000000-0005-0000-0000-0000AA1B0000}"/>
    <cellStyle name="Normal 29 2 2 2 2 3 2 2" xfId="18417" xr:uid="{C73D9CA0-3474-402D-BC20-9E4F862137BF}"/>
    <cellStyle name="Normal 29 2 2 2 2 3 3" xfId="8009" xr:uid="{00000000-0005-0000-0000-0000AB1B0000}"/>
    <cellStyle name="Normal 29 2 2 2 2 3 3 2" xfId="16818" xr:uid="{C3B604F8-4C1C-4E33-AD17-3774C2716067}"/>
    <cellStyle name="Normal 29 2 2 2 2 3 4" xfId="11221" xr:uid="{00000000-0005-0000-0000-0000AC1B0000}"/>
    <cellStyle name="Normal 29 2 2 2 2 3 4 2" xfId="19964" xr:uid="{EF285ACA-8F0E-4D5C-B8B9-C1D55ECCFF0F}"/>
    <cellStyle name="Normal 29 2 2 2 2 3 5" xfId="12828" xr:uid="{00000000-0005-0000-0000-0000AD1B0000}"/>
    <cellStyle name="Normal 29 2 2 2 2 3 5 2" xfId="21564" xr:uid="{90B83FE1-F536-42C9-96AD-75B107FD37DB}"/>
    <cellStyle name="Normal 29 2 2 2 2 3 6" xfId="15058" xr:uid="{DF1AE688-23E2-4DF6-83DB-12B52BA5F6B3}"/>
    <cellStyle name="Normal 29 2 2 2 2 4" xfId="2833" xr:uid="{00000000-0005-0000-0000-0000AE1B0000}"/>
    <cellStyle name="Normal 29 2 2 2 2 4 2" xfId="9612" xr:uid="{00000000-0005-0000-0000-0000AF1B0000}"/>
    <cellStyle name="Normal 29 2 2 2 2 4 2 2" xfId="18418" xr:uid="{9E5CC734-FD39-44E2-91D5-DAB60E9CC622}"/>
    <cellStyle name="Normal 29 2 2 2 2 4 3" xfId="8010" xr:uid="{00000000-0005-0000-0000-0000B01B0000}"/>
    <cellStyle name="Normal 29 2 2 2 2 4 3 2" xfId="16819" xr:uid="{C341034F-96A8-411C-9042-F4286DC7D832}"/>
    <cellStyle name="Normal 29 2 2 2 2 4 4" xfId="11222" xr:uid="{00000000-0005-0000-0000-0000B11B0000}"/>
    <cellStyle name="Normal 29 2 2 2 2 4 4 2" xfId="19965" xr:uid="{57DBE59C-E54E-4F17-B585-C60DC63B3B3D}"/>
    <cellStyle name="Normal 29 2 2 2 2 4 5" xfId="12829" xr:uid="{00000000-0005-0000-0000-0000B21B0000}"/>
    <cellStyle name="Normal 29 2 2 2 2 4 5 2" xfId="21565" xr:uid="{37902BBA-D04A-4DEF-90B7-0E785D3FD434}"/>
    <cellStyle name="Normal 29 2 2 2 2 4 6" xfId="15059" xr:uid="{1DBF7793-843A-4072-B136-2B92FB637956}"/>
    <cellStyle name="Normal 29 2 2 2 3" xfId="2834" xr:uid="{00000000-0005-0000-0000-0000B31B0000}"/>
    <cellStyle name="Normal 29 2 2 2 4" xfId="2835" xr:uid="{00000000-0005-0000-0000-0000B41B0000}"/>
    <cellStyle name="Normal 29 2 2 2 5" xfId="9609" xr:uid="{00000000-0005-0000-0000-0000B51B0000}"/>
    <cellStyle name="Normal 29 2 2 2 5 2" xfId="18415" xr:uid="{AF89295C-A93C-4439-8277-D9B04AB06BE5}"/>
    <cellStyle name="Normal 29 2 2 2 6" xfId="8007" xr:uid="{00000000-0005-0000-0000-0000B61B0000}"/>
    <cellStyle name="Normal 29 2 2 2 6 2" xfId="16816" xr:uid="{A2C145BA-56F8-4369-8BF2-F1BFD994B32C}"/>
    <cellStyle name="Normal 29 2 2 2 7" xfId="11219" xr:uid="{00000000-0005-0000-0000-0000B71B0000}"/>
    <cellStyle name="Normal 29 2 2 2 7 2" xfId="19962" xr:uid="{7E1AF2D9-5231-43E0-87D4-7129928FE172}"/>
    <cellStyle name="Normal 29 2 2 2 8" xfId="12826" xr:uid="{00000000-0005-0000-0000-0000B81B0000}"/>
    <cellStyle name="Normal 29 2 2 2 8 2" xfId="21562" xr:uid="{8EEF07FB-773A-4C52-92A0-8639D397F481}"/>
    <cellStyle name="Normal 29 2 2 2 9" xfId="15056" xr:uid="{C657B723-A3C8-4B24-92F3-899214F51DD9}"/>
    <cellStyle name="Normal 29 2 2 3" xfId="2836" xr:uid="{00000000-0005-0000-0000-0000B91B0000}"/>
    <cellStyle name="Normal 29 2 2 3 2" xfId="2837" xr:uid="{00000000-0005-0000-0000-0000BA1B0000}"/>
    <cellStyle name="Normal 29 2 2 3 2 2" xfId="9614" xr:uid="{00000000-0005-0000-0000-0000BB1B0000}"/>
    <cellStyle name="Normal 29 2 2 3 2 2 2" xfId="18420" xr:uid="{88DFA0A5-62EE-4503-B53C-A4EEB8156CED}"/>
    <cellStyle name="Normal 29 2 2 3 2 3" xfId="8012" xr:uid="{00000000-0005-0000-0000-0000BC1B0000}"/>
    <cellStyle name="Normal 29 2 2 3 2 3 2" xfId="16821" xr:uid="{84CE8B48-7EDC-4DB1-8B09-13A09928677B}"/>
    <cellStyle name="Normal 29 2 2 3 2 4" xfId="11224" xr:uid="{00000000-0005-0000-0000-0000BD1B0000}"/>
    <cellStyle name="Normal 29 2 2 3 2 4 2" xfId="19967" xr:uid="{09603C1A-E6EB-4020-AE1D-9FD96BDA1F32}"/>
    <cellStyle name="Normal 29 2 2 3 2 5" xfId="12831" xr:uid="{00000000-0005-0000-0000-0000BE1B0000}"/>
    <cellStyle name="Normal 29 2 2 3 2 5 2" xfId="21567" xr:uid="{E19F0E47-D4CB-4DAE-A26E-B1368903215D}"/>
    <cellStyle name="Normal 29 2 2 3 2 6" xfId="15061" xr:uid="{F18A4A17-6F6A-4AD9-9B4A-BEF1D5CF77B0}"/>
    <cellStyle name="Normal 29 2 2 3 3" xfId="2838" xr:uid="{00000000-0005-0000-0000-0000BF1B0000}"/>
    <cellStyle name="Normal 29 2 2 3 3 2" xfId="9615" xr:uid="{00000000-0005-0000-0000-0000C01B0000}"/>
    <cellStyle name="Normal 29 2 2 3 3 2 2" xfId="18421" xr:uid="{12A6FAFA-DDA7-46A8-A60A-7731268F1F34}"/>
    <cellStyle name="Normal 29 2 2 3 3 3" xfId="8013" xr:uid="{00000000-0005-0000-0000-0000C11B0000}"/>
    <cellStyle name="Normal 29 2 2 3 3 3 2" xfId="16822" xr:uid="{28922F00-0589-4DB6-A987-4C750302BC90}"/>
    <cellStyle name="Normal 29 2 2 3 3 4" xfId="11225" xr:uid="{00000000-0005-0000-0000-0000C21B0000}"/>
    <cellStyle name="Normal 29 2 2 3 3 4 2" xfId="19968" xr:uid="{C7FB0078-8A30-4662-80C3-9A7E8D76795E}"/>
    <cellStyle name="Normal 29 2 2 3 3 5" xfId="12832" xr:uid="{00000000-0005-0000-0000-0000C31B0000}"/>
    <cellStyle name="Normal 29 2 2 3 3 5 2" xfId="21568" xr:uid="{F29D597E-7E08-4385-B381-5C9A4D282E90}"/>
    <cellStyle name="Normal 29 2 2 3 3 6" xfId="15062" xr:uid="{21D8066B-45C9-40E0-B8C5-36B9237E2B36}"/>
    <cellStyle name="Normal 29 2 2 3 4" xfId="2839" xr:uid="{00000000-0005-0000-0000-0000C41B0000}"/>
    <cellStyle name="Normal 29 2 2 3 4 2" xfId="9616" xr:uid="{00000000-0005-0000-0000-0000C51B0000}"/>
    <cellStyle name="Normal 29 2 2 3 4 2 2" xfId="18422" xr:uid="{77E77807-90A6-4430-81FE-BE9E3E533885}"/>
    <cellStyle name="Normal 29 2 2 3 4 3" xfId="8014" xr:uid="{00000000-0005-0000-0000-0000C61B0000}"/>
    <cellStyle name="Normal 29 2 2 3 4 3 2" xfId="16823" xr:uid="{ABC6A11E-2557-49F3-849C-FF1E83E91CB4}"/>
    <cellStyle name="Normal 29 2 2 3 4 4" xfId="11226" xr:uid="{00000000-0005-0000-0000-0000C71B0000}"/>
    <cellStyle name="Normal 29 2 2 3 4 4 2" xfId="19969" xr:uid="{1016518B-25BA-4C90-8832-2A97ABC8513E}"/>
    <cellStyle name="Normal 29 2 2 3 4 5" xfId="12833" xr:uid="{00000000-0005-0000-0000-0000C81B0000}"/>
    <cellStyle name="Normal 29 2 2 3 4 5 2" xfId="21569" xr:uid="{B0614A54-CF74-4B7A-A7D7-4FEE127D3EA7}"/>
    <cellStyle name="Normal 29 2 2 3 4 6" xfId="15063" xr:uid="{973F7986-E667-4E83-A6A9-7D882BED8D14}"/>
    <cellStyle name="Normal 29 2 2 3 5" xfId="9613" xr:uid="{00000000-0005-0000-0000-0000C91B0000}"/>
    <cellStyle name="Normal 29 2 2 3 5 2" xfId="18419" xr:uid="{B39F2AC9-949C-4905-9AED-3D17EEBB0179}"/>
    <cellStyle name="Normal 29 2 2 3 6" xfId="8011" xr:uid="{00000000-0005-0000-0000-0000CA1B0000}"/>
    <cellStyle name="Normal 29 2 2 3 6 2" xfId="16820" xr:uid="{38D083B5-CD1D-4BD3-AE10-61B9017D278B}"/>
    <cellStyle name="Normal 29 2 2 3 7" xfId="11223" xr:uid="{00000000-0005-0000-0000-0000CB1B0000}"/>
    <cellStyle name="Normal 29 2 2 3 7 2" xfId="19966" xr:uid="{883D48F9-E6D2-48FE-A8C6-4DF43D316677}"/>
    <cellStyle name="Normal 29 2 2 3 8" xfId="12830" xr:uid="{00000000-0005-0000-0000-0000CC1B0000}"/>
    <cellStyle name="Normal 29 2 2 3 8 2" xfId="21566" xr:uid="{78F9E3DC-2B6C-4324-883B-B8BE4BB3CD3D}"/>
    <cellStyle name="Normal 29 2 2 3 9" xfId="15060" xr:uid="{8375768D-7700-4FB5-B98B-864F94130906}"/>
    <cellStyle name="Normal 29 2 2 4" xfId="2840" xr:uid="{00000000-0005-0000-0000-0000CD1B0000}"/>
    <cellStyle name="Normal 29 2 2 4 2" xfId="2841" xr:uid="{00000000-0005-0000-0000-0000CE1B0000}"/>
    <cellStyle name="Normal 29 2 2 4 2 2" xfId="9618" xr:uid="{00000000-0005-0000-0000-0000CF1B0000}"/>
    <cellStyle name="Normal 29 2 2 4 2 2 2" xfId="18424" xr:uid="{5D3607F9-2DA9-4ABB-A971-7150EA1DEE1F}"/>
    <cellStyle name="Normal 29 2 2 4 2 3" xfId="8016" xr:uid="{00000000-0005-0000-0000-0000D01B0000}"/>
    <cellStyle name="Normal 29 2 2 4 2 3 2" xfId="16825" xr:uid="{1708B8D6-7016-4CF2-ABE0-C4D908E41743}"/>
    <cellStyle name="Normal 29 2 2 4 2 4" xfId="11228" xr:uid="{00000000-0005-0000-0000-0000D11B0000}"/>
    <cellStyle name="Normal 29 2 2 4 2 4 2" xfId="19971" xr:uid="{9AC12621-EEC2-4341-93E2-FD1B47D59898}"/>
    <cellStyle name="Normal 29 2 2 4 2 5" xfId="12835" xr:uid="{00000000-0005-0000-0000-0000D21B0000}"/>
    <cellStyle name="Normal 29 2 2 4 2 5 2" xfId="21571" xr:uid="{74AFD62D-A5E2-48B2-842E-A59A1BE522E9}"/>
    <cellStyle name="Normal 29 2 2 4 2 6" xfId="15065" xr:uid="{29710390-2C3F-4A57-94D5-A0EE37365910}"/>
    <cellStyle name="Normal 29 2 2 4 3" xfId="2842" xr:uid="{00000000-0005-0000-0000-0000D31B0000}"/>
    <cellStyle name="Normal 29 2 2 4 3 2" xfId="9619" xr:uid="{00000000-0005-0000-0000-0000D41B0000}"/>
    <cellStyle name="Normal 29 2 2 4 3 2 2" xfId="18425" xr:uid="{DDDD9617-20DB-4749-923D-5CFAE0BDF1AB}"/>
    <cellStyle name="Normal 29 2 2 4 3 3" xfId="8017" xr:uid="{00000000-0005-0000-0000-0000D51B0000}"/>
    <cellStyle name="Normal 29 2 2 4 3 3 2" xfId="16826" xr:uid="{4BA87068-278E-4E1E-8D44-8634450A6F6F}"/>
    <cellStyle name="Normal 29 2 2 4 3 4" xfId="11229" xr:uid="{00000000-0005-0000-0000-0000D61B0000}"/>
    <cellStyle name="Normal 29 2 2 4 3 4 2" xfId="19972" xr:uid="{89F74E9D-BC90-4F95-8EF6-8AB77AF625C7}"/>
    <cellStyle name="Normal 29 2 2 4 3 5" xfId="12836" xr:uid="{00000000-0005-0000-0000-0000D71B0000}"/>
    <cellStyle name="Normal 29 2 2 4 3 5 2" xfId="21572" xr:uid="{38E5BE1E-F944-4058-B754-E011C47567B6}"/>
    <cellStyle name="Normal 29 2 2 4 3 6" xfId="15066" xr:uid="{3CE95630-8C45-467A-8026-3558DBF1AD0B}"/>
    <cellStyle name="Normal 29 2 2 4 4" xfId="2843" xr:uid="{00000000-0005-0000-0000-0000D81B0000}"/>
    <cellStyle name="Normal 29 2 2 4 4 2" xfId="9620" xr:uid="{00000000-0005-0000-0000-0000D91B0000}"/>
    <cellStyle name="Normal 29 2 2 4 4 2 2" xfId="18426" xr:uid="{99C9E5FC-2BF3-47F5-96BB-D800E5996055}"/>
    <cellStyle name="Normal 29 2 2 4 4 3" xfId="8018" xr:uid="{00000000-0005-0000-0000-0000DA1B0000}"/>
    <cellStyle name="Normal 29 2 2 4 4 3 2" xfId="16827" xr:uid="{CC733A61-ED09-41D1-99B9-AC538C380C6F}"/>
    <cellStyle name="Normal 29 2 2 4 4 4" xfId="11230" xr:uid="{00000000-0005-0000-0000-0000DB1B0000}"/>
    <cellStyle name="Normal 29 2 2 4 4 4 2" xfId="19973" xr:uid="{A0218B7A-EBEA-4DCB-AC94-8551421962E0}"/>
    <cellStyle name="Normal 29 2 2 4 4 5" xfId="12837" xr:uid="{00000000-0005-0000-0000-0000DC1B0000}"/>
    <cellStyle name="Normal 29 2 2 4 4 5 2" xfId="21573" xr:uid="{89A657F6-AA2D-47A6-9F1B-C16BDC1C87BE}"/>
    <cellStyle name="Normal 29 2 2 4 4 6" xfId="15067" xr:uid="{4893F3BF-6CF3-42BB-94FD-BEDEC32C4F54}"/>
    <cellStyle name="Normal 29 2 2 4 5" xfId="9617" xr:uid="{00000000-0005-0000-0000-0000DD1B0000}"/>
    <cellStyle name="Normal 29 2 2 4 5 2" xfId="18423" xr:uid="{CE0398B7-C583-4800-8B23-77E72E3D5E6A}"/>
    <cellStyle name="Normal 29 2 2 4 6" xfId="8015" xr:uid="{00000000-0005-0000-0000-0000DE1B0000}"/>
    <cellStyle name="Normal 29 2 2 4 6 2" xfId="16824" xr:uid="{D5E166F2-3877-4ADE-8AB4-4DBEE1157489}"/>
    <cellStyle name="Normal 29 2 2 4 7" xfId="11227" xr:uid="{00000000-0005-0000-0000-0000DF1B0000}"/>
    <cellStyle name="Normal 29 2 2 4 7 2" xfId="19970" xr:uid="{2C980C47-78BA-480D-B03E-FA8D2C1954AB}"/>
    <cellStyle name="Normal 29 2 2 4 8" xfId="12834" xr:uid="{00000000-0005-0000-0000-0000E01B0000}"/>
    <cellStyle name="Normal 29 2 2 4 8 2" xfId="21570" xr:uid="{C40F093E-A783-4CE2-822C-7885CBDD1ED2}"/>
    <cellStyle name="Normal 29 2 2 4 9" xfId="15064" xr:uid="{45FF06F4-BCC7-4404-B6B8-39A1E290395E}"/>
    <cellStyle name="Normal 29 2 2 5" xfId="2844" xr:uid="{00000000-0005-0000-0000-0000E11B0000}"/>
    <cellStyle name="Normal 29 2 2 5 2" xfId="9621" xr:uid="{00000000-0005-0000-0000-0000E21B0000}"/>
    <cellStyle name="Normal 29 2 2 5 2 2" xfId="18427" xr:uid="{C8B883EA-2BF2-40C5-8975-4A987B534397}"/>
    <cellStyle name="Normal 29 2 2 5 3" xfId="8019" xr:uid="{00000000-0005-0000-0000-0000E31B0000}"/>
    <cellStyle name="Normal 29 2 2 5 3 2" xfId="16828" xr:uid="{7B344667-16E8-4148-8C96-0437ABE8AABA}"/>
    <cellStyle name="Normal 29 2 2 5 4" xfId="11231" xr:uid="{00000000-0005-0000-0000-0000E41B0000}"/>
    <cellStyle name="Normal 29 2 2 5 4 2" xfId="19974" xr:uid="{8D1EE48B-4502-4EBB-96A1-B8027559D759}"/>
    <cellStyle name="Normal 29 2 2 5 5" xfId="12838" xr:uid="{00000000-0005-0000-0000-0000E51B0000}"/>
    <cellStyle name="Normal 29 2 2 5 5 2" xfId="21574" xr:uid="{73C4460A-5B19-4435-A9E9-99EE027D88D2}"/>
    <cellStyle name="Normal 29 2 2 5 6" xfId="15068" xr:uid="{36D8D614-7F87-4BAD-9C59-773AED73C322}"/>
    <cellStyle name="Normal 29 2 2 6" xfId="2845" xr:uid="{00000000-0005-0000-0000-0000E61B0000}"/>
    <cellStyle name="Normal 29 2 2 6 2" xfId="9622" xr:uid="{00000000-0005-0000-0000-0000E71B0000}"/>
    <cellStyle name="Normal 29 2 2 6 2 2" xfId="18428" xr:uid="{73BE3E71-CCF3-4249-AD7D-BD351C1A7DDC}"/>
    <cellStyle name="Normal 29 2 2 6 3" xfId="8020" xr:uid="{00000000-0005-0000-0000-0000E81B0000}"/>
    <cellStyle name="Normal 29 2 2 6 3 2" xfId="16829" xr:uid="{CEAAFD27-D741-4916-B3D5-1BE8F06A1255}"/>
    <cellStyle name="Normal 29 2 2 6 4" xfId="11232" xr:uid="{00000000-0005-0000-0000-0000E91B0000}"/>
    <cellStyle name="Normal 29 2 2 6 4 2" xfId="19975" xr:uid="{1C86CD3E-F2CB-4455-B91F-70112A35FE75}"/>
    <cellStyle name="Normal 29 2 2 6 5" xfId="12839" xr:uid="{00000000-0005-0000-0000-0000EA1B0000}"/>
    <cellStyle name="Normal 29 2 2 6 5 2" xfId="21575" xr:uid="{FA0ABF2C-2C00-40BC-BF69-0097E9694B38}"/>
    <cellStyle name="Normal 29 2 2 6 6" xfId="15069" xr:uid="{FE0F65C2-CB1F-4F62-BAB9-9506A39BF3B1}"/>
    <cellStyle name="Normal 29 2 2 7" xfId="2846" xr:uid="{00000000-0005-0000-0000-0000EB1B0000}"/>
    <cellStyle name="Normal 29 2 2 7 2" xfId="9623" xr:uid="{00000000-0005-0000-0000-0000EC1B0000}"/>
    <cellStyle name="Normal 29 2 2 7 2 2" xfId="18429" xr:uid="{EA06F1C9-5B0A-4E32-8F21-76F9D679E950}"/>
    <cellStyle name="Normal 29 2 2 7 3" xfId="8021" xr:uid="{00000000-0005-0000-0000-0000ED1B0000}"/>
    <cellStyle name="Normal 29 2 2 7 3 2" xfId="16830" xr:uid="{9691DE73-F060-4E4D-9B7E-0FBF2A6722E1}"/>
    <cellStyle name="Normal 29 2 2 7 4" xfId="11233" xr:uid="{00000000-0005-0000-0000-0000EE1B0000}"/>
    <cellStyle name="Normal 29 2 2 7 4 2" xfId="19976" xr:uid="{B58049F3-5040-4E8B-96A9-760791E1CB84}"/>
    <cellStyle name="Normal 29 2 2 7 5" xfId="12840" xr:uid="{00000000-0005-0000-0000-0000EF1B0000}"/>
    <cellStyle name="Normal 29 2 2 7 5 2" xfId="21576" xr:uid="{F4BD1416-451C-4292-A4FB-43D2B4007432}"/>
    <cellStyle name="Normal 29 2 2 7 6" xfId="15070" xr:uid="{9E54F076-E538-4430-8FBE-B6D3F7794A8D}"/>
    <cellStyle name="Normal 29 2 3" xfId="2847" xr:uid="{00000000-0005-0000-0000-0000F01B0000}"/>
    <cellStyle name="Normal 29 2 3 2" xfId="2848" xr:uid="{00000000-0005-0000-0000-0000F11B0000}"/>
    <cellStyle name="Normal 29 2 3 2 2" xfId="9625" xr:uid="{00000000-0005-0000-0000-0000F21B0000}"/>
    <cellStyle name="Normal 29 2 3 2 2 2" xfId="18431" xr:uid="{EC357094-0368-483D-BD7E-7E3FD2B6182F}"/>
    <cellStyle name="Normal 29 2 3 2 3" xfId="8023" xr:uid="{00000000-0005-0000-0000-0000F31B0000}"/>
    <cellStyle name="Normal 29 2 3 2 3 2" xfId="16832" xr:uid="{49286001-61E5-4138-A517-8A7FA134CBA0}"/>
    <cellStyle name="Normal 29 2 3 2 4" xfId="11235" xr:uid="{00000000-0005-0000-0000-0000F41B0000}"/>
    <cellStyle name="Normal 29 2 3 2 4 2" xfId="19978" xr:uid="{C4F203EF-7C2D-46C6-945B-0FAF8AFBC3A7}"/>
    <cellStyle name="Normal 29 2 3 2 5" xfId="12842" xr:uid="{00000000-0005-0000-0000-0000F51B0000}"/>
    <cellStyle name="Normal 29 2 3 2 5 2" xfId="21578" xr:uid="{D34E6E12-3816-4171-9903-691F68EE186C}"/>
    <cellStyle name="Normal 29 2 3 2 6" xfId="15072" xr:uid="{7C7A5B3D-F33E-431A-80C2-E336756A2878}"/>
    <cellStyle name="Normal 29 2 3 3" xfId="2849" xr:uid="{00000000-0005-0000-0000-0000F61B0000}"/>
    <cellStyle name="Normal 29 2 3 3 2" xfId="9626" xr:uid="{00000000-0005-0000-0000-0000F71B0000}"/>
    <cellStyle name="Normal 29 2 3 3 2 2" xfId="18432" xr:uid="{B6449954-AB8B-4894-B6D5-43057DE89E09}"/>
    <cellStyle name="Normal 29 2 3 3 3" xfId="8024" xr:uid="{00000000-0005-0000-0000-0000F81B0000}"/>
    <cellStyle name="Normal 29 2 3 3 3 2" xfId="16833" xr:uid="{962A1957-B0BD-487C-9DA1-39698F6BD592}"/>
    <cellStyle name="Normal 29 2 3 3 4" xfId="11236" xr:uid="{00000000-0005-0000-0000-0000F91B0000}"/>
    <cellStyle name="Normal 29 2 3 3 4 2" xfId="19979" xr:uid="{1002C4EC-9124-4EB7-9753-BE78317F567B}"/>
    <cellStyle name="Normal 29 2 3 3 5" xfId="12843" xr:uid="{00000000-0005-0000-0000-0000FA1B0000}"/>
    <cellStyle name="Normal 29 2 3 3 5 2" xfId="21579" xr:uid="{90295FBD-3A24-41DA-9772-A33D6E2385CF}"/>
    <cellStyle name="Normal 29 2 3 3 6" xfId="15073" xr:uid="{0BBD7693-0132-4B43-83E5-4E1F52D7FA5B}"/>
    <cellStyle name="Normal 29 2 3 4" xfId="2850" xr:uid="{00000000-0005-0000-0000-0000FB1B0000}"/>
    <cellStyle name="Normal 29 2 3 4 2" xfId="9627" xr:uid="{00000000-0005-0000-0000-0000FC1B0000}"/>
    <cellStyle name="Normal 29 2 3 4 2 2" xfId="18433" xr:uid="{C7929D04-2D58-45A8-BF88-A815447FFF2B}"/>
    <cellStyle name="Normal 29 2 3 4 3" xfId="8025" xr:uid="{00000000-0005-0000-0000-0000FD1B0000}"/>
    <cellStyle name="Normal 29 2 3 4 3 2" xfId="16834" xr:uid="{4286150F-C02D-4E21-9C0D-058C9519A3EA}"/>
    <cellStyle name="Normal 29 2 3 4 4" xfId="11237" xr:uid="{00000000-0005-0000-0000-0000FE1B0000}"/>
    <cellStyle name="Normal 29 2 3 4 4 2" xfId="19980" xr:uid="{8912FF6E-AB75-49FD-9443-B6076ED45F0C}"/>
    <cellStyle name="Normal 29 2 3 4 5" xfId="12844" xr:uid="{00000000-0005-0000-0000-0000FF1B0000}"/>
    <cellStyle name="Normal 29 2 3 4 5 2" xfId="21580" xr:uid="{48245D83-08FF-4E42-8F81-83B524C0D277}"/>
    <cellStyle name="Normal 29 2 3 4 6" xfId="15074" xr:uid="{41917DB6-5264-494B-8C77-3C43D5D127A2}"/>
    <cellStyle name="Normal 29 2 3 5" xfId="9624" xr:uid="{00000000-0005-0000-0000-0000001C0000}"/>
    <cellStyle name="Normal 29 2 3 5 2" xfId="18430" xr:uid="{896DE4C3-6E53-4D2C-B6B8-EC86F858C2A6}"/>
    <cellStyle name="Normal 29 2 3 6" xfId="8022" xr:uid="{00000000-0005-0000-0000-0000011C0000}"/>
    <cellStyle name="Normal 29 2 3 6 2" xfId="16831" xr:uid="{579D022D-4045-4A27-8F86-B3DBBB1BD431}"/>
    <cellStyle name="Normal 29 2 3 7" xfId="11234" xr:uid="{00000000-0005-0000-0000-0000021C0000}"/>
    <cellStyle name="Normal 29 2 3 7 2" xfId="19977" xr:uid="{006BDF3B-463F-4540-A7C6-43AF3C20B925}"/>
    <cellStyle name="Normal 29 2 3 8" xfId="12841" xr:uid="{00000000-0005-0000-0000-0000031C0000}"/>
    <cellStyle name="Normal 29 2 3 8 2" xfId="21577" xr:uid="{E1C069A8-4B6D-4870-AAD8-61E72B8D1230}"/>
    <cellStyle name="Normal 29 2 3 9" xfId="15071" xr:uid="{60218346-3927-46AE-BA99-11042253AE7E}"/>
    <cellStyle name="Normal 29 2 4" xfId="2851" xr:uid="{00000000-0005-0000-0000-0000041C0000}"/>
    <cellStyle name="Normal 29 2 5" xfId="2852" xr:uid="{00000000-0005-0000-0000-0000051C0000}"/>
    <cellStyle name="Normal 29 2 6" xfId="2853" xr:uid="{00000000-0005-0000-0000-0000061C0000}"/>
    <cellStyle name="Normal 29 2 6 2" xfId="9628" xr:uid="{00000000-0005-0000-0000-0000071C0000}"/>
    <cellStyle name="Normal 29 2 6 2 2" xfId="18434" xr:uid="{D2E84655-F3AF-434F-887A-8D196302B18F}"/>
    <cellStyle name="Normal 29 2 6 3" xfId="8026" xr:uid="{00000000-0005-0000-0000-0000081C0000}"/>
    <cellStyle name="Normal 29 2 6 3 2" xfId="16835" xr:uid="{360E0E5D-055A-4E1D-8243-F11B737918AF}"/>
    <cellStyle name="Normal 29 2 6 4" xfId="11238" xr:uid="{00000000-0005-0000-0000-0000091C0000}"/>
    <cellStyle name="Normal 29 2 6 4 2" xfId="19981" xr:uid="{EC2DD62F-F1CB-4F41-ABFD-69D0FAC44D90}"/>
    <cellStyle name="Normal 29 2 6 5" xfId="12845" xr:uid="{00000000-0005-0000-0000-00000A1C0000}"/>
    <cellStyle name="Normal 29 2 6 5 2" xfId="21581" xr:uid="{430873AA-B295-4A62-8DBA-B0E34940CA22}"/>
    <cellStyle name="Normal 29 2 6 6" xfId="15075" xr:uid="{9F052C5C-DEAB-48DC-93CB-995788DEA0D9}"/>
    <cellStyle name="Normal 29 2 7" xfId="2854" xr:uid="{00000000-0005-0000-0000-00000B1C0000}"/>
    <cellStyle name="Normal 29 2 7 2" xfId="9629" xr:uid="{00000000-0005-0000-0000-00000C1C0000}"/>
    <cellStyle name="Normal 29 2 7 2 2" xfId="18435" xr:uid="{2B0FECCD-3B0C-4DE4-9B47-E038A115AEB2}"/>
    <cellStyle name="Normal 29 2 7 3" xfId="8027" xr:uid="{00000000-0005-0000-0000-00000D1C0000}"/>
    <cellStyle name="Normal 29 2 7 3 2" xfId="16836" xr:uid="{B4EDED5B-2048-428A-B10A-2DD35EAECFDB}"/>
    <cellStyle name="Normal 29 2 7 4" xfId="11239" xr:uid="{00000000-0005-0000-0000-00000E1C0000}"/>
    <cellStyle name="Normal 29 2 7 4 2" xfId="19982" xr:uid="{722C91FE-EC70-4113-B0EE-A3882BFAFAB5}"/>
    <cellStyle name="Normal 29 2 7 5" xfId="12846" xr:uid="{00000000-0005-0000-0000-00000F1C0000}"/>
    <cellStyle name="Normal 29 2 7 5 2" xfId="21582" xr:uid="{6EA6CE3F-9247-48AA-B9F9-04283B34238D}"/>
    <cellStyle name="Normal 29 2 7 6" xfId="15076" xr:uid="{0F867B83-857B-4921-85A5-8B5AFCB15A7C}"/>
    <cellStyle name="Normal 29 2 8" xfId="2855" xr:uid="{00000000-0005-0000-0000-0000101C0000}"/>
    <cellStyle name="Normal 29 2 8 2" xfId="9630" xr:uid="{00000000-0005-0000-0000-0000111C0000}"/>
    <cellStyle name="Normal 29 2 8 2 2" xfId="18436" xr:uid="{F012445D-0D26-47B8-AF9A-D0F3F02FA6A9}"/>
    <cellStyle name="Normal 29 2 8 3" xfId="8028" xr:uid="{00000000-0005-0000-0000-0000121C0000}"/>
    <cellStyle name="Normal 29 2 8 3 2" xfId="16837" xr:uid="{06F74CFB-3A9D-4895-9165-CDC5112B2203}"/>
    <cellStyle name="Normal 29 2 8 4" xfId="11240" xr:uid="{00000000-0005-0000-0000-0000131C0000}"/>
    <cellStyle name="Normal 29 2 8 4 2" xfId="19983" xr:uid="{02DE3B80-8226-4AC7-BFA5-57E58A692978}"/>
    <cellStyle name="Normal 29 2 8 5" xfId="12847" xr:uid="{00000000-0005-0000-0000-0000141C0000}"/>
    <cellStyle name="Normal 29 2 8 5 2" xfId="21583" xr:uid="{47E01063-E5D2-4620-8FFC-CC57585F334A}"/>
    <cellStyle name="Normal 29 2 8 6" xfId="15077" xr:uid="{A5538E13-4443-4719-B78B-50A9623DCA20}"/>
    <cellStyle name="Normal 29 2 9" xfId="9608" xr:uid="{00000000-0005-0000-0000-0000151C0000}"/>
    <cellStyle name="Normal 29 2 9 2" xfId="18414" xr:uid="{E4CF8416-721B-47F4-95AF-2D85B69C46E7}"/>
    <cellStyle name="Normal 29 3" xfId="2856" xr:uid="{00000000-0005-0000-0000-0000161C0000}"/>
    <cellStyle name="Normal 290" xfId="24136" xr:uid="{FE09F3EB-B868-4110-BEEA-D18DC9AB426E}"/>
    <cellStyle name="Normal 291" xfId="24144" xr:uid="{F84EA811-7398-4977-ABEA-25746E5A66A4}"/>
    <cellStyle name="Normal 292" xfId="22818" xr:uid="{60FD073E-FA3B-4AF0-ADB3-656043469DBE}"/>
    <cellStyle name="Normal 293" xfId="24172" xr:uid="{582B74EC-100B-41EF-ABBB-9BF7F2DE72F3}"/>
    <cellStyle name="Normal 3" xfId="100" xr:uid="{00000000-0005-0000-0000-0000171C0000}"/>
    <cellStyle name="Normal 3 10" xfId="5087" xr:uid="{00000000-0005-0000-0000-0000181C0000}"/>
    <cellStyle name="Normal 3 11" xfId="10601" xr:uid="{00000000-0005-0000-0000-0000191C0000}"/>
    <cellStyle name="Normal 3 11 2" xfId="19360" xr:uid="{9252C5F5-7F7A-4180-A4C4-5816C7902512}"/>
    <cellStyle name="Normal 3 2" xfId="129" xr:uid="{00000000-0005-0000-0000-00001A1C0000}"/>
    <cellStyle name="Normal 3 2 10" xfId="2858" xr:uid="{00000000-0005-0000-0000-00001B1C0000}"/>
    <cellStyle name="Normal 3 2 10 2" xfId="9631" xr:uid="{00000000-0005-0000-0000-00001C1C0000}"/>
    <cellStyle name="Normal 3 2 10 2 2" xfId="18437" xr:uid="{FDEA1AF4-8BF2-4373-9CA4-BB950A9735D4}"/>
    <cellStyle name="Normal 3 2 10 3" xfId="8029" xr:uid="{00000000-0005-0000-0000-00001D1C0000}"/>
    <cellStyle name="Normal 3 2 10 3 2" xfId="16838" xr:uid="{F156854E-1158-42CF-942D-90A59EBEC748}"/>
    <cellStyle name="Normal 3 2 10 4" xfId="11241" xr:uid="{00000000-0005-0000-0000-00001E1C0000}"/>
    <cellStyle name="Normal 3 2 10 4 2" xfId="19984" xr:uid="{1C58F890-FD9A-4835-8181-35741FC12067}"/>
    <cellStyle name="Normal 3 2 10 5" xfId="12848" xr:uid="{00000000-0005-0000-0000-00001F1C0000}"/>
    <cellStyle name="Normal 3 2 10 5 2" xfId="21584" xr:uid="{9200EAF6-46AE-4042-8FE0-7096F7A9C862}"/>
    <cellStyle name="Normal 3 2 10 6" xfId="15078" xr:uid="{BD4E7045-FB38-4149-9B88-4F184E209E08}"/>
    <cellStyle name="Normal 3 2 11" xfId="7392" xr:uid="{00000000-0005-0000-0000-0000201C0000}"/>
    <cellStyle name="Normal 3 2 11 2" xfId="16220" xr:uid="{A5F27396-85EF-471D-869E-BC606AC50802}"/>
    <cellStyle name="Normal 3 2 12" xfId="14784" xr:uid="{602EE2B0-9574-4C46-B50F-76E0C91549F1}"/>
    <cellStyle name="Normal 3 2 2" xfId="2859" xr:uid="{00000000-0005-0000-0000-0000211C0000}"/>
    <cellStyle name="Normal 3 2 2 2" xfId="2860" xr:uid="{00000000-0005-0000-0000-0000221C0000}"/>
    <cellStyle name="Normal 3 2 2 2 2" xfId="9633" xr:uid="{00000000-0005-0000-0000-0000231C0000}"/>
    <cellStyle name="Normal 3 2 2 2 2 2" xfId="18439" xr:uid="{CA8B001F-ED3C-4300-A78C-88B0CB1687F8}"/>
    <cellStyle name="Normal 3 2 2 2 3" xfId="8031" xr:uid="{00000000-0005-0000-0000-0000241C0000}"/>
    <cellStyle name="Normal 3 2 2 2 3 2" xfId="16840" xr:uid="{237FBB8E-AE53-43DB-89E3-D69FB4D3B487}"/>
    <cellStyle name="Normal 3 2 2 2 4" xfId="11243" xr:uid="{00000000-0005-0000-0000-0000251C0000}"/>
    <cellStyle name="Normal 3 2 2 2 4 2" xfId="19986" xr:uid="{A54E2118-758B-4612-86D2-F56F05D0A42C}"/>
    <cellStyle name="Normal 3 2 2 2 5" xfId="12850" xr:uid="{00000000-0005-0000-0000-0000261C0000}"/>
    <cellStyle name="Normal 3 2 2 2 5 2" xfId="21586" xr:uid="{BE0AC811-D34A-4CD7-8006-650826C31A0A}"/>
    <cellStyle name="Normal 3 2 2 2 6" xfId="15080" xr:uid="{0A6478AA-7A61-4650-82D8-583402321300}"/>
    <cellStyle name="Normal 3 2 2 3" xfId="2861" xr:uid="{00000000-0005-0000-0000-0000271C0000}"/>
    <cellStyle name="Normal 3 2 2 3 2" xfId="9634" xr:uid="{00000000-0005-0000-0000-0000281C0000}"/>
    <cellStyle name="Normal 3 2 2 3 2 2" xfId="18440" xr:uid="{8FFB48EC-A6D7-4709-8758-B99F9F89940D}"/>
    <cellStyle name="Normal 3 2 2 3 3" xfId="8032" xr:uid="{00000000-0005-0000-0000-0000291C0000}"/>
    <cellStyle name="Normal 3 2 2 3 3 2" xfId="16841" xr:uid="{68556F40-9374-4D8B-8B08-A02125B66DE8}"/>
    <cellStyle name="Normal 3 2 2 3 4" xfId="11244" xr:uid="{00000000-0005-0000-0000-00002A1C0000}"/>
    <cellStyle name="Normal 3 2 2 3 4 2" xfId="19987" xr:uid="{12437385-4818-4883-811F-6429B4F88E0C}"/>
    <cellStyle name="Normal 3 2 2 3 5" xfId="12851" xr:uid="{00000000-0005-0000-0000-00002B1C0000}"/>
    <cellStyle name="Normal 3 2 2 3 5 2" xfId="21587" xr:uid="{A4DAE7A0-A5D6-44D4-93EB-C8B89250AD53}"/>
    <cellStyle name="Normal 3 2 2 3 6" xfId="15081" xr:uid="{2C1FC1CA-02CE-4617-82AD-1FCAE867E14A}"/>
    <cellStyle name="Normal 3 2 2 4" xfId="2862" xr:uid="{00000000-0005-0000-0000-00002C1C0000}"/>
    <cellStyle name="Normal 3 2 2 4 2" xfId="9635" xr:uid="{00000000-0005-0000-0000-00002D1C0000}"/>
    <cellStyle name="Normal 3 2 2 4 2 2" xfId="18441" xr:uid="{8ED6358A-6C25-413E-8194-F7F3E802E756}"/>
    <cellStyle name="Normal 3 2 2 4 3" xfId="8033" xr:uid="{00000000-0005-0000-0000-00002E1C0000}"/>
    <cellStyle name="Normal 3 2 2 4 3 2" xfId="16842" xr:uid="{56328E14-17BC-4056-A476-13234D4B26C1}"/>
    <cellStyle name="Normal 3 2 2 4 4" xfId="11245" xr:uid="{00000000-0005-0000-0000-00002F1C0000}"/>
    <cellStyle name="Normal 3 2 2 4 4 2" xfId="19988" xr:uid="{ACBA7DC4-D7FD-4319-95C2-9DFDE35E5B83}"/>
    <cellStyle name="Normal 3 2 2 4 5" xfId="12852" xr:uid="{00000000-0005-0000-0000-0000301C0000}"/>
    <cellStyle name="Normal 3 2 2 4 5 2" xfId="21588" xr:uid="{803B1FFA-1596-409E-B8AE-719F72C34545}"/>
    <cellStyle name="Normal 3 2 2 4 6" xfId="15082" xr:uid="{79CE2B09-8A49-46FB-85E5-69DAF7383DFF}"/>
    <cellStyle name="Normal 3 2 2 5" xfId="9632" xr:uid="{00000000-0005-0000-0000-0000311C0000}"/>
    <cellStyle name="Normal 3 2 2 5 2" xfId="18438" xr:uid="{75524F11-8DD0-4302-84B3-3F1EDB01B654}"/>
    <cellStyle name="Normal 3 2 2 6" xfId="8030" xr:uid="{00000000-0005-0000-0000-0000321C0000}"/>
    <cellStyle name="Normal 3 2 2 6 2" xfId="16839" xr:uid="{095C7C90-3468-4333-B7C3-FD7248749738}"/>
    <cellStyle name="Normal 3 2 2 7" xfId="11242" xr:uid="{00000000-0005-0000-0000-0000331C0000}"/>
    <cellStyle name="Normal 3 2 2 7 2" xfId="19985" xr:uid="{49F5A2C3-F6FC-4C56-B268-6E082C248DE8}"/>
    <cellStyle name="Normal 3 2 2 8" xfId="12849" xr:uid="{00000000-0005-0000-0000-0000341C0000}"/>
    <cellStyle name="Normal 3 2 2 8 2" xfId="21585" xr:uid="{6D5376BB-8C25-48A3-9CD6-8EB043766163}"/>
    <cellStyle name="Normal 3 2 2 9" xfId="15079" xr:uid="{A2231F31-E4F8-4BC3-A53E-3EF20811035E}"/>
    <cellStyle name="Normal 3 2 3" xfId="2863" xr:uid="{00000000-0005-0000-0000-0000351C0000}"/>
    <cellStyle name="Normal 3 2 3 2" xfId="2864" xr:uid="{00000000-0005-0000-0000-0000361C0000}"/>
    <cellStyle name="Normal 3 2 3 2 2" xfId="9637" xr:uid="{00000000-0005-0000-0000-0000371C0000}"/>
    <cellStyle name="Normal 3 2 3 2 2 2" xfId="18443" xr:uid="{DF453F44-60AF-467E-818C-05FE41715996}"/>
    <cellStyle name="Normal 3 2 3 2 3" xfId="8035" xr:uid="{00000000-0005-0000-0000-0000381C0000}"/>
    <cellStyle name="Normal 3 2 3 2 3 2" xfId="16844" xr:uid="{2E80C65A-9104-4479-9E0C-27A6A70CFD62}"/>
    <cellStyle name="Normal 3 2 3 2 4" xfId="11247" xr:uid="{00000000-0005-0000-0000-0000391C0000}"/>
    <cellStyle name="Normal 3 2 3 2 4 2" xfId="19990" xr:uid="{14065DFF-8CF7-4A1C-A023-E610E05126A8}"/>
    <cellStyle name="Normal 3 2 3 2 5" xfId="12854" xr:uid="{00000000-0005-0000-0000-00003A1C0000}"/>
    <cellStyle name="Normal 3 2 3 2 5 2" xfId="21590" xr:uid="{ED484C97-CDAA-4B13-9165-6471CEE31FA8}"/>
    <cellStyle name="Normal 3 2 3 2 6" xfId="15084" xr:uid="{666D1111-2D95-4940-8B84-B5001CFAE668}"/>
    <cellStyle name="Normal 3 2 3 3" xfId="2865" xr:uid="{00000000-0005-0000-0000-00003B1C0000}"/>
    <cellStyle name="Normal 3 2 3 3 2" xfId="9638" xr:uid="{00000000-0005-0000-0000-00003C1C0000}"/>
    <cellStyle name="Normal 3 2 3 3 2 2" xfId="18444" xr:uid="{13ABE616-7EAE-4EBC-91AF-B7E28678F160}"/>
    <cellStyle name="Normal 3 2 3 3 3" xfId="8036" xr:uid="{00000000-0005-0000-0000-00003D1C0000}"/>
    <cellStyle name="Normal 3 2 3 3 3 2" xfId="16845" xr:uid="{601DC576-1971-4DFE-92BD-3978F32294CC}"/>
    <cellStyle name="Normal 3 2 3 3 4" xfId="11248" xr:uid="{00000000-0005-0000-0000-00003E1C0000}"/>
    <cellStyle name="Normal 3 2 3 3 4 2" xfId="19991" xr:uid="{F6939758-5136-467F-8A9E-B65567C18E4D}"/>
    <cellStyle name="Normal 3 2 3 3 5" xfId="12855" xr:uid="{00000000-0005-0000-0000-00003F1C0000}"/>
    <cellStyle name="Normal 3 2 3 3 5 2" xfId="21591" xr:uid="{87B66251-1C9D-4D29-A679-B2616C3B7AF2}"/>
    <cellStyle name="Normal 3 2 3 3 6" xfId="15085" xr:uid="{2FE8323E-BC3A-445E-8A06-08E47B82FCC3}"/>
    <cellStyle name="Normal 3 2 3 4" xfId="2866" xr:uid="{00000000-0005-0000-0000-0000401C0000}"/>
    <cellStyle name="Normal 3 2 3 4 2" xfId="9639" xr:uid="{00000000-0005-0000-0000-0000411C0000}"/>
    <cellStyle name="Normal 3 2 3 4 2 2" xfId="18445" xr:uid="{4D32E2A9-E2A2-4846-818F-1FB589B3C2B6}"/>
    <cellStyle name="Normal 3 2 3 4 3" xfId="8037" xr:uid="{00000000-0005-0000-0000-0000421C0000}"/>
    <cellStyle name="Normal 3 2 3 4 3 2" xfId="16846" xr:uid="{45A6C39E-8044-41AA-B12E-F84855D7B67E}"/>
    <cellStyle name="Normal 3 2 3 4 4" xfId="11249" xr:uid="{00000000-0005-0000-0000-0000431C0000}"/>
    <cellStyle name="Normal 3 2 3 4 4 2" xfId="19992" xr:uid="{88347966-5156-4535-B387-74D98A4B9573}"/>
    <cellStyle name="Normal 3 2 3 4 5" xfId="12856" xr:uid="{00000000-0005-0000-0000-0000441C0000}"/>
    <cellStyle name="Normal 3 2 3 4 5 2" xfId="21592" xr:uid="{12CE1A49-1F2B-406B-B755-3AB91A1FA5E4}"/>
    <cellStyle name="Normal 3 2 3 4 6" xfId="15086" xr:uid="{464A561D-7D47-47FE-AC36-9432F0BC0F21}"/>
    <cellStyle name="Normal 3 2 3 5" xfId="9636" xr:uid="{00000000-0005-0000-0000-0000451C0000}"/>
    <cellStyle name="Normal 3 2 3 5 2" xfId="18442" xr:uid="{E18FEBDB-E0B1-4852-A15D-3DCF9D3D1E9F}"/>
    <cellStyle name="Normal 3 2 3 6" xfId="8034" xr:uid="{00000000-0005-0000-0000-0000461C0000}"/>
    <cellStyle name="Normal 3 2 3 6 2" xfId="16843" xr:uid="{DBE8E332-FCFD-43DA-B763-2D6DCB378E4F}"/>
    <cellStyle name="Normal 3 2 3 7" xfId="11246" xr:uid="{00000000-0005-0000-0000-0000471C0000}"/>
    <cellStyle name="Normal 3 2 3 7 2" xfId="19989" xr:uid="{50CE7039-D8FB-4D66-9862-05405139F61B}"/>
    <cellStyle name="Normal 3 2 3 8" xfId="12853" xr:uid="{00000000-0005-0000-0000-0000481C0000}"/>
    <cellStyle name="Normal 3 2 3 8 2" xfId="21589" xr:uid="{42A0C85D-7C47-4F48-A17A-7DBC9BCE364A}"/>
    <cellStyle name="Normal 3 2 3 9" xfId="15083" xr:uid="{9EF6BAFD-F444-490B-83F9-BC1DF1C26532}"/>
    <cellStyle name="Normal 3 2 4" xfId="2867" xr:uid="{00000000-0005-0000-0000-0000491C0000}"/>
    <cellStyle name="Normal 3 2 4 2" xfId="2868" xr:uid="{00000000-0005-0000-0000-00004A1C0000}"/>
    <cellStyle name="Normal 3 2 4 2 2" xfId="2869" xr:uid="{00000000-0005-0000-0000-00004B1C0000}"/>
    <cellStyle name="Normal 3 2 4 2 2 2" xfId="2870" xr:uid="{00000000-0005-0000-0000-00004C1C0000}"/>
    <cellStyle name="Normal 3 2 4 2 2 2 2" xfId="9641" xr:uid="{00000000-0005-0000-0000-00004D1C0000}"/>
    <cellStyle name="Normal 3 2 4 2 2 2 2 2" xfId="18447" xr:uid="{7C19E1CD-82DC-4C23-9C75-17C16429563E}"/>
    <cellStyle name="Normal 3 2 4 2 2 2 3" xfId="8039" xr:uid="{00000000-0005-0000-0000-00004E1C0000}"/>
    <cellStyle name="Normal 3 2 4 2 2 2 3 2" xfId="16848" xr:uid="{C7CA0C25-5AE4-4A1E-8D09-604F9B9AD420}"/>
    <cellStyle name="Normal 3 2 4 2 2 2 4" xfId="11251" xr:uid="{00000000-0005-0000-0000-00004F1C0000}"/>
    <cellStyle name="Normal 3 2 4 2 2 2 4 2" xfId="19994" xr:uid="{8D44FADF-A03A-423E-92BF-991C7845F06D}"/>
    <cellStyle name="Normal 3 2 4 2 2 2 5" xfId="12858" xr:uid="{00000000-0005-0000-0000-0000501C0000}"/>
    <cellStyle name="Normal 3 2 4 2 2 2 5 2" xfId="21594" xr:uid="{DFEF8C6A-C408-4583-B416-BA6FC6168688}"/>
    <cellStyle name="Normal 3 2 4 2 2 2 6" xfId="15088" xr:uid="{D63526E2-7686-470F-BE8D-4BE69D2B9588}"/>
    <cellStyle name="Normal 3 2 4 2 2 3" xfId="2871" xr:uid="{00000000-0005-0000-0000-0000511C0000}"/>
    <cellStyle name="Normal 3 2 4 2 2 3 2" xfId="9642" xr:uid="{00000000-0005-0000-0000-0000521C0000}"/>
    <cellStyle name="Normal 3 2 4 2 2 3 2 2" xfId="18448" xr:uid="{6DA372C9-B0D5-4694-9BE6-6C117780144B}"/>
    <cellStyle name="Normal 3 2 4 2 2 3 3" xfId="8040" xr:uid="{00000000-0005-0000-0000-0000531C0000}"/>
    <cellStyle name="Normal 3 2 4 2 2 3 3 2" xfId="16849" xr:uid="{07D2F89F-FF39-4A91-AABC-2290EE84F428}"/>
    <cellStyle name="Normal 3 2 4 2 2 3 4" xfId="11252" xr:uid="{00000000-0005-0000-0000-0000541C0000}"/>
    <cellStyle name="Normal 3 2 4 2 2 3 4 2" xfId="19995" xr:uid="{38B72782-2DFA-42AA-85DF-461ABF9DA16A}"/>
    <cellStyle name="Normal 3 2 4 2 2 3 5" xfId="12859" xr:uid="{00000000-0005-0000-0000-0000551C0000}"/>
    <cellStyle name="Normal 3 2 4 2 2 3 5 2" xfId="21595" xr:uid="{F8761260-FB2A-485C-93BB-DA521D025B39}"/>
    <cellStyle name="Normal 3 2 4 2 2 3 6" xfId="15089" xr:uid="{D19BE1A2-673D-4357-9DFB-7A3A95431DFE}"/>
    <cellStyle name="Normal 3 2 4 2 2 4" xfId="2872" xr:uid="{00000000-0005-0000-0000-0000561C0000}"/>
    <cellStyle name="Normal 3 2 4 2 2 4 2" xfId="9643" xr:uid="{00000000-0005-0000-0000-0000571C0000}"/>
    <cellStyle name="Normal 3 2 4 2 2 4 2 2" xfId="18449" xr:uid="{56999FE9-5237-42C4-A6BB-E2A8BBE653FB}"/>
    <cellStyle name="Normal 3 2 4 2 2 4 3" xfId="8041" xr:uid="{00000000-0005-0000-0000-0000581C0000}"/>
    <cellStyle name="Normal 3 2 4 2 2 4 3 2" xfId="16850" xr:uid="{F52786A8-0794-4B6E-A1C9-BC339FEC0866}"/>
    <cellStyle name="Normal 3 2 4 2 2 4 4" xfId="11253" xr:uid="{00000000-0005-0000-0000-0000591C0000}"/>
    <cellStyle name="Normal 3 2 4 2 2 4 4 2" xfId="19996" xr:uid="{38CA7F7A-65F2-4DC2-AD5A-C1DB6E7B4374}"/>
    <cellStyle name="Normal 3 2 4 2 2 4 5" xfId="12860" xr:uid="{00000000-0005-0000-0000-00005A1C0000}"/>
    <cellStyle name="Normal 3 2 4 2 2 4 5 2" xfId="21596" xr:uid="{F437AD18-1AA5-4AFA-985F-3A19519AE537}"/>
    <cellStyle name="Normal 3 2 4 2 2 4 6" xfId="15090" xr:uid="{9B724F26-771A-44AF-864C-5349523C1F55}"/>
    <cellStyle name="Normal 3 2 4 2 3" xfId="2873" xr:uid="{00000000-0005-0000-0000-00005B1C0000}"/>
    <cellStyle name="Normal 3 2 4 2 4" xfId="2874" xr:uid="{00000000-0005-0000-0000-00005C1C0000}"/>
    <cellStyle name="Normal 3 2 4 2 5" xfId="9640" xr:uid="{00000000-0005-0000-0000-00005D1C0000}"/>
    <cellStyle name="Normal 3 2 4 2 5 2" xfId="18446" xr:uid="{CEB74072-81F4-4B5A-B46F-B1E113D0FC67}"/>
    <cellStyle name="Normal 3 2 4 2 6" xfId="8038" xr:uid="{00000000-0005-0000-0000-00005E1C0000}"/>
    <cellStyle name="Normal 3 2 4 2 6 2" xfId="16847" xr:uid="{3D1AE809-DE5D-490A-BABF-3FF37A8C964E}"/>
    <cellStyle name="Normal 3 2 4 2 7" xfId="11250" xr:uid="{00000000-0005-0000-0000-00005F1C0000}"/>
    <cellStyle name="Normal 3 2 4 2 7 2" xfId="19993" xr:uid="{09B4EAED-3A5D-4226-BBC6-26E50AE96C0F}"/>
    <cellStyle name="Normal 3 2 4 2 8" xfId="12857" xr:uid="{00000000-0005-0000-0000-0000601C0000}"/>
    <cellStyle name="Normal 3 2 4 2 8 2" xfId="21593" xr:uid="{F2C45115-924A-4B63-B9AC-A9BF36540FDE}"/>
    <cellStyle name="Normal 3 2 4 2 9" xfId="15087" xr:uid="{4F85C6B7-16E1-48F2-829E-3163579D0782}"/>
    <cellStyle name="Normal 3 2 4 3" xfId="2875" xr:uid="{00000000-0005-0000-0000-0000611C0000}"/>
    <cellStyle name="Normal 3 2 4 3 2" xfId="2876" xr:uid="{00000000-0005-0000-0000-0000621C0000}"/>
    <cellStyle name="Normal 3 2 4 3 2 2" xfId="9645" xr:uid="{00000000-0005-0000-0000-0000631C0000}"/>
    <cellStyle name="Normal 3 2 4 3 2 2 2" xfId="18451" xr:uid="{CC2CDBB9-E7F9-44DC-8B98-EC36053267EF}"/>
    <cellStyle name="Normal 3 2 4 3 2 3" xfId="8043" xr:uid="{00000000-0005-0000-0000-0000641C0000}"/>
    <cellStyle name="Normal 3 2 4 3 2 3 2" xfId="16852" xr:uid="{F2C5D6BA-366D-49FC-BCBA-D656727946D9}"/>
    <cellStyle name="Normal 3 2 4 3 2 4" xfId="11255" xr:uid="{00000000-0005-0000-0000-0000651C0000}"/>
    <cellStyle name="Normal 3 2 4 3 2 4 2" xfId="19998" xr:uid="{BCE7E8F2-F36F-4964-81E5-4327907BBA75}"/>
    <cellStyle name="Normal 3 2 4 3 2 5" xfId="12862" xr:uid="{00000000-0005-0000-0000-0000661C0000}"/>
    <cellStyle name="Normal 3 2 4 3 2 5 2" xfId="21598" xr:uid="{275C98EB-948E-4681-B5C4-6DEB57C5CE83}"/>
    <cellStyle name="Normal 3 2 4 3 2 6" xfId="15092" xr:uid="{C6543C73-9F12-460F-99E9-CA5C2C96EC88}"/>
    <cellStyle name="Normal 3 2 4 3 3" xfId="2877" xr:uid="{00000000-0005-0000-0000-0000671C0000}"/>
    <cellStyle name="Normal 3 2 4 3 3 2" xfId="9646" xr:uid="{00000000-0005-0000-0000-0000681C0000}"/>
    <cellStyle name="Normal 3 2 4 3 3 2 2" xfId="18452" xr:uid="{A436AC46-27DE-409F-AC04-47E27D5EFA75}"/>
    <cellStyle name="Normal 3 2 4 3 3 3" xfId="8044" xr:uid="{00000000-0005-0000-0000-0000691C0000}"/>
    <cellStyle name="Normal 3 2 4 3 3 3 2" xfId="16853" xr:uid="{3C1D6317-5D1C-4093-9C37-1A93C607811F}"/>
    <cellStyle name="Normal 3 2 4 3 3 4" xfId="11256" xr:uid="{00000000-0005-0000-0000-00006A1C0000}"/>
    <cellStyle name="Normal 3 2 4 3 3 4 2" xfId="19999" xr:uid="{43905F67-E853-40B5-A909-0DE44E4A835B}"/>
    <cellStyle name="Normal 3 2 4 3 3 5" xfId="12863" xr:uid="{00000000-0005-0000-0000-00006B1C0000}"/>
    <cellStyle name="Normal 3 2 4 3 3 5 2" xfId="21599" xr:uid="{1DA7A0D9-3506-4469-A453-5F2C5C1F68AA}"/>
    <cellStyle name="Normal 3 2 4 3 3 6" xfId="15093" xr:uid="{936AC7A3-09F7-4DDA-A699-4687FACA1EB2}"/>
    <cellStyle name="Normal 3 2 4 3 4" xfId="2878" xr:uid="{00000000-0005-0000-0000-00006C1C0000}"/>
    <cellStyle name="Normal 3 2 4 3 4 2" xfId="9647" xr:uid="{00000000-0005-0000-0000-00006D1C0000}"/>
    <cellStyle name="Normal 3 2 4 3 4 2 2" xfId="18453" xr:uid="{51191AF8-9437-4638-BF12-EB0EF0F0485E}"/>
    <cellStyle name="Normal 3 2 4 3 4 3" xfId="8045" xr:uid="{00000000-0005-0000-0000-00006E1C0000}"/>
    <cellStyle name="Normal 3 2 4 3 4 3 2" xfId="16854" xr:uid="{D577BF22-0718-4DE7-8747-2AA18EDD149E}"/>
    <cellStyle name="Normal 3 2 4 3 4 4" xfId="11257" xr:uid="{00000000-0005-0000-0000-00006F1C0000}"/>
    <cellStyle name="Normal 3 2 4 3 4 4 2" xfId="20000" xr:uid="{2BE9F10E-3AE3-455F-84A3-663E1372CC50}"/>
    <cellStyle name="Normal 3 2 4 3 4 5" xfId="12864" xr:uid="{00000000-0005-0000-0000-0000701C0000}"/>
    <cellStyle name="Normal 3 2 4 3 4 5 2" xfId="21600" xr:uid="{96FEE58D-09DA-4B65-B60E-430ADCC84534}"/>
    <cellStyle name="Normal 3 2 4 3 4 6" xfId="15094" xr:uid="{6DFE46FB-836A-4C68-8D7D-32A67080D87B}"/>
    <cellStyle name="Normal 3 2 4 3 5" xfId="9644" xr:uid="{00000000-0005-0000-0000-0000711C0000}"/>
    <cellStyle name="Normal 3 2 4 3 5 2" xfId="18450" xr:uid="{C3B8296E-262C-4709-AC9F-652CACB6399B}"/>
    <cellStyle name="Normal 3 2 4 3 6" xfId="8042" xr:uid="{00000000-0005-0000-0000-0000721C0000}"/>
    <cellStyle name="Normal 3 2 4 3 6 2" xfId="16851" xr:uid="{1D611506-0A7F-43D6-ADEB-7E7D7F3C6F7B}"/>
    <cellStyle name="Normal 3 2 4 3 7" xfId="11254" xr:uid="{00000000-0005-0000-0000-0000731C0000}"/>
    <cellStyle name="Normal 3 2 4 3 7 2" xfId="19997" xr:uid="{805F863D-A932-41D5-AAB5-A53C544BBEEF}"/>
    <cellStyle name="Normal 3 2 4 3 8" xfId="12861" xr:uid="{00000000-0005-0000-0000-0000741C0000}"/>
    <cellStyle name="Normal 3 2 4 3 8 2" xfId="21597" xr:uid="{E495266E-C34A-4EA2-B8F6-575C823A3DDB}"/>
    <cellStyle name="Normal 3 2 4 3 9" xfId="15091" xr:uid="{0A18B765-6584-4C8A-9717-ECD24A537B41}"/>
    <cellStyle name="Normal 3 2 4 4" xfId="2879" xr:uid="{00000000-0005-0000-0000-0000751C0000}"/>
    <cellStyle name="Normal 3 2 4 4 2" xfId="2880" xr:uid="{00000000-0005-0000-0000-0000761C0000}"/>
    <cellStyle name="Normal 3 2 4 4 2 2" xfId="9649" xr:uid="{00000000-0005-0000-0000-0000771C0000}"/>
    <cellStyle name="Normal 3 2 4 4 2 2 2" xfId="18455" xr:uid="{8D74FB90-1B3C-489A-84F2-E346A549450A}"/>
    <cellStyle name="Normal 3 2 4 4 2 3" xfId="8047" xr:uid="{00000000-0005-0000-0000-0000781C0000}"/>
    <cellStyle name="Normal 3 2 4 4 2 3 2" xfId="16856" xr:uid="{46C41C68-B5F9-41F9-A970-5AF588640226}"/>
    <cellStyle name="Normal 3 2 4 4 2 4" xfId="11259" xr:uid="{00000000-0005-0000-0000-0000791C0000}"/>
    <cellStyle name="Normal 3 2 4 4 2 4 2" xfId="20002" xr:uid="{B7D4EF6F-FADF-485B-80E5-7DEAEE1C132A}"/>
    <cellStyle name="Normal 3 2 4 4 2 5" xfId="12866" xr:uid="{00000000-0005-0000-0000-00007A1C0000}"/>
    <cellStyle name="Normal 3 2 4 4 2 5 2" xfId="21602" xr:uid="{382049D4-B550-4C55-8709-5DCBB3D4D171}"/>
    <cellStyle name="Normal 3 2 4 4 2 6" xfId="15096" xr:uid="{3C3A7CE2-7F11-4294-9C6A-301AD0A3CE4B}"/>
    <cellStyle name="Normal 3 2 4 4 3" xfId="2881" xr:uid="{00000000-0005-0000-0000-00007B1C0000}"/>
    <cellStyle name="Normal 3 2 4 4 3 2" xfId="9650" xr:uid="{00000000-0005-0000-0000-00007C1C0000}"/>
    <cellStyle name="Normal 3 2 4 4 3 2 2" xfId="18456" xr:uid="{31EBF908-56EA-4FB2-B5FB-35F3207C2D9B}"/>
    <cellStyle name="Normal 3 2 4 4 3 3" xfId="8048" xr:uid="{00000000-0005-0000-0000-00007D1C0000}"/>
    <cellStyle name="Normal 3 2 4 4 3 3 2" xfId="16857" xr:uid="{F7C7E355-3E77-4F40-85D8-D71008606D60}"/>
    <cellStyle name="Normal 3 2 4 4 3 4" xfId="11260" xr:uid="{00000000-0005-0000-0000-00007E1C0000}"/>
    <cellStyle name="Normal 3 2 4 4 3 4 2" xfId="20003" xr:uid="{D4C58ABA-8CB2-497E-A111-8DD074359AE8}"/>
    <cellStyle name="Normal 3 2 4 4 3 5" xfId="12867" xr:uid="{00000000-0005-0000-0000-00007F1C0000}"/>
    <cellStyle name="Normal 3 2 4 4 3 5 2" xfId="21603" xr:uid="{FDE3C0C4-FABA-42E6-993F-F7F025149011}"/>
    <cellStyle name="Normal 3 2 4 4 3 6" xfId="15097" xr:uid="{A16F9DA8-9E27-49A8-AD6C-ACEFEA8FB1BB}"/>
    <cellStyle name="Normal 3 2 4 4 4" xfId="2882" xr:uid="{00000000-0005-0000-0000-0000801C0000}"/>
    <cellStyle name="Normal 3 2 4 4 4 2" xfId="9651" xr:uid="{00000000-0005-0000-0000-0000811C0000}"/>
    <cellStyle name="Normal 3 2 4 4 4 2 2" xfId="18457" xr:uid="{10F4355A-43BD-4730-ACD9-D4864593234B}"/>
    <cellStyle name="Normal 3 2 4 4 4 3" xfId="8049" xr:uid="{00000000-0005-0000-0000-0000821C0000}"/>
    <cellStyle name="Normal 3 2 4 4 4 3 2" xfId="16858" xr:uid="{3410E902-6FD7-48C7-A58F-85656491BA46}"/>
    <cellStyle name="Normal 3 2 4 4 4 4" xfId="11261" xr:uid="{00000000-0005-0000-0000-0000831C0000}"/>
    <cellStyle name="Normal 3 2 4 4 4 4 2" xfId="20004" xr:uid="{BF4DF530-2346-4D16-8FE3-AFF298E89AD6}"/>
    <cellStyle name="Normal 3 2 4 4 4 5" xfId="12868" xr:uid="{00000000-0005-0000-0000-0000841C0000}"/>
    <cellStyle name="Normal 3 2 4 4 4 5 2" xfId="21604" xr:uid="{1DD76AD8-8AB8-4A28-A1F9-DEC623FE27CC}"/>
    <cellStyle name="Normal 3 2 4 4 4 6" xfId="15098" xr:uid="{3744CACE-B4BC-481D-8717-F88F11B9D5F3}"/>
    <cellStyle name="Normal 3 2 4 4 5" xfId="9648" xr:uid="{00000000-0005-0000-0000-0000851C0000}"/>
    <cellStyle name="Normal 3 2 4 4 5 2" xfId="18454" xr:uid="{B4F9986C-EEC1-47F3-BA5E-52972104B39C}"/>
    <cellStyle name="Normal 3 2 4 4 6" xfId="8046" xr:uid="{00000000-0005-0000-0000-0000861C0000}"/>
    <cellStyle name="Normal 3 2 4 4 6 2" xfId="16855" xr:uid="{D1FF7C96-5571-493A-BB34-0653895DA329}"/>
    <cellStyle name="Normal 3 2 4 4 7" xfId="11258" xr:uid="{00000000-0005-0000-0000-0000871C0000}"/>
    <cellStyle name="Normal 3 2 4 4 7 2" xfId="20001" xr:uid="{598CB25C-E246-4323-9310-9D2E02F53B89}"/>
    <cellStyle name="Normal 3 2 4 4 8" xfId="12865" xr:uid="{00000000-0005-0000-0000-0000881C0000}"/>
    <cellStyle name="Normal 3 2 4 4 8 2" xfId="21601" xr:uid="{ACE09E06-BC84-4326-8D3B-447650BD3483}"/>
    <cellStyle name="Normal 3 2 4 4 9" xfId="15095" xr:uid="{93C2856C-37D3-4FB9-914C-97B2D44CCCF5}"/>
    <cellStyle name="Normal 3 2 4 5" xfId="2883" xr:uid="{00000000-0005-0000-0000-0000891C0000}"/>
    <cellStyle name="Normal 3 2 4 5 2" xfId="9652" xr:uid="{00000000-0005-0000-0000-00008A1C0000}"/>
    <cellStyle name="Normal 3 2 4 5 2 2" xfId="18458" xr:uid="{C4E96221-5127-4EAE-B223-265D6531C4A7}"/>
    <cellStyle name="Normal 3 2 4 5 3" xfId="8050" xr:uid="{00000000-0005-0000-0000-00008B1C0000}"/>
    <cellStyle name="Normal 3 2 4 5 3 2" xfId="16859" xr:uid="{81E16885-7A1F-48DA-AA45-90A8BE06460C}"/>
    <cellStyle name="Normal 3 2 4 5 4" xfId="11262" xr:uid="{00000000-0005-0000-0000-00008C1C0000}"/>
    <cellStyle name="Normal 3 2 4 5 4 2" xfId="20005" xr:uid="{392F5810-CAF5-445C-ACD0-5DF41AE6E5F1}"/>
    <cellStyle name="Normal 3 2 4 5 5" xfId="12869" xr:uid="{00000000-0005-0000-0000-00008D1C0000}"/>
    <cellStyle name="Normal 3 2 4 5 5 2" xfId="21605" xr:uid="{379992A0-48FE-4743-B3AF-57C62F13EF0B}"/>
    <cellStyle name="Normal 3 2 4 5 6" xfId="15099" xr:uid="{9DDE1E8B-C46B-485A-BE9C-1E248A76E68C}"/>
    <cellStyle name="Normal 3 2 4 6" xfId="2884" xr:uid="{00000000-0005-0000-0000-00008E1C0000}"/>
    <cellStyle name="Normal 3 2 4 6 2" xfId="9653" xr:uid="{00000000-0005-0000-0000-00008F1C0000}"/>
    <cellStyle name="Normal 3 2 4 6 2 2" xfId="18459" xr:uid="{976BA25B-E508-44B5-9245-DA143F79D537}"/>
    <cellStyle name="Normal 3 2 4 6 3" xfId="8051" xr:uid="{00000000-0005-0000-0000-0000901C0000}"/>
    <cellStyle name="Normal 3 2 4 6 3 2" xfId="16860" xr:uid="{74A0026F-E670-4F05-AF65-6913B25AAD41}"/>
    <cellStyle name="Normal 3 2 4 6 4" xfId="11263" xr:uid="{00000000-0005-0000-0000-0000911C0000}"/>
    <cellStyle name="Normal 3 2 4 6 4 2" xfId="20006" xr:uid="{23D4681C-D68D-43FE-A74D-9BBCB360EC4F}"/>
    <cellStyle name="Normal 3 2 4 6 5" xfId="12870" xr:uid="{00000000-0005-0000-0000-0000921C0000}"/>
    <cellStyle name="Normal 3 2 4 6 5 2" xfId="21606" xr:uid="{A2A79E98-0D6A-4CD0-996B-F01C90CBC677}"/>
    <cellStyle name="Normal 3 2 4 6 6" xfId="15100" xr:uid="{4E545BEA-2C00-40E1-B984-3395C0C5209B}"/>
    <cellStyle name="Normal 3 2 4 7" xfId="2885" xr:uid="{00000000-0005-0000-0000-0000931C0000}"/>
    <cellStyle name="Normal 3 2 4 7 2" xfId="9654" xr:uid="{00000000-0005-0000-0000-0000941C0000}"/>
    <cellStyle name="Normal 3 2 4 7 2 2" xfId="18460" xr:uid="{83E97FAF-AFA1-4FE8-9612-6AFB3183965E}"/>
    <cellStyle name="Normal 3 2 4 7 3" xfId="8052" xr:uid="{00000000-0005-0000-0000-0000951C0000}"/>
    <cellStyle name="Normal 3 2 4 7 3 2" xfId="16861" xr:uid="{FBB12DE7-678F-4A3F-A838-BC6BB3FB3D27}"/>
    <cellStyle name="Normal 3 2 4 7 4" xfId="11264" xr:uid="{00000000-0005-0000-0000-0000961C0000}"/>
    <cellStyle name="Normal 3 2 4 7 4 2" xfId="20007" xr:uid="{6E84B99E-347F-4784-B6FF-55D580B54CBE}"/>
    <cellStyle name="Normal 3 2 4 7 5" xfId="12871" xr:uid="{00000000-0005-0000-0000-0000971C0000}"/>
    <cellStyle name="Normal 3 2 4 7 5 2" xfId="21607" xr:uid="{1841F3F6-0E8A-4B7F-8083-21DC867A4738}"/>
    <cellStyle name="Normal 3 2 4 7 6" xfId="15101" xr:uid="{72CBF245-1664-4055-811D-4D682773059E}"/>
    <cellStyle name="Normal 3 2 5" xfId="2886" xr:uid="{00000000-0005-0000-0000-0000981C0000}"/>
    <cellStyle name="Normal 3 2 6" xfId="2887" xr:uid="{00000000-0005-0000-0000-0000991C0000}"/>
    <cellStyle name="Normal 3 2 7" xfId="2888" xr:uid="{00000000-0005-0000-0000-00009A1C0000}"/>
    <cellStyle name="Normal 3 2 7 2" xfId="9655" xr:uid="{00000000-0005-0000-0000-00009B1C0000}"/>
    <cellStyle name="Normal 3 2 7 2 2" xfId="18461" xr:uid="{01466E4A-EAED-4BA8-BE63-4A1E5DF166B3}"/>
    <cellStyle name="Normal 3 2 7 3" xfId="8053" xr:uid="{00000000-0005-0000-0000-00009C1C0000}"/>
    <cellStyle name="Normal 3 2 7 3 2" xfId="16862" xr:uid="{5AB3B52F-C440-487E-B8C7-A2FC41F2FC48}"/>
    <cellStyle name="Normal 3 2 7 4" xfId="11265" xr:uid="{00000000-0005-0000-0000-00009D1C0000}"/>
    <cellStyle name="Normal 3 2 7 4 2" xfId="20008" xr:uid="{34014DE8-D123-4B96-9BD2-DF2CB1971A57}"/>
    <cellStyle name="Normal 3 2 7 5" xfId="12872" xr:uid="{00000000-0005-0000-0000-00009E1C0000}"/>
    <cellStyle name="Normal 3 2 7 5 2" xfId="21608" xr:uid="{50E6B006-8225-42F1-9720-9A3E8B897EAE}"/>
    <cellStyle name="Normal 3 2 7 6" xfId="15102" xr:uid="{5F2FCD79-6638-43D4-B487-48CEDCC950CF}"/>
    <cellStyle name="Normal 3 2 8" xfId="2889" xr:uid="{00000000-0005-0000-0000-00009F1C0000}"/>
    <cellStyle name="Normal 3 2 8 2" xfId="9656" xr:uid="{00000000-0005-0000-0000-0000A01C0000}"/>
    <cellStyle name="Normal 3 2 8 2 2" xfId="18462" xr:uid="{3C32F332-F6FF-4CE0-9327-1937EB05EFA1}"/>
    <cellStyle name="Normal 3 2 8 3" xfId="8054" xr:uid="{00000000-0005-0000-0000-0000A11C0000}"/>
    <cellStyle name="Normal 3 2 8 3 2" xfId="16863" xr:uid="{38769016-5D5B-4CFE-971A-88CB5CD9CDCB}"/>
    <cellStyle name="Normal 3 2 8 4" xfId="11266" xr:uid="{00000000-0005-0000-0000-0000A21C0000}"/>
    <cellStyle name="Normal 3 2 8 4 2" xfId="20009" xr:uid="{50BA13DE-F660-4909-AC9D-0380E62B168F}"/>
    <cellStyle name="Normal 3 2 8 5" xfId="12873" xr:uid="{00000000-0005-0000-0000-0000A31C0000}"/>
    <cellStyle name="Normal 3 2 8 5 2" xfId="21609" xr:uid="{E5F5C510-7684-42D8-BBF9-1F13B3FA0945}"/>
    <cellStyle name="Normal 3 2 8 6" xfId="15103" xr:uid="{B10B02B6-1634-4CAD-A1A7-A354AA201EB2}"/>
    <cellStyle name="Normal 3 2 9" xfId="2890" xr:uid="{00000000-0005-0000-0000-0000A41C0000}"/>
    <cellStyle name="Normal 3 2 9 2" xfId="9657" xr:uid="{00000000-0005-0000-0000-0000A51C0000}"/>
    <cellStyle name="Normal 3 2 9 2 2" xfId="18463" xr:uid="{96F36F0E-EDAB-47ED-BA87-D87B5698995A}"/>
    <cellStyle name="Normal 3 2 9 3" xfId="8055" xr:uid="{00000000-0005-0000-0000-0000A61C0000}"/>
    <cellStyle name="Normal 3 2 9 3 2" xfId="16864" xr:uid="{10516776-11CF-4A56-88B0-355C3229DF46}"/>
    <cellStyle name="Normal 3 2 9 4" xfId="11267" xr:uid="{00000000-0005-0000-0000-0000A71C0000}"/>
    <cellStyle name="Normal 3 2 9 4 2" xfId="20010" xr:uid="{69BA326D-25DA-43A4-AAC4-45EB0DCA4B32}"/>
    <cellStyle name="Normal 3 2 9 5" xfId="12874" xr:uid="{00000000-0005-0000-0000-0000A81C0000}"/>
    <cellStyle name="Normal 3 2 9 5 2" xfId="21610" xr:uid="{BBA298DB-0B9E-46CA-95A8-DE3F7821BFCB}"/>
    <cellStyle name="Normal 3 2 9 6" xfId="15104" xr:uid="{26BE0F08-5A37-4115-BA03-2E2B238EE14A}"/>
    <cellStyle name="Normal 3 3" xfId="132" xr:uid="{00000000-0005-0000-0000-0000A91C0000}"/>
    <cellStyle name="Normal 3 3 10" xfId="14119" xr:uid="{FDE9B32B-E403-4915-90E1-A2E0AB448CAD}"/>
    <cellStyle name="Normal 3 3 2" xfId="2892" xr:uid="{00000000-0005-0000-0000-0000AA1C0000}"/>
    <cellStyle name="Normal 3 3 2 2" xfId="2893" xr:uid="{00000000-0005-0000-0000-0000AB1C0000}"/>
    <cellStyle name="Normal 3 3 2 2 2" xfId="9659" xr:uid="{00000000-0005-0000-0000-0000AC1C0000}"/>
    <cellStyle name="Normal 3 3 2 2 2 2" xfId="18465" xr:uid="{7C406DBD-52E8-496B-829F-09E629B9AC42}"/>
    <cellStyle name="Normal 3 3 2 2 3" xfId="8057" xr:uid="{00000000-0005-0000-0000-0000AD1C0000}"/>
    <cellStyle name="Normal 3 3 2 2 3 2" xfId="16866" xr:uid="{4CC7448F-6E92-4607-86BC-8E78ABA3301A}"/>
    <cellStyle name="Normal 3 3 2 2 4" xfId="11269" xr:uid="{00000000-0005-0000-0000-0000AE1C0000}"/>
    <cellStyle name="Normal 3 3 2 2 4 2" xfId="20012" xr:uid="{6A444216-B496-4F41-81C1-001F3B9CFACC}"/>
    <cellStyle name="Normal 3 3 2 2 5" xfId="12876" xr:uid="{00000000-0005-0000-0000-0000AF1C0000}"/>
    <cellStyle name="Normal 3 3 2 2 5 2" xfId="21612" xr:uid="{CD3E149C-A9D1-47B6-AA77-1C09ADD8ECA3}"/>
    <cellStyle name="Normal 3 3 2 2 6" xfId="15106" xr:uid="{0902AC3F-508B-485A-AEAF-6A00C13C7366}"/>
    <cellStyle name="Normal 3 3 2 3" xfId="2894" xr:uid="{00000000-0005-0000-0000-0000B01C0000}"/>
    <cellStyle name="Normal 3 3 2 3 2" xfId="9660" xr:uid="{00000000-0005-0000-0000-0000B11C0000}"/>
    <cellStyle name="Normal 3 3 2 3 2 2" xfId="18466" xr:uid="{D8C8B61B-D6AC-40A8-9732-14A87D7FD495}"/>
    <cellStyle name="Normal 3 3 2 3 3" xfId="8058" xr:uid="{00000000-0005-0000-0000-0000B21C0000}"/>
    <cellStyle name="Normal 3 3 2 3 3 2" xfId="16867" xr:uid="{6AA09A0B-5B91-42A9-8C7F-4DAC08184779}"/>
    <cellStyle name="Normal 3 3 2 3 4" xfId="11270" xr:uid="{00000000-0005-0000-0000-0000B31C0000}"/>
    <cellStyle name="Normal 3 3 2 3 4 2" xfId="20013" xr:uid="{8FB88956-58E7-4F65-A835-7B66620EA306}"/>
    <cellStyle name="Normal 3 3 2 3 5" xfId="12877" xr:uid="{00000000-0005-0000-0000-0000B41C0000}"/>
    <cellStyle name="Normal 3 3 2 3 5 2" xfId="21613" xr:uid="{B35C5DE8-8890-4B21-BD9F-78171D95DCB1}"/>
    <cellStyle name="Normal 3 3 2 3 6" xfId="15107" xr:uid="{F2DA7F77-AF5B-4423-94E6-B114B7409F32}"/>
    <cellStyle name="Normal 3 3 2 4" xfId="2895" xr:uid="{00000000-0005-0000-0000-0000B51C0000}"/>
    <cellStyle name="Normal 3 3 2 4 2" xfId="9661" xr:uid="{00000000-0005-0000-0000-0000B61C0000}"/>
    <cellStyle name="Normal 3 3 2 4 2 2" xfId="18467" xr:uid="{0E6E4039-1373-45D5-B1CF-AA9C2760F99F}"/>
    <cellStyle name="Normal 3 3 2 4 3" xfId="8059" xr:uid="{00000000-0005-0000-0000-0000B71C0000}"/>
    <cellStyle name="Normal 3 3 2 4 3 2" xfId="16868" xr:uid="{015017E5-FD39-46A3-A017-77E20B0BC0E6}"/>
    <cellStyle name="Normal 3 3 2 4 4" xfId="11271" xr:uid="{00000000-0005-0000-0000-0000B81C0000}"/>
    <cellStyle name="Normal 3 3 2 4 4 2" xfId="20014" xr:uid="{B05E8463-D594-44E0-81BF-40F9A2838440}"/>
    <cellStyle name="Normal 3 3 2 4 5" xfId="12878" xr:uid="{00000000-0005-0000-0000-0000B91C0000}"/>
    <cellStyle name="Normal 3 3 2 4 5 2" xfId="21614" xr:uid="{045C0A7A-0ED8-4597-8625-25E8D5D7FF3F}"/>
    <cellStyle name="Normal 3 3 2 4 6" xfId="15108" xr:uid="{F7266624-4616-43FD-B7D8-B9D4B2741F86}"/>
    <cellStyle name="Normal 3 3 2 5" xfId="9658" xr:uid="{00000000-0005-0000-0000-0000BA1C0000}"/>
    <cellStyle name="Normal 3 3 2 5 2" xfId="18464" xr:uid="{A8D328CB-20E0-47BC-A86A-46969D10614F}"/>
    <cellStyle name="Normal 3 3 2 6" xfId="8056" xr:uid="{00000000-0005-0000-0000-0000BB1C0000}"/>
    <cellStyle name="Normal 3 3 2 6 2" xfId="16865" xr:uid="{2E23404F-57F9-4F45-ACF5-E176215AC2D3}"/>
    <cellStyle name="Normal 3 3 2 7" xfId="11268" xr:uid="{00000000-0005-0000-0000-0000BC1C0000}"/>
    <cellStyle name="Normal 3 3 2 7 2" xfId="20011" xr:uid="{A35CB663-67E6-409F-B868-494A805F81C1}"/>
    <cellStyle name="Normal 3 3 2 8" xfId="12875" xr:uid="{00000000-0005-0000-0000-0000BD1C0000}"/>
    <cellStyle name="Normal 3 3 2 8 2" xfId="21611" xr:uid="{E07EF0A2-2625-4C61-AACA-BF36AE944D92}"/>
    <cellStyle name="Normal 3 3 2 9" xfId="15105" xr:uid="{4589BE5F-8820-462C-B5C7-435F2BEBB642}"/>
    <cellStyle name="Normal 3 3 3" xfId="2896" xr:uid="{00000000-0005-0000-0000-0000BE1C0000}"/>
    <cellStyle name="Normal 3 3 3 2" xfId="2897" xr:uid="{00000000-0005-0000-0000-0000BF1C0000}"/>
    <cellStyle name="Normal 3 3 3 2 2" xfId="9663" xr:uid="{00000000-0005-0000-0000-0000C01C0000}"/>
    <cellStyle name="Normal 3 3 3 2 2 2" xfId="18469" xr:uid="{8879E25B-4224-42A9-B2BD-22977C50585E}"/>
    <cellStyle name="Normal 3 3 3 2 3" xfId="8061" xr:uid="{00000000-0005-0000-0000-0000C11C0000}"/>
    <cellStyle name="Normal 3 3 3 2 3 2" xfId="16870" xr:uid="{6D0F0919-239C-4C9A-B6F9-083B36AF0365}"/>
    <cellStyle name="Normal 3 3 3 2 4" xfId="11273" xr:uid="{00000000-0005-0000-0000-0000C21C0000}"/>
    <cellStyle name="Normal 3 3 3 2 4 2" xfId="20016" xr:uid="{E715E055-00D1-49CE-AB19-D1AA9700CCEE}"/>
    <cellStyle name="Normal 3 3 3 2 5" xfId="12880" xr:uid="{00000000-0005-0000-0000-0000C31C0000}"/>
    <cellStyle name="Normal 3 3 3 2 5 2" xfId="21616" xr:uid="{FC6AA9AC-F057-4F01-862D-0E3E7BF8932C}"/>
    <cellStyle name="Normal 3 3 3 2 6" xfId="15110" xr:uid="{606DE1B3-CBAB-4FAB-BF8D-759136585A12}"/>
    <cellStyle name="Normal 3 3 3 3" xfId="2898" xr:uid="{00000000-0005-0000-0000-0000C41C0000}"/>
    <cellStyle name="Normal 3 3 3 3 2" xfId="9664" xr:uid="{00000000-0005-0000-0000-0000C51C0000}"/>
    <cellStyle name="Normal 3 3 3 3 2 2" xfId="18470" xr:uid="{0E8C6350-7521-4927-8F48-269C2A6C49BB}"/>
    <cellStyle name="Normal 3 3 3 3 3" xfId="8062" xr:uid="{00000000-0005-0000-0000-0000C61C0000}"/>
    <cellStyle name="Normal 3 3 3 3 3 2" xfId="16871" xr:uid="{6A38E998-D13A-4485-8B87-E24C9E986E6C}"/>
    <cellStyle name="Normal 3 3 3 3 4" xfId="11274" xr:uid="{00000000-0005-0000-0000-0000C71C0000}"/>
    <cellStyle name="Normal 3 3 3 3 4 2" xfId="20017" xr:uid="{FB5DCCFB-2E97-483E-B53B-55A236218CEA}"/>
    <cellStyle name="Normal 3 3 3 3 5" xfId="12881" xr:uid="{00000000-0005-0000-0000-0000C81C0000}"/>
    <cellStyle name="Normal 3 3 3 3 5 2" xfId="21617" xr:uid="{C26B1CB4-2896-4F81-B713-443103E77281}"/>
    <cellStyle name="Normal 3 3 3 3 6" xfId="15111" xr:uid="{D29A772A-9E13-4BF7-8700-DA91F7DE3867}"/>
    <cellStyle name="Normal 3 3 3 4" xfId="2899" xr:uid="{00000000-0005-0000-0000-0000C91C0000}"/>
    <cellStyle name="Normal 3 3 3 4 2" xfId="9665" xr:uid="{00000000-0005-0000-0000-0000CA1C0000}"/>
    <cellStyle name="Normal 3 3 3 4 2 2" xfId="18471" xr:uid="{1275DFB1-FC0C-4ED3-869C-8372BEEE61B8}"/>
    <cellStyle name="Normal 3 3 3 4 3" xfId="8063" xr:uid="{00000000-0005-0000-0000-0000CB1C0000}"/>
    <cellStyle name="Normal 3 3 3 4 3 2" xfId="16872" xr:uid="{A372C19F-AC0C-4C6B-9255-C397DC6C6E18}"/>
    <cellStyle name="Normal 3 3 3 4 4" xfId="11275" xr:uid="{00000000-0005-0000-0000-0000CC1C0000}"/>
    <cellStyle name="Normal 3 3 3 4 4 2" xfId="20018" xr:uid="{9AADFBB5-D3E2-4037-80E4-68EEB340CD1B}"/>
    <cellStyle name="Normal 3 3 3 4 5" xfId="12882" xr:uid="{00000000-0005-0000-0000-0000CD1C0000}"/>
    <cellStyle name="Normal 3 3 3 4 5 2" xfId="21618" xr:uid="{89BC7DD0-A4A1-4FB0-AFB8-1BBFBCA59E84}"/>
    <cellStyle name="Normal 3 3 3 4 6" xfId="15112" xr:uid="{42448677-C4F0-4ED8-85CD-E4E6BB7B7CD8}"/>
    <cellStyle name="Normal 3 3 3 5" xfId="9662" xr:uid="{00000000-0005-0000-0000-0000CE1C0000}"/>
    <cellStyle name="Normal 3 3 3 5 2" xfId="18468" xr:uid="{F88A33D8-F499-4695-8C4A-82A4CFDCECFC}"/>
    <cellStyle name="Normal 3 3 3 6" xfId="8060" xr:uid="{00000000-0005-0000-0000-0000CF1C0000}"/>
    <cellStyle name="Normal 3 3 3 6 2" xfId="16869" xr:uid="{D4E2146E-6332-42E2-93DE-96CAAC373CB6}"/>
    <cellStyle name="Normal 3 3 3 7" xfId="11272" xr:uid="{00000000-0005-0000-0000-0000D01C0000}"/>
    <cellStyle name="Normal 3 3 3 7 2" xfId="20015" xr:uid="{C527B8C2-F954-49F6-A7E4-F8C22FE68A0D}"/>
    <cellStyle name="Normal 3 3 3 8" xfId="12879" xr:uid="{00000000-0005-0000-0000-0000D11C0000}"/>
    <cellStyle name="Normal 3 3 3 8 2" xfId="21615" xr:uid="{F8A0F49D-EF5A-4551-8D22-23123B6A8135}"/>
    <cellStyle name="Normal 3 3 3 9" xfId="15109" xr:uid="{D28A1787-0D83-438E-822F-42013AFA2A7E}"/>
    <cellStyle name="Normal 3 3 4" xfId="2900" xr:uid="{00000000-0005-0000-0000-0000D21C0000}"/>
    <cellStyle name="Normal 3 3 4 2" xfId="9666" xr:uid="{00000000-0005-0000-0000-0000D31C0000}"/>
    <cellStyle name="Normal 3 3 4 2 2" xfId="18472" xr:uid="{31668C2C-05F0-4406-89AD-02A159333359}"/>
    <cellStyle name="Normal 3 3 4 3" xfId="8064" xr:uid="{00000000-0005-0000-0000-0000D41C0000}"/>
    <cellStyle name="Normal 3 3 4 3 2" xfId="16873" xr:uid="{58B0D021-64B7-4032-8044-299E5EB062BE}"/>
    <cellStyle name="Normal 3 3 4 4" xfId="11276" xr:uid="{00000000-0005-0000-0000-0000D51C0000}"/>
    <cellStyle name="Normal 3 3 4 4 2" xfId="20019" xr:uid="{CABDB408-2E35-4CFA-9B31-8B0EF630093A}"/>
    <cellStyle name="Normal 3 3 4 5" xfId="12883" xr:uid="{00000000-0005-0000-0000-0000D61C0000}"/>
    <cellStyle name="Normal 3 3 4 5 2" xfId="21619" xr:uid="{CD752B49-7281-4D06-A99D-80FAD780A6D0}"/>
    <cellStyle name="Normal 3 3 4 6" xfId="15113" xr:uid="{FAB60572-ACA5-4E42-B624-65A95172D911}"/>
    <cellStyle name="Normal 3 3 5" xfId="2901" xr:uid="{00000000-0005-0000-0000-0000D71C0000}"/>
    <cellStyle name="Normal 3 3 5 2" xfId="9667" xr:uid="{00000000-0005-0000-0000-0000D81C0000}"/>
    <cellStyle name="Normal 3 3 5 2 2" xfId="18473" xr:uid="{429C575E-0D07-4345-81FC-A1B36BEEAB95}"/>
    <cellStyle name="Normal 3 3 5 3" xfId="8065" xr:uid="{00000000-0005-0000-0000-0000D91C0000}"/>
    <cellStyle name="Normal 3 3 5 3 2" xfId="16874" xr:uid="{3578382D-A8F6-4AB1-90F4-2FE4108E6C05}"/>
    <cellStyle name="Normal 3 3 5 4" xfId="11277" xr:uid="{00000000-0005-0000-0000-0000DA1C0000}"/>
    <cellStyle name="Normal 3 3 5 4 2" xfId="20020" xr:uid="{673F31DD-5F4E-4F15-B712-53DAE0E0FAFF}"/>
    <cellStyle name="Normal 3 3 5 5" xfId="12884" xr:uid="{00000000-0005-0000-0000-0000DB1C0000}"/>
    <cellStyle name="Normal 3 3 5 5 2" xfId="21620" xr:uid="{0E6F6441-D676-47CD-B137-24308950C28D}"/>
    <cellStyle name="Normal 3 3 5 6" xfId="15114" xr:uid="{DAC0BC16-4D42-4DED-8369-058C707D9EFA}"/>
    <cellStyle name="Normal 3 3 6" xfId="2902" xr:uid="{00000000-0005-0000-0000-0000DC1C0000}"/>
    <cellStyle name="Normal 3 3 6 2" xfId="9668" xr:uid="{00000000-0005-0000-0000-0000DD1C0000}"/>
    <cellStyle name="Normal 3 3 6 2 2" xfId="18474" xr:uid="{6533D68C-55EF-405F-B9D7-050055F769E2}"/>
    <cellStyle name="Normal 3 3 6 3" xfId="8066" xr:uid="{00000000-0005-0000-0000-0000DE1C0000}"/>
    <cellStyle name="Normal 3 3 6 3 2" xfId="16875" xr:uid="{CA916119-7422-4507-86D4-88C1FFD2C420}"/>
    <cellStyle name="Normal 3 3 6 4" xfId="11278" xr:uid="{00000000-0005-0000-0000-0000DF1C0000}"/>
    <cellStyle name="Normal 3 3 6 4 2" xfId="20021" xr:uid="{DF493C95-6CB1-4C07-A676-8F007C088890}"/>
    <cellStyle name="Normal 3 3 6 5" xfId="12885" xr:uid="{00000000-0005-0000-0000-0000E01C0000}"/>
    <cellStyle name="Normal 3 3 6 5 2" xfId="21621" xr:uid="{E829C1CD-467D-4441-A118-D5E9F29E2E07}"/>
    <cellStyle name="Normal 3 3 6 6" xfId="15115" xr:uid="{24A4951E-FBF4-4F92-855F-E08B5AB62DF9}"/>
    <cellStyle name="Normal 3 3 7" xfId="2903" xr:uid="{00000000-0005-0000-0000-0000E11C0000}"/>
    <cellStyle name="Normal 3 3 7 2" xfId="9669" xr:uid="{00000000-0005-0000-0000-0000E21C0000}"/>
    <cellStyle name="Normal 3 3 7 2 2" xfId="18475" xr:uid="{9BB5E7C5-26DD-4DF9-83B4-878FD0F5BB3E}"/>
    <cellStyle name="Normal 3 3 7 3" xfId="8067" xr:uid="{00000000-0005-0000-0000-0000E31C0000}"/>
    <cellStyle name="Normal 3 3 7 3 2" xfId="16876" xr:uid="{252EBD47-1470-4574-8407-11F06C2CE1F0}"/>
    <cellStyle name="Normal 3 3 7 4" xfId="11279" xr:uid="{00000000-0005-0000-0000-0000E41C0000}"/>
    <cellStyle name="Normal 3 3 7 4 2" xfId="20022" xr:uid="{72B172CB-F4CE-4199-B95F-F4653A852B48}"/>
    <cellStyle name="Normal 3 3 7 5" xfId="12886" xr:uid="{00000000-0005-0000-0000-0000E51C0000}"/>
    <cellStyle name="Normal 3 3 7 5 2" xfId="21622" xr:uid="{28B194CF-5E76-4B9F-8DC0-C3C198A8491C}"/>
    <cellStyle name="Normal 3 3 7 6" xfId="15116" xr:uid="{3598F3AC-B1F4-4962-9A59-AD4EBB2C127E}"/>
    <cellStyle name="Normal 3 3 8" xfId="2891" xr:uid="{00000000-0005-0000-0000-0000E61C0000}"/>
    <cellStyle name="Normal 3 3 9" xfId="10612" xr:uid="{00000000-0005-0000-0000-0000E71C0000}"/>
    <cellStyle name="Normal 3 3 9 2" xfId="19371" xr:uid="{A780C5EB-75B3-4E61-8D84-B79BDEAE5907}"/>
    <cellStyle name="Normal 3 4" xfId="2904" xr:uid="{00000000-0005-0000-0000-0000E81C0000}"/>
    <cellStyle name="Normal 3 4 2" xfId="2905" xr:uid="{00000000-0005-0000-0000-0000E91C0000}"/>
    <cellStyle name="Normal 3 4 3" xfId="2906" xr:uid="{00000000-0005-0000-0000-0000EA1C0000}"/>
    <cellStyle name="Normal 3 5" xfId="2907" xr:uid="{00000000-0005-0000-0000-0000EB1C0000}"/>
    <cellStyle name="Normal 3 5 2" xfId="2908" xr:uid="{00000000-0005-0000-0000-0000EC1C0000}"/>
    <cellStyle name="Normal 3 5 2 2" xfId="9670" xr:uid="{00000000-0005-0000-0000-0000ED1C0000}"/>
    <cellStyle name="Normal 3 5 2 2 2" xfId="18476" xr:uid="{D7642ED7-E418-4D86-BDAD-388691B643BE}"/>
    <cellStyle name="Normal 3 5 2 3" xfId="8068" xr:uid="{00000000-0005-0000-0000-0000EE1C0000}"/>
    <cellStyle name="Normal 3 5 2 3 2" xfId="16877" xr:uid="{01C09989-7351-4435-9A6D-F949F1582960}"/>
    <cellStyle name="Normal 3 5 2 4" xfId="11280" xr:uid="{00000000-0005-0000-0000-0000EF1C0000}"/>
    <cellStyle name="Normal 3 5 2 4 2" xfId="20023" xr:uid="{FBE9C3D6-CAA1-42E5-9FF8-5230662001D7}"/>
    <cellStyle name="Normal 3 5 2 5" xfId="12887" xr:uid="{00000000-0005-0000-0000-0000F01C0000}"/>
    <cellStyle name="Normal 3 5 2 5 2" xfId="21623" xr:uid="{74D96551-4AD9-444D-A05E-3E791B5B6201}"/>
    <cellStyle name="Normal 3 5 2 6" xfId="15117" xr:uid="{0E72FF76-9768-42DB-8DE1-044C47FD45F2}"/>
    <cellStyle name="Normal 3 5 3" xfId="2909" xr:uid="{00000000-0005-0000-0000-0000F11C0000}"/>
    <cellStyle name="Normal 3 5 3 2" xfId="9671" xr:uid="{00000000-0005-0000-0000-0000F21C0000}"/>
    <cellStyle name="Normal 3 5 3 2 2" xfId="18477" xr:uid="{8945B020-E267-4670-A2F9-97D5BE3C72D9}"/>
    <cellStyle name="Normal 3 5 3 3" xfId="8069" xr:uid="{00000000-0005-0000-0000-0000F31C0000}"/>
    <cellStyle name="Normal 3 5 3 3 2" xfId="16878" xr:uid="{53A21469-CD62-49E6-B482-8BD5C1714495}"/>
    <cellStyle name="Normal 3 5 3 4" xfId="11281" xr:uid="{00000000-0005-0000-0000-0000F41C0000}"/>
    <cellStyle name="Normal 3 5 3 4 2" xfId="20024" xr:uid="{76A54F3A-79A1-438B-B4E9-310544A55D3D}"/>
    <cellStyle name="Normal 3 5 3 5" xfId="12888" xr:uid="{00000000-0005-0000-0000-0000F51C0000}"/>
    <cellStyle name="Normal 3 5 3 5 2" xfId="21624" xr:uid="{07F2A3B6-3676-4007-903A-B6C158D9BD5D}"/>
    <cellStyle name="Normal 3 5 3 6" xfId="15118" xr:uid="{C2F65756-0555-4E6F-9234-499B8ABC42F9}"/>
    <cellStyle name="Normal 3 5 4" xfId="2910" xr:uid="{00000000-0005-0000-0000-0000F61C0000}"/>
    <cellStyle name="Normal 3 5 4 2" xfId="9672" xr:uid="{00000000-0005-0000-0000-0000F71C0000}"/>
    <cellStyle name="Normal 3 5 4 2 2" xfId="18478" xr:uid="{2E6D8ABD-36B1-454A-AFCD-83A50B848BD9}"/>
    <cellStyle name="Normal 3 5 4 3" xfId="8070" xr:uid="{00000000-0005-0000-0000-0000F81C0000}"/>
    <cellStyle name="Normal 3 5 4 3 2" xfId="16879" xr:uid="{58DAA651-EE10-4D5A-AADA-AD0A3AE98296}"/>
    <cellStyle name="Normal 3 5 4 4" xfId="11282" xr:uid="{00000000-0005-0000-0000-0000F91C0000}"/>
    <cellStyle name="Normal 3 5 4 4 2" xfId="20025" xr:uid="{3A0F7541-8809-41E2-B0C8-D01C800A31E7}"/>
    <cellStyle name="Normal 3 5 4 5" xfId="12889" xr:uid="{00000000-0005-0000-0000-0000FA1C0000}"/>
    <cellStyle name="Normal 3 5 4 5 2" xfId="21625" xr:uid="{080CDAC2-B628-4602-B437-A5CCB630478F}"/>
    <cellStyle name="Normal 3 5 4 6" xfId="15119" xr:uid="{A9C21F3F-4C17-43D4-87DC-32AC5AE40183}"/>
    <cellStyle name="Normal 3 5 5" xfId="2911" xr:uid="{00000000-0005-0000-0000-0000FB1C0000}"/>
    <cellStyle name="Normal 3 5 5 2" xfId="9673" xr:uid="{00000000-0005-0000-0000-0000FC1C0000}"/>
    <cellStyle name="Normal 3 5 5 2 2" xfId="18479" xr:uid="{D9247BF3-B37B-4F66-ADDA-FD1167BA2F73}"/>
    <cellStyle name="Normal 3 5 5 3" xfId="8071" xr:uid="{00000000-0005-0000-0000-0000FD1C0000}"/>
    <cellStyle name="Normal 3 5 5 3 2" xfId="16880" xr:uid="{0CBA13F5-7C7F-4166-9AFC-5A601CB4B0EE}"/>
    <cellStyle name="Normal 3 5 5 4" xfId="11283" xr:uid="{00000000-0005-0000-0000-0000FE1C0000}"/>
    <cellStyle name="Normal 3 5 5 4 2" xfId="20026" xr:uid="{02B8EE1E-9732-4771-A1C6-256D4AC86669}"/>
    <cellStyle name="Normal 3 5 5 5" xfId="12890" xr:uid="{00000000-0005-0000-0000-0000FF1C0000}"/>
    <cellStyle name="Normal 3 5 5 5 2" xfId="21626" xr:uid="{9BEE2F07-45E1-4334-9169-6902A45780D7}"/>
    <cellStyle name="Normal 3 5 5 6" xfId="15120" xr:uid="{71A9D830-CD31-4FF0-8DAA-15995EB898A5}"/>
    <cellStyle name="Normal 3 6" xfId="2912" xr:uid="{00000000-0005-0000-0000-0000001D0000}"/>
    <cellStyle name="Normal 3 6 2" xfId="2913" xr:uid="{00000000-0005-0000-0000-0000011D0000}"/>
    <cellStyle name="Normal 3 6 2 2" xfId="9674" xr:uid="{00000000-0005-0000-0000-0000021D0000}"/>
    <cellStyle name="Normal 3 6 2 2 2" xfId="18480" xr:uid="{34F9013B-9F85-4892-85BF-CFFB87CB9967}"/>
    <cellStyle name="Normal 3 6 2 3" xfId="8072" xr:uid="{00000000-0005-0000-0000-0000031D0000}"/>
    <cellStyle name="Normal 3 6 2 3 2" xfId="16881" xr:uid="{AF21BA32-A1C8-4306-8228-04CFF3D80147}"/>
    <cellStyle name="Normal 3 6 2 4" xfId="11284" xr:uid="{00000000-0005-0000-0000-0000041D0000}"/>
    <cellStyle name="Normal 3 6 2 4 2" xfId="20027" xr:uid="{CC49407A-0D6A-4121-A734-D7751F09797E}"/>
    <cellStyle name="Normal 3 6 2 5" xfId="12891" xr:uid="{00000000-0005-0000-0000-0000051D0000}"/>
    <cellStyle name="Normal 3 6 2 5 2" xfId="21627" xr:uid="{82135450-24AE-4FD3-A09C-DB3CEB2B9129}"/>
    <cellStyle name="Normal 3 6 2 6" xfId="15121" xr:uid="{0361BA9D-1B81-42B7-922E-D10EC36328FC}"/>
    <cellStyle name="Normal 3 6 3" xfId="2914" xr:uid="{00000000-0005-0000-0000-0000061D0000}"/>
    <cellStyle name="Normal 3 6 3 2" xfId="9675" xr:uid="{00000000-0005-0000-0000-0000071D0000}"/>
    <cellStyle name="Normal 3 6 3 2 2" xfId="18481" xr:uid="{3832595B-1996-4CD0-9878-985BA42B73B0}"/>
    <cellStyle name="Normal 3 6 3 3" xfId="8073" xr:uid="{00000000-0005-0000-0000-0000081D0000}"/>
    <cellStyle name="Normal 3 6 3 3 2" xfId="16882" xr:uid="{D6C67174-1162-4212-B703-F6D873809AA5}"/>
    <cellStyle name="Normal 3 6 3 4" xfId="11285" xr:uid="{00000000-0005-0000-0000-0000091D0000}"/>
    <cellStyle name="Normal 3 6 3 4 2" xfId="20028" xr:uid="{DABE63A0-BEA0-4295-8ABA-718AE0A8C2ED}"/>
    <cellStyle name="Normal 3 6 3 5" xfId="12892" xr:uid="{00000000-0005-0000-0000-00000A1D0000}"/>
    <cellStyle name="Normal 3 6 3 5 2" xfId="21628" xr:uid="{7D267C18-4219-4A39-B709-1DACFFC92B62}"/>
    <cellStyle name="Normal 3 6 3 6" xfId="15122" xr:uid="{9FE8CE49-AAF1-4775-9DD6-4CD1760914BD}"/>
    <cellStyle name="Normal 3 6 4" xfId="2915" xr:uid="{00000000-0005-0000-0000-00000B1D0000}"/>
    <cellStyle name="Normal 3 6 4 2" xfId="9676" xr:uid="{00000000-0005-0000-0000-00000C1D0000}"/>
    <cellStyle name="Normal 3 6 4 2 2" xfId="18482" xr:uid="{364A6FE9-BC45-4B9A-B7A2-E4B0F68953B6}"/>
    <cellStyle name="Normal 3 6 4 3" xfId="8074" xr:uid="{00000000-0005-0000-0000-00000D1D0000}"/>
    <cellStyle name="Normal 3 6 4 3 2" xfId="16883" xr:uid="{2BEADB2C-EC0E-436A-B5D3-205FBE393224}"/>
    <cellStyle name="Normal 3 6 4 4" xfId="11286" xr:uid="{00000000-0005-0000-0000-00000E1D0000}"/>
    <cellStyle name="Normal 3 6 4 4 2" xfId="20029" xr:uid="{06B613A6-B5EE-4523-BAF0-B4B5EF01D1B1}"/>
    <cellStyle name="Normal 3 6 4 5" xfId="12893" xr:uid="{00000000-0005-0000-0000-00000F1D0000}"/>
    <cellStyle name="Normal 3 6 4 5 2" xfId="21629" xr:uid="{88E0C8E2-9CCF-454C-876C-AB4595DB6F31}"/>
    <cellStyle name="Normal 3 6 4 6" xfId="15123" xr:uid="{D35D07A0-2E35-4521-9A68-9137D52026B3}"/>
    <cellStyle name="Normal 3 6 5" xfId="2916" xr:uid="{00000000-0005-0000-0000-0000101D0000}"/>
    <cellStyle name="Normal 3 6 5 2" xfId="9677" xr:uid="{00000000-0005-0000-0000-0000111D0000}"/>
    <cellStyle name="Normal 3 6 5 2 2" xfId="18483" xr:uid="{59DB5641-CC63-4B75-8527-FA274215FF6C}"/>
    <cellStyle name="Normal 3 6 5 3" xfId="8075" xr:uid="{00000000-0005-0000-0000-0000121D0000}"/>
    <cellStyle name="Normal 3 6 5 3 2" xfId="16884" xr:uid="{ED3AC4D9-99DA-49F8-8EA5-6D8F71EC129D}"/>
    <cellStyle name="Normal 3 6 5 4" xfId="11287" xr:uid="{00000000-0005-0000-0000-0000131D0000}"/>
    <cellStyle name="Normal 3 6 5 4 2" xfId="20030" xr:uid="{A0D0E602-5997-4B08-9C34-BCE2C55F313F}"/>
    <cellStyle name="Normal 3 6 5 5" xfId="12894" xr:uid="{00000000-0005-0000-0000-0000141D0000}"/>
    <cellStyle name="Normal 3 6 5 5 2" xfId="21630" xr:uid="{D5ABD9CA-745E-4FDC-BCA2-46EB07A91FB9}"/>
    <cellStyle name="Normal 3 6 5 6" xfId="15124" xr:uid="{7294FB84-8813-43AF-A9E8-ECC133666D71}"/>
    <cellStyle name="Normal 3 7" xfId="2917" xr:uid="{00000000-0005-0000-0000-0000151D0000}"/>
    <cellStyle name="Normal 3 8" xfId="2918" xr:uid="{00000000-0005-0000-0000-0000161D0000}"/>
    <cellStyle name="Normal 3 9" xfId="2857" xr:uid="{00000000-0005-0000-0000-0000171D0000}"/>
    <cellStyle name="Normal 3 9 2" xfId="10451" xr:uid="{00000000-0005-0000-0000-0000181D0000}"/>
    <cellStyle name="Normal 3 9 2 2" xfId="19254" xr:uid="{48505005-C991-4BE8-B33D-9610FE32EF80}"/>
    <cellStyle name="Normal 30" xfId="2919" xr:uid="{00000000-0005-0000-0000-0000191D0000}"/>
    <cellStyle name="Normal 30 2" xfId="2920" xr:uid="{00000000-0005-0000-0000-00001A1D0000}"/>
    <cellStyle name="Normal 30 2 10" xfId="9678" xr:uid="{00000000-0005-0000-0000-00001B1D0000}"/>
    <cellStyle name="Normal 30 2 10 2" xfId="18484" xr:uid="{578A4472-D5A3-44FC-966F-1375094FDAA3}"/>
    <cellStyle name="Normal 30 2 11" xfId="8076" xr:uid="{00000000-0005-0000-0000-00001C1D0000}"/>
    <cellStyle name="Normal 30 2 11 2" xfId="16885" xr:uid="{3706D9CF-6C0B-41D2-88EA-783EAD139006}"/>
    <cellStyle name="Normal 30 2 12" xfId="11288" xr:uid="{00000000-0005-0000-0000-00001D1D0000}"/>
    <cellStyle name="Normal 30 2 12 2" xfId="20031" xr:uid="{07DDA4D8-4A31-474C-8BEB-F67212523ED8}"/>
    <cellStyle name="Normal 30 2 13" xfId="12895" xr:uid="{00000000-0005-0000-0000-00001E1D0000}"/>
    <cellStyle name="Normal 30 2 13 2" xfId="21631" xr:uid="{C3C739B2-8FF3-49F0-B74C-BBB189AC1442}"/>
    <cellStyle name="Normal 30 2 14" xfId="15125" xr:uid="{FCB06D6A-A484-4E7E-8868-807F48771691}"/>
    <cellStyle name="Normal 30 2 2" xfId="2921" xr:uid="{00000000-0005-0000-0000-00001F1D0000}"/>
    <cellStyle name="Normal 30 2 2 2" xfId="2922" xr:uid="{00000000-0005-0000-0000-0000201D0000}"/>
    <cellStyle name="Normal 30 2 2 2 2" xfId="9680" xr:uid="{00000000-0005-0000-0000-0000211D0000}"/>
    <cellStyle name="Normal 30 2 2 2 2 2" xfId="18486" xr:uid="{25822EFE-ACE1-4A62-8DBD-9656B5D9BE85}"/>
    <cellStyle name="Normal 30 2 2 2 3" xfId="8078" xr:uid="{00000000-0005-0000-0000-0000221D0000}"/>
    <cellStyle name="Normal 30 2 2 2 3 2" xfId="16887" xr:uid="{1F3CD2CD-DCDB-4035-A72F-8EF455F33A62}"/>
    <cellStyle name="Normal 30 2 2 2 4" xfId="11290" xr:uid="{00000000-0005-0000-0000-0000231D0000}"/>
    <cellStyle name="Normal 30 2 2 2 4 2" xfId="20033" xr:uid="{1777BA53-3790-43B2-9C6F-91AE2E8EAC9A}"/>
    <cellStyle name="Normal 30 2 2 2 5" xfId="12897" xr:uid="{00000000-0005-0000-0000-0000241D0000}"/>
    <cellStyle name="Normal 30 2 2 2 5 2" xfId="21633" xr:uid="{849B92BE-C959-426F-8D58-9C993A7A1334}"/>
    <cellStyle name="Normal 30 2 2 2 6" xfId="15127" xr:uid="{07050824-B2F0-4252-AC01-080595E4C926}"/>
    <cellStyle name="Normal 30 2 2 3" xfId="2923" xr:uid="{00000000-0005-0000-0000-0000251D0000}"/>
    <cellStyle name="Normal 30 2 2 3 2" xfId="9681" xr:uid="{00000000-0005-0000-0000-0000261D0000}"/>
    <cellStyle name="Normal 30 2 2 3 2 2" xfId="18487" xr:uid="{C5AF1CE6-89B8-4F91-8D0C-FF16A85F9B81}"/>
    <cellStyle name="Normal 30 2 2 3 3" xfId="8079" xr:uid="{00000000-0005-0000-0000-0000271D0000}"/>
    <cellStyle name="Normal 30 2 2 3 3 2" xfId="16888" xr:uid="{533BFA6E-14A9-4004-A234-DBD86DEF1376}"/>
    <cellStyle name="Normal 30 2 2 3 4" xfId="11291" xr:uid="{00000000-0005-0000-0000-0000281D0000}"/>
    <cellStyle name="Normal 30 2 2 3 4 2" xfId="20034" xr:uid="{6B797315-0D62-4DC0-A2B4-3596D407FF51}"/>
    <cellStyle name="Normal 30 2 2 3 5" xfId="12898" xr:uid="{00000000-0005-0000-0000-0000291D0000}"/>
    <cellStyle name="Normal 30 2 2 3 5 2" xfId="21634" xr:uid="{FA592017-D698-4529-8E9F-AE7D05726EE2}"/>
    <cellStyle name="Normal 30 2 2 3 6" xfId="15128" xr:uid="{183EA66C-CD78-4248-B179-C5E495545451}"/>
    <cellStyle name="Normal 30 2 2 4" xfId="2924" xr:uid="{00000000-0005-0000-0000-00002A1D0000}"/>
    <cellStyle name="Normal 30 2 2 4 2" xfId="9682" xr:uid="{00000000-0005-0000-0000-00002B1D0000}"/>
    <cellStyle name="Normal 30 2 2 4 2 2" xfId="18488" xr:uid="{0ED7B586-8BF7-4FA5-9D1E-724F810B6789}"/>
    <cellStyle name="Normal 30 2 2 4 3" xfId="8080" xr:uid="{00000000-0005-0000-0000-00002C1D0000}"/>
    <cellStyle name="Normal 30 2 2 4 3 2" xfId="16889" xr:uid="{D949735F-2926-4EBD-9D7F-2650FB435980}"/>
    <cellStyle name="Normal 30 2 2 4 4" xfId="11292" xr:uid="{00000000-0005-0000-0000-00002D1D0000}"/>
    <cellStyle name="Normal 30 2 2 4 4 2" xfId="20035" xr:uid="{BA435CF1-0165-4E9C-9A55-706F6D5C8FDF}"/>
    <cellStyle name="Normal 30 2 2 4 5" xfId="12899" xr:uid="{00000000-0005-0000-0000-00002E1D0000}"/>
    <cellStyle name="Normal 30 2 2 4 5 2" xfId="21635" xr:uid="{A605F536-2C2D-4ACF-A82C-2A814542A3BD}"/>
    <cellStyle name="Normal 30 2 2 4 6" xfId="15129" xr:uid="{30AC8E55-5BA3-4E29-813D-8898152DF3C1}"/>
    <cellStyle name="Normal 30 2 2 5" xfId="9679" xr:uid="{00000000-0005-0000-0000-00002F1D0000}"/>
    <cellStyle name="Normal 30 2 2 5 2" xfId="18485" xr:uid="{86C0B8BB-32A6-4B38-8F5E-EEB498562098}"/>
    <cellStyle name="Normal 30 2 2 6" xfId="8077" xr:uid="{00000000-0005-0000-0000-0000301D0000}"/>
    <cellStyle name="Normal 30 2 2 6 2" xfId="16886" xr:uid="{763CD0D0-9B44-4A5D-80F1-2C31066C8177}"/>
    <cellStyle name="Normal 30 2 2 7" xfId="11289" xr:uid="{00000000-0005-0000-0000-0000311D0000}"/>
    <cellStyle name="Normal 30 2 2 7 2" xfId="20032" xr:uid="{640B99AC-0B08-41E2-855F-BEFE76B6CBD1}"/>
    <cellStyle name="Normal 30 2 2 8" xfId="12896" xr:uid="{00000000-0005-0000-0000-0000321D0000}"/>
    <cellStyle name="Normal 30 2 2 8 2" xfId="21632" xr:uid="{E0D13B92-66E8-43F9-80B5-C0EF879F4CB1}"/>
    <cellStyle name="Normal 30 2 2 9" xfId="15126" xr:uid="{C429E944-9423-4F88-AD79-8B7BCC9FE37E}"/>
    <cellStyle name="Normal 30 2 3" xfId="2925" xr:uid="{00000000-0005-0000-0000-0000331D0000}"/>
    <cellStyle name="Normal 30 2 3 2" xfId="2926" xr:uid="{00000000-0005-0000-0000-0000341D0000}"/>
    <cellStyle name="Normal 30 2 3 2 2" xfId="9684" xr:uid="{00000000-0005-0000-0000-0000351D0000}"/>
    <cellStyle name="Normal 30 2 3 2 2 2" xfId="18490" xr:uid="{7D0DE056-09D8-40DA-B1BA-B8E27D003111}"/>
    <cellStyle name="Normal 30 2 3 2 3" xfId="8082" xr:uid="{00000000-0005-0000-0000-0000361D0000}"/>
    <cellStyle name="Normal 30 2 3 2 3 2" xfId="16891" xr:uid="{3DB57336-A69A-40EC-92B2-34262DA1AA37}"/>
    <cellStyle name="Normal 30 2 3 2 4" xfId="11294" xr:uid="{00000000-0005-0000-0000-0000371D0000}"/>
    <cellStyle name="Normal 30 2 3 2 4 2" xfId="20037" xr:uid="{D0D47261-B1E4-49F4-A1C1-40F140FC2785}"/>
    <cellStyle name="Normal 30 2 3 2 5" xfId="12901" xr:uid="{00000000-0005-0000-0000-0000381D0000}"/>
    <cellStyle name="Normal 30 2 3 2 5 2" xfId="21637" xr:uid="{B39C5B67-06EF-4DF3-8099-0A9A0FFA4FC9}"/>
    <cellStyle name="Normal 30 2 3 2 6" xfId="15131" xr:uid="{CD297702-6436-431D-BD7D-4DF2440ED841}"/>
    <cellStyle name="Normal 30 2 3 3" xfId="2927" xr:uid="{00000000-0005-0000-0000-0000391D0000}"/>
    <cellStyle name="Normal 30 2 3 3 2" xfId="9685" xr:uid="{00000000-0005-0000-0000-00003A1D0000}"/>
    <cellStyle name="Normal 30 2 3 3 2 2" xfId="18491" xr:uid="{2C269173-C98C-4AA9-BE99-9DA8A4B8D57B}"/>
    <cellStyle name="Normal 30 2 3 3 3" xfId="8083" xr:uid="{00000000-0005-0000-0000-00003B1D0000}"/>
    <cellStyle name="Normal 30 2 3 3 3 2" xfId="16892" xr:uid="{C956BB71-465B-4DFA-8C6C-4C32C6C8E362}"/>
    <cellStyle name="Normal 30 2 3 3 4" xfId="11295" xr:uid="{00000000-0005-0000-0000-00003C1D0000}"/>
    <cellStyle name="Normal 30 2 3 3 4 2" xfId="20038" xr:uid="{DFBEA7B1-BEC3-4FB5-A4BB-793F7B5B4008}"/>
    <cellStyle name="Normal 30 2 3 3 5" xfId="12902" xr:uid="{00000000-0005-0000-0000-00003D1D0000}"/>
    <cellStyle name="Normal 30 2 3 3 5 2" xfId="21638" xr:uid="{C3EECE08-2172-4EDC-AA5B-3A8505BBE565}"/>
    <cellStyle name="Normal 30 2 3 3 6" xfId="15132" xr:uid="{23AE67DD-7EB8-4E4F-9F4C-4D36C7056978}"/>
    <cellStyle name="Normal 30 2 3 4" xfId="2928" xr:uid="{00000000-0005-0000-0000-00003E1D0000}"/>
    <cellStyle name="Normal 30 2 3 4 2" xfId="9686" xr:uid="{00000000-0005-0000-0000-00003F1D0000}"/>
    <cellStyle name="Normal 30 2 3 4 2 2" xfId="18492" xr:uid="{77E0AF00-A9BF-4096-A13F-30CDB57E60B0}"/>
    <cellStyle name="Normal 30 2 3 4 3" xfId="8084" xr:uid="{00000000-0005-0000-0000-0000401D0000}"/>
    <cellStyle name="Normal 30 2 3 4 3 2" xfId="16893" xr:uid="{1E7FC808-179A-4D26-BCBA-B3F74AC79B27}"/>
    <cellStyle name="Normal 30 2 3 4 4" xfId="11296" xr:uid="{00000000-0005-0000-0000-0000411D0000}"/>
    <cellStyle name="Normal 30 2 3 4 4 2" xfId="20039" xr:uid="{E144276E-3D08-4B65-B009-CDE6171BB392}"/>
    <cellStyle name="Normal 30 2 3 4 5" xfId="12903" xr:uid="{00000000-0005-0000-0000-0000421D0000}"/>
    <cellStyle name="Normal 30 2 3 4 5 2" xfId="21639" xr:uid="{26208A6F-727B-4CF2-92AD-3C78B37D89C4}"/>
    <cellStyle name="Normal 30 2 3 4 6" xfId="15133" xr:uid="{4F25FC71-70E3-49C8-AC99-AFE833BD8B02}"/>
    <cellStyle name="Normal 30 2 3 5" xfId="9683" xr:uid="{00000000-0005-0000-0000-0000431D0000}"/>
    <cellStyle name="Normal 30 2 3 5 2" xfId="18489" xr:uid="{07CBD916-2B38-4658-86B6-2DE5ACFF1B34}"/>
    <cellStyle name="Normal 30 2 3 6" xfId="8081" xr:uid="{00000000-0005-0000-0000-0000441D0000}"/>
    <cellStyle name="Normal 30 2 3 6 2" xfId="16890" xr:uid="{44E0C47F-8EB3-47D3-B9E0-7F75E05A385C}"/>
    <cellStyle name="Normal 30 2 3 7" xfId="11293" xr:uid="{00000000-0005-0000-0000-0000451D0000}"/>
    <cellStyle name="Normal 30 2 3 7 2" xfId="20036" xr:uid="{2663BA26-6577-4835-BED3-F9110B258B7B}"/>
    <cellStyle name="Normal 30 2 3 8" xfId="12900" xr:uid="{00000000-0005-0000-0000-0000461D0000}"/>
    <cellStyle name="Normal 30 2 3 8 2" xfId="21636" xr:uid="{30BF00CE-B9E3-4763-89C9-74C35E688FC3}"/>
    <cellStyle name="Normal 30 2 3 9" xfId="15130" xr:uid="{3D5A0104-B6F0-4F1E-B223-0C22D6341096}"/>
    <cellStyle name="Normal 30 2 4" xfId="2929" xr:uid="{00000000-0005-0000-0000-0000471D0000}"/>
    <cellStyle name="Normal 30 2 4 2" xfId="2930" xr:uid="{00000000-0005-0000-0000-0000481D0000}"/>
    <cellStyle name="Normal 30 2 4 2 2" xfId="2931" xr:uid="{00000000-0005-0000-0000-0000491D0000}"/>
    <cellStyle name="Normal 30 2 4 2 2 2" xfId="2932" xr:uid="{00000000-0005-0000-0000-00004A1D0000}"/>
    <cellStyle name="Normal 30 2 4 2 2 2 2" xfId="9688" xr:uid="{00000000-0005-0000-0000-00004B1D0000}"/>
    <cellStyle name="Normal 30 2 4 2 2 2 2 2" xfId="18494" xr:uid="{2F27B7FE-37A9-4F70-9626-18D29CBC1B2C}"/>
    <cellStyle name="Normal 30 2 4 2 2 2 3" xfId="8086" xr:uid="{00000000-0005-0000-0000-00004C1D0000}"/>
    <cellStyle name="Normal 30 2 4 2 2 2 3 2" xfId="16895" xr:uid="{B27B2870-E8D8-40A6-872D-195805B38DB1}"/>
    <cellStyle name="Normal 30 2 4 2 2 2 4" xfId="11298" xr:uid="{00000000-0005-0000-0000-00004D1D0000}"/>
    <cellStyle name="Normal 30 2 4 2 2 2 4 2" xfId="20041" xr:uid="{0B6DCA38-A2C5-4087-846A-72CC34FA30E5}"/>
    <cellStyle name="Normal 30 2 4 2 2 2 5" xfId="12905" xr:uid="{00000000-0005-0000-0000-00004E1D0000}"/>
    <cellStyle name="Normal 30 2 4 2 2 2 5 2" xfId="21641" xr:uid="{32716BC5-411A-41A1-8A78-D6D62E41E592}"/>
    <cellStyle name="Normal 30 2 4 2 2 2 6" xfId="15135" xr:uid="{F8615D9D-392A-43C9-8EAD-258A6F1FCAFC}"/>
    <cellStyle name="Normal 30 2 4 2 2 3" xfId="2933" xr:uid="{00000000-0005-0000-0000-00004F1D0000}"/>
    <cellStyle name="Normal 30 2 4 2 2 3 2" xfId="9689" xr:uid="{00000000-0005-0000-0000-0000501D0000}"/>
    <cellStyle name="Normal 30 2 4 2 2 3 2 2" xfId="18495" xr:uid="{53CF3527-DECF-4532-A851-951EE7228326}"/>
    <cellStyle name="Normal 30 2 4 2 2 3 3" xfId="8087" xr:uid="{00000000-0005-0000-0000-0000511D0000}"/>
    <cellStyle name="Normal 30 2 4 2 2 3 3 2" xfId="16896" xr:uid="{530D93DD-5FBC-4741-AC89-C475266F6787}"/>
    <cellStyle name="Normal 30 2 4 2 2 3 4" xfId="11299" xr:uid="{00000000-0005-0000-0000-0000521D0000}"/>
    <cellStyle name="Normal 30 2 4 2 2 3 4 2" xfId="20042" xr:uid="{5C1971A1-7A0F-466F-AB94-75B6A6311620}"/>
    <cellStyle name="Normal 30 2 4 2 2 3 5" xfId="12906" xr:uid="{00000000-0005-0000-0000-0000531D0000}"/>
    <cellStyle name="Normal 30 2 4 2 2 3 5 2" xfId="21642" xr:uid="{528135B1-84CD-44C8-81B0-85813F6015D0}"/>
    <cellStyle name="Normal 30 2 4 2 2 3 6" xfId="15136" xr:uid="{03AB637D-9993-4752-8254-3E4D8B951A83}"/>
    <cellStyle name="Normal 30 2 4 2 2 4" xfId="2934" xr:uid="{00000000-0005-0000-0000-0000541D0000}"/>
    <cellStyle name="Normal 30 2 4 2 2 4 2" xfId="9690" xr:uid="{00000000-0005-0000-0000-0000551D0000}"/>
    <cellStyle name="Normal 30 2 4 2 2 4 2 2" xfId="18496" xr:uid="{F09F06B8-914A-4C95-846A-CCA02B7C41D9}"/>
    <cellStyle name="Normal 30 2 4 2 2 4 3" xfId="8088" xr:uid="{00000000-0005-0000-0000-0000561D0000}"/>
    <cellStyle name="Normal 30 2 4 2 2 4 3 2" xfId="16897" xr:uid="{24BF2D93-6FD4-442B-93F3-E19B47CE8AB6}"/>
    <cellStyle name="Normal 30 2 4 2 2 4 4" xfId="11300" xr:uid="{00000000-0005-0000-0000-0000571D0000}"/>
    <cellStyle name="Normal 30 2 4 2 2 4 4 2" xfId="20043" xr:uid="{8F7DBE1B-CBEE-437C-B219-585D0FEC0FB7}"/>
    <cellStyle name="Normal 30 2 4 2 2 4 5" xfId="12907" xr:uid="{00000000-0005-0000-0000-0000581D0000}"/>
    <cellStyle name="Normal 30 2 4 2 2 4 5 2" xfId="21643" xr:uid="{1AF366DE-8368-4817-9E6E-8286F5506A86}"/>
    <cellStyle name="Normal 30 2 4 2 2 4 6" xfId="15137" xr:uid="{EB00BA67-E830-4BA7-B52A-01CDA45AC079}"/>
    <cellStyle name="Normal 30 2 4 2 3" xfId="2935" xr:uid="{00000000-0005-0000-0000-0000591D0000}"/>
    <cellStyle name="Normal 30 2 4 2 4" xfId="2936" xr:uid="{00000000-0005-0000-0000-00005A1D0000}"/>
    <cellStyle name="Normal 30 2 4 2 5" xfId="9687" xr:uid="{00000000-0005-0000-0000-00005B1D0000}"/>
    <cellStyle name="Normal 30 2 4 2 5 2" xfId="18493" xr:uid="{0FF330EB-9521-48A2-8055-B64CD96E76A6}"/>
    <cellStyle name="Normal 30 2 4 2 6" xfId="8085" xr:uid="{00000000-0005-0000-0000-00005C1D0000}"/>
    <cellStyle name="Normal 30 2 4 2 6 2" xfId="16894" xr:uid="{7E684F3D-E288-48FF-8E15-1CC6E4CCFA7C}"/>
    <cellStyle name="Normal 30 2 4 2 7" xfId="11297" xr:uid="{00000000-0005-0000-0000-00005D1D0000}"/>
    <cellStyle name="Normal 30 2 4 2 7 2" xfId="20040" xr:uid="{59184E00-5094-4243-A098-FEA8AC907574}"/>
    <cellStyle name="Normal 30 2 4 2 8" xfId="12904" xr:uid="{00000000-0005-0000-0000-00005E1D0000}"/>
    <cellStyle name="Normal 30 2 4 2 8 2" xfId="21640" xr:uid="{F82F88B9-DB85-4EE0-BD62-980E8B7CE238}"/>
    <cellStyle name="Normal 30 2 4 2 9" xfId="15134" xr:uid="{D41D53C9-02A7-417D-B896-7B4DBA21C70D}"/>
    <cellStyle name="Normal 30 2 4 3" xfId="2937" xr:uid="{00000000-0005-0000-0000-00005F1D0000}"/>
    <cellStyle name="Normal 30 2 4 3 2" xfId="2938" xr:uid="{00000000-0005-0000-0000-0000601D0000}"/>
    <cellStyle name="Normal 30 2 4 3 2 2" xfId="9692" xr:uid="{00000000-0005-0000-0000-0000611D0000}"/>
    <cellStyle name="Normal 30 2 4 3 2 2 2" xfId="18498" xr:uid="{405DFEB1-D844-4DF0-8F6A-383D823BBCA3}"/>
    <cellStyle name="Normal 30 2 4 3 2 3" xfId="8090" xr:uid="{00000000-0005-0000-0000-0000621D0000}"/>
    <cellStyle name="Normal 30 2 4 3 2 3 2" xfId="16899" xr:uid="{8D742B49-2778-411C-BDD7-53AE14F75388}"/>
    <cellStyle name="Normal 30 2 4 3 2 4" xfId="11302" xr:uid="{00000000-0005-0000-0000-0000631D0000}"/>
    <cellStyle name="Normal 30 2 4 3 2 4 2" xfId="20045" xr:uid="{9BD1CBB7-1232-421B-9439-39F1FA374B54}"/>
    <cellStyle name="Normal 30 2 4 3 2 5" xfId="12909" xr:uid="{00000000-0005-0000-0000-0000641D0000}"/>
    <cellStyle name="Normal 30 2 4 3 2 5 2" xfId="21645" xr:uid="{5A7F7C10-FE5F-4E2A-9AC4-71E729A84D20}"/>
    <cellStyle name="Normal 30 2 4 3 2 6" xfId="15139" xr:uid="{363F7508-B8CF-4DA9-BBBD-A2A7409A8345}"/>
    <cellStyle name="Normal 30 2 4 3 3" xfId="2939" xr:uid="{00000000-0005-0000-0000-0000651D0000}"/>
    <cellStyle name="Normal 30 2 4 3 3 2" xfId="9693" xr:uid="{00000000-0005-0000-0000-0000661D0000}"/>
    <cellStyle name="Normal 30 2 4 3 3 2 2" xfId="18499" xr:uid="{C10994DE-F538-4F23-9C8E-4197248607DF}"/>
    <cellStyle name="Normal 30 2 4 3 3 3" xfId="8091" xr:uid="{00000000-0005-0000-0000-0000671D0000}"/>
    <cellStyle name="Normal 30 2 4 3 3 3 2" xfId="16900" xr:uid="{FB40F6FB-F0F1-45B4-998C-504ADDE16063}"/>
    <cellStyle name="Normal 30 2 4 3 3 4" xfId="11303" xr:uid="{00000000-0005-0000-0000-0000681D0000}"/>
    <cellStyle name="Normal 30 2 4 3 3 4 2" xfId="20046" xr:uid="{0B345CCE-E0C4-47F3-B025-D4C9E196B10B}"/>
    <cellStyle name="Normal 30 2 4 3 3 5" xfId="12910" xr:uid="{00000000-0005-0000-0000-0000691D0000}"/>
    <cellStyle name="Normal 30 2 4 3 3 5 2" xfId="21646" xr:uid="{2AF29E9E-7289-419E-A4D1-F29EAFE911A5}"/>
    <cellStyle name="Normal 30 2 4 3 3 6" xfId="15140" xr:uid="{630D0CCA-55FF-450B-BB98-5178F7785BF3}"/>
    <cellStyle name="Normal 30 2 4 3 4" xfId="2940" xr:uid="{00000000-0005-0000-0000-00006A1D0000}"/>
    <cellStyle name="Normal 30 2 4 3 4 2" xfId="9694" xr:uid="{00000000-0005-0000-0000-00006B1D0000}"/>
    <cellStyle name="Normal 30 2 4 3 4 2 2" xfId="18500" xr:uid="{EA5F331D-5831-4FEF-98E4-14F44F87D5DF}"/>
    <cellStyle name="Normal 30 2 4 3 4 3" xfId="8092" xr:uid="{00000000-0005-0000-0000-00006C1D0000}"/>
    <cellStyle name="Normal 30 2 4 3 4 3 2" xfId="16901" xr:uid="{58AAE8E2-C50B-497F-9126-E0644554AF5E}"/>
    <cellStyle name="Normal 30 2 4 3 4 4" xfId="11304" xr:uid="{00000000-0005-0000-0000-00006D1D0000}"/>
    <cellStyle name="Normal 30 2 4 3 4 4 2" xfId="20047" xr:uid="{D4082738-0905-4870-B542-8AED65D388AA}"/>
    <cellStyle name="Normal 30 2 4 3 4 5" xfId="12911" xr:uid="{00000000-0005-0000-0000-00006E1D0000}"/>
    <cellStyle name="Normal 30 2 4 3 4 5 2" xfId="21647" xr:uid="{BA451C45-949A-4DB6-B2E3-4290D191BC6A}"/>
    <cellStyle name="Normal 30 2 4 3 4 6" xfId="15141" xr:uid="{B6D98B15-27A8-43DF-AE96-545C791667C9}"/>
    <cellStyle name="Normal 30 2 4 3 5" xfId="9691" xr:uid="{00000000-0005-0000-0000-00006F1D0000}"/>
    <cellStyle name="Normal 30 2 4 3 5 2" xfId="18497" xr:uid="{3CC0870C-832C-45AB-BC37-481C57F4C99D}"/>
    <cellStyle name="Normal 30 2 4 3 6" xfId="8089" xr:uid="{00000000-0005-0000-0000-0000701D0000}"/>
    <cellStyle name="Normal 30 2 4 3 6 2" xfId="16898" xr:uid="{D5B0E681-BA11-498C-BCDE-CFF5CFB16E12}"/>
    <cellStyle name="Normal 30 2 4 3 7" xfId="11301" xr:uid="{00000000-0005-0000-0000-0000711D0000}"/>
    <cellStyle name="Normal 30 2 4 3 7 2" xfId="20044" xr:uid="{2AA8B57D-FDAB-4048-B53E-AE742E7D0745}"/>
    <cellStyle name="Normal 30 2 4 3 8" xfId="12908" xr:uid="{00000000-0005-0000-0000-0000721D0000}"/>
    <cellStyle name="Normal 30 2 4 3 8 2" xfId="21644" xr:uid="{548A355F-D3DB-4D80-9DE2-CFDF368B6C34}"/>
    <cellStyle name="Normal 30 2 4 3 9" xfId="15138" xr:uid="{C18E7E9A-3CB9-4F8C-B492-146086291D2F}"/>
    <cellStyle name="Normal 30 2 4 4" xfId="2941" xr:uid="{00000000-0005-0000-0000-0000731D0000}"/>
    <cellStyle name="Normal 30 2 4 4 2" xfId="2942" xr:uid="{00000000-0005-0000-0000-0000741D0000}"/>
    <cellStyle name="Normal 30 2 4 4 2 2" xfId="9696" xr:uid="{00000000-0005-0000-0000-0000751D0000}"/>
    <cellStyle name="Normal 30 2 4 4 2 2 2" xfId="18502" xr:uid="{77BCC50D-2D9E-4914-BAE3-B14FFD5EC53B}"/>
    <cellStyle name="Normal 30 2 4 4 2 3" xfId="8094" xr:uid="{00000000-0005-0000-0000-0000761D0000}"/>
    <cellStyle name="Normal 30 2 4 4 2 3 2" xfId="16903" xr:uid="{43AFDB48-8500-44ED-9515-0CEAE595B069}"/>
    <cellStyle name="Normal 30 2 4 4 2 4" xfId="11306" xr:uid="{00000000-0005-0000-0000-0000771D0000}"/>
    <cellStyle name="Normal 30 2 4 4 2 4 2" xfId="20049" xr:uid="{8855D9DE-E927-4021-8682-7E64AE949DAF}"/>
    <cellStyle name="Normal 30 2 4 4 2 5" xfId="12913" xr:uid="{00000000-0005-0000-0000-0000781D0000}"/>
    <cellStyle name="Normal 30 2 4 4 2 5 2" xfId="21649" xr:uid="{C4A0B84E-FC9F-4A67-A86D-B445024DD7BD}"/>
    <cellStyle name="Normal 30 2 4 4 2 6" xfId="15143" xr:uid="{55F40EE1-53D9-4450-8287-B56B170FC94F}"/>
    <cellStyle name="Normal 30 2 4 4 3" xfId="2943" xr:uid="{00000000-0005-0000-0000-0000791D0000}"/>
    <cellStyle name="Normal 30 2 4 4 3 2" xfId="9697" xr:uid="{00000000-0005-0000-0000-00007A1D0000}"/>
    <cellStyle name="Normal 30 2 4 4 3 2 2" xfId="18503" xr:uid="{93A846CB-1FF3-4E29-9723-34D18D706E8B}"/>
    <cellStyle name="Normal 30 2 4 4 3 3" xfId="8095" xr:uid="{00000000-0005-0000-0000-00007B1D0000}"/>
    <cellStyle name="Normal 30 2 4 4 3 3 2" xfId="16904" xr:uid="{61AB2DC9-DC60-4E84-9E50-39DC1753826D}"/>
    <cellStyle name="Normal 30 2 4 4 3 4" xfId="11307" xr:uid="{00000000-0005-0000-0000-00007C1D0000}"/>
    <cellStyle name="Normal 30 2 4 4 3 4 2" xfId="20050" xr:uid="{804C91FD-54B3-4309-B503-F2CE340E13B2}"/>
    <cellStyle name="Normal 30 2 4 4 3 5" xfId="12914" xr:uid="{00000000-0005-0000-0000-00007D1D0000}"/>
    <cellStyle name="Normal 30 2 4 4 3 5 2" xfId="21650" xr:uid="{BF1FD51F-78A2-4C8A-A5BB-8EFB086901F4}"/>
    <cellStyle name="Normal 30 2 4 4 3 6" xfId="15144" xr:uid="{BA3E12BE-8FCE-4745-8C36-2DE93964C3AE}"/>
    <cellStyle name="Normal 30 2 4 4 4" xfId="2944" xr:uid="{00000000-0005-0000-0000-00007E1D0000}"/>
    <cellStyle name="Normal 30 2 4 4 4 2" xfId="9698" xr:uid="{00000000-0005-0000-0000-00007F1D0000}"/>
    <cellStyle name="Normal 30 2 4 4 4 2 2" xfId="18504" xr:uid="{C9A7ABF0-035C-47E4-90F7-9694873B3103}"/>
    <cellStyle name="Normal 30 2 4 4 4 3" xfId="8096" xr:uid="{00000000-0005-0000-0000-0000801D0000}"/>
    <cellStyle name="Normal 30 2 4 4 4 3 2" xfId="16905" xr:uid="{1BB933D1-CF0E-496E-91E9-1369716FBD41}"/>
    <cellStyle name="Normal 30 2 4 4 4 4" xfId="11308" xr:uid="{00000000-0005-0000-0000-0000811D0000}"/>
    <cellStyle name="Normal 30 2 4 4 4 4 2" xfId="20051" xr:uid="{69CBEDD7-727E-4459-A09B-846EB4CA1D3F}"/>
    <cellStyle name="Normal 30 2 4 4 4 5" xfId="12915" xr:uid="{00000000-0005-0000-0000-0000821D0000}"/>
    <cellStyle name="Normal 30 2 4 4 4 5 2" xfId="21651" xr:uid="{0D6B5E9A-C845-44AB-9161-29075EB30147}"/>
    <cellStyle name="Normal 30 2 4 4 4 6" xfId="15145" xr:uid="{487E26B6-CAF9-4A26-B421-AAAD3E129233}"/>
    <cellStyle name="Normal 30 2 4 4 5" xfId="9695" xr:uid="{00000000-0005-0000-0000-0000831D0000}"/>
    <cellStyle name="Normal 30 2 4 4 5 2" xfId="18501" xr:uid="{74420558-6932-4F66-AB1D-08826C34AFC9}"/>
    <cellStyle name="Normal 30 2 4 4 6" xfId="8093" xr:uid="{00000000-0005-0000-0000-0000841D0000}"/>
    <cellStyle name="Normal 30 2 4 4 6 2" xfId="16902" xr:uid="{5E669DCC-C38D-4BD5-B026-16A3BEFE80D1}"/>
    <cellStyle name="Normal 30 2 4 4 7" xfId="11305" xr:uid="{00000000-0005-0000-0000-0000851D0000}"/>
    <cellStyle name="Normal 30 2 4 4 7 2" xfId="20048" xr:uid="{00947B6D-DFFD-4C92-BCA8-73E23D7B6CF4}"/>
    <cellStyle name="Normal 30 2 4 4 8" xfId="12912" xr:uid="{00000000-0005-0000-0000-0000861D0000}"/>
    <cellStyle name="Normal 30 2 4 4 8 2" xfId="21648" xr:uid="{27B42B4D-B86E-42F1-9060-B90CCF0BB3D9}"/>
    <cellStyle name="Normal 30 2 4 4 9" xfId="15142" xr:uid="{C86C4D99-2C6B-4309-BB14-AC7E0556F1EF}"/>
    <cellStyle name="Normal 30 2 4 5" xfId="2945" xr:uid="{00000000-0005-0000-0000-0000871D0000}"/>
    <cellStyle name="Normal 30 2 4 5 2" xfId="9699" xr:uid="{00000000-0005-0000-0000-0000881D0000}"/>
    <cellStyle name="Normal 30 2 4 5 2 2" xfId="18505" xr:uid="{276D908F-B861-485A-AB36-18B966BDE9A7}"/>
    <cellStyle name="Normal 30 2 4 5 3" xfId="8097" xr:uid="{00000000-0005-0000-0000-0000891D0000}"/>
    <cellStyle name="Normal 30 2 4 5 3 2" xfId="16906" xr:uid="{675DFFAC-FA00-4324-B6C3-3C09A0E4E358}"/>
    <cellStyle name="Normal 30 2 4 5 4" xfId="11309" xr:uid="{00000000-0005-0000-0000-00008A1D0000}"/>
    <cellStyle name="Normal 30 2 4 5 4 2" xfId="20052" xr:uid="{9E8F8881-B048-4D51-AC41-EEB16145B8FF}"/>
    <cellStyle name="Normal 30 2 4 5 5" xfId="12916" xr:uid="{00000000-0005-0000-0000-00008B1D0000}"/>
    <cellStyle name="Normal 30 2 4 5 5 2" xfId="21652" xr:uid="{32743432-9ADC-4BC8-8A5F-2529FA4AC354}"/>
    <cellStyle name="Normal 30 2 4 5 6" xfId="15146" xr:uid="{120037F1-FAA5-4F6B-870C-9B102D87FC59}"/>
    <cellStyle name="Normal 30 2 4 6" xfId="2946" xr:uid="{00000000-0005-0000-0000-00008C1D0000}"/>
    <cellStyle name="Normal 30 2 4 6 2" xfId="9700" xr:uid="{00000000-0005-0000-0000-00008D1D0000}"/>
    <cellStyle name="Normal 30 2 4 6 2 2" xfId="18506" xr:uid="{8050C9A0-7920-48D3-816A-BF62C8A5352C}"/>
    <cellStyle name="Normal 30 2 4 6 3" xfId="8098" xr:uid="{00000000-0005-0000-0000-00008E1D0000}"/>
    <cellStyle name="Normal 30 2 4 6 3 2" xfId="16907" xr:uid="{3CD18EF4-9E82-4805-8DAD-8222F8E0E707}"/>
    <cellStyle name="Normal 30 2 4 6 4" xfId="11310" xr:uid="{00000000-0005-0000-0000-00008F1D0000}"/>
    <cellStyle name="Normal 30 2 4 6 4 2" xfId="20053" xr:uid="{5E19EEC5-D5E6-4AB0-B2A9-F1F10E07711A}"/>
    <cellStyle name="Normal 30 2 4 6 5" xfId="12917" xr:uid="{00000000-0005-0000-0000-0000901D0000}"/>
    <cellStyle name="Normal 30 2 4 6 5 2" xfId="21653" xr:uid="{AB5A4FC9-28C5-4A66-B31C-B1BF130773EA}"/>
    <cellStyle name="Normal 30 2 4 6 6" xfId="15147" xr:uid="{B7EB2812-D5CC-407D-AD68-5C69A81E75AC}"/>
    <cellStyle name="Normal 30 2 4 7" xfId="2947" xr:uid="{00000000-0005-0000-0000-0000911D0000}"/>
    <cellStyle name="Normal 30 2 4 7 2" xfId="9701" xr:uid="{00000000-0005-0000-0000-0000921D0000}"/>
    <cellStyle name="Normal 30 2 4 7 2 2" xfId="18507" xr:uid="{464B34B3-9424-40F1-8265-3448EC7A9DE0}"/>
    <cellStyle name="Normal 30 2 4 7 3" xfId="8099" xr:uid="{00000000-0005-0000-0000-0000931D0000}"/>
    <cellStyle name="Normal 30 2 4 7 3 2" xfId="16908" xr:uid="{A1AC549B-B890-4579-8A30-322B5660C6A9}"/>
    <cellStyle name="Normal 30 2 4 7 4" xfId="11311" xr:uid="{00000000-0005-0000-0000-0000941D0000}"/>
    <cellStyle name="Normal 30 2 4 7 4 2" xfId="20054" xr:uid="{46559D9B-1FEA-45E4-A2C1-0FCD89A1530F}"/>
    <cellStyle name="Normal 30 2 4 7 5" xfId="12918" xr:uid="{00000000-0005-0000-0000-0000951D0000}"/>
    <cellStyle name="Normal 30 2 4 7 5 2" xfId="21654" xr:uid="{A378E120-21CC-46EC-8DD6-A10E8C60EE3B}"/>
    <cellStyle name="Normal 30 2 4 7 6" xfId="15148" xr:uid="{AC008B39-1C0B-414D-8C75-F55A0476D9A8}"/>
    <cellStyle name="Normal 30 2 5" xfId="2948" xr:uid="{00000000-0005-0000-0000-0000961D0000}"/>
    <cellStyle name="Normal 30 2 6" xfId="2949" xr:uid="{00000000-0005-0000-0000-0000971D0000}"/>
    <cellStyle name="Normal 30 2 7" xfId="2950" xr:uid="{00000000-0005-0000-0000-0000981D0000}"/>
    <cellStyle name="Normal 30 2 7 2" xfId="9702" xr:uid="{00000000-0005-0000-0000-0000991D0000}"/>
    <cellStyle name="Normal 30 2 7 2 2" xfId="18508" xr:uid="{44EE940D-5D98-47F3-B449-7DB0D0824A4B}"/>
    <cellStyle name="Normal 30 2 7 3" xfId="8100" xr:uid="{00000000-0005-0000-0000-00009A1D0000}"/>
    <cellStyle name="Normal 30 2 7 3 2" xfId="16909" xr:uid="{DF46A7A0-2071-4CE1-AB29-DA8271CB65DE}"/>
    <cellStyle name="Normal 30 2 7 4" xfId="11312" xr:uid="{00000000-0005-0000-0000-00009B1D0000}"/>
    <cellStyle name="Normal 30 2 7 4 2" xfId="20055" xr:uid="{82048741-0E29-4964-A158-18B30E747053}"/>
    <cellStyle name="Normal 30 2 7 5" xfId="12919" xr:uid="{00000000-0005-0000-0000-00009C1D0000}"/>
    <cellStyle name="Normal 30 2 7 5 2" xfId="21655" xr:uid="{737044E9-FD80-4092-9360-94839F261149}"/>
    <cellStyle name="Normal 30 2 7 6" xfId="15149" xr:uid="{7A6EE71C-02F1-466C-99C1-685C24E0614D}"/>
    <cellStyle name="Normal 30 2 8" xfId="2951" xr:uid="{00000000-0005-0000-0000-00009D1D0000}"/>
    <cellStyle name="Normal 30 2 8 2" xfId="9703" xr:uid="{00000000-0005-0000-0000-00009E1D0000}"/>
    <cellStyle name="Normal 30 2 8 2 2" xfId="18509" xr:uid="{F870E529-9071-4671-BD45-0FF28CCDBFF2}"/>
    <cellStyle name="Normal 30 2 8 3" xfId="8101" xr:uid="{00000000-0005-0000-0000-00009F1D0000}"/>
    <cellStyle name="Normal 30 2 8 3 2" xfId="16910" xr:uid="{4C9BDE8D-6689-4BEB-A0C0-19321813A1F8}"/>
    <cellStyle name="Normal 30 2 8 4" xfId="11313" xr:uid="{00000000-0005-0000-0000-0000A01D0000}"/>
    <cellStyle name="Normal 30 2 8 4 2" xfId="20056" xr:uid="{2F044D7B-A69A-43ED-8767-5559BAAE2050}"/>
    <cellStyle name="Normal 30 2 8 5" xfId="12920" xr:uid="{00000000-0005-0000-0000-0000A11D0000}"/>
    <cellStyle name="Normal 30 2 8 5 2" xfId="21656" xr:uid="{1CD0BD55-0CC4-41DA-A477-B1911BB3C15B}"/>
    <cellStyle name="Normal 30 2 8 6" xfId="15150" xr:uid="{15759FE7-2FA6-4479-A4F6-E5F8631858BC}"/>
    <cellStyle name="Normal 30 2 9" xfId="2952" xr:uid="{00000000-0005-0000-0000-0000A21D0000}"/>
    <cellStyle name="Normal 30 2 9 2" xfId="9704" xr:uid="{00000000-0005-0000-0000-0000A31D0000}"/>
    <cellStyle name="Normal 30 2 9 2 2" xfId="18510" xr:uid="{AF8E8972-5736-4C9C-BE76-228D0B40FDB4}"/>
    <cellStyle name="Normal 30 2 9 3" xfId="8102" xr:uid="{00000000-0005-0000-0000-0000A41D0000}"/>
    <cellStyle name="Normal 30 2 9 3 2" xfId="16911" xr:uid="{7D1992CF-FE71-4B86-B83C-650D73C20F63}"/>
    <cellStyle name="Normal 30 2 9 4" xfId="11314" xr:uid="{00000000-0005-0000-0000-0000A51D0000}"/>
    <cellStyle name="Normal 30 2 9 4 2" xfId="20057" xr:uid="{E6754004-6D2B-4075-8CAD-6AE20847612E}"/>
    <cellStyle name="Normal 30 2 9 5" xfId="12921" xr:uid="{00000000-0005-0000-0000-0000A61D0000}"/>
    <cellStyle name="Normal 30 2 9 5 2" xfId="21657" xr:uid="{B41FA897-B17A-42AA-B73E-730B6F1187DE}"/>
    <cellStyle name="Normal 30 2 9 6" xfId="15151" xr:uid="{76CAC0A4-2FD6-41E8-A77C-D6B71978F286}"/>
    <cellStyle name="Normal 30 3" xfId="2953" xr:uid="{00000000-0005-0000-0000-0000A71D0000}"/>
    <cellStyle name="Normal 30 3 2" xfId="2954" xr:uid="{00000000-0005-0000-0000-0000A81D0000}"/>
    <cellStyle name="Normal 30 3 2 2" xfId="9706" xr:uid="{00000000-0005-0000-0000-0000A91D0000}"/>
    <cellStyle name="Normal 30 3 2 2 2" xfId="18512" xr:uid="{0A1AF6F1-6907-4984-BBDF-8070C16315CC}"/>
    <cellStyle name="Normal 30 3 2 3" xfId="8104" xr:uid="{00000000-0005-0000-0000-0000AA1D0000}"/>
    <cellStyle name="Normal 30 3 2 3 2" xfId="16913" xr:uid="{3971C53F-3BD5-4869-8931-356D7B533659}"/>
    <cellStyle name="Normal 30 3 2 4" xfId="11316" xr:uid="{00000000-0005-0000-0000-0000AB1D0000}"/>
    <cellStyle name="Normal 30 3 2 4 2" xfId="20059" xr:uid="{4BF4263B-4B8D-44DE-954D-9D72D086B706}"/>
    <cellStyle name="Normal 30 3 2 5" xfId="12923" xr:uid="{00000000-0005-0000-0000-0000AC1D0000}"/>
    <cellStyle name="Normal 30 3 2 5 2" xfId="21659" xr:uid="{4FAA42C9-C8E7-4B14-B942-74FBA987A2E8}"/>
    <cellStyle name="Normal 30 3 2 6" xfId="15153" xr:uid="{31EF4608-C6A1-406A-AFA0-4FF2286F835E}"/>
    <cellStyle name="Normal 30 3 3" xfId="2955" xr:uid="{00000000-0005-0000-0000-0000AD1D0000}"/>
    <cellStyle name="Normal 30 3 3 2" xfId="9707" xr:uid="{00000000-0005-0000-0000-0000AE1D0000}"/>
    <cellStyle name="Normal 30 3 3 2 2" xfId="18513" xr:uid="{F8F35F4E-1DE1-49E0-8067-B65713A03097}"/>
    <cellStyle name="Normal 30 3 3 3" xfId="8105" xr:uid="{00000000-0005-0000-0000-0000AF1D0000}"/>
    <cellStyle name="Normal 30 3 3 3 2" xfId="16914" xr:uid="{A2639B8F-2FE0-4E20-AEBB-CF399258999D}"/>
    <cellStyle name="Normal 30 3 3 4" xfId="11317" xr:uid="{00000000-0005-0000-0000-0000B01D0000}"/>
    <cellStyle name="Normal 30 3 3 4 2" xfId="20060" xr:uid="{34A702BB-96EA-412F-9CB4-B70688B4813C}"/>
    <cellStyle name="Normal 30 3 3 5" xfId="12924" xr:uid="{00000000-0005-0000-0000-0000B11D0000}"/>
    <cellStyle name="Normal 30 3 3 5 2" xfId="21660" xr:uid="{CB51E418-5D28-48FC-B0EE-ACEF9F90EA19}"/>
    <cellStyle name="Normal 30 3 3 6" xfId="15154" xr:uid="{037382EA-9CC3-4BF5-A766-B45B05AE6BFB}"/>
    <cellStyle name="Normal 30 3 4" xfId="2956" xr:uid="{00000000-0005-0000-0000-0000B21D0000}"/>
    <cellStyle name="Normal 30 3 4 2" xfId="9708" xr:uid="{00000000-0005-0000-0000-0000B31D0000}"/>
    <cellStyle name="Normal 30 3 4 2 2" xfId="18514" xr:uid="{B52F3C89-B173-4164-A4B6-2988457FD466}"/>
    <cellStyle name="Normal 30 3 4 3" xfId="8106" xr:uid="{00000000-0005-0000-0000-0000B41D0000}"/>
    <cellStyle name="Normal 30 3 4 3 2" xfId="16915" xr:uid="{B0D012CA-2BED-43B2-9CBA-366CAAD89EB3}"/>
    <cellStyle name="Normal 30 3 4 4" xfId="11318" xr:uid="{00000000-0005-0000-0000-0000B51D0000}"/>
    <cellStyle name="Normal 30 3 4 4 2" xfId="20061" xr:uid="{39461449-24B4-42F4-AA09-25A2B19AB22D}"/>
    <cellStyle name="Normal 30 3 4 5" xfId="12925" xr:uid="{00000000-0005-0000-0000-0000B61D0000}"/>
    <cellStyle name="Normal 30 3 4 5 2" xfId="21661" xr:uid="{90F75DEE-668C-4229-94DA-FA0CBFE67EE5}"/>
    <cellStyle name="Normal 30 3 4 6" xfId="15155" xr:uid="{117F5309-AAFE-41D7-9C58-B5D68B87E151}"/>
    <cellStyle name="Normal 30 3 5" xfId="9705" xr:uid="{00000000-0005-0000-0000-0000B71D0000}"/>
    <cellStyle name="Normal 30 3 5 2" xfId="18511" xr:uid="{EAC708B9-5348-4986-8982-719468480295}"/>
    <cellStyle name="Normal 30 3 6" xfId="8103" xr:uid="{00000000-0005-0000-0000-0000B81D0000}"/>
    <cellStyle name="Normal 30 3 6 2" xfId="16912" xr:uid="{62ED5C6D-8617-483A-8855-4A8C3F3C6141}"/>
    <cellStyle name="Normal 30 3 7" xfId="11315" xr:uid="{00000000-0005-0000-0000-0000B91D0000}"/>
    <cellStyle name="Normal 30 3 7 2" xfId="20058" xr:uid="{A07C62F4-7A09-43B1-A319-866977BDC56B}"/>
    <cellStyle name="Normal 30 3 8" xfId="12922" xr:uid="{00000000-0005-0000-0000-0000BA1D0000}"/>
    <cellStyle name="Normal 30 3 8 2" xfId="21658" xr:uid="{3DF83A75-4F7C-415E-AA9C-6FE26A907D6A}"/>
    <cellStyle name="Normal 30 3 9" xfId="15152" xr:uid="{9D8C04D4-2E75-4D16-8B57-F8A76009586B}"/>
    <cellStyle name="Normal 30 4" xfId="2957" xr:uid="{00000000-0005-0000-0000-0000BB1D0000}"/>
    <cellStyle name="Normal 31" xfId="2958" xr:uid="{00000000-0005-0000-0000-0000BC1D0000}"/>
    <cellStyle name="Normal 31 2" xfId="2959" xr:uid="{00000000-0005-0000-0000-0000BD1D0000}"/>
    <cellStyle name="Normal 31 2 10" xfId="9709" xr:uid="{00000000-0005-0000-0000-0000BE1D0000}"/>
    <cellStyle name="Normal 31 2 10 2" xfId="18515" xr:uid="{CA31B6A1-9279-4386-822F-14B004F8D6DA}"/>
    <cellStyle name="Normal 31 2 11" xfId="8107" xr:uid="{00000000-0005-0000-0000-0000BF1D0000}"/>
    <cellStyle name="Normal 31 2 11 2" xfId="16916" xr:uid="{4292E7C8-EF67-4A4C-B6FE-62D1F08C84F2}"/>
    <cellStyle name="Normal 31 2 12" xfId="11319" xr:uid="{00000000-0005-0000-0000-0000C01D0000}"/>
    <cellStyle name="Normal 31 2 12 2" xfId="20062" xr:uid="{6E9C597D-E2BF-4CBE-BD69-A09629AEF980}"/>
    <cellStyle name="Normal 31 2 13" xfId="12926" xr:uid="{00000000-0005-0000-0000-0000C11D0000}"/>
    <cellStyle name="Normal 31 2 13 2" xfId="21662" xr:uid="{2F012DC0-310C-4067-9193-4BCCB5A93DDE}"/>
    <cellStyle name="Normal 31 2 14" xfId="15156" xr:uid="{45823B17-05BE-4576-9397-5792AA7E697D}"/>
    <cellStyle name="Normal 31 2 2" xfId="2960" xr:uid="{00000000-0005-0000-0000-0000C21D0000}"/>
    <cellStyle name="Normal 31 2 2 2" xfId="2961" xr:uid="{00000000-0005-0000-0000-0000C31D0000}"/>
    <cellStyle name="Normal 31 2 2 2 2" xfId="9711" xr:uid="{00000000-0005-0000-0000-0000C41D0000}"/>
    <cellStyle name="Normal 31 2 2 2 2 2" xfId="18517" xr:uid="{E45C0BBB-5A60-489D-B213-374423B44362}"/>
    <cellStyle name="Normal 31 2 2 2 3" xfId="8109" xr:uid="{00000000-0005-0000-0000-0000C51D0000}"/>
    <cellStyle name="Normal 31 2 2 2 3 2" xfId="16918" xr:uid="{7187641A-FE40-42BD-8C61-7C932E3FE3BC}"/>
    <cellStyle name="Normal 31 2 2 2 4" xfId="11321" xr:uid="{00000000-0005-0000-0000-0000C61D0000}"/>
    <cellStyle name="Normal 31 2 2 2 4 2" xfId="20064" xr:uid="{0FF4BA3A-A16C-47D9-8A66-1D9239BE1647}"/>
    <cellStyle name="Normal 31 2 2 2 5" xfId="12928" xr:uid="{00000000-0005-0000-0000-0000C71D0000}"/>
    <cellStyle name="Normal 31 2 2 2 5 2" xfId="21664" xr:uid="{670A259A-7902-4AD4-A4BA-D231C2BF2AC8}"/>
    <cellStyle name="Normal 31 2 2 2 6" xfId="15158" xr:uid="{5684F985-939B-450E-8616-73BF255124F1}"/>
    <cellStyle name="Normal 31 2 2 3" xfId="2962" xr:uid="{00000000-0005-0000-0000-0000C81D0000}"/>
    <cellStyle name="Normal 31 2 2 3 2" xfId="9712" xr:uid="{00000000-0005-0000-0000-0000C91D0000}"/>
    <cellStyle name="Normal 31 2 2 3 2 2" xfId="18518" xr:uid="{F8E2F979-0A8D-4A24-8638-FF023F741B26}"/>
    <cellStyle name="Normal 31 2 2 3 3" xfId="8110" xr:uid="{00000000-0005-0000-0000-0000CA1D0000}"/>
    <cellStyle name="Normal 31 2 2 3 3 2" xfId="16919" xr:uid="{62090180-8142-4A3D-98CE-10AD22D425E0}"/>
    <cellStyle name="Normal 31 2 2 3 4" xfId="11322" xr:uid="{00000000-0005-0000-0000-0000CB1D0000}"/>
    <cellStyle name="Normal 31 2 2 3 4 2" xfId="20065" xr:uid="{3660A176-6C2B-4031-B7DB-A1C8C299E93B}"/>
    <cellStyle name="Normal 31 2 2 3 5" xfId="12929" xr:uid="{00000000-0005-0000-0000-0000CC1D0000}"/>
    <cellStyle name="Normal 31 2 2 3 5 2" xfId="21665" xr:uid="{5A3B1B98-6335-4937-9BDE-D621ABD5E86E}"/>
    <cellStyle name="Normal 31 2 2 3 6" xfId="15159" xr:uid="{786FE6F8-2163-4CEC-BAC4-3F888D38824B}"/>
    <cellStyle name="Normal 31 2 2 4" xfId="2963" xr:uid="{00000000-0005-0000-0000-0000CD1D0000}"/>
    <cellStyle name="Normal 31 2 2 4 2" xfId="9713" xr:uid="{00000000-0005-0000-0000-0000CE1D0000}"/>
    <cellStyle name="Normal 31 2 2 4 2 2" xfId="18519" xr:uid="{6166CB31-057C-41E4-B77D-630B8DACDBA0}"/>
    <cellStyle name="Normal 31 2 2 4 3" xfId="8111" xr:uid="{00000000-0005-0000-0000-0000CF1D0000}"/>
    <cellStyle name="Normal 31 2 2 4 3 2" xfId="16920" xr:uid="{7A7F8CC3-92E3-411B-8A7D-4F581E253BF2}"/>
    <cellStyle name="Normal 31 2 2 4 4" xfId="11323" xr:uid="{00000000-0005-0000-0000-0000D01D0000}"/>
    <cellStyle name="Normal 31 2 2 4 4 2" xfId="20066" xr:uid="{98246BE0-BE9D-44BF-A27E-CE7EBF0ED8C5}"/>
    <cellStyle name="Normal 31 2 2 4 5" xfId="12930" xr:uid="{00000000-0005-0000-0000-0000D11D0000}"/>
    <cellStyle name="Normal 31 2 2 4 5 2" xfId="21666" xr:uid="{11E265D4-D527-4F95-83C4-178208066854}"/>
    <cellStyle name="Normal 31 2 2 4 6" xfId="15160" xr:uid="{370BD457-D220-49E6-9216-C6C543685C4A}"/>
    <cellStyle name="Normal 31 2 2 5" xfId="9710" xr:uid="{00000000-0005-0000-0000-0000D21D0000}"/>
    <cellStyle name="Normal 31 2 2 5 2" xfId="18516" xr:uid="{241D9087-69A9-44B3-B320-CA84CE93198C}"/>
    <cellStyle name="Normal 31 2 2 6" xfId="8108" xr:uid="{00000000-0005-0000-0000-0000D31D0000}"/>
    <cellStyle name="Normal 31 2 2 6 2" xfId="16917" xr:uid="{F33B75DB-27E0-4C31-9728-60E72155B6C9}"/>
    <cellStyle name="Normal 31 2 2 7" xfId="11320" xr:uid="{00000000-0005-0000-0000-0000D41D0000}"/>
    <cellStyle name="Normal 31 2 2 7 2" xfId="20063" xr:uid="{BF19A097-6070-4730-B079-AF247FACF0FD}"/>
    <cellStyle name="Normal 31 2 2 8" xfId="12927" xr:uid="{00000000-0005-0000-0000-0000D51D0000}"/>
    <cellStyle name="Normal 31 2 2 8 2" xfId="21663" xr:uid="{00B5D78E-78DD-4210-BE7B-BF21E0C215FE}"/>
    <cellStyle name="Normal 31 2 2 9" xfId="15157" xr:uid="{272368D7-EA5C-4ED1-91B5-ACADC130DD4E}"/>
    <cellStyle name="Normal 31 2 3" xfId="2964" xr:uid="{00000000-0005-0000-0000-0000D61D0000}"/>
    <cellStyle name="Normal 31 2 3 2" xfId="2965" xr:uid="{00000000-0005-0000-0000-0000D71D0000}"/>
    <cellStyle name="Normal 31 2 3 2 2" xfId="9715" xr:uid="{00000000-0005-0000-0000-0000D81D0000}"/>
    <cellStyle name="Normal 31 2 3 2 2 2" xfId="18521" xr:uid="{445F480C-B35C-4BF1-BD6D-A4B86F6BD2F9}"/>
    <cellStyle name="Normal 31 2 3 2 3" xfId="8113" xr:uid="{00000000-0005-0000-0000-0000D91D0000}"/>
    <cellStyle name="Normal 31 2 3 2 3 2" xfId="16922" xr:uid="{34020199-494E-4E0E-8B1B-17B03FD592C9}"/>
    <cellStyle name="Normal 31 2 3 2 4" xfId="11325" xr:uid="{00000000-0005-0000-0000-0000DA1D0000}"/>
    <cellStyle name="Normal 31 2 3 2 4 2" xfId="20068" xr:uid="{B9699488-7D57-4E51-9D25-4BAD4040C492}"/>
    <cellStyle name="Normal 31 2 3 2 5" xfId="12932" xr:uid="{00000000-0005-0000-0000-0000DB1D0000}"/>
    <cellStyle name="Normal 31 2 3 2 5 2" xfId="21668" xr:uid="{BDBF43F5-D562-455D-95BC-081EF9B2A3CA}"/>
    <cellStyle name="Normal 31 2 3 2 6" xfId="15162" xr:uid="{51B0CBA1-81CC-4C9F-8E29-B64010234D76}"/>
    <cellStyle name="Normal 31 2 3 3" xfId="2966" xr:uid="{00000000-0005-0000-0000-0000DC1D0000}"/>
    <cellStyle name="Normal 31 2 3 3 2" xfId="9716" xr:uid="{00000000-0005-0000-0000-0000DD1D0000}"/>
    <cellStyle name="Normal 31 2 3 3 2 2" xfId="18522" xr:uid="{7D83FAE4-C3F3-47E6-AC86-5FA650559C65}"/>
    <cellStyle name="Normal 31 2 3 3 3" xfId="8114" xr:uid="{00000000-0005-0000-0000-0000DE1D0000}"/>
    <cellStyle name="Normal 31 2 3 3 3 2" xfId="16923" xr:uid="{21AB3815-4D58-4F74-B87C-4BBB7A33EC45}"/>
    <cellStyle name="Normal 31 2 3 3 4" xfId="11326" xr:uid="{00000000-0005-0000-0000-0000DF1D0000}"/>
    <cellStyle name="Normal 31 2 3 3 4 2" xfId="20069" xr:uid="{3345D702-3411-468F-8C68-E8EA2A33DC1A}"/>
    <cellStyle name="Normal 31 2 3 3 5" xfId="12933" xr:uid="{00000000-0005-0000-0000-0000E01D0000}"/>
    <cellStyle name="Normal 31 2 3 3 5 2" xfId="21669" xr:uid="{BDAD006E-69D1-4657-8370-EC06C36BD3DD}"/>
    <cellStyle name="Normal 31 2 3 3 6" xfId="15163" xr:uid="{AA8E0FB6-C3CB-4ED4-A52C-42837BAF7900}"/>
    <cellStyle name="Normal 31 2 3 4" xfId="2967" xr:uid="{00000000-0005-0000-0000-0000E11D0000}"/>
    <cellStyle name="Normal 31 2 3 4 2" xfId="9717" xr:uid="{00000000-0005-0000-0000-0000E21D0000}"/>
    <cellStyle name="Normal 31 2 3 4 2 2" xfId="18523" xr:uid="{4A5F508D-042A-43D5-BEA4-FE2E22905AE9}"/>
    <cellStyle name="Normal 31 2 3 4 3" xfId="8115" xr:uid="{00000000-0005-0000-0000-0000E31D0000}"/>
    <cellStyle name="Normal 31 2 3 4 3 2" xfId="16924" xr:uid="{7519ECA2-5927-4A83-A92C-F5087699B669}"/>
    <cellStyle name="Normal 31 2 3 4 4" xfId="11327" xr:uid="{00000000-0005-0000-0000-0000E41D0000}"/>
    <cellStyle name="Normal 31 2 3 4 4 2" xfId="20070" xr:uid="{31C7A4B1-76B1-4B14-887C-C65528148281}"/>
    <cellStyle name="Normal 31 2 3 4 5" xfId="12934" xr:uid="{00000000-0005-0000-0000-0000E51D0000}"/>
    <cellStyle name="Normal 31 2 3 4 5 2" xfId="21670" xr:uid="{A542D037-DBF9-49B5-8078-2F8D3D16A7D2}"/>
    <cellStyle name="Normal 31 2 3 4 6" xfId="15164" xr:uid="{85F283AD-3A2D-4BE4-8510-98ED191F4D87}"/>
    <cellStyle name="Normal 31 2 3 5" xfId="9714" xr:uid="{00000000-0005-0000-0000-0000E61D0000}"/>
    <cellStyle name="Normal 31 2 3 5 2" xfId="18520" xr:uid="{1D15217B-6406-4EDA-B30E-0E00FE92275E}"/>
    <cellStyle name="Normal 31 2 3 6" xfId="8112" xr:uid="{00000000-0005-0000-0000-0000E71D0000}"/>
    <cellStyle name="Normal 31 2 3 6 2" xfId="16921" xr:uid="{05B3F4B1-DC12-4C68-AF8A-C060D7810129}"/>
    <cellStyle name="Normal 31 2 3 7" xfId="11324" xr:uid="{00000000-0005-0000-0000-0000E81D0000}"/>
    <cellStyle name="Normal 31 2 3 7 2" xfId="20067" xr:uid="{9DEB51F7-6B8C-4EE0-B032-772481044226}"/>
    <cellStyle name="Normal 31 2 3 8" xfId="12931" xr:uid="{00000000-0005-0000-0000-0000E91D0000}"/>
    <cellStyle name="Normal 31 2 3 8 2" xfId="21667" xr:uid="{EB3D0326-1C63-4401-AA0E-5CCA699D40CD}"/>
    <cellStyle name="Normal 31 2 3 9" xfId="15161" xr:uid="{2D2C8516-800B-4B1E-8B77-45C307E70CE2}"/>
    <cellStyle name="Normal 31 2 4" xfId="2968" xr:uid="{00000000-0005-0000-0000-0000EA1D0000}"/>
    <cellStyle name="Normal 31 2 4 2" xfId="2969" xr:uid="{00000000-0005-0000-0000-0000EB1D0000}"/>
    <cellStyle name="Normal 31 2 4 2 2" xfId="2970" xr:uid="{00000000-0005-0000-0000-0000EC1D0000}"/>
    <cellStyle name="Normal 31 2 4 2 2 2" xfId="2971" xr:uid="{00000000-0005-0000-0000-0000ED1D0000}"/>
    <cellStyle name="Normal 31 2 4 2 2 2 2" xfId="9719" xr:uid="{00000000-0005-0000-0000-0000EE1D0000}"/>
    <cellStyle name="Normal 31 2 4 2 2 2 2 2" xfId="18525" xr:uid="{4C39BDF6-DCE8-4A9E-A02C-0EAE2EBACDEB}"/>
    <cellStyle name="Normal 31 2 4 2 2 2 3" xfId="8117" xr:uid="{00000000-0005-0000-0000-0000EF1D0000}"/>
    <cellStyle name="Normal 31 2 4 2 2 2 3 2" xfId="16926" xr:uid="{D0C82951-0F48-486A-94AF-F514E57340EE}"/>
    <cellStyle name="Normal 31 2 4 2 2 2 4" xfId="11329" xr:uid="{00000000-0005-0000-0000-0000F01D0000}"/>
    <cellStyle name="Normal 31 2 4 2 2 2 4 2" xfId="20072" xr:uid="{D0079AB6-2661-41D2-9B1F-1F6BFDDE5D59}"/>
    <cellStyle name="Normal 31 2 4 2 2 2 5" xfId="12936" xr:uid="{00000000-0005-0000-0000-0000F11D0000}"/>
    <cellStyle name="Normal 31 2 4 2 2 2 5 2" xfId="21672" xr:uid="{1CD72520-ACE9-41C5-8B1D-B20154243DA3}"/>
    <cellStyle name="Normal 31 2 4 2 2 2 6" xfId="15166" xr:uid="{1EF0FFF3-1CD9-4E93-BD0F-BDFF0244E58C}"/>
    <cellStyle name="Normal 31 2 4 2 2 3" xfId="2972" xr:uid="{00000000-0005-0000-0000-0000F21D0000}"/>
    <cellStyle name="Normal 31 2 4 2 2 3 2" xfId="9720" xr:uid="{00000000-0005-0000-0000-0000F31D0000}"/>
    <cellStyle name="Normal 31 2 4 2 2 3 2 2" xfId="18526" xr:uid="{CDC93518-78DD-4D0E-A8BE-C99E0FB03C7F}"/>
    <cellStyle name="Normal 31 2 4 2 2 3 3" xfId="8118" xr:uid="{00000000-0005-0000-0000-0000F41D0000}"/>
    <cellStyle name="Normal 31 2 4 2 2 3 3 2" xfId="16927" xr:uid="{A55C994C-B4E3-4B49-A77E-022E0962E6C3}"/>
    <cellStyle name="Normal 31 2 4 2 2 3 4" xfId="11330" xr:uid="{00000000-0005-0000-0000-0000F51D0000}"/>
    <cellStyle name="Normal 31 2 4 2 2 3 4 2" xfId="20073" xr:uid="{EA25B9EE-0EE5-4316-B185-4CAA65558A9A}"/>
    <cellStyle name="Normal 31 2 4 2 2 3 5" xfId="12937" xr:uid="{00000000-0005-0000-0000-0000F61D0000}"/>
    <cellStyle name="Normal 31 2 4 2 2 3 5 2" xfId="21673" xr:uid="{3A99F2C1-A220-46AA-B23F-F1B32207ED07}"/>
    <cellStyle name="Normal 31 2 4 2 2 3 6" xfId="15167" xr:uid="{C73E23A3-EBEC-4AFD-AC97-18D07F01FB4B}"/>
    <cellStyle name="Normal 31 2 4 2 2 4" xfId="2973" xr:uid="{00000000-0005-0000-0000-0000F71D0000}"/>
    <cellStyle name="Normal 31 2 4 2 2 4 2" xfId="9721" xr:uid="{00000000-0005-0000-0000-0000F81D0000}"/>
    <cellStyle name="Normal 31 2 4 2 2 4 2 2" xfId="18527" xr:uid="{46402BD9-F26E-4527-A963-61E7C8AA7E7B}"/>
    <cellStyle name="Normal 31 2 4 2 2 4 3" xfId="8119" xr:uid="{00000000-0005-0000-0000-0000F91D0000}"/>
    <cellStyle name="Normal 31 2 4 2 2 4 3 2" xfId="16928" xr:uid="{F0497A2A-36DB-4368-9BFC-DE16B3A53BCF}"/>
    <cellStyle name="Normal 31 2 4 2 2 4 4" xfId="11331" xr:uid="{00000000-0005-0000-0000-0000FA1D0000}"/>
    <cellStyle name="Normal 31 2 4 2 2 4 4 2" xfId="20074" xr:uid="{62F980EE-BB3F-4EC7-9C9C-769E0A2D1027}"/>
    <cellStyle name="Normal 31 2 4 2 2 4 5" xfId="12938" xr:uid="{00000000-0005-0000-0000-0000FB1D0000}"/>
    <cellStyle name="Normal 31 2 4 2 2 4 5 2" xfId="21674" xr:uid="{E8C12396-2F95-4380-8808-4854A24D09FF}"/>
    <cellStyle name="Normal 31 2 4 2 2 4 6" xfId="15168" xr:uid="{F28AA09D-4266-41E5-BDDA-94AE4FCA5024}"/>
    <cellStyle name="Normal 31 2 4 2 3" xfId="2974" xr:uid="{00000000-0005-0000-0000-0000FC1D0000}"/>
    <cellStyle name="Normal 31 2 4 2 4" xfId="2975" xr:uid="{00000000-0005-0000-0000-0000FD1D0000}"/>
    <cellStyle name="Normal 31 2 4 2 5" xfId="9718" xr:uid="{00000000-0005-0000-0000-0000FE1D0000}"/>
    <cellStyle name="Normal 31 2 4 2 5 2" xfId="18524" xr:uid="{6BA438E6-BC26-4D5E-B248-5A6BA2582C70}"/>
    <cellStyle name="Normal 31 2 4 2 6" xfId="8116" xr:uid="{00000000-0005-0000-0000-0000FF1D0000}"/>
    <cellStyle name="Normal 31 2 4 2 6 2" xfId="16925" xr:uid="{1681B828-50AB-4918-94B0-E79D3A27E017}"/>
    <cellStyle name="Normal 31 2 4 2 7" xfId="11328" xr:uid="{00000000-0005-0000-0000-0000001E0000}"/>
    <cellStyle name="Normal 31 2 4 2 7 2" xfId="20071" xr:uid="{1C4E63FE-FF16-43AE-AA4E-D3C2F7FDA472}"/>
    <cellStyle name="Normal 31 2 4 2 8" xfId="12935" xr:uid="{00000000-0005-0000-0000-0000011E0000}"/>
    <cellStyle name="Normal 31 2 4 2 8 2" xfId="21671" xr:uid="{5F205B82-3B00-49D4-A890-12612ECD7ABA}"/>
    <cellStyle name="Normal 31 2 4 2 9" xfId="15165" xr:uid="{3EA47D2E-DA5D-4BA5-A2AD-DB0C51EA1349}"/>
    <cellStyle name="Normal 31 2 4 3" xfId="2976" xr:uid="{00000000-0005-0000-0000-0000021E0000}"/>
    <cellStyle name="Normal 31 2 4 3 2" xfId="2977" xr:uid="{00000000-0005-0000-0000-0000031E0000}"/>
    <cellStyle name="Normal 31 2 4 3 2 2" xfId="9723" xr:uid="{00000000-0005-0000-0000-0000041E0000}"/>
    <cellStyle name="Normal 31 2 4 3 2 2 2" xfId="18529" xr:uid="{4AC5EF60-FA9D-4F77-A1BF-3555E33BD462}"/>
    <cellStyle name="Normal 31 2 4 3 2 3" xfId="8121" xr:uid="{00000000-0005-0000-0000-0000051E0000}"/>
    <cellStyle name="Normal 31 2 4 3 2 3 2" xfId="16930" xr:uid="{499A74C4-E45F-4C56-9ADA-0D18C2ED3E5E}"/>
    <cellStyle name="Normal 31 2 4 3 2 4" xfId="11333" xr:uid="{00000000-0005-0000-0000-0000061E0000}"/>
    <cellStyle name="Normal 31 2 4 3 2 4 2" xfId="20076" xr:uid="{5CF423F1-CA29-4CFD-B4D3-A378E2B11D68}"/>
    <cellStyle name="Normal 31 2 4 3 2 5" xfId="12940" xr:uid="{00000000-0005-0000-0000-0000071E0000}"/>
    <cellStyle name="Normal 31 2 4 3 2 5 2" xfId="21676" xr:uid="{231CC1D0-2339-4194-8AF4-51E6A644C78E}"/>
    <cellStyle name="Normal 31 2 4 3 2 6" xfId="15170" xr:uid="{925E4F4C-0808-48F3-9658-23C169B03F11}"/>
    <cellStyle name="Normal 31 2 4 3 3" xfId="2978" xr:uid="{00000000-0005-0000-0000-0000081E0000}"/>
    <cellStyle name="Normal 31 2 4 3 3 2" xfId="9724" xr:uid="{00000000-0005-0000-0000-0000091E0000}"/>
    <cellStyle name="Normal 31 2 4 3 3 2 2" xfId="18530" xr:uid="{714E52BC-CF2A-41A7-845B-F65DAD80CB57}"/>
    <cellStyle name="Normal 31 2 4 3 3 3" xfId="8122" xr:uid="{00000000-0005-0000-0000-00000A1E0000}"/>
    <cellStyle name="Normal 31 2 4 3 3 3 2" xfId="16931" xr:uid="{FFBE8784-759E-45CC-B549-32678E045A6E}"/>
    <cellStyle name="Normal 31 2 4 3 3 4" xfId="11334" xr:uid="{00000000-0005-0000-0000-00000B1E0000}"/>
    <cellStyle name="Normal 31 2 4 3 3 4 2" xfId="20077" xr:uid="{C6D5A864-B7C9-4440-9960-8C97F01A7A50}"/>
    <cellStyle name="Normal 31 2 4 3 3 5" xfId="12941" xr:uid="{00000000-0005-0000-0000-00000C1E0000}"/>
    <cellStyle name="Normal 31 2 4 3 3 5 2" xfId="21677" xr:uid="{52A9C6C8-9339-46B0-8C27-EBA33E957A27}"/>
    <cellStyle name="Normal 31 2 4 3 3 6" xfId="15171" xr:uid="{5ACC3B15-943A-4E8D-8885-44C4E91A5832}"/>
    <cellStyle name="Normal 31 2 4 3 4" xfId="2979" xr:uid="{00000000-0005-0000-0000-00000D1E0000}"/>
    <cellStyle name="Normal 31 2 4 3 4 2" xfId="9725" xr:uid="{00000000-0005-0000-0000-00000E1E0000}"/>
    <cellStyle name="Normal 31 2 4 3 4 2 2" xfId="18531" xr:uid="{9D0711A1-CFC4-4F8D-8232-95268B39539C}"/>
    <cellStyle name="Normal 31 2 4 3 4 3" xfId="8123" xr:uid="{00000000-0005-0000-0000-00000F1E0000}"/>
    <cellStyle name="Normal 31 2 4 3 4 3 2" xfId="16932" xr:uid="{ED3F60DD-9BE4-4EBA-A2A7-F2B236E81714}"/>
    <cellStyle name="Normal 31 2 4 3 4 4" xfId="11335" xr:uid="{00000000-0005-0000-0000-0000101E0000}"/>
    <cellStyle name="Normal 31 2 4 3 4 4 2" xfId="20078" xr:uid="{F9B2EE52-C9E2-48CC-BCA8-B13BC47365E5}"/>
    <cellStyle name="Normal 31 2 4 3 4 5" xfId="12942" xr:uid="{00000000-0005-0000-0000-0000111E0000}"/>
    <cellStyle name="Normal 31 2 4 3 4 5 2" xfId="21678" xr:uid="{F27F21E6-A0CA-4A3E-A116-EAB4D6731C5A}"/>
    <cellStyle name="Normal 31 2 4 3 4 6" xfId="15172" xr:uid="{9AC0A603-1AEF-442E-8248-FC38526325FD}"/>
    <cellStyle name="Normal 31 2 4 3 5" xfId="9722" xr:uid="{00000000-0005-0000-0000-0000121E0000}"/>
    <cellStyle name="Normal 31 2 4 3 5 2" xfId="18528" xr:uid="{BA001EAC-3296-44F4-BC69-9A5596E32162}"/>
    <cellStyle name="Normal 31 2 4 3 6" xfId="8120" xr:uid="{00000000-0005-0000-0000-0000131E0000}"/>
    <cellStyle name="Normal 31 2 4 3 6 2" xfId="16929" xr:uid="{E52B49DA-81C5-46BD-8D03-DBCE759E6935}"/>
    <cellStyle name="Normal 31 2 4 3 7" xfId="11332" xr:uid="{00000000-0005-0000-0000-0000141E0000}"/>
    <cellStyle name="Normal 31 2 4 3 7 2" xfId="20075" xr:uid="{75C31151-4E56-4622-9DD9-4C858389E885}"/>
    <cellStyle name="Normal 31 2 4 3 8" xfId="12939" xr:uid="{00000000-0005-0000-0000-0000151E0000}"/>
    <cellStyle name="Normal 31 2 4 3 8 2" xfId="21675" xr:uid="{010497BC-046A-481F-B196-F1EB70ECC124}"/>
    <cellStyle name="Normal 31 2 4 3 9" xfId="15169" xr:uid="{62801484-80E0-43FD-98D4-6F88B1034073}"/>
    <cellStyle name="Normal 31 2 4 4" xfId="2980" xr:uid="{00000000-0005-0000-0000-0000161E0000}"/>
    <cellStyle name="Normal 31 2 4 4 2" xfId="2981" xr:uid="{00000000-0005-0000-0000-0000171E0000}"/>
    <cellStyle name="Normal 31 2 4 4 2 2" xfId="9727" xr:uid="{00000000-0005-0000-0000-0000181E0000}"/>
    <cellStyle name="Normal 31 2 4 4 2 2 2" xfId="18533" xr:uid="{06CC7572-0C26-4795-A947-61028AA9A758}"/>
    <cellStyle name="Normal 31 2 4 4 2 3" xfId="8125" xr:uid="{00000000-0005-0000-0000-0000191E0000}"/>
    <cellStyle name="Normal 31 2 4 4 2 3 2" xfId="16934" xr:uid="{4D1B8385-19A1-4D06-AB38-0F84D36AF02B}"/>
    <cellStyle name="Normal 31 2 4 4 2 4" xfId="11337" xr:uid="{00000000-0005-0000-0000-00001A1E0000}"/>
    <cellStyle name="Normal 31 2 4 4 2 4 2" xfId="20080" xr:uid="{93F54AA4-ADDF-400B-A4C4-FBD03565CCFD}"/>
    <cellStyle name="Normal 31 2 4 4 2 5" xfId="12944" xr:uid="{00000000-0005-0000-0000-00001B1E0000}"/>
    <cellStyle name="Normal 31 2 4 4 2 5 2" xfId="21680" xr:uid="{A6726D87-F03B-485F-A558-BD31EB1E2937}"/>
    <cellStyle name="Normal 31 2 4 4 2 6" xfId="15174" xr:uid="{9E5B9448-ED01-460B-9AED-B21FD2837BE8}"/>
    <cellStyle name="Normal 31 2 4 4 3" xfId="2982" xr:uid="{00000000-0005-0000-0000-00001C1E0000}"/>
    <cellStyle name="Normal 31 2 4 4 3 2" xfId="9728" xr:uid="{00000000-0005-0000-0000-00001D1E0000}"/>
    <cellStyle name="Normal 31 2 4 4 3 2 2" xfId="18534" xr:uid="{A8E3F43A-F395-4BA6-9B89-CDAF5DF60D1E}"/>
    <cellStyle name="Normal 31 2 4 4 3 3" xfId="8126" xr:uid="{00000000-0005-0000-0000-00001E1E0000}"/>
    <cellStyle name="Normal 31 2 4 4 3 3 2" xfId="16935" xr:uid="{EDB473DD-0E33-4F45-A1D1-A37625ADBABE}"/>
    <cellStyle name="Normal 31 2 4 4 3 4" xfId="11338" xr:uid="{00000000-0005-0000-0000-00001F1E0000}"/>
    <cellStyle name="Normal 31 2 4 4 3 4 2" xfId="20081" xr:uid="{D0F43B5E-C3E9-489D-A32F-A13D57359891}"/>
    <cellStyle name="Normal 31 2 4 4 3 5" xfId="12945" xr:uid="{00000000-0005-0000-0000-0000201E0000}"/>
    <cellStyle name="Normal 31 2 4 4 3 5 2" xfId="21681" xr:uid="{E0FE0F6B-0C31-4D10-B009-15471BED728D}"/>
    <cellStyle name="Normal 31 2 4 4 3 6" xfId="15175" xr:uid="{A2C804D0-9ADF-4617-83F3-51BEC4C1E84B}"/>
    <cellStyle name="Normal 31 2 4 4 4" xfId="2983" xr:uid="{00000000-0005-0000-0000-0000211E0000}"/>
    <cellStyle name="Normal 31 2 4 4 4 2" xfId="9729" xr:uid="{00000000-0005-0000-0000-0000221E0000}"/>
    <cellStyle name="Normal 31 2 4 4 4 2 2" xfId="18535" xr:uid="{72CDC700-6F47-453D-9366-442687D0EE24}"/>
    <cellStyle name="Normal 31 2 4 4 4 3" xfId="8127" xr:uid="{00000000-0005-0000-0000-0000231E0000}"/>
    <cellStyle name="Normal 31 2 4 4 4 3 2" xfId="16936" xr:uid="{7CD187F9-89FE-4BD1-B27B-9E0CC095E910}"/>
    <cellStyle name="Normal 31 2 4 4 4 4" xfId="11339" xr:uid="{00000000-0005-0000-0000-0000241E0000}"/>
    <cellStyle name="Normal 31 2 4 4 4 4 2" xfId="20082" xr:uid="{DB6F7BCB-64C0-401D-8CB5-5E2B9D4E63BF}"/>
    <cellStyle name="Normal 31 2 4 4 4 5" xfId="12946" xr:uid="{00000000-0005-0000-0000-0000251E0000}"/>
    <cellStyle name="Normal 31 2 4 4 4 5 2" xfId="21682" xr:uid="{95362C54-1030-443F-92DA-95E7EFB13374}"/>
    <cellStyle name="Normal 31 2 4 4 4 6" xfId="15176" xr:uid="{3D205948-1E49-4DE3-BF5F-803898269496}"/>
    <cellStyle name="Normal 31 2 4 4 5" xfId="9726" xr:uid="{00000000-0005-0000-0000-0000261E0000}"/>
    <cellStyle name="Normal 31 2 4 4 5 2" xfId="18532" xr:uid="{8D5670BF-39F6-4964-ACF5-2E3640A8E674}"/>
    <cellStyle name="Normal 31 2 4 4 6" xfId="8124" xr:uid="{00000000-0005-0000-0000-0000271E0000}"/>
    <cellStyle name="Normal 31 2 4 4 6 2" xfId="16933" xr:uid="{DC4689B9-134A-4C91-AB6A-96C52DDF5D64}"/>
    <cellStyle name="Normal 31 2 4 4 7" xfId="11336" xr:uid="{00000000-0005-0000-0000-0000281E0000}"/>
    <cellStyle name="Normal 31 2 4 4 7 2" xfId="20079" xr:uid="{F6ED958C-CD45-4ABD-AEE5-6D676721B082}"/>
    <cellStyle name="Normal 31 2 4 4 8" xfId="12943" xr:uid="{00000000-0005-0000-0000-0000291E0000}"/>
    <cellStyle name="Normal 31 2 4 4 8 2" xfId="21679" xr:uid="{890556FE-84F0-485F-B711-F94A1AB8A74E}"/>
    <cellStyle name="Normal 31 2 4 4 9" xfId="15173" xr:uid="{B64688E7-650C-4710-9AED-53737A192C57}"/>
    <cellStyle name="Normal 31 2 4 5" xfId="2984" xr:uid="{00000000-0005-0000-0000-00002A1E0000}"/>
    <cellStyle name="Normal 31 2 4 5 2" xfId="9730" xr:uid="{00000000-0005-0000-0000-00002B1E0000}"/>
    <cellStyle name="Normal 31 2 4 5 2 2" xfId="18536" xr:uid="{2E3AEBA0-1FE5-4A27-B3EE-141A8E342BA5}"/>
    <cellStyle name="Normal 31 2 4 5 3" xfId="8128" xr:uid="{00000000-0005-0000-0000-00002C1E0000}"/>
    <cellStyle name="Normal 31 2 4 5 3 2" xfId="16937" xr:uid="{2186DF33-8D21-4CE2-A68F-925FD2D344FF}"/>
    <cellStyle name="Normal 31 2 4 5 4" xfId="11340" xr:uid="{00000000-0005-0000-0000-00002D1E0000}"/>
    <cellStyle name="Normal 31 2 4 5 4 2" xfId="20083" xr:uid="{ADA27C18-F8C3-4AD4-8CC4-C7D0AC7B8F92}"/>
    <cellStyle name="Normal 31 2 4 5 5" xfId="12947" xr:uid="{00000000-0005-0000-0000-00002E1E0000}"/>
    <cellStyle name="Normal 31 2 4 5 5 2" xfId="21683" xr:uid="{4057C1FD-779A-429F-8A0B-1D4C7BC5209F}"/>
    <cellStyle name="Normal 31 2 4 5 6" xfId="15177" xr:uid="{D0EAD59D-5FD9-48C2-8B88-1E6CABC55648}"/>
    <cellStyle name="Normal 31 2 4 6" xfId="2985" xr:uid="{00000000-0005-0000-0000-00002F1E0000}"/>
    <cellStyle name="Normal 31 2 4 6 2" xfId="9731" xr:uid="{00000000-0005-0000-0000-0000301E0000}"/>
    <cellStyle name="Normal 31 2 4 6 2 2" xfId="18537" xr:uid="{92B66B7B-D992-44EA-BB2E-6775A1CCAD44}"/>
    <cellStyle name="Normal 31 2 4 6 3" xfId="8129" xr:uid="{00000000-0005-0000-0000-0000311E0000}"/>
    <cellStyle name="Normal 31 2 4 6 3 2" xfId="16938" xr:uid="{6ED57825-DF3E-4223-8653-AEFF182C4D1C}"/>
    <cellStyle name="Normal 31 2 4 6 4" xfId="11341" xr:uid="{00000000-0005-0000-0000-0000321E0000}"/>
    <cellStyle name="Normal 31 2 4 6 4 2" xfId="20084" xr:uid="{AA3289B6-45E4-4F46-95AF-722B2A3B4793}"/>
    <cellStyle name="Normal 31 2 4 6 5" xfId="12948" xr:uid="{00000000-0005-0000-0000-0000331E0000}"/>
    <cellStyle name="Normal 31 2 4 6 5 2" xfId="21684" xr:uid="{F9BF3FBA-202E-4565-899F-9635E7BEEF4B}"/>
    <cellStyle name="Normal 31 2 4 6 6" xfId="15178" xr:uid="{685FBF58-001F-4095-9892-070633A6123A}"/>
    <cellStyle name="Normal 31 2 4 7" xfId="2986" xr:uid="{00000000-0005-0000-0000-0000341E0000}"/>
    <cellStyle name="Normal 31 2 4 7 2" xfId="9732" xr:uid="{00000000-0005-0000-0000-0000351E0000}"/>
    <cellStyle name="Normal 31 2 4 7 2 2" xfId="18538" xr:uid="{63360102-B0A1-4545-A947-D4238D3BF476}"/>
    <cellStyle name="Normal 31 2 4 7 3" xfId="8130" xr:uid="{00000000-0005-0000-0000-0000361E0000}"/>
    <cellStyle name="Normal 31 2 4 7 3 2" xfId="16939" xr:uid="{EE3EAF3A-4894-472D-AC36-28E591675F88}"/>
    <cellStyle name="Normal 31 2 4 7 4" xfId="11342" xr:uid="{00000000-0005-0000-0000-0000371E0000}"/>
    <cellStyle name="Normal 31 2 4 7 4 2" xfId="20085" xr:uid="{9483893B-23C8-41AA-B45B-74D4EBE14828}"/>
    <cellStyle name="Normal 31 2 4 7 5" xfId="12949" xr:uid="{00000000-0005-0000-0000-0000381E0000}"/>
    <cellStyle name="Normal 31 2 4 7 5 2" xfId="21685" xr:uid="{4C384BA4-6664-4D35-AF55-6E75FB5FDAF5}"/>
    <cellStyle name="Normal 31 2 4 7 6" xfId="15179" xr:uid="{86B123A9-4FD6-42B8-8F70-FB1485FE80E5}"/>
    <cellStyle name="Normal 31 2 5" xfId="2987" xr:uid="{00000000-0005-0000-0000-0000391E0000}"/>
    <cellStyle name="Normal 31 2 6" xfId="2988" xr:uid="{00000000-0005-0000-0000-00003A1E0000}"/>
    <cellStyle name="Normal 31 2 7" xfId="2989" xr:uid="{00000000-0005-0000-0000-00003B1E0000}"/>
    <cellStyle name="Normal 31 2 7 2" xfId="9733" xr:uid="{00000000-0005-0000-0000-00003C1E0000}"/>
    <cellStyle name="Normal 31 2 7 2 2" xfId="18539" xr:uid="{E76A9C54-91AE-4B8B-B827-1F11A02C79C1}"/>
    <cellStyle name="Normal 31 2 7 3" xfId="8131" xr:uid="{00000000-0005-0000-0000-00003D1E0000}"/>
    <cellStyle name="Normal 31 2 7 3 2" xfId="16940" xr:uid="{5B9D8338-59BC-4A56-8AE7-EEF90EA3F176}"/>
    <cellStyle name="Normal 31 2 7 4" xfId="11343" xr:uid="{00000000-0005-0000-0000-00003E1E0000}"/>
    <cellStyle name="Normal 31 2 7 4 2" xfId="20086" xr:uid="{B089F9CF-0744-44A8-BA9D-272B2B251D7D}"/>
    <cellStyle name="Normal 31 2 7 5" xfId="12950" xr:uid="{00000000-0005-0000-0000-00003F1E0000}"/>
    <cellStyle name="Normal 31 2 7 5 2" xfId="21686" xr:uid="{72079216-2EE8-48A9-BF3B-E2E1204BC86C}"/>
    <cellStyle name="Normal 31 2 7 6" xfId="15180" xr:uid="{05D0592D-D081-4409-9B09-8F3477C936EA}"/>
    <cellStyle name="Normal 31 2 8" xfId="2990" xr:uid="{00000000-0005-0000-0000-0000401E0000}"/>
    <cellStyle name="Normal 31 2 8 2" xfId="9734" xr:uid="{00000000-0005-0000-0000-0000411E0000}"/>
    <cellStyle name="Normal 31 2 8 2 2" xfId="18540" xr:uid="{2486BEB4-DBA8-4AD9-95DA-EB57C3554A59}"/>
    <cellStyle name="Normal 31 2 8 3" xfId="8132" xr:uid="{00000000-0005-0000-0000-0000421E0000}"/>
    <cellStyle name="Normal 31 2 8 3 2" xfId="16941" xr:uid="{EC24DC0E-0977-4EF7-A352-2BC8EECE1DCF}"/>
    <cellStyle name="Normal 31 2 8 4" xfId="11344" xr:uid="{00000000-0005-0000-0000-0000431E0000}"/>
    <cellStyle name="Normal 31 2 8 4 2" xfId="20087" xr:uid="{11A1EDF7-1E5F-430C-84D9-97741AB9CE1B}"/>
    <cellStyle name="Normal 31 2 8 5" xfId="12951" xr:uid="{00000000-0005-0000-0000-0000441E0000}"/>
    <cellStyle name="Normal 31 2 8 5 2" xfId="21687" xr:uid="{99EF0389-8432-40C0-93B8-A69FC4025302}"/>
    <cellStyle name="Normal 31 2 8 6" xfId="15181" xr:uid="{FECED991-D34B-419A-B4B9-AB01B09E5571}"/>
    <cellStyle name="Normal 31 2 9" xfId="2991" xr:uid="{00000000-0005-0000-0000-0000451E0000}"/>
    <cellStyle name="Normal 31 2 9 2" xfId="9735" xr:uid="{00000000-0005-0000-0000-0000461E0000}"/>
    <cellStyle name="Normal 31 2 9 2 2" xfId="18541" xr:uid="{8E8B995F-894F-4B7C-9AF9-2D6ACBD6FCAA}"/>
    <cellStyle name="Normal 31 2 9 3" xfId="8133" xr:uid="{00000000-0005-0000-0000-0000471E0000}"/>
    <cellStyle name="Normal 31 2 9 3 2" xfId="16942" xr:uid="{87B44DA6-69D7-4AF1-B6C1-3109BB02380D}"/>
    <cellStyle name="Normal 31 2 9 4" xfId="11345" xr:uid="{00000000-0005-0000-0000-0000481E0000}"/>
    <cellStyle name="Normal 31 2 9 4 2" xfId="20088" xr:uid="{889BE03E-D452-4663-8D33-09D6C83D06F3}"/>
    <cellStyle name="Normal 31 2 9 5" xfId="12952" xr:uid="{00000000-0005-0000-0000-0000491E0000}"/>
    <cellStyle name="Normal 31 2 9 5 2" xfId="21688" xr:uid="{44D8EF5A-8B74-4A98-8CC5-300BC52984C8}"/>
    <cellStyle name="Normal 31 2 9 6" xfId="15182" xr:uid="{25E25842-A0A6-41CA-888C-C25C16B9D870}"/>
    <cellStyle name="Normal 31 3" xfId="2992" xr:uid="{00000000-0005-0000-0000-00004A1E0000}"/>
    <cellStyle name="Normal 31 3 2" xfId="2993" xr:uid="{00000000-0005-0000-0000-00004B1E0000}"/>
    <cellStyle name="Normal 31 3 2 2" xfId="9737" xr:uid="{00000000-0005-0000-0000-00004C1E0000}"/>
    <cellStyle name="Normal 31 3 2 2 2" xfId="18543" xr:uid="{E8642246-AB9B-46D9-9C16-B42110715854}"/>
    <cellStyle name="Normal 31 3 2 3" xfId="8135" xr:uid="{00000000-0005-0000-0000-00004D1E0000}"/>
    <cellStyle name="Normal 31 3 2 3 2" xfId="16944" xr:uid="{73F1E0DA-F7D3-4659-91D1-7538C2077623}"/>
    <cellStyle name="Normal 31 3 2 4" xfId="11347" xr:uid="{00000000-0005-0000-0000-00004E1E0000}"/>
    <cellStyle name="Normal 31 3 2 4 2" xfId="20090" xr:uid="{CD321A1A-BB99-4AA4-AF1E-6E3D726732FA}"/>
    <cellStyle name="Normal 31 3 2 5" xfId="12954" xr:uid="{00000000-0005-0000-0000-00004F1E0000}"/>
    <cellStyle name="Normal 31 3 2 5 2" xfId="21690" xr:uid="{327C53D1-E216-40FE-8410-EBD071370C72}"/>
    <cellStyle name="Normal 31 3 2 6" xfId="15184" xr:uid="{5F1693CD-B356-4A15-BECC-0CFA3630FA80}"/>
    <cellStyle name="Normal 31 3 3" xfId="2994" xr:uid="{00000000-0005-0000-0000-0000501E0000}"/>
    <cellStyle name="Normal 31 3 3 2" xfId="9738" xr:uid="{00000000-0005-0000-0000-0000511E0000}"/>
    <cellStyle name="Normal 31 3 3 2 2" xfId="18544" xr:uid="{4EACBF62-35B5-4C21-9E48-A3941235D666}"/>
    <cellStyle name="Normal 31 3 3 3" xfId="8136" xr:uid="{00000000-0005-0000-0000-0000521E0000}"/>
    <cellStyle name="Normal 31 3 3 3 2" xfId="16945" xr:uid="{898DCE29-291E-4C61-9EEE-6F782C33F07F}"/>
    <cellStyle name="Normal 31 3 3 4" xfId="11348" xr:uid="{00000000-0005-0000-0000-0000531E0000}"/>
    <cellStyle name="Normal 31 3 3 4 2" xfId="20091" xr:uid="{8AFF9278-A4DB-4C54-A051-393D05A6C1DA}"/>
    <cellStyle name="Normal 31 3 3 5" xfId="12955" xr:uid="{00000000-0005-0000-0000-0000541E0000}"/>
    <cellStyle name="Normal 31 3 3 5 2" xfId="21691" xr:uid="{8A572A9D-DD22-41D4-A59E-FA1DB36AE84C}"/>
    <cellStyle name="Normal 31 3 3 6" xfId="15185" xr:uid="{AC5FDB54-143C-4403-B7C4-1F8018E22163}"/>
    <cellStyle name="Normal 31 3 4" xfId="2995" xr:uid="{00000000-0005-0000-0000-0000551E0000}"/>
    <cellStyle name="Normal 31 3 4 2" xfId="9739" xr:uid="{00000000-0005-0000-0000-0000561E0000}"/>
    <cellStyle name="Normal 31 3 4 2 2" xfId="18545" xr:uid="{B1097C13-2BF6-4FEC-B173-BBDEB9899528}"/>
    <cellStyle name="Normal 31 3 4 3" xfId="8137" xr:uid="{00000000-0005-0000-0000-0000571E0000}"/>
    <cellStyle name="Normal 31 3 4 3 2" xfId="16946" xr:uid="{BEDC62EE-55DE-4934-AAD2-D8D180D0AC3B}"/>
    <cellStyle name="Normal 31 3 4 4" xfId="11349" xr:uid="{00000000-0005-0000-0000-0000581E0000}"/>
    <cellStyle name="Normal 31 3 4 4 2" xfId="20092" xr:uid="{2ECC3992-9B06-4CF2-9664-FDD38BF759D5}"/>
    <cellStyle name="Normal 31 3 4 5" xfId="12956" xr:uid="{00000000-0005-0000-0000-0000591E0000}"/>
    <cellStyle name="Normal 31 3 4 5 2" xfId="21692" xr:uid="{03A432F2-CC3A-46B6-AB90-0792C646DC87}"/>
    <cellStyle name="Normal 31 3 4 6" xfId="15186" xr:uid="{342AD4B2-EF47-4ECD-A5DE-C9A55A5029E1}"/>
    <cellStyle name="Normal 31 3 5" xfId="9736" xr:uid="{00000000-0005-0000-0000-00005A1E0000}"/>
    <cellStyle name="Normal 31 3 5 2" xfId="18542" xr:uid="{9A7E1529-E73C-458A-9C5C-90A7ED16C9DA}"/>
    <cellStyle name="Normal 31 3 6" xfId="8134" xr:uid="{00000000-0005-0000-0000-00005B1E0000}"/>
    <cellStyle name="Normal 31 3 6 2" xfId="16943" xr:uid="{544352F7-7FE5-492D-A956-9A35601138F4}"/>
    <cellStyle name="Normal 31 3 7" xfId="11346" xr:uid="{00000000-0005-0000-0000-00005C1E0000}"/>
    <cellStyle name="Normal 31 3 7 2" xfId="20089" xr:uid="{3270FD28-7F0C-42F6-901B-88FD8A61F83F}"/>
    <cellStyle name="Normal 31 3 8" xfId="12953" xr:uid="{00000000-0005-0000-0000-00005D1E0000}"/>
    <cellStyle name="Normal 31 3 8 2" xfId="21689" xr:uid="{7EDAB970-6B4A-47EB-BE23-5A4D76689D37}"/>
    <cellStyle name="Normal 31 3 9" xfId="15183" xr:uid="{B0AE340F-6FFB-4215-A811-EEDF8D88E11A}"/>
    <cellStyle name="Normal 31 4" xfId="2996" xr:uid="{00000000-0005-0000-0000-00005E1E0000}"/>
    <cellStyle name="Normal 32" xfId="2997" xr:uid="{00000000-0005-0000-0000-00005F1E0000}"/>
    <cellStyle name="Normal 32 2" xfId="2998" xr:uid="{00000000-0005-0000-0000-0000601E0000}"/>
    <cellStyle name="Normal 32 2 10" xfId="9740" xr:uid="{00000000-0005-0000-0000-0000611E0000}"/>
    <cellStyle name="Normal 32 2 10 2" xfId="18546" xr:uid="{EDED8E6F-BA96-43DF-8B99-EDEA5B5759CA}"/>
    <cellStyle name="Normal 32 2 11" xfId="8138" xr:uid="{00000000-0005-0000-0000-0000621E0000}"/>
    <cellStyle name="Normal 32 2 11 2" xfId="16947" xr:uid="{22AC9A7D-FA97-422D-8910-ABAE5ECE2AB7}"/>
    <cellStyle name="Normal 32 2 12" xfId="11350" xr:uid="{00000000-0005-0000-0000-0000631E0000}"/>
    <cellStyle name="Normal 32 2 12 2" xfId="20093" xr:uid="{0F1D2EB8-5EF8-4848-836F-15138375C1A4}"/>
    <cellStyle name="Normal 32 2 13" xfId="12957" xr:uid="{00000000-0005-0000-0000-0000641E0000}"/>
    <cellStyle name="Normal 32 2 13 2" xfId="21693" xr:uid="{9202A669-2D7C-4BEB-9072-B95EDB0C05FD}"/>
    <cellStyle name="Normal 32 2 14" xfId="15187" xr:uid="{113F099E-6F91-423E-9A32-54BC60EF40FC}"/>
    <cellStyle name="Normal 32 2 2" xfId="2999" xr:uid="{00000000-0005-0000-0000-0000651E0000}"/>
    <cellStyle name="Normal 32 2 2 2" xfId="3000" xr:uid="{00000000-0005-0000-0000-0000661E0000}"/>
    <cellStyle name="Normal 32 2 2 2 2" xfId="9742" xr:uid="{00000000-0005-0000-0000-0000671E0000}"/>
    <cellStyle name="Normal 32 2 2 2 2 2" xfId="18548" xr:uid="{B40EA81D-7ADE-4516-9396-6011254E140B}"/>
    <cellStyle name="Normal 32 2 2 2 3" xfId="8140" xr:uid="{00000000-0005-0000-0000-0000681E0000}"/>
    <cellStyle name="Normal 32 2 2 2 3 2" xfId="16949" xr:uid="{0C67F095-6393-436F-A0CA-49D2A355C5B9}"/>
    <cellStyle name="Normal 32 2 2 2 4" xfId="11352" xr:uid="{00000000-0005-0000-0000-0000691E0000}"/>
    <cellStyle name="Normal 32 2 2 2 4 2" xfId="20095" xr:uid="{177E6B7D-5013-4CB6-AEFC-D5EBD8FA490C}"/>
    <cellStyle name="Normal 32 2 2 2 5" xfId="12959" xr:uid="{00000000-0005-0000-0000-00006A1E0000}"/>
    <cellStyle name="Normal 32 2 2 2 5 2" xfId="21695" xr:uid="{8BC196A5-D7E4-4F10-AC58-CC10D351BF3B}"/>
    <cellStyle name="Normal 32 2 2 2 6" xfId="15189" xr:uid="{DCDC731C-0523-4098-9532-D1705AB24A82}"/>
    <cellStyle name="Normal 32 2 2 3" xfId="3001" xr:uid="{00000000-0005-0000-0000-00006B1E0000}"/>
    <cellStyle name="Normal 32 2 2 3 2" xfId="9743" xr:uid="{00000000-0005-0000-0000-00006C1E0000}"/>
    <cellStyle name="Normal 32 2 2 3 2 2" xfId="18549" xr:uid="{9366F958-39A6-460B-8D21-A8793B0CCD61}"/>
    <cellStyle name="Normal 32 2 2 3 3" xfId="8141" xr:uid="{00000000-0005-0000-0000-00006D1E0000}"/>
    <cellStyle name="Normal 32 2 2 3 3 2" xfId="16950" xr:uid="{374330AA-099C-4DDF-A996-26968E298BCF}"/>
    <cellStyle name="Normal 32 2 2 3 4" xfId="11353" xr:uid="{00000000-0005-0000-0000-00006E1E0000}"/>
    <cellStyle name="Normal 32 2 2 3 4 2" xfId="20096" xr:uid="{0B399070-B601-4A36-8E36-BD2052735687}"/>
    <cellStyle name="Normal 32 2 2 3 5" xfId="12960" xr:uid="{00000000-0005-0000-0000-00006F1E0000}"/>
    <cellStyle name="Normal 32 2 2 3 5 2" xfId="21696" xr:uid="{903A70CC-0DCA-4BF9-AA4E-53CE7E038ABB}"/>
    <cellStyle name="Normal 32 2 2 3 6" xfId="15190" xr:uid="{FFA5D304-1E3C-4903-A46A-1DDBB6CC8178}"/>
    <cellStyle name="Normal 32 2 2 4" xfId="3002" xr:uid="{00000000-0005-0000-0000-0000701E0000}"/>
    <cellStyle name="Normal 32 2 2 4 2" xfId="9744" xr:uid="{00000000-0005-0000-0000-0000711E0000}"/>
    <cellStyle name="Normal 32 2 2 4 2 2" xfId="18550" xr:uid="{EBCB2104-5CA6-4DB0-8198-7CE820A3DD8E}"/>
    <cellStyle name="Normal 32 2 2 4 3" xfId="8142" xr:uid="{00000000-0005-0000-0000-0000721E0000}"/>
    <cellStyle name="Normal 32 2 2 4 3 2" xfId="16951" xr:uid="{4182D64B-79FC-46A6-9168-B8B41B276494}"/>
    <cellStyle name="Normal 32 2 2 4 4" xfId="11354" xr:uid="{00000000-0005-0000-0000-0000731E0000}"/>
    <cellStyle name="Normal 32 2 2 4 4 2" xfId="20097" xr:uid="{9A3FABFF-DC20-4ABC-A662-95265E482D2E}"/>
    <cellStyle name="Normal 32 2 2 4 5" xfId="12961" xr:uid="{00000000-0005-0000-0000-0000741E0000}"/>
    <cellStyle name="Normal 32 2 2 4 5 2" xfId="21697" xr:uid="{0538BBEE-B871-4A86-A1F3-6274303B5489}"/>
    <cellStyle name="Normal 32 2 2 4 6" xfId="15191" xr:uid="{5B7393F2-BBFF-40E6-BE00-008B3189564A}"/>
    <cellStyle name="Normal 32 2 2 5" xfId="9741" xr:uid="{00000000-0005-0000-0000-0000751E0000}"/>
    <cellStyle name="Normal 32 2 2 5 2" xfId="18547" xr:uid="{C67ED240-2FF9-4B97-8EFF-ECE1850DA826}"/>
    <cellStyle name="Normal 32 2 2 6" xfId="8139" xr:uid="{00000000-0005-0000-0000-0000761E0000}"/>
    <cellStyle name="Normal 32 2 2 6 2" xfId="16948" xr:uid="{8DA9434E-924D-41C9-95F0-A311D8E626BE}"/>
    <cellStyle name="Normal 32 2 2 7" xfId="11351" xr:uid="{00000000-0005-0000-0000-0000771E0000}"/>
    <cellStyle name="Normal 32 2 2 7 2" xfId="20094" xr:uid="{AA208D38-67C8-459D-BEBF-EADAC11A259C}"/>
    <cellStyle name="Normal 32 2 2 8" xfId="12958" xr:uid="{00000000-0005-0000-0000-0000781E0000}"/>
    <cellStyle name="Normal 32 2 2 8 2" xfId="21694" xr:uid="{12D19E34-B109-4AFB-A485-EA1CB5CD949D}"/>
    <cellStyle name="Normal 32 2 2 9" xfId="15188" xr:uid="{061743CF-A415-4886-B29A-E7AFC2DBF6B7}"/>
    <cellStyle name="Normal 32 2 3" xfId="3003" xr:uid="{00000000-0005-0000-0000-0000791E0000}"/>
    <cellStyle name="Normal 32 2 3 2" xfId="3004" xr:uid="{00000000-0005-0000-0000-00007A1E0000}"/>
    <cellStyle name="Normal 32 2 3 2 2" xfId="9746" xr:uid="{00000000-0005-0000-0000-00007B1E0000}"/>
    <cellStyle name="Normal 32 2 3 2 2 2" xfId="18552" xr:uid="{E0489261-3AEE-4C78-BFFE-7B3F2638C9BD}"/>
    <cellStyle name="Normal 32 2 3 2 3" xfId="8144" xr:uid="{00000000-0005-0000-0000-00007C1E0000}"/>
    <cellStyle name="Normal 32 2 3 2 3 2" xfId="16953" xr:uid="{309478DE-BE94-42E9-8244-F5C367FA0BF5}"/>
    <cellStyle name="Normal 32 2 3 2 4" xfId="11356" xr:uid="{00000000-0005-0000-0000-00007D1E0000}"/>
    <cellStyle name="Normal 32 2 3 2 4 2" xfId="20099" xr:uid="{E2E3494A-A6FA-4B99-97FE-69A9DE11B9D6}"/>
    <cellStyle name="Normal 32 2 3 2 5" xfId="12963" xr:uid="{00000000-0005-0000-0000-00007E1E0000}"/>
    <cellStyle name="Normal 32 2 3 2 5 2" xfId="21699" xr:uid="{AC6F83D2-BFDB-44AE-BD76-1505A18E9A76}"/>
    <cellStyle name="Normal 32 2 3 2 6" xfId="15193" xr:uid="{18943C50-33F5-44E1-AA0F-964F7F487792}"/>
    <cellStyle name="Normal 32 2 3 3" xfId="3005" xr:uid="{00000000-0005-0000-0000-00007F1E0000}"/>
    <cellStyle name="Normal 32 2 3 3 2" xfId="9747" xr:uid="{00000000-0005-0000-0000-0000801E0000}"/>
    <cellStyle name="Normal 32 2 3 3 2 2" xfId="18553" xr:uid="{01888F93-3F11-4823-942E-057D08BECB3B}"/>
    <cellStyle name="Normal 32 2 3 3 3" xfId="8145" xr:uid="{00000000-0005-0000-0000-0000811E0000}"/>
    <cellStyle name="Normal 32 2 3 3 3 2" xfId="16954" xr:uid="{47E27C40-4196-4993-A244-0C939C839276}"/>
    <cellStyle name="Normal 32 2 3 3 4" xfId="11357" xr:uid="{00000000-0005-0000-0000-0000821E0000}"/>
    <cellStyle name="Normal 32 2 3 3 4 2" xfId="20100" xr:uid="{B324375B-EF61-42A8-853F-8D46CF3568D6}"/>
    <cellStyle name="Normal 32 2 3 3 5" xfId="12964" xr:uid="{00000000-0005-0000-0000-0000831E0000}"/>
    <cellStyle name="Normal 32 2 3 3 5 2" xfId="21700" xr:uid="{A75BE11D-BF17-42FA-BC93-EE2F2C1A2A86}"/>
    <cellStyle name="Normal 32 2 3 3 6" xfId="15194" xr:uid="{EE92256E-300F-406E-97F8-0C0837D99748}"/>
    <cellStyle name="Normal 32 2 3 4" xfId="3006" xr:uid="{00000000-0005-0000-0000-0000841E0000}"/>
    <cellStyle name="Normal 32 2 3 4 2" xfId="9748" xr:uid="{00000000-0005-0000-0000-0000851E0000}"/>
    <cellStyle name="Normal 32 2 3 4 2 2" xfId="18554" xr:uid="{0F861585-3631-4AE4-AC8E-B0262CA1F05A}"/>
    <cellStyle name="Normal 32 2 3 4 3" xfId="8146" xr:uid="{00000000-0005-0000-0000-0000861E0000}"/>
    <cellStyle name="Normal 32 2 3 4 3 2" xfId="16955" xr:uid="{ED1317D9-AC2E-4B1A-9506-8F1F107DD75E}"/>
    <cellStyle name="Normal 32 2 3 4 4" xfId="11358" xr:uid="{00000000-0005-0000-0000-0000871E0000}"/>
    <cellStyle name="Normal 32 2 3 4 4 2" xfId="20101" xr:uid="{5C0B4832-6476-4F27-88C6-6D466A9490E1}"/>
    <cellStyle name="Normal 32 2 3 4 5" xfId="12965" xr:uid="{00000000-0005-0000-0000-0000881E0000}"/>
    <cellStyle name="Normal 32 2 3 4 5 2" xfId="21701" xr:uid="{A0AA5D8B-F65E-45C7-B0C2-33BD3B83F3C0}"/>
    <cellStyle name="Normal 32 2 3 4 6" xfId="15195" xr:uid="{494F5FCF-F7E9-47D9-886E-592544F9463B}"/>
    <cellStyle name="Normal 32 2 3 5" xfId="9745" xr:uid="{00000000-0005-0000-0000-0000891E0000}"/>
    <cellStyle name="Normal 32 2 3 5 2" xfId="18551" xr:uid="{A36A50BC-711D-4A65-84A0-909E9BC483E9}"/>
    <cellStyle name="Normal 32 2 3 6" xfId="8143" xr:uid="{00000000-0005-0000-0000-00008A1E0000}"/>
    <cellStyle name="Normal 32 2 3 6 2" xfId="16952" xr:uid="{D37A5AAC-2BEE-43BA-8BFA-FBE5847A210E}"/>
    <cellStyle name="Normal 32 2 3 7" xfId="11355" xr:uid="{00000000-0005-0000-0000-00008B1E0000}"/>
    <cellStyle name="Normal 32 2 3 7 2" xfId="20098" xr:uid="{C38CB304-F141-49B0-821B-E4D768E72EF3}"/>
    <cellStyle name="Normal 32 2 3 8" xfId="12962" xr:uid="{00000000-0005-0000-0000-00008C1E0000}"/>
    <cellStyle name="Normal 32 2 3 8 2" xfId="21698" xr:uid="{55C94762-5FAE-47E6-BE00-9E27D8692FD6}"/>
    <cellStyle name="Normal 32 2 3 9" xfId="15192" xr:uid="{E179EE07-0773-4D32-ADBC-F3E5BB3F9356}"/>
    <cellStyle name="Normal 32 2 4" xfId="3007" xr:uid="{00000000-0005-0000-0000-00008D1E0000}"/>
    <cellStyle name="Normal 32 2 4 2" xfId="3008" xr:uid="{00000000-0005-0000-0000-00008E1E0000}"/>
    <cellStyle name="Normal 32 2 4 2 2" xfId="3009" xr:uid="{00000000-0005-0000-0000-00008F1E0000}"/>
    <cellStyle name="Normal 32 2 4 2 2 2" xfId="3010" xr:uid="{00000000-0005-0000-0000-0000901E0000}"/>
    <cellStyle name="Normal 32 2 4 2 2 2 2" xfId="9750" xr:uid="{00000000-0005-0000-0000-0000911E0000}"/>
    <cellStyle name="Normal 32 2 4 2 2 2 2 2" xfId="18556" xr:uid="{1B62D91E-71DC-4353-B1F6-187E8E98D849}"/>
    <cellStyle name="Normal 32 2 4 2 2 2 3" xfId="8148" xr:uid="{00000000-0005-0000-0000-0000921E0000}"/>
    <cellStyle name="Normal 32 2 4 2 2 2 3 2" xfId="16957" xr:uid="{8E375C4F-EB8E-4BF7-ABC1-B5870B2E31D8}"/>
    <cellStyle name="Normal 32 2 4 2 2 2 4" xfId="11360" xr:uid="{00000000-0005-0000-0000-0000931E0000}"/>
    <cellStyle name="Normal 32 2 4 2 2 2 4 2" xfId="20103" xr:uid="{BA21024B-79DB-4E8C-8117-60DAFAC97664}"/>
    <cellStyle name="Normal 32 2 4 2 2 2 5" xfId="12967" xr:uid="{00000000-0005-0000-0000-0000941E0000}"/>
    <cellStyle name="Normal 32 2 4 2 2 2 5 2" xfId="21703" xr:uid="{A17B18BB-013D-4F29-9EC5-D3DF6B5939B8}"/>
    <cellStyle name="Normal 32 2 4 2 2 2 6" xfId="15197" xr:uid="{13CF02E0-EE95-4A96-962D-A27E0DA3614A}"/>
    <cellStyle name="Normal 32 2 4 2 2 3" xfId="3011" xr:uid="{00000000-0005-0000-0000-0000951E0000}"/>
    <cellStyle name="Normal 32 2 4 2 2 3 2" xfId="9751" xr:uid="{00000000-0005-0000-0000-0000961E0000}"/>
    <cellStyle name="Normal 32 2 4 2 2 3 2 2" xfId="18557" xr:uid="{0420CF16-DCE3-4563-9056-FFD779B7C3D3}"/>
    <cellStyle name="Normal 32 2 4 2 2 3 3" xfId="8149" xr:uid="{00000000-0005-0000-0000-0000971E0000}"/>
    <cellStyle name="Normal 32 2 4 2 2 3 3 2" xfId="16958" xr:uid="{2789CF4F-91B2-497B-B756-C83484C70D19}"/>
    <cellStyle name="Normal 32 2 4 2 2 3 4" xfId="11361" xr:uid="{00000000-0005-0000-0000-0000981E0000}"/>
    <cellStyle name="Normal 32 2 4 2 2 3 4 2" xfId="20104" xr:uid="{B152665E-2B27-4D17-8E65-2A897E98624C}"/>
    <cellStyle name="Normal 32 2 4 2 2 3 5" xfId="12968" xr:uid="{00000000-0005-0000-0000-0000991E0000}"/>
    <cellStyle name="Normal 32 2 4 2 2 3 5 2" xfId="21704" xr:uid="{6B2C9D83-3333-4991-83D9-2F06827F2227}"/>
    <cellStyle name="Normal 32 2 4 2 2 3 6" xfId="15198" xr:uid="{4C29164C-A6EA-4751-A729-A508FABE709A}"/>
    <cellStyle name="Normal 32 2 4 2 2 4" xfId="3012" xr:uid="{00000000-0005-0000-0000-00009A1E0000}"/>
    <cellStyle name="Normal 32 2 4 2 2 4 2" xfId="9752" xr:uid="{00000000-0005-0000-0000-00009B1E0000}"/>
    <cellStyle name="Normal 32 2 4 2 2 4 2 2" xfId="18558" xr:uid="{FFE80989-402C-4B64-AA05-E66D42864A0B}"/>
    <cellStyle name="Normal 32 2 4 2 2 4 3" xfId="8150" xr:uid="{00000000-0005-0000-0000-00009C1E0000}"/>
    <cellStyle name="Normal 32 2 4 2 2 4 3 2" xfId="16959" xr:uid="{7CA85792-BA43-4B0C-96C3-76B4ECE9B7C2}"/>
    <cellStyle name="Normal 32 2 4 2 2 4 4" xfId="11362" xr:uid="{00000000-0005-0000-0000-00009D1E0000}"/>
    <cellStyle name="Normal 32 2 4 2 2 4 4 2" xfId="20105" xr:uid="{FF4EAE5A-5EE8-4530-99CD-68F6F3D97339}"/>
    <cellStyle name="Normal 32 2 4 2 2 4 5" xfId="12969" xr:uid="{00000000-0005-0000-0000-00009E1E0000}"/>
    <cellStyle name="Normal 32 2 4 2 2 4 5 2" xfId="21705" xr:uid="{6E252E58-5E85-4CC8-83BF-D3B9DC556F45}"/>
    <cellStyle name="Normal 32 2 4 2 2 4 6" xfId="15199" xr:uid="{CFE4C699-7A10-4636-A672-66922B3E8970}"/>
    <cellStyle name="Normal 32 2 4 2 3" xfId="3013" xr:uid="{00000000-0005-0000-0000-00009F1E0000}"/>
    <cellStyle name="Normal 32 2 4 2 4" xfId="3014" xr:uid="{00000000-0005-0000-0000-0000A01E0000}"/>
    <cellStyle name="Normal 32 2 4 2 5" xfId="9749" xr:uid="{00000000-0005-0000-0000-0000A11E0000}"/>
    <cellStyle name="Normal 32 2 4 2 5 2" xfId="18555" xr:uid="{4A69C23D-652C-4E56-BDA4-5B1BD96A4993}"/>
    <cellStyle name="Normal 32 2 4 2 6" xfId="8147" xr:uid="{00000000-0005-0000-0000-0000A21E0000}"/>
    <cellStyle name="Normal 32 2 4 2 6 2" xfId="16956" xr:uid="{9A7C41E4-17FE-4250-AE12-C7A9888D0A46}"/>
    <cellStyle name="Normal 32 2 4 2 7" xfId="11359" xr:uid="{00000000-0005-0000-0000-0000A31E0000}"/>
    <cellStyle name="Normal 32 2 4 2 7 2" xfId="20102" xr:uid="{00AEE0AB-0C82-4380-A8D5-8CC1D7E9A522}"/>
    <cellStyle name="Normal 32 2 4 2 8" xfId="12966" xr:uid="{00000000-0005-0000-0000-0000A41E0000}"/>
    <cellStyle name="Normal 32 2 4 2 8 2" xfId="21702" xr:uid="{948BCDD3-F15E-4DD0-89A0-334E60F8397D}"/>
    <cellStyle name="Normal 32 2 4 2 9" xfId="15196" xr:uid="{CCEF3573-B2DD-44AE-914A-57188723BBB4}"/>
    <cellStyle name="Normal 32 2 4 3" xfId="3015" xr:uid="{00000000-0005-0000-0000-0000A51E0000}"/>
    <cellStyle name="Normal 32 2 4 3 2" xfId="3016" xr:uid="{00000000-0005-0000-0000-0000A61E0000}"/>
    <cellStyle name="Normal 32 2 4 3 2 2" xfId="9754" xr:uid="{00000000-0005-0000-0000-0000A71E0000}"/>
    <cellStyle name="Normal 32 2 4 3 2 2 2" xfId="18560" xr:uid="{861D0CA8-15C4-4732-984C-96B4F444724D}"/>
    <cellStyle name="Normal 32 2 4 3 2 3" xfId="8152" xr:uid="{00000000-0005-0000-0000-0000A81E0000}"/>
    <cellStyle name="Normal 32 2 4 3 2 3 2" xfId="16961" xr:uid="{283A50BC-FFAF-42FE-BBB6-409D9A6D3508}"/>
    <cellStyle name="Normal 32 2 4 3 2 4" xfId="11364" xr:uid="{00000000-0005-0000-0000-0000A91E0000}"/>
    <cellStyle name="Normal 32 2 4 3 2 4 2" xfId="20107" xr:uid="{020E317D-605B-44F3-9BC1-CFF63434F835}"/>
    <cellStyle name="Normal 32 2 4 3 2 5" xfId="12971" xr:uid="{00000000-0005-0000-0000-0000AA1E0000}"/>
    <cellStyle name="Normal 32 2 4 3 2 5 2" xfId="21707" xr:uid="{3A911C73-A822-4A02-B730-5323969594A9}"/>
    <cellStyle name="Normal 32 2 4 3 2 6" xfId="15201" xr:uid="{86C129C2-6BE4-4065-8367-0940069A11DA}"/>
    <cellStyle name="Normal 32 2 4 3 3" xfId="3017" xr:uid="{00000000-0005-0000-0000-0000AB1E0000}"/>
    <cellStyle name="Normal 32 2 4 3 3 2" xfId="9755" xr:uid="{00000000-0005-0000-0000-0000AC1E0000}"/>
    <cellStyle name="Normal 32 2 4 3 3 2 2" xfId="18561" xr:uid="{380074A8-718F-49C1-B6EB-E791D5E0C2EB}"/>
    <cellStyle name="Normal 32 2 4 3 3 3" xfId="8153" xr:uid="{00000000-0005-0000-0000-0000AD1E0000}"/>
    <cellStyle name="Normal 32 2 4 3 3 3 2" xfId="16962" xr:uid="{7DEE9D69-5A70-4085-8291-6BFA87A40442}"/>
    <cellStyle name="Normal 32 2 4 3 3 4" xfId="11365" xr:uid="{00000000-0005-0000-0000-0000AE1E0000}"/>
    <cellStyle name="Normal 32 2 4 3 3 4 2" xfId="20108" xr:uid="{98CBC853-39AE-4E66-88C3-BEAC3DB4AF4B}"/>
    <cellStyle name="Normal 32 2 4 3 3 5" xfId="12972" xr:uid="{00000000-0005-0000-0000-0000AF1E0000}"/>
    <cellStyle name="Normal 32 2 4 3 3 5 2" xfId="21708" xr:uid="{6735D8DF-F8B4-4E89-A210-3FD8C8A2CF02}"/>
    <cellStyle name="Normal 32 2 4 3 3 6" xfId="15202" xr:uid="{4758FECC-B005-4B61-8877-FA6BC57F0D66}"/>
    <cellStyle name="Normal 32 2 4 3 4" xfId="3018" xr:uid="{00000000-0005-0000-0000-0000B01E0000}"/>
    <cellStyle name="Normal 32 2 4 3 4 2" xfId="9756" xr:uid="{00000000-0005-0000-0000-0000B11E0000}"/>
    <cellStyle name="Normal 32 2 4 3 4 2 2" xfId="18562" xr:uid="{01841432-F389-4066-A8CE-28DAD0EA198F}"/>
    <cellStyle name="Normal 32 2 4 3 4 3" xfId="8154" xr:uid="{00000000-0005-0000-0000-0000B21E0000}"/>
    <cellStyle name="Normal 32 2 4 3 4 3 2" xfId="16963" xr:uid="{05B8108E-DC99-4A28-9223-7161B1FD4260}"/>
    <cellStyle name="Normal 32 2 4 3 4 4" xfId="11366" xr:uid="{00000000-0005-0000-0000-0000B31E0000}"/>
    <cellStyle name="Normal 32 2 4 3 4 4 2" xfId="20109" xr:uid="{146C3B97-63AE-4660-A6BB-26A3A5C1FCAC}"/>
    <cellStyle name="Normal 32 2 4 3 4 5" xfId="12973" xr:uid="{00000000-0005-0000-0000-0000B41E0000}"/>
    <cellStyle name="Normal 32 2 4 3 4 5 2" xfId="21709" xr:uid="{77F57084-D222-4565-BCEA-F804D600C4EC}"/>
    <cellStyle name="Normal 32 2 4 3 4 6" xfId="15203" xr:uid="{CDE3795D-CA82-45E5-AE3E-A1DE94CCB890}"/>
    <cellStyle name="Normal 32 2 4 3 5" xfId="9753" xr:uid="{00000000-0005-0000-0000-0000B51E0000}"/>
    <cellStyle name="Normal 32 2 4 3 5 2" xfId="18559" xr:uid="{E0807B75-48F6-4E2E-9322-7FC9A62EA30B}"/>
    <cellStyle name="Normal 32 2 4 3 6" xfId="8151" xr:uid="{00000000-0005-0000-0000-0000B61E0000}"/>
    <cellStyle name="Normal 32 2 4 3 6 2" xfId="16960" xr:uid="{3A4C1A21-D16F-431B-9D00-AAAFD5354A75}"/>
    <cellStyle name="Normal 32 2 4 3 7" xfId="11363" xr:uid="{00000000-0005-0000-0000-0000B71E0000}"/>
    <cellStyle name="Normal 32 2 4 3 7 2" xfId="20106" xr:uid="{3F7122B7-9E51-4796-A0CB-8215F436AAC6}"/>
    <cellStyle name="Normal 32 2 4 3 8" xfId="12970" xr:uid="{00000000-0005-0000-0000-0000B81E0000}"/>
    <cellStyle name="Normal 32 2 4 3 8 2" xfId="21706" xr:uid="{CF842809-D306-41B5-8539-07E31D0A0421}"/>
    <cellStyle name="Normal 32 2 4 3 9" xfId="15200" xr:uid="{E3293A55-0E12-428E-8FE1-2D1F207C2BA6}"/>
    <cellStyle name="Normal 32 2 4 4" xfId="3019" xr:uid="{00000000-0005-0000-0000-0000B91E0000}"/>
    <cellStyle name="Normal 32 2 4 4 2" xfId="3020" xr:uid="{00000000-0005-0000-0000-0000BA1E0000}"/>
    <cellStyle name="Normal 32 2 4 4 2 2" xfId="9758" xr:uid="{00000000-0005-0000-0000-0000BB1E0000}"/>
    <cellStyle name="Normal 32 2 4 4 2 2 2" xfId="18564" xr:uid="{DCDC6B80-8D57-4861-829A-8EED854D7B68}"/>
    <cellStyle name="Normal 32 2 4 4 2 3" xfId="8156" xr:uid="{00000000-0005-0000-0000-0000BC1E0000}"/>
    <cellStyle name="Normal 32 2 4 4 2 3 2" xfId="16965" xr:uid="{28910AE3-2454-4412-8D3A-750483D96DFB}"/>
    <cellStyle name="Normal 32 2 4 4 2 4" xfId="11368" xr:uid="{00000000-0005-0000-0000-0000BD1E0000}"/>
    <cellStyle name="Normal 32 2 4 4 2 4 2" xfId="20111" xr:uid="{C00CDD73-80A7-4586-BB89-ADC57CA32092}"/>
    <cellStyle name="Normal 32 2 4 4 2 5" xfId="12975" xr:uid="{00000000-0005-0000-0000-0000BE1E0000}"/>
    <cellStyle name="Normal 32 2 4 4 2 5 2" xfId="21711" xr:uid="{41B8D51A-53CB-489A-9D92-C96B94903A6B}"/>
    <cellStyle name="Normal 32 2 4 4 2 6" xfId="15205" xr:uid="{564D1869-DB2D-4715-93AC-41B5020E3B5E}"/>
    <cellStyle name="Normal 32 2 4 4 3" xfId="3021" xr:uid="{00000000-0005-0000-0000-0000BF1E0000}"/>
    <cellStyle name="Normal 32 2 4 4 3 2" xfId="9759" xr:uid="{00000000-0005-0000-0000-0000C01E0000}"/>
    <cellStyle name="Normal 32 2 4 4 3 2 2" xfId="18565" xr:uid="{CDDABBDD-1FE7-4F0A-9C4E-B13417C9A543}"/>
    <cellStyle name="Normal 32 2 4 4 3 3" xfId="8157" xr:uid="{00000000-0005-0000-0000-0000C11E0000}"/>
    <cellStyle name="Normal 32 2 4 4 3 3 2" xfId="16966" xr:uid="{4E7718D9-5A41-40DF-8819-406B0E51DAE3}"/>
    <cellStyle name="Normal 32 2 4 4 3 4" xfId="11369" xr:uid="{00000000-0005-0000-0000-0000C21E0000}"/>
    <cellStyle name="Normal 32 2 4 4 3 4 2" xfId="20112" xr:uid="{6A6EA8C9-F09F-4DF9-A60D-594B7021EB63}"/>
    <cellStyle name="Normal 32 2 4 4 3 5" xfId="12976" xr:uid="{00000000-0005-0000-0000-0000C31E0000}"/>
    <cellStyle name="Normal 32 2 4 4 3 5 2" xfId="21712" xr:uid="{67111CB7-8F51-4054-BCCB-66A0F691AC83}"/>
    <cellStyle name="Normal 32 2 4 4 3 6" xfId="15206" xr:uid="{50B0F883-27DA-48AA-8157-AD8A528DAD6A}"/>
    <cellStyle name="Normal 32 2 4 4 4" xfId="3022" xr:uid="{00000000-0005-0000-0000-0000C41E0000}"/>
    <cellStyle name="Normal 32 2 4 4 4 2" xfId="9760" xr:uid="{00000000-0005-0000-0000-0000C51E0000}"/>
    <cellStyle name="Normal 32 2 4 4 4 2 2" xfId="18566" xr:uid="{14E17858-6611-4F42-A9BF-31546667468C}"/>
    <cellStyle name="Normal 32 2 4 4 4 3" xfId="8158" xr:uid="{00000000-0005-0000-0000-0000C61E0000}"/>
    <cellStyle name="Normal 32 2 4 4 4 3 2" xfId="16967" xr:uid="{F803AEF3-F349-4B1F-88C0-828D9A4D9803}"/>
    <cellStyle name="Normal 32 2 4 4 4 4" xfId="11370" xr:uid="{00000000-0005-0000-0000-0000C71E0000}"/>
    <cellStyle name="Normal 32 2 4 4 4 4 2" xfId="20113" xr:uid="{615A4519-0773-43F7-99C5-DDE7001E24F4}"/>
    <cellStyle name="Normal 32 2 4 4 4 5" xfId="12977" xr:uid="{00000000-0005-0000-0000-0000C81E0000}"/>
    <cellStyle name="Normal 32 2 4 4 4 5 2" xfId="21713" xr:uid="{9378E4DC-B195-419F-BECE-A2DFFA75E2EA}"/>
    <cellStyle name="Normal 32 2 4 4 4 6" xfId="15207" xr:uid="{37548B9F-2F10-41AC-B5F8-2447CBF9040C}"/>
    <cellStyle name="Normal 32 2 4 4 5" xfId="9757" xr:uid="{00000000-0005-0000-0000-0000C91E0000}"/>
    <cellStyle name="Normal 32 2 4 4 5 2" xfId="18563" xr:uid="{BC4B7A49-02DC-4D12-ABC7-4FED5E2EED36}"/>
    <cellStyle name="Normal 32 2 4 4 6" xfId="8155" xr:uid="{00000000-0005-0000-0000-0000CA1E0000}"/>
    <cellStyle name="Normal 32 2 4 4 6 2" xfId="16964" xr:uid="{14F45BE4-80D9-43DF-8D89-FD7F3B22006D}"/>
    <cellStyle name="Normal 32 2 4 4 7" xfId="11367" xr:uid="{00000000-0005-0000-0000-0000CB1E0000}"/>
    <cellStyle name="Normal 32 2 4 4 7 2" xfId="20110" xr:uid="{05C04F0E-A22B-4736-985A-C33F0E826F02}"/>
    <cellStyle name="Normal 32 2 4 4 8" xfId="12974" xr:uid="{00000000-0005-0000-0000-0000CC1E0000}"/>
    <cellStyle name="Normal 32 2 4 4 8 2" xfId="21710" xr:uid="{F40260A7-97A5-4411-93D8-F42F7BA18E30}"/>
    <cellStyle name="Normal 32 2 4 4 9" xfId="15204" xr:uid="{908B73A2-D128-4F0B-ACFE-9E986E2C87EB}"/>
    <cellStyle name="Normal 32 2 4 5" xfId="3023" xr:uid="{00000000-0005-0000-0000-0000CD1E0000}"/>
    <cellStyle name="Normal 32 2 4 5 2" xfId="9761" xr:uid="{00000000-0005-0000-0000-0000CE1E0000}"/>
    <cellStyle name="Normal 32 2 4 5 2 2" xfId="18567" xr:uid="{3F60DDEB-909D-4EA3-9E7A-53E66A180835}"/>
    <cellStyle name="Normal 32 2 4 5 3" xfId="8159" xr:uid="{00000000-0005-0000-0000-0000CF1E0000}"/>
    <cellStyle name="Normal 32 2 4 5 3 2" xfId="16968" xr:uid="{C4FC7EFA-262C-45A6-8342-34C995E0E0A2}"/>
    <cellStyle name="Normal 32 2 4 5 4" xfId="11371" xr:uid="{00000000-0005-0000-0000-0000D01E0000}"/>
    <cellStyle name="Normal 32 2 4 5 4 2" xfId="20114" xr:uid="{C22E97BF-D138-4CA8-BAB8-46551451085C}"/>
    <cellStyle name="Normal 32 2 4 5 5" xfId="12978" xr:uid="{00000000-0005-0000-0000-0000D11E0000}"/>
    <cellStyle name="Normal 32 2 4 5 5 2" xfId="21714" xr:uid="{0339AE58-8D1F-454C-A021-3B5DE4CB99F9}"/>
    <cellStyle name="Normal 32 2 4 5 6" xfId="15208" xr:uid="{6B2CCD61-0BA5-4463-9B36-F0423214C6A2}"/>
    <cellStyle name="Normal 32 2 4 6" xfId="3024" xr:uid="{00000000-0005-0000-0000-0000D21E0000}"/>
    <cellStyle name="Normal 32 2 4 6 2" xfId="9762" xr:uid="{00000000-0005-0000-0000-0000D31E0000}"/>
    <cellStyle name="Normal 32 2 4 6 2 2" xfId="18568" xr:uid="{98A141C4-A3B4-4330-BEF6-CE2FEC9B3C64}"/>
    <cellStyle name="Normal 32 2 4 6 3" xfId="8160" xr:uid="{00000000-0005-0000-0000-0000D41E0000}"/>
    <cellStyle name="Normal 32 2 4 6 3 2" xfId="16969" xr:uid="{8A431395-7107-45ED-80F3-7EB83A1DCC2E}"/>
    <cellStyle name="Normal 32 2 4 6 4" xfId="11372" xr:uid="{00000000-0005-0000-0000-0000D51E0000}"/>
    <cellStyle name="Normal 32 2 4 6 4 2" xfId="20115" xr:uid="{45D19A28-7FF8-44D2-947C-182495B6D437}"/>
    <cellStyle name="Normal 32 2 4 6 5" xfId="12979" xr:uid="{00000000-0005-0000-0000-0000D61E0000}"/>
    <cellStyle name="Normal 32 2 4 6 5 2" xfId="21715" xr:uid="{E3A5BD26-3534-46C3-9337-7067C5F6682A}"/>
    <cellStyle name="Normal 32 2 4 6 6" xfId="15209" xr:uid="{1634007D-8ED9-4FAA-BCB2-67CA6205DA9F}"/>
    <cellStyle name="Normal 32 2 4 7" xfId="3025" xr:uid="{00000000-0005-0000-0000-0000D71E0000}"/>
    <cellStyle name="Normal 32 2 4 7 2" xfId="9763" xr:uid="{00000000-0005-0000-0000-0000D81E0000}"/>
    <cellStyle name="Normal 32 2 4 7 2 2" xfId="18569" xr:uid="{66CB5710-FA01-4469-99A8-E875FC0425DB}"/>
    <cellStyle name="Normal 32 2 4 7 3" xfId="8161" xr:uid="{00000000-0005-0000-0000-0000D91E0000}"/>
    <cellStyle name="Normal 32 2 4 7 3 2" xfId="16970" xr:uid="{7B15A67D-AC8A-47DE-B921-F313ABCC6747}"/>
    <cellStyle name="Normal 32 2 4 7 4" xfId="11373" xr:uid="{00000000-0005-0000-0000-0000DA1E0000}"/>
    <cellStyle name="Normal 32 2 4 7 4 2" xfId="20116" xr:uid="{5E6921FE-09CC-4F88-9D80-85655BE3157F}"/>
    <cellStyle name="Normal 32 2 4 7 5" xfId="12980" xr:uid="{00000000-0005-0000-0000-0000DB1E0000}"/>
    <cellStyle name="Normal 32 2 4 7 5 2" xfId="21716" xr:uid="{33F38FF2-ADF6-4B04-9195-74E16316A8F9}"/>
    <cellStyle name="Normal 32 2 4 7 6" xfId="15210" xr:uid="{C605746D-2E8E-42CD-87BE-AC7EF99DD7D2}"/>
    <cellStyle name="Normal 32 2 5" xfId="3026" xr:uid="{00000000-0005-0000-0000-0000DC1E0000}"/>
    <cellStyle name="Normal 32 2 6" xfId="3027" xr:uid="{00000000-0005-0000-0000-0000DD1E0000}"/>
    <cellStyle name="Normal 32 2 7" xfId="3028" xr:uid="{00000000-0005-0000-0000-0000DE1E0000}"/>
    <cellStyle name="Normal 32 2 7 2" xfId="9764" xr:uid="{00000000-0005-0000-0000-0000DF1E0000}"/>
    <cellStyle name="Normal 32 2 7 2 2" xfId="18570" xr:uid="{20BFC2FE-FAD5-4BA3-9653-8B3E8FCC8DD4}"/>
    <cellStyle name="Normal 32 2 7 3" xfId="8162" xr:uid="{00000000-0005-0000-0000-0000E01E0000}"/>
    <cellStyle name="Normal 32 2 7 3 2" xfId="16971" xr:uid="{C0FB866D-5A57-4093-95F4-91DB3225431F}"/>
    <cellStyle name="Normal 32 2 7 4" xfId="11374" xr:uid="{00000000-0005-0000-0000-0000E11E0000}"/>
    <cellStyle name="Normal 32 2 7 4 2" xfId="20117" xr:uid="{C5B1FB21-B7EB-4EEE-954D-F6A63151C997}"/>
    <cellStyle name="Normal 32 2 7 5" xfId="12981" xr:uid="{00000000-0005-0000-0000-0000E21E0000}"/>
    <cellStyle name="Normal 32 2 7 5 2" xfId="21717" xr:uid="{09173566-39C8-4D98-9E5B-A30AA6EF6A7D}"/>
    <cellStyle name="Normal 32 2 7 6" xfId="15211" xr:uid="{15F0ECD8-666B-4956-B69E-5ACE025EDA58}"/>
    <cellStyle name="Normal 32 2 8" xfId="3029" xr:uid="{00000000-0005-0000-0000-0000E31E0000}"/>
    <cellStyle name="Normal 32 2 8 2" xfId="9765" xr:uid="{00000000-0005-0000-0000-0000E41E0000}"/>
    <cellStyle name="Normal 32 2 8 2 2" xfId="18571" xr:uid="{6FFDA659-584C-4357-8616-18F8AC0E91C7}"/>
    <cellStyle name="Normal 32 2 8 3" xfId="8163" xr:uid="{00000000-0005-0000-0000-0000E51E0000}"/>
    <cellStyle name="Normal 32 2 8 3 2" xfId="16972" xr:uid="{508CC17D-D65E-4427-81D5-A716B4A1EADD}"/>
    <cellStyle name="Normal 32 2 8 4" xfId="11375" xr:uid="{00000000-0005-0000-0000-0000E61E0000}"/>
    <cellStyle name="Normal 32 2 8 4 2" xfId="20118" xr:uid="{5414E09B-9358-42F3-AB06-4276DF0E2631}"/>
    <cellStyle name="Normal 32 2 8 5" xfId="12982" xr:uid="{00000000-0005-0000-0000-0000E71E0000}"/>
    <cellStyle name="Normal 32 2 8 5 2" xfId="21718" xr:uid="{8A1260FE-4764-4D34-B64F-289622D114EB}"/>
    <cellStyle name="Normal 32 2 8 6" xfId="15212" xr:uid="{78C9792C-254E-4D26-BFB6-FEB70C6E844B}"/>
    <cellStyle name="Normal 32 2 9" xfId="3030" xr:uid="{00000000-0005-0000-0000-0000E81E0000}"/>
    <cellStyle name="Normal 32 2 9 2" xfId="9766" xr:uid="{00000000-0005-0000-0000-0000E91E0000}"/>
    <cellStyle name="Normal 32 2 9 2 2" xfId="18572" xr:uid="{6E0551F4-EDFE-44B3-94BF-EF209C4B2473}"/>
    <cellStyle name="Normal 32 2 9 3" xfId="8164" xr:uid="{00000000-0005-0000-0000-0000EA1E0000}"/>
    <cellStyle name="Normal 32 2 9 3 2" xfId="16973" xr:uid="{2319F2E7-DF97-4972-AFB5-C4EB6D25F8E6}"/>
    <cellStyle name="Normal 32 2 9 4" xfId="11376" xr:uid="{00000000-0005-0000-0000-0000EB1E0000}"/>
    <cellStyle name="Normal 32 2 9 4 2" xfId="20119" xr:uid="{1B144D8B-3838-428B-BE10-18ED835FBEDA}"/>
    <cellStyle name="Normal 32 2 9 5" xfId="12983" xr:uid="{00000000-0005-0000-0000-0000EC1E0000}"/>
    <cellStyle name="Normal 32 2 9 5 2" xfId="21719" xr:uid="{112E7637-18F3-4830-8513-FC0999BF2B06}"/>
    <cellStyle name="Normal 32 2 9 6" xfId="15213" xr:uid="{6A0F19ED-D536-4C9A-8341-FBF27B455401}"/>
    <cellStyle name="Normal 32 3" xfId="3031" xr:uid="{00000000-0005-0000-0000-0000ED1E0000}"/>
    <cellStyle name="Normal 32 3 2" xfId="3032" xr:uid="{00000000-0005-0000-0000-0000EE1E0000}"/>
    <cellStyle name="Normal 32 3 2 2" xfId="9768" xr:uid="{00000000-0005-0000-0000-0000EF1E0000}"/>
    <cellStyle name="Normal 32 3 2 2 2" xfId="18574" xr:uid="{0CEF0169-A90C-492D-A993-F559BD01C205}"/>
    <cellStyle name="Normal 32 3 2 3" xfId="8166" xr:uid="{00000000-0005-0000-0000-0000F01E0000}"/>
    <cellStyle name="Normal 32 3 2 3 2" xfId="16975" xr:uid="{29797F61-00AF-4FF3-968F-F704958CC529}"/>
    <cellStyle name="Normal 32 3 2 4" xfId="11378" xr:uid="{00000000-0005-0000-0000-0000F11E0000}"/>
    <cellStyle name="Normal 32 3 2 4 2" xfId="20121" xr:uid="{A0BAD6AE-817E-4CF4-A3D8-8DA50FC8EAC2}"/>
    <cellStyle name="Normal 32 3 2 5" xfId="12985" xr:uid="{00000000-0005-0000-0000-0000F21E0000}"/>
    <cellStyle name="Normal 32 3 2 5 2" xfId="21721" xr:uid="{FD403EFD-AE90-4A56-A7F0-391D79663229}"/>
    <cellStyle name="Normal 32 3 2 6" xfId="15215" xr:uid="{DF752120-BEBA-4204-82EB-841C542A7F0F}"/>
    <cellStyle name="Normal 32 3 3" xfId="3033" xr:uid="{00000000-0005-0000-0000-0000F31E0000}"/>
    <cellStyle name="Normal 32 3 3 2" xfId="9769" xr:uid="{00000000-0005-0000-0000-0000F41E0000}"/>
    <cellStyle name="Normal 32 3 3 2 2" xfId="18575" xr:uid="{BDD506D7-2C73-4FE3-BAFE-B1EE2FDCC657}"/>
    <cellStyle name="Normal 32 3 3 3" xfId="8167" xr:uid="{00000000-0005-0000-0000-0000F51E0000}"/>
    <cellStyle name="Normal 32 3 3 3 2" xfId="16976" xr:uid="{8355E7ED-673B-4BC1-AE9F-509B044EF3DD}"/>
    <cellStyle name="Normal 32 3 3 4" xfId="11379" xr:uid="{00000000-0005-0000-0000-0000F61E0000}"/>
    <cellStyle name="Normal 32 3 3 4 2" xfId="20122" xr:uid="{21AFF200-5981-4C24-B731-D4FB1CDE36ED}"/>
    <cellStyle name="Normal 32 3 3 5" xfId="12986" xr:uid="{00000000-0005-0000-0000-0000F71E0000}"/>
    <cellStyle name="Normal 32 3 3 5 2" xfId="21722" xr:uid="{2E0C6F10-7C89-4204-9284-EC760F1FCEEF}"/>
    <cellStyle name="Normal 32 3 3 6" xfId="15216" xr:uid="{50FB174A-AA71-4F6B-B5FB-3F241E41B6FB}"/>
    <cellStyle name="Normal 32 3 4" xfId="3034" xr:uid="{00000000-0005-0000-0000-0000F81E0000}"/>
    <cellStyle name="Normal 32 3 4 2" xfId="9770" xr:uid="{00000000-0005-0000-0000-0000F91E0000}"/>
    <cellStyle name="Normal 32 3 4 2 2" xfId="18576" xr:uid="{473AABA0-5A3B-4514-B6B4-0759EB6445C0}"/>
    <cellStyle name="Normal 32 3 4 3" xfId="8168" xr:uid="{00000000-0005-0000-0000-0000FA1E0000}"/>
    <cellStyle name="Normal 32 3 4 3 2" xfId="16977" xr:uid="{35747F30-4183-44CF-A7AD-0E9EDD61165E}"/>
    <cellStyle name="Normal 32 3 4 4" xfId="11380" xr:uid="{00000000-0005-0000-0000-0000FB1E0000}"/>
    <cellStyle name="Normal 32 3 4 4 2" xfId="20123" xr:uid="{FE2E70E8-DBFF-4657-BFCC-2E7CC5A0B16A}"/>
    <cellStyle name="Normal 32 3 4 5" xfId="12987" xr:uid="{00000000-0005-0000-0000-0000FC1E0000}"/>
    <cellStyle name="Normal 32 3 4 5 2" xfId="21723" xr:uid="{529E1297-9040-44E8-9066-6B8925C8EB27}"/>
    <cellStyle name="Normal 32 3 4 6" xfId="15217" xr:uid="{FF7E0281-D009-418B-889D-3606D63D21A6}"/>
    <cellStyle name="Normal 32 3 5" xfId="9767" xr:uid="{00000000-0005-0000-0000-0000FD1E0000}"/>
    <cellStyle name="Normal 32 3 5 2" xfId="18573" xr:uid="{F1AE553C-A43D-4304-8555-A3528F4C83A4}"/>
    <cellStyle name="Normal 32 3 6" xfId="8165" xr:uid="{00000000-0005-0000-0000-0000FE1E0000}"/>
    <cellStyle name="Normal 32 3 6 2" xfId="16974" xr:uid="{48060AB8-7A1B-40EB-91BC-606B554DCC98}"/>
    <cellStyle name="Normal 32 3 7" xfId="11377" xr:uid="{00000000-0005-0000-0000-0000FF1E0000}"/>
    <cellStyle name="Normal 32 3 7 2" xfId="20120" xr:uid="{9BCDB81E-4E0D-4D66-9CE4-34F2C0512E22}"/>
    <cellStyle name="Normal 32 3 8" xfId="12984" xr:uid="{00000000-0005-0000-0000-0000001F0000}"/>
    <cellStyle name="Normal 32 3 8 2" xfId="21720" xr:uid="{14F2FBE9-D762-4494-92B9-EA2F81EE6834}"/>
    <cellStyle name="Normal 32 3 9" xfId="15214" xr:uid="{151E14D3-730B-4E67-8555-DBCB471F657F}"/>
    <cellStyle name="Normal 32 4" xfId="3035" xr:uid="{00000000-0005-0000-0000-0000011F0000}"/>
    <cellStyle name="Normal 33" xfId="3036" xr:uid="{00000000-0005-0000-0000-0000021F0000}"/>
    <cellStyle name="Normal 33 2" xfId="3037" xr:uid="{00000000-0005-0000-0000-0000031F0000}"/>
    <cellStyle name="Normal 33 2 2" xfId="3038" xr:uid="{00000000-0005-0000-0000-0000041F0000}"/>
    <cellStyle name="Normal 33 2 2 2" xfId="9772" xr:uid="{00000000-0005-0000-0000-0000051F0000}"/>
    <cellStyle name="Normal 33 2 2 2 2" xfId="18578" xr:uid="{080F7DB9-156F-4937-9AC9-B3B528F4CD8F}"/>
    <cellStyle name="Normal 33 2 2 3" xfId="8170" xr:uid="{00000000-0005-0000-0000-0000061F0000}"/>
    <cellStyle name="Normal 33 2 2 3 2" xfId="16979" xr:uid="{A3BB3E1A-DD62-4CB4-BFD7-78914491F1F7}"/>
    <cellStyle name="Normal 33 2 2 4" xfId="11382" xr:uid="{00000000-0005-0000-0000-0000071F0000}"/>
    <cellStyle name="Normal 33 2 2 4 2" xfId="20125" xr:uid="{40381F5C-1971-4A0E-A624-3D7BA6BA801A}"/>
    <cellStyle name="Normal 33 2 2 5" xfId="12989" xr:uid="{00000000-0005-0000-0000-0000081F0000}"/>
    <cellStyle name="Normal 33 2 2 5 2" xfId="21725" xr:uid="{3B75AB35-3D74-4377-9338-5A0931D8D149}"/>
    <cellStyle name="Normal 33 2 2 6" xfId="15219" xr:uid="{CDE3C7C0-C93F-4F49-98AA-6734306DEED3}"/>
    <cellStyle name="Normal 33 2 3" xfId="3039" xr:uid="{00000000-0005-0000-0000-0000091F0000}"/>
    <cellStyle name="Normal 33 2 3 2" xfId="9773" xr:uid="{00000000-0005-0000-0000-00000A1F0000}"/>
    <cellStyle name="Normal 33 2 3 2 2" xfId="18579" xr:uid="{159CC3BB-6015-45F9-93FB-EC6310A28BD8}"/>
    <cellStyle name="Normal 33 2 3 3" xfId="8171" xr:uid="{00000000-0005-0000-0000-00000B1F0000}"/>
    <cellStyle name="Normal 33 2 3 3 2" xfId="16980" xr:uid="{D81E2517-F9E4-4219-8609-424AA882560C}"/>
    <cellStyle name="Normal 33 2 3 4" xfId="11383" xr:uid="{00000000-0005-0000-0000-00000C1F0000}"/>
    <cellStyle name="Normal 33 2 3 4 2" xfId="20126" xr:uid="{9D02468E-F181-46DE-B3DD-C64D06C70922}"/>
    <cellStyle name="Normal 33 2 3 5" xfId="12990" xr:uid="{00000000-0005-0000-0000-00000D1F0000}"/>
    <cellStyle name="Normal 33 2 3 5 2" xfId="21726" xr:uid="{8547859E-55B7-45AC-B777-463476C246E5}"/>
    <cellStyle name="Normal 33 2 3 6" xfId="15220" xr:uid="{2DAA57E0-D67E-435D-9BF8-3BEAE9B9E09D}"/>
    <cellStyle name="Normal 33 2 4" xfId="3040" xr:uid="{00000000-0005-0000-0000-00000E1F0000}"/>
    <cellStyle name="Normal 33 2 4 2" xfId="9774" xr:uid="{00000000-0005-0000-0000-00000F1F0000}"/>
    <cellStyle name="Normal 33 2 4 2 2" xfId="18580" xr:uid="{7587FCD9-C938-45BC-AA80-45B11B0A8B69}"/>
    <cellStyle name="Normal 33 2 4 3" xfId="8172" xr:uid="{00000000-0005-0000-0000-0000101F0000}"/>
    <cellStyle name="Normal 33 2 4 3 2" xfId="16981" xr:uid="{32A08BE2-A33E-4827-9D78-24D80AD32CAC}"/>
    <cellStyle name="Normal 33 2 4 4" xfId="11384" xr:uid="{00000000-0005-0000-0000-0000111F0000}"/>
    <cellStyle name="Normal 33 2 4 4 2" xfId="20127" xr:uid="{324B845C-74CA-47C1-A18E-4BA6D1532F5F}"/>
    <cellStyle name="Normal 33 2 4 5" xfId="12991" xr:uid="{00000000-0005-0000-0000-0000121F0000}"/>
    <cellStyle name="Normal 33 2 4 5 2" xfId="21727" xr:uid="{F8880FC5-5859-4EE4-A974-84E28E0F2EFA}"/>
    <cellStyle name="Normal 33 2 4 6" xfId="15221" xr:uid="{6857B07E-79D1-4FEC-9900-4AC6A95BD43C}"/>
    <cellStyle name="Normal 33 2 5" xfId="9771" xr:uid="{00000000-0005-0000-0000-0000131F0000}"/>
    <cellStyle name="Normal 33 2 5 2" xfId="18577" xr:uid="{7B2CE7EF-6208-44EF-8920-953A6557F272}"/>
    <cellStyle name="Normal 33 2 6" xfId="8169" xr:uid="{00000000-0005-0000-0000-0000141F0000}"/>
    <cellStyle name="Normal 33 2 6 2" xfId="16978" xr:uid="{66E69354-9E98-488E-9CCA-F328A7F2177A}"/>
    <cellStyle name="Normal 33 2 7" xfId="11381" xr:uid="{00000000-0005-0000-0000-0000151F0000}"/>
    <cellStyle name="Normal 33 2 7 2" xfId="20124" xr:uid="{317DBCE7-5132-4A9C-9EF4-408CB8CC4859}"/>
    <cellStyle name="Normal 33 2 8" xfId="12988" xr:uid="{00000000-0005-0000-0000-0000161F0000}"/>
    <cellStyle name="Normal 33 2 8 2" xfId="21724" xr:uid="{4DBBFA12-DA72-45C2-84A2-BF6E81DE0DA9}"/>
    <cellStyle name="Normal 33 2 9" xfId="15218" xr:uid="{A15978C8-0F91-4CE4-BE21-AFF9276D50E6}"/>
    <cellStyle name="Normal 33 3" xfId="3041" xr:uid="{00000000-0005-0000-0000-0000171F0000}"/>
    <cellStyle name="Normal 34" xfId="3042" xr:uid="{00000000-0005-0000-0000-0000181F0000}"/>
    <cellStyle name="Normal 34 2" xfId="3043" xr:uid="{00000000-0005-0000-0000-0000191F0000}"/>
    <cellStyle name="Normal 34 2 2" xfId="3044" xr:uid="{00000000-0005-0000-0000-00001A1F0000}"/>
    <cellStyle name="Normal 34 2 2 2" xfId="9776" xr:uid="{00000000-0005-0000-0000-00001B1F0000}"/>
    <cellStyle name="Normal 34 2 2 2 2" xfId="18582" xr:uid="{2620C21D-D0F8-4F87-A90D-4F0CA210A8E8}"/>
    <cellStyle name="Normal 34 2 2 3" xfId="8174" xr:uid="{00000000-0005-0000-0000-00001C1F0000}"/>
    <cellStyle name="Normal 34 2 2 3 2" xfId="16983" xr:uid="{214C09BC-7623-4294-BAD7-F40C91CBA6AD}"/>
    <cellStyle name="Normal 34 2 2 4" xfId="11386" xr:uid="{00000000-0005-0000-0000-00001D1F0000}"/>
    <cellStyle name="Normal 34 2 2 4 2" xfId="20129" xr:uid="{E1D6A3BA-F3A8-4C57-A93F-49B5DCCC0BD4}"/>
    <cellStyle name="Normal 34 2 2 5" xfId="12993" xr:uid="{00000000-0005-0000-0000-00001E1F0000}"/>
    <cellStyle name="Normal 34 2 2 5 2" xfId="21729" xr:uid="{9C0232A8-0F3B-4B9D-9E79-0810A557E9B5}"/>
    <cellStyle name="Normal 34 2 2 6" xfId="15223" xr:uid="{18238B39-45FE-4C6A-B3A9-DFEA460CCA2D}"/>
    <cellStyle name="Normal 34 2 3" xfId="3045" xr:uid="{00000000-0005-0000-0000-00001F1F0000}"/>
    <cellStyle name="Normal 34 2 3 2" xfId="9777" xr:uid="{00000000-0005-0000-0000-0000201F0000}"/>
    <cellStyle name="Normal 34 2 3 2 2" xfId="18583" xr:uid="{5CE177FD-BFC4-4B6E-8F50-9BAFE4F21927}"/>
    <cellStyle name="Normal 34 2 3 3" xfId="8175" xr:uid="{00000000-0005-0000-0000-0000211F0000}"/>
    <cellStyle name="Normal 34 2 3 3 2" xfId="16984" xr:uid="{DC7B541B-3F6F-4BD6-8B1D-69503257254B}"/>
    <cellStyle name="Normal 34 2 3 4" xfId="11387" xr:uid="{00000000-0005-0000-0000-0000221F0000}"/>
    <cellStyle name="Normal 34 2 3 4 2" xfId="20130" xr:uid="{C107C69C-CCC3-4632-90DE-EB3132213EAE}"/>
    <cellStyle name="Normal 34 2 3 5" xfId="12994" xr:uid="{00000000-0005-0000-0000-0000231F0000}"/>
    <cellStyle name="Normal 34 2 3 5 2" xfId="21730" xr:uid="{A4F69039-9093-4F2B-B5A1-97728AFB254F}"/>
    <cellStyle name="Normal 34 2 3 6" xfId="15224" xr:uid="{CCB9D873-A842-42F1-8F01-563AD74F31DD}"/>
    <cellStyle name="Normal 34 2 4" xfId="3046" xr:uid="{00000000-0005-0000-0000-0000241F0000}"/>
    <cellStyle name="Normal 34 2 4 2" xfId="9778" xr:uid="{00000000-0005-0000-0000-0000251F0000}"/>
    <cellStyle name="Normal 34 2 4 2 2" xfId="18584" xr:uid="{6C8C1CB5-D06B-43F9-B2BD-DE5D609777EB}"/>
    <cellStyle name="Normal 34 2 4 3" xfId="8176" xr:uid="{00000000-0005-0000-0000-0000261F0000}"/>
    <cellStyle name="Normal 34 2 4 3 2" xfId="16985" xr:uid="{A659F64D-48BB-4658-B538-58A333C29359}"/>
    <cellStyle name="Normal 34 2 4 4" xfId="11388" xr:uid="{00000000-0005-0000-0000-0000271F0000}"/>
    <cellStyle name="Normal 34 2 4 4 2" xfId="20131" xr:uid="{9EF030F7-D9B5-4816-8183-82BBA256831A}"/>
    <cellStyle name="Normal 34 2 4 5" xfId="12995" xr:uid="{00000000-0005-0000-0000-0000281F0000}"/>
    <cellStyle name="Normal 34 2 4 5 2" xfId="21731" xr:uid="{BCDC4582-CB43-4741-85C3-F1430605C6A2}"/>
    <cellStyle name="Normal 34 2 4 6" xfId="15225" xr:uid="{09A1AA11-D8B8-407C-B5F4-8509AFB7566A}"/>
    <cellStyle name="Normal 34 2 5" xfId="9775" xr:uid="{00000000-0005-0000-0000-0000291F0000}"/>
    <cellStyle name="Normal 34 2 5 2" xfId="18581" xr:uid="{6705255F-190B-436B-9CF2-6E8CAE670D26}"/>
    <cellStyle name="Normal 34 2 6" xfId="8173" xr:uid="{00000000-0005-0000-0000-00002A1F0000}"/>
    <cellStyle name="Normal 34 2 6 2" xfId="16982" xr:uid="{3021CFD4-0381-40E1-A4DB-C2FF0DA8B402}"/>
    <cellStyle name="Normal 34 2 7" xfId="11385" xr:uid="{00000000-0005-0000-0000-00002B1F0000}"/>
    <cellStyle name="Normal 34 2 7 2" xfId="20128" xr:uid="{B7F0DB5B-9AA8-4264-9E15-D0E2356DFF21}"/>
    <cellStyle name="Normal 34 2 8" xfId="12992" xr:uid="{00000000-0005-0000-0000-00002C1F0000}"/>
    <cellStyle name="Normal 34 2 8 2" xfId="21728" xr:uid="{AA978383-FDC5-42CA-A63D-57B5CE9FDCF1}"/>
    <cellStyle name="Normal 34 2 9" xfId="15222" xr:uid="{670EEFE9-81EC-4B76-8FB5-CB4B80417C1E}"/>
    <cellStyle name="Normal 34 3" xfId="3047" xr:uid="{00000000-0005-0000-0000-00002D1F0000}"/>
    <cellStyle name="Normal 35" xfId="3048" xr:uid="{00000000-0005-0000-0000-00002E1F0000}"/>
    <cellStyle name="Normal 35 2" xfId="3049" xr:uid="{00000000-0005-0000-0000-00002F1F0000}"/>
    <cellStyle name="Normal 35 2 10" xfId="12996" xr:uid="{00000000-0005-0000-0000-0000301F0000}"/>
    <cellStyle name="Normal 35 2 10 2" xfId="21732" xr:uid="{84AFE0F6-0AEC-44CD-AB6B-BE9BB60A79F0}"/>
    <cellStyle name="Normal 35 2 11" xfId="15226" xr:uid="{EA12B189-76AE-4A7F-8ED8-ACB9E648961E}"/>
    <cellStyle name="Normal 35 2 2" xfId="3050" xr:uid="{00000000-0005-0000-0000-0000311F0000}"/>
    <cellStyle name="Normal 35 2 2 2" xfId="3051" xr:uid="{00000000-0005-0000-0000-0000321F0000}"/>
    <cellStyle name="Normal 35 2 2 2 2" xfId="9781" xr:uid="{00000000-0005-0000-0000-0000331F0000}"/>
    <cellStyle name="Normal 35 2 2 2 2 2" xfId="18587" xr:uid="{6CBC5384-AE76-4D9C-82E0-7CE263A5DB23}"/>
    <cellStyle name="Normal 35 2 2 2 3" xfId="8179" xr:uid="{00000000-0005-0000-0000-0000341F0000}"/>
    <cellStyle name="Normal 35 2 2 2 3 2" xfId="16988" xr:uid="{6E46981C-26AE-4DFF-9F31-D9F3F46C0C21}"/>
    <cellStyle name="Normal 35 2 2 2 4" xfId="11391" xr:uid="{00000000-0005-0000-0000-0000351F0000}"/>
    <cellStyle name="Normal 35 2 2 2 4 2" xfId="20134" xr:uid="{4A7DEEA5-67C2-4EBB-B009-0E7DC7B71B36}"/>
    <cellStyle name="Normal 35 2 2 2 5" xfId="12998" xr:uid="{00000000-0005-0000-0000-0000361F0000}"/>
    <cellStyle name="Normal 35 2 2 2 5 2" xfId="21734" xr:uid="{23DEB63A-3577-459A-AA7F-FC78DA50EEBE}"/>
    <cellStyle name="Normal 35 2 2 2 6" xfId="15228" xr:uid="{1E954F75-39B2-4683-BDC0-DBE55E670B13}"/>
    <cellStyle name="Normal 35 2 2 3" xfId="3052" xr:uid="{00000000-0005-0000-0000-0000371F0000}"/>
    <cellStyle name="Normal 35 2 2 3 2" xfId="9782" xr:uid="{00000000-0005-0000-0000-0000381F0000}"/>
    <cellStyle name="Normal 35 2 2 3 2 2" xfId="18588" xr:uid="{A3C6FB42-D9F9-4970-87C1-0D01C2A3AD9C}"/>
    <cellStyle name="Normal 35 2 2 3 3" xfId="8180" xr:uid="{00000000-0005-0000-0000-0000391F0000}"/>
    <cellStyle name="Normal 35 2 2 3 3 2" xfId="16989" xr:uid="{ED60D2C4-1E7A-44CA-9D7D-FBF141E23434}"/>
    <cellStyle name="Normal 35 2 2 3 4" xfId="11392" xr:uid="{00000000-0005-0000-0000-00003A1F0000}"/>
    <cellStyle name="Normal 35 2 2 3 4 2" xfId="20135" xr:uid="{2FF026C5-FADB-46F3-A3E2-BCDB68AB34AE}"/>
    <cellStyle name="Normal 35 2 2 3 5" xfId="12999" xr:uid="{00000000-0005-0000-0000-00003B1F0000}"/>
    <cellStyle name="Normal 35 2 2 3 5 2" xfId="21735" xr:uid="{EF0D02FC-4C66-4DCB-A244-9DE83C81372C}"/>
    <cellStyle name="Normal 35 2 2 3 6" xfId="15229" xr:uid="{AC8D996F-0817-4F41-910F-6D6E3E6BAE24}"/>
    <cellStyle name="Normal 35 2 2 4" xfId="3053" xr:uid="{00000000-0005-0000-0000-00003C1F0000}"/>
    <cellStyle name="Normal 35 2 2 4 2" xfId="9783" xr:uid="{00000000-0005-0000-0000-00003D1F0000}"/>
    <cellStyle name="Normal 35 2 2 4 2 2" xfId="18589" xr:uid="{323CE589-2127-4C18-83A3-A67F6762C10C}"/>
    <cellStyle name="Normal 35 2 2 4 3" xfId="8181" xr:uid="{00000000-0005-0000-0000-00003E1F0000}"/>
    <cellStyle name="Normal 35 2 2 4 3 2" xfId="16990" xr:uid="{81E13DDF-26E0-4281-B892-2E5560C59D2F}"/>
    <cellStyle name="Normal 35 2 2 4 4" xfId="11393" xr:uid="{00000000-0005-0000-0000-00003F1F0000}"/>
    <cellStyle name="Normal 35 2 2 4 4 2" xfId="20136" xr:uid="{088FE34F-FECE-442B-BEC9-A514FBA3ADB4}"/>
    <cellStyle name="Normal 35 2 2 4 5" xfId="13000" xr:uid="{00000000-0005-0000-0000-0000401F0000}"/>
    <cellStyle name="Normal 35 2 2 4 5 2" xfId="21736" xr:uid="{7328B4C7-3F34-4677-9C7E-5CB95F2B0473}"/>
    <cellStyle name="Normal 35 2 2 4 6" xfId="15230" xr:uid="{54C71EC4-27ED-4FE9-929F-E443643BF930}"/>
    <cellStyle name="Normal 35 2 2 5" xfId="9780" xr:uid="{00000000-0005-0000-0000-0000411F0000}"/>
    <cellStyle name="Normal 35 2 2 5 2" xfId="18586" xr:uid="{94720A17-B356-40E0-9EAE-36DD73F0D153}"/>
    <cellStyle name="Normal 35 2 2 6" xfId="8178" xr:uid="{00000000-0005-0000-0000-0000421F0000}"/>
    <cellStyle name="Normal 35 2 2 6 2" xfId="16987" xr:uid="{959A1626-1809-4F6F-A56C-22D5A2D530CA}"/>
    <cellStyle name="Normal 35 2 2 7" xfId="11390" xr:uid="{00000000-0005-0000-0000-0000431F0000}"/>
    <cellStyle name="Normal 35 2 2 7 2" xfId="20133" xr:uid="{BF1C0E88-1E6D-4584-BCD0-D918B037C956}"/>
    <cellStyle name="Normal 35 2 2 8" xfId="12997" xr:uid="{00000000-0005-0000-0000-0000441F0000}"/>
    <cellStyle name="Normal 35 2 2 8 2" xfId="21733" xr:uid="{D394DB76-16DE-45C3-9538-B825CC42751A}"/>
    <cellStyle name="Normal 35 2 2 9" xfId="15227" xr:uid="{FF2709C5-CA95-42A2-B1E0-C96D1A897798}"/>
    <cellStyle name="Normal 35 2 3" xfId="3054" xr:uid="{00000000-0005-0000-0000-0000451F0000}"/>
    <cellStyle name="Normal 35 2 3 2" xfId="3055" xr:uid="{00000000-0005-0000-0000-0000461F0000}"/>
    <cellStyle name="Normal 35 2 3 2 2" xfId="9785" xr:uid="{00000000-0005-0000-0000-0000471F0000}"/>
    <cellStyle name="Normal 35 2 3 2 2 2" xfId="18591" xr:uid="{2E079986-D7F7-4DE9-9070-ACE81E7FE3B7}"/>
    <cellStyle name="Normal 35 2 3 2 3" xfId="8183" xr:uid="{00000000-0005-0000-0000-0000481F0000}"/>
    <cellStyle name="Normal 35 2 3 2 3 2" xfId="16992" xr:uid="{FF834257-6E8E-4C43-8803-62AD10437BDD}"/>
    <cellStyle name="Normal 35 2 3 2 4" xfId="11395" xr:uid="{00000000-0005-0000-0000-0000491F0000}"/>
    <cellStyle name="Normal 35 2 3 2 4 2" xfId="20138" xr:uid="{81A4E4F7-FCB4-4362-BD8C-830FC3FB0B17}"/>
    <cellStyle name="Normal 35 2 3 2 5" xfId="13002" xr:uid="{00000000-0005-0000-0000-00004A1F0000}"/>
    <cellStyle name="Normal 35 2 3 2 5 2" xfId="21738" xr:uid="{C4C5B917-DB2E-4647-A31F-BF3765D55B60}"/>
    <cellStyle name="Normal 35 2 3 2 6" xfId="15232" xr:uid="{20FD044A-6ABB-4A00-9A8E-DBA5E18532C1}"/>
    <cellStyle name="Normal 35 2 3 3" xfId="3056" xr:uid="{00000000-0005-0000-0000-00004B1F0000}"/>
    <cellStyle name="Normal 35 2 3 3 2" xfId="9786" xr:uid="{00000000-0005-0000-0000-00004C1F0000}"/>
    <cellStyle name="Normal 35 2 3 3 2 2" xfId="18592" xr:uid="{69A59B60-78B3-4970-A6B6-841F2851A31E}"/>
    <cellStyle name="Normal 35 2 3 3 3" xfId="8184" xr:uid="{00000000-0005-0000-0000-00004D1F0000}"/>
    <cellStyle name="Normal 35 2 3 3 3 2" xfId="16993" xr:uid="{348468C6-6252-4E41-88AC-C2859568F12F}"/>
    <cellStyle name="Normal 35 2 3 3 4" xfId="11396" xr:uid="{00000000-0005-0000-0000-00004E1F0000}"/>
    <cellStyle name="Normal 35 2 3 3 4 2" xfId="20139" xr:uid="{4E2555DC-5C9A-461B-A026-CA45D10DE59D}"/>
    <cellStyle name="Normal 35 2 3 3 5" xfId="13003" xr:uid="{00000000-0005-0000-0000-00004F1F0000}"/>
    <cellStyle name="Normal 35 2 3 3 5 2" xfId="21739" xr:uid="{272DEB08-74D7-4369-963D-AEA1F45C316D}"/>
    <cellStyle name="Normal 35 2 3 3 6" xfId="15233" xr:uid="{EAEDACDF-75ED-42C4-BFE1-2649F7060339}"/>
    <cellStyle name="Normal 35 2 3 4" xfId="3057" xr:uid="{00000000-0005-0000-0000-0000501F0000}"/>
    <cellStyle name="Normal 35 2 3 4 2" xfId="9787" xr:uid="{00000000-0005-0000-0000-0000511F0000}"/>
    <cellStyle name="Normal 35 2 3 4 2 2" xfId="18593" xr:uid="{97D8A6DD-FE8B-42E3-9244-77AB7671E9CB}"/>
    <cellStyle name="Normal 35 2 3 4 3" xfId="8185" xr:uid="{00000000-0005-0000-0000-0000521F0000}"/>
    <cellStyle name="Normal 35 2 3 4 3 2" xfId="16994" xr:uid="{1BC235C9-A378-4534-BE1C-8A9E1415BAD6}"/>
    <cellStyle name="Normal 35 2 3 4 4" xfId="11397" xr:uid="{00000000-0005-0000-0000-0000531F0000}"/>
    <cellStyle name="Normal 35 2 3 4 4 2" xfId="20140" xr:uid="{9148D90F-15EA-4244-8062-A5E3D6AA5897}"/>
    <cellStyle name="Normal 35 2 3 4 5" xfId="13004" xr:uid="{00000000-0005-0000-0000-0000541F0000}"/>
    <cellStyle name="Normal 35 2 3 4 5 2" xfId="21740" xr:uid="{3E6EA4FD-506D-4AFD-B12A-6E51EBD2B3EA}"/>
    <cellStyle name="Normal 35 2 3 4 6" xfId="15234" xr:uid="{3B8BD517-722E-4A48-B525-7F454A3F44EA}"/>
    <cellStyle name="Normal 35 2 3 5" xfId="9784" xr:uid="{00000000-0005-0000-0000-0000551F0000}"/>
    <cellStyle name="Normal 35 2 3 5 2" xfId="18590" xr:uid="{7A459505-8502-4D50-9BDA-CE1F56017161}"/>
    <cellStyle name="Normal 35 2 3 6" xfId="8182" xr:uid="{00000000-0005-0000-0000-0000561F0000}"/>
    <cellStyle name="Normal 35 2 3 6 2" xfId="16991" xr:uid="{2DEDC138-43EF-4D27-B702-D33D0AE8BE8E}"/>
    <cellStyle name="Normal 35 2 3 7" xfId="11394" xr:uid="{00000000-0005-0000-0000-0000571F0000}"/>
    <cellStyle name="Normal 35 2 3 7 2" xfId="20137" xr:uid="{0E655C99-5844-4CB9-BA18-8D250F91CB2E}"/>
    <cellStyle name="Normal 35 2 3 8" xfId="13001" xr:uid="{00000000-0005-0000-0000-0000581F0000}"/>
    <cellStyle name="Normal 35 2 3 8 2" xfId="21737" xr:uid="{06FE88EF-B1CE-4A9D-A3BC-24B65AAE655D}"/>
    <cellStyle name="Normal 35 2 3 9" xfId="15231" xr:uid="{36D65A5F-87FB-40BA-AA39-AE1AFD1BE3F2}"/>
    <cellStyle name="Normal 35 2 4" xfId="3058" xr:uid="{00000000-0005-0000-0000-0000591F0000}"/>
    <cellStyle name="Normal 35 2 4 2" xfId="9788" xr:uid="{00000000-0005-0000-0000-00005A1F0000}"/>
    <cellStyle name="Normal 35 2 4 2 2" xfId="18594" xr:uid="{0CF3F14F-C031-420A-9529-B32C617102BC}"/>
    <cellStyle name="Normal 35 2 4 3" xfId="8186" xr:uid="{00000000-0005-0000-0000-00005B1F0000}"/>
    <cellStyle name="Normal 35 2 4 3 2" xfId="16995" xr:uid="{7F364940-A3D4-4B7B-8C71-52DF45CDA3E9}"/>
    <cellStyle name="Normal 35 2 4 4" xfId="11398" xr:uid="{00000000-0005-0000-0000-00005C1F0000}"/>
    <cellStyle name="Normal 35 2 4 4 2" xfId="20141" xr:uid="{26042BDD-A9D2-4F43-BB5E-0726B1D8E8D1}"/>
    <cellStyle name="Normal 35 2 4 5" xfId="13005" xr:uid="{00000000-0005-0000-0000-00005D1F0000}"/>
    <cellStyle name="Normal 35 2 4 5 2" xfId="21741" xr:uid="{AAB2D327-BC27-40BA-887A-8F5A5987E9F7}"/>
    <cellStyle name="Normal 35 2 4 6" xfId="15235" xr:uid="{2E101929-698B-412B-937C-833376CE2748}"/>
    <cellStyle name="Normal 35 2 5" xfId="3059" xr:uid="{00000000-0005-0000-0000-00005E1F0000}"/>
    <cellStyle name="Normal 35 2 5 2" xfId="9789" xr:uid="{00000000-0005-0000-0000-00005F1F0000}"/>
    <cellStyle name="Normal 35 2 5 2 2" xfId="18595" xr:uid="{FD947B33-A08F-4D69-A910-DD565704F5B5}"/>
    <cellStyle name="Normal 35 2 5 3" xfId="8187" xr:uid="{00000000-0005-0000-0000-0000601F0000}"/>
    <cellStyle name="Normal 35 2 5 3 2" xfId="16996" xr:uid="{9E6C20E3-72D4-41A8-BDB6-0920C44ED963}"/>
    <cellStyle name="Normal 35 2 5 4" xfId="11399" xr:uid="{00000000-0005-0000-0000-0000611F0000}"/>
    <cellStyle name="Normal 35 2 5 4 2" xfId="20142" xr:uid="{7DF92A79-0BD4-4291-B947-2340DF2412B1}"/>
    <cellStyle name="Normal 35 2 5 5" xfId="13006" xr:uid="{00000000-0005-0000-0000-0000621F0000}"/>
    <cellStyle name="Normal 35 2 5 5 2" xfId="21742" xr:uid="{560C431D-886F-45FD-9971-744AF931F1E4}"/>
    <cellStyle name="Normal 35 2 5 6" xfId="15236" xr:uid="{E33B11BB-A769-4BA7-B721-AFC99FD8DD9B}"/>
    <cellStyle name="Normal 35 2 6" xfId="3060" xr:uid="{00000000-0005-0000-0000-0000631F0000}"/>
    <cellStyle name="Normal 35 2 6 2" xfId="9790" xr:uid="{00000000-0005-0000-0000-0000641F0000}"/>
    <cellStyle name="Normal 35 2 6 2 2" xfId="18596" xr:uid="{38AF0678-EC5D-4927-ABC4-C05B83A32CB8}"/>
    <cellStyle name="Normal 35 2 6 3" xfId="8188" xr:uid="{00000000-0005-0000-0000-0000651F0000}"/>
    <cellStyle name="Normal 35 2 6 3 2" xfId="16997" xr:uid="{DFF51460-241B-4931-9D67-780A2F34ED6D}"/>
    <cellStyle name="Normal 35 2 6 4" xfId="11400" xr:uid="{00000000-0005-0000-0000-0000661F0000}"/>
    <cellStyle name="Normal 35 2 6 4 2" xfId="20143" xr:uid="{BA0C61E9-B4A3-404B-AAED-5A0058BA6883}"/>
    <cellStyle name="Normal 35 2 6 5" xfId="13007" xr:uid="{00000000-0005-0000-0000-0000671F0000}"/>
    <cellStyle name="Normal 35 2 6 5 2" xfId="21743" xr:uid="{D2F50483-589C-43FC-8B3F-153483C4FCF4}"/>
    <cellStyle name="Normal 35 2 6 6" xfId="15237" xr:uid="{1AE29A1F-2BA4-431D-9E3D-C4302C2BCBE5}"/>
    <cellStyle name="Normal 35 2 7" xfId="9779" xr:uid="{00000000-0005-0000-0000-0000681F0000}"/>
    <cellStyle name="Normal 35 2 7 2" xfId="18585" xr:uid="{C790F0E6-9FEB-4F31-91B2-B94BD98C4742}"/>
    <cellStyle name="Normal 35 2 8" xfId="8177" xr:uid="{00000000-0005-0000-0000-0000691F0000}"/>
    <cellStyle name="Normal 35 2 8 2" xfId="16986" xr:uid="{54EB01A8-85D4-4975-BA67-56892584720A}"/>
    <cellStyle name="Normal 35 2 9" xfId="11389" xr:uid="{00000000-0005-0000-0000-00006A1F0000}"/>
    <cellStyle name="Normal 35 2 9 2" xfId="20132" xr:uid="{CD0AC8BA-4132-4F26-89B2-B037783FE423}"/>
    <cellStyle name="Normal 35 3" xfId="3061" xr:uid="{00000000-0005-0000-0000-00006B1F0000}"/>
    <cellStyle name="Normal 35 3 2" xfId="3062" xr:uid="{00000000-0005-0000-0000-00006C1F0000}"/>
    <cellStyle name="Normal 35 3 2 2" xfId="9792" xr:uid="{00000000-0005-0000-0000-00006D1F0000}"/>
    <cellStyle name="Normal 35 3 2 2 2" xfId="18598" xr:uid="{2D82FAEA-B70A-46DE-9D0F-97B695428101}"/>
    <cellStyle name="Normal 35 3 2 3" xfId="8190" xr:uid="{00000000-0005-0000-0000-00006E1F0000}"/>
    <cellStyle name="Normal 35 3 2 3 2" xfId="16999" xr:uid="{ED65D054-61C8-4A9B-B981-C75CF8DB6A1D}"/>
    <cellStyle name="Normal 35 3 2 4" xfId="11402" xr:uid="{00000000-0005-0000-0000-00006F1F0000}"/>
    <cellStyle name="Normal 35 3 2 4 2" xfId="20145" xr:uid="{9D2239DF-574E-4DD9-B4B9-24B136ADDF6F}"/>
    <cellStyle name="Normal 35 3 2 5" xfId="13009" xr:uid="{00000000-0005-0000-0000-0000701F0000}"/>
    <cellStyle name="Normal 35 3 2 5 2" xfId="21745" xr:uid="{7D1F166F-F14F-4C1B-98B7-B340D35AE47C}"/>
    <cellStyle name="Normal 35 3 2 6" xfId="15239" xr:uid="{72787548-A0D9-4BFC-A305-1B2FD68366B5}"/>
    <cellStyle name="Normal 35 3 3" xfId="3063" xr:uid="{00000000-0005-0000-0000-0000711F0000}"/>
    <cellStyle name="Normal 35 3 3 2" xfId="9793" xr:uid="{00000000-0005-0000-0000-0000721F0000}"/>
    <cellStyle name="Normal 35 3 3 2 2" xfId="18599" xr:uid="{83F4494D-95D8-470D-9277-D4CDEFD68E13}"/>
    <cellStyle name="Normal 35 3 3 3" xfId="8191" xr:uid="{00000000-0005-0000-0000-0000731F0000}"/>
    <cellStyle name="Normal 35 3 3 3 2" xfId="17000" xr:uid="{7B5EB3CC-CBF3-427D-9227-2163086DF5A6}"/>
    <cellStyle name="Normal 35 3 3 4" xfId="11403" xr:uid="{00000000-0005-0000-0000-0000741F0000}"/>
    <cellStyle name="Normal 35 3 3 4 2" xfId="20146" xr:uid="{F83E9713-62BF-4AB1-B05F-0D57689558E0}"/>
    <cellStyle name="Normal 35 3 3 5" xfId="13010" xr:uid="{00000000-0005-0000-0000-0000751F0000}"/>
    <cellStyle name="Normal 35 3 3 5 2" xfId="21746" xr:uid="{DCED7A78-39EC-4774-9B55-E3D122EDEBAE}"/>
    <cellStyle name="Normal 35 3 3 6" xfId="15240" xr:uid="{55C8A615-6140-42C2-A623-CB7AA1CCC6A5}"/>
    <cellStyle name="Normal 35 3 4" xfId="3064" xr:uid="{00000000-0005-0000-0000-0000761F0000}"/>
    <cellStyle name="Normal 35 3 4 2" xfId="9794" xr:uid="{00000000-0005-0000-0000-0000771F0000}"/>
    <cellStyle name="Normal 35 3 4 2 2" xfId="18600" xr:uid="{78860FB7-31AC-439B-AC96-A4B48223563A}"/>
    <cellStyle name="Normal 35 3 4 3" xfId="8192" xr:uid="{00000000-0005-0000-0000-0000781F0000}"/>
    <cellStyle name="Normal 35 3 4 3 2" xfId="17001" xr:uid="{977E2684-8CDC-437E-9905-3CB3E51EF3B2}"/>
    <cellStyle name="Normal 35 3 4 4" xfId="11404" xr:uid="{00000000-0005-0000-0000-0000791F0000}"/>
    <cellStyle name="Normal 35 3 4 4 2" xfId="20147" xr:uid="{664C4FF7-2A82-4902-8D1B-C16533C64D2C}"/>
    <cellStyle name="Normal 35 3 4 5" xfId="13011" xr:uid="{00000000-0005-0000-0000-00007A1F0000}"/>
    <cellStyle name="Normal 35 3 4 5 2" xfId="21747" xr:uid="{13C1BCD4-3FF8-42EE-8E3B-7396BFA09B18}"/>
    <cellStyle name="Normal 35 3 4 6" xfId="15241" xr:uid="{7C430554-7A53-4688-8610-D87A77F71C3D}"/>
    <cellStyle name="Normal 35 3 5" xfId="9791" xr:uid="{00000000-0005-0000-0000-00007B1F0000}"/>
    <cellStyle name="Normal 35 3 5 2" xfId="18597" xr:uid="{0AEAEFB0-7998-4878-8636-2EFAE20DB12D}"/>
    <cellStyle name="Normal 35 3 6" xfId="8189" xr:uid="{00000000-0005-0000-0000-00007C1F0000}"/>
    <cellStyle name="Normal 35 3 6 2" xfId="16998" xr:uid="{2050A577-9C95-4DA9-845A-2A49786ACDF8}"/>
    <cellStyle name="Normal 35 3 7" xfId="11401" xr:uid="{00000000-0005-0000-0000-00007D1F0000}"/>
    <cellStyle name="Normal 35 3 7 2" xfId="20144" xr:uid="{A3AE3112-3FDE-45D2-83E3-3C323F88951D}"/>
    <cellStyle name="Normal 35 3 8" xfId="13008" xr:uid="{00000000-0005-0000-0000-00007E1F0000}"/>
    <cellStyle name="Normal 35 3 8 2" xfId="21744" xr:uid="{234C7FD3-ABA5-48CF-863A-86A11184BD32}"/>
    <cellStyle name="Normal 35 3 9" xfId="15238" xr:uid="{A69125BD-4494-4094-83D8-A5F57BF86CEE}"/>
    <cellStyle name="Normal 35 4" xfId="3065" xr:uid="{00000000-0005-0000-0000-00007F1F0000}"/>
    <cellStyle name="Normal 36" xfId="3066" xr:uid="{00000000-0005-0000-0000-0000801F0000}"/>
    <cellStyle name="Normal 36 2" xfId="3067" xr:uid="{00000000-0005-0000-0000-0000811F0000}"/>
    <cellStyle name="Normal 36 2 10" xfId="13012" xr:uid="{00000000-0005-0000-0000-0000821F0000}"/>
    <cellStyle name="Normal 36 2 10 2" xfId="21748" xr:uid="{61B4FBE0-9780-41B2-AA2E-C3704C88C06D}"/>
    <cellStyle name="Normal 36 2 11" xfId="15242" xr:uid="{BD7249E4-B8F1-4DD7-8CE3-2A79575F32A9}"/>
    <cellStyle name="Normal 36 2 2" xfId="3068" xr:uid="{00000000-0005-0000-0000-0000831F0000}"/>
    <cellStyle name="Normal 36 2 2 2" xfId="3069" xr:uid="{00000000-0005-0000-0000-0000841F0000}"/>
    <cellStyle name="Normal 36 2 2 2 2" xfId="9797" xr:uid="{00000000-0005-0000-0000-0000851F0000}"/>
    <cellStyle name="Normal 36 2 2 2 2 2" xfId="18603" xr:uid="{10E5FA4E-D45C-4C10-8B07-735BEBEBDF36}"/>
    <cellStyle name="Normal 36 2 2 2 3" xfId="8195" xr:uid="{00000000-0005-0000-0000-0000861F0000}"/>
    <cellStyle name="Normal 36 2 2 2 3 2" xfId="17004" xr:uid="{11109F1C-3A0A-442B-849F-BC511195AFD3}"/>
    <cellStyle name="Normal 36 2 2 2 4" xfId="11407" xr:uid="{00000000-0005-0000-0000-0000871F0000}"/>
    <cellStyle name="Normal 36 2 2 2 4 2" xfId="20150" xr:uid="{19BDF77B-E14A-4989-9BF0-5024043BBBE7}"/>
    <cellStyle name="Normal 36 2 2 2 5" xfId="13014" xr:uid="{00000000-0005-0000-0000-0000881F0000}"/>
    <cellStyle name="Normal 36 2 2 2 5 2" xfId="21750" xr:uid="{E32873B4-35AD-43BC-8C82-D38C01EF7DD6}"/>
    <cellStyle name="Normal 36 2 2 2 6" xfId="15244" xr:uid="{596E2EE1-6AF3-4759-A955-FB6A1CC04DD1}"/>
    <cellStyle name="Normal 36 2 2 3" xfId="3070" xr:uid="{00000000-0005-0000-0000-0000891F0000}"/>
    <cellStyle name="Normal 36 2 2 3 2" xfId="9798" xr:uid="{00000000-0005-0000-0000-00008A1F0000}"/>
    <cellStyle name="Normal 36 2 2 3 2 2" xfId="18604" xr:uid="{A70DB8A2-8AF8-47E7-8DBC-E4D393C27895}"/>
    <cellStyle name="Normal 36 2 2 3 3" xfId="8196" xr:uid="{00000000-0005-0000-0000-00008B1F0000}"/>
    <cellStyle name="Normal 36 2 2 3 3 2" xfId="17005" xr:uid="{1F2A7DDA-E559-4BB0-8C98-7CA7EC0B00A7}"/>
    <cellStyle name="Normal 36 2 2 3 4" xfId="11408" xr:uid="{00000000-0005-0000-0000-00008C1F0000}"/>
    <cellStyle name="Normal 36 2 2 3 4 2" xfId="20151" xr:uid="{E590ECE0-6264-41FD-9A0D-3A217125E44C}"/>
    <cellStyle name="Normal 36 2 2 3 5" xfId="13015" xr:uid="{00000000-0005-0000-0000-00008D1F0000}"/>
    <cellStyle name="Normal 36 2 2 3 5 2" xfId="21751" xr:uid="{6C6A5CE2-0877-4946-809F-B4C1F5ACE4C7}"/>
    <cellStyle name="Normal 36 2 2 3 6" xfId="15245" xr:uid="{E896BB13-3B0D-4812-80B5-340C09133763}"/>
    <cellStyle name="Normal 36 2 2 4" xfId="3071" xr:uid="{00000000-0005-0000-0000-00008E1F0000}"/>
    <cellStyle name="Normal 36 2 2 4 2" xfId="9799" xr:uid="{00000000-0005-0000-0000-00008F1F0000}"/>
    <cellStyle name="Normal 36 2 2 4 2 2" xfId="18605" xr:uid="{20D6A8A4-9491-460E-A195-861659EC02EB}"/>
    <cellStyle name="Normal 36 2 2 4 3" xfId="8197" xr:uid="{00000000-0005-0000-0000-0000901F0000}"/>
    <cellStyle name="Normal 36 2 2 4 3 2" xfId="17006" xr:uid="{5D217257-F5DE-43A3-BAD5-465058138482}"/>
    <cellStyle name="Normal 36 2 2 4 4" xfId="11409" xr:uid="{00000000-0005-0000-0000-0000911F0000}"/>
    <cellStyle name="Normal 36 2 2 4 4 2" xfId="20152" xr:uid="{23207477-02B7-4ABF-BCEF-7629E79477A8}"/>
    <cellStyle name="Normal 36 2 2 4 5" xfId="13016" xr:uid="{00000000-0005-0000-0000-0000921F0000}"/>
    <cellStyle name="Normal 36 2 2 4 5 2" xfId="21752" xr:uid="{D01A1F0A-7222-4BDE-B521-6073F942FB18}"/>
    <cellStyle name="Normal 36 2 2 4 6" xfId="15246" xr:uid="{F29D0C2E-BF5C-4A06-B11A-424AE54A5F9C}"/>
    <cellStyle name="Normal 36 2 2 5" xfId="9796" xr:uid="{00000000-0005-0000-0000-0000931F0000}"/>
    <cellStyle name="Normal 36 2 2 5 2" xfId="18602" xr:uid="{B248F451-97D8-4CA0-B133-90B738295F56}"/>
    <cellStyle name="Normal 36 2 2 6" xfId="8194" xr:uid="{00000000-0005-0000-0000-0000941F0000}"/>
    <cellStyle name="Normal 36 2 2 6 2" xfId="17003" xr:uid="{10C99E40-3186-4D58-8A94-7C4B03BBC640}"/>
    <cellStyle name="Normal 36 2 2 7" xfId="11406" xr:uid="{00000000-0005-0000-0000-0000951F0000}"/>
    <cellStyle name="Normal 36 2 2 7 2" xfId="20149" xr:uid="{AA03A8F9-E571-45A6-8E06-5CACDAF4D29B}"/>
    <cellStyle name="Normal 36 2 2 8" xfId="13013" xr:uid="{00000000-0005-0000-0000-0000961F0000}"/>
    <cellStyle name="Normal 36 2 2 8 2" xfId="21749" xr:uid="{AE5CB4E4-9573-46D2-8F2D-D1B489632C2D}"/>
    <cellStyle name="Normal 36 2 2 9" xfId="15243" xr:uid="{ECB50DCC-175F-4F68-8B61-4EED715E766A}"/>
    <cellStyle name="Normal 36 2 3" xfId="3072" xr:uid="{00000000-0005-0000-0000-0000971F0000}"/>
    <cellStyle name="Normal 36 2 3 2" xfId="3073" xr:uid="{00000000-0005-0000-0000-0000981F0000}"/>
    <cellStyle name="Normal 36 2 3 2 2" xfId="9801" xr:uid="{00000000-0005-0000-0000-0000991F0000}"/>
    <cellStyle name="Normal 36 2 3 2 2 2" xfId="18607" xr:uid="{3C7B512B-FF88-412D-B1DD-5903CE8FAD8A}"/>
    <cellStyle name="Normal 36 2 3 2 3" xfId="8199" xr:uid="{00000000-0005-0000-0000-00009A1F0000}"/>
    <cellStyle name="Normal 36 2 3 2 3 2" xfId="17008" xr:uid="{3D1875DF-BA25-40A8-83A4-61B22E09C85F}"/>
    <cellStyle name="Normal 36 2 3 2 4" xfId="11411" xr:uid="{00000000-0005-0000-0000-00009B1F0000}"/>
    <cellStyle name="Normal 36 2 3 2 4 2" xfId="20154" xr:uid="{4F0D4CA5-42BA-4009-BBAF-CD9F55F93C46}"/>
    <cellStyle name="Normal 36 2 3 2 5" xfId="13018" xr:uid="{00000000-0005-0000-0000-00009C1F0000}"/>
    <cellStyle name="Normal 36 2 3 2 5 2" xfId="21754" xr:uid="{AC0604B0-D203-427D-9034-94AA02177F51}"/>
    <cellStyle name="Normal 36 2 3 2 6" xfId="15248" xr:uid="{B134C79F-5B7D-4982-8DDA-F962A2F3D2DC}"/>
    <cellStyle name="Normal 36 2 3 3" xfId="3074" xr:uid="{00000000-0005-0000-0000-00009D1F0000}"/>
    <cellStyle name="Normal 36 2 3 3 2" xfId="9802" xr:uid="{00000000-0005-0000-0000-00009E1F0000}"/>
    <cellStyle name="Normal 36 2 3 3 2 2" xfId="18608" xr:uid="{ACA7FA14-2410-43AD-992C-BB3B3FE33E6E}"/>
    <cellStyle name="Normal 36 2 3 3 3" xfId="8200" xr:uid="{00000000-0005-0000-0000-00009F1F0000}"/>
    <cellStyle name="Normal 36 2 3 3 3 2" xfId="17009" xr:uid="{967FDACA-B170-451F-BF4F-6C8880FFA066}"/>
    <cellStyle name="Normal 36 2 3 3 4" xfId="11412" xr:uid="{00000000-0005-0000-0000-0000A01F0000}"/>
    <cellStyle name="Normal 36 2 3 3 4 2" xfId="20155" xr:uid="{5DDA7364-D689-4093-8B02-20DEF0880BC0}"/>
    <cellStyle name="Normal 36 2 3 3 5" xfId="13019" xr:uid="{00000000-0005-0000-0000-0000A11F0000}"/>
    <cellStyle name="Normal 36 2 3 3 5 2" xfId="21755" xr:uid="{767FAB38-3FC5-4CAC-A7C4-3033D3436457}"/>
    <cellStyle name="Normal 36 2 3 3 6" xfId="15249" xr:uid="{E2E6D30B-EA6C-432E-9446-7783AAACA044}"/>
    <cellStyle name="Normal 36 2 3 4" xfId="3075" xr:uid="{00000000-0005-0000-0000-0000A21F0000}"/>
    <cellStyle name="Normal 36 2 3 4 2" xfId="9803" xr:uid="{00000000-0005-0000-0000-0000A31F0000}"/>
    <cellStyle name="Normal 36 2 3 4 2 2" xfId="18609" xr:uid="{920F7763-1950-4D68-8F1B-55B6F6896791}"/>
    <cellStyle name="Normal 36 2 3 4 3" xfId="8201" xr:uid="{00000000-0005-0000-0000-0000A41F0000}"/>
    <cellStyle name="Normal 36 2 3 4 3 2" xfId="17010" xr:uid="{A9BABA0C-D9B8-4563-9A34-ACAE60094582}"/>
    <cellStyle name="Normal 36 2 3 4 4" xfId="11413" xr:uid="{00000000-0005-0000-0000-0000A51F0000}"/>
    <cellStyle name="Normal 36 2 3 4 4 2" xfId="20156" xr:uid="{48D0DB13-5D12-4FA4-B70C-4B85695D64E4}"/>
    <cellStyle name="Normal 36 2 3 4 5" xfId="13020" xr:uid="{00000000-0005-0000-0000-0000A61F0000}"/>
    <cellStyle name="Normal 36 2 3 4 5 2" xfId="21756" xr:uid="{680C7633-71F7-4D14-AA7A-B7BA72E8C3AD}"/>
    <cellStyle name="Normal 36 2 3 4 6" xfId="15250" xr:uid="{B7F950F0-4E36-4FAB-B223-19DBE8A92E77}"/>
    <cellStyle name="Normal 36 2 3 5" xfId="9800" xr:uid="{00000000-0005-0000-0000-0000A71F0000}"/>
    <cellStyle name="Normal 36 2 3 5 2" xfId="18606" xr:uid="{D66E59DC-9A0B-44E4-8406-6124B27E1E04}"/>
    <cellStyle name="Normal 36 2 3 6" xfId="8198" xr:uid="{00000000-0005-0000-0000-0000A81F0000}"/>
    <cellStyle name="Normal 36 2 3 6 2" xfId="17007" xr:uid="{13391E0E-779A-4B99-9B17-E15B087182F1}"/>
    <cellStyle name="Normal 36 2 3 7" xfId="11410" xr:uid="{00000000-0005-0000-0000-0000A91F0000}"/>
    <cellStyle name="Normal 36 2 3 7 2" xfId="20153" xr:uid="{A1244EA7-CC2D-4842-8EF4-32827EB52360}"/>
    <cellStyle name="Normal 36 2 3 8" xfId="13017" xr:uid="{00000000-0005-0000-0000-0000AA1F0000}"/>
    <cellStyle name="Normal 36 2 3 8 2" xfId="21753" xr:uid="{A5A03C56-4F1C-4019-8295-15CE899E0EB0}"/>
    <cellStyle name="Normal 36 2 3 9" xfId="15247" xr:uid="{65E09843-7153-46CE-845C-FDAE1010B000}"/>
    <cellStyle name="Normal 36 2 4" xfId="3076" xr:uid="{00000000-0005-0000-0000-0000AB1F0000}"/>
    <cellStyle name="Normal 36 2 4 2" xfId="9804" xr:uid="{00000000-0005-0000-0000-0000AC1F0000}"/>
    <cellStyle name="Normal 36 2 4 2 2" xfId="18610" xr:uid="{4EDA66DA-60DC-4AFA-8C35-991F29D57C4D}"/>
    <cellStyle name="Normal 36 2 4 3" xfId="8202" xr:uid="{00000000-0005-0000-0000-0000AD1F0000}"/>
    <cellStyle name="Normal 36 2 4 3 2" xfId="17011" xr:uid="{61626265-AFFB-4B6C-B2C2-906D52FC58E9}"/>
    <cellStyle name="Normal 36 2 4 4" xfId="11414" xr:uid="{00000000-0005-0000-0000-0000AE1F0000}"/>
    <cellStyle name="Normal 36 2 4 4 2" xfId="20157" xr:uid="{35A37499-D054-4C92-B7DA-C924CAEC33E6}"/>
    <cellStyle name="Normal 36 2 4 5" xfId="13021" xr:uid="{00000000-0005-0000-0000-0000AF1F0000}"/>
    <cellStyle name="Normal 36 2 4 5 2" xfId="21757" xr:uid="{CE6EF1B7-8FFC-424A-A4E7-3CCD53889AAB}"/>
    <cellStyle name="Normal 36 2 4 6" xfId="15251" xr:uid="{0C9E958A-FCF6-4117-A0E9-FC5ECB9CA877}"/>
    <cellStyle name="Normal 36 2 5" xfId="3077" xr:uid="{00000000-0005-0000-0000-0000B01F0000}"/>
    <cellStyle name="Normal 36 2 5 2" xfId="9805" xr:uid="{00000000-0005-0000-0000-0000B11F0000}"/>
    <cellStyle name="Normal 36 2 5 2 2" xfId="18611" xr:uid="{5A20A6CC-3331-46D8-8263-B01793C4E475}"/>
    <cellStyle name="Normal 36 2 5 3" xfId="8203" xr:uid="{00000000-0005-0000-0000-0000B21F0000}"/>
    <cellStyle name="Normal 36 2 5 3 2" xfId="17012" xr:uid="{EB0A0332-2A0C-4897-88E3-E48B2CAE2F4D}"/>
    <cellStyle name="Normal 36 2 5 4" xfId="11415" xr:uid="{00000000-0005-0000-0000-0000B31F0000}"/>
    <cellStyle name="Normal 36 2 5 4 2" xfId="20158" xr:uid="{E56036C0-3EAA-4798-9216-0EEB0D55AEB6}"/>
    <cellStyle name="Normal 36 2 5 5" xfId="13022" xr:uid="{00000000-0005-0000-0000-0000B41F0000}"/>
    <cellStyle name="Normal 36 2 5 5 2" xfId="21758" xr:uid="{8DE7EE79-DEB6-4D0E-B184-BD5AC0A84925}"/>
    <cellStyle name="Normal 36 2 5 6" xfId="15252" xr:uid="{E2A33DE6-07E1-48A0-BA70-EA15DF51DCB5}"/>
    <cellStyle name="Normal 36 2 6" xfId="3078" xr:uid="{00000000-0005-0000-0000-0000B51F0000}"/>
    <cellStyle name="Normal 36 2 6 2" xfId="9806" xr:uid="{00000000-0005-0000-0000-0000B61F0000}"/>
    <cellStyle name="Normal 36 2 6 2 2" xfId="18612" xr:uid="{E2857994-DE65-4BF1-ABC0-509F102BC0BD}"/>
    <cellStyle name="Normal 36 2 6 3" xfId="8204" xr:uid="{00000000-0005-0000-0000-0000B71F0000}"/>
    <cellStyle name="Normal 36 2 6 3 2" xfId="17013" xr:uid="{2BB98CAB-CCA0-4469-A211-9C4360346DF6}"/>
    <cellStyle name="Normal 36 2 6 4" xfId="11416" xr:uid="{00000000-0005-0000-0000-0000B81F0000}"/>
    <cellStyle name="Normal 36 2 6 4 2" xfId="20159" xr:uid="{026537B5-4AE2-45DF-BE7E-EE18125B1CF1}"/>
    <cellStyle name="Normal 36 2 6 5" xfId="13023" xr:uid="{00000000-0005-0000-0000-0000B91F0000}"/>
    <cellStyle name="Normal 36 2 6 5 2" xfId="21759" xr:uid="{A88C9212-197E-4A93-B3B9-A6233D558A4E}"/>
    <cellStyle name="Normal 36 2 6 6" xfId="15253" xr:uid="{71F1C0BB-0555-4A25-8910-E3473FFF5B72}"/>
    <cellStyle name="Normal 36 2 7" xfId="9795" xr:uid="{00000000-0005-0000-0000-0000BA1F0000}"/>
    <cellStyle name="Normal 36 2 7 2" xfId="18601" xr:uid="{E216F09A-5EC0-4943-BB12-1697AA18AB15}"/>
    <cellStyle name="Normal 36 2 8" xfId="8193" xr:uid="{00000000-0005-0000-0000-0000BB1F0000}"/>
    <cellStyle name="Normal 36 2 8 2" xfId="17002" xr:uid="{F3815E5A-7718-43CC-A3E0-4159C312136F}"/>
    <cellStyle name="Normal 36 2 9" xfId="11405" xr:uid="{00000000-0005-0000-0000-0000BC1F0000}"/>
    <cellStyle name="Normal 36 2 9 2" xfId="20148" xr:uid="{86CA2200-8EDD-4DF0-B502-4D91CAAA4CA8}"/>
    <cellStyle name="Normal 36 3" xfId="3079" xr:uid="{00000000-0005-0000-0000-0000BD1F0000}"/>
    <cellStyle name="Normal 36 3 2" xfId="3080" xr:uid="{00000000-0005-0000-0000-0000BE1F0000}"/>
    <cellStyle name="Normal 36 3 2 2" xfId="9808" xr:uid="{00000000-0005-0000-0000-0000BF1F0000}"/>
    <cellStyle name="Normal 36 3 2 2 2" xfId="18614" xr:uid="{AB7368F7-D69F-412E-8B18-E986943C0E38}"/>
    <cellStyle name="Normal 36 3 2 3" xfId="8206" xr:uid="{00000000-0005-0000-0000-0000C01F0000}"/>
    <cellStyle name="Normal 36 3 2 3 2" xfId="17015" xr:uid="{D1BCA29E-1EAE-4FDF-8167-CA114CAEF81A}"/>
    <cellStyle name="Normal 36 3 2 4" xfId="11418" xr:uid="{00000000-0005-0000-0000-0000C11F0000}"/>
    <cellStyle name="Normal 36 3 2 4 2" xfId="20161" xr:uid="{A1FFB04F-4086-47D0-AF6C-6406BD630A58}"/>
    <cellStyle name="Normal 36 3 2 5" xfId="13025" xr:uid="{00000000-0005-0000-0000-0000C21F0000}"/>
    <cellStyle name="Normal 36 3 2 5 2" xfId="21761" xr:uid="{F820305E-B418-405C-A572-BCBACE0A4C7A}"/>
    <cellStyle name="Normal 36 3 2 6" xfId="15255" xr:uid="{ACCA5D31-DC1A-4914-B9BE-6D90A9C1A586}"/>
    <cellStyle name="Normal 36 3 3" xfId="3081" xr:uid="{00000000-0005-0000-0000-0000C31F0000}"/>
    <cellStyle name="Normal 36 3 3 2" xfId="9809" xr:uid="{00000000-0005-0000-0000-0000C41F0000}"/>
    <cellStyle name="Normal 36 3 3 2 2" xfId="18615" xr:uid="{51666D49-5038-4F50-9D54-0F97F21A585E}"/>
    <cellStyle name="Normal 36 3 3 3" xfId="8207" xr:uid="{00000000-0005-0000-0000-0000C51F0000}"/>
    <cellStyle name="Normal 36 3 3 3 2" xfId="17016" xr:uid="{82DD0890-5BF6-4AA7-9477-B38009A3B5E4}"/>
    <cellStyle name="Normal 36 3 3 4" xfId="11419" xr:uid="{00000000-0005-0000-0000-0000C61F0000}"/>
    <cellStyle name="Normal 36 3 3 4 2" xfId="20162" xr:uid="{69D2EBDA-DDB3-413E-AD0A-207D28A22520}"/>
    <cellStyle name="Normal 36 3 3 5" xfId="13026" xr:uid="{00000000-0005-0000-0000-0000C71F0000}"/>
    <cellStyle name="Normal 36 3 3 5 2" xfId="21762" xr:uid="{621A68E9-7150-4813-ABFD-44F64ACF51F3}"/>
    <cellStyle name="Normal 36 3 3 6" xfId="15256" xr:uid="{C887678B-C99E-411B-A584-F834BF8BC7F2}"/>
    <cellStyle name="Normal 36 3 4" xfId="3082" xr:uid="{00000000-0005-0000-0000-0000C81F0000}"/>
    <cellStyle name="Normal 36 3 4 2" xfId="9810" xr:uid="{00000000-0005-0000-0000-0000C91F0000}"/>
    <cellStyle name="Normal 36 3 4 2 2" xfId="18616" xr:uid="{C4C2C0CA-36D6-4526-A220-B57856950B2B}"/>
    <cellStyle name="Normal 36 3 4 3" xfId="8208" xr:uid="{00000000-0005-0000-0000-0000CA1F0000}"/>
    <cellStyle name="Normal 36 3 4 3 2" xfId="17017" xr:uid="{232E05CA-C93A-47B5-A706-1A4D81C752BF}"/>
    <cellStyle name="Normal 36 3 4 4" xfId="11420" xr:uid="{00000000-0005-0000-0000-0000CB1F0000}"/>
    <cellStyle name="Normal 36 3 4 4 2" xfId="20163" xr:uid="{0280F9C0-7654-4B8A-B683-DE57360E05D0}"/>
    <cellStyle name="Normal 36 3 4 5" xfId="13027" xr:uid="{00000000-0005-0000-0000-0000CC1F0000}"/>
    <cellStyle name="Normal 36 3 4 5 2" xfId="21763" xr:uid="{4773D514-E318-4644-B82D-360293174B64}"/>
    <cellStyle name="Normal 36 3 4 6" xfId="15257" xr:uid="{8AF09689-0D0E-47F8-B3AD-52C92CD2676F}"/>
    <cellStyle name="Normal 36 3 5" xfId="9807" xr:uid="{00000000-0005-0000-0000-0000CD1F0000}"/>
    <cellStyle name="Normal 36 3 5 2" xfId="18613" xr:uid="{64D747F3-2BDF-42EF-BB71-6CE44689E3EE}"/>
    <cellStyle name="Normal 36 3 6" xfId="8205" xr:uid="{00000000-0005-0000-0000-0000CE1F0000}"/>
    <cellStyle name="Normal 36 3 6 2" xfId="17014" xr:uid="{AF9C26C1-A7C3-4293-A3BF-CA8ACE1E3290}"/>
    <cellStyle name="Normal 36 3 7" xfId="11417" xr:uid="{00000000-0005-0000-0000-0000CF1F0000}"/>
    <cellStyle name="Normal 36 3 7 2" xfId="20160" xr:uid="{8801C2D8-B26F-42CD-9212-5CAFA8E4E3DD}"/>
    <cellStyle name="Normal 36 3 8" xfId="13024" xr:uid="{00000000-0005-0000-0000-0000D01F0000}"/>
    <cellStyle name="Normal 36 3 8 2" xfId="21760" xr:uid="{2DE5B46A-8D01-49D5-AD62-2217178E3517}"/>
    <cellStyle name="Normal 36 3 9" xfId="15254" xr:uid="{B788CB18-01C0-466C-BF78-E4DBA5B3A9EB}"/>
    <cellStyle name="Normal 36 4" xfId="3083" xr:uid="{00000000-0005-0000-0000-0000D11F0000}"/>
    <cellStyle name="Normal 366" xfId="149" xr:uid="{00000000-0005-0000-0000-0000D21F0000}"/>
    <cellStyle name="Normal 366 2" xfId="152" xr:uid="{00000000-0005-0000-0000-0000D31F0000}"/>
    <cellStyle name="Normal 366 2 2" xfId="10466" xr:uid="{00000000-0005-0000-0000-0000D41F0000}"/>
    <cellStyle name="Normal 366 2 2 2" xfId="19265" xr:uid="{F26B6991-605D-4EF5-9C72-9FD46379250B}"/>
    <cellStyle name="Normal 366 2 3" xfId="10624" xr:uid="{00000000-0005-0000-0000-0000D51F0000}"/>
    <cellStyle name="Normal 366 2 3 2" xfId="19383" xr:uid="{8FCF2A55-7E43-44CD-BD0C-0D49621A4533}"/>
    <cellStyle name="Normal 366 2 4" xfId="13941" xr:uid="{8E9B035A-768A-4B10-8D21-CF7BB2FE5CF3}"/>
    <cellStyle name="Normal 366 3" xfId="10463" xr:uid="{00000000-0005-0000-0000-0000D61F0000}"/>
    <cellStyle name="Normal 366 3 2" xfId="19262" xr:uid="{3335D741-98F9-4ED8-BA32-0AFF6EB78C6F}"/>
    <cellStyle name="Normal 366 4" xfId="10621" xr:uid="{00000000-0005-0000-0000-0000D71F0000}"/>
    <cellStyle name="Normal 366 4 2" xfId="19380" xr:uid="{F4D56E85-AD79-4672-B10E-0A15041B77A1}"/>
    <cellStyle name="Normal 366 5" xfId="14574" xr:uid="{E6F0FB5E-815D-4376-8CFF-7270341F8343}"/>
    <cellStyle name="Normal 367" xfId="148" xr:uid="{00000000-0005-0000-0000-0000D81F0000}"/>
    <cellStyle name="Normal 367 2" xfId="151" xr:uid="{00000000-0005-0000-0000-0000D91F0000}"/>
    <cellStyle name="Normal 367 2 2" xfId="10465" xr:uid="{00000000-0005-0000-0000-0000DA1F0000}"/>
    <cellStyle name="Normal 367 2 2 2" xfId="19264" xr:uid="{5DACE99E-BE50-454C-B8F8-F1FE5B157234}"/>
    <cellStyle name="Normal 367 2 3" xfId="10623" xr:uid="{00000000-0005-0000-0000-0000DB1F0000}"/>
    <cellStyle name="Normal 367 2 3 2" xfId="19382" xr:uid="{E2082FC9-0D7B-45C8-9621-43D008D21D3E}"/>
    <cellStyle name="Normal 367 2 4" xfId="14745" xr:uid="{CAA2CBF8-C329-46A3-8902-3AD2813DEE34}"/>
    <cellStyle name="Normal 367 3" xfId="10462" xr:uid="{00000000-0005-0000-0000-0000DC1F0000}"/>
    <cellStyle name="Normal 367 3 2" xfId="19261" xr:uid="{1839A338-22E9-4A09-8C1A-E79E01C884A0}"/>
    <cellStyle name="Normal 367 4" xfId="10620" xr:uid="{00000000-0005-0000-0000-0000DD1F0000}"/>
    <cellStyle name="Normal 367 4 2" xfId="19379" xr:uid="{636D3B38-50B0-45C4-89F9-335CEEA549CB}"/>
    <cellStyle name="Normal 367 5" xfId="14575" xr:uid="{E70E00A4-CF77-4529-A94C-AF1D4EE490E0}"/>
    <cellStyle name="Normal 37" xfId="3084" xr:uid="{00000000-0005-0000-0000-0000DE1F0000}"/>
    <cellStyle name="Normal 37 2" xfId="3085" xr:uid="{00000000-0005-0000-0000-0000DF1F0000}"/>
    <cellStyle name="Normal 37 2 10" xfId="13028" xr:uid="{00000000-0005-0000-0000-0000E01F0000}"/>
    <cellStyle name="Normal 37 2 10 2" xfId="21764" xr:uid="{045FEB1A-D82A-43F4-B02C-3BDB541048FE}"/>
    <cellStyle name="Normal 37 2 11" xfId="15258" xr:uid="{3FFB3462-28BA-49F5-A49C-7285A1E93D02}"/>
    <cellStyle name="Normal 37 2 2" xfId="3086" xr:uid="{00000000-0005-0000-0000-0000E11F0000}"/>
    <cellStyle name="Normal 37 2 2 2" xfId="3087" xr:uid="{00000000-0005-0000-0000-0000E21F0000}"/>
    <cellStyle name="Normal 37 2 2 2 2" xfId="9813" xr:uid="{00000000-0005-0000-0000-0000E31F0000}"/>
    <cellStyle name="Normal 37 2 2 2 2 2" xfId="18619" xr:uid="{8E2F90C8-7D67-4ED5-B078-3ECE1F807558}"/>
    <cellStyle name="Normal 37 2 2 2 3" xfId="8211" xr:uid="{00000000-0005-0000-0000-0000E41F0000}"/>
    <cellStyle name="Normal 37 2 2 2 3 2" xfId="17020" xr:uid="{59092C86-BAAB-4F3F-96DC-2D0CD2C690D3}"/>
    <cellStyle name="Normal 37 2 2 2 4" xfId="11423" xr:uid="{00000000-0005-0000-0000-0000E51F0000}"/>
    <cellStyle name="Normal 37 2 2 2 4 2" xfId="20166" xr:uid="{EF8B9A83-70EE-4546-9A3D-69604BFB083A}"/>
    <cellStyle name="Normal 37 2 2 2 5" xfId="13030" xr:uid="{00000000-0005-0000-0000-0000E61F0000}"/>
    <cellStyle name="Normal 37 2 2 2 5 2" xfId="21766" xr:uid="{F649F2CB-25F9-4F61-826D-36E96235EE74}"/>
    <cellStyle name="Normal 37 2 2 2 6" xfId="15260" xr:uid="{9221522F-352B-42DD-BBE8-9722A5E8D8CE}"/>
    <cellStyle name="Normal 37 2 2 3" xfId="3088" xr:uid="{00000000-0005-0000-0000-0000E71F0000}"/>
    <cellStyle name="Normal 37 2 2 3 2" xfId="9814" xr:uid="{00000000-0005-0000-0000-0000E81F0000}"/>
    <cellStyle name="Normal 37 2 2 3 2 2" xfId="18620" xr:uid="{DF9836AE-62EC-4779-B5D1-A044A7D57F24}"/>
    <cellStyle name="Normal 37 2 2 3 3" xfId="8212" xr:uid="{00000000-0005-0000-0000-0000E91F0000}"/>
    <cellStyle name="Normal 37 2 2 3 3 2" xfId="17021" xr:uid="{742CA0F7-37A0-4668-989B-E57F5C08EDFC}"/>
    <cellStyle name="Normal 37 2 2 3 4" xfId="11424" xr:uid="{00000000-0005-0000-0000-0000EA1F0000}"/>
    <cellStyle name="Normal 37 2 2 3 4 2" xfId="20167" xr:uid="{03D64FE6-1D30-4D2F-8204-A5FF7FE73F4C}"/>
    <cellStyle name="Normal 37 2 2 3 5" xfId="13031" xr:uid="{00000000-0005-0000-0000-0000EB1F0000}"/>
    <cellStyle name="Normal 37 2 2 3 5 2" xfId="21767" xr:uid="{8F9D9708-2450-4886-9BC9-BFA9B1DFCB59}"/>
    <cellStyle name="Normal 37 2 2 3 6" xfId="15261" xr:uid="{018211A6-053B-4941-8989-026F28DAC24E}"/>
    <cellStyle name="Normal 37 2 2 4" xfId="3089" xr:uid="{00000000-0005-0000-0000-0000EC1F0000}"/>
    <cellStyle name="Normal 37 2 2 4 2" xfId="9815" xr:uid="{00000000-0005-0000-0000-0000ED1F0000}"/>
    <cellStyle name="Normal 37 2 2 4 2 2" xfId="18621" xr:uid="{35486934-08F4-4EDF-AF97-92F2FDA4EDBB}"/>
    <cellStyle name="Normal 37 2 2 4 3" xfId="8213" xr:uid="{00000000-0005-0000-0000-0000EE1F0000}"/>
    <cellStyle name="Normal 37 2 2 4 3 2" xfId="17022" xr:uid="{6DCEBF17-CF77-44FD-A9AA-7D7FE53B6339}"/>
    <cellStyle name="Normal 37 2 2 4 4" xfId="11425" xr:uid="{00000000-0005-0000-0000-0000EF1F0000}"/>
    <cellStyle name="Normal 37 2 2 4 4 2" xfId="20168" xr:uid="{24AFEF4E-7927-4D23-8F80-CF62A8CA684D}"/>
    <cellStyle name="Normal 37 2 2 4 5" xfId="13032" xr:uid="{00000000-0005-0000-0000-0000F01F0000}"/>
    <cellStyle name="Normal 37 2 2 4 5 2" xfId="21768" xr:uid="{8926DE71-34D7-4D9E-AB55-1B901C6855CE}"/>
    <cellStyle name="Normal 37 2 2 4 6" xfId="15262" xr:uid="{41731A77-E0ED-4A81-B38C-9125E020EC03}"/>
    <cellStyle name="Normal 37 2 2 5" xfId="9812" xr:uid="{00000000-0005-0000-0000-0000F11F0000}"/>
    <cellStyle name="Normal 37 2 2 5 2" xfId="18618" xr:uid="{7244806C-8ED7-4647-87EB-EAE3044F1EA0}"/>
    <cellStyle name="Normal 37 2 2 6" xfId="8210" xr:uid="{00000000-0005-0000-0000-0000F21F0000}"/>
    <cellStyle name="Normal 37 2 2 6 2" xfId="17019" xr:uid="{7C69805D-CE66-4051-A8CF-C881AB7B288A}"/>
    <cellStyle name="Normal 37 2 2 7" xfId="11422" xr:uid="{00000000-0005-0000-0000-0000F31F0000}"/>
    <cellStyle name="Normal 37 2 2 7 2" xfId="20165" xr:uid="{2D294E4A-A731-40B3-955A-5ECF972A8F39}"/>
    <cellStyle name="Normal 37 2 2 8" xfId="13029" xr:uid="{00000000-0005-0000-0000-0000F41F0000}"/>
    <cellStyle name="Normal 37 2 2 8 2" xfId="21765" xr:uid="{0683107E-5839-43D2-A071-1FD1102E10DB}"/>
    <cellStyle name="Normal 37 2 2 9" xfId="15259" xr:uid="{0346CFA5-A0B7-456A-9BB5-131440832F2F}"/>
    <cellStyle name="Normal 37 2 3" xfId="3090" xr:uid="{00000000-0005-0000-0000-0000F51F0000}"/>
    <cellStyle name="Normal 37 2 3 2" xfId="3091" xr:uid="{00000000-0005-0000-0000-0000F61F0000}"/>
    <cellStyle name="Normal 37 2 3 2 2" xfId="9817" xr:uid="{00000000-0005-0000-0000-0000F71F0000}"/>
    <cellStyle name="Normal 37 2 3 2 2 2" xfId="18623" xr:uid="{3CAAEDD2-3866-43D3-8072-2B23C61AA147}"/>
    <cellStyle name="Normal 37 2 3 2 3" xfId="8215" xr:uid="{00000000-0005-0000-0000-0000F81F0000}"/>
    <cellStyle name="Normal 37 2 3 2 3 2" xfId="17024" xr:uid="{881B2581-1762-485D-8D9D-1CA335A99332}"/>
    <cellStyle name="Normal 37 2 3 2 4" xfId="11427" xr:uid="{00000000-0005-0000-0000-0000F91F0000}"/>
    <cellStyle name="Normal 37 2 3 2 4 2" xfId="20170" xr:uid="{A8281EAC-9E85-439A-85FE-3F2BFDC3A15D}"/>
    <cellStyle name="Normal 37 2 3 2 5" xfId="13034" xr:uid="{00000000-0005-0000-0000-0000FA1F0000}"/>
    <cellStyle name="Normal 37 2 3 2 5 2" xfId="21770" xr:uid="{0CB1AEC4-404F-4808-94D3-21FFC10C185C}"/>
    <cellStyle name="Normal 37 2 3 2 6" xfId="15264" xr:uid="{B0BE97E3-1CD8-4D4F-9193-44031D25B38E}"/>
    <cellStyle name="Normal 37 2 3 3" xfId="3092" xr:uid="{00000000-0005-0000-0000-0000FB1F0000}"/>
    <cellStyle name="Normal 37 2 3 3 2" xfId="9818" xr:uid="{00000000-0005-0000-0000-0000FC1F0000}"/>
    <cellStyle name="Normal 37 2 3 3 2 2" xfId="18624" xr:uid="{2F7AC497-2FCA-4899-A551-CEEDFB015ECA}"/>
    <cellStyle name="Normal 37 2 3 3 3" xfId="8216" xr:uid="{00000000-0005-0000-0000-0000FD1F0000}"/>
    <cellStyle name="Normal 37 2 3 3 3 2" xfId="17025" xr:uid="{1908B8D9-A977-4093-BF38-F5478A8BEDA1}"/>
    <cellStyle name="Normal 37 2 3 3 4" xfId="11428" xr:uid="{00000000-0005-0000-0000-0000FE1F0000}"/>
    <cellStyle name="Normal 37 2 3 3 4 2" xfId="20171" xr:uid="{0364E8F2-1592-43EE-8CDB-0CDEEBAE0BDB}"/>
    <cellStyle name="Normal 37 2 3 3 5" xfId="13035" xr:uid="{00000000-0005-0000-0000-0000FF1F0000}"/>
    <cellStyle name="Normal 37 2 3 3 5 2" xfId="21771" xr:uid="{F6D1FF74-C035-4A2B-9CE7-E3B5A8DB3AC2}"/>
    <cellStyle name="Normal 37 2 3 3 6" xfId="15265" xr:uid="{07B1F05F-C77F-4602-AE3C-BA2BF6284046}"/>
    <cellStyle name="Normal 37 2 3 4" xfId="3093" xr:uid="{00000000-0005-0000-0000-000000200000}"/>
    <cellStyle name="Normal 37 2 3 4 2" xfId="9819" xr:uid="{00000000-0005-0000-0000-000001200000}"/>
    <cellStyle name="Normal 37 2 3 4 2 2" xfId="18625" xr:uid="{472A7CBD-D346-46E4-98BD-FF4978972E3D}"/>
    <cellStyle name="Normal 37 2 3 4 3" xfId="8217" xr:uid="{00000000-0005-0000-0000-000002200000}"/>
    <cellStyle name="Normal 37 2 3 4 3 2" xfId="17026" xr:uid="{A5C7958A-BFDE-4B5B-AA40-9831DC45F413}"/>
    <cellStyle name="Normal 37 2 3 4 4" xfId="11429" xr:uid="{00000000-0005-0000-0000-000003200000}"/>
    <cellStyle name="Normal 37 2 3 4 4 2" xfId="20172" xr:uid="{B0A837A6-433B-4007-BCD0-EE78AF9288F9}"/>
    <cellStyle name="Normal 37 2 3 4 5" xfId="13036" xr:uid="{00000000-0005-0000-0000-000004200000}"/>
    <cellStyle name="Normal 37 2 3 4 5 2" xfId="21772" xr:uid="{19310D64-61C5-4EAE-9B4F-16CA56024299}"/>
    <cellStyle name="Normal 37 2 3 4 6" xfId="15266" xr:uid="{E89A728C-95DD-4296-8206-1B2F2B3CCC70}"/>
    <cellStyle name="Normal 37 2 3 5" xfId="9816" xr:uid="{00000000-0005-0000-0000-000005200000}"/>
    <cellStyle name="Normal 37 2 3 5 2" xfId="18622" xr:uid="{4E35E960-84B9-4229-9D53-14A2C7972B24}"/>
    <cellStyle name="Normal 37 2 3 6" xfId="8214" xr:uid="{00000000-0005-0000-0000-000006200000}"/>
    <cellStyle name="Normal 37 2 3 6 2" xfId="17023" xr:uid="{21F7B9FF-485E-4141-8580-6F8391D5DBE1}"/>
    <cellStyle name="Normal 37 2 3 7" xfId="11426" xr:uid="{00000000-0005-0000-0000-000007200000}"/>
    <cellStyle name="Normal 37 2 3 7 2" xfId="20169" xr:uid="{A20A1A5B-0860-458A-A8DE-9AC133D2FB1E}"/>
    <cellStyle name="Normal 37 2 3 8" xfId="13033" xr:uid="{00000000-0005-0000-0000-000008200000}"/>
    <cellStyle name="Normal 37 2 3 8 2" xfId="21769" xr:uid="{8350B838-7682-4F1F-BB2B-93E7CEBC4F3D}"/>
    <cellStyle name="Normal 37 2 3 9" xfId="15263" xr:uid="{02F037EA-EAA1-4546-A765-4087BCE6BA5A}"/>
    <cellStyle name="Normal 37 2 4" xfId="3094" xr:uid="{00000000-0005-0000-0000-000009200000}"/>
    <cellStyle name="Normal 37 2 4 2" xfId="9820" xr:uid="{00000000-0005-0000-0000-00000A200000}"/>
    <cellStyle name="Normal 37 2 4 2 2" xfId="18626" xr:uid="{18BF9CF3-C4A5-4FBB-BAD2-6FEA764ED62A}"/>
    <cellStyle name="Normal 37 2 4 3" xfId="8218" xr:uid="{00000000-0005-0000-0000-00000B200000}"/>
    <cellStyle name="Normal 37 2 4 3 2" xfId="17027" xr:uid="{39C1BA3A-C5E5-4C75-8990-23F364ED0FAE}"/>
    <cellStyle name="Normal 37 2 4 4" xfId="11430" xr:uid="{00000000-0005-0000-0000-00000C200000}"/>
    <cellStyle name="Normal 37 2 4 4 2" xfId="20173" xr:uid="{20D511A8-BAAF-4B51-B3FD-9792DC2C07B9}"/>
    <cellStyle name="Normal 37 2 4 5" xfId="13037" xr:uid="{00000000-0005-0000-0000-00000D200000}"/>
    <cellStyle name="Normal 37 2 4 5 2" xfId="21773" xr:uid="{0D088A87-88EC-4691-85F0-6935CBC8AF86}"/>
    <cellStyle name="Normal 37 2 4 6" xfId="15267" xr:uid="{663841DC-9489-4A11-8FB2-8BA440962882}"/>
    <cellStyle name="Normal 37 2 5" xfId="3095" xr:uid="{00000000-0005-0000-0000-00000E200000}"/>
    <cellStyle name="Normal 37 2 5 2" xfId="9821" xr:uid="{00000000-0005-0000-0000-00000F200000}"/>
    <cellStyle name="Normal 37 2 5 2 2" xfId="18627" xr:uid="{E24F0063-1934-42A9-9BC1-AF2D9D8E9155}"/>
    <cellStyle name="Normal 37 2 5 3" xfId="8219" xr:uid="{00000000-0005-0000-0000-000010200000}"/>
    <cellStyle name="Normal 37 2 5 3 2" xfId="17028" xr:uid="{7714ADA4-FBE6-46E2-908C-E551AEB078B1}"/>
    <cellStyle name="Normal 37 2 5 4" xfId="11431" xr:uid="{00000000-0005-0000-0000-000011200000}"/>
    <cellStyle name="Normal 37 2 5 4 2" xfId="20174" xr:uid="{3EACD0D4-CED5-44B9-886E-180950718F2F}"/>
    <cellStyle name="Normal 37 2 5 5" xfId="13038" xr:uid="{00000000-0005-0000-0000-000012200000}"/>
    <cellStyle name="Normal 37 2 5 5 2" xfId="21774" xr:uid="{FA789786-6FEB-4D7C-A506-E33E2FF40E57}"/>
    <cellStyle name="Normal 37 2 5 6" xfId="15268" xr:uid="{29F16C4F-3EAB-46EF-97E3-8643046D93D4}"/>
    <cellStyle name="Normal 37 2 6" xfId="3096" xr:uid="{00000000-0005-0000-0000-000013200000}"/>
    <cellStyle name="Normal 37 2 6 2" xfId="9822" xr:uid="{00000000-0005-0000-0000-000014200000}"/>
    <cellStyle name="Normal 37 2 6 2 2" xfId="18628" xr:uid="{A170D124-963D-4B5F-9887-259BC732C409}"/>
    <cellStyle name="Normal 37 2 6 3" xfId="8220" xr:uid="{00000000-0005-0000-0000-000015200000}"/>
    <cellStyle name="Normal 37 2 6 3 2" xfId="17029" xr:uid="{5EF15890-AC11-402A-82C2-F8BA3F36CE11}"/>
    <cellStyle name="Normal 37 2 6 4" xfId="11432" xr:uid="{00000000-0005-0000-0000-000016200000}"/>
    <cellStyle name="Normal 37 2 6 4 2" xfId="20175" xr:uid="{B12E63BB-0ADF-4FC2-B87E-FB9F902D3C06}"/>
    <cellStyle name="Normal 37 2 6 5" xfId="13039" xr:uid="{00000000-0005-0000-0000-000017200000}"/>
    <cellStyle name="Normal 37 2 6 5 2" xfId="21775" xr:uid="{39CE1067-147B-46FD-9DA7-0D42BB4897F3}"/>
    <cellStyle name="Normal 37 2 6 6" xfId="15269" xr:uid="{C3F5CBD9-B3DF-4076-B6E2-66F5CC63B965}"/>
    <cellStyle name="Normal 37 2 7" xfId="9811" xr:uid="{00000000-0005-0000-0000-000018200000}"/>
    <cellStyle name="Normal 37 2 7 2" xfId="18617" xr:uid="{F614D0CE-7FAC-4438-B124-18B904D5E941}"/>
    <cellStyle name="Normal 37 2 8" xfId="8209" xr:uid="{00000000-0005-0000-0000-000019200000}"/>
    <cellStyle name="Normal 37 2 8 2" xfId="17018" xr:uid="{21C8E07E-EDD5-4536-A1D0-DD205B1F35EB}"/>
    <cellStyle name="Normal 37 2 9" xfId="11421" xr:uid="{00000000-0005-0000-0000-00001A200000}"/>
    <cellStyle name="Normal 37 2 9 2" xfId="20164" xr:uid="{37AA95B5-1234-41D9-A15C-D25BF4885B30}"/>
    <cellStyle name="Normal 37 3" xfId="3097" xr:uid="{00000000-0005-0000-0000-00001B200000}"/>
    <cellStyle name="Normal 37 3 2" xfId="3098" xr:uid="{00000000-0005-0000-0000-00001C200000}"/>
    <cellStyle name="Normal 37 3 2 2" xfId="9824" xr:uid="{00000000-0005-0000-0000-00001D200000}"/>
    <cellStyle name="Normal 37 3 2 2 2" xfId="18630" xr:uid="{C2B41D68-F8E5-4229-90C9-82508CB5BC83}"/>
    <cellStyle name="Normal 37 3 2 3" xfId="8222" xr:uid="{00000000-0005-0000-0000-00001E200000}"/>
    <cellStyle name="Normal 37 3 2 3 2" xfId="17031" xr:uid="{357110D0-D162-49A4-B8D1-724760CD05B8}"/>
    <cellStyle name="Normal 37 3 2 4" xfId="11434" xr:uid="{00000000-0005-0000-0000-00001F200000}"/>
    <cellStyle name="Normal 37 3 2 4 2" xfId="20177" xr:uid="{1E62AA66-A66B-4FE8-9B3D-C5CEA62C4AAD}"/>
    <cellStyle name="Normal 37 3 2 5" xfId="13041" xr:uid="{00000000-0005-0000-0000-000020200000}"/>
    <cellStyle name="Normal 37 3 2 5 2" xfId="21777" xr:uid="{E411F023-5C85-4C68-A56A-FDD561DD2947}"/>
    <cellStyle name="Normal 37 3 2 6" xfId="15271" xr:uid="{554B2058-664D-4E48-823F-D75AFF0A7E1E}"/>
    <cellStyle name="Normal 37 3 3" xfId="3099" xr:uid="{00000000-0005-0000-0000-000021200000}"/>
    <cellStyle name="Normal 37 3 3 2" xfId="9825" xr:uid="{00000000-0005-0000-0000-000022200000}"/>
    <cellStyle name="Normal 37 3 3 2 2" xfId="18631" xr:uid="{5059DF2B-4742-4B69-AA12-5981E95E0D77}"/>
    <cellStyle name="Normal 37 3 3 3" xfId="8223" xr:uid="{00000000-0005-0000-0000-000023200000}"/>
    <cellStyle name="Normal 37 3 3 3 2" xfId="17032" xr:uid="{F425C83F-7219-4635-BAC9-3E5C1A8F82E5}"/>
    <cellStyle name="Normal 37 3 3 4" xfId="11435" xr:uid="{00000000-0005-0000-0000-000024200000}"/>
    <cellStyle name="Normal 37 3 3 4 2" xfId="20178" xr:uid="{8CD57BA9-0FFC-4631-8C3C-D4FF6B67CEBF}"/>
    <cellStyle name="Normal 37 3 3 5" xfId="13042" xr:uid="{00000000-0005-0000-0000-000025200000}"/>
    <cellStyle name="Normal 37 3 3 5 2" xfId="21778" xr:uid="{9B8F3849-E47F-4207-8436-7FA94F344B21}"/>
    <cellStyle name="Normal 37 3 3 6" xfId="15272" xr:uid="{6CCBB81E-5A11-4B00-A37F-F6E4C8E49780}"/>
    <cellStyle name="Normal 37 3 4" xfId="3100" xr:uid="{00000000-0005-0000-0000-000026200000}"/>
    <cellStyle name="Normal 37 3 4 2" xfId="9826" xr:uid="{00000000-0005-0000-0000-000027200000}"/>
    <cellStyle name="Normal 37 3 4 2 2" xfId="18632" xr:uid="{E410AADA-DB34-432C-97BF-714C6A0ADDF3}"/>
    <cellStyle name="Normal 37 3 4 3" xfId="8224" xr:uid="{00000000-0005-0000-0000-000028200000}"/>
    <cellStyle name="Normal 37 3 4 3 2" xfId="17033" xr:uid="{8E0DCF02-D93C-4078-9F95-B6F86DB6DBAE}"/>
    <cellStyle name="Normal 37 3 4 4" xfId="11436" xr:uid="{00000000-0005-0000-0000-000029200000}"/>
    <cellStyle name="Normal 37 3 4 4 2" xfId="20179" xr:uid="{5B48A799-9D62-476A-ABBA-2DB5A55A3FEA}"/>
    <cellStyle name="Normal 37 3 4 5" xfId="13043" xr:uid="{00000000-0005-0000-0000-00002A200000}"/>
    <cellStyle name="Normal 37 3 4 5 2" xfId="21779" xr:uid="{AF5E5ADF-FAB2-4127-89A9-75EC97F28C30}"/>
    <cellStyle name="Normal 37 3 4 6" xfId="15273" xr:uid="{7173F657-B889-4C72-9D04-E682EAA48AAF}"/>
    <cellStyle name="Normal 37 3 5" xfId="9823" xr:uid="{00000000-0005-0000-0000-00002B200000}"/>
    <cellStyle name="Normal 37 3 5 2" xfId="18629" xr:uid="{E9D3C3FE-64E4-4B09-AE8B-27AFC6CCD379}"/>
    <cellStyle name="Normal 37 3 6" xfId="8221" xr:uid="{00000000-0005-0000-0000-00002C200000}"/>
    <cellStyle name="Normal 37 3 6 2" xfId="17030" xr:uid="{F63F4C00-A587-4855-8EDA-BE8AA2184295}"/>
    <cellStyle name="Normal 37 3 7" xfId="11433" xr:uid="{00000000-0005-0000-0000-00002D200000}"/>
    <cellStyle name="Normal 37 3 7 2" xfId="20176" xr:uid="{FCCF6CDB-AD0D-4B2E-B57F-5C57F72E6399}"/>
    <cellStyle name="Normal 37 3 8" xfId="13040" xr:uid="{00000000-0005-0000-0000-00002E200000}"/>
    <cellStyle name="Normal 37 3 8 2" xfId="21776" xr:uid="{213B9397-AFFE-4C70-87B4-795AE43D27ED}"/>
    <cellStyle name="Normal 37 3 9" xfId="15270" xr:uid="{E805114E-168A-46AB-9471-98A5C338A19C}"/>
    <cellStyle name="Normal 37 4" xfId="3101" xr:uid="{00000000-0005-0000-0000-00002F200000}"/>
    <cellStyle name="Normal 38" xfId="3102" xr:uid="{00000000-0005-0000-0000-000030200000}"/>
    <cellStyle name="Normal 38 2" xfId="3103" xr:uid="{00000000-0005-0000-0000-000031200000}"/>
    <cellStyle name="Normal 38 2 10" xfId="13044" xr:uid="{00000000-0005-0000-0000-000032200000}"/>
    <cellStyle name="Normal 38 2 10 2" xfId="21780" xr:uid="{FCADC20B-C064-4A12-A2BD-291F03EC5B1B}"/>
    <cellStyle name="Normal 38 2 11" xfId="15274" xr:uid="{94299FEB-E328-4DEE-9074-013D544144B0}"/>
    <cellStyle name="Normal 38 2 2" xfId="3104" xr:uid="{00000000-0005-0000-0000-000033200000}"/>
    <cellStyle name="Normal 38 2 2 2" xfId="3105" xr:uid="{00000000-0005-0000-0000-000034200000}"/>
    <cellStyle name="Normal 38 2 2 2 2" xfId="9829" xr:uid="{00000000-0005-0000-0000-000035200000}"/>
    <cellStyle name="Normal 38 2 2 2 2 2" xfId="18635" xr:uid="{7FE71E8C-2664-4EC6-A71B-B3AE979A17C5}"/>
    <cellStyle name="Normal 38 2 2 2 3" xfId="8227" xr:uid="{00000000-0005-0000-0000-000036200000}"/>
    <cellStyle name="Normal 38 2 2 2 3 2" xfId="17036" xr:uid="{BA269F7B-08FB-4417-8960-6E451221AAA8}"/>
    <cellStyle name="Normal 38 2 2 2 4" xfId="11439" xr:uid="{00000000-0005-0000-0000-000037200000}"/>
    <cellStyle name="Normal 38 2 2 2 4 2" xfId="20182" xr:uid="{7C72C214-A40E-43C6-B8F9-DA01FD7C958C}"/>
    <cellStyle name="Normal 38 2 2 2 5" xfId="13046" xr:uid="{00000000-0005-0000-0000-000038200000}"/>
    <cellStyle name="Normal 38 2 2 2 5 2" xfId="21782" xr:uid="{3D5BCCFD-6CD6-4971-9A1C-70E3F39622A7}"/>
    <cellStyle name="Normal 38 2 2 2 6" xfId="15276" xr:uid="{E09E824F-9B7B-488B-B739-93D95BD8024A}"/>
    <cellStyle name="Normal 38 2 2 3" xfId="3106" xr:uid="{00000000-0005-0000-0000-000039200000}"/>
    <cellStyle name="Normal 38 2 2 3 2" xfId="9830" xr:uid="{00000000-0005-0000-0000-00003A200000}"/>
    <cellStyle name="Normal 38 2 2 3 2 2" xfId="18636" xr:uid="{E19D12D5-B71D-470B-ABE3-B6A1203AB810}"/>
    <cellStyle name="Normal 38 2 2 3 3" xfId="8228" xr:uid="{00000000-0005-0000-0000-00003B200000}"/>
    <cellStyle name="Normal 38 2 2 3 3 2" xfId="17037" xr:uid="{21A19008-7BBB-40DB-8B2E-D7DBC022A9E0}"/>
    <cellStyle name="Normal 38 2 2 3 4" xfId="11440" xr:uid="{00000000-0005-0000-0000-00003C200000}"/>
    <cellStyle name="Normal 38 2 2 3 4 2" xfId="20183" xr:uid="{A3B09659-93F0-4D66-87FB-44175243DAF9}"/>
    <cellStyle name="Normal 38 2 2 3 5" xfId="13047" xr:uid="{00000000-0005-0000-0000-00003D200000}"/>
    <cellStyle name="Normal 38 2 2 3 5 2" xfId="21783" xr:uid="{53B24660-DD71-4B23-9D5B-90C9D9B82423}"/>
    <cellStyle name="Normal 38 2 2 3 6" xfId="15277" xr:uid="{85B9CF70-7D49-4991-B225-B4E526D11C4D}"/>
    <cellStyle name="Normal 38 2 2 4" xfId="3107" xr:uid="{00000000-0005-0000-0000-00003E200000}"/>
    <cellStyle name="Normal 38 2 2 4 2" xfId="9831" xr:uid="{00000000-0005-0000-0000-00003F200000}"/>
    <cellStyle name="Normal 38 2 2 4 2 2" xfId="18637" xr:uid="{C689A73B-072D-4D3B-BC7A-7002B2FD5CEF}"/>
    <cellStyle name="Normal 38 2 2 4 3" xfId="8229" xr:uid="{00000000-0005-0000-0000-000040200000}"/>
    <cellStyle name="Normal 38 2 2 4 3 2" xfId="17038" xr:uid="{7AF53DAD-2EA9-4D87-AE74-E37D57A1C38C}"/>
    <cellStyle name="Normal 38 2 2 4 4" xfId="11441" xr:uid="{00000000-0005-0000-0000-000041200000}"/>
    <cellStyle name="Normal 38 2 2 4 4 2" xfId="20184" xr:uid="{DBB1591D-7BB6-4CE1-91B0-818C2275D6E4}"/>
    <cellStyle name="Normal 38 2 2 4 5" xfId="13048" xr:uid="{00000000-0005-0000-0000-000042200000}"/>
    <cellStyle name="Normal 38 2 2 4 5 2" xfId="21784" xr:uid="{F534899A-DA50-4232-A9AE-434EDB4AC2CF}"/>
    <cellStyle name="Normal 38 2 2 4 6" xfId="15278" xr:uid="{6BE8311A-EB79-449A-8D99-8E54D35C3D6C}"/>
    <cellStyle name="Normal 38 2 2 5" xfId="9828" xr:uid="{00000000-0005-0000-0000-000043200000}"/>
    <cellStyle name="Normal 38 2 2 5 2" xfId="18634" xr:uid="{EDA4EC09-AA72-44F0-82AD-1759BCE963C4}"/>
    <cellStyle name="Normal 38 2 2 6" xfId="8226" xr:uid="{00000000-0005-0000-0000-000044200000}"/>
    <cellStyle name="Normal 38 2 2 6 2" xfId="17035" xr:uid="{589FB7CC-F3B6-4EB0-A772-8876962574E6}"/>
    <cellStyle name="Normal 38 2 2 7" xfId="11438" xr:uid="{00000000-0005-0000-0000-000045200000}"/>
    <cellStyle name="Normal 38 2 2 7 2" xfId="20181" xr:uid="{6A4BFCB9-7401-4273-986C-26FFB7BEC755}"/>
    <cellStyle name="Normal 38 2 2 8" xfId="13045" xr:uid="{00000000-0005-0000-0000-000046200000}"/>
    <cellStyle name="Normal 38 2 2 8 2" xfId="21781" xr:uid="{63CF97D3-54A2-44C9-928B-0083F5D984E8}"/>
    <cellStyle name="Normal 38 2 2 9" xfId="15275" xr:uid="{72EEA4CC-8334-4AD9-9BFF-364D4B27E004}"/>
    <cellStyle name="Normal 38 2 3" xfId="3108" xr:uid="{00000000-0005-0000-0000-000047200000}"/>
    <cellStyle name="Normal 38 2 3 2" xfId="3109" xr:uid="{00000000-0005-0000-0000-000048200000}"/>
    <cellStyle name="Normal 38 2 3 2 2" xfId="9833" xr:uid="{00000000-0005-0000-0000-000049200000}"/>
    <cellStyle name="Normal 38 2 3 2 2 2" xfId="18639" xr:uid="{488C41C3-BBA1-4F96-B4B7-407ECC5DCB48}"/>
    <cellStyle name="Normal 38 2 3 2 3" xfId="8231" xr:uid="{00000000-0005-0000-0000-00004A200000}"/>
    <cellStyle name="Normal 38 2 3 2 3 2" xfId="17040" xr:uid="{1F22908A-EDBD-4E00-9345-6A6129DC8C21}"/>
    <cellStyle name="Normal 38 2 3 2 4" xfId="11443" xr:uid="{00000000-0005-0000-0000-00004B200000}"/>
    <cellStyle name="Normal 38 2 3 2 4 2" xfId="20186" xr:uid="{75F8F178-6AA1-4162-880E-6ABD0A95B090}"/>
    <cellStyle name="Normal 38 2 3 2 5" xfId="13050" xr:uid="{00000000-0005-0000-0000-00004C200000}"/>
    <cellStyle name="Normal 38 2 3 2 5 2" xfId="21786" xr:uid="{8B00ECF5-2513-4B2D-99A2-FE1F62993C11}"/>
    <cellStyle name="Normal 38 2 3 2 6" xfId="15280" xr:uid="{0B806F18-6F98-49E0-9553-DAE185E30776}"/>
    <cellStyle name="Normal 38 2 3 3" xfId="3110" xr:uid="{00000000-0005-0000-0000-00004D200000}"/>
    <cellStyle name="Normal 38 2 3 3 2" xfId="9834" xr:uid="{00000000-0005-0000-0000-00004E200000}"/>
    <cellStyle name="Normal 38 2 3 3 2 2" xfId="18640" xr:uid="{405617E7-EACE-4F31-A37A-5C5E8AE91F5C}"/>
    <cellStyle name="Normal 38 2 3 3 3" xfId="8232" xr:uid="{00000000-0005-0000-0000-00004F200000}"/>
    <cellStyle name="Normal 38 2 3 3 3 2" xfId="17041" xr:uid="{8E3F1FBA-0638-409B-939E-537320734B3B}"/>
    <cellStyle name="Normal 38 2 3 3 4" xfId="11444" xr:uid="{00000000-0005-0000-0000-000050200000}"/>
    <cellStyle name="Normal 38 2 3 3 4 2" xfId="20187" xr:uid="{449B15B0-5A7B-4C8F-83DF-C0FFEA62FF93}"/>
    <cellStyle name="Normal 38 2 3 3 5" xfId="13051" xr:uid="{00000000-0005-0000-0000-000051200000}"/>
    <cellStyle name="Normal 38 2 3 3 5 2" xfId="21787" xr:uid="{5F51DB32-7291-4F6E-926B-9663BEA9DC1E}"/>
    <cellStyle name="Normal 38 2 3 3 6" xfId="15281" xr:uid="{8C6F67E3-6EEB-4024-9022-ECD63BC5A11C}"/>
    <cellStyle name="Normal 38 2 3 4" xfId="3111" xr:uid="{00000000-0005-0000-0000-000052200000}"/>
    <cellStyle name="Normal 38 2 3 4 2" xfId="9835" xr:uid="{00000000-0005-0000-0000-000053200000}"/>
    <cellStyle name="Normal 38 2 3 4 2 2" xfId="18641" xr:uid="{59CCB709-F0F0-4F7C-B417-319C36554294}"/>
    <cellStyle name="Normal 38 2 3 4 3" xfId="8233" xr:uid="{00000000-0005-0000-0000-000054200000}"/>
    <cellStyle name="Normal 38 2 3 4 3 2" xfId="17042" xr:uid="{2E16D06E-B11A-411E-932F-AFD82629D9AD}"/>
    <cellStyle name="Normal 38 2 3 4 4" xfId="11445" xr:uid="{00000000-0005-0000-0000-000055200000}"/>
    <cellStyle name="Normal 38 2 3 4 4 2" xfId="20188" xr:uid="{477DB74E-460D-4F98-874A-53A509D11087}"/>
    <cellStyle name="Normal 38 2 3 4 5" xfId="13052" xr:uid="{00000000-0005-0000-0000-000056200000}"/>
    <cellStyle name="Normal 38 2 3 4 5 2" xfId="21788" xr:uid="{C7F93C51-72C6-4A86-8AC8-2B8C8345B05E}"/>
    <cellStyle name="Normal 38 2 3 4 6" xfId="15282" xr:uid="{3369738D-80ED-4C51-8787-D1644E09D882}"/>
    <cellStyle name="Normal 38 2 3 5" xfId="9832" xr:uid="{00000000-0005-0000-0000-000057200000}"/>
    <cellStyle name="Normal 38 2 3 5 2" xfId="18638" xr:uid="{6EC37861-A18F-4606-BB92-5B601A0F5811}"/>
    <cellStyle name="Normal 38 2 3 6" xfId="8230" xr:uid="{00000000-0005-0000-0000-000058200000}"/>
    <cellStyle name="Normal 38 2 3 6 2" xfId="17039" xr:uid="{C4F32241-6364-4813-B805-E057AC07551E}"/>
    <cellStyle name="Normal 38 2 3 7" xfId="11442" xr:uid="{00000000-0005-0000-0000-000059200000}"/>
    <cellStyle name="Normal 38 2 3 7 2" xfId="20185" xr:uid="{A4AA8275-3B37-42C5-8A47-7FBBAEF809F8}"/>
    <cellStyle name="Normal 38 2 3 8" xfId="13049" xr:uid="{00000000-0005-0000-0000-00005A200000}"/>
    <cellStyle name="Normal 38 2 3 8 2" xfId="21785" xr:uid="{E8F9B6BD-4F31-4621-807E-650B16F274D8}"/>
    <cellStyle name="Normal 38 2 3 9" xfId="15279" xr:uid="{CFDB9F02-23CE-46EA-AAAD-EE67A3EDC7DE}"/>
    <cellStyle name="Normal 38 2 4" xfId="3112" xr:uid="{00000000-0005-0000-0000-00005B200000}"/>
    <cellStyle name="Normal 38 2 4 2" xfId="9836" xr:uid="{00000000-0005-0000-0000-00005C200000}"/>
    <cellStyle name="Normal 38 2 4 2 2" xfId="18642" xr:uid="{CDF59485-82EE-4983-AB5C-7B416A11FD7E}"/>
    <cellStyle name="Normal 38 2 4 3" xfId="8234" xr:uid="{00000000-0005-0000-0000-00005D200000}"/>
    <cellStyle name="Normal 38 2 4 3 2" xfId="17043" xr:uid="{7B3AD105-10CD-4F97-ADD9-2C97D6426F27}"/>
    <cellStyle name="Normal 38 2 4 4" xfId="11446" xr:uid="{00000000-0005-0000-0000-00005E200000}"/>
    <cellStyle name="Normal 38 2 4 4 2" xfId="20189" xr:uid="{ABCE6089-AA3F-44E8-868B-B3026158AFA7}"/>
    <cellStyle name="Normal 38 2 4 5" xfId="13053" xr:uid="{00000000-0005-0000-0000-00005F200000}"/>
    <cellStyle name="Normal 38 2 4 5 2" xfId="21789" xr:uid="{996393DC-ED96-4E8B-8A05-51BA0542CF55}"/>
    <cellStyle name="Normal 38 2 4 6" xfId="15283" xr:uid="{4E2A3FDE-69CD-4DD8-8817-4104288DDD63}"/>
    <cellStyle name="Normal 38 2 5" xfId="3113" xr:uid="{00000000-0005-0000-0000-000060200000}"/>
    <cellStyle name="Normal 38 2 5 2" xfId="9837" xr:uid="{00000000-0005-0000-0000-000061200000}"/>
    <cellStyle name="Normal 38 2 5 2 2" xfId="18643" xr:uid="{02425C96-FBA3-40F1-8549-37002C6AF222}"/>
    <cellStyle name="Normal 38 2 5 3" xfId="8235" xr:uid="{00000000-0005-0000-0000-000062200000}"/>
    <cellStyle name="Normal 38 2 5 3 2" xfId="17044" xr:uid="{8BE246EE-31A1-44D8-A665-40EE1AD7DB93}"/>
    <cellStyle name="Normal 38 2 5 4" xfId="11447" xr:uid="{00000000-0005-0000-0000-000063200000}"/>
    <cellStyle name="Normal 38 2 5 4 2" xfId="20190" xr:uid="{D60D941D-621B-4F50-8092-284E2B895FAA}"/>
    <cellStyle name="Normal 38 2 5 5" xfId="13054" xr:uid="{00000000-0005-0000-0000-000064200000}"/>
    <cellStyle name="Normal 38 2 5 5 2" xfId="21790" xr:uid="{1675C12F-9F6E-407E-BFBE-B891F6D75436}"/>
    <cellStyle name="Normal 38 2 5 6" xfId="15284" xr:uid="{1BDFE83B-CF26-4893-A0C3-977FACABB17A}"/>
    <cellStyle name="Normal 38 2 6" xfId="3114" xr:uid="{00000000-0005-0000-0000-000065200000}"/>
    <cellStyle name="Normal 38 2 6 2" xfId="9838" xr:uid="{00000000-0005-0000-0000-000066200000}"/>
    <cellStyle name="Normal 38 2 6 2 2" xfId="18644" xr:uid="{23373E88-D3FF-43ED-8C0B-6E762D3D1238}"/>
    <cellStyle name="Normal 38 2 6 3" xfId="8236" xr:uid="{00000000-0005-0000-0000-000067200000}"/>
    <cellStyle name="Normal 38 2 6 3 2" xfId="17045" xr:uid="{6FDF8FD3-1FD8-4708-9990-A19BEFCAE216}"/>
    <cellStyle name="Normal 38 2 6 4" xfId="11448" xr:uid="{00000000-0005-0000-0000-000068200000}"/>
    <cellStyle name="Normal 38 2 6 4 2" xfId="20191" xr:uid="{433BA935-F8DB-42CC-A7E8-7D2663C86CD4}"/>
    <cellStyle name="Normal 38 2 6 5" xfId="13055" xr:uid="{00000000-0005-0000-0000-000069200000}"/>
    <cellStyle name="Normal 38 2 6 5 2" xfId="21791" xr:uid="{1905C57C-E07A-4FEB-9114-0105C7353E1D}"/>
    <cellStyle name="Normal 38 2 6 6" xfId="15285" xr:uid="{2583C7EF-99B5-412D-92A4-5C5CEEA1D220}"/>
    <cellStyle name="Normal 38 2 7" xfId="9827" xr:uid="{00000000-0005-0000-0000-00006A200000}"/>
    <cellStyle name="Normal 38 2 7 2" xfId="18633" xr:uid="{F83686D9-171C-4E14-B058-EEC8D7D09A10}"/>
    <cellStyle name="Normal 38 2 8" xfId="8225" xr:uid="{00000000-0005-0000-0000-00006B200000}"/>
    <cellStyle name="Normal 38 2 8 2" xfId="17034" xr:uid="{7D06EE0A-5FF7-47AB-94A0-31642EF56B93}"/>
    <cellStyle name="Normal 38 2 9" xfId="11437" xr:uid="{00000000-0005-0000-0000-00006C200000}"/>
    <cellStyle name="Normal 38 2 9 2" xfId="20180" xr:uid="{5041CDB1-6C49-4847-9A8A-6DFCEFA1CC93}"/>
    <cellStyle name="Normal 38 3" xfId="3115" xr:uid="{00000000-0005-0000-0000-00006D200000}"/>
    <cellStyle name="Normal 38 3 2" xfId="3116" xr:uid="{00000000-0005-0000-0000-00006E200000}"/>
    <cellStyle name="Normal 38 3 2 2" xfId="9840" xr:uid="{00000000-0005-0000-0000-00006F200000}"/>
    <cellStyle name="Normal 38 3 2 2 2" xfId="18646" xr:uid="{79E60C93-DE63-415C-8677-B69BC35929B2}"/>
    <cellStyle name="Normal 38 3 2 3" xfId="8238" xr:uid="{00000000-0005-0000-0000-000070200000}"/>
    <cellStyle name="Normal 38 3 2 3 2" xfId="17047" xr:uid="{099F6563-5518-49CF-99E0-7969612319CC}"/>
    <cellStyle name="Normal 38 3 2 4" xfId="11450" xr:uid="{00000000-0005-0000-0000-000071200000}"/>
    <cellStyle name="Normal 38 3 2 4 2" xfId="20193" xr:uid="{510A9545-CC45-4B54-B537-EA6BEF23AFD4}"/>
    <cellStyle name="Normal 38 3 2 5" xfId="13057" xr:uid="{00000000-0005-0000-0000-000072200000}"/>
    <cellStyle name="Normal 38 3 2 5 2" xfId="21793" xr:uid="{ED15E985-D26A-4985-972B-3DD21D6EE107}"/>
    <cellStyle name="Normal 38 3 2 6" xfId="15287" xr:uid="{43D1674C-E48F-4984-A355-129D83E34E39}"/>
    <cellStyle name="Normal 38 3 3" xfId="3117" xr:uid="{00000000-0005-0000-0000-000073200000}"/>
    <cellStyle name="Normal 38 3 3 2" xfId="9841" xr:uid="{00000000-0005-0000-0000-000074200000}"/>
    <cellStyle name="Normal 38 3 3 2 2" xfId="18647" xr:uid="{E8C4A3B1-40FF-45B4-9899-56613806E8EA}"/>
    <cellStyle name="Normal 38 3 3 3" xfId="8239" xr:uid="{00000000-0005-0000-0000-000075200000}"/>
    <cellStyle name="Normal 38 3 3 3 2" xfId="17048" xr:uid="{50E730FB-B5E4-4BE2-80F1-E7F08A362C69}"/>
    <cellStyle name="Normal 38 3 3 4" xfId="11451" xr:uid="{00000000-0005-0000-0000-000076200000}"/>
    <cellStyle name="Normal 38 3 3 4 2" xfId="20194" xr:uid="{3D80FD78-8424-437E-88DB-8D21FC6334D0}"/>
    <cellStyle name="Normal 38 3 3 5" xfId="13058" xr:uid="{00000000-0005-0000-0000-000077200000}"/>
    <cellStyle name="Normal 38 3 3 5 2" xfId="21794" xr:uid="{7D10E974-E972-40C0-87D7-A7643A560795}"/>
    <cellStyle name="Normal 38 3 3 6" xfId="15288" xr:uid="{EBF06F8B-4D18-4BBC-974A-B309AEBA3AC7}"/>
    <cellStyle name="Normal 38 3 4" xfId="3118" xr:uid="{00000000-0005-0000-0000-000078200000}"/>
    <cellStyle name="Normal 38 3 4 2" xfId="9842" xr:uid="{00000000-0005-0000-0000-000079200000}"/>
    <cellStyle name="Normal 38 3 4 2 2" xfId="18648" xr:uid="{511EBCE4-C3F7-4A71-8211-A97A890F410B}"/>
    <cellStyle name="Normal 38 3 4 3" xfId="8240" xr:uid="{00000000-0005-0000-0000-00007A200000}"/>
    <cellStyle name="Normal 38 3 4 3 2" xfId="17049" xr:uid="{496B1C11-91FB-4ADB-82E9-331200A306FD}"/>
    <cellStyle name="Normal 38 3 4 4" xfId="11452" xr:uid="{00000000-0005-0000-0000-00007B200000}"/>
    <cellStyle name="Normal 38 3 4 4 2" xfId="20195" xr:uid="{2B966929-51EB-4B95-B1F1-958C749C3096}"/>
    <cellStyle name="Normal 38 3 4 5" xfId="13059" xr:uid="{00000000-0005-0000-0000-00007C200000}"/>
    <cellStyle name="Normal 38 3 4 5 2" xfId="21795" xr:uid="{43E15AA7-210A-455C-B0A4-563E6D35241C}"/>
    <cellStyle name="Normal 38 3 4 6" xfId="15289" xr:uid="{B3F02964-C7B0-41B5-8949-F2A2DF54FBDC}"/>
    <cellStyle name="Normal 38 3 5" xfId="9839" xr:uid="{00000000-0005-0000-0000-00007D200000}"/>
    <cellStyle name="Normal 38 3 5 2" xfId="18645" xr:uid="{F236FACD-45E9-4A9D-A984-798E588EEBBA}"/>
    <cellStyle name="Normal 38 3 6" xfId="8237" xr:uid="{00000000-0005-0000-0000-00007E200000}"/>
    <cellStyle name="Normal 38 3 6 2" xfId="17046" xr:uid="{06B0033E-808F-4DC0-AC95-3551AD0DCBBE}"/>
    <cellStyle name="Normal 38 3 7" xfId="11449" xr:uid="{00000000-0005-0000-0000-00007F200000}"/>
    <cellStyle name="Normal 38 3 7 2" xfId="20192" xr:uid="{06B262B2-90E5-4E26-877C-B592F39C9293}"/>
    <cellStyle name="Normal 38 3 8" xfId="13056" xr:uid="{00000000-0005-0000-0000-000080200000}"/>
    <cellStyle name="Normal 38 3 8 2" xfId="21792" xr:uid="{DCF45675-ACAE-48CE-A5B2-8D4489795489}"/>
    <cellStyle name="Normal 38 3 9" xfId="15286" xr:uid="{14FF0DE1-9B85-4B6D-A492-E6E52FA98CA8}"/>
    <cellStyle name="Normal 38 4" xfId="3119" xr:uid="{00000000-0005-0000-0000-000081200000}"/>
    <cellStyle name="Normal 39" xfId="3120" xr:uid="{00000000-0005-0000-0000-000082200000}"/>
    <cellStyle name="Normal 39 2" xfId="3121" xr:uid="{00000000-0005-0000-0000-000083200000}"/>
    <cellStyle name="Normal 39 2 10" xfId="13060" xr:uid="{00000000-0005-0000-0000-000084200000}"/>
    <cellStyle name="Normal 39 2 10 2" xfId="21796" xr:uid="{A9E12763-4A80-4FE5-8241-3A908A1E4035}"/>
    <cellStyle name="Normal 39 2 11" xfId="15290" xr:uid="{DD02B528-2EF3-45FF-861D-8557CD21F15E}"/>
    <cellStyle name="Normal 39 2 2" xfId="3122" xr:uid="{00000000-0005-0000-0000-000085200000}"/>
    <cellStyle name="Normal 39 2 2 2" xfId="3123" xr:uid="{00000000-0005-0000-0000-000086200000}"/>
    <cellStyle name="Normal 39 2 2 2 2" xfId="9845" xr:uid="{00000000-0005-0000-0000-000087200000}"/>
    <cellStyle name="Normal 39 2 2 2 2 2" xfId="18651" xr:uid="{A6A762A0-C74A-4548-A79C-4F992A9A96E3}"/>
    <cellStyle name="Normal 39 2 2 2 3" xfId="8243" xr:uid="{00000000-0005-0000-0000-000088200000}"/>
    <cellStyle name="Normal 39 2 2 2 3 2" xfId="17052" xr:uid="{31F1A19D-BA96-4BDE-89B5-495F64275812}"/>
    <cellStyle name="Normal 39 2 2 2 4" xfId="11455" xr:uid="{00000000-0005-0000-0000-000089200000}"/>
    <cellStyle name="Normal 39 2 2 2 4 2" xfId="20198" xr:uid="{BDB2981C-BD86-4A67-B8E1-A47E25F198F2}"/>
    <cellStyle name="Normal 39 2 2 2 5" xfId="13062" xr:uid="{00000000-0005-0000-0000-00008A200000}"/>
    <cellStyle name="Normal 39 2 2 2 5 2" xfId="21798" xr:uid="{53D2D324-6E68-43BD-B0C7-7095ECA401F7}"/>
    <cellStyle name="Normal 39 2 2 2 6" xfId="15292" xr:uid="{B0AE959B-E58B-46F6-80F6-8B59C0498B65}"/>
    <cellStyle name="Normal 39 2 2 3" xfId="3124" xr:uid="{00000000-0005-0000-0000-00008B200000}"/>
    <cellStyle name="Normal 39 2 2 3 2" xfId="9846" xr:uid="{00000000-0005-0000-0000-00008C200000}"/>
    <cellStyle name="Normal 39 2 2 3 2 2" xfId="18652" xr:uid="{C4DC9978-BAC5-4A20-B65E-D8B367B7847C}"/>
    <cellStyle name="Normal 39 2 2 3 3" xfId="8244" xr:uid="{00000000-0005-0000-0000-00008D200000}"/>
    <cellStyle name="Normal 39 2 2 3 3 2" xfId="17053" xr:uid="{D5CE1F77-DEDC-42C8-96BE-AD163E5166A6}"/>
    <cellStyle name="Normal 39 2 2 3 4" xfId="11456" xr:uid="{00000000-0005-0000-0000-00008E200000}"/>
    <cellStyle name="Normal 39 2 2 3 4 2" xfId="20199" xr:uid="{BDFE7358-CA97-42FA-967D-F059D3E0FA1D}"/>
    <cellStyle name="Normal 39 2 2 3 5" xfId="13063" xr:uid="{00000000-0005-0000-0000-00008F200000}"/>
    <cellStyle name="Normal 39 2 2 3 5 2" xfId="21799" xr:uid="{06C7F352-9E21-4435-8CFD-D2AFF3892DED}"/>
    <cellStyle name="Normal 39 2 2 3 6" xfId="15293" xr:uid="{0615AD5F-22AE-49CC-88E4-398E68E740FF}"/>
    <cellStyle name="Normal 39 2 2 4" xfId="3125" xr:uid="{00000000-0005-0000-0000-000090200000}"/>
    <cellStyle name="Normal 39 2 2 4 2" xfId="9847" xr:uid="{00000000-0005-0000-0000-000091200000}"/>
    <cellStyle name="Normal 39 2 2 4 2 2" xfId="18653" xr:uid="{4350D544-8B5C-453C-A33F-F053B1364E4B}"/>
    <cellStyle name="Normal 39 2 2 4 3" xfId="8245" xr:uid="{00000000-0005-0000-0000-000092200000}"/>
    <cellStyle name="Normal 39 2 2 4 3 2" xfId="17054" xr:uid="{A7897EC6-D078-496F-AACA-F17760DEE150}"/>
    <cellStyle name="Normal 39 2 2 4 4" xfId="11457" xr:uid="{00000000-0005-0000-0000-000093200000}"/>
    <cellStyle name="Normal 39 2 2 4 4 2" xfId="20200" xr:uid="{15D17F65-870A-45F7-8E7B-B308218C7A09}"/>
    <cellStyle name="Normal 39 2 2 4 5" xfId="13064" xr:uid="{00000000-0005-0000-0000-000094200000}"/>
    <cellStyle name="Normal 39 2 2 4 5 2" xfId="21800" xr:uid="{C36DD465-C5DD-4FB8-BF73-0A3D87B3A4EB}"/>
    <cellStyle name="Normal 39 2 2 4 6" xfId="15294" xr:uid="{FB0EC515-6FF2-4E67-B9A1-3AE65836ED5B}"/>
    <cellStyle name="Normal 39 2 2 5" xfId="9844" xr:uid="{00000000-0005-0000-0000-000095200000}"/>
    <cellStyle name="Normal 39 2 2 5 2" xfId="18650" xr:uid="{FFCA796E-30E4-414A-96AF-284E95A5F73A}"/>
    <cellStyle name="Normal 39 2 2 6" xfId="8242" xr:uid="{00000000-0005-0000-0000-000096200000}"/>
    <cellStyle name="Normal 39 2 2 6 2" xfId="17051" xr:uid="{820BB602-C8C8-4F5A-BC45-383D0731407E}"/>
    <cellStyle name="Normal 39 2 2 7" xfId="11454" xr:uid="{00000000-0005-0000-0000-000097200000}"/>
    <cellStyle name="Normal 39 2 2 7 2" xfId="20197" xr:uid="{CF380C7A-408D-4A32-B37C-29D94F43FBC9}"/>
    <cellStyle name="Normal 39 2 2 8" xfId="13061" xr:uid="{00000000-0005-0000-0000-000098200000}"/>
    <cellStyle name="Normal 39 2 2 8 2" xfId="21797" xr:uid="{6F7D7D02-0CCE-4C0C-920D-94380D31989C}"/>
    <cellStyle name="Normal 39 2 2 9" xfId="15291" xr:uid="{97334515-DF0C-4C5A-8418-FDEEEAF7CAC7}"/>
    <cellStyle name="Normal 39 2 3" xfId="3126" xr:uid="{00000000-0005-0000-0000-000099200000}"/>
    <cellStyle name="Normal 39 2 3 2" xfId="3127" xr:uid="{00000000-0005-0000-0000-00009A200000}"/>
    <cellStyle name="Normal 39 2 3 2 2" xfId="9849" xr:uid="{00000000-0005-0000-0000-00009B200000}"/>
    <cellStyle name="Normal 39 2 3 2 2 2" xfId="18655" xr:uid="{B3413514-450A-4CE6-9CFC-8464F49C1A91}"/>
    <cellStyle name="Normal 39 2 3 2 3" xfId="8247" xr:uid="{00000000-0005-0000-0000-00009C200000}"/>
    <cellStyle name="Normal 39 2 3 2 3 2" xfId="17056" xr:uid="{38412AF9-CAA8-45B1-A79B-D64DD36A75E2}"/>
    <cellStyle name="Normal 39 2 3 2 4" xfId="11459" xr:uid="{00000000-0005-0000-0000-00009D200000}"/>
    <cellStyle name="Normal 39 2 3 2 4 2" xfId="20202" xr:uid="{6F348CCA-4F48-4651-8F53-CDDAB81AD4E9}"/>
    <cellStyle name="Normal 39 2 3 2 5" xfId="13066" xr:uid="{00000000-0005-0000-0000-00009E200000}"/>
    <cellStyle name="Normal 39 2 3 2 5 2" xfId="21802" xr:uid="{335C80A4-E2D5-43D3-BE7C-AE72C0C368FD}"/>
    <cellStyle name="Normal 39 2 3 2 6" xfId="15296" xr:uid="{F95FADAE-B7D0-40E8-96A9-D14B7A8E445D}"/>
    <cellStyle name="Normal 39 2 3 3" xfId="3128" xr:uid="{00000000-0005-0000-0000-00009F200000}"/>
    <cellStyle name="Normal 39 2 3 3 2" xfId="9850" xr:uid="{00000000-0005-0000-0000-0000A0200000}"/>
    <cellStyle name="Normal 39 2 3 3 2 2" xfId="18656" xr:uid="{80439DED-CF53-4910-8350-A46AA5EFF6C4}"/>
    <cellStyle name="Normal 39 2 3 3 3" xfId="8248" xr:uid="{00000000-0005-0000-0000-0000A1200000}"/>
    <cellStyle name="Normal 39 2 3 3 3 2" xfId="17057" xr:uid="{ECB506FE-AD3D-45F3-A7B6-8648FE59A7F7}"/>
    <cellStyle name="Normal 39 2 3 3 4" xfId="11460" xr:uid="{00000000-0005-0000-0000-0000A2200000}"/>
    <cellStyle name="Normal 39 2 3 3 4 2" xfId="20203" xr:uid="{6BCB9025-1315-4A60-BC32-2C884B5FC257}"/>
    <cellStyle name="Normal 39 2 3 3 5" xfId="13067" xr:uid="{00000000-0005-0000-0000-0000A3200000}"/>
    <cellStyle name="Normal 39 2 3 3 5 2" xfId="21803" xr:uid="{1055159B-C2E6-4539-8F27-3084921E3A4B}"/>
    <cellStyle name="Normal 39 2 3 3 6" xfId="15297" xr:uid="{73DCC703-1B55-4D45-8FED-D4D5654FA84D}"/>
    <cellStyle name="Normal 39 2 3 4" xfId="3129" xr:uid="{00000000-0005-0000-0000-0000A4200000}"/>
    <cellStyle name="Normal 39 2 3 4 2" xfId="9851" xr:uid="{00000000-0005-0000-0000-0000A5200000}"/>
    <cellStyle name="Normal 39 2 3 4 2 2" xfId="18657" xr:uid="{C95D7813-E49D-4C5B-AF87-26B52378BA5E}"/>
    <cellStyle name="Normal 39 2 3 4 3" xfId="8249" xr:uid="{00000000-0005-0000-0000-0000A6200000}"/>
    <cellStyle name="Normal 39 2 3 4 3 2" xfId="17058" xr:uid="{07FC4817-E6CC-4A9E-B8D8-1C1125EE5346}"/>
    <cellStyle name="Normal 39 2 3 4 4" xfId="11461" xr:uid="{00000000-0005-0000-0000-0000A7200000}"/>
    <cellStyle name="Normal 39 2 3 4 4 2" xfId="20204" xr:uid="{9C4BA682-8E26-48D3-A49D-34BAE56D3416}"/>
    <cellStyle name="Normal 39 2 3 4 5" xfId="13068" xr:uid="{00000000-0005-0000-0000-0000A8200000}"/>
    <cellStyle name="Normal 39 2 3 4 5 2" xfId="21804" xr:uid="{3E5FD560-E12C-482C-8498-99EFBE12F551}"/>
    <cellStyle name="Normal 39 2 3 4 6" xfId="15298" xr:uid="{54895EB3-0A18-41D3-835B-D6EA645FD58E}"/>
    <cellStyle name="Normal 39 2 3 5" xfId="9848" xr:uid="{00000000-0005-0000-0000-0000A9200000}"/>
    <cellStyle name="Normal 39 2 3 5 2" xfId="18654" xr:uid="{50394DFD-1FEF-4DAA-B8FB-E629E30A98EA}"/>
    <cellStyle name="Normal 39 2 3 6" xfId="8246" xr:uid="{00000000-0005-0000-0000-0000AA200000}"/>
    <cellStyle name="Normal 39 2 3 6 2" xfId="17055" xr:uid="{3106B17E-892D-4B5F-80B1-3D6CB07768F9}"/>
    <cellStyle name="Normal 39 2 3 7" xfId="11458" xr:uid="{00000000-0005-0000-0000-0000AB200000}"/>
    <cellStyle name="Normal 39 2 3 7 2" xfId="20201" xr:uid="{68AC7AB6-C5F3-40F3-B84A-2C4575E76C30}"/>
    <cellStyle name="Normal 39 2 3 8" xfId="13065" xr:uid="{00000000-0005-0000-0000-0000AC200000}"/>
    <cellStyle name="Normal 39 2 3 8 2" xfId="21801" xr:uid="{E9B4A080-180E-4DB4-9FA7-C061FD348D9D}"/>
    <cellStyle name="Normal 39 2 3 9" xfId="15295" xr:uid="{00E91466-3489-47B8-B247-0EF8CFAE0077}"/>
    <cellStyle name="Normal 39 2 4" xfId="3130" xr:uid="{00000000-0005-0000-0000-0000AD200000}"/>
    <cellStyle name="Normal 39 2 4 2" xfId="9852" xr:uid="{00000000-0005-0000-0000-0000AE200000}"/>
    <cellStyle name="Normal 39 2 4 2 2" xfId="18658" xr:uid="{5DC7C16A-837B-4080-BB9C-DA46AA1CE523}"/>
    <cellStyle name="Normal 39 2 4 3" xfId="8250" xr:uid="{00000000-0005-0000-0000-0000AF200000}"/>
    <cellStyle name="Normal 39 2 4 3 2" xfId="17059" xr:uid="{67DDD603-930C-485F-8F95-7FC346D11C09}"/>
    <cellStyle name="Normal 39 2 4 4" xfId="11462" xr:uid="{00000000-0005-0000-0000-0000B0200000}"/>
    <cellStyle name="Normal 39 2 4 4 2" xfId="20205" xr:uid="{EB357403-986C-479F-A9F3-0A5C307F1705}"/>
    <cellStyle name="Normal 39 2 4 5" xfId="13069" xr:uid="{00000000-0005-0000-0000-0000B1200000}"/>
    <cellStyle name="Normal 39 2 4 5 2" xfId="21805" xr:uid="{5EDF0CDE-0DBA-4DC5-BA30-360F9F6744DA}"/>
    <cellStyle name="Normal 39 2 4 6" xfId="15299" xr:uid="{7028B072-E380-4066-A508-73AA7A240EFB}"/>
    <cellStyle name="Normal 39 2 5" xfId="3131" xr:uid="{00000000-0005-0000-0000-0000B2200000}"/>
    <cellStyle name="Normal 39 2 5 2" xfId="9853" xr:uid="{00000000-0005-0000-0000-0000B3200000}"/>
    <cellStyle name="Normal 39 2 5 2 2" xfId="18659" xr:uid="{F8ABC3B6-9D8A-4A98-8C6C-D978CB03BF6F}"/>
    <cellStyle name="Normal 39 2 5 3" xfId="8251" xr:uid="{00000000-0005-0000-0000-0000B4200000}"/>
    <cellStyle name="Normal 39 2 5 3 2" xfId="17060" xr:uid="{AFF1D7AC-B388-4434-AD81-018BFB72DBDC}"/>
    <cellStyle name="Normal 39 2 5 4" xfId="11463" xr:uid="{00000000-0005-0000-0000-0000B5200000}"/>
    <cellStyle name="Normal 39 2 5 4 2" xfId="20206" xr:uid="{0FB6A1E1-2B7B-4B96-A728-281CDD503FD1}"/>
    <cellStyle name="Normal 39 2 5 5" xfId="13070" xr:uid="{00000000-0005-0000-0000-0000B6200000}"/>
    <cellStyle name="Normal 39 2 5 5 2" xfId="21806" xr:uid="{82E7F29C-8AA9-46C5-B995-A17B2E0A4AB4}"/>
    <cellStyle name="Normal 39 2 5 6" xfId="15300" xr:uid="{FA6401A3-C148-47F4-A8C6-695074A333B2}"/>
    <cellStyle name="Normal 39 2 6" xfId="3132" xr:uid="{00000000-0005-0000-0000-0000B7200000}"/>
    <cellStyle name="Normal 39 2 6 2" xfId="9854" xr:uid="{00000000-0005-0000-0000-0000B8200000}"/>
    <cellStyle name="Normal 39 2 6 2 2" xfId="18660" xr:uid="{3542463C-817D-4EC9-A5C1-D3A50A67B8DE}"/>
    <cellStyle name="Normal 39 2 6 3" xfId="8252" xr:uid="{00000000-0005-0000-0000-0000B9200000}"/>
    <cellStyle name="Normal 39 2 6 3 2" xfId="17061" xr:uid="{91FE2539-1FCD-4D8C-B3E3-503BAE4C0F32}"/>
    <cellStyle name="Normal 39 2 6 4" xfId="11464" xr:uid="{00000000-0005-0000-0000-0000BA200000}"/>
    <cellStyle name="Normal 39 2 6 4 2" xfId="20207" xr:uid="{89D017B5-0B5C-41CB-B321-556E4932B8DE}"/>
    <cellStyle name="Normal 39 2 6 5" xfId="13071" xr:uid="{00000000-0005-0000-0000-0000BB200000}"/>
    <cellStyle name="Normal 39 2 6 5 2" xfId="21807" xr:uid="{DE2AE908-3AF9-45CF-89CF-C86DE7C25F09}"/>
    <cellStyle name="Normal 39 2 6 6" xfId="15301" xr:uid="{300A95A1-92EB-42C4-ACA6-673AAF8DF83E}"/>
    <cellStyle name="Normal 39 2 7" xfId="9843" xr:uid="{00000000-0005-0000-0000-0000BC200000}"/>
    <cellStyle name="Normal 39 2 7 2" xfId="18649" xr:uid="{34FEFD9F-FDAC-4903-84F9-F59C7CC05EDA}"/>
    <cellStyle name="Normal 39 2 8" xfId="8241" xr:uid="{00000000-0005-0000-0000-0000BD200000}"/>
    <cellStyle name="Normal 39 2 8 2" xfId="17050" xr:uid="{73A32AEB-5AE4-4773-907B-8938A48A9E33}"/>
    <cellStyle name="Normal 39 2 9" xfId="11453" xr:uid="{00000000-0005-0000-0000-0000BE200000}"/>
    <cellStyle name="Normal 39 2 9 2" xfId="20196" xr:uid="{9F274D51-21CE-48AC-A268-0C955887CDD5}"/>
    <cellStyle name="Normal 39 3" xfId="3133" xr:uid="{00000000-0005-0000-0000-0000BF200000}"/>
    <cellStyle name="Normal 39 3 2" xfId="3134" xr:uid="{00000000-0005-0000-0000-0000C0200000}"/>
    <cellStyle name="Normal 39 3 2 2" xfId="9856" xr:uid="{00000000-0005-0000-0000-0000C1200000}"/>
    <cellStyle name="Normal 39 3 2 2 2" xfId="18662" xr:uid="{2288BA57-39DF-4035-81CC-DE305402C26F}"/>
    <cellStyle name="Normal 39 3 2 3" xfId="8254" xr:uid="{00000000-0005-0000-0000-0000C2200000}"/>
    <cellStyle name="Normal 39 3 2 3 2" xfId="17063" xr:uid="{AA55CC1A-9DA8-4AA1-9102-99677FDE3B45}"/>
    <cellStyle name="Normal 39 3 2 4" xfId="11466" xr:uid="{00000000-0005-0000-0000-0000C3200000}"/>
    <cellStyle name="Normal 39 3 2 4 2" xfId="20209" xr:uid="{AAE993B9-368F-42C6-B0A0-9AF22F449C11}"/>
    <cellStyle name="Normal 39 3 2 5" xfId="13073" xr:uid="{00000000-0005-0000-0000-0000C4200000}"/>
    <cellStyle name="Normal 39 3 2 5 2" xfId="21809" xr:uid="{4A7CBE8A-9A1C-4DED-8C29-086BFCC5592B}"/>
    <cellStyle name="Normal 39 3 2 6" xfId="15303" xr:uid="{E45925F9-0F41-4258-8355-2F1DE42F4228}"/>
    <cellStyle name="Normal 39 3 3" xfId="3135" xr:uid="{00000000-0005-0000-0000-0000C5200000}"/>
    <cellStyle name="Normal 39 3 3 2" xfId="9857" xr:uid="{00000000-0005-0000-0000-0000C6200000}"/>
    <cellStyle name="Normal 39 3 3 2 2" xfId="18663" xr:uid="{C8286A22-2656-468D-97CD-855E228A4565}"/>
    <cellStyle name="Normal 39 3 3 3" xfId="8255" xr:uid="{00000000-0005-0000-0000-0000C7200000}"/>
    <cellStyle name="Normal 39 3 3 3 2" xfId="17064" xr:uid="{3E942468-C975-4754-A5E3-BFD8D05B03C4}"/>
    <cellStyle name="Normal 39 3 3 4" xfId="11467" xr:uid="{00000000-0005-0000-0000-0000C8200000}"/>
    <cellStyle name="Normal 39 3 3 4 2" xfId="20210" xr:uid="{97F1E44E-35F3-43FB-8E7A-B32BF96D57A4}"/>
    <cellStyle name="Normal 39 3 3 5" xfId="13074" xr:uid="{00000000-0005-0000-0000-0000C9200000}"/>
    <cellStyle name="Normal 39 3 3 5 2" xfId="21810" xr:uid="{1EFFD266-2F26-4F7D-8232-7FEF441C53C6}"/>
    <cellStyle name="Normal 39 3 3 6" xfId="15304" xr:uid="{413BCD14-C10D-4C8B-9288-BEBE315A878D}"/>
    <cellStyle name="Normal 39 3 4" xfId="3136" xr:uid="{00000000-0005-0000-0000-0000CA200000}"/>
    <cellStyle name="Normal 39 3 4 2" xfId="9858" xr:uid="{00000000-0005-0000-0000-0000CB200000}"/>
    <cellStyle name="Normal 39 3 4 2 2" xfId="18664" xr:uid="{233BB7CC-6B1B-4C4B-89E7-C8225E371275}"/>
    <cellStyle name="Normal 39 3 4 3" xfId="8256" xr:uid="{00000000-0005-0000-0000-0000CC200000}"/>
    <cellStyle name="Normal 39 3 4 3 2" xfId="17065" xr:uid="{644090A2-7239-4450-8F0E-05F484D7E9FD}"/>
    <cellStyle name="Normal 39 3 4 4" xfId="11468" xr:uid="{00000000-0005-0000-0000-0000CD200000}"/>
    <cellStyle name="Normal 39 3 4 4 2" xfId="20211" xr:uid="{C9976751-BA1F-4BD7-9D8E-E7EA49778521}"/>
    <cellStyle name="Normal 39 3 4 5" xfId="13075" xr:uid="{00000000-0005-0000-0000-0000CE200000}"/>
    <cellStyle name="Normal 39 3 4 5 2" xfId="21811" xr:uid="{C25A23A9-46BD-4DEC-9167-5D462C15E27D}"/>
    <cellStyle name="Normal 39 3 4 6" xfId="15305" xr:uid="{E14F1260-39FC-4E5F-B977-7B6DD11F4C5E}"/>
    <cellStyle name="Normal 39 3 5" xfId="9855" xr:uid="{00000000-0005-0000-0000-0000CF200000}"/>
    <cellStyle name="Normal 39 3 5 2" xfId="18661" xr:uid="{41DCCCE8-3B97-436C-A40F-78B2E1CC6225}"/>
    <cellStyle name="Normal 39 3 6" xfId="8253" xr:uid="{00000000-0005-0000-0000-0000D0200000}"/>
    <cellStyle name="Normal 39 3 6 2" xfId="17062" xr:uid="{3BED6D28-024B-4A31-9163-834CB934A935}"/>
    <cellStyle name="Normal 39 3 7" xfId="11465" xr:uid="{00000000-0005-0000-0000-0000D1200000}"/>
    <cellStyle name="Normal 39 3 7 2" xfId="20208" xr:uid="{12B5E506-6369-4404-8FCB-4E1B9B71039E}"/>
    <cellStyle name="Normal 39 3 8" xfId="13072" xr:uid="{00000000-0005-0000-0000-0000D2200000}"/>
    <cellStyle name="Normal 39 3 8 2" xfId="21808" xr:uid="{23C4F329-255B-4A78-AC87-42B3455932DB}"/>
    <cellStyle name="Normal 39 3 9" xfId="15302" xr:uid="{FCD1CDBC-5A0F-46EC-90E4-9FC70FA08B99}"/>
    <cellStyle name="Normal 39 4" xfId="3137" xr:uid="{00000000-0005-0000-0000-0000D3200000}"/>
    <cellStyle name="Normal 4" xfId="106" xr:uid="{00000000-0005-0000-0000-0000D4200000}"/>
    <cellStyle name="Normal 4 10" xfId="3138" xr:uid="{00000000-0005-0000-0000-0000D5200000}"/>
    <cellStyle name="Normal 4 11" xfId="5766" xr:uid="{00000000-0005-0000-0000-0000D6200000}"/>
    <cellStyle name="Normal 4 2" xfId="139" xr:uid="{00000000-0005-0000-0000-0000D7200000}"/>
    <cellStyle name="Normal 4 2 2" xfId="3139" xr:uid="{00000000-0005-0000-0000-0000D8200000}"/>
    <cellStyle name="Normal 4 2 2 2" xfId="3140" xr:uid="{00000000-0005-0000-0000-0000D9200000}"/>
    <cellStyle name="Normal 4 2 3" xfId="3141" xr:uid="{00000000-0005-0000-0000-0000DA200000}"/>
    <cellStyle name="Normal 4 2 3 2" xfId="3142" xr:uid="{00000000-0005-0000-0000-0000DB200000}"/>
    <cellStyle name="Normal 4 2 3 2 2" xfId="3143" xr:uid="{00000000-0005-0000-0000-0000DC200000}"/>
    <cellStyle name="Normal 4 2 3 2 2 2" xfId="3144" xr:uid="{00000000-0005-0000-0000-0000DD200000}"/>
    <cellStyle name="Normal 4 2 3 2 2 3" xfId="3145" xr:uid="{00000000-0005-0000-0000-0000DE200000}"/>
    <cellStyle name="Normal 4 2 3 2 2 4" xfId="3146" xr:uid="{00000000-0005-0000-0000-0000DF200000}"/>
    <cellStyle name="Normal 4 2 3 2 3" xfId="3147" xr:uid="{00000000-0005-0000-0000-0000E0200000}"/>
    <cellStyle name="Normal 4 2 3 2 4" xfId="3148" xr:uid="{00000000-0005-0000-0000-0000E1200000}"/>
    <cellStyle name="Normal 4 2 3 3" xfId="3149" xr:uid="{00000000-0005-0000-0000-0000E2200000}"/>
    <cellStyle name="Normal 4 2 3 4" xfId="3150" xr:uid="{00000000-0005-0000-0000-0000E3200000}"/>
    <cellStyle name="Normal 4 2 3 5" xfId="3151" xr:uid="{00000000-0005-0000-0000-0000E4200000}"/>
    <cellStyle name="Normal 4 2 3 6" xfId="3152" xr:uid="{00000000-0005-0000-0000-0000E5200000}"/>
    <cellStyle name="Normal 4 2 3 7" xfId="3153" xr:uid="{00000000-0005-0000-0000-0000E6200000}"/>
    <cellStyle name="Normal 4 2 4" xfId="3154" xr:uid="{00000000-0005-0000-0000-0000E7200000}"/>
    <cellStyle name="Normal 4 2 4 2" xfId="3155" xr:uid="{00000000-0005-0000-0000-0000E8200000}"/>
    <cellStyle name="Normal 4 2 4 3" xfId="3156" xr:uid="{00000000-0005-0000-0000-0000E9200000}"/>
    <cellStyle name="Normal 4 2 4 4" xfId="3157" xr:uid="{00000000-0005-0000-0000-0000EA200000}"/>
    <cellStyle name="Normal 4 2 5" xfId="3158" xr:uid="{00000000-0005-0000-0000-0000EB200000}"/>
    <cellStyle name="Normal 4 2 5 2" xfId="3159" xr:uid="{00000000-0005-0000-0000-0000EC200000}"/>
    <cellStyle name="Normal 4 2 5 3" xfId="3160" xr:uid="{00000000-0005-0000-0000-0000ED200000}"/>
    <cellStyle name="Normal 4 2 5 4" xfId="3161" xr:uid="{00000000-0005-0000-0000-0000EE200000}"/>
    <cellStyle name="Normal 4 3" xfId="3162" xr:uid="{00000000-0005-0000-0000-0000EF200000}"/>
    <cellStyle name="Normal 4 3 10" xfId="13076" xr:uid="{00000000-0005-0000-0000-0000F0200000}"/>
    <cellStyle name="Normal 4 3 10 2" xfId="21812" xr:uid="{592B8289-E245-4FA5-853B-B2B5160EA3E0}"/>
    <cellStyle name="Normal 4 3 11" xfId="15306" xr:uid="{4A86AA43-B534-4953-903C-D8E3BD00068A}"/>
    <cellStyle name="Normal 4 3 2" xfId="3163" xr:uid="{00000000-0005-0000-0000-0000F1200000}"/>
    <cellStyle name="Normal 4 3 2 2" xfId="3164" xr:uid="{00000000-0005-0000-0000-0000F2200000}"/>
    <cellStyle name="Normal 4 3 2 2 2" xfId="9861" xr:uid="{00000000-0005-0000-0000-0000F3200000}"/>
    <cellStyle name="Normal 4 3 2 2 2 2" xfId="18667" xr:uid="{A18A57AA-287F-4E54-99BE-ADF6215B6073}"/>
    <cellStyle name="Normal 4 3 2 2 3" xfId="8259" xr:uid="{00000000-0005-0000-0000-0000F4200000}"/>
    <cellStyle name="Normal 4 3 2 2 3 2" xfId="17068" xr:uid="{207FD848-2609-4042-A14A-C64E7098C265}"/>
    <cellStyle name="Normal 4 3 2 2 4" xfId="11471" xr:uid="{00000000-0005-0000-0000-0000F5200000}"/>
    <cellStyle name="Normal 4 3 2 2 4 2" xfId="20214" xr:uid="{4D39F53B-AD80-465E-89E2-E14562403D10}"/>
    <cellStyle name="Normal 4 3 2 2 5" xfId="13078" xr:uid="{00000000-0005-0000-0000-0000F6200000}"/>
    <cellStyle name="Normal 4 3 2 2 5 2" xfId="21814" xr:uid="{7DED99BC-E7FD-467D-A34D-439A987B80C9}"/>
    <cellStyle name="Normal 4 3 2 2 6" xfId="15308" xr:uid="{98A23AE5-2B95-4DB4-9842-4502CF244555}"/>
    <cellStyle name="Normal 4 3 2 3" xfId="3165" xr:uid="{00000000-0005-0000-0000-0000F7200000}"/>
    <cellStyle name="Normal 4 3 2 3 2" xfId="9862" xr:uid="{00000000-0005-0000-0000-0000F8200000}"/>
    <cellStyle name="Normal 4 3 2 3 2 2" xfId="18668" xr:uid="{9FF95EA1-AAC2-461A-A436-8AE815DAD64C}"/>
    <cellStyle name="Normal 4 3 2 3 3" xfId="8260" xr:uid="{00000000-0005-0000-0000-0000F9200000}"/>
    <cellStyle name="Normal 4 3 2 3 3 2" xfId="17069" xr:uid="{A0FDD679-ED9A-406E-AA1A-FCF67D695C73}"/>
    <cellStyle name="Normal 4 3 2 3 4" xfId="11472" xr:uid="{00000000-0005-0000-0000-0000FA200000}"/>
    <cellStyle name="Normal 4 3 2 3 4 2" xfId="20215" xr:uid="{5E0942DD-1DEA-4FD8-9A3B-5E53D6BD738F}"/>
    <cellStyle name="Normal 4 3 2 3 5" xfId="13079" xr:uid="{00000000-0005-0000-0000-0000FB200000}"/>
    <cellStyle name="Normal 4 3 2 3 5 2" xfId="21815" xr:uid="{C25EE959-03D0-42BE-93C3-09BCB49E2388}"/>
    <cellStyle name="Normal 4 3 2 3 6" xfId="15309" xr:uid="{01475143-576F-4B58-9A5F-E75E38589958}"/>
    <cellStyle name="Normal 4 3 2 4" xfId="3166" xr:uid="{00000000-0005-0000-0000-0000FC200000}"/>
    <cellStyle name="Normal 4 3 2 4 2" xfId="9863" xr:uid="{00000000-0005-0000-0000-0000FD200000}"/>
    <cellStyle name="Normal 4 3 2 4 2 2" xfId="18669" xr:uid="{9F8A57DB-CF96-4739-A47E-F15A42291CE2}"/>
    <cellStyle name="Normal 4 3 2 4 3" xfId="8261" xr:uid="{00000000-0005-0000-0000-0000FE200000}"/>
    <cellStyle name="Normal 4 3 2 4 3 2" xfId="17070" xr:uid="{1DDD8646-1049-4AD2-B145-FD1116B0F658}"/>
    <cellStyle name="Normal 4 3 2 4 4" xfId="11473" xr:uid="{00000000-0005-0000-0000-0000FF200000}"/>
    <cellStyle name="Normal 4 3 2 4 4 2" xfId="20216" xr:uid="{B6372B92-0C8D-410B-AB3C-671834F621E2}"/>
    <cellStyle name="Normal 4 3 2 4 5" xfId="13080" xr:uid="{00000000-0005-0000-0000-000000210000}"/>
    <cellStyle name="Normal 4 3 2 4 5 2" xfId="21816" xr:uid="{F53F372F-715B-42C4-B247-D137738940F7}"/>
    <cellStyle name="Normal 4 3 2 4 6" xfId="15310" xr:uid="{4783F4DB-8EA1-4F15-A9B5-7A09DDB60569}"/>
    <cellStyle name="Normal 4 3 2 5" xfId="9860" xr:uid="{00000000-0005-0000-0000-000001210000}"/>
    <cellStyle name="Normal 4 3 2 5 2" xfId="18666" xr:uid="{56A21E7B-545D-4828-9451-071672A3D70A}"/>
    <cellStyle name="Normal 4 3 2 6" xfId="8258" xr:uid="{00000000-0005-0000-0000-000002210000}"/>
    <cellStyle name="Normal 4 3 2 6 2" xfId="17067" xr:uid="{DB419E2A-CE11-4E70-BB9C-39C86E826C0F}"/>
    <cellStyle name="Normal 4 3 2 7" xfId="11470" xr:uid="{00000000-0005-0000-0000-000003210000}"/>
    <cellStyle name="Normal 4 3 2 7 2" xfId="20213" xr:uid="{9F1257F9-A644-4CD4-954A-A46045BF2767}"/>
    <cellStyle name="Normal 4 3 2 8" xfId="13077" xr:uid="{00000000-0005-0000-0000-000004210000}"/>
    <cellStyle name="Normal 4 3 2 8 2" xfId="21813" xr:uid="{730BE570-6549-4662-BD9D-50661DFE07FE}"/>
    <cellStyle name="Normal 4 3 2 9" xfId="15307" xr:uid="{CB9638C4-A5E1-4CDD-BC88-C0C76C0B40EB}"/>
    <cellStyle name="Normal 4 3 3" xfId="3167" xr:uid="{00000000-0005-0000-0000-000005210000}"/>
    <cellStyle name="Normal 4 3 3 2" xfId="3168" xr:uid="{00000000-0005-0000-0000-000006210000}"/>
    <cellStyle name="Normal 4 3 3 2 2" xfId="9865" xr:uid="{00000000-0005-0000-0000-000007210000}"/>
    <cellStyle name="Normal 4 3 3 2 2 2" xfId="18671" xr:uid="{BDC6EB83-734D-46A9-9C65-1276DB2272A0}"/>
    <cellStyle name="Normal 4 3 3 2 3" xfId="8263" xr:uid="{00000000-0005-0000-0000-000008210000}"/>
    <cellStyle name="Normal 4 3 3 2 3 2" xfId="17072" xr:uid="{A795E3DA-AFD8-434E-AF5A-4A11024D3DEF}"/>
    <cellStyle name="Normal 4 3 3 2 4" xfId="11475" xr:uid="{00000000-0005-0000-0000-000009210000}"/>
    <cellStyle name="Normal 4 3 3 2 4 2" xfId="20218" xr:uid="{B216BD7E-D77B-4F62-AD70-7A6CB47EE82C}"/>
    <cellStyle name="Normal 4 3 3 2 5" xfId="13082" xr:uid="{00000000-0005-0000-0000-00000A210000}"/>
    <cellStyle name="Normal 4 3 3 2 5 2" xfId="21818" xr:uid="{71CC895D-46B8-4D6E-B939-2A291C9163B5}"/>
    <cellStyle name="Normal 4 3 3 2 6" xfId="15312" xr:uid="{5E176AEA-47F8-4D7E-8E3A-C6FD976BE726}"/>
    <cellStyle name="Normal 4 3 3 3" xfId="3169" xr:uid="{00000000-0005-0000-0000-00000B210000}"/>
    <cellStyle name="Normal 4 3 3 3 2" xfId="9866" xr:uid="{00000000-0005-0000-0000-00000C210000}"/>
    <cellStyle name="Normal 4 3 3 3 2 2" xfId="18672" xr:uid="{E1BB3218-C626-4529-BCD5-56E2CEC7DAF9}"/>
    <cellStyle name="Normal 4 3 3 3 3" xfId="8264" xr:uid="{00000000-0005-0000-0000-00000D210000}"/>
    <cellStyle name="Normal 4 3 3 3 3 2" xfId="17073" xr:uid="{40E56221-8B82-45D0-888A-BCCE1B48A557}"/>
    <cellStyle name="Normal 4 3 3 3 4" xfId="11476" xr:uid="{00000000-0005-0000-0000-00000E210000}"/>
    <cellStyle name="Normal 4 3 3 3 4 2" xfId="20219" xr:uid="{ABEC6AB9-A409-4482-94BF-E22DA953BB87}"/>
    <cellStyle name="Normal 4 3 3 3 5" xfId="13083" xr:uid="{00000000-0005-0000-0000-00000F210000}"/>
    <cellStyle name="Normal 4 3 3 3 5 2" xfId="21819" xr:uid="{F1F89A50-951E-4950-B702-9797D5569C3C}"/>
    <cellStyle name="Normal 4 3 3 3 6" xfId="15313" xr:uid="{BFCF4123-EEFF-4C49-9313-77CB08920BA8}"/>
    <cellStyle name="Normal 4 3 3 4" xfId="3170" xr:uid="{00000000-0005-0000-0000-000010210000}"/>
    <cellStyle name="Normal 4 3 3 4 2" xfId="9867" xr:uid="{00000000-0005-0000-0000-000011210000}"/>
    <cellStyle name="Normal 4 3 3 4 2 2" xfId="18673" xr:uid="{2F076106-C520-4883-88C6-4E0CF4E338B1}"/>
    <cellStyle name="Normal 4 3 3 4 3" xfId="8265" xr:uid="{00000000-0005-0000-0000-000012210000}"/>
    <cellStyle name="Normal 4 3 3 4 3 2" xfId="17074" xr:uid="{E1CF184A-590C-4C6B-A1E9-EBF5B074C269}"/>
    <cellStyle name="Normal 4 3 3 4 4" xfId="11477" xr:uid="{00000000-0005-0000-0000-000013210000}"/>
    <cellStyle name="Normal 4 3 3 4 4 2" xfId="20220" xr:uid="{AC8B1D3A-474D-46CE-B5B3-70661289F45B}"/>
    <cellStyle name="Normal 4 3 3 4 5" xfId="13084" xr:uid="{00000000-0005-0000-0000-000014210000}"/>
    <cellStyle name="Normal 4 3 3 4 5 2" xfId="21820" xr:uid="{00EC6829-0244-4637-A7F5-7DDB071B0059}"/>
    <cellStyle name="Normal 4 3 3 4 6" xfId="15314" xr:uid="{E8957ADF-0E37-4ED6-B6A3-BB27696A0D75}"/>
    <cellStyle name="Normal 4 3 3 5" xfId="9864" xr:uid="{00000000-0005-0000-0000-000015210000}"/>
    <cellStyle name="Normal 4 3 3 5 2" xfId="18670" xr:uid="{BDF7CD3A-AE00-4D65-8D28-50DD00BEEC10}"/>
    <cellStyle name="Normal 4 3 3 6" xfId="8262" xr:uid="{00000000-0005-0000-0000-000016210000}"/>
    <cellStyle name="Normal 4 3 3 6 2" xfId="17071" xr:uid="{2C48F4AD-658E-4082-AD8E-D404F4C8517B}"/>
    <cellStyle name="Normal 4 3 3 7" xfId="11474" xr:uid="{00000000-0005-0000-0000-000017210000}"/>
    <cellStyle name="Normal 4 3 3 7 2" xfId="20217" xr:uid="{7A1D0E51-F074-4429-8892-A9BE776DF656}"/>
    <cellStyle name="Normal 4 3 3 8" xfId="13081" xr:uid="{00000000-0005-0000-0000-000018210000}"/>
    <cellStyle name="Normal 4 3 3 8 2" xfId="21817" xr:uid="{AB3B8583-5399-4708-8423-7F2AF71965FD}"/>
    <cellStyle name="Normal 4 3 3 9" xfId="15311" xr:uid="{21355666-AB9F-4CA9-AD4E-9D44ACF95FB3}"/>
    <cellStyle name="Normal 4 3 4" xfId="3171" xr:uid="{00000000-0005-0000-0000-000019210000}"/>
    <cellStyle name="Normal 4 3 4 2" xfId="9868" xr:uid="{00000000-0005-0000-0000-00001A210000}"/>
    <cellStyle name="Normal 4 3 4 2 2" xfId="18674" xr:uid="{CFD8974D-2AB3-4A04-B358-1EB747CDD047}"/>
    <cellStyle name="Normal 4 3 4 3" xfId="8266" xr:uid="{00000000-0005-0000-0000-00001B210000}"/>
    <cellStyle name="Normal 4 3 4 3 2" xfId="17075" xr:uid="{D51F8772-DE1C-4661-8B66-7767F935FC7C}"/>
    <cellStyle name="Normal 4 3 4 4" xfId="11478" xr:uid="{00000000-0005-0000-0000-00001C210000}"/>
    <cellStyle name="Normal 4 3 4 4 2" xfId="20221" xr:uid="{025C4ACA-E535-4611-BB05-F4A45D1B50F2}"/>
    <cellStyle name="Normal 4 3 4 5" xfId="13085" xr:uid="{00000000-0005-0000-0000-00001D210000}"/>
    <cellStyle name="Normal 4 3 4 5 2" xfId="21821" xr:uid="{8108500C-6880-41AC-AF6E-C285C33CFBC3}"/>
    <cellStyle name="Normal 4 3 4 6" xfId="15315" xr:uid="{0B667F67-8EBB-4EEC-8E50-E5836541A6F5}"/>
    <cellStyle name="Normal 4 3 5" xfId="3172" xr:uid="{00000000-0005-0000-0000-00001E210000}"/>
    <cellStyle name="Normal 4 3 5 2" xfId="9869" xr:uid="{00000000-0005-0000-0000-00001F210000}"/>
    <cellStyle name="Normal 4 3 5 2 2" xfId="18675" xr:uid="{BD2FF44B-4902-4B3F-A39A-D74A39699661}"/>
    <cellStyle name="Normal 4 3 5 3" xfId="8267" xr:uid="{00000000-0005-0000-0000-000020210000}"/>
    <cellStyle name="Normal 4 3 5 3 2" xfId="17076" xr:uid="{19924BCC-8896-44EE-892F-411141BF27A1}"/>
    <cellStyle name="Normal 4 3 5 4" xfId="11479" xr:uid="{00000000-0005-0000-0000-000021210000}"/>
    <cellStyle name="Normal 4 3 5 4 2" xfId="20222" xr:uid="{5DE8DF96-FCB8-4BDE-8933-7F9C1C285D7D}"/>
    <cellStyle name="Normal 4 3 5 5" xfId="13086" xr:uid="{00000000-0005-0000-0000-000022210000}"/>
    <cellStyle name="Normal 4 3 5 5 2" xfId="21822" xr:uid="{6E10C381-2856-4FBC-A441-FCA98C143BB0}"/>
    <cellStyle name="Normal 4 3 5 6" xfId="15316" xr:uid="{F7282ECE-9050-42B4-A5C4-F9C289A71D33}"/>
    <cellStyle name="Normal 4 3 6" xfId="3173" xr:uid="{00000000-0005-0000-0000-000023210000}"/>
    <cellStyle name="Normal 4 3 6 2" xfId="9870" xr:uid="{00000000-0005-0000-0000-000024210000}"/>
    <cellStyle name="Normal 4 3 6 2 2" xfId="18676" xr:uid="{1C63E9A5-4D9F-4EFB-A026-DB1399D2A922}"/>
    <cellStyle name="Normal 4 3 6 3" xfId="8268" xr:uid="{00000000-0005-0000-0000-000025210000}"/>
    <cellStyle name="Normal 4 3 6 3 2" xfId="17077" xr:uid="{C281AB8F-3336-4360-A860-47D92BF5527F}"/>
    <cellStyle name="Normal 4 3 6 4" xfId="11480" xr:uid="{00000000-0005-0000-0000-000026210000}"/>
    <cellStyle name="Normal 4 3 6 4 2" xfId="20223" xr:uid="{DCE29EF3-0694-4169-97C9-827924595069}"/>
    <cellStyle name="Normal 4 3 6 5" xfId="13087" xr:uid="{00000000-0005-0000-0000-000027210000}"/>
    <cellStyle name="Normal 4 3 6 5 2" xfId="21823" xr:uid="{557C9D12-A420-4109-A718-9F1150EE7079}"/>
    <cellStyle name="Normal 4 3 6 6" xfId="15317" xr:uid="{75986A6D-8DD3-4EA6-9532-6FE221CE4E82}"/>
    <cellStyle name="Normal 4 3 7" xfId="9859" xr:uid="{00000000-0005-0000-0000-000028210000}"/>
    <cellStyle name="Normal 4 3 7 2" xfId="18665" xr:uid="{F47B0D8E-4353-4699-9E98-4CAC484149CF}"/>
    <cellStyle name="Normal 4 3 8" xfId="8257" xr:uid="{00000000-0005-0000-0000-000029210000}"/>
    <cellStyle name="Normal 4 3 8 2" xfId="17066" xr:uid="{1411B65F-E9DB-40D0-9ACE-13AFA2E32881}"/>
    <cellStyle name="Normal 4 3 9" xfId="11469" xr:uid="{00000000-0005-0000-0000-00002A210000}"/>
    <cellStyle name="Normal 4 3 9 2" xfId="20212" xr:uid="{0931F354-5947-4D69-8AFB-C26C1EE5B2B2}"/>
    <cellStyle name="Normal 4 4" xfId="3174" xr:uid="{00000000-0005-0000-0000-00002B210000}"/>
    <cellStyle name="Normal 4 4 2" xfId="3175" xr:uid="{00000000-0005-0000-0000-00002C210000}"/>
    <cellStyle name="Normal 4 5" xfId="3176" xr:uid="{00000000-0005-0000-0000-00002D210000}"/>
    <cellStyle name="Normal 4 5 2" xfId="3177" xr:uid="{00000000-0005-0000-0000-00002E210000}"/>
    <cellStyle name="Normal 4 5 3" xfId="3178" xr:uid="{00000000-0005-0000-0000-00002F210000}"/>
    <cellStyle name="Normal 4 5 4" xfId="3179" xr:uid="{00000000-0005-0000-0000-000030210000}"/>
    <cellStyle name="Normal 4 6" xfId="3180" xr:uid="{00000000-0005-0000-0000-000031210000}"/>
    <cellStyle name="Normal 4 7" xfId="3181" xr:uid="{00000000-0005-0000-0000-000032210000}"/>
    <cellStyle name="Normal 4 8" xfId="3182" xr:uid="{00000000-0005-0000-0000-000033210000}"/>
    <cellStyle name="Normal 4 9" xfId="3183" xr:uid="{00000000-0005-0000-0000-000034210000}"/>
    <cellStyle name="Normal 40" xfId="3184" xr:uid="{00000000-0005-0000-0000-000035210000}"/>
    <cellStyle name="Normal 40 2" xfId="3185" xr:uid="{00000000-0005-0000-0000-000036210000}"/>
    <cellStyle name="Normal 40 2 10" xfId="13088" xr:uid="{00000000-0005-0000-0000-000037210000}"/>
    <cellStyle name="Normal 40 2 10 2" xfId="21824" xr:uid="{E2549245-4611-4E34-8C7D-2CAAAAED784D}"/>
    <cellStyle name="Normal 40 2 11" xfId="15318" xr:uid="{F0085547-4E9C-4FC7-9037-E6108496A0EB}"/>
    <cellStyle name="Normal 40 2 2" xfId="3186" xr:uid="{00000000-0005-0000-0000-000038210000}"/>
    <cellStyle name="Normal 40 2 2 2" xfId="3187" xr:uid="{00000000-0005-0000-0000-000039210000}"/>
    <cellStyle name="Normal 40 2 2 2 2" xfId="9873" xr:uid="{00000000-0005-0000-0000-00003A210000}"/>
    <cellStyle name="Normal 40 2 2 2 2 2" xfId="18679" xr:uid="{EC524A08-1614-4B1D-980A-B7EA44B3DAC4}"/>
    <cellStyle name="Normal 40 2 2 2 3" xfId="8271" xr:uid="{00000000-0005-0000-0000-00003B210000}"/>
    <cellStyle name="Normal 40 2 2 2 3 2" xfId="17080" xr:uid="{B413560C-E95C-4D2B-BB94-A10831574106}"/>
    <cellStyle name="Normal 40 2 2 2 4" xfId="11483" xr:uid="{00000000-0005-0000-0000-00003C210000}"/>
    <cellStyle name="Normal 40 2 2 2 4 2" xfId="20226" xr:uid="{7E809EDD-2A32-450E-9B1A-2A4C1A9DE7F4}"/>
    <cellStyle name="Normal 40 2 2 2 5" xfId="13090" xr:uid="{00000000-0005-0000-0000-00003D210000}"/>
    <cellStyle name="Normal 40 2 2 2 5 2" xfId="21826" xr:uid="{99E38C26-1DDD-43B8-9CFA-795AE48D5ED8}"/>
    <cellStyle name="Normal 40 2 2 2 6" xfId="15320" xr:uid="{F10D8680-206C-4B83-A9AC-ABC8CDA6AAEF}"/>
    <cellStyle name="Normal 40 2 2 3" xfId="3188" xr:uid="{00000000-0005-0000-0000-00003E210000}"/>
    <cellStyle name="Normal 40 2 2 3 2" xfId="9874" xr:uid="{00000000-0005-0000-0000-00003F210000}"/>
    <cellStyle name="Normal 40 2 2 3 2 2" xfId="18680" xr:uid="{04C2E9B1-E61B-43F9-8A20-7C90C7FD0EA1}"/>
    <cellStyle name="Normal 40 2 2 3 3" xfId="8272" xr:uid="{00000000-0005-0000-0000-000040210000}"/>
    <cellStyle name="Normal 40 2 2 3 3 2" xfId="17081" xr:uid="{149E8F41-C314-4901-B08F-42DD49630178}"/>
    <cellStyle name="Normal 40 2 2 3 4" xfId="11484" xr:uid="{00000000-0005-0000-0000-000041210000}"/>
    <cellStyle name="Normal 40 2 2 3 4 2" xfId="20227" xr:uid="{A066FF1E-9773-45F3-92EC-B5A91C08240B}"/>
    <cellStyle name="Normal 40 2 2 3 5" xfId="13091" xr:uid="{00000000-0005-0000-0000-000042210000}"/>
    <cellStyle name="Normal 40 2 2 3 5 2" xfId="21827" xr:uid="{16D1828C-FDE2-45C3-9289-9E7D2159334E}"/>
    <cellStyle name="Normal 40 2 2 3 6" xfId="15321" xr:uid="{98DC2A52-A116-42A0-B32A-604349170436}"/>
    <cellStyle name="Normal 40 2 2 4" xfId="3189" xr:uid="{00000000-0005-0000-0000-000043210000}"/>
    <cellStyle name="Normal 40 2 2 4 2" xfId="9875" xr:uid="{00000000-0005-0000-0000-000044210000}"/>
    <cellStyle name="Normal 40 2 2 4 2 2" xfId="18681" xr:uid="{E5459CED-C9EC-4443-B2CA-2D648A5E72C2}"/>
    <cellStyle name="Normal 40 2 2 4 3" xfId="8273" xr:uid="{00000000-0005-0000-0000-000045210000}"/>
    <cellStyle name="Normal 40 2 2 4 3 2" xfId="17082" xr:uid="{D649CC18-7E68-4176-9DF8-C8474CCC62B0}"/>
    <cellStyle name="Normal 40 2 2 4 4" xfId="11485" xr:uid="{00000000-0005-0000-0000-000046210000}"/>
    <cellStyle name="Normal 40 2 2 4 4 2" xfId="20228" xr:uid="{0C093F73-2ECF-4C8E-B45F-9E116B1EA0E0}"/>
    <cellStyle name="Normal 40 2 2 4 5" xfId="13092" xr:uid="{00000000-0005-0000-0000-000047210000}"/>
    <cellStyle name="Normal 40 2 2 4 5 2" xfId="21828" xr:uid="{95A8B2C2-80C7-4909-855F-261DDEE3AA38}"/>
    <cellStyle name="Normal 40 2 2 4 6" xfId="15322" xr:uid="{34909374-6906-45F1-8B75-773C7C1E5D0F}"/>
    <cellStyle name="Normal 40 2 2 5" xfId="9872" xr:uid="{00000000-0005-0000-0000-000048210000}"/>
    <cellStyle name="Normal 40 2 2 5 2" xfId="18678" xr:uid="{9D785550-45B6-421C-88F0-87F19518F9EA}"/>
    <cellStyle name="Normal 40 2 2 6" xfId="8270" xr:uid="{00000000-0005-0000-0000-000049210000}"/>
    <cellStyle name="Normal 40 2 2 6 2" xfId="17079" xr:uid="{84E0CB1D-2DEE-4E29-A0E2-992CF9B5EA47}"/>
    <cellStyle name="Normal 40 2 2 7" xfId="11482" xr:uid="{00000000-0005-0000-0000-00004A210000}"/>
    <cellStyle name="Normal 40 2 2 7 2" xfId="20225" xr:uid="{E04C358C-65E3-486F-BF98-6CC3E980AF5B}"/>
    <cellStyle name="Normal 40 2 2 8" xfId="13089" xr:uid="{00000000-0005-0000-0000-00004B210000}"/>
    <cellStyle name="Normal 40 2 2 8 2" xfId="21825" xr:uid="{420F75D9-A07D-40A0-8363-199BBE135ADD}"/>
    <cellStyle name="Normal 40 2 2 9" xfId="15319" xr:uid="{6476386C-C0E6-41BA-9AF9-BE08DA7182B0}"/>
    <cellStyle name="Normal 40 2 3" xfId="3190" xr:uid="{00000000-0005-0000-0000-00004C210000}"/>
    <cellStyle name="Normal 40 2 3 2" xfId="3191" xr:uid="{00000000-0005-0000-0000-00004D210000}"/>
    <cellStyle name="Normal 40 2 3 2 2" xfId="9877" xr:uid="{00000000-0005-0000-0000-00004E210000}"/>
    <cellStyle name="Normal 40 2 3 2 2 2" xfId="18683" xr:uid="{DE9A6178-0AE9-40D0-A5B0-789B264D451B}"/>
    <cellStyle name="Normal 40 2 3 2 3" xfId="8275" xr:uid="{00000000-0005-0000-0000-00004F210000}"/>
    <cellStyle name="Normal 40 2 3 2 3 2" xfId="17084" xr:uid="{B52A1AF0-CEA8-4F89-8A1F-B4D681EA8F0B}"/>
    <cellStyle name="Normal 40 2 3 2 4" xfId="11487" xr:uid="{00000000-0005-0000-0000-000050210000}"/>
    <cellStyle name="Normal 40 2 3 2 4 2" xfId="20230" xr:uid="{6BD6F764-4F6C-4C48-9735-7D0FB34D9723}"/>
    <cellStyle name="Normal 40 2 3 2 5" xfId="13094" xr:uid="{00000000-0005-0000-0000-000051210000}"/>
    <cellStyle name="Normal 40 2 3 2 5 2" xfId="21830" xr:uid="{182DDCB9-D89A-42BF-A5B4-385F5D286C1E}"/>
    <cellStyle name="Normal 40 2 3 2 6" xfId="15324" xr:uid="{AD906F34-F37E-4821-9D24-B889399EF545}"/>
    <cellStyle name="Normal 40 2 3 3" xfId="3192" xr:uid="{00000000-0005-0000-0000-000052210000}"/>
    <cellStyle name="Normal 40 2 3 3 2" xfId="9878" xr:uid="{00000000-0005-0000-0000-000053210000}"/>
    <cellStyle name="Normal 40 2 3 3 2 2" xfId="18684" xr:uid="{621E5558-5E27-4ACE-B309-CC8942637370}"/>
    <cellStyle name="Normal 40 2 3 3 3" xfId="8276" xr:uid="{00000000-0005-0000-0000-000054210000}"/>
    <cellStyle name="Normal 40 2 3 3 3 2" xfId="17085" xr:uid="{082E6749-2D13-45CA-9E06-D8899336D3F8}"/>
    <cellStyle name="Normal 40 2 3 3 4" xfId="11488" xr:uid="{00000000-0005-0000-0000-000055210000}"/>
    <cellStyle name="Normal 40 2 3 3 4 2" xfId="20231" xr:uid="{94B056DA-3047-436B-8168-E93583D33BEA}"/>
    <cellStyle name="Normal 40 2 3 3 5" xfId="13095" xr:uid="{00000000-0005-0000-0000-000056210000}"/>
    <cellStyle name="Normal 40 2 3 3 5 2" xfId="21831" xr:uid="{58FA3E13-D82D-44F5-9C83-BB8EF4939ABD}"/>
    <cellStyle name="Normal 40 2 3 3 6" xfId="15325" xr:uid="{EAA66244-4259-45CD-B95D-E898DDB07AD1}"/>
    <cellStyle name="Normal 40 2 3 4" xfId="3193" xr:uid="{00000000-0005-0000-0000-000057210000}"/>
    <cellStyle name="Normal 40 2 3 4 2" xfId="9879" xr:uid="{00000000-0005-0000-0000-000058210000}"/>
    <cellStyle name="Normal 40 2 3 4 2 2" xfId="18685" xr:uid="{770D0037-9860-4B55-85BE-F7F02476BCBE}"/>
    <cellStyle name="Normal 40 2 3 4 3" xfId="8277" xr:uid="{00000000-0005-0000-0000-000059210000}"/>
    <cellStyle name="Normal 40 2 3 4 3 2" xfId="17086" xr:uid="{48D91B36-F677-4548-BBD3-BE232F4F2E01}"/>
    <cellStyle name="Normal 40 2 3 4 4" xfId="11489" xr:uid="{00000000-0005-0000-0000-00005A210000}"/>
    <cellStyle name="Normal 40 2 3 4 4 2" xfId="20232" xr:uid="{936FB1EC-5331-4D50-82F1-EFC770A4F574}"/>
    <cellStyle name="Normal 40 2 3 4 5" xfId="13096" xr:uid="{00000000-0005-0000-0000-00005B210000}"/>
    <cellStyle name="Normal 40 2 3 4 5 2" xfId="21832" xr:uid="{DDA8E54A-2C75-4EF4-9F71-929720283793}"/>
    <cellStyle name="Normal 40 2 3 4 6" xfId="15326" xr:uid="{CCDB45F8-7467-4C8C-B743-23D80EFAFE4D}"/>
    <cellStyle name="Normal 40 2 3 5" xfId="9876" xr:uid="{00000000-0005-0000-0000-00005C210000}"/>
    <cellStyle name="Normal 40 2 3 5 2" xfId="18682" xr:uid="{1858B342-F198-4C08-A035-337BED8424AD}"/>
    <cellStyle name="Normal 40 2 3 6" xfId="8274" xr:uid="{00000000-0005-0000-0000-00005D210000}"/>
    <cellStyle name="Normal 40 2 3 6 2" xfId="17083" xr:uid="{96BDF3C9-ECAF-4EAA-875F-B23874B0B828}"/>
    <cellStyle name="Normal 40 2 3 7" xfId="11486" xr:uid="{00000000-0005-0000-0000-00005E210000}"/>
    <cellStyle name="Normal 40 2 3 7 2" xfId="20229" xr:uid="{ABC13438-3F9C-42E4-998E-8C578D6D26A1}"/>
    <cellStyle name="Normal 40 2 3 8" xfId="13093" xr:uid="{00000000-0005-0000-0000-00005F210000}"/>
    <cellStyle name="Normal 40 2 3 8 2" xfId="21829" xr:uid="{1903B3DE-CB00-422F-825D-70E1EAEE36FD}"/>
    <cellStyle name="Normal 40 2 3 9" xfId="15323" xr:uid="{F385E04E-03BF-4768-BE6F-5CC8A4CF76D2}"/>
    <cellStyle name="Normal 40 2 4" xfId="3194" xr:uid="{00000000-0005-0000-0000-000060210000}"/>
    <cellStyle name="Normal 40 2 4 2" xfId="9880" xr:uid="{00000000-0005-0000-0000-000061210000}"/>
    <cellStyle name="Normal 40 2 4 2 2" xfId="18686" xr:uid="{3E9A1909-4655-4912-8DC1-530615ECDC06}"/>
    <cellStyle name="Normal 40 2 4 3" xfId="8278" xr:uid="{00000000-0005-0000-0000-000062210000}"/>
    <cellStyle name="Normal 40 2 4 3 2" xfId="17087" xr:uid="{110AB824-A039-49A7-9CBA-BAE278698FB3}"/>
    <cellStyle name="Normal 40 2 4 4" xfId="11490" xr:uid="{00000000-0005-0000-0000-000063210000}"/>
    <cellStyle name="Normal 40 2 4 4 2" xfId="20233" xr:uid="{6513A516-6956-4FEA-B0A7-37482518FB0D}"/>
    <cellStyle name="Normal 40 2 4 5" xfId="13097" xr:uid="{00000000-0005-0000-0000-000064210000}"/>
    <cellStyle name="Normal 40 2 4 5 2" xfId="21833" xr:uid="{A4410833-3473-426A-8AA6-D575D8195D96}"/>
    <cellStyle name="Normal 40 2 4 6" xfId="15327" xr:uid="{15CD2C13-4086-48E4-8E39-7FB698B89EE1}"/>
    <cellStyle name="Normal 40 2 5" xfId="3195" xr:uid="{00000000-0005-0000-0000-000065210000}"/>
    <cellStyle name="Normal 40 2 5 2" xfId="9881" xr:uid="{00000000-0005-0000-0000-000066210000}"/>
    <cellStyle name="Normal 40 2 5 2 2" xfId="18687" xr:uid="{51679E25-E1A0-4E3F-8F0B-7D23769DAA33}"/>
    <cellStyle name="Normal 40 2 5 3" xfId="8279" xr:uid="{00000000-0005-0000-0000-000067210000}"/>
    <cellStyle name="Normal 40 2 5 3 2" xfId="17088" xr:uid="{38CD3F31-C06A-4036-87B4-251B2121DF44}"/>
    <cellStyle name="Normal 40 2 5 4" xfId="11491" xr:uid="{00000000-0005-0000-0000-000068210000}"/>
    <cellStyle name="Normal 40 2 5 4 2" xfId="20234" xr:uid="{7DBFED8C-CE49-4C67-BE80-F533DAF67C1B}"/>
    <cellStyle name="Normal 40 2 5 5" xfId="13098" xr:uid="{00000000-0005-0000-0000-000069210000}"/>
    <cellStyle name="Normal 40 2 5 5 2" xfId="21834" xr:uid="{99E84811-3052-41EA-A83E-01D8E0E46D16}"/>
    <cellStyle name="Normal 40 2 5 6" xfId="15328" xr:uid="{E01B650C-E5F5-4214-AD12-16A341E34B67}"/>
    <cellStyle name="Normal 40 2 6" xfId="3196" xr:uid="{00000000-0005-0000-0000-00006A210000}"/>
    <cellStyle name="Normal 40 2 6 2" xfId="9882" xr:uid="{00000000-0005-0000-0000-00006B210000}"/>
    <cellStyle name="Normal 40 2 6 2 2" xfId="18688" xr:uid="{1A8C1D76-A2A4-4131-9D11-8E992F88CA41}"/>
    <cellStyle name="Normal 40 2 6 3" xfId="8280" xr:uid="{00000000-0005-0000-0000-00006C210000}"/>
    <cellStyle name="Normal 40 2 6 3 2" xfId="17089" xr:uid="{9D6F0E2B-6DAD-426C-9925-0EC6E18D26BA}"/>
    <cellStyle name="Normal 40 2 6 4" xfId="11492" xr:uid="{00000000-0005-0000-0000-00006D210000}"/>
    <cellStyle name="Normal 40 2 6 4 2" xfId="20235" xr:uid="{1938816F-4383-40E0-B858-F9AF15BA87B9}"/>
    <cellStyle name="Normal 40 2 6 5" xfId="13099" xr:uid="{00000000-0005-0000-0000-00006E210000}"/>
    <cellStyle name="Normal 40 2 6 5 2" xfId="21835" xr:uid="{65030F5A-36FD-48F0-916C-D2EFCB82B15F}"/>
    <cellStyle name="Normal 40 2 6 6" xfId="15329" xr:uid="{268794C2-9608-436C-B14E-9690DED8334F}"/>
    <cellStyle name="Normal 40 2 7" xfId="9871" xr:uid="{00000000-0005-0000-0000-00006F210000}"/>
    <cellStyle name="Normal 40 2 7 2" xfId="18677" xr:uid="{6681F941-DD2E-4BBF-8475-AF2059980A20}"/>
    <cellStyle name="Normal 40 2 8" xfId="8269" xr:uid="{00000000-0005-0000-0000-000070210000}"/>
    <cellStyle name="Normal 40 2 8 2" xfId="17078" xr:uid="{2B2E556B-70FB-407A-81D7-423C0A19BF10}"/>
    <cellStyle name="Normal 40 2 9" xfId="11481" xr:uid="{00000000-0005-0000-0000-000071210000}"/>
    <cellStyle name="Normal 40 2 9 2" xfId="20224" xr:uid="{A2D20244-A9BF-4700-890E-88D2AC5D841A}"/>
    <cellStyle name="Normal 40 3" xfId="3197" xr:uid="{00000000-0005-0000-0000-000072210000}"/>
    <cellStyle name="Normal 40 3 2" xfId="3198" xr:uid="{00000000-0005-0000-0000-000073210000}"/>
    <cellStyle name="Normal 40 3 2 2" xfId="9884" xr:uid="{00000000-0005-0000-0000-000074210000}"/>
    <cellStyle name="Normal 40 3 2 2 2" xfId="18690" xr:uid="{BA74E12A-EFA5-48BF-BC27-FE6098B607A1}"/>
    <cellStyle name="Normal 40 3 2 3" xfId="8282" xr:uid="{00000000-0005-0000-0000-000075210000}"/>
    <cellStyle name="Normal 40 3 2 3 2" xfId="17091" xr:uid="{0F840820-CC67-49EA-98B5-DA318DC66FB8}"/>
    <cellStyle name="Normal 40 3 2 4" xfId="11494" xr:uid="{00000000-0005-0000-0000-000076210000}"/>
    <cellStyle name="Normal 40 3 2 4 2" xfId="20237" xr:uid="{BCBE2DD3-708F-4AFC-B030-2AF892F54D23}"/>
    <cellStyle name="Normal 40 3 2 5" xfId="13101" xr:uid="{00000000-0005-0000-0000-000077210000}"/>
    <cellStyle name="Normal 40 3 2 5 2" xfId="21837" xr:uid="{4A8C1242-1947-4A7C-B702-917925DE26B0}"/>
    <cellStyle name="Normal 40 3 2 6" xfId="15331" xr:uid="{575F94BF-4DA9-49DB-BE64-D9FF0F9307FC}"/>
    <cellStyle name="Normal 40 3 3" xfId="3199" xr:uid="{00000000-0005-0000-0000-000078210000}"/>
    <cellStyle name="Normal 40 3 3 2" xfId="9885" xr:uid="{00000000-0005-0000-0000-000079210000}"/>
    <cellStyle name="Normal 40 3 3 2 2" xfId="18691" xr:uid="{FE65905F-071D-4637-9ED1-41002FE5B134}"/>
    <cellStyle name="Normal 40 3 3 3" xfId="8283" xr:uid="{00000000-0005-0000-0000-00007A210000}"/>
    <cellStyle name="Normal 40 3 3 3 2" xfId="17092" xr:uid="{75D5DD7D-C22C-45B8-BCCC-EA8A4F483952}"/>
    <cellStyle name="Normal 40 3 3 4" xfId="11495" xr:uid="{00000000-0005-0000-0000-00007B210000}"/>
    <cellStyle name="Normal 40 3 3 4 2" xfId="20238" xr:uid="{293005AF-0C65-474F-9450-0200AC96B60E}"/>
    <cellStyle name="Normal 40 3 3 5" xfId="13102" xr:uid="{00000000-0005-0000-0000-00007C210000}"/>
    <cellStyle name="Normal 40 3 3 5 2" xfId="21838" xr:uid="{0771BC62-6F85-4561-827E-3B52E5DAF66B}"/>
    <cellStyle name="Normal 40 3 3 6" xfId="15332" xr:uid="{61C1D2B8-D2ED-4604-81EC-8A0C8A684065}"/>
    <cellStyle name="Normal 40 3 4" xfId="3200" xr:uid="{00000000-0005-0000-0000-00007D210000}"/>
    <cellStyle name="Normal 40 3 4 2" xfId="9886" xr:uid="{00000000-0005-0000-0000-00007E210000}"/>
    <cellStyle name="Normal 40 3 4 2 2" xfId="18692" xr:uid="{EB09C441-2689-4B1F-93FA-B4CAA5E424C5}"/>
    <cellStyle name="Normal 40 3 4 3" xfId="8284" xr:uid="{00000000-0005-0000-0000-00007F210000}"/>
    <cellStyle name="Normal 40 3 4 3 2" xfId="17093" xr:uid="{D942EF6F-E2C7-47A5-8FEC-FB5ED3EE7823}"/>
    <cellStyle name="Normal 40 3 4 4" xfId="11496" xr:uid="{00000000-0005-0000-0000-000080210000}"/>
    <cellStyle name="Normal 40 3 4 4 2" xfId="20239" xr:uid="{58552A95-7C6A-41DD-8827-90A51F88454B}"/>
    <cellStyle name="Normal 40 3 4 5" xfId="13103" xr:uid="{00000000-0005-0000-0000-000081210000}"/>
    <cellStyle name="Normal 40 3 4 5 2" xfId="21839" xr:uid="{5FEAAE4F-241E-4ACC-B8AC-B1D488A6AFF6}"/>
    <cellStyle name="Normal 40 3 4 6" xfId="15333" xr:uid="{35642729-6577-4E39-BD96-A2A98A3C3C56}"/>
    <cellStyle name="Normal 40 3 5" xfId="9883" xr:uid="{00000000-0005-0000-0000-000082210000}"/>
    <cellStyle name="Normal 40 3 5 2" xfId="18689" xr:uid="{C3C637FD-979C-47E7-8F5A-DA8B7D786083}"/>
    <cellStyle name="Normal 40 3 6" xfId="8281" xr:uid="{00000000-0005-0000-0000-000083210000}"/>
    <cellStyle name="Normal 40 3 6 2" xfId="17090" xr:uid="{D83F165D-82A1-4AA3-A893-B60F283417CE}"/>
    <cellStyle name="Normal 40 3 7" xfId="11493" xr:uid="{00000000-0005-0000-0000-000084210000}"/>
    <cellStyle name="Normal 40 3 7 2" xfId="20236" xr:uid="{9B713772-1B31-4A31-8A3C-8E04A4F22BD3}"/>
    <cellStyle name="Normal 40 3 8" xfId="13100" xr:uid="{00000000-0005-0000-0000-000085210000}"/>
    <cellStyle name="Normal 40 3 8 2" xfId="21836" xr:uid="{54B90EBE-29AD-4976-8886-56C9CEFC07F5}"/>
    <cellStyle name="Normal 40 3 9" xfId="15330" xr:uid="{CADB944E-FA3D-41F7-848F-6B84552EBDB7}"/>
    <cellStyle name="Normal 40 4" xfId="3201" xr:uid="{00000000-0005-0000-0000-000086210000}"/>
    <cellStyle name="Normal 41" xfId="3202" xr:uid="{00000000-0005-0000-0000-000087210000}"/>
    <cellStyle name="Normal 41 2" xfId="3203" xr:uid="{00000000-0005-0000-0000-000088210000}"/>
    <cellStyle name="Normal 41 2 10" xfId="13104" xr:uid="{00000000-0005-0000-0000-000089210000}"/>
    <cellStyle name="Normal 41 2 10 2" xfId="21840" xr:uid="{44B5A5B1-189F-448F-8CF0-0C383B3C1449}"/>
    <cellStyle name="Normal 41 2 11" xfId="15334" xr:uid="{6FC40646-EC61-455E-95C7-BDF8F342609D}"/>
    <cellStyle name="Normal 41 2 2" xfId="3204" xr:uid="{00000000-0005-0000-0000-00008A210000}"/>
    <cellStyle name="Normal 41 2 2 2" xfId="3205" xr:uid="{00000000-0005-0000-0000-00008B210000}"/>
    <cellStyle name="Normal 41 2 2 2 2" xfId="9889" xr:uid="{00000000-0005-0000-0000-00008C210000}"/>
    <cellStyle name="Normal 41 2 2 2 2 2" xfId="18695" xr:uid="{A5DEADE2-2FB4-47F0-ABA9-27B0D456FA4C}"/>
    <cellStyle name="Normal 41 2 2 2 3" xfId="8287" xr:uid="{00000000-0005-0000-0000-00008D210000}"/>
    <cellStyle name="Normal 41 2 2 2 3 2" xfId="17096" xr:uid="{DE9CFD88-A94E-477A-88C3-69321AF9225D}"/>
    <cellStyle name="Normal 41 2 2 2 4" xfId="11499" xr:uid="{00000000-0005-0000-0000-00008E210000}"/>
    <cellStyle name="Normal 41 2 2 2 4 2" xfId="20242" xr:uid="{6A79A348-992A-4C4F-AFA4-717831317374}"/>
    <cellStyle name="Normal 41 2 2 2 5" xfId="13106" xr:uid="{00000000-0005-0000-0000-00008F210000}"/>
    <cellStyle name="Normal 41 2 2 2 5 2" xfId="21842" xr:uid="{A19969F0-E067-4AA8-B38B-D1D882B6111B}"/>
    <cellStyle name="Normal 41 2 2 2 6" xfId="15336" xr:uid="{6D0EE3C4-C0BD-4C1E-A34D-0435BE132E5F}"/>
    <cellStyle name="Normal 41 2 2 3" xfId="3206" xr:uid="{00000000-0005-0000-0000-000090210000}"/>
    <cellStyle name="Normal 41 2 2 3 2" xfId="9890" xr:uid="{00000000-0005-0000-0000-000091210000}"/>
    <cellStyle name="Normal 41 2 2 3 2 2" xfId="18696" xr:uid="{D40CA804-A029-43B0-A9CF-0EDF4BE34DF0}"/>
    <cellStyle name="Normal 41 2 2 3 3" xfId="8288" xr:uid="{00000000-0005-0000-0000-000092210000}"/>
    <cellStyle name="Normal 41 2 2 3 3 2" xfId="17097" xr:uid="{C6390D6A-99AE-4A19-83B5-248598C2EFBD}"/>
    <cellStyle name="Normal 41 2 2 3 4" xfId="11500" xr:uid="{00000000-0005-0000-0000-000093210000}"/>
    <cellStyle name="Normal 41 2 2 3 4 2" xfId="20243" xr:uid="{2215EB7B-1169-4CBF-A73F-967FAB35B835}"/>
    <cellStyle name="Normal 41 2 2 3 5" xfId="13107" xr:uid="{00000000-0005-0000-0000-000094210000}"/>
    <cellStyle name="Normal 41 2 2 3 5 2" xfId="21843" xr:uid="{FA940AEF-CBBF-43FE-9BF3-090B109773E8}"/>
    <cellStyle name="Normal 41 2 2 3 6" xfId="15337" xr:uid="{FBF024EF-E5C0-42F3-80C1-EEF5545E5E64}"/>
    <cellStyle name="Normal 41 2 2 4" xfId="3207" xr:uid="{00000000-0005-0000-0000-000095210000}"/>
    <cellStyle name="Normal 41 2 2 4 2" xfId="9891" xr:uid="{00000000-0005-0000-0000-000096210000}"/>
    <cellStyle name="Normal 41 2 2 4 2 2" xfId="18697" xr:uid="{81AB77AF-92B4-4F65-BBC1-34EAE5FE26D1}"/>
    <cellStyle name="Normal 41 2 2 4 3" xfId="8289" xr:uid="{00000000-0005-0000-0000-000097210000}"/>
    <cellStyle name="Normal 41 2 2 4 3 2" xfId="17098" xr:uid="{0FF5A7CD-7ACB-46D8-97C2-7DE0873314C4}"/>
    <cellStyle name="Normal 41 2 2 4 4" xfId="11501" xr:uid="{00000000-0005-0000-0000-000098210000}"/>
    <cellStyle name="Normal 41 2 2 4 4 2" xfId="20244" xr:uid="{79084094-334B-4490-98E2-1C4C1F6395ED}"/>
    <cellStyle name="Normal 41 2 2 4 5" xfId="13108" xr:uid="{00000000-0005-0000-0000-000099210000}"/>
    <cellStyle name="Normal 41 2 2 4 5 2" xfId="21844" xr:uid="{325C606B-2B0A-471D-B82C-E8B66CACF69D}"/>
    <cellStyle name="Normal 41 2 2 4 6" xfId="15338" xr:uid="{1C756A0B-9932-4FF5-9C2D-16849AAAECFA}"/>
    <cellStyle name="Normal 41 2 2 5" xfId="9888" xr:uid="{00000000-0005-0000-0000-00009A210000}"/>
    <cellStyle name="Normal 41 2 2 5 2" xfId="18694" xr:uid="{99C4AC56-E963-4CCA-AC2D-3C6D0D165D57}"/>
    <cellStyle name="Normal 41 2 2 6" xfId="8286" xr:uid="{00000000-0005-0000-0000-00009B210000}"/>
    <cellStyle name="Normal 41 2 2 6 2" xfId="17095" xr:uid="{6C702244-499F-4F14-9C8B-9A7A4B3DAF02}"/>
    <cellStyle name="Normal 41 2 2 7" xfId="11498" xr:uid="{00000000-0005-0000-0000-00009C210000}"/>
    <cellStyle name="Normal 41 2 2 7 2" xfId="20241" xr:uid="{3887215A-5662-4F7E-A8FB-45CC1839D605}"/>
    <cellStyle name="Normal 41 2 2 8" xfId="13105" xr:uid="{00000000-0005-0000-0000-00009D210000}"/>
    <cellStyle name="Normal 41 2 2 8 2" xfId="21841" xr:uid="{C0818116-D689-491C-A451-A5E1195ACBAC}"/>
    <cellStyle name="Normal 41 2 2 9" xfId="15335" xr:uid="{2C9EFF23-CC68-475E-8BE6-6224D8C9B2DB}"/>
    <cellStyle name="Normal 41 2 3" xfId="3208" xr:uid="{00000000-0005-0000-0000-00009E210000}"/>
    <cellStyle name="Normal 41 2 3 2" xfId="3209" xr:uid="{00000000-0005-0000-0000-00009F210000}"/>
    <cellStyle name="Normal 41 2 3 2 2" xfId="9893" xr:uid="{00000000-0005-0000-0000-0000A0210000}"/>
    <cellStyle name="Normal 41 2 3 2 2 2" xfId="18699" xr:uid="{AA563CE0-EB94-4705-8652-972E747F5B96}"/>
    <cellStyle name="Normal 41 2 3 2 3" xfId="8291" xr:uid="{00000000-0005-0000-0000-0000A1210000}"/>
    <cellStyle name="Normal 41 2 3 2 3 2" xfId="17100" xr:uid="{3E23FB10-0A70-4181-9BCA-B57AA9F59312}"/>
    <cellStyle name="Normal 41 2 3 2 4" xfId="11503" xr:uid="{00000000-0005-0000-0000-0000A2210000}"/>
    <cellStyle name="Normal 41 2 3 2 4 2" xfId="20246" xr:uid="{94F95539-C234-474B-8EAB-0C8B757B9E49}"/>
    <cellStyle name="Normal 41 2 3 2 5" xfId="13110" xr:uid="{00000000-0005-0000-0000-0000A3210000}"/>
    <cellStyle name="Normal 41 2 3 2 5 2" xfId="21846" xr:uid="{9FBDAC7A-9828-4FAE-B0EA-8DF0AAD7F1FD}"/>
    <cellStyle name="Normal 41 2 3 2 6" xfId="15340" xr:uid="{90ED17F5-7402-4D1D-9764-AB9D22F27AE3}"/>
    <cellStyle name="Normal 41 2 3 3" xfId="3210" xr:uid="{00000000-0005-0000-0000-0000A4210000}"/>
    <cellStyle name="Normal 41 2 3 3 2" xfId="9894" xr:uid="{00000000-0005-0000-0000-0000A5210000}"/>
    <cellStyle name="Normal 41 2 3 3 2 2" xfId="18700" xr:uid="{77607FF4-2A7D-4D93-A6ED-95B32A873045}"/>
    <cellStyle name="Normal 41 2 3 3 3" xfId="8292" xr:uid="{00000000-0005-0000-0000-0000A6210000}"/>
    <cellStyle name="Normal 41 2 3 3 3 2" xfId="17101" xr:uid="{46F5B984-D229-47A3-97DC-7E69EEBA06C5}"/>
    <cellStyle name="Normal 41 2 3 3 4" xfId="11504" xr:uid="{00000000-0005-0000-0000-0000A7210000}"/>
    <cellStyle name="Normal 41 2 3 3 4 2" xfId="20247" xr:uid="{20F6E12F-BC2C-4AE8-9853-950D6444F458}"/>
    <cellStyle name="Normal 41 2 3 3 5" xfId="13111" xr:uid="{00000000-0005-0000-0000-0000A8210000}"/>
    <cellStyle name="Normal 41 2 3 3 5 2" xfId="21847" xr:uid="{B1ABAF46-9A18-4CFD-B04B-95D978A19DB1}"/>
    <cellStyle name="Normal 41 2 3 3 6" xfId="15341" xr:uid="{F2B8380C-4052-483F-9F17-E087A216B722}"/>
    <cellStyle name="Normal 41 2 3 4" xfId="3211" xr:uid="{00000000-0005-0000-0000-0000A9210000}"/>
    <cellStyle name="Normal 41 2 3 4 2" xfId="9895" xr:uid="{00000000-0005-0000-0000-0000AA210000}"/>
    <cellStyle name="Normal 41 2 3 4 2 2" xfId="18701" xr:uid="{2D5C13AF-C9FC-44F1-9F22-430C3667161B}"/>
    <cellStyle name="Normal 41 2 3 4 3" xfId="8293" xr:uid="{00000000-0005-0000-0000-0000AB210000}"/>
    <cellStyle name="Normal 41 2 3 4 3 2" xfId="17102" xr:uid="{75297B81-73EC-4E59-B294-45596AA1CFFE}"/>
    <cellStyle name="Normal 41 2 3 4 4" xfId="11505" xr:uid="{00000000-0005-0000-0000-0000AC210000}"/>
    <cellStyle name="Normal 41 2 3 4 4 2" xfId="20248" xr:uid="{8337F63E-85FB-4B89-9872-0291D6EEAD4F}"/>
    <cellStyle name="Normal 41 2 3 4 5" xfId="13112" xr:uid="{00000000-0005-0000-0000-0000AD210000}"/>
    <cellStyle name="Normal 41 2 3 4 5 2" xfId="21848" xr:uid="{8F70D789-9A0F-4567-8023-4684FDD5589F}"/>
    <cellStyle name="Normal 41 2 3 4 6" xfId="15342" xr:uid="{182AAB39-88A7-40C1-8C48-40B4A16C5A74}"/>
    <cellStyle name="Normal 41 2 3 5" xfId="9892" xr:uid="{00000000-0005-0000-0000-0000AE210000}"/>
    <cellStyle name="Normal 41 2 3 5 2" xfId="18698" xr:uid="{2A1B1AD6-D5B5-4913-8F13-7514F0EC4DB2}"/>
    <cellStyle name="Normal 41 2 3 6" xfId="8290" xr:uid="{00000000-0005-0000-0000-0000AF210000}"/>
    <cellStyle name="Normal 41 2 3 6 2" xfId="17099" xr:uid="{26E714A1-1E4E-4F79-B252-B73856CB7593}"/>
    <cellStyle name="Normal 41 2 3 7" xfId="11502" xr:uid="{00000000-0005-0000-0000-0000B0210000}"/>
    <cellStyle name="Normal 41 2 3 7 2" xfId="20245" xr:uid="{FCC688D2-2626-4207-938D-DE7591637FFE}"/>
    <cellStyle name="Normal 41 2 3 8" xfId="13109" xr:uid="{00000000-0005-0000-0000-0000B1210000}"/>
    <cellStyle name="Normal 41 2 3 8 2" xfId="21845" xr:uid="{56382A12-CBF3-4ADC-B13E-A180D94F287D}"/>
    <cellStyle name="Normal 41 2 3 9" xfId="15339" xr:uid="{7BCEE3BF-2925-47C4-9FDF-F3E38991470A}"/>
    <cellStyle name="Normal 41 2 4" xfId="3212" xr:uid="{00000000-0005-0000-0000-0000B2210000}"/>
    <cellStyle name="Normal 41 2 4 2" xfId="9896" xr:uid="{00000000-0005-0000-0000-0000B3210000}"/>
    <cellStyle name="Normal 41 2 4 2 2" xfId="18702" xr:uid="{A0CE30CD-8D95-425B-8BC8-BE1F1F6AE12A}"/>
    <cellStyle name="Normal 41 2 4 3" xfId="8294" xr:uid="{00000000-0005-0000-0000-0000B4210000}"/>
    <cellStyle name="Normal 41 2 4 3 2" xfId="17103" xr:uid="{8A393835-8E5B-4455-BF38-14B28ABC3CF1}"/>
    <cellStyle name="Normal 41 2 4 4" xfId="11506" xr:uid="{00000000-0005-0000-0000-0000B5210000}"/>
    <cellStyle name="Normal 41 2 4 4 2" xfId="20249" xr:uid="{C1C7AA28-EEF9-4C5D-ACE5-A521D35E370C}"/>
    <cellStyle name="Normal 41 2 4 5" xfId="13113" xr:uid="{00000000-0005-0000-0000-0000B6210000}"/>
    <cellStyle name="Normal 41 2 4 5 2" xfId="21849" xr:uid="{DCBCBD2A-B22B-4756-904C-75F52134F14D}"/>
    <cellStyle name="Normal 41 2 4 6" xfId="15343" xr:uid="{7CD7A91A-5CC2-4D24-A7C2-FEB837B762E8}"/>
    <cellStyle name="Normal 41 2 5" xfId="3213" xr:uid="{00000000-0005-0000-0000-0000B7210000}"/>
    <cellStyle name="Normal 41 2 5 2" xfId="9897" xr:uid="{00000000-0005-0000-0000-0000B8210000}"/>
    <cellStyle name="Normal 41 2 5 2 2" xfId="18703" xr:uid="{99D66B33-A908-4BE7-89A6-0F8F519055E4}"/>
    <cellStyle name="Normal 41 2 5 3" xfId="8295" xr:uid="{00000000-0005-0000-0000-0000B9210000}"/>
    <cellStyle name="Normal 41 2 5 3 2" xfId="17104" xr:uid="{388A040A-A51B-4333-885B-2479DB7217B6}"/>
    <cellStyle name="Normal 41 2 5 4" xfId="11507" xr:uid="{00000000-0005-0000-0000-0000BA210000}"/>
    <cellStyle name="Normal 41 2 5 4 2" xfId="20250" xr:uid="{F96DE944-747C-4D51-90C1-5A42C3EB3F3C}"/>
    <cellStyle name="Normal 41 2 5 5" xfId="13114" xr:uid="{00000000-0005-0000-0000-0000BB210000}"/>
    <cellStyle name="Normal 41 2 5 5 2" xfId="21850" xr:uid="{2D41EBEB-5A86-4C2E-AE9D-EE9ACD367BD9}"/>
    <cellStyle name="Normal 41 2 5 6" xfId="15344" xr:uid="{993B0275-B193-43CC-89D2-EEA01E54DBEA}"/>
    <cellStyle name="Normal 41 2 6" xfId="3214" xr:uid="{00000000-0005-0000-0000-0000BC210000}"/>
    <cellStyle name="Normal 41 2 6 2" xfId="9898" xr:uid="{00000000-0005-0000-0000-0000BD210000}"/>
    <cellStyle name="Normal 41 2 6 2 2" xfId="18704" xr:uid="{BA5E0DFA-B21C-4F3E-9E7E-4A5917A8CD10}"/>
    <cellStyle name="Normal 41 2 6 3" xfId="8296" xr:uid="{00000000-0005-0000-0000-0000BE210000}"/>
    <cellStyle name="Normal 41 2 6 3 2" xfId="17105" xr:uid="{09689FE2-43B5-412E-8887-3B16FCA68504}"/>
    <cellStyle name="Normal 41 2 6 4" xfId="11508" xr:uid="{00000000-0005-0000-0000-0000BF210000}"/>
    <cellStyle name="Normal 41 2 6 4 2" xfId="20251" xr:uid="{F0C0FCC5-AC6A-4BA7-9333-E46E29C09C71}"/>
    <cellStyle name="Normal 41 2 6 5" xfId="13115" xr:uid="{00000000-0005-0000-0000-0000C0210000}"/>
    <cellStyle name="Normal 41 2 6 5 2" xfId="21851" xr:uid="{D8A18437-F825-4212-A305-8F1D9E177928}"/>
    <cellStyle name="Normal 41 2 6 6" xfId="15345" xr:uid="{90EE205B-3E6B-4037-AF0F-40AAD2690A71}"/>
    <cellStyle name="Normal 41 2 7" xfId="9887" xr:uid="{00000000-0005-0000-0000-0000C1210000}"/>
    <cellStyle name="Normal 41 2 7 2" xfId="18693" xr:uid="{94752B71-B85F-4796-9A51-70BD1DE50F97}"/>
    <cellStyle name="Normal 41 2 8" xfId="8285" xr:uid="{00000000-0005-0000-0000-0000C2210000}"/>
    <cellStyle name="Normal 41 2 8 2" xfId="17094" xr:uid="{5F126AC4-833A-48E9-994C-C85825B11420}"/>
    <cellStyle name="Normal 41 2 9" xfId="11497" xr:uid="{00000000-0005-0000-0000-0000C3210000}"/>
    <cellStyle name="Normal 41 2 9 2" xfId="20240" xr:uid="{09E88BCD-1657-4FAA-AC38-B19504FC4F03}"/>
    <cellStyle name="Normal 41 3" xfId="3215" xr:uid="{00000000-0005-0000-0000-0000C4210000}"/>
    <cellStyle name="Normal 41 3 2" xfId="3216" xr:uid="{00000000-0005-0000-0000-0000C5210000}"/>
    <cellStyle name="Normal 41 3 2 2" xfId="9900" xr:uid="{00000000-0005-0000-0000-0000C6210000}"/>
    <cellStyle name="Normal 41 3 2 2 2" xfId="18706" xr:uid="{47DF564F-C93D-478E-8ECF-AAA6D34313BD}"/>
    <cellStyle name="Normal 41 3 2 3" xfId="8298" xr:uid="{00000000-0005-0000-0000-0000C7210000}"/>
    <cellStyle name="Normal 41 3 2 3 2" xfId="17107" xr:uid="{4BB2FA8D-624C-4407-A224-BBA77EB852E3}"/>
    <cellStyle name="Normal 41 3 2 4" xfId="11510" xr:uid="{00000000-0005-0000-0000-0000C8210000}"/>
    <cellStyle name="Normal 41 3 2 4 2" xfId="20253" xr:uid="{007DF081-A5C7-4897-89D5-BF688E8927DE}"/>
    <cellStyle name="Normal 41 3 2 5" xfId="13117" xr:uid="{00000000-0005-0000-0000-0000C9210000}"/>
    <cellStyle name="Normal 41 3 2 5 2" xfId="21853" xr:uid="{ED63ECBD-9FDD-4354-A519-C1269E6368AA}"/>
    <cellStyle name="Normal 41 3 2 6" xfId="15347" xr:uid="{28526459-04B0-4032-86F3-F5DCC1E17B13}"/>
    <cellStyle name="Normal 41 3 3" xfId="3217" xr:uid="{00000000-0005-0000-0000-0000CA210000}"/>
    <cellStyle name="Normal 41 3 3 2" xfId="9901" xr:uid="{00000000-0005-0000-0000-0000CB210000}"/>
    <cellStyle name="Normal 41 3 3 2 2" xfId="18707" xr:uid="{6BCC44BB-4D05-4A27-A7E6-5F9A8C5E9711}"/>
    <cellStyle name="Normal 41 3 3 3" xfId="8299" xr:uid="{00000000-0005-0000-0000-0000CC210000}"/>
    <cellStyle name="Normal 41 3 3 3 2" xfId="17108" xr:uid="{D2A5D926-9120-40BB-A9BD-D821149E66E0}"/>
    <cellStyle name="Normal 41 3 3 4" xfId="11511" xr:uid="{00000000-0005-0000-0000-0000CD210000}"/>
    <cellStyle name="Normal 41 3 3 4 2" xfId="20254" xr:uid="{C49B17F1-8A7B-461B-8BED-1556250850AD}"/>
    <cellStyle name="Normal 41 3 3 5" xfId="13118" xr:uid="{00000000-0005-0000-0000-0000CE210000}"/>
    <cellStyle name="Normal 41 3 3 5 2" xfId="21854" xr:uid="{6C06D72B-476B-4D10-94A8-3A158E844F49}"/>
    <cellStyle name="Normal 41 3 3 6" xfId="15348" xr:uid="{184608E5-7CD0-4CB9-BAFC-D92BD1E68551}"/>
    <cellStyle name="Normal 41 3 4" xfId="3218" xr:uid="{00000000-0005-0000-0000-0000CF210000}"/>
    <cellStyle name="Normal 41 3 4 2" xfId="9902" xr:uid="{00000000-0005-0000-0000-0000D0210000}"/>
    <cellStyle name="Normal 41 3 4 2 2" xfId="18708" xr:uid="{DC7D58DD-DF26-4EC6-941C-8093CBB9A3A7}"/>
    <cellStyle name="Normal 41 3 4 3" xfId="8300" xr:uid="{00000000-0005-0000-0000-0000D1210000}"/>
    <cellStyle name="Normal 41 3 4 3 2" xfId="17109" xr:uid="{C08B1076-A9EE-4D82-B0E5-0A1D1B1591B1}"/>
    <cellStyle name="Normal 41 3 4 4" xfId="11512" xr:uid="{00000000-0005-0000-0000-0000D2210000}"/>
    <cellStyle name="Normal 41 3 4 4 2" xfId="20255" xr:uid="{D336BC1C-B811-4DA7-963E-146070B0C9CF}"/>
    <cellStyle name="Normal 41 3 4 5" xfId="13119" xr:uid="{00000000-0005-0000-0000-0000D3210000}"/>
    <cellStyle name="Normal 41 3 4 5 2" xfId="21855" xr:uid="{DA3AB804-C056-410C-B01F-60A370AB301A}"/>
    <cellStyle name="Normal 41 3 4 6" xfId="15349" xr:uid="{9FE6F011-3ED3-49D7-B05A-FEEF0CC23CF8}"/>
    <cellStyle name="Normal 41 3 5" xfId="9899" xr:uid="{00000000-0005-0000-0000-0000D4210000}"/>
    <cellStyle name="Normal 41 3 5 2" xfId="18705" xr:uid="{4916C705-E6A1-4FA5-84FC-A60960036998}"/>
    <cellStyle name="Normal 41 3 6" xfId="8297" xr:uid="{00000000-0005-0000-0000-0000D5210000}"/>
    <cellStyle name="Normal 41 3 6 2" xfId="17106" xr:uid="{F6AC32FF-ABDE-498C-BE9A-746B1BF98E2B}"/>
    <cellStyle name="Normal 41 3 7" xfId="11509" xr:uid="{00000000-0005-0000-0000-0000D6210000}"/>
    <cellStyle name="Normal 41 3 7 2" xfId="20252" xr:uid="{7168F101-F585-4084-BB66-6AA32300E4E8}"/>
    <cellStyle name="Normal 41 3 8" xfId="13116" xr:uid="{00000000-0005-0000-0000-0000D7210000}"/>
    <cellStyle name="Normal 41 3 8 2" xfId="21852" xr:uid="{4C75089A-4C91-42D5-98A4-FC6D52F4D836}"/>
    <cellStyle name="Normal 41 3 9" xfId="15346" xr:uid="{FA191DF6-5BA8-410C-A6B3-63184E0AC7C5}"/>
    <cellStyle name="Normal 41 4" xfId="3219" xr:uid="{00000000-0005-0000-0000-0000D8210000}"/>
    <cellStyle name="Normal 42" xfId="3220" xr:uid="{00000000-0005-0000-0000-0000D9210000}"/>
    <cellStyle name="Normal 42 2" xfId="3221" xr:uid="{00000000-0005-0000-0000-0000DA210000}"/>
    <cellStyle name="Normal 42 2 10" xfId="13120" xr:uid="{00000000-0005-0000-0000-0000DB210000}"/>
    <cellStyle name="Normal 42 2 10 2" xfId="21856" xr:uid="{14C7FB19-D220-4EEE-BD7D-FFBE088423DC}"/>
    <cellStyle name="Normal 42 2 11" xfId="15350" xr:uid="{A2938C02-FA8A-4594-BC40-B16D91AD55AF}"/>
    <cellStyle name="Normal 42 2 2" xfId="3222" xr:uid="{00000000-0005-0000-0000-0000DC210000}"/>
    <cellStyle name="Normal 42 2 2 2" xfId="3223" xr:uid="{00000000-0005-0000-0000-0000DD210000}"/>
    <cellStyle name="Normal 42 2 2 2 2" xfId="9905" xr:uid="{00000000-0005-0000-0000-0000DE210000}"/>
    <cellStyle name="Normal 42 2 2 2 2 2" xfId="18711" xr:uid="{A099D10A-5CFE-4BF6-B291-A94126F22D34}"/>
    <cellStyle name="Normal 42 2 2 2 3" xfId="8303" xr:uid="{00000000-0005-0000-0000-0000DF210000}"/>
    <cellStyle name="Normal 42 2 2 2 3 2" xfId="17112" xr:uid="{FF0E2E86-FB91-4461-BA3A-7D50D8BCB809}"/>
    <cellStyle name="Normal 42 2 2 2 4" xfId="11515" xr:uid="{00000000-0005-0000-0000-0000E0210000}"/>
    <cellStyle name="Normal 42 2 2 2 4 2" xfId="20258" xr:uid="{2357243D-DC3B-43F0-AC1D-45042E143766}"/>
    <cellStyle name="Normal 42 2 2 2 5" xfId="13122" xr:uid="{00000000-0005-0000-0000-0000E1210000}"/>
    <cellStyle name="Normal 42 2 2 2 5 2" xfId="21858" xr:uid="{6D3C31A0-EFE6-4E66-B960-576D9D972731}"/>
    <cellStyle name="Normal 42 2 2 2 6" xfId="15352" xr:uid="{408B1622-97F2-45E2-8A23-56E47B9762AE}"/>
    <cellStyle name="Normal 42 2 2 3" xfId="3224" xr:uid="{00000000-0005-0000-0000-0000E2210000}"/>
    <cellStyle name="Normal 42 2 2 3 2" xfId="9906" xr:uid="{00000000-0005-0000-0000-0000E3210000}"/>
    <cellStyle name="Normal 42 2 2 3 2 2" xfId="18712" xr:uid="{544A841A-79B5-410F-A320-8AA17C6C186C}"/>
    <cellStyle name="Normal 42 2 2 3 3" xfId="8304" xr:uid="{00000000-0005-0000-0000-0000E4210000}"/>
    <cellStyle name="Normal 42 2 2 3 3 2" xfId="17113" xr:uid="{6E68A75A-453F-4D7E-90B2-1C8E6D8992A3}"/>
    <cellStyle name="Normal 42 2 2 3 4" xfId="11516" xr:uid="{00000000-0005-0000-0000-0000E5210000}"/>
    <cellStyle name="Normal 42 2 2 3 4 2" xfId="20259" xr:uid="{38D738D2-36CA-4A95-90B5-9A25D6BA9054}"/>
    <cellStyle name="Normal 42 2 2 3 5" xfId="13123" xr:uid="{00000000-0005-0000-0000-0000E6210000}"/>
    <cellStyle name="Normal 42 2 2 3 5 2" xfId="21859" xr:uid="{5C4925FC-C750-4EA6-8D66-55BF6144C012}"/>
    <cellStyle name="Normal 42 2 2 3 6" xfId="15353" xr:uid="{27FEF954-F037-4E0C-96B8-0F29EF6FB5D3}"/>
    <cellStyle name="Normal 42 2 2 4" xfId="3225" xr:uid="{00000000-0005-0000-0000-0000E7210000}"/>
    <cellStyle name="Normal 42 2 2 4 2" xfId="9907" xr:uid="{00000000-0005-0000-0000-0000E8210000}"/>
    <cellStyle name="Normal 42 2 2 4 2 2" xfId="18713" xr:uid="{3916DB47-AD7E-46CC-B047-2026C711C8F8}"/>
    <cellStyle name="Normal 42 2 2 4 3" xfId="8305" xr:uid="{00000000-0005-0000-0000-0000E9210000}"/>
    <cellStyle name="Normal 42 2 2 4 3 2" xfId="17114" xr:uid="{8504D8BB-DA0D-413F-8CFB-8E7ED9B30FAD}"/>
    <cellStyle name="Normal 42 2 2 4 4" xfId="11517" xr:uid="{00000000-0005-0000-0000-0000EA210000}"/>
    <cellStyle name="Normal 42 2 2 4 4 2" xfId="20260" xr:uid="{9BDE1B37-3FC0-453A-8B06-B6B28CB40E19}"/>
    <cellStyle name="Normal 42 2 2 4 5" xfId="13124" xr:uid="{00000000-0005-0000-0000-0000EB210000}"/>
    <cellStyle name="Normal 42 2 2 4 5 2" xfId="21860" xr:uid="{1279634D-04DF-423C-AE0D-49EE71C7B94C}"/>
    <cellStyle name="Normal 42 2 2 4 6" xfId="15354" xr:uid="{B433CFDE-BD18-4AFD-9687-B3F7EDA9E829}"/>
    <cellStyle name="Normal 42 2 2 5" xfId="9904" xr:uid="{00000000-0005-0000-0000-0000EC210000}"/>
    <cellStyle name="Normal 42 2 2 5 2" xfId="18710" xr:uid="{6868F9B9-3D6D-4AAD-9246-AD7A89032A97}"/>
    <cellStyle name="Normal 42 2 2 6" xfId="8302" xr:uid="{00000000-0005-0000-0000-0000ED210000}"/>
    <cellStyle name="Normal 42 2 2 6 2" xfId="17111" xr:uid="{7FFEF98E-D83E-4AC2-9EE8-76B17401AF94}"/>
    <cellStyle name="Normal 42 2 2 7" xfId="11514" xr:uid="{00000000-0005-0000-0000-0000EE210000}"/>
    <cellStyle name="Normal 42 2 2 7 2" xfId="20257" xr:uid="{6720CAE6-269B-4C99-83A6-C3725AC6EA15}"/>
    <cellStyle name="Normal 42 2 2 8" xfId="13121" xr:uid="{00000000-0005-0000-0000-0000EF210000}"/>
    <cellStyle name="Normal 42 2 2 8 2" xfId="21857" xr:uid="{C92D4B20-0CD2-4E8A-8C25-04D6636C7BBE}"/>
    <cellStyle name="Normal 42 2 2 9" xfId="15351" xr:uid="{5432AE8B-1C25-4DAF-AEB1-9BB7DED549EA}"/>
    <cellStyle name="Normal 42 2 3" xfId="3226" xr:uid="{00000000-0005-0000-0000-0000F0210000}"/>
    <cellStyle name="Normal 42 2 3 2" xfId="3227" xr:uid="{00000000-0005-0000-0000-0000F1210000}"/>
    <cellStyle name="Normal 42 2 3 2 2" xfId="9909" xr:uid="{00000000-0005-0000-0000-0000F2210000}"/>
    <cellStyle name="Normal 42 2 3 2 2 2" xfId="18715" xr:uid="{AA43FD18-4249-4DFD-A4DD-78DA68A57D51}"/>
    <cellStyle name="Normal 42 2 3 2 3" xfId="8307" xr:uid="{00000000-0005-0000-0000-0000F3210000}"/>
    <cellStyle name="Normal 42 2 3 2 3 2" xfId="17116" xr:uid="{6F9993EB-5F6A-414B-A0C1-8A7AB571B7CD}"/>
    <cellStyle name="Normal 42 2 3 2 4" xfId="11519" xr:uid="{00000000-0005-0000-0000-0000F4210000}"/>
    <cellStyle name="Normal 42 2 3 2 4 2" xfId="20262" xr:uid="{459C956F-DA85-46DE-91DB-446A2906ECC1}"/>
    <cellStyle name="Normal 42 2 3 2 5" xfId="13126" xr:uid="{00000000-0005-0000-0000-0000F5210000}"/>
    <cellStyle name="Normal 42 2 3 2 5 2" xfId="21862" xr:uid="{E329933D-519B-43A4-A984-2F464FAAB3E0}"/>
    <cellStyle name="Normal 42 2 3 2 6" xfId="15356" xr:uid="{6657748A-10F0-404D-8287-9600CB12F895}"/>
    <cellStyle name="Normal 42 2 3 3" xfId="3228" xr:uid="{00000000-0005-0000-0000-0000F6210000}"/>
    <cellStyle name="Normal 42 2 3 3 2" xfId="9910" xr:uid="{00000000-0005-0000-0000-0000F7210000}"/>
    <cellStyle name="Normal 42 2 3 3 2 2" xfId="18716" xr:uid="{C7ECF8E0-457C-4E16-9181-4DA187C75B27}"/>
    <cellStyle name="Normal 42 2 3 3 3" xfId="8308" xr:uid="{00000000-0005-0000-0000-0000F8210000}"/>
    <cellStyle name="Normal 42 2 3 3 3 2" xfId="17117" xr:uid="{536B17CA-A11A-4B0E-9179-B4E45ADF4696}"/>
    <cellStyle name="Normal 42 2 3 3 4" xfId="11520" xr:uid="{00000000-0005-0000-0000-0000F9210000}"/>
    <cellStyle name="Normal 42 2 3 3 4 2" xfId="20263" xr:uid="{CF9D0B64-ABF0-4A35-8EAA-6257FCB91AF2}"/>
    <cellStyle name="Normal 42 2 3 3 5" xfId="13127" xr:uid="{00000000-0005-0000-0000-0000FA210000}"/>
    <cellStyle name="Normal 42 2 3 3 5 2" xfId="21863" xr:uid="{42A308F9-F646-4C07-B331-7BB7C81FBA7E}"/>
    <cellStyle name="Normal 42 2 3 3 6" xfId="15357" xr:uid="{048765F3-4426-43A4-98BF-39199E87D780}"/>
    <cellStyle name="Normal 42 2 3 4" xfId="3229" xr:uid="{00000000-0005-0000-0000-0000FB210000}"/>
    <cellStyle name="Normal 42 2 3 4 2" xfId="9911" xr:uid="{00000000-0005-0000-0000-0000FC210000}"/>
    <cellStyle name="Normal 42 2 3 4 2 2" xfId="18717" xr:uid="{5F8A4E4C-DD6A-4532-BC89-902309B28F5F}"/>
    <cellStyle name="Normal 42 2 3 4 3" xfId="8309" xr:uid="{00000000-0005-0000-0000-0000FD210000}"/>
    <cellStyle name="Normal 42 2 3 4 3 2" xfId="17118" xr:uid="{E4EC3E1D-57A2-423C-86AC-EA0FA4E3CBCD}"/>
    <cellStyle name="Normal 42 2 3 4 4" xfId="11521" xr:uid="{00000000-0005-0000-0000-0000FE210000}"/>
    <cellStyle name="Normal 42 2 3 4 4 2" xfId="20264" xr:uid="{A1DD7E0B-24E5-4DE0-8163-6D14B4F22073}"/>
    <cellStyle name="Normal 42 2 3 4 5" xfId="13128" xr:uid="{00000000-0005-0000-0000-0000FF210000}"/>
    <cellStyle name="Normal 42 2 3 4 5 2" xfId="21864" xr:uid="{C8006C91-BFDE-4DB5-A71A-706A79464F08}"/>
    <cellStyle name="Normal 42 2 3 4 6" xfId="15358" xr:uid="{D7B47F73-49BE-4C8F-847B-8898D66506A7}"/>
    <cellStyle name="Normal 42 2 3 5" xfId="9908" xr:uid="{00000000-0005-0000-0000-000000220000}"/>
    <cellStyle name="Normal 42 2 3 5 2" xfId="18714" xr:uid="{1E1725F3-7F62-4447-8D2A-F191811A3B77}"/>
    <cellStyle name="Normal 42 2 3 6" xfId="8306" xr:uid="{00000000-0005-0000-0000-000001220000}"/>
    <cellStyle name="Normal 42 2 3 6 2" xfId="17115" xr:uid="{EE87F538-B925-4311-8AAD-DA234A841F45}"/>
    <cellStyle name="Normal 42 2 3 7" xfId="11518" xr:uid="{00000000-0005-0000-0000-000002220000}"/>
    <cellStyle name="Normal 42 2 3 7 2" xfId="20261" xr:uid="{E718A987-01CD-406A-9D75-8D3C1E5D1057}"/>
    <cellStyle name="Normal 42 2 3 8" xfId="13125" xr:uid="{00000000-0005-0000-0000-000003220000}"/>
    <cellStyle name="Normal 42 2 3 8 2" xfId="21861" xr:uid="{5BCF6C9C-17FD-48CC-8B30-28CB59F84A6A}"/>
    <cellStyle name="Normal 42 2 3 9" xfId="15355" xr:uid="{E36C0435-6C87-4F8F-8A3E-9007F80C174A}"/>
    <cellStyle name="Normal 42 2 4" xfId="3230" xr:uid="{00000000-0005-0000-0000-000004220000}"/>
    <cellStyle name="Normal 42 2 4 2" xfId="9912" xr:uid="{00000000-0005-0000-0000-000005220000}"/>
    <cellStyle name="Normal 42 2 4 2 2" xfId="18718" xr:uid="{5EA0F848-40C6-4EAA-AD14-F7765A6F9D70}"/>
    <cellStyle name="Normal 42 2 4 3" xfId="8310" xr:uid="{00000000-0005-0000-0000-000006220000}"/>
    <cellStyle name="Normal 42 2 4 3 2" xfId="17119" xr:uid="{41693EF9-A902-4F2A-A348-CE4ECDA7A9C3}"/>
    <cellStyle name="Normal 42 2 4 4" xfId="11522" xr:uid="{00000000-0005-0000-0000-000007220000}"/>
    <cellStyle name="Normal 42 2 4 4 2" xfId="20265" xr:uid="{B3D1A99C-4508-49D8-9646-EA48346003BE}"/>
    <cellStyle name="Normal 42 2 4 5" xfId="13129" xr:uid="{00000000-0005-0000-0000-000008220000}"/>
    <cellStyle name="Normal 42 2 4 5 2" xfId="21865" xr:uid="{66129EC2-011C-4099-90CD-9294D94F421C}"/>
    <cellStyle name="Normal 42 2 4 6" xfId="15359" xr:uid="{7D4F8D24-86EA-4776-A0F0-C3485E9ADEE9}"/>
    <cellStyle name="Normal 42 2 5" xfId="3231" xr:uid="{00000000-0005-0000-0000-000009220000}"/>
    <cellStyle name="Normal 42 2 5 2" xfId="9913" xr:uid="{00000000-0005-0000-0000-00000A220000}"/>
    <cellStyle name="Normal 42 2 5 2 2" xfId="18719" xr:uid="{C8D647BB-96EB-47A0-A741-9CF021163A29}"/>
    <cellStyle name="Normal 42 2 5 3" xfId="8311" xr:uid="{00000000-0005-0000-0000-00000B220000}"/>
    <cellStyle name="Normal 42 2 5 3 2" xfId="17120" xr:uid="{B448F520-EC38-4B43-ADBB-F0E84F9D6E39}"/>
    <cellStyle name="Normal 42 2 5 4" xfId="11523" xr:uid="{00000000-0005-0000-0000-00000C220000}"/>
    <cellStyle name="Normal 42 2 5 4 2" xfId="20266" xr:uid="{17775168-C438-4FF5-AFE1-E70AADE28739}"/>
    <cellStyle name="Normal 42 2 5 5" xfId="13130" xr:uid="{00000000-0005-0000-0000-00000D220000}"/>
    <cellStyle name="Normal 42 2 5 5 2" xfId="21866" xr:uid="{669700B6-3FC4-49A2-A4A6-9B6BBA7E7D24}"/>
    <cellStyle name="Normal 42 2 5 6" xfId="15360" xr:uid="{72DE837D-4D8E-4697-906D-7D1356CDB9C6}"/>
    <cellStyle name="Normal 42 2 6" xfId="3232" xr:uid="{00000000-0005-0000-0000-00000E220000}"/>
    <cellStyle name="Normal 42 2 6 2" xfId="9914" xr:uid="{00000000-0005-0000-0000-00000F220000}"/>
    <cellStyle name="Normal 42 2 6 2 2" xfId="18720" xr:uid="{EA8B5645-861D-441D-91EE-41BBDEBCD27C}"/>
    <cellStyle name="Normal 42 2 6 3" xfId="8312" xr:uid="{00000000-0005-0000-0000-000010220000}"/>
    <cellStyle name="Normal 42 2 6 3 2" xfId="17121" xr:uid="{AB73D91B-AD46-4F49-A6C3-5DEF9204C856}"/>
    <cellStyle name="Normal 42 2 6 4" xfId="11524" xr:uid="{00000000-0005-0000-0000-000011220000}"/>
    <cellStyle name="Normal 42 2 6 4 2" xfId="20267" xr:uid="{94E1C9CE-062A-4847-ABD1-1E74774AC031}"/>
    <cellStyle name="Normal 42 2 6 5" xfId="13131" xr:uid="{00000000-0005-0000-0000-000012220000}"/>
    <cellStyle name="Normal 42 2 6 5 2" xfId="21867" xr:uid="{2EA02E32-81E3-401A-AD3C-4D66BAFED354}"/>
    <cellStyle name="Normal 42 2 6 6" xfId="15361" xr:uid="{71AE45AE-1A52-479B-99DF-04C2483E8AD8}"/>
    <cellStyle name="Normal 42 2 7" xfId="9903" xr:uid="{00000000-0005-0000-0000-000013220000}"/>
    <cellStyle name="Normal 42 2 7 2" xfId="18709" xr:uid="{9525CBCF-B82B-4AB2-A6E7-497601E2BD99}"/>
    <cellStyle name="Normal 42 2 8" xfId="8301" xr:uid="{00000000-0005-0000-0000-000014220000}"/>
    <cellStyle name="Normal 42 2 8 2" xfId="17110" xr:uid="{B19DFBBB-6B1A-48FE-A849-EA8397AB32F9}"/>
    <cellStyle name="Normal 42 2 9" xfId="11513" xr:uid="{00000000-0005-0000-0000-000015220000}"/>
    <cellStyle name="Normal 42 2 9 2" xfId="20256" xr:uid="{C1B7EACF-03EA-4DF4-908A-7EEE364731BE}"/>
    <cellStyle name="Normal 42 3" xfId="3233" xr:uid="{00000000-0005-0000-0000-000016220000}"/>
    <cellStyle name="Normal 42 3 2" xfId="3234" xr:uid="{00000000-0005-0000-0000-000017220000}"/>
    <cellStyle name="Normal 42 3 2 2" xfId="9916" xr:uid="{00000000-0005-0000-0000-000018220000}"/>
    <cellStyle name="Normal 42 3 2 2 2" xfId="18722" xr:uid="{32FFDE83-480A-4268-9F6C-56E77E371EBC}"/>
    <cellStyle name="Normal 42 3 2 3" xfId="8314" xr:uid="{00000000-0005-0000-0000-000019220000}"/>
    <cellStyle name="Normal 42 3 2 3 2" xfId="17123" xr:uid="{1AC70D58-7A31-466D-807D-EA6A7F86C73C}"/>
    <cellStyle name="Normal 42 3 2 4" xfId="11526" xr:uid="{00000000-0005-0000-0000-00001A220000}"/>
    <cellStyle name="Normal 42 3 2 4 2" xfId="20269" xr:uid="{F03B6186-BCF2-4B0F-959C-B0E24E029B09}"/>
    <cellStyle name="Normal 42 3 2 5" xfId="13133" xr:uid="{00000000-0005-0000-0000-00001B220000}"/>
    <cellStyle name="Normal 42 3 2 5 2" xfId="21869" xr:uid="{3D5E8394-7BDD-4E56-B3B3-721B69710E89}"/>
    <cellStyle name="Normal 42 3 2 6" xfId="15363" xr:uid="{5AB2C6E6-C6C0-41BB-9D02-D1DF8B5BD710}"/>
    <cellStyle name="Normal 42 3 3" xfId="3235" xr:uid="{00000000-0005-0000-0000-00001C220000}"/>
    <cellStyle name="Normal 42 3 3 2" xfId="9917" xr:uid="{00000000-0005-0000-0000-00001D220000}"/>
    <cellStyle name="Normal 42 3 3 2 2" xfId="18723" xr:uid="{25391D98-A7D6-49E0-A9D3-841790D87E79}"/>
    <cellStyle name="Normal 42 3 3 3" xfId="8315" xr:uid="{00000000-0005-0000-0000-00001E220000}"/>
    <cellStyle name="Normal 42 3 3 3 2" xfId="17124" xr:uid="{302956AD-2B92-4968-A549-30129D727D21}"/>
    <cellStyle name="Normal 42 3 3 4" xfId="11527" xr:uid="{00000000-0005-0000-0000-00001F220000}"/>
    <cellStyle name="Normal 42 3 3 4 2" xfId="20270" xr:uid="{29BB0F7C-A5C5-4579-B386-6E342AD051CF}"/>
    <cellStyle name="Normal 42 3 3 5" xfId="13134" xr:uid="{00000000-0005-0000-0000-000020220000}"/>
    <cellStyle name="Normal 42 3 3 5 2" xfId="21870" xr:uid="{C5B48FD9-343B-4D9F-A723-DA9256BE1B1B}"/>
    <cellStyle name="Normal 42 3 3 6" xfId="15364" xr:uid="{7D863CF4-024B-469D-92B9-B82979E5A4D2}"/>
    <cellStyle name="Normal 42 3 4" xfId="3236" xr:uid="{00000000-0005-0000-0000-000021220000}"/>
    <cellStyle name="Normal 42 3 4 2" xfId="9918" xr:uid="{00000000-0005-0000-0000-000022220000}"/>
    <cellStyle name="Normal 42 3 4 2 2" xfId="18724" xr:uid="{B5E6C6D5-AFE1-4195-BF62-A7E91533FC14}"/>
    <cellStyle name="Normal 42 3 4 3" xfId="8316" xr:uid="{00000000-0005-0000-0000-000023220000}"/>
    <cellStyle name="Normal 42 3 4 3 2" xfId="17125" xr:uid="{EA421876-9652-4AD7-B401-AD19A2C3C864}"/>
    <cellStyle name="Normal 42 3 4 4" xfId="11528" xr:uid="{00000000-0005-0000-0000-000024220000}"/>
    <cellStyle name="Normal 42 3 4 4 2" xfId="20271" xr:uid="{0436244B-F48C-43D9-BFF7-4C4A024F9D13}"/>
    <cellStyle name="Normal 42 3 4 5" xfId="13135" xr:uid="{00000000-0005-0000-0000-000025220000}"/>
    <cellStyle name="Normal 42 3 4 5 2" xfId="21871" xr:uid="{313E53B3-AABF-4ACB-91BB-06786B5AE296}"/>
    <cellStyle name="Normal 42 3 4 6" xfId="15365" xr:uid="{837152DF-BA86-41FC-9002-AA81B347C843}"/>
    <cellStyle name="Normal 42 3 5" xfId="9915" xr:uid="{00000000-0005-0000-0000-000026220000}"/>
    <cellStyle name="Normal 42 3 5 2" xfId="18721" xr:uid="{5B083681-4EBA-491F-9F9F-83D408D9C26A}"/>
    <cellStyle name="Normal 42 3 6" xfId="8313" xr:uid="{00000000-0005-0000-0000-000027220000}"/>
    <cellStyle name="Normal 42 3 6 2" xfId="17122" xr:uid="{C1101F52-EB7E-4A0F-BF55-FC57A7F3BD55}"/>
    <cellStyle name="Normal 42 3 7" xfId="11525" xr:uid="{00000000-0005-0000-0000-000028220000}"/>
    <cellStyle name="Normal 42 3 7 2" xfId="20268" xr:uid="{18043DDE-9889-46C8-A08E-445C67434AE4}"/>
    <cellStyle name="Normal 42 3 8" xfId="13132" xr:uid="{00000000-0005-0000-0000-000029220000}"/>
    <cellStyle name="Normal 42 3 8 2" xfId="21868" xr:uid="{A4C9750E-AB5B-4CE4-A962-2E9CDB65A5E3}"/>
    <cellStyle name="Normal 42 3 9" xfId="15362" xr:uid="{BBDEB65F-D1D0-44D4-8A6D-19B91E181117}"/>
    <cellStyle name="Normal 42 4" xfId="3237" xr:uid="{00000000-0005-0000-0000-00002A220000}"/>
    <cellStyle name="Normal 43" xfId="3238" xr:uid="{00000000-0005-0000-0000-00002B220000}"/>
    <cellStyle name="Normal 43 2" xfId="3239" xr:uid="{00000000-0005-0000-0000-00002C220000}"/>
    <cellStyle name="Normal 44" xfId="3240" xr:uid="{00000000-0005-0000-0000-00002D220000}"/>
    <cellStyle name="Normal 44 2" xfId="3241" xr:uid="{00000000-0005-0000-0000-00002E220000}"/>
    <cellStyle name="Normal 45" xfId="3242" xr:uid="{00000000-0005-0000-0000-00002F220000}"/>
    <cellStyle name="Normal 45 2" xfId="3243" xr:uid="{00000000-0005-0000-0000-000030220000}"/>
    <cellStyle name="Normal 45 2 2" xfId="3244" xr:uid="{00000000-0005-0000-0000-000031220000}"/>
    <cellStyle name="Normal 45 2 2 2" xfId="9920" xr:uid="{00000000-0005-0000-0000-000032220000}"/>
    <cellStyle name="Normal 45 2 2 2 2" xfId="18726" xr:uid="{57AB2DB0-72C3-464F-9A43-178EA81B160B}"/>
    <cellStyle name="Normal 45 2 2 3" xfId="8318" xr:uid="{00000000-0005-0000-0000-000033220000}"/>
    <cellStyle name="Normal 45 2 2 3 2" xfId="17127" xr:uid="{FDABC0BC-E24C-4184-850C-E3B44BDAD80B}"/>
    <cellStyle name="Normal 45 2 2 4" xfId="11530" xr:uid="{00000000-0005-0000-0000-000034220000}"/>
    <cellStyle name="Normal 45 2 2 4 2" xfId="20273" xr:uid="{C7B64A02-8C8D-4D2B-AC90-DCE9C98E4291}"/>
    <cellStyle name="Normal 45 2 2 5" xfId="13137" xr:uid="{00000000-0005-0000-0000-000035220000}"/>
    <cellStyle name="Normal 45 2 2 5 2" xfId="21873" xr:uid="{FD44340D-68F2-4EBC-BDD2-3BAE14170C32}"/>
    <cellStyle name="Normal 45 2 2 6" xfId="15367" xr:uid="{4395B683-9F43-4E10-B4A0-A2D7552236C8}"/>
    <cellStyle name="Normal 45 2 3" xfId="3245" xr:uid="{00000000-0005-0000-0000-000036220000}"/>
    <cellStyle name="Normal 45 2 3 2" xfId="9921" xr:uid="{00000000-0005-0000-0000-000037220000}"/>
    <cellStyle name="Normal 45 2 3 2 2" xfId="18727" xr:uid="{130D9BE6-6771-482F-9CD7-6FBFAF4AA33C}"/>
    <cellStyle name="Normal 45 2 3 3" xfId="8319" xr:uid="{00000000-0005-0000-0000-000038220000}"/>
    <cellStyle name="Normal 45 2 3 3 2" xfId="17128" xr:uid="{BBDE7A12-F2C8-4A1B-A644-6B24883ADA98}"/>
    <cellStyle name="Normal 45 2 3 4" xfId="11531" xr:uid="{00000000-0005-0000-0000-000039220000}"/>
    <cellStyle name="Normal 45 2 3 4 2" xfId="20274" xr:uid="{D5EDC081-4FBB-429F-8CB8-354B7EBEB4FC}"/>
    <cellStyle name="Normal 45 2 3 5" xfId="13138" xr:uid="{00000000-0005-0000-0000-00003A220000}"/>
    <cellStyle name="Normal 45 2 3 5 2" xfId="21874" xr:uid="{3EC754CC-8627-4641-BCF4-9DF0B689DC4B}"/>
    <cellStyle name="Normal 45 2 3 6" xfId="15368" xr:uid="{05ACF250-06E7-41E5-A26C-56EB4D33B7C0}"/>
    <cellStyle name="Normal 45 2 4" xfId="3246" xr:uid="{00000000-0005-0000-0000-00003B220000}"/>
    <cellStyle name="Normal 45 2 4 2" xfId="9922" xr:uid="{00000000-0005-0000-0000-00003C220000}"/>
    <cellStyle name="Normal 45 2 4 2 2" xfId="18728" xr:uid="{2F7D8629-AC1C-4F0E-9A12-2FE05376F713}"/>
    <cellStyle name="Normal 45 2 4 3" xfId="8320" xr:uid="{00000000-0005-0000-0000-00003D220000}"/>
    <cellStyle name="Normal 45 2 4 3 2" xfId="17129" xr:uid="{232267B2-EFE4-455F-98E6-1868AB818103}"/>
    <cellStyle name="Normal 45 2 4 4" xfId="11532" xr:uid="{00000000-0005-0000-0000-00003E220000}"/>
    <cellStyle name="Normal 45 2 4 4 2" xfId="20275" xr:uid="{B73EDA61-D8FD-493C-9ADB-E486BD56B69E}"/>
    <cellStyle name="Normal 45 2 4 5" xfId="13139" xr:uid="{00000000-0005-0000-0000-00003F220000}"/>
    <cellStyle name="Normal 45 2 4 5 2" xfId="21875" xr:uid="{9A32B93C-8CCE-42B5-9463-716DD56CA0EF}"/>
    <cellStyle name="Normal 45 2 4 6" xfId="15369" xr:uid="{76E77353-D2B5-4058-BBF6-77851D983523}"/>
    <cellStyle name="Normal 45 2 5" xfId="9919" xr:uid="{00000000-0005-0000-0000-000040220000}"/>
    <cellStyle name="Normal 45 2 5 2" xfId="18725" xr:uid="{5E3CA868-3AAA-45C0-881B-BA7A5F8E48DD}"/>
    <cellStyle name="Normal 45 2 6" xfId="8317" xr:uid="{00000000-0005-0000-0000-000041220000}"/>
    <cellStyle name="Normal 45 2 6 2" xfId="17126" xr:uid="{BD4D4C79-4491-41BC-8B17-0088292CF990}"/>
    <cellStyle name="Normal 45 2 7" xfId="11529" xr:uid="{00000000-0005-0000-0000-000042220000}"/>
    <cellStyle name="Normal 45 2 7 2" xfId="20272" xr:uid="{2272CBDF-AB46-46B3-A94F-28C555AB7AC9}"/>
    <cellStyle name="Normal 45 2 8" xfId="13136" xr:uid="{00000000-0005-0000-0000-000043220000}"/>
    <cellStyle name="Normal 45 2 8 2" xfId="21872" xr:uid="{4D52E9F7-25C0-4B0E-A244-D0E8DC569D2F}"/>
    <cellStyle name="Normal 45 2 9" xfId="15366" xr:uid="{A3364D6B-3D21-4514-839A-7740908AEF1A}"/>
    <cellStyle name="Normal 45 3" xfId="3247" xr:uid="{00000000-0005-0000-0000-000044220000}"/>
    <cellStyle name="Normal 46" xfId="3248" xr:uid="{00000000-0005-0000-0000-000045220000}"/>
    <cellStyle name="Normal 46 10" xfId="13140" xr:uid="{00000000-0005-0000-0000-000046220000}"/>
    <cellStyle name="Normal 46 10 2" xfId="21876" xr:uid="{DCFDD049-4B19-4D36-B483-0273CAC257AC}"/>
    <cellStyle name="Normal 46 11" xfId="15370" xr:uid="{BFBC982E-3C1B-474A-B317-7ED67F4D40E9}"/>
    <cellStyle name="Normal 46 2" xfId="3249" xr:uid="{00000000-0005-0000-0000-000047220000}"/>
    <cellStyle name="Normal 46 2 2" xfId="3250" xr:uid="{00000000-0005-0000-0000-000048220000}"/>
    <cellStyle name="Normal 46 2 2 2" xfId="9925" xr:uid="{00000000-0005-0000-0000-000049220000}"/>
    <cellStyle name="Normal 46 2 2 2 2" xfId="18731" xr:uid="{0EECB1A9-9ECB-475B-B8DA-5CFD87FFBBCA}"/>
    <cellStyle name="Normal 46 2 2 3" xfId="8323" xr:uid="{00000000-0005-0000-0000-00004A220000}"/>
    <cellStyle name="Normal 46 2 2 3 2" xfId="17132" xr:uid="{DD7C04A1-DAFD-49DC-BB7D-3847643AC221}"/>
    <cellStyle name="Normal 46 2 2 4" xfId="11535" xr:uid="{00000000-0005-0000-0000-00004B220000}"/>
    <cellStyle name="Normal 46 2 2 4 2" xfId="20278" xr:uid="{DE17D910-2055-421A-B102-892C8DD1ADAA}"/>
    <cellStyle name="Normal 46 2 2 5" xfId="13142" xr:uid="{00000000-0005-0000-0000-00004C220000}"/>
    <cellStyle name="Normal 46 2 2 5 2" xfId="21878" xr:uid="{018C2C92-7FDF-43E8-B78A-348F664B9B3B}"/>
    <cellStyle name="Normal 46 2 2 6" xfId="15372" xr:uid="{FA52166A-BF9F-4559-BF62-8F498FF51C80}"/>
    <cellStyle name="Normal 46 2 3" xfId="3251" xr:uid="{00000000-0005-0000-0000-00004D220000}"/>
    <cellStyle name="Normal 46 2 3 2" xfId="9926" xr:uid="{00000000-0005-0000-0000-00004E220000}"/>
    <cellStyle name="Normal 46 2 3 2 2" xfId="18732" xr:uid="{65731B81-9D6E-4D8E-BBAD-04D39E9594C5}"/>
    <cellStyle name="Normal 46 2 3 3" xfId="8324" xr:uid="{00000000-0005-0000-0000-00004F220000}"/>
    <cellStyle name="Normal 46 2 3 3 2" xfId="17133" xr:uid="{ACFBE1CB-938B-487E-AEF7-CC21D88422A4}"/>
    <cellStyle name="Normal 46 2 3 4" xfId="11536" xr:uid="{00000000-0005-0000-0000-000050220000}"/>
    <cellStyle name="Normal 46 2 3 4 2" xfId="20279" xr:uid="{159B31DB-3DC5-439B-9C3E-9106C0C9D665}"/>
    <cellStyle name="Normal 46 2 3 5" xfId="13143" xr:uid="{00000000-0005-0000-0000-000051220000}"/>
    <cellStyle name="Normal 46 2 3 5 2" xfId="21879" xr:uid="{B806A416-E627-493E-8F25-9DBB036763E0}"/>
    <cellStyle name="Normal 46 2 3 6" xfId="15373" xr:uid="{AF6DDD40-1B97-47ED-BD5E-22CC1074803C}"/>
    <cellStyle name="Normal 46 2 4" xfId="3252" xr:uid="{00000000-0005-0000-0000-000052220000}"/>
    <cellStyle name="Normal 46 2 4 2" xfId="9927" xr:uid="{00000000-0005-0000-0000-000053220000}"/>
    <cellStyle name="Normal 46 2 4 2 2" xfId="18733" xr:uid="{3DFEF8AA-82DD-4703-9527-C9DA589ED58B}"/>
    <cellStyle name="Normal 46 2 4 3" xfId="8325" xr:uid="{00000000-0005-0000-0000-000054220000}"/>
    <cellStyle name="Normal 46 2 4 3 2" xfId="17134" xr:uid="{7D099394-DE8D-4395-8B46-00CB4D7EE800}"/>
    <cellStyle name="Normal 46 2 4 4" xfId="11537" xr:uid="{00000000-0005-0000-0000-000055220000}"/>
    <cellStyle name="Normal 46 2 4 4 2" xfId="20280" xr:uid="{294B6EF7-5923-42AB-B079-609EAC6300B9}"/>
    <cellStyle name="Normal 46 2 4 5" xfId="13144" xr:uid="{00000000-0005-0000-0000-000056220000}"/>
    <cellStyle name="Normal 46 2 4 5 2" xfId="21880" xr:uid="{9444D76F-B90F-43F0-B172-27D0BCDAA253}"/>
    <cellStyle name="Normal 46 2 4 6" xfId="15374" xr:uid="{33A90168-B61C-48F2-BAB3-B9BA7750523A}"/>
    <cellStyle name="Normal 46 2 5" xfId="9924" xr:uid="{00000000-0005-0000-0000-000057220000}"/>
    <cellStyle name="Normal 46 2 5 2" xfId="18730" xr:uid="{FE41036E-CFBD-48AD-B0EE-393F6A4DE50A}"/>
    <cellStyle name="Normal 46 2 6" xfId="8322" xr:uid="{00000000-0005-0000-0000-000058220000}"/>
    <cellStyle name="Normal 46 2 6 2" xfId="17131" xr:uid="{659D8366-45B4-4E72-BB93-9009632A71F7}"/>
    <cellStyle name="Normal 46 2 7" xfId="11534" xr:uid="{00000000-0005-0000-0000-000059220000}"/>
    <cellStyle name="Normal 46 2 7 2" xfId="20277" xr:uid="{D770EE64-013E-4770-86D2-C58AF74378D7}"/>
    <cellStyle name="Normal 46 2 8" xfId="13141" xr:uid="{00000000-0005-0000-0000-00005A220000}"/>
    <cellStyle name="Normal 46 2 8 2" xfId="21877" xr:uid="{FABD1CE4-4936-49F3-8127-F01E14BF8629}"/>
    <cellStyle name="Normal 46 2 9" xfId="15371" xr:uid="{F1DBAB6E-058D-4222-9433-6932A4167D31}"/>
    <cellStyle name="Normal 46 3" xfId="3253" xr:uid="{00000000-0005-0000-0000-00005B220000}"/>
    <cellStyle name="Normal 46 3 2" xfId="3254" xr:uid="{00000000-0005-0000-0000-00005C220000}"/>
    <cellStyle name="Normal 46 3 2 2" xfId="9929" xr:uid="{00000000-0005-0000-0000-00005D220000}"/>
    <cellStyle name="Normal 46 3 2 2 2" xfId="18735" xr:uid="{57C3FE98-3BA7-4B39-8516-B6284A4481DF}"/>
    <cellStyle name="Normal 46 3 2 3" xfId="8327" xr:uid="{00000000-0005-0000-0000-00005E220000}"/>
    <cellStyle name="Normal 46 3 2 3 2" xfId="17136" xr:uid="{5BB2BA85-952B-49C6-9141-C2EDD5D518FA}"/>
    <cellStyle name="Normal 46 3 2 4" xfId="11539" xr:uid="{00000000-0005-0000-0000-00005F220000}"/>
    <cellStyle name="Normal 46 3 2 4 2" xfId="20282" xr:uid="{FAD4F143-31E2-4AEC-96AB-2575D72EBDA6}"/>
    <cellStyle name="Normal 46 3 2 5" xfId="13146" xr:uid="{00000000-0005-0000-0000-000060220000}"/>
    <cellStyle name="Normal 46 3 2 5 2" xfId="21882" xr:uid="{5DB9BAA8-89F6-4D76-81CC-10FDB237A500}"/>
    <cellStyle name="Normal 46 3 2 6" xfId="15376" xr:uid="{4225864E-FC9D-4A7F-97D5-0D4437129742}"/>
    <cellStyle name="Normal 46 3 3" xfId="3255" xr:uid="{00000000-0005-0000-0000-000061220000}"/>
    <cellStyle name="Normal 46 3 3 2" xfId="9930" xr:uid="{00000000-0005-0000-0000-000062220000}"/>
    <cellStyle name="Normal 46 3 3 2 2" xfId="18736" xr:uid="{8978A9DA-4066-4181-A8FC-CC6D5D4FB455}"/>
    <cellStyle name="Normal 46 3 3 3" xfId="8328" xr:uid="{00000000-0005-0000-0000-000063220000}"/>
    <cellStyle name="Normal 46 3 3 3 2" xfId="17137" xr:uid="{972557E4-54E5-42E9-8543-ECE02D8F2B03}"/>
    <cellStyle name="Normal 46 3 3 4" xfId="11540" xr:uid="{00000000-0005-0000-0000-000064220000}"/>
    <cellStyle name="Normal 46 3 3 4 2" xfId="20283" xr:uid="{5B676F29-8D8D-4BC4-ACB6-73C7965A775F}"/>
    <cellStyle name="Normal 46 3 3 5" xfId="13147" xr:uid="{00000000-0005-0000-0000-000065220000}"/>
    <cellStyle name="Normal 46 3 3 5 2" xfId="21883" xr:uid="{D3C08FCF-5FCE-4976-BF2A-663319C47E82}"/>
    <cellStyle name="Normal 46 3 3 6" xfId="15377" xr:uid="{A2B788A6-23BB-4C27-807B-39EDD58985EC}"/>
    <cellStyle name="Normal 46 3 4" xfId="3256" xr:uid="{00000000-0005-0000-0000-000066220000}"/>
    <cellStyle name="Normal 46 3 4 2" xfId="9931" xr:uid="{00000000-0005-0000-0000-000067220000}"/>
    <cellStyle name="Normal 46 3 4 2 2" xfId="18737" xr:uid="{6FCFA15E-BD23-453E-8CE6-EE8B8037B273}"/>
    <cellStyle name="Normal 46 3 4 3" xfId="8329" xr:uid="{00000000-0005-0000-0000-000068220000}"/>
    <cellStyle name="Normal 46 3 4 3 2" xfId="17138" xr:uid="{03B257AA-3EB0-4BE6-AE22-395F00A2F440}"/>
    <cellStyle name="Normal 46 3 4 4" xfId="11541" xr:uid="{00000000-0005-0000-0000-000069220000}"/>
    <cellStyle name="Normal 46 3 4 4 2" xfId="20284" xr:uid="{7C0EC142-2D84-43A5-A518-411C201C5324}"/>
    <cellStyle name="Normal 46 3 4 5" xfId="13148" xr:uid="{00000000-0005-0000-0000-00006A220000}"/>
    <cellStyle name="Normal 46 3 4 5 2" xfId="21884" xr:uid="{14F2FE85-FFFE-4543-B53A-35F3274308A4}"/>
    <cellStyle name="Normal 46 3 4 6" xfId="15378" xr:uid="{4ED35080-6B67-467A-B9AE-6F4709611ED8}"/>
    <cellStyle name="Normal 46 3 5" xfId="9928" xr:uid="{00000000-0005-0000-0000-00006B220000}"/>
    <cellStyle name="Normal 46 3 5 2" xfId="18734" xr:uid="{E18043ED-E9CF-4C85-8EBD-7F05F2BA6794}"/>
    <cellStyle name="Normal 46 3 6" xfId="8326" xr:uid="{00000000-0005-0000-0000-00006C220000}"/>
    <cellStyle name="Normal 46 3 6 2" xfId="17135" xr:uid="{A19A61CB-E7E5-46C4-BCF1-A4BBF8E5BA64}"/>
    <cellStyle name="Normal 46 3 7" xfId="11538" xr:uid="{00000000-0005-0000-0000-00006D220000}"/>
    <cellStyle name="Normal 46 3 7 2" xfId="20281" xr:uid="{A8741467-0CA1-4129-9ADE-404DBFF5D972}"/>
    <cellStyle name="Normal 46 3 8" xfId="13145" xr:uid="{00000000-0005-0000-0000-00006E220000}"/>
    <cellStyle name="Normal 46 3 8 2" xfId="21881" xr:uid="{C62B10C3-BC4F-4BD8-B0FC-AD75D6326F47}"/>
    <cellStyle name="Normal 46 3 9" xfId="15375" xr:uid="{53F7551A-D12D-44AD-9102-8EF2FD5E7182}"/>
    <cellStyle name="Normal 46 4" xfId="3257" xr:uid="{00000000-0005-0000-0000-00006F220000}"/>
    <cellStyle name="Normal 46 4 2" xfId="9932" xr:uid="{00000000-0005-0000-0000-000070220000}"/>
    <cellStyle name="Normal 46 4 2 2" xfId="18738" xr:uid="{149CF1F1-AECE-4E67-8146-C5A8F67F7745}"/>
    <cellStyle name="Normal 46 4 3" xfId="8330" xr:uid="{00000000-0005-0000-0000-000071220000}"/>
    <cellStyle name="Normal 46 4 3 2" xfId="17139" xr:uid="{07D84831-8D5D-4730-9B19-BD65A052FA07}"/>
    <cellStyle name="Normal 46 4 4" xfId="11542" xr:uid="{00000000-0005-0000-0000-000072220000}"/>
    <cellStyle name="Normal 46 4 4 2" xfId="20285" xr:uid="{BA8DCD2C-F0E3-44BC-ADE1-DD18BEA6A267}"/>
    <cellStyle name="Normal 46 4 5" xfId="13149" xr:uid="{00000000-0005-0000-0000-000073220000}"/>
    <cellStyle name="Normal 46 4 5 2" xfId="21885" xr:uid="{DF090B26-6EBC-4F19-BAA1-33EB142D5E8E}"/>
    <cellStyle name="Normal 46 4 6" xfId="15379" xr:uid="{473B8BF8-C32F-4ABA-973E-EDCF4DECB3D0}"/>
    <cellStyle name="Normal 46 5" xfId="3258" xr:uid="{00000000-0005-0000-0000-000074220000}"/>
    <cellStyle name="Normal 46 5 2" xfId="9933" xr:uid="{00000000-0005-0000-0000-000075220000}"/>
    <cellStyle name="Normal 46 5 2 2" xfId="18739" xr:uid="{6E2991E8-964D-47C8-9D96-4B62624F74CF}"/>
    <cellStyle name="Normal 46 5 3" xfId="8331" xr:uid="{00000000-0005-0000-0000-000076220000}"/>
    <cellStyle name="Normal 46 5 3 2" xfId="17140" xr:uid="{B317006C-8945-49AB-9135-BB73A2F90C59}"/>
    <cellStyle name="Normal 46 5 4" xfId="11543" xr:uid="{00000000-0005-0000-0000-000077220000}"/>
    <cellStyle name="Normal 46 5 4 2" xfId="20286" xr:uid="{815B7DD8-458A-43AD-B49A-FA9557A878D7}"/>
    <cellStyle name="Normal 46 5 5" xfId="13150" xr:uid="{00000000-0005-0000-0000-000078220000}"/>
    <cellStyle name="Normal 46 5 5 2" xfId="21886" xr:uid="{69C969AA-5564-4654-8B5F-E10D9DBD3B5E}"/>
    <cellStyle name="Normal 46 5 6" xfId="15380" xr:uid="{FEA312E6-004B-40A4-8E25-45A639F4C874}"/>
    <cellStyle name="Normal 46 6" xfId="3259" xr:uid="{00000000-0005-0000-0000-000079220000}"/>
    <cellStyle name="Normal 46 6 2" xfId="9934" xr:uid="{00000000-0005-0000-0000-00007A220000}"/>
    <cellStyle name="Normal 46 6 2 2" xfId="18740" xr:uid="{FD2CBFED-0824-4029-B231-72E8B548FBB6}"/>
    <cellStyle name="Normal 46 6 3" xfId="8332" xr:uid="{00000000-0005-0000-0000-00007B220000}"/>
    <cellStyle name="Normal 46 6 3 2" xfId="17141" xr:uid="{8B4B2616-8A32-4AF3-8C1F-1EC5F740A2B4}"/>
    <cellStyle name="Normal 46 6 4" xfId="11544" xr:uid="{00000000-0005-0000-0000-00007C220000}"/>
    <cellStyle name="Normal 46 6 4 2" xfId="20287" xr:uid="{FF830E9B-7A97-4F97-A54E-087B1694CEE0}"/>
    <cellStyle name="Normal 46 6 5" xfId="13151" xr:uid="{00000000-0005-0000-0000-00007D220000}"/>
    <cellStyle name="Normal 46 6 5 2" xfId="21887" xr:uid="{FE47B7D7-A698-4416-82BA-94450B36FAC6}"/>
    <cellStyle name="Normal 46 6 6" xfId="15381" xr:uid="{E96FB787-4E70-43D4-A957-F5F26F9E5B5B}"/>
    <cellStyle name="Normal 46 7" xfId="9923" xr:uid="{00000000-0005-0000-0000-00007E220000}"/>
    <cellStyle name="Normal 46 7 2" xfId="18729" xr:uid="{33CC84B2-6518-4927-8AA2-E8C262DD4FC5}"/>
    <cellStyle name="Normal 46 8" xfId="8321" xr:uid="{00000000-0005-0000-0000-00007F220000}"/>
    <cellStyle name="Normal 46 8 2" xfId="17130" xr:uid="{050C1B34-E9F5-42C2-9177-5FAA46E6A407}"/>
    <cellStyle name="Normal 46 9" xfId="11533" xr:uid="{00000000-0005-0000-0000-000080220000}"/>
    <cellStyle name="Normal 46 9 2" xfId="20276" xr:uid="{45379F31-97CA-4F12-A72C-3BA6697224A3}"/>
    <cellStyle name="Normal 47" xfId="3260" xr:uid="{00000000-0005-0000-0000-000081220000}"/>
    <cellStyle name="Normal 47 10" xfId="13152" xr:uid="{00000000-0005-0000-0000-000082220000}"/>
    <cellStyle name="Normal 47 10 2" xfId="21888" xr:uid="{87E689E7-EEBE-424A-8A74-F0E795826D7F}"/>
    <cellStyle name="Normal 47 11" xfId="15382" xr:uid="{B08F6589-202A-446C-AB11-68548D41CC95}"/>
    <cellStyle name="Normal 47 2" xfId="3261" xr:uid="{00000000-0005-0000-0000-000083220000}"/>
    <cellStyle name="Normal 47 2 2" xfId="3262" xr:uid="{00000000-0005-0000-0000-000084220000}"/>
    <cellStyle name="Normal 47 2 2 2" xfId="9937" xr:uid="{00000000-0005-0000-0000-000085220000}"/>
    <cellStyle name="Normal 47 2 2 2 2" xfId="18743" xr:uid="{D74E3120-7973-4127-84CB-F84C4BD25635}"/>
    <cellStyle name="Normal 47 2 2 3" xfId="8335" xr:uid="{00000000-0005-0000-0000-000086220000}"/>
    <cellStyle name="Normal 47 2 2 3 2" xfId="17144" xr:uid="{AFE4B751-04ED-4F24-AF98-CD4D7C0659C8}"/>
    <cellStyle name="Normal 47 2 2 4" xfId="11547" xr:uid="{00000000-0005-0000-0000-000087220000}"/>
    <cellStyle name="Normal 47 2 2 4 2" xfId="20290" xr:uid="{FD4659BB-618E-4BAB-AF5C-640494AC2FB0}"/>
    <cellStyle name="Normal 47 2 2 5" xfId="13154" xr:uid="{00000000-0005-0000-0000-000088220000}"/>
    <cellStyle name="Normal 47 2 2 5 2" xfId="21890" xr:uid="{AC60352A-2594-4568-B695-0B6CEFDFEA60}"/>
    <cellStyle name="Normal 47 2 2 6" xfId="15384" xr:uid="{1261205F-872C-46A0-8169-454AD7B31433}"/>
    <cellStyle name="Normal 47 2 3" xfId="3263" xr:uid="{00000000-0005-0000-0000-000089220000}"/>
    <cellStyle name="Normal 47 2 3 2" xfId="9938" xr:uid="{00000000-0005-0000-0000-00008A220000}"/>
    <cellStyle name="Normal 47 2 3 2 2" xfId="18744" xr:uid="{31428C41-136C-4F0E-AF47-51AE1CCD2EC5}"/>
    <cellStyle name="Normal 47 2 3 3" xfId="8336" xr:uid="{00000000-0005-0000-0000-00008B220000}"/>
    <cellStyle name="Normal 47 2 3 3 2" xfId="17145" xr:uid="{D3743C33-F39B-4246-B56A-1602E21CE0DA}"/>
    <cellStyle name="Normal 47 2 3 4" xfId="11548" xr:uid="{00000000-0005-0000-0000-00008C220000}"/>
    <cellStyle name="Normal 47 2 3 4 2" xfId="20291" xr:uid="{EF202663-7063-4954-8E85-C087FD3C7D96}"/>
    <cellStyle name="Normal 47 2 3 5" xfId="13155" xr:uid="{00000000-0005-0000-0000-00008D220000}"/>
    <cellStyle name="Normal 47 2 3 5 2" xfId="21891" xr:uid="{BD674CC1-AFF4-460D-98EC-75E04253ABF6}"/>
    <cellStyle name="Normal 47 2 3 6" xfId="15385" xr:uid="{47430069-21C1-4A7D-A381-29D475CC040A}"/>
    <cellStyle name="Normal 47 2 4" xfId="3264" xr:uid="{00000000-0005-0000-0000-00008E220000}"/>
    <cellStyle name="Normal 47 2 4 2" xfId="9939" xr:uid="{00000000-0005-0000-0000-00008F220000}"/>
    <cellStyle name="Normal 47 2 4 2 2" xfId="18745" xr:uid="{460A4330-D6F0-459B-9F1D-3B2E7D5822A2}"/>
    <cellStyle name="Normal 47 2 4 3" xfId="8337" xr:uid="{00000000-0005-0000-0000-000090220000}"/>
    <cellStyle name="Normal 47 2 4 3 2" xfId="17146" xr:uid="{8CF6D1D1-440E-4B7F-AF01-DE18EEC37745}"/>
    <cellStyle name="Normal 47 2 4 4" xfId="11549" xr:uid="{00000000-0005-0000-0000-000091220000}"/>
    <cellStyle name="Normal 47 2 4 4 2" xfId="20292" xr:uid="{314FD903-1425-4510-81B1-07B79576C809}"/>
    <cellStyle name="Normal 47 2 4 5" xfId="13156" xr:uid="{00000000-0005-0000-0000-000092220000}"/>
    <cellStyle name="Normal 47 2 4 5 2" xfId="21892" xr:uid="{C99F9FBE-B7C8-4B94-A3DD-300924C97CEF}"/>
    <cellStyle name="Normal 47 2 4 6" xfId="15386" xr:uid="{500C090E-1249-4672-9900-D0720FC1AB77}"/>
    <cellStyle name="Normal 47 2 5" xfId="9936" xr:uid="{00000000-0005-0000-0000-000093220000}"/>
    <cellStyle name="Normal 47 2 5 2" xfId="18742" xr:uid="{45708F9D-05C1-4EB7-AC89-6486987F84B2}"/>
    <cellStyle name="Normal 47 2 6" xfId="8334" xr:uid="{00000000-0005-0000-0000-000094220000}"/>
    <cellStyle name="Normal 47 2 6 2" xfId="17143" xr:uid="{49F297EE-CC39-417C-A27C-1736B112AB68}"/>
    <cellStyle name="Normal 47 2 7" xfId="11546" xr:uid="{00000000-0005-0000-0000-000095220000}"/>
    <cellStyle name="Normal 47 2 7 2" xfId="20289" xr:uid="{4D6FE330-3B97-491F-BD44-6378AF60EA3B}"/>
    <cellStyle name="Normal 47 2 8" xfId="13153" xr:uid="{00000000-0005-0000-0000-000096220000}"/>
    <cellStyle name="Normal 47 2 8 2" xfId="21889" xr:uid="{9D0818CC-0F7F-4423-A02D-0622EC0677AF}"/>
    <cellStyle name="Normal 47 2 9" xfId="15383" xr:uid="{37082758-BFFA-41CC-B329-7DCB26249185}"/>
    <cellStyle name="Normal 47 3" xfId="3265" xr:uid="{00000000-0005-0000-0000-000097220000}"/>
    <cellStyle name="Normal 47 3 2" xfId="3266" xr:uid="{00000000-0005-0000-0000-000098220000}"/>
    <cellStyle name="Normal 47 3 2 2" xfId="9941" xr:uid="{00000000-0005-0000-0000-000099220000}"/>
    <cellStyle name="Normal 47 3 2 2 2" xfId="18747" xr:uid="{AC26A32E-438A-4B5F-9CC6-7CF11278CB3C}"/>
    <cellStyle name="Normal 47 3 2 3" xfId="8339" xr:uid="{00000000-0005-0000-0000-00009A220000}"/>
    <cellStyle name="Normal 47 3 2 3 2" xfId="17148" xr:uid="{3B480B5B-D633-40BC-A5B1-1BFF84F181D3}"/>
    <cellStyle name="Normal 47 3 2 4" xfId="11551" xr:uid="{00000000-0005-0000-0000-00009B220000}"/>
    <cellStyle name="Normal 47 3 2 4 2" xfId="20294" xr:uid="{92479F39-C088-4CA7-8602-898202F43E11}"/>
    <cellStyle name="Normal 47 3 2 5" xfId="13158" xr:uid="{00000000-0005-0000-0000-00009C220000}"/>
    <cellStyle name="Normal 47 3 2 5 2" xfId="21894" xr:uid="{FA815F0F-D77B-42C8-8D07-4811B19CBBF4}"/>
    <cellStyle name="Normal 47 3 2 6" xfId="15388" xr:uid="{4BCEE702-F4D5-4582-9773-72EA01702BD9}"/>
    <cellStyle name="Normal 47 3 3" xfId="3267" xr:uid="{00000000-0005-0000-0000-00009D220000}"/>
    <cellStyle name="Normal 47 3 3 2" xfId="9942" xr:uid="{00000000-0005-0000-0000-00009E220000}"/>
    <cellStyle name="Normal 47 3 3 2 2" xfId="18748" xr:uid="{3E03AAD3-DAAD-43CD-BC97-C590F6A4001D}"/>
    <cellStyle name="Normal 47 3 3 3" xfId="8340" xr:uid="{00000000-0005-0000-0000-00009F220000}"/>
    <cellStyle name="Normal 47 3 3 3 2" xfId="17149" xr:uid="{BFB526B6-22C1-41FE-8CFD-90653FF0F112}"/>
    <cellStyle name="Normal 47 3 3 4" xfId="11552" xr:uid="{00000000-0005-0000-0000-0000A0220000}"/>
    <cellStyle name="Normal 47 3 3 4 2" xfId="20295" xr:uid="{E8CC9F39-259A-4E69-A7F2-412A3044F79E}"/>
    <cellStyle name="Normal 47 3 3 5" xfId="13159" xr:uid="{00000000-0005-0000-0000-0000A1220000}"/>
    <cellStyle name="Normal 47 3 3 5 2" xfId="21895" xr:uid="{A3A014F7-D811-4546-B5EB-7AB194C39343}"/>
    <cellStyle name="Normal 47 3 3 6" xfId="15389" xr:uid="{1A90BA1F-AA1C-4DCD-80D6-973C943F1FD9}"/>
    <cellStyle name="Normal 47 3 4" xfId="3268" xr:uid="{00000000-0005-0000-0000-0000A2220000}"/>
    <cellStyle name="Normal 47 3 4 2" xfId="9943" xr:uid="{00000000-0005-0000-0000-0000A3220000}"/>
    <cellStyle name="Normal 47 3 4 2 2" xfId="18749" xr:uid="{76A0A3CB-1BA9-428A-BE3C-0C23A3F41127}"/>
    <cellStyle name="Normal 47 3 4 3" xfId="8341" xr:uid="{00000000-0005-0000-0000-0000A4220000}"/>
    <cellStyle name="Normal 47 3 4 3 2" xfId="17150" xr:uid="{227DE0EA-7D6A-4BE9-A1B5-DD6F162A7DFC}"/>
    <cellStyle name="Normal 47 3 4 4" xfId="11553" xr:uid="{00000000-0005-0000-0000-0000A5220000}"/>
    <cellStyle name="Normal 47 3 4 4 2" xfId="20296" xr:uid="{D84413E6-2C3D-4086-847D-0575187197F9}"/>
    <cellStyle name="Normal 47 3 4 5" xfId="13160" xr:uid="{00000000-0005-0000-0000-0000A6220000}"/>
    <cellStyle name="Normal 47 3 4 5 2" xfId="21896" xr:uid="{3A4E9AB0-5E3B-4C79-814A-94379A38344A}"/>
    <cellStyle name="Normal 47 3 4 6" xfId="15390" xr:uid="{90232794-6A7D-4B51-9808-304062249DDD}"/>
    <cellStyle name="Normal 47 3 5" xfId="9940" xr:uid="{00000000-0005-0000-0000-0000A7220000}"/>
    <cellStyle name="Normal 47 3 5 2" xfId="18746" xr:uid="{20F1DD18-BCFD-44DF-9CBB-AFE027CBC06D}"/>
    <cellStyle name="Normal 47 3 6" xfId="8338" xr:uid="{00000000-0005-0000-0000-0000A8220000}"/>
    <cellStyle name="Normal 47 3 6 2" xfId="17147" xr:uid="{2B9DA08E-7243-4767-89A9-D382973DA939}"/>
    <cellStyle name="Normal 47 3 7" xfId="11550" xr:uid="{00000000-0005-0000-0000-0000A9220000}"/>
    <cellStyle name="Normal 47 3 7 2" xfId="20293" xr:uid="{DB36E38F-6D0F-4343-BC8D-B106D1580552}"/>
    <cellStyle name="Normal 47 3 8" xfId="13157" xr:uid="{00000000-0005-0000-0000-0000AA220000}"/>
    <cellStyle name="Normal 47 3 8 2" xfId="21893" xr:uid="{128AD45C-4217-4224-9E17-FA2D51AC8E7C}"/>
    <cellStyle name="Normal 47 3 9" xfId="15387" xr:uid="{54A9F9A1-2480-4A04-B921-F0E866E8C2A4}"/>
    <cellStyle name="Normal 47 4" xfId="3269" xr:uid="{00000000-0005-0000-0000-0000AB220000}"/>
    <cellStyle name="Normal 47 4 2" xfId="9944" xr:uid="{00000000-0005-0000-0000-0000AC220000}"/>
    <cellStyle name="Normal 47 4 2 2" xfId="18750" xr:uid="{B0EADBCA-B61C-4910-90F5-9BADAA9CEB8E}"/>
    <cellStyle name="Normal 47 4 3" xfId="8342" xr:uid="{00000000-0005-0000-0000-0000AD220000}"/>
    <cellStyle name="Normal 47 4 3 2" xfId="17151" xr:uid="{CA1815A1-9DD3-4816-8C92-07F4700BA194}"/>
    <cellStyle name="Normal 47 4 4" xfId="11554" xr:uid="{00000000-0005-0000-0000-0000AE220000}"/>
    <cellStyle name="Normal 47 4 4 2" xfId="20297" xr:uid="{E78B42A1-958D-4446-A32B-6D79BFECA20B}"/>
    <cellStyle name="Normal 47 4 5" xfId="13161" xr:uid="{00000000-0005-0000-0000-0000AF220000}"/>
    <cellStyle name="Normal 47 4 5 2" xfId="21897" xr:uid="{47C83454-09F4-40BC-B543-7A799FEB33C9}"/>
    <cellStyle name="Normal 47 4 6" xfId="15391" xr:uid="{50096AF8-D1A7-4F26-A04E-440691969191}"/>
    <cellStyle name="Normal 47 5" xfId="3270" xr:uid="{00000000-0005-0000-0000-0000B0220000}"/>
    <cellStyle name="Normal 47 5 2" xfId="9945" xr:uid="{00000000-0005-0000-0000-0000B1220000}"/>
    <cellStyle name="Normal 47 5 2 2" xfId="18751" xr:uid="{97EBC93A-B188-4374-A044-B4B03529E003}"/>
    <cellStyle name="Normal 47 5 3" xfId="8343" xr:uid="{00000000-0005-0000-0000-0000B2220000}"/>
    <cellStyle name="Normal 47 5 3 2" xfId="17152" xr:uid="{913D2432-4C5C-43D8-AA6C-4C8B69BF680F}"/>
    <cellStyle name="Normal 47 5 4" xfId="11555" xr:uid="{00000000-0005-0000-0000-0000B3220000}"/>
    <cellStyle name="Normal 47 5 4 2" xfId="20298" xr:uid="{2A8E31A4-BEF4-4217-A42F-9A993127EC3D}"/>
    <cellStyle name="Normal 47 5 5" xfId="13162" xr:uid="{00000000-0005-0000-0000-0000B4220000}"/>
    <cellStyle name="Normal 47 5 5 2" xfId="21898" xr:uid="{8EFF4E00-8F36-47C4-8095-55850ECCC4FB}"/>
    <cellStyle name="Normal 47 5 6" xfId="15392" xr:uid="{300E879F-AD04-4C1C-B539-64B3D3D266E7}"/>
    <cellStyle name="Normal 47 6" xfId="3271" xr:uid="{00000000-0005-0000-0000-0000B5220000}"/>
    <cellStyle name="Normal 47 6 2" xfId="9946" xr:uid="{00000000-0005-0000-0000-0000B6220000}"/>
    <cellStyle name="Normal 47 6 2 2" xfId="18752" xr:uid="{54AE8987-7293-4152-AEA2-1146DD72FFFB}"/>
    <cellStyle name="Normal 47 6 3" xfId="8344" xr:uid="{00000000-0005-0000-0000-0000B7220000}"/>
    <cellStyle name="Normal 47 6 3 2" xfId="17153" xr:uid="{4D536D53-316F-41EB-9B3C-4EC3CAE7812E}"/>
    <cellStyle name="Normal 47 6 4" xfId="11556" xr:uid="{00000000-0005-0000-0000-0000B8220000}"/>
    <cellStyle name="Normal 47 6 4 2" xfId="20299" xr:uid="{10B0EC78-F4EC-41C9-B112-3E2C8142B4C5}"/>
    <cellStyle name="Normal 47 6 5" xfId="13163" xr:uid="{00000000-0005-0000-0000-0000B9220000}"/>
    <cellStyle name="Normal 47 6 5 2" xfId="21899" xr:uid="{ECDF59F4-931B-403F-A63E-A95FCBC83829}"/>
    <cellStyle name="Normal 47 6 6" xfId="15393" xr:uid="{CE313695-50AD-4EDB-9FEB-FCE00D5FA410}"/>
    <cellStyle name="Normal 47 7" xfId="9935" xr:uid="{00000000-0005-0000-0000-0000BA220000}"/>
    <cellStyle name="Normal 47 7 2" xfId="18741" xr:uid="{11E8EB39-1283-427E-A433-6F4AD7E46332}"/>
    <cellStyle name="Normal 47 8" xfId="8333" xr:uid="{00000000-0005-0000-0000-0000BB220000}"/>
    <cellStyle name="Normal 47 8 2" xfId="17142" xr:uid="{B70C844C-31E6-4AAB-82AE-AE37A177EA68}"/>
    <cellStyle name="Normal 47 9" xfId="11545" xr:uid="{00000000-0005-0000-0000-0000BC220000}"/>
    <cellStyle name="Normal 47 9 2" xfId="20288" xr:uid="{C9261A3A-ED46-42B4-90E3-7A77B3B95DD8}"/>
    <cellStyle name="Normal 471 2" xfId="4904" xr:uid="{00000000-0005-0000-0000-0000BD220000}"/>
    <cellStyle name="Normal 471 2 2" xfId="10445" xr:uid="{00000000-0005-0000-0000-0000BE220000}"/>
    <cellStyle name="Normal 471 2 2 2" xfId="19251" xr:uid="{0A64C039-56F3-43E6-8E1F-ADB357D897E7}"/>
    <cellStyle name="Normal 471 2 3" xfId="9031" xr:uid="{00000000-0005-0000-0000-0000BF220000}"/>
    <cellStyle name="Normal 471 2 3 2" xfId="17837" xr:uid="{499EA8B9-35F1-4D41-BB9C-C72AF3C70513}"/>
    <cellStyle name="Normal 471 2 4" xfId="12236" xr:uid="{00000000-0005-0000-0000-0000C0220000}"/>
    <cellStyle name="Normal 471 2 4 2" xfId="20977" xr:uid="{7D63F3EF-2C0D-47D3-9B1E-5AE052E2B737}"/>
    <cellStyle name="Normal 471 2 5" xfId="13845" xr:uid="{00000000-0005-0000-0000-0000C1220000}"/>
    <cellStyle name="Normal 471 2 5 2" xfId="22578" xr:uid="{CB55FC1D-F168-4F71-851E-D7E2025B7015}"/>
    <cellStyle name="Normal 471 2 6" xfId="16094" xr:uid="{897CC9E5-A3E9-47A7-BB3E-1DA7F1E984CF}"/>
    <cellStyle name="Normal 48" xfId="3272" xr:uid="{00000000-0005-0000-0000-0000C2220000}"/>
    <cellStyle name="Normal 48 10" xfId="13164" xr:uid="{00000000-0005-0000-0000-0000C3220000}"/>
    <cellStyle name="Normal 48 10 2" xfId="21900" xr:uid="{0EAF0BAD-3D97-4155-ACF8-C3AF5FADADC1}"/>
    <cellStyle name="Normal 48 11" xfId="15394" xr:uid="{7C82D0AB-A595-4A0E-B284-7EF8088E9946}"/>
    <cellStyle name="Normal 48 2" xfId="3273" xr:uid="{00000000-0005-0000-0000-0000C4220000}"/>
    <cellStyle name="Normal 48 2 2" xfId="3274" xr:uid="{00000000-0005-0000-0000-0000C5220000}"/>
    <cellStyle name="Normal 48 2 2 2" xfId="9949" xr:uid="{00000000-0005-0000-0000-0000C6220000}"/>
    <cellStyle name="Normal 48 2 2 2 2" xfId="18755" xr:uid="{C1864B94-63E9-42D2-8460-AF01DEED1CE2}"/>
    <cellStyle name="Normal 48 2 2 3" xfId="8347" xr:uid="{00000000-0005-0000-0000-0000C7220000}"/>
    <cellStyle name="Normal 48 2 2 3 2" xfId="17156" xr:uid="{CC1B1BAA-24DC-406A-8ABA-51AC92B5B1BC}"/>
    <cellStyle name="Normal 48 2 2 4" xfId="11559" xr:uid="{00000000-0005-0000-0000-0000C8220000}"/>
    <cellStyle name="Normal 48 2 2 4 2" xfId="20302" xr:uid="{D7B12213-B853-46E8-B17A-0FEEAB7D5268}"/>
    <cellStyle name="Normal 48 2 2 5" xfId="13166" xr:uid="{00000000-0005-0000-0000-0000C9220000}"/>
    <cellStyle name="Normal 48 2 2 5 2" xfId="21902" xr:uid="{632D62C3-BDED-45BC-8F70-E15D1A37EFB7}"/>
    <cellStyle name="Normal 48 2 2 6" xfId="15396" xr:uid="{68A9E36B-3D46-4077-BA87-A77E5A8A8316}"/>
    <cellStyle name="Normal 48 2 3" xfId="3275" xr:uid="{00000000-0005-0000-0000-0000CA220000}"/>
    <cellStyle name="Normal 48 2 3 2" xfId="9950" xr:uid="{00000000-0005-0000-0000-0000CB220000}"/>
    <cellStyle name="Normal 48 2 3 2 2" xfId="18756" xr:uid="{3A88A2AD-9C33-4DB7-A1AE-D21A2CC8000E}"/>
    <cellStyle name="Normal 48 2 3 3" xfId="8348" xr:uid="{00000000-0005-0000-0000-0000CC220000}"/>
    <cellStyle name="Normal 48 2 3 3 2" xfId="17157" xr:uid="{F820E070-7279-4B18-B7E8-5E85893ECFD3}"/>
    <cellStyle name="Normal 48 2 3 4" xfId="11560" xr:uid="{00000000-0005-0000-0000-0000CD220000}"/>
    <cellStyle name="Normal 48 2 3 4 2" xfId="20303" xr:uid="{AC300173-F02F-45D4-8742-864957217EBC}"/>
    <cellStyle name="Normal 48 2 3 5" xfId="13167" xr:uid="{00000000-0005-0000-0000-0000CE220000}"/>
    <cellStyle name="Normal 48 2 3 5 2" xfId="21903" xr:uid="{3CD7F5D5-C982-4703-84AB-0C30DAAD6D98}"/>
    <cellStyle name="Normal 48 2 3 6" xfId="15397" xr:uid="{3ED73A50-0F45-4027-80AE-608406876334}"/>
    <cellStyle name="Normal 48 2 4" xfId="3276" xr:uid="{00000000-0005-0000-0000-0000CF220000}"/>
    <cellStyle name="Normal 48 2 4 2" xfId="9951" xr:uid="{00000000-0005-0000-0000-0000D0220000}"/>
    <cellStyle name="Normal 48 2 4 2 2" xfId="18757" xr:uid="{4CA1EAAE-27A5-4135-9798-5352CC61B22E}"/>
    <cellStyle name="Normal 48 2 4 3" xfId="8349" xr:uid="{00000000-0005-0000-0000-0000D1220000}"/>
    <cellStyle name="Normal 48 2 4 3 2" xfId="17158" xr:uid="{72EBC10C-73C7-4AB3-8DBF-40965E6B084F}"/>
    <cellStyle name="Normal 48 2 4 4" xfId="11561" xr:uid="{00000000-0005-0000-0000-0000D2220000}"/>
    <cellStyle name="Normal 48 2 4 4 2" xfId="20304" xr:uid="{D2D6C890-58CF-4989-A206-9EBCF2CFBAF2}"/>
    <cellStyle name="Normal 48 2 4 5" xfId="13168" xr:uid="{00000000-0005-0000-0000-0000D3220000}"/>
    <cellStyle name="Normal 48 2 4 5 2" xfId="21904" xr:uid="{7C3BEB8B-6E2D-4D75-A596-486C61722099}"/>
    <cellStyle name="Normal 48 2 4 6" xfId="15398" xr:uid="{13B9F21E-BD74-4427-98D7-C1D3735919C5}"/>
    <cellStyle name="Normal 48 2 5" xfId="9948" xr:uid="{00000000-0005-0000-0000-0000D4220000}"/>
    <cellStyle name="Normal 48 2 5 2" xfId="18754" xr:uid="{DB6E833C-DAA1-4F5A-9AF0-E8C1B601DB22}"/>
    <cellStyle name="Normal 48 2 6" xfId="8346" xr:uid="{00000000-0005-0000-0000-0000D5220000}"/>
    <cellStyle name="Normal 48 2 6 2" xfId="17155" xr:uid="{37062B21-8BDE-4519-908C-3A8E3E4A1497}"/>
    <cellStyle name="Normal 48 2 7" xfId="11558" xr:uid="{00000000-0005-0000-0000-0000D6220000}"/>
    <cellStyle name="Normal 48 2 7 2" xfId="20301" xr:uid="{1AABD82B-6F06-4D94-A8C1-FEE8BFC358B5}"/>
    <cellStyle name="Normal 48 2 8" xfId="13165" xr:uid="{00000000-0005-0000-0000-0000D7220000}"/>
    <cellStyle name="Normal 48 2 8 2" xfId="21901" xr:uid="{D9EF289E-52FA-42EA-918F-BE192D318C99}"/>
    <cellStyle name="Normal 48 2 9" xfId="15395" xr:uid="{6333EA49-27D5-4556-B567-B55D934D6DC5}"/>
    <cellStyle name="Normal 48 3" xfId="3277" xr:uid="{00000000-0005-0000-0000-0000D8220000}"/>
    <cellStyle name="Normal 48 3 2" xfId="3278" xr:uid="{00000000-0005-0000-0000-0000D9220000}"/>
    <cellStyle name="Normal 48 3 2 2" xfId="9953" xr:uid="{00000000-0005-0000-0000-0000DA220000}"/>
    <cellStyle name="Normal 48 3 2 2 2" xfId="18759" xr:uid="{4AEBE21E-DFFC-495B-96EC-87A4C995B391}"/>
    <cellStyle name="Normal 48 3 2 3" xfId="8351" xr:uid="{00000000-0005-0000-0000-0000DB220000}"/>
    <cellStyle name="Normal 48 3 2 3 2" xfId="17160" xr:uid="{B95D18D8-29F2-4C80-87A3-6E79FCBD8816}"/>
    <cellStyle name="Normal 48 3 2 4" xfId="11563" xr:uid="{00000000-0005-0000-0000-0000DC220000}"/>
    <cellStyle name="Normal 48 3 2 4 2" xfId="20306" xr:uid="{AF147737-488E-4A98-9F01-F326C32CDC82}"/>
    <cellStyle name="Normal 48 3 2 5" xfId="13170" xr:uid="{00000000-0005-0000-0000-0000DD220000}"/>
    <cellStyle name="Normal 48 3 2 5 2" xfId="21906" xr:uid="{DEA5B815-E3C0-4887-9C44-527E9A1C47C5}"/>
    <cellStyle name="Normal 48 3 2 6" xfId="15400" xr:uid="{574C63B6-B3BB-41FF-B20E-4FFC49A4A6BF}"/>
    <cellStyle name="Normal 48 3 3" xfId="3279" xr:uid="{00000000-0005-0000-0000-0000DE220000}"/>
    <cellStyle name="Normal 48 3 3 2" xfId="9954" xr:uid="{00000000-0005-0000-0000-0000DF220000}"/>
    <cellStyle name="Normal 48 3 3 2 2" xfId="18760" xr:uid="{907406E6-1F46-41B6-AF3F-D30CC1CF679F}"/>
    <cellStyle name="Normal 48 3 3 3" xfId="8352" xr:uid="{00000000-0005-0000-0000-0000E0220000}"/>
    <cellStyle name="Normal 48 3 3 3 2" xfId="17161" xr:uid="{3CE293FB-AD28-45A6-BAE9-067864DD674D}"/>
    <cellStyle name="Normal 48 3 3 4" xfId="11564" xr:uid="{00000000-0005-0000-0000-0000E1220000}"/>
    <cellStyle name="Normal 48 3 3 4 2" xfId="20307" xr:uid="{075BF7C5-A7CB-4AFC-92C1-72A4954A50B6}"/>
    <cellStyle name="Normal 48 3 3 5" xfId="13171" xr:uid="{00000000-0005-0000-0000-0000E2220000}"/>
    <cellStyle name="Normal 48 3 3 5 2" xfId="21907" xr:uid="{10B94369-2BC2-4D99-999E-849E839C378A}"/>
    <cellStyle name="Normal 48 3 3 6" xfId="15401" xr:uid="{3FA9F091-0C67-470D-8795-4DD1E1DDC8B1}"/>
    <cellStyle name="Normal 48 3 4" xfId="3280" xr:uid="{00000000-0005-0000-0000-0000E3220000}"/>
    <cellStyle name="Normal 48 3 4 2" xfId="9955" xr:uid="{00000000-0005-0000-0000-0000E4220000}"/>
    <cellStyle name="Normal 48 3 4 2 2" xfId="18761" xr:uid="{AF3EE56D-B233-48CD-80ED-E8678E41CB3B}"/>
    <cellStyle name="Normal 48 3 4 3" xfId="8353" xr:uid="{00000000-0005-0000-0000-0000E5220000}"/>
    <cellStyle name="Normal 48 3 4 3 2" xfId="17162" xr:uid="{DFFF92F7-7479-49CF-8793-AE1403162B19}"/>
    <cellStyle name="Normal 48 3 4 4" xfId="11565" xr:uid="{00000000-0005-0000-0000-0000E6220000}"/>
    <cellStyle name="Normal 48 3 4 4 2" xfId="20308" xr:uid="{BF55EA83-0910-42C3-AFAB-50CD72973C76}"/>
    <cellStyle name="Normal 48 3 4 5" xfId="13172" xr:uid="{00000000-0005-0000-0000-0000E7220000}"/>
    <cellStyle name="Normal 48 3 4 5 2" xfId="21908" xr:uid="{4F9DD358-A1DF-458A-B447-C9D1F325D89F}"/>
    <cellStyle name="Normal 48 3 4 6" xfId="15402" xr:uid="{6B81B8EA-85A0-4399-9EBE-11B131E57FF6}"/>
    <cellStyle name="Normal 48 3 5" xfId="9952" xr:uid="{00000000-0005-0000-0000-0000E8220000}"/>
    <cellStyle name="Normal 48 3 5 2" xfId="18758" xr:uid="{263C98CE-56F6-484D-9EA7-D252665E8A32}"/>
    <cellStyle name="Normal 48 3 6" xfId="8350" xr:uid="{00000000-0005-0000-0000-0000E9220000}"/>
    <cellStyle name="Normal 48 3 6 2" xfId="17159" xr:uid="{94ACA579-D7C2-4872-ADB4-686355BB4646}"/>
    <cellStyle name="Normal 48 3 7" xfId="11562" xr:uid="{00000000-0005-0000-0000-0000EA220000}"/>
    <cellStyle name="Normal 48 3 7 2" xfId="20305" xr:uid="{99F7E577-CBE8-4E2A-88F5-D05A0F6121E8}"/>
    <cellStyle name="Normal 48 3 8" xfId="13169" xr:uid="{00000000-0005-0000-0000-0000EB220000}"/>
    <cellStyle name="Normal 48 3 8 2" xfId="21905" xr:uid="{FCD9EEBB-2468-4766-A8D5-FB0FFBF1F91D}"/>
    <cellStyle name="Normal 48 3 9" xfId="15399" xr:uid="{4A18FD07-5396-459D-8C24-5351AE5D074A}"/>
    <cellStyle name="Normal 48 4" xfId="3281" xr:uid="{00000000-0005-0000-0000-0000EC220000}"/>
    <cellStyle name="Normal 48 4 2" xfId="9956" xr:uid="{00000000-0005-0000-0000-0000ED220000}"/>
    <cellStyle name="Normal 48 4 2 2" xfId="18762" xr:uid="{8D70FD1B-4BCD-4893-92E8-69972EB6427B}"/>
    <cellStyle name="Normal 48 4 3" xfId="8354" xr:uid="{00000000-0005-0000-0000-0000EE220000}"/>
    <cellStyle name="Normal 48 4 3 2" xfId="17163" xr:uid="{9979952E-0BA3-4419-B2DD-76E92C8025F6}"/>
    <cellStyle name="Normal 48 4 4" xfId="11566" xr:uid="{00000000-0005-0000-0000-0000EF220000}"/>
    <cellStyle name="Normal 48 4 4 2" xfId="20309" xr:uid="{C07027E0-C764-4085-9327-0E016C90CE10}"/>
    <cellStyle name="Normal 48 4 5" xfId="13173" xr:uid="{00000000-0005-0000-0000-0000F0220000}"/>
    <cellStyle name="Normal 48 4 5 2" xfId="21909" xr:uid="{52B0C71B-0F6A-4F04-9903-E429B9D4CA7F}"/>
    <cellStyle name="Normal 48 4 6" xfId="15403" xr:uid="{D7B0F6D7-BBFC-46DC-8F9A-24EE48FA43D2}"/>
    <cellStyle name="Normal 48 5" xfId="3282" xr:uid="{00000000-0005-0000-0000-0000F1220000}"/>
    <cellStyle name="Normal 48 5 2" xfId="9957" xr:uid="{00000000-0005-0000-0000-0000F2220000}"/>
    <cellStyle name="Normal 48 5 2 2" xfId="18763" xr:uid="{181BE6FB-26AB-43B7-8C2B-9F064AA17633}"/>
    <cellStyle name="Normal 48 5 3" xfId="8355" xr:uid="{00000000-0005-0000-0000-0000F3220000}"/>
    <cellStyle name="Normal 48 5 3 2" xfId="17164" xr:uid="{CF205540-3C89-4671-A393-76726C3F961E}"/>
    <cellStyle name="Normal 48 5 4" xfId="11567" xr:uid="{00000000-0005-0000-0000-0000F4220000}"/>
    <cellStyle name="Normal 48 5 4 2" xfId="20310" xr:uid="{30504630-6437-44B9-887C-1309AB56359F}"/>
    <cellStyle name="Normal 48 5 5" xfId="13174" xr:uid="{00000000-0005-0000-0000-0000F5220000}"/>
    <cellStyle name="Normal 48 5 5 2" xfId="21910" xr:uid="{330C2D29-76F4-4F33-A198-FEFA18311BC1}"/>
    <cellStyle name="Normal 48 5 6" xfId="15404" xr:uid="{7D26FBD9-8CF0-4FAE-A3A5-1477FAF89C27}"/>
    <cellStyle name="Normal 48 6" xfId="3283" xr:uid="{00000000-0005-0000-0000-0000F6220000}"/>
    <cellStyle name="Normal 48 6 2" xfId="9958" xr:uid="{00000000-0005-0000-0000-0000F7220000}"/>
    <cellStyle name="Normal 48 6 2 2" xfId="18764" xr:uid="{3C2841F1-2BDB-4235-82D6-E5E234FA19D0}"/>
    <cellStyle name="Normal 48 6 3" xfId="8356" xr:uid="{00000000-0005-0000-0000-0000F8220000}"/>
    <cellStyle name="Normal 48 6 3 2" xfId="17165" xr:uid="{4059D111-9EE3-41B3-ACED-56BD05EFB327}"/>
    <cellStyle name="Normal 48 6 4" xfId="11568" xr:uid="{00000000-0005-0000-0000-0000F9220000}"/>
    <cellStyle name="Normal 48 6 4 2" xfId="20311" xr:uid="{1D51B867-D1F8-41D1-9063-EC1D5FD49B21}"/>
    <cellStyle name="Normal 48 6 5" xfId="13175" xr:uid="{00000000-0005-0000-0000-0000FA220000}"/>
    <cellStyle name="Normal 48 6 5 2" xfId="21911" xr:uid="{1A865A44-66F9-4307-8C4C-EE9F4DC3D795}"/>
    <cellStyle name="Normal 48 6 6" xfId="15405" xr:uid="{143DBE7B-DFF5-47E3-AA13-3286176B4A71}"/>
    <cellStyle name="Normal 48 7" xfId="9947" xr:uid="{00000000-0005-0000-0000-0000FB220000}"/>
    <cellStyle name="Normal 48 7 2" xfId="18753" xr:uid="{A7D03C40-F98C-4511-8377-F822B117C730}"/>
    <cellStyle name="Normal 48 8" xfId="8345" xr:uid="{00000000-0005-0000-0000-0000FC220000}"/>
    <cellStyle name="Normal 48 8 2" xfId="17154" xr:uid="{E896D8D5-1D96-4BAF-B442-BD22399218B2}"/>
    <cellStyle name="Normal 48 9" xfId="11557" xr:uid="{00000000-0005-0000-0000-0000FD220000}"/>
    <cellStyle name="Normal 48 9 2" xfId="20300" xr:uid="{BE928378-D370-407A-BF8E-6532C416E6CC}"/>
    <cellStyle name="Normal 49" xfId="3284" xr:uid="{00000000-0005-0000-0000-0000FE220000}"/>
    <cellStyle name="Normal 49 10" xfId="13176" xr:uid="{00000000-0005-0000-0000-0000FF220000}"/>
    <cellStyle name="Normal 49 10 2" xfId="21912" xr:uid="{745BA4B9-3CE8-4F30-AD0F-E7E3E8223007}"/>
    <cellStyle name="Normal 49 11" xfId="15406" xr:uid="{40AFC2EB-03CB-4053-B1F5-1CFC30629E3A}"/>
    <cellStyle name="Normal 49 2" xfId="3285" xr:uid="{00000000-0005-0000-0000-000000230000}"/>
    <cellStyle name="Normal 49 2 2" xfId="3286" xr:uid="{00000000-0005-0000-0000-000001230000}"/>
    <cellStyle name="Normal 49 2 2 2" xfId="9961" xr:uid="{00000000-0005-0000-0000-000002230000}"/>
    <cellStyle name="Normal 49 2 2 2 2" xfId="18767" xr:uid="{93489713-02A6-4D83-A609-A431BE6B2C6D}"/>
    <cellStyle name="Normal 49 2 2 3" xfId="8359" xr:uid="{00000000-0005-0000-0000-000003230000}"/>
    <cellStyle name="Normal 49 2 2 3 2" xfId="17168" xr:uid="{E5D08080-4045-47B1-BEDB-5D6B8D06FDDE}"/>
    <cellStyle name="Normal 49 2 2 4" xfId="11571" xr:uid="{00000000-0005-0000-0000-000004230000}"/>
    <cellStyle name="Normal 49 2 2 4 2" xfId="20314" xr:uid="{D646E9CC-79C8-4052-8FE4-9FC7014BDCFC}"/>
    <cellStyle name="Normal 49 2 2 5" xfId="13178" xr:uid="{00000000-0005-0000-0000-000005230000}"/>
    <cellStyle name="Normal 49 2 2 5 2" xfId="21914" xr:uid="{959A459B-A131-44A7-AF2A-56982F5F0A79}"/>
    <cellStyle name="Normal 49 2 2 6" xfId="15408" xr:uid="{D1FD099F-6D5C-4BA8-BE68-790B789AFAAE}"/>
    <cellStyle name="Normal 49 2 3" xfId="3287" xr:uid="{00000000-0005-0000-0000-000006230000}"/>
    <cellStyle name="Normal 49 2 3 2" xfId="9962" xr:uid="{00000000-0005-0000-0000-000007230000}"/>
    <cellStyle name="Normal 49 2 3 2 2" xfId="18768" xr:uid="{06D42CB0-08AB-45BC-AADE-F3E5CEBE97EF}"/>
    <cellStyle name="Normal 49 2 3 3" xfId="8360" xr:uid="{00000000-0005-0000-0000-000008230000}"/>
    <cellStyle name="Normal 49 2 3 3 2" xfId="17169" xr:uid="{2CFA5F7E-7533-4941-9B5D-3EA016A80003}"/>
    <cellStyle name="Normal 49 2 3 4" xfId="11572" xr:uid="{00000000-0005-0000-0000-000009230000}"/>
    <cellStyle name="Normal 49 2 3 4 2" xfId="20315" xr:uid="{9D48EB93-5AFA-43E8-A26D-0893523EF4AB}"/>
    <cellStyle name="Normal 49 2 3 5" xfId="13179" xr:uid="{00000000-0005-0000-0000-00000A230000}"/>
    <cellStyle name="Normal 49 2 3 5 2" xfId="21915" xr:uid="{AD057C88-1824-4C4F-B12B-969DB3780DF8}"/>
    <cellStyle name="Normal 49 2 3 6" xfId="15409" xr:uid="{33527E59-F520-4AC8-ABED-C543382D575B}"/>
    <cellStyle name="Normal 49 2 4" xfId="3288" xr:uid="{00000000-0005-0000-0000-00000B230000}"/>
    <cellStyle name="Normal 49 2 4 2" xfId="9963" xr:uid="{00000000-0005-0000-0000-00000C230000}"/>
    <cellStyle name="Normal 49 2 4 2 2" xfId="18769" xr:uid="{D2468A28-8A20-4831-8440-2FEB0A5F4BF7}"/>
    <cellStyle name="Normal 49 2 4 3" xfId="8361" xr:uid="{00000000-0005-0000-0000-00000D230000}"/>
    <cellStyle name="Normal 49 2 4 3 2" xfId="17170" xr:uid="{B0031781-6C14-41B5-949F-F62196D68333}"/>
    <cellStyle name="Normal 49 2 4 4" xfId="11573" xr:uid="{00000000-0005-0000-0000-00000E230000}"/>
    <cellStyle name="Normal 49 2 4 4 2" xfId="20316" xr:uid="{3EB8E0A3-CB45-48CF-BB55-BE9D80ABD68D}"/>
    <cellStyle name="Normal 49 2 4 5" xfId="13180" xr:uid="{00000000-0005-0000-0000-00000F230000}"/>
    <cellStyle name="Normal 49 2 4 5 2" xfId="21916" xr:uid="{00DD4C75-526B-41B7-9F37-48DA15723B85}"/>
    <cellStyle name="Normal 49 2 4 6" xfId="15410" xr:uid="{BE8827F9-7E28-421C-9F19-BFAAC7E9C256}"/>
    <cellStyle name="Normal 49 2 5" xfId="9960" xr:uid="{00000000-0005-0000-0000-000010230000}"/>
    <cellStyle name="Normal 49 2 5 2" xfId="18766" xr:uid="{F2E96332-7548-4791-BE49-83E3830DDF22}"/>
    <cellStyle name="Normal 49 2 6" xfId="8358" xr:uid="{00000000-0005-0000-0000-000011230000}"/>
    <cellStyle name="Normal 49 2 6 2" xfId="17167" xr:uid="{2AA18063-B994-4910-9270-F3E59BA1E5AF}"/>
    <cellStyle name="Normal 49 2 7" xfId="11570" xr:uid="{00000000-0005-0000-0000-000012230000}"/>
    <cellStyle name="Normal 49 2 7 2" xfId="20313" xr:uid="{CC30C1B4-1B8F-461B-950F-0F8E4586BAAC}"/>
    <cellStyle name="Normal 49 2 8" xfId="13177" xr:uid="{00000000-0005-0000-0000-000013230000}"/>
    <cellStyle name="Normal 49 2 8 2" xfId="21913" xr:uid="{CBA0A58C-9BC1-4778-97C9-EFFDC72C6CCD}"/>
    <cellStyle name="Normal 49 2 9" xfId="15407" xr:uid="{A0ECD478-9123-474E-8E18-FBC4F28EFB34}"/>
    <cellStyle name="Normal 49 3" xfId="3289" xr:uid="{00000000-0005-0000-0000-000014230000}"/>
    <cellStyle name="Normal 49 3 2" xfId="3290" xr:uid="{00000000-0005-0000-0000-000015230000}"/>
    <cellStyle name="Normal 49 3 2 2" xfId="9965" xr:uid="{00000000-0005-0000-0000-000016230000}"/>
    <cellStyle name="Normal 49 3 2 2 2" xfId="18771" xr:uid="{3C25FB9D-8A2C-49A5-AE26-80F1DC7E761A}"/>
    <cellStyle name="Normal 49 3 2 3" xfId="8363" xr:uid="{00000000-0005-0000-0000-000017230000}"/>
    <cellStyle name="Normal 49 3 2 3 2" xfId="17172" xr:uid="{1002448B-327F-4BCD-B7CC-7DD39FFE21F6}"/>
    <cellStyle name="Normal 49 3 2 4" xfId="11575" xr:uid="{00000000-0005-0000-0000-000018230000}"/>
    <cellStyle name="Normal 49 3 2 4 2" xfId="20318" xr:uid="{F0BBECAD-7469-4B2C-B4A1-BEE00CF9758A}"/>
    <cellStyle name="Normal 49 3 2 5" xfId="13182" xr:uid="{00000000-0005-0000-0000-000019230000}"/>
    <cellStyle name="Normal 49 3 2 5 2" xfId="21918" xr:uid="{DA6C514C-65ED-4B31-A507-0FCAA3F4DD75}"/>
    <cellStyle name="Normal 49 3 2 6" xfId="15412" xr:uid="{D77E0704-5320-4C23-B77D-7C696A2A3E0A}"/>
    <cellStyle name="Normal 49 3 3" xfId="3291" xr:uid="{00000000-0005-0000-0000-00001A230000}"/>
    <cellStyle name="Normal 49 3 3 2" xfId="9966" xr:uid="{00000000-0005-0000-0000-00001B230000}"/>
    <cellStyle name="Normal 49 3 3 2 2" xfId="18772" xr:uid="{34888755-C04B-4B18-ACAF-53D8FAAAB0F2}"/>
    <cellStyle name="Normal 49 3 3 3" xfId="8364" xr:uid="{00000000-0005-0000-0000-00001C230000}"/>
    <cellStyle name="Normal 49 3 3 3 2" xfId="17173" xr:uid="{C73493FF-83E7-43CF-A9C8-B536652CB073}"/>
    <cellStyle name="Normal 49 3 3 4" xfId="11576" xr:uid="{00000000-0005-0000-0000-00001D230000}"/>
    <cellStyle name="Normal 49 3 3 4 2" xfId="20319" xr:uid="{00AC7C4C-17F2-4D6B-A137-2F860765404E}"/>
    <cellStyle name="Normal 49 3 3 5" xfId="13183" xr:uid="{00000000-0005-0000-0000-00001E230000}"/>
    <cellStyle name="Normal 49 3 3 5 2" xfId="21919" xr:uid="{7BF4FD24-CDC3-47FA-90BC-39ABC8A4954B}"/>
    <cellStyle name="Normal 49 3 3 6" xfId="15413" xr:uid="{A7800124-F9BB-457A-9C06-D560D6349662}"/>
    <cellStyle name="Normal 49 3 4" xfId="3292" xr:uid="{00000000-0005-0000-0000-00001F230000}"/>
    <cellStyle name="Normal 49 3 4 2" xfId="9967" xr:uid="{00000000-0005-0000-0000-000020230000}"/>
    <cellStyle name="Normal 49 3 4 2 2" xfId="18773" xr:uid="{F2310A77-D4FB-47D8-B53C-8F915A35BD12}"/>
    <cellStyle name="Normal 49 3 4 3" xfId="8365" xr:uid="{00000000-0005-0000-0000-000021230000}"/>
    <cellStyle name="Normal 49 3 4 3 2" xfId="17174" xr:uid="{509397AB-B14B-4CB7-999B-C34C88769214}"/>
    <cellStyle name="Normal 49 3 4 4" xfId="11577" xr:uid="{00000000-0005-0000-0000-000022230000}"/>
    <cellStyle name="Normal 49 3 4 4 2" xfId="20320" xr:uid="{2668CB65-806E-4BA3-8C0D-B24154A9813E}"/>
    <cellStyle name="Normal 49 3 4 5" xfId="13184" xr:uid="{00000000-0005-0000-0000-000023230000}"/>
    <cellStyle name="Normal 49 3 4 5 2" xfId="21920" xr:uid="{5664024D-CB00-46AD-B1AF-9FEB282615F4}"/>
    <cellStyle name="Normal 49 3 4 6" xfId="15414" xr:uid="{BFB51B34-2482-4AB8-B1FD-887A82FB1CC3}"/>
    <cellStyle name="Normal 49 3 5" xfId="9964" xr:uid="{00000000-0005-0000-0000-000024230000}"/>
    <cellStyle name="Normal 49 3 5 2" xfId="18770" xr:uid="{523CC2D5-8D55-4006-A828-5347D714D9A5}"/>
    <cellStyle name="Normal 49 3 6" xfId="8362" xr:uid="{00000000-0005-0000-0000-000025230000}"/>
    <cellStyle name="Normal 49 3 6 2" xfId="17171" xr:uid="{784BEDE3-3AAB-48F9-BE1B-420560823184}"/>
    <cellStyle name="Normal 49 3 7" xfId="11574" xr:uid="{00000000-0005-0000-0000-000026230000}"/>
    <cellStyle name="Normal 49 3 7 2" xfId="20317" xr:uid="{7AFE4203-3E24-4E80-AFBE-592D7B58BB97}"/>
    <cellStyle name="Normal 49 3 8" xfId="13181" xr:uid="{00000000-0005-0000-0000-000027230000}"/>
    <cellStyle name="Normal 49 3 8 2" xfId="21917" xr:uid="{8F65E369-4E59-41DF-AD3C-FB6D1E3B8785}"/>
    <cellStyle name="Normal 49 3 9" xfId="15411" xr:uid="{8DD4481D-8F19-4C76-999E-B7928115483E}"/>
    <cellStyle name="Normal 49 4" xfId="3293" xr:uid="{00000000-0005-0000-0000-000028230000}"/>
    <cellStyle name="Normal 49 4 2" xfId="9968" xr:uid="{00000000-0005-0000-0000-000029230000}"/>
    <cellStyle name="Normal 49 4 2 2" xfId="18774" xr:uid="{0D739DD0-EF03-49DF-A478-40A3FFFFF91D}"/>
    <cellStyle name="Normal 49 4 3" xfId="8366" xr:uid="{00000000-0005-0000-0000-00002A230000}"/>
    <cellStyle name="Normal 49 4 3 2" xfId="17175" xr:uid="{5904B98F-4DA9-4EF7-B68B-2E3BDDD28BF2}"/>
    <cellStyle name="Normal 49 4 4" xfId="11578" xr:uid="{00000000-0005-0000-0000-00002B230000}"/>
    <cellStyle name="Normal 49 4 4 2" xfId="20321" xr:uid="{DCFFBA6D-9FAD-416A-897D-CABFCE7739E3}"/>
    <cellStyle name="Normal 49 4 5" xfId="13185" xr:uid="{00000000-0005-0000-0000-00002C230000}"/>
    <cellStyle name="Normal 49 4 5 2" xfId="21921" xr:uid="{A4D8F2ED-B1B7-42B6-8542-D0DB0DBBA698}"/>
    <cellStyle name="Normal 49 4 6" xfId="15415" xr:uid="{414AC529-FF35-4B93-9BB3-7B034A828444}"/>
    <cellStyle name="Normal 49 5" xfId="3294" xr:uid="{00000000-0005-0000-0000-00002D230000}"/>
    <cellStyle name="Normal 49 5 2" xfId="9969" xr:uid="{00000000-0005-0000-0000-00002E230000}"/>
    <cellStyle name="Normal 49 5 2 2" xfId="18775" xr:uid="{0F226E3E-0560-439C-9309-DB85D234E7EC}"/>
    <cellStyle name="Normal 49 5 3" xfId="8367" xr:uid="{00000000-0005-0000-0000-00002F230000}"/>
    <cellStyle name="Normal 49 5 3 2" xfId="17176" xr:uid="{88A63886-57AB-41A1-8A47-874A802F2B89}"/>
    <cellStyle name="Normal 49 5 4" xfId="11579" xr:uid="{00000000-0005-0000-0000-000030230000}"/>
    <cellStyle name="Normal 49 5 4 2" xfId="20322" xr:uid="{8E72DC09-6FC4-4DAD-858B-5285FEF6E384}"/>
    <cellStyle name="Normal 49 5 5" xfId="13186" xr:uid="{00000000-0005-0000-0000-000031230000}"/>
    <cellStyle name="Normal 49 5 5 2" xfId="21922" xr:uid="{343B7D67-FEC2-4274-8D19-9E68CA33A1EC}"/>
    <cellStyle name="Normal 49 5 6" xfId="15416" xr:uid="{BFAC41DE-AF35-490C-882B-178C90C9015B}"/>
    <cellStyle name="Normal 49 6" xfId="3295" xr:uid="{00000000-0005-0000-0000-000032230000}"/>
    <cellStyle name="Normal 49 6 2" xfId="9970" xr:uid="{00000000-0005-0000-0000-000033230000}"/>
    <cellStyle name="Normal 49 6 2 2" xfId="18776" xr:uid="{9621A1FD-D322-4962-8DA3-B910D823303F}"/>
    <cellStyle name="Normal 49 6 3" xfId="8368" xr:uid="{00000000-0005-0000-0000-000034230000}"/>
    <cellStyle name="Normal 49 6 3 2" xfId="17177" xr:uid="{6BF78F5B-A574-42F2-B760-8C3606A4E188}"/>
    <cellStyle name="Normal 49 6 4" xfId="11580" xr:uid="{00000000-0005-0000-0000-000035230000}"/>
    <cellStyle name="Normal 49 6 4 2" xfId="20323" xr:uid="{36DB8787-5FB1-446B-A342-A53C7DCB5F39}"/>
    <cellStyle name="Normal 49 6 5" xfId="13187" xr:uid="{00000000-0005-0000-0000-000036230000}"/>
    <cellStyle name="Normal 49 6 5 2" xfId="21923" xr:uid="{83303B31-AC0A-4229-BAE7-24F19974020A}"/>
    <cellStyle name="Normal 49 6 6" xfId="15417" xr:uid="{ECED75FC-329B-4D06-9351-9CF41904C700}"/>
    <cellStyle name="Normal 49 7" xfId="9959" xr:uid="{00000000-0005-0000-0000-000037230000}"/>
    <cellStyle name="Normal 49 7 2" xfId="18765" xr:uid="{44CED66D-6B10-4052-BEC4-1AA9F4985E0D}"/>
    <cellStyle name="Normal 49 8" xfId="8357" xr:uid="{00000000-0005-0000-0000-000038230000}"/>
    <cellStyle name="Normal 49 8 2" xfId="17166" xr:uid="{DF746517-16D8-4D13-A1E0-7849F4339604}"/>
    <cellStyle name="Normal 49 9" xfId="11569" xr:uid="{00000000-0005-0000-0000-000039230000}"/>
    <cellStyle name="Normal 49 9 2" xfId="20312" xr:uid="{ABB4D890-8299-46D5-AB0E-8C4E73EF0C8F}"/>
    <cellStyle name="Normal 5" xfId="125" xr:uid="{00000000-0005-0000-0000-00003A230000}"/>
    <cellStyle name="Normal 5 2" xfId="141" xr:uid="{00000000-0005-0000-0000-00003B230000}"/>
    <cellStyle name="Normal 5 2 10" xfId="3297" xr:uid="{00000000-0005-0000-0000-00003C230000}"/>
    <cellStyle name="Normal 5 2 10 2" xfId="9971" xr:uid="{00000000-0005-0000-0000-00003D230000}"/>
    <cellStyle name="Normal 5 2 10 2 2" xfId="18777" xr:uid="{1523EF0D-88DC-496F-8550-4883F4AFAF6E}"/>
    <cellStyle name="Normal 5 2 10 3" xfId="11581" xr:uid="{00000000-0005-0000-0000-00003E230000}"/>
    <cellStyle name="Normal 5 2 10 3 2" xfId="20324" xr:uid="{9FE27142-8AD0-4338-849F-E01117DEB5C1}"/>
    <cellStyle name="Normal 5 2 10 4" xfId="15418" xr:uid="{E65C8411-E399-4687-B8F2-84F3032CF9A4}"/>
    <cellStyle name="Normal 5 2 11" xfId="8369" xr:uid="{00000000-0005-0000-0000-00003F230000}"/>
    <cellStyle name="Normal 5 2 11 2" xfId="17178" xr:uid="{F413C341-5C29-4BBF-A77C-BA499E6E5E33}"/>
    <cellStyle name="Normal 5 2 12" xfId="13188" xr:uid="{00000000-0005-0000-0000-000040230000}"/>
    <cellStyle name="Normal 5 2 12 2" xfId="21924" xr:uid="{E20D21B5-8C15-4F9C-8423-2267CDFE7D1F}"/>
    <cellStyle name="Normal 5 2 2" xfId="3298" xr:uid="{00000000-0005-0000-0000-000041230000}"/>
    <cellStyle name="Normal 5 2 2 2" xfId="3299" xr:uid="{00000000-0005-0000-0000-000042230000}"/>
    <cellStyle name="Normal 5 2 2 2 2" xfId="9973" xr:uid="{00000000-0005-0000-0000-000043230000}"/>
    <cellStyle name="Normal 5 2 2 2 2 2" xfId="18779" xr:uid="{3E036ECA-F918-454E-8BC4-B701FF9EBA03}"/>
    <cellStyle name="Normal 5 2 2 2 3" xfId="8371" xr:uid="{00000000-0005-0000-0000-000044230000}"/>
    <cellStyle name="Normal 5 2 2 2 3 2" xfId="17180" xr:uid="{F7EB0C83-B88B-41C4-AFF6-39F819E215FC}"/>
    <cellStyle name="Normal 5 2 2 2 4" xfId="11583" xr:uid="{00000000-0005-0000-0000-000045230000}"/>
    <cellStyle name="Normal 5 2 2 2 4 2" xfId="20326" xr:uid="{7DCC738E-D633-4C49-B0A5-2049AD413639}"/>
    <cellStyle name="Normal 5 2 2 2 5" xfId="13190" xr:uid="{00000000-0005-0000-0000-000046230000}"/>
    <cellStyle name="Normal 5 2 2 2 5 2" xfId="21926" xr:uid="{06EAE5D5-F77E-4FAF-B44E-7FF4A402FE64}"/>
    <cellStyle name="Normal 5 2 2 2 6" xfId="15420" xr:uid="{18887366-F5A2-4F0D-B8D7-85149F195BBF}"/>
    <cellStyle name="Normal 5 2 2 3" xfId="3300" xr:uid="{00000000-0005-0000-0000-000047230000}"/>
    <cellStyle name="Normal 5 2 2 3 2" xfId="9974" xr:uid="{00000000-0005-0000-0000-000048230000}"/>
    <cellStyle name="Normal 5 2 2 3 2 2" xfId="18780" xr:uid="{839C1D59-0A32-45F1-9A18-513653DBFBBF}"/>
    <cellStyle name="Normal 5 2 2 3 3" xfId="8372" xr:uid="{00000000-0005-0000-0000-000049230000}"/>
    <cellStyle name="Normal 5 2 2 3 3 2" xfId="17181" xr:uid="{C7E1926E-D4DF-403E-8C63-3FDD6B905554}"/>
    <cellStyle name="Normal 5 2 2 3 4" xfId="11584" xr:uid="{00000000-0005-0000-0000-00004A230000}"/>
    <cellStyle name="Normal 5 2 2 3 4 2" xfId="20327" xr:uid="{0D4925E2-AD8F-47CE-AB83-00B451BE3623}"/>
    <cellStyle name="Normal 5 2 2 3 5" xfId="13191" xr:uid="{00000000-0005-0000-0000-00004B230000}"/>
    <cellStyle name="Normal 5 2 2 3 5 2" xfId="21927" xr:uid="{C863BE7A-5A46-4C16-B773-7B14CDED53CF}"/>
    <cellStyle name="Normal 5 2 2 3 6" xfId="15421" xr:uid="{766E87F8-00B1-4FBC-9FB4-E078518DF530}"/>
    <cellStyle name="Normal 5 2 2 4" xfId="3301" xr:uid="{00000000-0005-0000-0000-00004C230000}"/>
    <cellStyle name="Normal 5 2 2 4 2" xfId="9975" xr:uid="{00000000-0005-0000-0000-00004D230000}"/>
    <cellStyle name="Normal 5 2 2 4 2 2" xfId="18781" xr:uid="{9A9DBA94-A4B7-4F70-B650-9CC91B496840}"/>
    <cellStyle name="Normal 5 2 2 4 3" xfId="8373" xr:uid="{00000000-0005-0000-0000-00004E230000}"/>
    <cellStyle name="Normal 5 2 2 4 3 2" xfId="17182" xr:uid="{6E63081E-C487-4D87-9668-F4942F54D957}"/>
    <cellStyle name="Normal 5 2 2 4 4" xfId="11585" xr:uid="{00000000-0005-0000-0000-00004F230000}"/>
    <cellStyle name="Normal 5 2 2 4 4 2" xfId="20328" xr:uid="{EE0FCF63-9188-42E1-BE76-3714BF3C4E90}"/>
    <cellStyle name="Normal 5 2 2 4 5" xfId="13192" xr:uid="{00000000-0005-0000-0000-000050230000}"/>
    <cellStyle name="Normal 5 2 2 4 5 2" xfId="21928" xr:uid="{3C15ADBE-2599-4421-99C1-B1477BE141F8}"/>
    <cellStyle name="Normal 5 2 2 4 6" xfId="15422" xr:uid="{8DB9A5E9-2846-4CF2-B2F2-D3688242E9BF}"/>
    <cellStyle name="Normal 5 2 2 5" xfId="9972" xr:uid="{00000000-0005-0000-0000-000051230000}"/>
    <cellStyle name="Normal 5 2 2 5 2" xfId="18778" xr:uid="{97A1AA6D-961A-4D1B-87EE-66745C6B2BF1}"/>
    <cellStyle name="Normal 5 2 2 6" xfId="8370" xr:uid="{00000000-0005-0000-0000-000052230000}"/>
    <cellStyle name="Normal 5 2 2 6 2" xfId="17179" xr:uid="{9CE15948-DC1C-4292-9F67-3D99E3E7D238}"/>
    <cellStyle name="Normal 5 2 2 7" xfId="11582" xr:uid="{00000000-0005-0000-0000-000053230000}"/>
    <cellStyle name="Normal 5 2 2 7 2" xfId="20325" xr:uid="{73A965EF-E46B-4AE1-BA87-AD05EEBB7DAF}"/>
    <cellStyle name="Normal 5 2 2 8" xfId="13189" xr:uid="{00000000-0005-0000-0000-000054230000}"/>
    <cellStyle name="Normal 5 2 2 8 2" xfId="21925" xr:uid="{3FB76FC5-4939-49BA-BF82-D30ECA92B918}"/>
    <cellStyle name="Normal 5 2 2 9" xfId="15419" xr:uid="{78C08260-24A2-4B7E-B326-459EDF0CD801}"/>
    <cellStyle name="Normal 5 2 3" xfId="3302" xr:uid="{00000000-0005-0000-0000-000055230000}"/>
    <cellStyle name="Normal 5 2 3 2" xfId="3303" xr:uid="{00000000-0005-0000-0000-000056230000}"/>
    <cellStyle name="Normal 5 2 3 2 2" xfId="9977" xr:uid="{00000000-0005-0000-0000-000057230000}"/>
    <cellStyle name="Normal 5 2 3 2 2 2" xfId="18783" xr:uid="{B01C7343-FA39-490B-8367-0111A4BFC646}"/>
    <cellStyle name="Normal 5 2 3 2 3" xfId="8375" xr:uid="{00000000-0005-0000-0000-000058230000}"/>
    <cellStyle name="Normal 5 2 3 2 3 2" xfId="17184" xr:uid="{898B89A7-E181-45F2-A501-1D4F46DE04F6}"/>
    <cellStyle name="Normal 5 2 3 2 4" xfId="11587" xr:uid="{00000000-0005-0000-0000-000059230000}"/>
    <cellStyle name="Normal 5 2 3 2 4 2" xfId="20330" xr:uid="{8777FA69-BBEE-416C-9723-814CB37C985C}"/>
    <cellStyle name="Normal 5 2 3 2 5" xfId="13194" xr:uid="{00000000-0005-0000-0000-00005A230000}"/>
    <cellStyle name="Normal 5 2 3 2 5 2" xfId="21930" xr:uid="{07B44058-D0BE-4E51-A462-A8D9CE6FFC62}"/>
    <cellStyle name="Normal 5 2 3 2 6" xfId="15424" xr:uid="{0BD6B050-5F5F-40A3-9151-356FEDE874C0}"/>
    <cellStyle name="Normal 5 2 3 3" xfId="3304" xr:uid="{00000000-0005-0000-0000-00005B230000}"/>
    <cellStyle name="Normal 5 2 3 3 2" xfId="9978" xr:uid="{00000000-0005-0000-0000-00005C230000}"/>
    <cellStyle name="Normal 5 2 3 3 2 2" xfId="18784" xr:uid="{1C8F7CD5-51AE-46A2-B368-EED84D0A2C18}"/>
    <cellStyle name="Normal 5 2 3 3 3" xfId="8376" xr:uid="{00000000-0005-0000-0000-00005D230000}"/>
    <cellStyle name="Normal 5 2 3 3 3 2" xfId="17185" xr:uid="{C1F67E98-E565-49BD-9782-FCA4E1BEC7A6}"/>
    <cellStyle name="Normal 5 2 3 3 4" xfId="11588" xr:uid="{00000000-0005-0000-0000-00005E230000}"/>
    <cellStyle name="Normal 5 2 3 3 4 2" xfId="20331" xr:uid="{90FF8F78-807B-48C9-8F38-F5D33394EF5D}"/>
    <cellStyle name="Normal 5 2 3 3 5" xfId="13195" xr:uid="{00000000-0005-0000-0000-00005F230000}"/>
    <cellStyle name="Normal 5 2 3 3 5 2" xfId="21931" xr:uid="{B185D721-925C-473A-966C-CB3E55EDB018}"/>
    <cellStyle name="Normal 5 2 3 3 6" xfId="15425" xr:uid="{70335B93-4E05-4AE5-865B-C9ACC995AF66}"/>
    <cellStyle name="Normal 5 2 3 4" xfId="3305" xr:uid="{00000000-0005-0000-0000-000060230000}"/>
    <cellStyle name="Normal 5 2 3 4 2" xfId="9979" xr:uid="{00000000-0005-0000-0000-000061230000}"/>
    <cellStyle name="Normal 5 2 3 4 2 2" xfId="18785" xr:uid="{8AD9A8B7-F4DF-4565-AE41-522A7ECE7A44}"/>
    <cellStyle name="Normal 5 2 3 4 3" xfId="8377" xr:uid="{00000000-0005-0000-0000-000062230000}"/>
    <cellStyle name="Normal 5 2 3 4 3 2" xfId="17186" xr:uid="{97AF68CF-DCA6-4CA4-837E-B5C2C2C641F6}"/>
    <cellStyle name="Normal 5 2 3 4 4" xfId="11589" xr:uid="{00000000-0005-0000-0000-000063230000}"/>
    <cellStyle name="Normal 5 2 3 4 4 2" xfId="20332" xr:uid="{F7DE507E-88CB-4608-93E5-E326CAE132D5}"/>
    <cellStyle name="Normal 5 2 3 4 5" xfId="13196" xr:uid="{00000000-0005-0000-0000-000064230000}"/>
    <cellStyle name="Normal 5 2 3 4 5 2" xfId="21932" xr:uid="{73A3316A-F7BE-449F-A90A-575E97F41647}"/>
    <cellStyle name="Normal 5 2 3 4 6" xfId="15426" xr:uid="{E0810B62-A549-4EF1-BAB9-C06DFC819B9C}"/>
    <cellStyle name="Normal 5 2 3 5" xfId="9976" xr:uid="{00000000-0005-0000-0000-000065230000}"/>
    <cellStyle name="Normal 5 2 3 5 2" xfId="18782" xr:uid="{EA2CAEC4-0A60-4BAD-BEA4-70F15B6E219E}"/>
    <cellStyle name="Normal 5 2 3 6" xfId="8374" xr:uid="{00000000-0005-0000-0000-000066230000}"/>
    <cellStyle name="Normal 5 2 3 6 2" xfId="17183" xr:uid="{1FE92B83-CB30-44AE-9309-AEA83A89F86F}"/>
    <cellStyle name="Normal 5 2 3 7" xfId="11586" xr:uid="{00000000-0005-0000-0000-000067230000}"/>
    <cellStyle name="Normal 5 2 3 7 2" xfId="20329" xr:uid="{B66E8ABC-33F7-4CC7-8922-372123E4239B}"/>
    <cellStyle name="Normal 5 2 3 8" xfId="13193" xr:uid="{00000000-0005-0000-0000-000068230000}"/>
    <cellStyle name="Normal 5 2 3 8 2" xfId="21929" xr:uid="{CF445824-8094-4361-BCC7-1DD47D90A600}"/>
    <cellStyle name="Normal 5 2 3 9" xfId="15423" xr:uid="{793AE472-1CB0-447F-ABCB-47C000D9FC30}"/>
    <cellStyle name="Normal 5 2 4" xfId="3306" xr:uid="{00000000-0005-0000-0000-000069230000}"/>
    <cellStyle name="Normal 5 2 4 2" xfId="3307" xr:uid="{00000000-0005-0000-0000-00006A230000}"/>
    <cellStyle name="Normal 5 2 4 2 2" xfId="3308" xr:uid="{00000000-0005-0000-0000-00006B230000}"/>
    <cellStyle name="Normal 5 2 4 2 2 2" xfId="3309" xr:uid="{00000000-0005-0000-0000-00006C230000}"/>
    <cellStyle name="Normal 5 2 4 2 2 2 2" xfId="9981" xr:uid="{00000000-0005-0000-0000-00006D230000}"/>
    <cellStyle name="Normal 5 2 4 2 2 2 2 2" xfId="18787" xr:uid="{2097D317-3136-43E0-8CF0-5EAD45665E20}"/>
    <cellStyle name="Normal 5 2 4 2 2 2 3" xfId="8379" xr:uid="{00000000-0005-0000-0000-00006E230000}"/>
    <cellStyle name="Normal 5 2 4 2 2 2 3 2" xfId="17188" xr:uid="{0684A58E-3BC8-4DDC-8678-291345CC8D90}"/>
    <cellStyle name="Normal 5 2 4 2 2 2 4" xfId="11591" xr:uid="{00000000-0005-0000-0000-00006F230000}"/>
    <cellStyle name="Normal 5 2 4 2 2 2 4 2" xfId="20334" xr:uid="{25A69027-1044-4C78-836C-A883CC5D8411}"/>
    <cellStyle name="Normal 5 2 4 2 2 2 5" xfId="13198" xr:uid="{00000000-0005-0000-0000-000070230000}"/>
    <cellStyle name="Normal 5 2 4 2 2 2 5 2" xfId="21934" xr:uid="{46F58EAF-95DB-4AB3-8C4E-D52FCF565BD4}"/>
    <cellStyle name="Normal 5 2 4 2 2 2 6" xfId="15428" xr:uid="{E9904626-3206-4B4B-9E12-6FC41B005C4E}"/>
    <cellStyle name="Normal 5 2 4 2 2 3" xfId="3310" xr:uid="{00000000-0005-0000-0000-000071230000}"/>
    <cellStyle name="Normal 5 2 4 2 2 3 2" xfId="9982" xr:uid="{00000000-0005-0000-0000-000072230000}"/>
    <cellStyle name="Normal 5 2 4 2 2 3 2 2" xfId="18788" xr:uid="{6DC85FDB-40A6-43CE-9C24-C5C281BABC44}"/>
    <cellStyle name="Normal 5 2 4 2 2 3 3" xfId="8380" xr:uid="{00000000-0005-0000-0000-000073230000}"/>
    <cellStyle name="Normal 5 2 4 2 2 3 3 2" xfId="17189" xr:uid="{AC7BE276-A080-4151-94CD-C3021B79C26D}"/>
    <cellStyle name="Normal 5 2 4 2 2 3 4" xfId="11592" xr:uid="{00000000-0005-0000-0000-000074230000}"/>
    <cellStyle name="Normal 5 2 4 2 2 3 4 2" xfId="20335" xr:uid="{8890A6AE-7D39-4B4A-B039-9BB839AFA7D9}"/>
    <cellStyle name="Normal 5 2 4 2 2 3 5" xfId="13199" xr:uid="{00000000-0005-0000-0000-000075230000}"/>
    <cellStyle name="Normal 5 2 4 2 2 3 5 2" xfId="21935" xr:uid="{1CDFEF3C-C2D2-49C8-A923-CF76A2153A79}"/>
    <cellStyle name="Normal 5 2 4 2 2 3 6" xfId="15429" xr:uid="{E8266784-659B-4834-B271-1798D40F991D}"/>
    <cellStyle name="Normal 5 2 4 2 2 4" xfId="3311" xr:uid="{00000000-0005-0000-0000-000076230000}"/>
    <cellStyle name="Normal 5 2 4 2 2 4 2" xfId="9983" xr:uid="{00000000-0005-0000-0000-000077230000}"/>
    <cellStyle name="Normal 5 2 4 2 2 4 2 2" xfId="18789" xr:uid="{909B4B2B-686D-4194-9900-4291DE9685CA}"/>
    <cellStyle name="Normal 5 2 4 2 2 4 3" xfId="8381" xr:uid="{00000000-0005-0000-0000-000078230000}"/>
    <cellStyle name="Normal 5 2 4 2 2 4 3 2" xfId="17190" xr:uid="{344EE10A-0970-459B-AA3C-0C70C27C62F3}"/>
    <cellStyle name="Normal 5 2 4 2 2 4 4" xfId="11593" xr:uid="{00000000-0005-0000-0000-000079230000}"/>
    <cellStyle name="Normal 5 2 4 2 2 4 4 2" xfId="20336" xr:uid="{9DFCBA28-5564-4B74-9AD6-BE905FE8AC77}"/>
    <cellStyle name="Normal 5 2 4 2 2 4 5" xfId="13200" xr:uid="{00000000-0005-0000-0000-00007A230000}"/>
    <cellStyle name="Normal 5 2 4 2 2 4 5 2" xfId="21936" xr:uid="{9C9D2240-FEE3-42C4-A8BE-957269C5A786}"/>
    <cellStyle name="Normal 5 2 4 2 2 4 6" xfId="15430" xr:uid="{1CB51FB1-1D6B-40A5-BEA8-D84BC920043E}"/>
    <cellStyle name="Normal 5 2 4 2 3" xfId="3312" xr:uid="{00000000-0005-0000-0000-00007B230000}"/>
    <cellStyle name="Normal 5 2 4 2 4" xfId="3313" xr:uid="{00000000-0005-0000-0000-00007C230000}"/>
    <cellStyle name="Normal 5 2 4 2 5" xfId="9980" xr:uid="{00000000-0005-0000-0000-00007D230000}"/>
    <cellStyle name="Normal 5 2 4 2 5 2" xfId="18786" xr:uid="{254A535D-2163-4A17-A4D0-97967BAAD58A}"/>
    <cellStyle name="Normal 5 2 4 2 6" xfId="8378" xr:uid="{00000000-0005-0000-0000-00007E230000}"/>
    <cellStyle name="Normal 5 2 4 2 6 2" xfId="17187" xr:uid="{B2C7D7C6-3B62-4AE7-AF8E-FF174398071E}"/>
    <cellStyle name="Normal 5 2 4 2 7" xfId="11590" xr:uid="{00000000-0005-0000-0000-00007F230000}"/>
    <cellStyle name="Normal 5 2 4 2 7 2" xfId="20333" xr:uid="{704310CD-E5E6-483B-B3FC-03CFC6C6065C}"/>
    <cellStyle name="Normal 5 2 4 2 8" xfId="13197" xr:uid="{00000000-0005-0000-0000-000080230000}"/>
    <cellStyle name="Normal 5 2 4 2 8 2" xfId="21933" xr:uid="{178B1BA1-A0C4-4F0D-9953-109D53177C36}"/>
    <cellStyle name="Normal 5 2 4 2 9" xfId="15427" xr:uid="{CC53BC82-567A-4AE7-B5ED-E9F5C661241D}"/>
    <cellStyle name="Normal 5 2 4 3" xfId="3314" xr:uid="{00000000-0005-0000-0000-000081230000}"/>
    <cellStyle name="Normal 5 2 4 3 2" xfId="3315" xr:uid="{00000000-0005-0000-0000-000082230000}"/>
    <cellStyle name="Normal 5 2 4 3 2 2" xfId="9985" xr:uid="{00000000-0005-0000-0000-000083230000}"/>
    <cellStyle name="Normal 5 2 4 3 2 2 2" xfId="18791" xr:uid="{AED8EE70-BB37-4495-8CA2-BE55CA904A90}"/>
    <cellStyle name="Normal 5 2 4 3 2 3" xfId="8383" xr:uid="{00000000-0005-0000-0000-000084230000}"/>
    <cellStyle name="Normal 5 2 4 3 2 3 2" xfId="17192" xr:uid="{8A739C92-4009-4E17-B097-1C7441071F62}"/>
    <cellStyle name="Normal 5 2 4 3 2 4" xfId="11595" xr:uid="{00000000-0005-0000-0000-000085230000}"/>
    <cellStyle name="Normal 5 2 4 3 2 4 2" xfId="20338" xr:uid="{40A76E34-88FD-4E51-87C6-1C85BD27CCA4}"/>
    <cellStyle name="Normal 5 2 4 3 2 5" xfId="13202" xr:uid="{00000000-0005-0000-0000-000086230000}"/>
    <cellStyle name="Normal 5 2 4 3 2 5 2" xfId="21938" xr:uid="{A7D193E0-6FFB-4084-9E41-A1399F6F3AFA}"/>
    <cellStyle name="Normal 5 2 4 3 2 6" xfId="15432" xr:uid="{BFC3E999-BD03-4F53-8D00-92731EE6178A}"/>
    <cellStyle name="Normal 5 2 4 3 3" xfId="3316" xr:uid="{00000000-0005-0000-0000-000087230000}"/>
    <cellStyle name="Normal 5 2 4 3 3 2" xfId="9986" xr:uid="{00000000-0005-0000-0000-000088230000}"/>
    <cellStyle name="Normal 5 2 4 3 3 2 2" xfId="18792" xr:uid="{880824A9-CAA4-46CD-9DA1-9F7CB4446764}"/>
    <cellStyle name="Normal 5 2 4 3 3 3" xfId="8384" xr:uid="{00000000-0005-0000-0000-000089230000}"/>
    <cellStyle name="Normal 5 2 4 3 3 3 2" xfId="17193" xr:uid="{E226F8E2-5D29-488E-8FC8-F280F0C7DC50}"/>
    <cellStyle name="Normal 5 2 4 3 3 4" xfId="11596" xr:uid="{00000000-0005-0000-0000-00008A230000}"/>
    <cellStyle name="Normal 5 2 4 3 3 4 2" xfId="20339" xr:uid="{91858AB2-59A1-4696-943F-0CFC1CEB56EA}"/>
    <cellStyle name="Normal 5 2 4 3 3 5" xfId="13203" xr:uid="{00000000-0005-0000-0000-00008B230000}"/>
    <cellStyle name="Normal 5 2 4 3 3 5 2" xfId="21939" xr:uid="{4C3E4131-0FE3-47BF-B261-7D077CA798B8}"/>
    <cellStyle name="Normal 5 2 4 3 3 6" xfId="15433" xr:uid="{14CF64B2-636D-4370-896D-048FDE839E3F}"/>
    <cellStyle name="Normal 5 2 4 3 4" xfId="3317" xr:uid="{00000000-0005-0000-0000-00008C230000}"/>
    <cellStyle name="Normal 5 2 4 3 4 2" xfId="9987" xr:uid="{00000000-0005-0000-0000-00008D230000}"/>
    <cellStyle name="Normal 5 2 4 3 4 2 2" xfId="18793" xr:uid="{2C2DD0C6-D5F4-4AF1-872E-46E4A24C9623}"/>
    <cellStyle name="Normal 5 2 4 3 4 3" xfId="8385" xr:uid="{00000000-0005-0000-0000-00008E230000}"/>
    <cellStyle name="Normal 5 2 4 3 4 3 2" xfId="17194" xr:uid="{CF2042EE-C77E-4417-9085-EFCB9E7BC415}"/>
    <cellStyle name="Normal 5 2 4 3 4 4" xfId="11597" xr:uid="{00000000-0005-0000-0000-00008F230000}"/>
    <cellStyle name="Normal 5 2 4 3 4 4 2" xfId="20340" xr:uid="{E424E6EC-716A-4A81-9A83-F35A928EB603}"/>
    <cellStyle name="Normal 5 2 4 3 4 5" xfId="13204" xr:uid="{00000000-0005-0000-0000-000090230000}"/>
    <cellStyle name="Normal 5 2 4 3 4 5 2" xfId="21940" xr:uid="{74CAAE61-68CB-4C51-B18E-1BC6CE454F52}"/>
    <cellStyle name="Normal 5 2 4 3 4 6" xfId="15434" xr:uid="{489DA699-7C2B-4F14-8BCD-5959B7DD392A}"/>
    <cellStyle name="Normal 5 2 4 3 5" xfId="9984" xr:uid="{00000000-0005-0000-0000-000091230000}"/>
    <cellStyle name="Normal 5 2 4 3 5 2" xfId="18790" xr:uid="{950F5A90-C647-4DA6-86F8-3A355917A55E}"/>
    <cellStyle name="Normal 5 2 4 3 6" xfId="8382" xr:uid="{00000000-0005-0000-0000-000092230000}"/>
    <cellStyle name="Normal 5 2 4 3 6 2" xfId="17191" xr:uid="{432C045B-6AA1-4AF8-B13E-6FEFBD417E42}"/>
    <cellStyle name="Normal 5 2 4 3 7" xfId="11594" xr:uid="{00000000-0005-0000-0000-000093230000}"/>
    <cellStyle name="Normal 5 2 4 3 7 2" xfId="20337" xr:uid="{EB35D0E7-2D4F-45F8-B730-46877A3FE78D}"/>
    <cellStyle name="Normal 5 2 4 3 8" xfId="13201" xr:uid="{00000000-0005-0000-0000-000094230000}"/>
    <cellStyle name="Normal 5 2 4 3 8 2" xfId="21937" xr:uid="{CF10AA0E-CE74-4537-9737-3E10CEAA7A34}"/>
    <cellStyle name="Normal 5 2 4 3 9" xfId="15431" xr:uid="{8F0B122C-F5A8-4C8B-8502-37B150FB8BA6}"/>
    <cellStyle name="Normal 5 2 4 4" xfId="3318" xr:uid="{00000000-0005-0000-0000-000095230000}"/>
    <cellStyle name="Normal 5 2 4 4 2" xfId="3319" xr:uid="{00000000-0005-0000-0000-000096230000}"/>
    <cellStyle name="Normal 5 2 4 4 2 2" xfId="9989" xr:uid="{00000000-0005-0000-0000-000097230000}"/>
    <cellStyle name="Normal 5 2 4 4 2 2 2" xfId="18795" xr:uid="{10956166-F576-4519-8AE6-D0BC92427350}"/>
    <cellStyle name="Normal 5 2 4 4 2 3" xfId="8387" xr:uid="{00000000-0005-0000-0000-000098230000}"/>
    <cellStyle name="Normal 5 2 4 4 2 3 2" xfId="17196" xr:uid="{0071E4DF-396A-47B4-A96B-D2935E97E61A}"/>
    <cellStyle name="Normal 5 2 4 4 2 4" xfId="11599" xr:uid="{00000000-0005-0000-0000-000099230000}"/>
    <cellStyle name="Normal 5 2 4 4 2 4 2" xfId="20342" xr:uid="{218C50AD-9745-430F-88D5-DAEB36EAA682}"/>
    <cellStyle name="Normal 5 2 4 4 2 5" xfId="13206" xr:uid="{00000000-0005-0000-0000-00009A230000}"/>
    <cellStyle name="Normal 5 2 4 4 2 5 2" xfId="21942" xr:uid="{CD07C908-2F5F-4161-AFB8-3F394B6D1377}"/>
    <cellStyle name="Normal 5 2 4 4 2 6" xfId="15436" xr:uid="{6C71A08D-149E-42BC-BC9E-5D32D4CBDF22}"/>
    <cellStyle name="Normal 5 2 4 4 3" xfId="3320" xr:uid="{00000000-0005-0000-0000-00009B230000}"/>
    <cellStyle name="Normal 5 2 4 4 3 2" xfId="9990" xr:uid="{00000000-0005-0000-0000-00009C230000}"/>
    <cellStyle name="Normal 5 2 4 4 3 2 2" xfId="18796" xr:uid="{1EE9E12B-980E-4A6A-8844-62FC380726E9}"/>
    <cellStyle name="Normal 5 2 4 4 3 3" xfId="8388" xr:uid="{00000000-0005-0000-0000-00009D230000}"/>
    <cellStyle name="Normal 5 2 4 4 3 3 2" xfId="17197" xr:uid="{2B814D9F-E2BF-4E6D-97DC-F803C76D918E}"/>
    <cellStyle name="Normal 5 2 4 4 3 4" xfId="11600" xr:uid="{00000000-0005-0000-0000-00009E230000}"/>
    <cellStyle name="Normal 5 2 4 4 3 4 2" xfId="20343" xr:uid="{78E16C6B-2FA3-455A-AD0D-78A5F058F3DE}"/>
    <cellStyle name="Normal 5 2 4 4 3 5" xfId="13207" xr:uid="{00000000-0005-0000-0000-00009F230000}"/>
    <cellStyle name="Normal 5 2 4 4 3 5 2" xfId="21943" xr:uid="{E8ED3D84-C09D-4345-B9F0-4A648252B3F8}"/>
    <cellStyle name="Normal 5 2 4 4 3 6" xfId="15437" xr:uid="{9608403B-5D81-4DAB-99A0-3E53D899EB08}"/>
    <cellStyle name="Normal 5 2 4 4 4" xfId="3321" xr:uid="{00000000-0005-0000-0000-0000A0230000}"/>
    <cellStyle name="Normal 5 2 4 4 4 2" xfId="9991" xr:uid="{00000000-0005-0000-0000-0000A1230000}"/>
    <cellStyle name="Normal 5 2 4 4 4 2 2" xfId="18797" xr:uid="{FD889B56-3F4E-4392-B5AF-4A50DA4CAA30}"/>
    <cellStyle name="Normal 5 2 4 4 4 3" xfId="8389" xr:uid="{00000000-0005-0000-0000-0000A2230000}"/>
    <cellStyle name="Normal 5 2 4 4 4 3 2" xfId="17198" xr:uid="{DF0FD64A-42FE-4EB8-A483-BD08AC5B30EF}"/>
    <cellStyle name="Normal 5 2 4 4 4 4" xfId="11601" xr:uid="{00000000-0005-0000-0000-0000A3230000}"/>
    <cellStyle name="Normal 5 2 4 4 4 4 2" xfId="20344" xr:uid="{9CDDD019-DAD6-4AAE-BFAA-4DFAF935C599}"/>
    <cellStyle name="Normal 5 2 4 4 4 5" xfId="13208" xr:uid="{00000000-0005-0000-0000-0000A4230000}"/>
    <cellStyle name="Normal 5 2 4 4 4 5 2" xfId="21944" xr:uid="{6F60A756-1708-4BB3-8D81-85380D24954B}"/>
    <cellStyle name="Normal 5 2 4 4 4 6" xfId="15438" xr:uid="{22118CC5-996C-4C94-A4A2-65B82620BF76}"/>
    <cellStyle name="Normal 5 2 4 4 5" xfId="9988" xr:uid="{00000000-0005-0000-0000-0000A5230000}"/>
    <cellStyle name="Normal 5 2 4 4 5 2" xfId="18794" xr:uid="{AF8A964A-D3D1-40B5-8994-154B975C8E2C}"/>
    <cellStyle name="Normal 5 2 4 4 6" xfId="8386" xr:uid="{00000000-0005-0000-0000-0000A6230000}"/>
    <cellStyle name="Normal 5 2 4 4 6 2" xfId="17195" xr:uid="{07B2C3C4-B6FD-4514-9089-AEDB46A5DD3F}"/>
    <cellStyle name="Normal 5 2 4 4 7" xfId="11598" xr:uid="{00000000-0005-0000-0000-0000A7230000}"/>
    <cellStyle name="Normal 5 2 4 4 7 2" xfId="20341" xr:uid="{9AD79529-9E93-4343-BE04-98FEC5F63C86}"/>
    <cellStyle name="Normal 5 2 4 4 8" xfId="13205" xr:uid="{00000000-0005-0000-0000-0000A8230000}"/>
    <cellStyle name="Normal 5 2 4 4 8 2" xfId="21941" xr:uid="{807898B6-7B18-480A-9CE7-B521980F02C1}"/>
    <cellStyle name="Normal 5 2 4 4 9" xfId="15435" xr:uid="{CB8749A8-95F3-4483-836E-A2212C45E2BA}"/>
    <cellStyle name="Normal 5 2 4 5" xfId="3322" xr:uid="{00000000-0005-0000-0000-0000A9230000}"/>
    <cellStyle name="Normal 5 2 4 5 2" xfId="9992" xr:uid="{00000000-0005-0000-0000-0000AA230000}"/>
    <cellStyle name="Normal 5 2 4 5 2 2" xfId="18798" xr:uid="{7D4C3FEF-74B2-48C0-9A01-871B29DC9EBA}"/>
    <cellStyle name="Normal 5 2 4 5 3" xfId="8390" xr:uid="{00000000-0005-0000-0000-0000AB230000}"/>
    <cellStyle name="Normal 5 2 4 5 3 2" xfId="17199" xr:uid="{C99D5A98-779A-4F98-88D2-8C3110407BCF}"/>
    <cellStyle name="Normal 5 2 4 5 4" xfId="11602" xr:uid="{00000000-0005-0000-0000-0000AC230000}"/>
    <cellStyle name="Normal 5 2 4 5 4 2" xfId="20345" xr:uid="{BA2A7EA5-3FAE-4FE6-9613-C36BBB7240F4}"/>
    <cellStyle name="Normal 5 2 4 5 5" xfId="13209" xr:uid="{00000000-0005-0000-0000-0000AD230000}"/>
    <cellStyle name="Normal 5 2 4 5 5 2" xfId="21945" xr:uid="{5EF45ACB-46D6-44D4-98EA-95A347A907C7}"/>
    <cellStyle name="Normal 5 2 4 5 6" xfId="15439" xr:uid="{1DC47352-8260-46F9-AA05-1349363136EA}"/>
    <cellStyle name="Normal 5 2 4 6" xfId="3323" xr:uid="{00000000-0005-0000-0000-0000AE230000}"/>
    <cellStyle name="Normal 5 2 4 6 2" xfId="9993" xr:uid="{00000000-0005-0000-0000-0000AF230000}"/>
    <cellStyle name="Normal 5 2 4 6 2 2" xfId="18799" xr:uid="{CF5017CF-C46F-4DD5-AB4E-842D80E615C8}"/>
    <cellStyle name="Normal 5 2 4 6 3" xfId="8391" xr:uid="{00000000-0005-0000-0000-0000B0230000}"/>
    <cellStyle name="Normal 5 2 4 6 3 2" xfId="17200" xr:uid="{9360DB60-3B18-4B65-9E3B-010C60037B87}"/>
    <cellStyle name="Normal 5 2 4 6 4" xfId="11603" xr:uid="{00000000-0005-0000-0000-0000B1230000}"/>
    <cellStyle name="Normal 5 2 4 6 4 2" xfId="20346" xr:uid="{9FFE3EBD-CA30-4FC8-A773-5E4F82DC742B}"/>
    <cellStyle name="Normal 5 2 4 6 5" xfId="13210" xr:uid="{00000000-0005-0000-0000-0000B2230000}"/>
    <cellStyle name="Normal 5 2 4 6 5 2" xfId="21946" xr:uid="{6190BDA7-57D4-4D7E-94FA-0B7E4CE279B1}"/>
    <cellStyle name="Normal 5 2 4 6 6" xfId="15440" xr:uid="{1BCF8698-7949-4E3C-9B0D-5BC7BA660822}"/>
    <cellStyle name="Normal 5 2 4 7" xfId="3324" xr:uid="{00000000-0005-0000-0000-0000B3230000}"/>
    <cellStyle name="Normal 5 2 4 7 2" xfId="9994" xr:uid="{00000000-0005-0000-0000-0000B4230000}"/>
    <cellStyle name="Normal 5 2 4 7 2 2" xfId="18800" xr:uid="{875DBC73-FF67-4878-8BD2-3BC1A9579221}"/>
    <cellStyle name="Normal 5 2 4 7 3" xfId="8392" xr:uid="{00000000-0005-0000-0000-0000B5230000}"/>
    <cellStyle name="Normal 5 2 4 7 3 2" xfId="17201" xr:uid="{D32F34F8-6773-4FC0-81CE-79B5AFC87E9C}"/>
    <cellStyle name="Normal 5 2 4 7 4" xfId="11604" xr:uid="{00000000-0005-0000-0000-0000B6230000}"/>
    <cellStyle name="Normal 5 2 4 7 4 2" xfId="20347" xr:uid="{962DA27D-681B-4A6E-9EDC-231931DF8A78}"/>
    <cellStyle name="Normal 5 2 4 7 5" xfId="13211" xr:uid="{00000000-0005-0000-0000-0000B7230000}"/>
    <cellStyle name="Normal 5 2 4 7 5 2" xfId="21947" xr:uid="{09A51526-972C-4A5A-91AE-AB058798F485}"/>
    <cellStyle name="Normal 5 2 4 7 6" xfId="15441" xr:uid="{56515B16-8081-4E12-9A41-67420D75505A}"/>
    <cellStyle name="Normal 5 2 5" xfId="3325" xr:uid="{00000000-0005-0000-0000-0000B8230000}"/>
    <cellStyle name="Normal 5 2 6" xfId="3326" xr:uid="{00000000-0005-0000-0000-0000B9230000}"/>
    <cellStyle name="Normal 5 2 7" xfId="3327" xr:uid="{00000000-0005-0000-0000-0000BA230000}"/>
    <cellStyle name="Normal 5 2 7 2" xfId="9995" xr:uid="{00000000-0005-0000-0000-0000BB230000}"/>
    <cellStyle name="Normal 5 2 7 2 2" xfId="18801" xr:uid="{80190A7C-7E14-4578-BCD5-CDC2B9FD998E}"/>
    <cellStyle name="Normal 5 2 7 3" xfId="8393" xr:uid="{00000000-0005-0000-0000-0000BC230000}"/>
    <cellStyle name="Normal 5 2 7 3 2" xfId="17202" xr:uid="{69935BC5-6C26-43D9-9900-3D4A8DE72C69}"/>
    <cellStyle name="Normal 5 2 7 4" xfId="11605" xr:uid="{00000000-0005-0000-0000-0000BD230000}"/>
    <cellStyle name="Normal 5 2 7 4 2" xfId="20348" xr:uid="{593218CB-7287-4F3F-9E3E-26B04E4CFDED}"/>
    <cellStyle name="Normal 5 2 7 5" xfId="13212" xr:uid="{00000000-0005-0000-0000-0000BE230000}"/>
    <cellStyle name="Normal 5 2 7 5 2" xfId="21948" xr:uid="{7F2B52AA-AF3E-4918-8A4E-85ADAD242B09}"/>
    <cellStyle name="Normal 5 2 7 6" xfId="15442" xr:uid="{936BEFD3-199A-4153-BA15-F117D1D20A3E}"/>
    <cellStyle name="Normal 5 2 8" xfId="3328" xr:uid="{00000000-0005-0000-0000-0000BF230000}"/>
    <cellStyle name="Normal 5 2 8 2" xfId="9996" xr:uid="{00000000-0005-0000-0000-0000C0230000}"/>
    <cellStyle name="Normal 5 2 8 2 2" xfId="18802" xr:uid="{EDC2D615-4DC1-48BA-ACB0-2138007CE930}"/>
    <cellStyle name="Normal 5 2 8 3" xfId="8394" xr:uid="{00000000-0005-0000-0000-0000C1230000}"/>
    <cellStyle name="Normal 5 2 8 3 2" xfId="17203" xr:uid="{AEE245F2-A81B-46D9-B0AE-E106175220D0}"/>
    <cellStyle name="Normal 5 2 8 4" xfId="11606" xr:uid="{00000000-0005-0000-0000-0000C2230000}"/>
    <cellStyle name="Normal 5 2 8 4 2" xfId="20349" xr:uid="{2AC5ADFE-9106-4654-A6BC-4A1FC545013C}"/>
    <cellStyle name="Normal 5 2 8 5" xfId="13213" xr:uid="{00000000-0005-0000-0000-0000C3230000}"/>
    <cellStyle name="Normal 5 2 8 5 2" xfId="21949" xr:uid="{742C4D7C-1B50-4502-8385-2F16015FE4C5}"/>
    <cellStyle name="Normal 5 2 8 6" xfId="15443" xr:uid="{74E53A4A-31D7-437E-97D4-A9F95E5DD60E}"/>
    <cellStyle name="Normal 5 2 9" xfId="3329" xr:uid="{00000000-0005-0000-0000-0000C4230000}"/>
    <cellStyle name="Normal 5 2 9 2" xfId="9997" xr:uid="{00000000-0005-0000-0000-0000C5230000}"/>
    <cellStyle name="Normal 5 2 9 2 2" xfId="18803" xr:uid="{D14D2083-9A2D-4A0C-8A14-8576BFE84B3E}"/>
    <cellStyle name="Normal 5 2 9 3" xfId="8395" xr:uid="{00000000-0005-0000-0000-0000C6230000}"/>
    <cellStyle name="Normal 5 2 9 3 2" xfId="17204" xr:uid="{684C1C2B-A655-4CC6-A662-0BDDC0480A2E}"/>
    <cellStyle name="Normal 5 2 9 4" xfId="11607" xr:uid="{00000000-0005-0000-0000-0000C7230000}"/>
    <cellStyle name="Normal 5 2 9 4 2" xfId="20350" xr:uid="{7CB437BF-8ACF-4505-9EAE-3453416118DA}"/>
    <cellStyle name="Normal 5 2 9 5" xfId="13214" xr:uid="{00000000-0005-0000-0000-0000C8230000}"/>
    <cellStyle name="Normal 5 2 9 5 2" xfId="21950" xr:uid="{E6D888B1-9969-48C8-8B69-3FF04F49FF7A}"/>
    <cellStyle name="Normal 5 2 9 6" xfId="15444" xr:uid="{30670197-291D-403D-8115-E8195D9BF32E}"/>
    <cellStyle name="Normal 5 3" xfId="3330" xr:uid="{00000000-0005-0000-0000-0000C9230000}"/>
    <cellStyle name="Normal 5 3 2" xfId="3331" xr:uid="{00000000-0005-0000-0000-0000CA230000}"/>
    <cellStyle name="Normal 5 3 2 2" xfId="9999" xr:uid="{00000000-0005-0000-0000-0000CB230000}"/>
    <cellStyle name="Normal 5 3 2 2 2" xfId="18805" xr:uid="{3388F89A-9C65-4E0B-BEF8-D63BC546BBA7}"/>
    <cellStyle name="Normal 5 3 2 3" xfId="8397" xr:uid="{00000000-0005-0000-0000-0000CC230000}"/>
    <cellStyle name="Normal 5 3 2 3 2" xfId="17206" xr:uid="{077D402A-91EF-4FCA-BECD-8D08A8ED7144}"/>
    <cellStyle name="Normal 5 3 2 4" xfId="11609" xr:uid="{00000000-0005-0000-0000-0000CD230000}"/>
    <cellStyle name="Normal 5 3 2 4 2" xfId="20352" xr:uid="{E58E3B60-8FE0-461B-93AD-C73E58DDDD9D}"/>
    <cellStyle name="Normal 5 3 2 5" xfId="13216" xr:uid="{00000000-0005-0000-0000-0000CE230000}"/>
    <cellStyle name="Normal 5 3 2 5 2" xfId="21952" xr:uid="{78FA9018-626A-480B-8954-86890A824547}"/>
    <cellStyle name="Normal 5 3 2 6" xfId="15446" xr:uid="{B61EB4B6-5C2F-46FD-97DB-5AFF949E916B}"/>
    <cellStyle name="Normal 5 3 3" xfId="3332" xr:uid="{00000000-0005-0000-0000-0000CF230000}"/>
    <cellStyle name="Normal 5 3 3 2" xfId="10000" xr:uid="{00000000-0005-0000-0000-0000D0230000}"/>
    <cellStyle name="Normal 5 3 3 2 2" xfId="18806" xr:uid="{C7767128-D34F-40C0-A2D7-1DAFF2E25E7D}"/>
    <cellStyle name="Normal 5 3 3 3" xfId="8398" xr:uid="{00000000-0005-0000-0000-0000D1230000}"/>
    <cellStyle name="Normal 5 3 3 3 2" xfId="17207" xr:uid="{F45A1EA3-B262-4FF3-958F-11F4105F85A8}"/>
    <cellStyle name="Normal 5 3 3 4" xfId="11610" xr:uid="{00000000-0005-0000-0000-0000D2230000}"/>
    <cellStyle name="Normal 5 3 3 4 2" xfId="20353" xr:uid="{8051A7AB-7C9D-450B-9766-AD08C05AD515}"/>
    <cellStyle name="Normal 5 3 3 5" xfId="13217" xr:uid="{00000000-0005-0000-0000-0000D3230000}"/>
    <cellStyle name="Normal 5 3 3 5 2" xfId="21953" xr:uid="{46426B6D-EC53-420B-B197-A46F208503B5}"/>
    <cellStyle name="Normal 5 3 3 6" xfId="15447" xr:uid="{22881DB5-6C6C-443C-B25D-80CFDA4493CA}"/>
    <cellStyle name="Normal 5 3 4" xfId="3333" xr:uid="{00000000-0005-0000-0000-0000D4230000}"/>
    <cellStyle name="Normal 5 3 4 2" xfId="10001" xr:uid="{00000000-0005-0000-0000-0000D5230000}"/>
    <cellStyle name="Normal 5 3 4 2 2" xfId="18807" xr:uid="{738A624F-DCB5-42DB-8C77-C773224BFEFF}"/>
    <cellStyle name="Normal 5 3 4 3" xfId="8399" xr:uid="{00000000-0005-0000-0000-0000D6230000}"/>
    <cellStyle name="Normal 5 3 4 3 2" xfId="17208" xr:uid="{9B6AC6C9-F008-4337-975D-391975F65AA1}"/>
    <cellStyle name="Normal 5 3 4 4" xfId="11611" xr:uid="{00000000-0005-0000-0000-0000D7230000}"/>
    <cellStyle name="Normal 5 3 4 4 2" xfId="20354" xr:uid="{38CADCB0-31E1-479B-A49E-A63714A474B9}"/>
    <cellStyle name="Normal 5 3 4 5" xfId="13218" xr:uid="{00000000-0005-0000-0000-0000D8230000}"/>
    <cellStyle name="Normal 5 3 4 5 2" xfId="21954" xr:uid="{3FE23F46-BFC2-4CB4-A086-F1887598ACD4}"/>
    <cellStyle name="Normal 5 3 4 6" xfId="15448" xr:uid="{9C19DD64-7B3C-4086-8BB7-CE8F2BC153C2}"/>
    <cellStyle name="Normal 5 3 5" xfId="9998" xr:uid="{00000000-0005-0000-0000-0000D9230000}"/>
    <cellStyle name="Normal 5 3 5 2" xfId="18804" xr:uid="{A5179BE8-1DD0-4F6E-A48A-6BC6F021B3B5}"/>
    <cellStyle name="Normal 5 3 6" xfId="8396" xr:uid="{00000000-0005-0000-0000-0000DA230000}"/>
    <cellStyle name="Normal 5 3 6 2" xfId="17205" xr:uid="{4FC4A0F5-7124-452F-B7F7-54AC85DAB7F8}"/>
    <cellStyle name="Normal 5 3 7" xfId="11608" xr:uid="{00000000-0005-0000-0000-0000DB230000}"/>
    <cellStyle name="Normal 5 3 7 2" xfId="20351" xr:uid="{271E6EC7-4189-42D3-BBDF-62CF574E2C13}"/>
    <cellStyle name="Normal 5 3 8" xfId="13215" xr:uid="{00000000-0005-0000-0000-0000DC230000}"/>
    <cellStyle name="Normal 5 3 8 2" xfId="21951" xr:uid="{078B8F14-53EA-4BAB-9A39-FAC061AD0B98}"/>
    <cellStyle name="Normal 5 3 9" xfId="15445" xr:uid="{1EBB495A-BE96-48CD-B9C4-C53CA0ECABBA}"/>
    <cellStyle name="Normal 5 4" xfId="3334" xr:uid="{00000000-0005-0000-0000-0000DD230000}"/>
    <cellStyle name="Normal 5 4 2" xfId="3335" xr:uid="{00000000-0005-0000-0000-0000DE230000}"/>
    <cellStyle name="Normal 5 4 2 2" xfId="10003" xr:uid="{00000000-0005-0000-0000-0000DF230000}"/>
    <cellStyle name="Normal 5 4 2 2 2" xfId="18809" xr:uid="{4D4C286E-56CB-4F42-99AF-A6AFA6A997CE}"/>
    <cellStyle name="Normal 5 4 2 3" xfId="8401" xr:uid="{00000000-0005-0000-0000-0000E0230000}"/>
    <cellStyle name="Normal 5 4 2 3 2" xfId="17210" xr:uid="{DC450962-7194-451D-83B9-0512692A73A0}"/>
    <cellStyle name="Normal 5 4 2 4" xfId="11613" xr:uid="{00000000-0005-0000-0000-0000E1230000}"/>
    <cellStyle name="Normal 5 4 2 4 2" xfId="20356" xr:uid="{5A9E67C1-ABEE-4575-B5FC-0B75DF4F8956}"/>
    <cellStyle name="Normal 5 4 2 5" xfId="13220" xr:uid="{00000000-0005-0000-0000-0000E2230000}"/>
    <cellStyle name="Normal 5 4 2 5 2" xfId="21956" xr:uid="{B6C60E2D-4345-4B10-B4E5-ABC79D70C1B0}"/>
    <cellStyle name="Normal 5 4 2 6" xfId="15450" xr:uid="{EAFF2979-9594-41D6-BFE8-CB2EB0516843}"/>
    <cellStyle name="Normal 5 4 3" xfId="3336" xr:uid="{00000000-0005-0000-0000-0000E3230000}"/>
    <cellStyle name="Normal 5 4 3 2" xfId="10004" xr:uid="{00000000-0005-0000-0000-0000E4230000}"/>
    <cellStyle name="Normal 5 4 3 2 2" xfId="18810" xr:uid="{32E7FA5A-74E9-40F3-80EC-4D3365B34779}"/>
    <cellStyle name="Normal 5 4 3 3" xfId="8402" xr:uid="{00000000-0005-0000-0000-0000E5230000}"/>
    <cellStyle name="Normal 5 4 3 3 2" xfId="17211" xr:uid="{AE2DC240-18F3-4567-B614-0892E611051A}"/>
    <cellStyle name="Normal 5 4 3 4" xfId="11614" xr:uid="{00000000-0005-0000-0000-0000E6230000}"/>
    <cellStyle name="Normal 5 4 3 4 2" xfId="20357" xr:uid="{3B17C2C6-3B10-4644-AD41-FFF4F912141C}"/>
    <cellStyle name="Normal 5 4 3 5" xfId="13221" xr:uid="{00000000-0005-0000-0000-0000E7230000}"/>
    <cellStyle name="Normal 5 4 3 5 2" xfId="21957" xr:uid="{2B8F9D22-D973-4959-A57E-7DD0247EF339}"/>
    <cellStyle name="Normal 5 4 3 6" xfId="15451" xr:uid="{1DC008E8-74C6-4218-B47B-25584ADBD0E3}"/>
    <cellStyle name="Normal 5 4 4" xfId="3337" xr:uid="{00000000-0005-0000-0000-0000E8230000}"/>
    <cellStyle name="Normal 5 4 4 2" xfId="10005" xr:uid="{00000000-0005-0000-0000-0000E9230000}"/>
    <cellStyle name="Normal 5 4 4 2 2" xfId="18811" xr:uid="{1EE214A4-9681-40B8-8EFB-04DC2DEAE021}"/>
    <cellStyle name="Normal 5 4 4 3" xfId="8403" xr:uid="{00000000-0005-0000-0000-0000EA230000}"/>
    <cellStyle name="Normal 5 4 4 3 2" xfId="17212" xr:uid="{61BD5753-4C14-4043-B5C1-85CB3EC70863}"/>
    <cellStyle name="Normal 5 4 4 4" xfId="11615" xr:uid="{00000000-0005-0000-0000-0000EB230000}"/>
    <cellStyle name="Normal 5 4 4 4 2" xfId="20358" xr:uid="{E028F41C-3A44-46DF-ADC5-D4B1C1C8A66C}"/>
    <cellStyle name="Normal 5 4 4 5" xfId="13222" xr:uid="{00000000-0005-0000-0000-0000EC230000}"/>
    <cellStyle name="Normal 5 4 4 5 2" xfId="21958" xr:uid="{4F4DA43A-963E-41E9-AE9B-BEC40D9BB2B7}"/>
    <cellStyle name="Normal 5 4 4 6" xfId="15452" xr:uid="{A2F44428-7BCF-4AC6-B387-33C24CFE76FE}"/>
    <cellStyle name="Normal 5 4 5" xfId="10002" xr:uid="{00000000-0005-0000-0000-0000ED230000}"/>
    <cellStyle name="Normal 5 4 5 2" xfId="18808" xr:uid="{8D81016D-F34B-47EF-B3FD-E763D3C1E451}"/>
    <cellStyle name="Normal 5 4 6" xfId="8400" xr:uid="{00000000-0005-0000-0000-0000EE230000}"/>
    <cellStyle name="Normal 5 4 6 2" xfId="17209" xr:uid="{244AD9A3-5893-4B22-86F2-02555EA2F331}"/>
    <cellStyle name="Normal 5 4 7" xfId="11612" xr:uid="{00000000-0005-0000-0000-0000EF230000}"/>
    <cellStyle name="Normal 5 4 7 2" xfId="20355" xr:uid="{376D01FC-ECCF-46EE-9928-D500EA5B8250}"/>
    <cellStyle name="Normal 5 4 8" xfId="13219" xr:uid="{00000000-0005-0000-0000-0000F0230000}"/>
    <cellStyle name="Normal 5 4 8 2" xfId="21955" xr:uid="{BBADF0F0-6E9A-47A4-8F77-BA519C417D0A}"/>
    <cellStyle name="Normal 5 4 9" xfId="15449" xr:uid="{2AA88897-364A-470A-A427-997E39C2600B}"/>
    <cellStyle name="Normal 5 5" xfId="3338" xr:uid="{00000000-0005-0000-0000-0000F1230000}"/>
    <cellStyle name="Normal 5 6" xfId="3296" xr:uid="{00000000-0005-0000-0000-0000F2230000}"/>
    <cellStyle name="Normal 5 6 2" xfId="10457" xr:uid="{00000000-0005-0000-0000-0000F3230000}"/>
    <cellStyle name="Normal 5 7" xfId="5806" xr:uid="{00000000-0005-0000-0000-0000F4230000}"/>
    <cellStyle name="Normal 5 8" xfId="10610" xr:uid="{00000000-0005-0000-0000-0000F5230000}"/>
    <cellStyle name="Normal 5 8 2" xfId="19369" xr:uid="{CD145240-AB10-4FA1-AD91-C395587E8C3C}"/>
    <cellStyle name="Normal 5 9" xfId="13942" xr:uid="{C703A068-FA83-45ED-A447-A013FDD0C0D7}"/>
    <cellStyle name="Normal 50" xfId="3339" xr:uid="{00000000-0005-0000-0000-0000F6230000}"/>
    <cellStyle name="Normal 50 10" xfId="13223" xr:uid="{00000000-0005-0000-0000-0000F7230000}"/>
    <cellStyle name="Normal 50 10 2" xfId="21959" xr:uid="{70B998F0-B877-46BF-B484-5327F9EDC82B}"/>
    <cellStyle name="Normal 50 11" xfId="15453" xr:uid="{5566A1E7-F6A0-4FCC-87DA-A38A0619056F}"/>
    <cellStyle name="Normal 50 2" xfId="3340" xr:uid="{00000000-0005-0000-0000-0000F8230000}"/>
    <cellStyle name="Normal 50 2 2" xfId="3341" xr:uid="{00000000-0005-0000-0000-0000F9230000}"/>
    <cellStyle name="Normal 50 2 2 2" xfId="10008" xr:uid="{00000000-0005-0000-0000-0000FA230000}"/>
    <cellStyle name="Normal 50 2 2 2 2" xfId="18814" xr:uid="{5BCC0530-84E3-4195-89F4-59B8CEC4C618}"/>
    <cellStyle name="Normal 50 2 2 3" xfId="8406" xr:uid="{00000000-0005-0000-0000-0000FB230000}"/>
    <cellStyle name="Normal 50 2 2 3 2" xfId="17215" xr:uid="{97FD809E-E893-46E6-A746-048D0E9B531D}"/>
    <cellStyle name="Normal 50 2 2 4" xfId="11618" xr:uid="{00000000-0005-0000-0000-0000FC230000}"/>
    <cellStyle name="Normal 50 2 2 4 2" xfId="20361" xr:uid="{76E8E75B-7C81-4319-AEC4-238AC16D10AA}"/>
    <cellStyle name="Normal 50 2 2 5" xfId="13225" xr:uid="{00000000-0005-0000-0000-0000FD230000}"/>
    <cellStyle name="Normal 50 2 2 5 2" xfId="21961" xr:uid="{9BD42FF1-FCA8-4A89-B2E6-5C5C3AB623BB}"/>
    <cellStyle name="Normal 50 2 2 6" xfId="15455" xr:uid="{A0E91FD1-0512-4E09-A991-D8626F5D45CD}"/>
    <cellStyle name="Normal 50 2 3" xfId="3342" xr:uid="{00000000-0005-0000-0000-0000FE230000}"/>
    <cellStyle name="Normal 50 2 3 2" xfId="10009" xr:uid="{00000000-0005-0000-0000-0000FF230000}"/>
    <cellStyle name="Normal 50 2 3 2 2" xfId="18815" xr:uid="{1D5AA3CB-BB76-4E18-ACE6-70AD58C06656}"/>
    <cellStyle name="Normal 50 2 3 3" xfId="8407" xr:uid="{00000000-0005-0000-0000-000000240000}"/>
    <cellStyle name="Normal 50 2 3 3 2" xfId="17216" xr:uid="{C07B53F4-446F-4C4A-8A0F-DF06BECC7B8F}"/>
    <cellStyle name="Normal 50 2 3 4" xfId="11619" xr:uid="{00000000-0005-0000-0000-000001240000}"/>
    <cellStyle name="Normal 50 2 3 4 2" xfId="20362" xr:uid="{9DAA2E63-DAEA-4158-B89B-5B75A26DA336}"/>
    <cellStyle name="Normal 50 2 3 5" xfId="13226" xr:uid="{00000000-0005-0000-0000-000002240000}"/>
    <cellStyle name="Normal 50 2 3 5 2" xfId="21962" xr:uid="{BBC31E5F-B035-4736-A7DB-85EA4FE0ADB2}"/>
    <cellStyle name="Normal 50 2 3 6" xfId="15456" xr:uid="{3B14152F-C4A7-425F-BF3C-CA0C576C103A}"/>
    <cellStyle name="Normal 50 2 4" xfId="3343" xr:uid="{00000000-0005-0000-0000-000003240000}"/>
    <cellStyle name="Normal 50 2 4 2" xfId="10010" xr:uid="{00000000-0005-0000-0000-000004240000}"/>
    <cellStyle name="Normal 50 2 4 2 2" xfId="18816" xr:uid="{9BD0C7DA-91A7-4C02-B401-DCB9C005AB8E}"/>
    <cellStyle name="Normal 50 2 4 3" xfId="8408" xr:uid="{00000000-0005-0000-0000-000005240000}"/>
    <cellStyle name="Normal 50 2 4 3 2" xfId="17217" xr:uid="{B12B807F-9A8A-4E67-9046-FC928F8622D0}"/>
    <cellStyle name="Normal 50 2 4 4" xfId="11620" xr:uid="{00000000-0005-0000-0000-000006240000}"/>
    <cellStyle name="Normal 50 2 4 4 2" xfId="20363" xr:uid="{2C86F700-CBA7-4552-B7FD-5A8A1F3AA7B0}"/>
    <cellStyle name="Normal 50 2 4 5" xfId="13227" xr:uid="{00000000-0005-0000-0000-000007240000}"/>
    <cellStyle name="Normal 50 2 4 5 2" xfId="21963" xr:uid="{E5A0B865-72B8-4B46-B53C-175DE5541C72}"/>
    <cellStyle name="Normal 50 2 4 6" xfId="15457" xr:uid="{49A8B2E1-2BB5-451B-819F-8A13B21A8B67}"/>
    <cellStyle name="Normal 50 2 5" xfId="10007" xr:uid="{00000000-0005-0000-0000-000008240000}"/>
    <cellStyle name="Normal 50 2 5 2" xfId="18813" xr:uid="{C487B8B8-CC0D-4030-ADA7-03E725803AF4}"/>
    <cellStyle name="Normal 50 2 6" xfId="8405" xr:uid="{00000000-0005-0000-0000-000009240000}"/>
    <cellStyle name="Normal 50 2 6 2" xfId="17214" xr:uid="{71338C72-9E05-4CB6-AF03-EC06B8107000}"/>
    <cellStyle name="Normal 50 2 7" xfId="11617" xr:uid="{00000000-0005-0000-0000-00000A240000}"/>
    <cellStyle name="Normal 50 2 7 2" xfId="20360" xr:uid="{D7BF3FCE-47ED-4B7A-8341-886892B27304}"/>
    <cellStyle name="Normal 50 2 8" xfId="13224" xr:uid="{00000000-0005-0000-0000-00000B240000}"/>
    <cellStyle name="Normal 50 2 8 2" xfId="21960" xr:uid="{1DFE4B30-6B60-4E6F-83FD-C4F82C9BE547}"/>
    <cellStyle name="Normal 50 2 9" xfId="15454" xr:uid="{48CFD9C6-C91A-4953-8A7D-5F23AB15D100}"/>
    <cellStyle name="Normal 50 3" xfId="3344" xr:uid="{00000000-0005-0000-0000-00000C240000}"/>
    <cellStyle name="Normal 50 3 2" xfId="3345" xr:uid="{00000000-0005-0000-0000-00000D240000}"/>
    <cellStyle name="Normal 50 3 2 2" xfId="10012" xr:uid="{00000000-0005-0000-0000-00000E240000}"/>
    <cellStyle name="Normal 50 3 2 2 2" xfId="18818" xr:uid="{52D7AE5C-E194-4F62-AC95-A4B92908336B}"/>
    <cellStyle name="Normal 50 3 2 3" xfId="8410" xr:uid="{00000000-0005-0000-0000-00000F240000}"/>
    <cellStyle name="Normal 50 3 2 3 2" xfId="17219" xr:uid="{0324DAF3-068D-4D74-A4C7-482CB79A896A}"/>
    <cellStyle name="Normal 50 3 2 4" xfId="11622" xr:uid="{00000000-0005-0000-0000-000010240000}"/>
    <cellStyle name="Normal 50 3 2 4 2" xfId="20365" xr:uid="{71B67083-FE9F-4E3A-9D02-A95F4CDD7781}"/>
    <cellStyle name="Normal 50 3 2 5" xfId="13229" xr:uid="{00000000-0005-0000-0000-000011240000}"/>
    <cellStyle name="Normal 50 3 2 5 2" xfId="21965" xr:uid="{F0231788-A0A9-467F-94DA-1562D8077A13}"/>
    <cellStyle name="Normal 50 3 2 6" xfId="15459" xr:uid="{C322A3C2-D632-4D0D-A3DF-FAFABBDD3E4D}"/>
    <cellStyle name="Normal 50 3 3" xfId="3346" xr:uid="{00000000-0005-0000-0000-000012240000}"/>
    <cellStyle name="Normal 50 3 3 2" xfId="10013" xr:uid="{00000000-0005-0000-0000-000013240000}"/>
    <cellStyle name="Normal 50 3 3 2 2" xfId="18819" xr:uid="{F8AC9D08-010E-4355-8089-E9AB6A9C9802}"/>
    <cellStyle name="Normal 50 3 3 3" xfId="8411" xr:uid="{00000000-0005-0000-0000-000014240000}"/>
    <cellStyle name="Normal 50 3 3 3 2" xfId="17220" xr:uid="{BE23A776-58ED-4493-96E2-C4D5A30E0049}"/>
    <cellStyle name="Normal 50 3 3 4" xfId="11623" xr:uid="{00000000-0005-0000-0000-000015240000}"/>
    <cellStyle name="Normal 50 3 3 4 2" xfId="20366" xr:uid="{C841FB94-6AB2-44A8-8336-7F28DD77FEFF}"/>
    <cellStyle name="Normal 50 3 3 5" xfId="13230" xr:uid="{00000000-0005-0000-0000-000016240000}"/>
    <cellStyle name="Normal 50 3 3 5 2" xfId="21966" xr:uid="{7165BFA7-6749-476A-BAA9-23E6BE5F07A6}"/>
    <cellStyle name="Normal 50 3 3 6" xfId="15460" xr:uid="{C65B90D4-BBDA-42B3-965C-13665544C2F0}"/>
    <cellStyle name="Normal 50 3 4" xfId="3347" xr:uid="{00000000-0005-0000-0000-000017240000}"/>
    <cellStyle name="Normal 50 3 4 2" xfId="10014" xr:uid="{00000000-0005-0000-0000-000018240000}"/>
    <cellStyle name="Normal 50 3 4 2 2" xfId="18820" xr:uid="{465B9BB5-B8A9-412C-93B4-E0430F69D8F8}"/>
    <cellStyle name="Normal 50 3 4 3" xfId="8412" xr:uid="{00000000-0005-0000-0000-000019240000}"/>
    <cellStyle name="Normal 50 3 4 3 2" xfId="17221" xr:uid="{AB223828-BAE7-4D9F-92D0-C59D274F6EB2}"/>
    <cellStyle name="Normal 50 3 4 4" xfId="11624" xr:uid="{00000000-0005-0000-0000-00001A240000}"/>
    <cellStyle name="Normal 50 3 4 4 2" xfId="20367" xr:uid="{52D3B85A-3B1E-4CB6-8F4F-51755B91BFC3}"/>
    <cellStyle name="Normal 50 3 4 5" xfId="13231" xr:uid="{00000000-0005-0000-0000-00001B240000}"/>
    <cellStyle name="Normal 50 3 4 5 2" xfId="21967" xr:uid="{8352FC5C-E9B1-4BD7-A37D-1443598D8037}"/>
    <cellStyle name="Normal 50 3 4 6" xfId="15461" xr:uid="{CC04063F-02AA-42D8-9D12-BDC6E4C7091F}"/>
    <cellStyle name="Normal 50 3 5" xfId="10011" xr:uid="{00000000-0005-0000-0000-00001C240000}"/>
    <cellStyle name="Normal 50 3 5 2" xfId="18817" xr:uid="{7D0453F5-97BC-4ABC-8BCB-D92F70FFBFD6}"/>
    <cellStyle name="Normal 50 3 6" xfId="8409" xr:uid="{00000000-0005-0000-0000-00001D240000}"/>
    <cellStyle name="Normal 50 3 6 2" xfId="17218" xr:uid="{0C7C618A-CA3A-467C-8EC1-844BDAFFA225}"/>
    <cellStyle name="Normal 50 3 7" xfId="11621" xr:uid="{00000000-0005-0000-0000-00001E240000}"/>
    <cellStyle name="Normal 50 3 7 2" xfId="20364" xr:uid="{79C6286D-67E6-4A48-B02A-96D087D2E136}"/>
    <cellStyle name="Normal 50 3 8" xfId="13228" xr:uid="{00000000-0005-0000-0000-00001F240000}"/>
    <cellStyle name="Normal 50 3 8 2" xfId="21964" xr:uid="{4970701D-1949-47EB-8DCA-3FED10D5CFAE}"/>
    <cellStyle name="Normal 50 3 9" xfId="15458" xr:uid="{39B31483-B233-4B45-8269-75609EEB8313}"/>
    <cellStyle name="Normal 50 4" xfId="3348" xr:uid="{00000000-0005-0000-0000-000020240000}"/>
    <cellStyle name="Normal 50 4 2" xfId="10015" xr:uid="{00000000-0005-0000-0000-000021240000}"/>
    <cellStyle name="Normal 50 4 2 2" xfId="18821" xr:uid="{DCAE179D-6A5A-4EF7-9B89-6509612A413E}"/>
    <cellStyle name="Normal 50 4 3" xfId="8413" xr:uid="{00000000-0005-0000-0000-000022240000}"/>
    <cellStyle name="Normal 50 4 3 2" xfId="17222" xr:uid="{C6E50434-3811-459B-810C-62FCE6D9EA0F}"/>
    <cellStyle name="Normal 50 4 4" xfId="11625" xr:uid="{00000000-0005-0000-0000-000023240000}"/>
    <cellStyle name="Normal 50 4 4 2" xfId="20368" xr:uid="{C7E8FC70-7C39-4FA8-A3BA-99EB7D177FC2}"/>
    <cellStyle name="Normal 50 4 5" xfId="13232" xr:uid="{00000000-0005-0000-0000-000024240000}"/>
    <cellStyle name="Normal 50 4 5 2" xfId="21968" xr:uid="{779C4179-5156-4DBC-9E08-BEF4C1C69B49}"/>
    <cellStyle name="Normal 50 4 6" xfId="15462" xr:uid="{F88D3F3E-E9DB-4FFA-9391-78D4D460AF11}"/>
    <cellStyle name="Normal 50 5" xfId="3349" xr:uid="{00000000-0005-0000-0000-000025240000}"/>
    <cellStyle name="Normal 50 5 2" xfId="10016" xr:uid="{00000000-0005-0000-0000-000026240000}"/>
    <cellStyle name="Normal 50 5 2 2" xfId="18822" xr:uid="{2194E5D7-7E1E-4A31-A20E-E6B6BB81332D}"/>
    <cellStyle name="Normal 50 5 3" xfId="8414" xr:uid="{00000000-0005-0000-0000-000027240000}"/>
    <cellStyle name="Normal 50 5 3 2" xfId="17223" xr:uid="{BACA43EC-C4F6-45D5-BEC3-E86653963EF1}"/>
    <cellStyle name="Normal 50 5 4" xfId="11626" xr:uid="{00000000-0005-0000-0000-000028240000}"/>
    <cellStyle name="Normal 50 5 4 2" xfId="20369" xr:uid="{C2F37F3A-8BC5-4000-B7FD-6BC629AF6CC8}"/>
    <cellStyle name="Normal 50 5 5" xfId="13233" xr:uid="{00000000-0005-0000-0000-000029240000}"/>
    <cellStyle name="Normal 50 5 5 2" xfId="21969" xr:uid="{8E62114C-78D9-4D62-9CCE-5A52F59D001C}"/>
    <cellStyle name="Normal 50 5 6" xfId="15463" xr:uid="{296995C1-CE22-4489-B496-F9671EAD5693}"/>
    <cellStyle name="Normal 50 6" xfId="3350" xr:uid="{00000000-0005-0000-0000-00002A240000}"/>
    <cellStyle name="Normal 50 6 2" xfId="10017" xr:uid="{00000000-0005-0000-0000-00002B240000}"/>
    <cellStyle name="Normal 50 6 2 2" xfId="18823" xr:uid="{CE30C46F-332B-40E8-BD95-2AAE1F928750}"/>
    <cellStyle name="Normal 50 6 3" xfId="8415" xr:uid="{00000000-0005-0000-0000-00002C240000}"/>
    <cellStyle name="Normal 50 6 3 2" xfId="17224" xr:uid="{E5AA69A0-4D10-46BE-A815-11F0451AE6D6}"/>
    <cellStyle name="Normal 50 6 4" xfId="11627" xr:uid="{00000000-0005-0000-0000-00002D240000}"/>
    <cellStyle name="Normal 50 6 4 2" xfId="20370" xr:uid="{28494B54-5182-4AE3-99B7-2D01C835F985}"/>
    <cellStyle name="Normal 50 6 5" xfId="13234" xr:uid="{00000000-0005-0000-0000-00002E240000}"/>
    <cellStyle name="Normal 50 6 5 2" xfId="21970" xr:uid="{859D3981-B7F9-4491-BC31-F5AC0223071C}"/>
    <cellStyle name="Normal 50 6 6" xfId="15464" xr:uid="{C827391C-D831-4987-979C-ACD65BF8B342}"/>
    <cellStyle name="Normal 50 7" xfId="10006" xr:uid="{00000000-0005-0000-0000-00002F240000}"/>
    <cellStyle name="Normal 50 7 2" xfId="18812" xr:uid="{318B9598-947A-4F12-9A43-13EFC317AD32}"/>
    <cellStyle name="Normal 50 8" xfId="8404" xr:uid="{00000000-0005-0000-0000-000030240000}"/>
    <cellStyle name="Normal 50 8 2" xfId="17213" xr:uid="{6AFA7DD2-B94B-416E-8394-171C648090C0}"/>
    <cellStyle name="Normal 50 9" xfId="11616" xr:uid="{00000000-0005-0000-0000-000031240000}"/>
    <cellStyle name="Normal 50 9 2" xfId="20359" xr:uid="{70632040-6F53-465D-A910-745528BC49BF}"/>
    <cellStyle name="Normal 51" xfId="3351" xr:uid="{00000000-0005-0000-0000-000032240000}"/>
    <cellStyle name="Normal 51 10" xfId="13235" xr:uid="{00000000-0005-0000-0000-000033240000}"/>
    <cellStyle name="Normal 51 10 2" xfId="21971" xr:uid="{97B253B0-C7DE-4C34-AAA5-D9F54C1BB5ED}"/>
    <cellStyle name="Normal 51 11" xfId="15465" xr:uid="{04062FAD-4718-4690-B8A8-F6B3E98FAFA5}"/>
    <cellStyle name="Normal 51 2" xfId="3352" xr:uid="{00000000-0005-0000-0000-000034240000}"/>
    <cellStyle name="Normal 51 2 2" xfId="3353" xr:uid="{00000000-0005-0000-0000-000035240000}"/>
    <cellStyle name="Normal 51 2 2 2" xfId="10020" xr:uid="{00000000-0005-0000-0000-000036240000}"/>
    <cellStyle name="Normal 51 2 2 2 2" xfId="18826" xr:uid="{11CC37F0-A77E-459C-BB30-40F5276A267B}"/>
    <cellStyle name="Normal 51 2 2 3" xfId="8418" xr:uid="{00000000-0005-0000-0000-000037240000}"/>
    <cellStyle name="Normal 51 2 2 3 2" xfId="17227" xr:uid="{3A2BEEE7-6F83-450F-80A5-ED9F6F5A0CB6}"/>
    <cellStyle name="Normal 51 2 2 4" xfId="11630" xr:uid="{00000000-0005-0000-0000-000038240000}"/>
    <cellStyle name="Normal 51 2 2 4 2" xfId="20373" xr:uid="{9064743F-8019-4122-9E49-A270144B9A98}"/>
    <cellStyle name="Normal 51 2 2 5" xfId="13237" xr:uid="{00000000-0005-0000-0000-000039240000}"/>
    <cellStyle name="Normal 51 2 2 5 2" xfId="21973" xr:uid="{40C3195B-72FB-4B37-8A7E-CD18E63890BB}"/>
    <cellStyle name="Normal 51 2 2 6" xfId="15467" xr:uid="{B1399BC5-DDC4-4CC5-86B4-FE988FBDB510}"/>
    <cellStyle name="Normal 51 2 3" xfId="3354" xr:uid="{00000000-0005-0000-0000-00003A240000}"/>
    <cellStyle name="Normal 51 2 3 2" xfId="10021" xr:uid="{00000000-0005-0000-0000-00003B240000}"/>
    <cellStyle name="Normal 51 2 3 2 2" xfId="18827" xr:uid="{CFD1387D-2B9B-4BDE-8976-4244797CEEED}"/>
    <cellStyle name="Normal 51 2 3 3" xfId="8419" xr:uid="{00000000-0005-0000-0000-00003C240000}"/>
    <cellStyle name="Normal 51 2 3 3 2" xfId="17228" xr:uid="{8E6E07AC-4A71-48C6-82BD-F54E80B0ABB6}"/>
    <cellStyle name="Normal 51 2 3 4" xfId="11631" xr:uid="{00000000-0005-0000-0000-00003D240000}"/>
    <cellStyle name="Normal 51 2 3 4 2" xfId="20374" xr:uid="{B9091E6A-3FD7-4D5E-9223-DFA3383CC608}"/>
    <cellStyle name="Normal 51 2 3 5" xfId="13238" xr:uid="{00000000-0005-0000-0000-00003E240000}"/>
    <cellStyle name="Normal 51 2 3 5 2" xfId="21974" xr:uid="{5C6E572B-7A2F-47AD-80DE-80796DE1B7E1}"/>
    <cellStyle name="Normal 51 2 3 6" xfId="15468" xr:uid="{07D1E211-D153-4A38-9506-4612666543CC}"/>
    <cellStyle name="Normal 51 2 4" xfId="3355" xr:uid="{00000000-0005-0000-0000-00003F240000}"/>
    <cellStyle name="Normal 51 2 4 2" xfId="10022" xr:uid="{00000000-0005-0000-0000-000040240000}"/>
    <cellStyle name="Normal 51 2 4 2 2" xfId="18828" xr:uid="{561D7BEA-A55B-4B29-BC16-7248F5B9D30D}"/>
    <cellStyle name="Normal 51 2 4 3" xfId="8420" xr:uid="{00000000-0005-0000-0000-000041240000}"/>
    <cellStyle name="Normal 51 2 4 3 2" xfId="17229" xr:uid="{F265F9C4-8884-4E76-A58C-784B53C321B6}"/>
    <cellStyle name="Normal 51 2 4 4" xfId="11632" xr:uid="{00000000-0005-0000-0000-000042240000}"/>
    <cellStyle name="Normal 51 2 4 4 2" xfId="20375" xr:uid="{95F64EA2-B52E-4594-A1B4-21865BA9A20B}"/>
    <cellStyle name="Normal 51 2 4 5" xfId="13239" xr:uid="{00000000-0005-0000-0000-000043240000}"/>
    <cellStyle name="Normal 51 2 4 5 2" xfId="21975" xr:uid="{6F02C701-82E7-486C-95A1-D581E9E3AF7A}"/>
    <cellStyle name="Normal 51 2 4 6" xfId="15469" xr:uid="{92DD31E8-606F-4DA9-ACDD-DCA42B873728}"/>
    <cellStyle name="Normal 51 2 5" xfId="10019" xr:uid="{00000000-0005-0000-0000-000044240000}"/>
    <cellStyle name="Normal 51 2 5 2" xfId="18825" xr:uid="{5874BF6C-2916-470B-A060-AFE4769610D1}"/>
    <cellStyle name="Normal 51 2 6" xfId="8417" xr:uid="{00000000-0005-0000-0000-000045240000}"/>
    <cellStyle name="Normal 51 2 6 2" xfId="17226" xr:uid="{1FC25E3C-CDAD-4E60-BF9F-561C73F3C182}"/>
    <cellStyle name="Normal 51 2 7" xfId="11629" xr:uid="{00000000-0005-0000-0000-000046240000}"/>
    <cellStyle name="Normal 51 2 7 2" xfId="20372" xr:uid="{A966B180-BCE7-4828-8F1E-C0D762F9AE2F}"/>
    <cellStyle name="Normal 51 2 8" xfId="13236" xr:uid="{00000000-0005-0000-0000-000047240000}"/>
    <cellStyle name="Normal 51 2 8 2" xfId="21972" xr:uid="{A23EAA81-8DCC-42C1-B9DA-E89EB0179A2B}"/>
    <cellStyle name="Normal 51 2 9" xfId="15466" xr:uid="{77C6B9AA-59DD-47DB-936E-7F024AA4C54F}"/>
    <cellStyle name="Normal 51 3" xfId="3356" xr:uid="{00000000-0005-0000-0000-000048240000}"/>
    <cellStyle name="Normal 51 3 2" xfId="3357" xr:uid="{00000000-0005-0000-0000-000049240000}"/>
    <cellStyle name="Normal 51 3 2 2" xfId="10024" xr:uid="{00000000-0005-0000-0000-00004A240000}"/>
    <cellStyle name="Normal 51 3 2 2 2" xfId="18830" xr:uid="{F5A84AB5-6933-464A-BB06-2BBC37E53138}"/>
    <cellStyle name="Normal 51 3 2 3" xfId="8422" xr:uid="{00000000-0005-0000-0000-00004B240000}"/>
    <cellStyle name="Normal 51 3 2 3 2" xfId="17231" xr:uid="{C82BEEC0-9457-45D4-A09C-C64A46623503}"/>
    <cellStyle name="Normal 51 3 2 4" xfId="11634" xr:uid="{00000000-0005-0000-0000-00004C240000}"/>
    <cellStyle name="Normal 51 3 2 4 2" xfId="20377" xr:uid="{31C38C7D-FB64-47B1-9578-A1628D34B5EF}"/>
    <cellStyle name="Normal 51 3 2 5" xfId="13241" xr:uid="{00000000-0005-0000-0000-00004D240000}"/>
    <cellStyle name="Normal 51 3 2 5 2" xfId="21977" xr:uid="{6040DCCD-D0F5-4DF3-8E5B-11F4D5FD1AEE}"/>
    <cellStyle name="Normal 51 3 2 6" xfId="15471" xr:uid="{2A37C807-2FE2-4CC6-A17E-820F5634D2EC}"/>
    <cellStyle name="Normal 51 3 3" xfId="3358" xr:uid="{00000000-0005-0000-0000-00004E240000}"/>
    <cellStyle name="Normal 51 3 3 2" xfId="10025" xr:uid="{00000000-0005-0000-0000-00004F240000}"/>
    <cellStyle name="Normal 51 3 3 2 2" xfId="18831" xr:uid="{415356E9-1B4C-47BB-A625-D681EC660396}"/>
    <cellStyle name="Normal 51 3 3 3" xfId="8423" xr:uid="{00000000-0005-0000-0000-000050240000}"/>
    <cellStyle name="Normal 51 3 3 3 2" xfId="17232" xr:uid="{6B0E0148-8A34-4E5C-A4FA-A4573EF4CEDC}"/>
    <cellStyle name="Normal 51 3 3 4" xfId="11635" xr:uid="{00000000-0005-0000-0000-000051240000}"/>
    <cellStyle name="Normal 51 3 3 4 2" xfId="20378" xr:uid="{4A5C36A3-39C6-4CD6-A096-1CC82F624255}"/>
    <cellStyle name="Normal 51 3 3 5" xfId="13242" xr:uid="{00000000-0005-0000-0000-000052240000}"/>
    <cellStyle name="Normal 51 3 3 5 2" xfId="21978" xr:uid="{147A4D70-A87D-4FF3-9E45-350713C0BF83}"/>
    <cellStyle name="Normal 51 3 3 6" xfId="15472" xr:uid="{D310F7E4-6057-43F9-87AA-B298140558AF}"/>
    <cellStyle name="Normal 51 3 4" xfId="3359" xr:uid="{00000000-0005-0000-0000-000053240000}"/>
    <cellStyle name="Normal 51 3 4 2" xfId="10026" xr:uid="{00000000-0005-0000-0000-000054240000}"/>
    <cellStyle name="Normal 51 3 4 2 2" xfId="18832" xr:uid="{49CF6A11-0E2C-455A-ABC4-87089C9ED71B}"/>
    <cellStyle name="Normal 51 3 4 3" xfId="8424" xr:uid="{00000000-0005-0000-0000-000055240000}"/>
    <cellStyle name="Normal 51 3 4 3 2" xfId="17233" xr:uid="{1DD8A95E-4045-4D42-89CA-EFBBEF8AEA04}"/>
    <cellStyle name="Normal 51 3 4 4" xfId="11636" xr:uid="{00000000-0005-0000-0000-000056240000}"/>
    <cellStyle name="Normal 51 3 4 4 2" xfId="20379" xr:uid="{9DF9A6EB-62FC-4FA9-A198-1D785E9372F8}"/>
    <cellStyle name="Normal 51 3 4 5" xfId="13243" xr:uid="{00000000-0005-0000-0000-000057240000}"/>
    <cellStyle name="Normal 51 3 4 5 2" xfId="21979" xr:uid="{AFA9F3AA-C173-4881-961B-FEDE4BBE6951}"/>
    <cellStyle name="Normal 51 3 4 6" xfId="15473" xr:uid="{F9324738-B341-4C84-8B13-CD7492CBB61A}"/>
    <cellStyle name="Normal 51 3 5" xfId="10023" xr:uid="{00000000-0005-0000-0000-000058240000}"/>
    <cellStyle name="Normal 51 3 5 2" xfId="18829" xr:uid="{28C2505D-9B5D-441C-9C05-3D47FBF7165F}"/>
    <cellStyle name="Normal 51 3 6" xfId="8421" xr:uid="{00000000-0005-0000-0000-000059240000}"/>
    <cellStyle name="Normal 51 3 6 2" xfId="17230" xr:uid="{CCC2179F-9128-42D5-9B9D-8CC99866D4B0}"/>
    <cellStyle name="Normal 51 3 7" xfId="11633" xr:uid="{00000000-0005-0000-0000-00005A240000}"/>
    <cellStyle name="Normal 51 3 7 2" xfId="20376" xr:uid="{92210B88-E014-481F-90CC-458D7357EBA8}"/>
    <cellStyle name="Normal 51 3 8" xfId="13240" xr:uid="{00000000-0005-0000-0000-00005B240000}"/>
    <cellStyle name="Normal 51 3 8 2" xfId="21976" xr:uid="{8D4FBCA4-5EC2-41E0-B627-4FB8FFF1B35D}"/>
    <cellStyle name="Normal 51 3 9" xfId="15470" xr:uid="{7C901409-2A72-4BAE-AED3-62FA28847740}"/>
    <cellStyle name="Normal 51 4" xfId="3360" xr:uid="{00000000-0005-0000-0000-00005C240000}"/>
    <cellStyle name="Normal 51 4 2" xfId="10027" xr:uid="{00000000-0005-0000-0000-00005D240000}"/>
    <cellStyle name="Normal 51 4 2 2" xfId="18833" xr:uid="{A35CA5F3-DC1A-4B6D-890A-6629526011F0}"/>
    <cellStyle name="Normal 51 4 3" xfId="8425" xr:uid="{00000000-0005-0000-0000-00005E240000}"/>
    <cellStyle name="Normal 51 4 3 2" xfId="17234" xr:uid="{777DBB98-2DE0-4C6C-994C-90E6E5ADDEFA}"/>
    <cellStyle name="Normal 51 4 4" xfId="11637" xr:uid="{00000000-0005-0000-0000-00005F240000}"/>
    <cellStyle name="Normal 51 4 4 2" xfId="20380" xr:uid="{99BD6D2C-2083-443C-8900-BF60433277CE}"/>
    <cellStyle name="Normal 51 4 5" xfId="13244" xr:uid="{00000000-0005-0000-0000-000060240000}"/>
    <cellStyle name="Normal 51 4 5 2" xfId="21980" xr:uid="{0622D276-A42A-4790-87DB-222EDEAFFFF5}"/>
    <cellStyle name="Normal 51 4 6" xfId="15474" xr:uid="{C9BA2276-8E7B-4855-B917-276CC69535AE}"/>
    <cellStyle name="Normal 51 5" xfId="3361" xr:uid="{00000000-0005-0000-0000-000061240000}"/>
    <cellStyle name="Normal 51 5 2" xfId="10028" xr:uid="{00000000-0005-0000-0000-000062240000}"/>
    <cellStyle name="Normal 51 5 2 2" xfId="18834" xr:uid="{3C9CF72D-8558-485F-8CC9-CFF0285FC1F8}"/>
    <cellStyle name="Normal 51 5 3" xfId="8426" xr:uid="{00000000-0005-0000-0000-000063240000}"/>
    <cellStyle name="Normal 51 5 3 2" xfId="17235" xr:uid="{574D9314-919E-4F79-A321-98B97AC6BB1D}"/>
    <cellStyle name="Normal 51 5 4" xfId="11638" xr:uid="{00000000-0005-0000-0000-000064240000}"/>
    <cellStyle name="Normal 51 5 4 2" xfId="20381" xr:uid="{C174F04D-9EE2-4324-9A69-EF579C735196}"/>
    <cellStyle name="Normal 51 5 5" xfId="13245" xr:uid="{00000000-0005-0000-0000-000065240000}"/>
    <cellStyle name="Normal 51 5 5 2" xfId="21981" xr:uid="{8362D766-1B6A-47EB-9758-219ECBB57BAE}"/>
    <cellStyle name="Normal 51 5 6" xfId="15475" xr:uid="{BADE9B90-73DB-49E0-ABF0-962922EF2E42}"/>
    <cellStyle name="Normal 51 6" xfId="3362" xr:uid="{00000000-0005-0000-0000-000066240000}"/>
    <cellStyle name="Normal 51 6 2" xfId="10029" xr:uid="{00000000-0005-0000-0000-000067240000}"/>
    <cellStyle name="Normal 51 6 2 2" xfId="18835" xr:uid="{0F9DAA36-D459-4F91-B84F-2114FBA7F12A}"/>
    <cellStyle name="Normal 51 6 3" xfId="8427" xr:uid="{00000000-0005-0000-0000-000068240000}"/>
    <cellStyle name="Normal 51 6 3 2" xfId="17236" xr:uid="{2A6CC057-BC02-4CC4-A02B-23B3C13968EB}"/>
    <cellStyle name="Normal 51 6 4" xfId="11639" xr:uid="{00000000-0005-0000-0000-000069240000}"/>
    <cellStyle name="Normal 51 6 4 2" xfId="20382" xr:uid="{1C5D970D-B545-4638-922E-FACE4CD66F24}"/>
    <cellStyle name="Normal 51 6 5" xfId="13246" xr:uid="{00000000-0005-0000-0000-00006A240000}"/>
    <cellStyle name="Normal 51 6 5 2" xfId="21982" xr:uid="{F226AF1E-96D1-48A5-9606-F23F44B2CEC1}"/>
    <cellStyle name="Normal 51 6 6" xfId="15476" xr:uid="{314FE499-5167-4588-AC1C-6185F484C5F0}"/>
    <cellStyle name="Normal 51 7" xfId="10018" xr:uid="{00000000-0005-0000-0000-00006B240000}"/>
    <cellStyle name="Normal 51 7 2" xfId="18824" xr:uid="{A8E47A07-1CA8-4360-8F41-30BC642C1E25}"/>
    <cellStyle name="Normal 51 8" xfId="8416" xr:uid="{00000000-0005-0000-0000-00006C240000}"/>
    <cellStyle name="Normal 51 8 2" xfId="17225" xr:uid="{664FC124-1329-479B-85CF-D4021346A4D3}"/>
    <cellStyle name="Normal 51 9" xfId="11628" xr:uid="{00000000-0005-0000-0000-00006D240000}"/>
    <cellStyle name="Normal 51 9 2" xfId="20371" xr:uid="{50E2F4DA-5F2A-4281-B97D-D430B0CA58F6}"/>
    <cellStyle name="Normal 52" xfId="3363" xr:uid="{00000000-0005-0000-0000-00006E240000}"/>
    <cellStyle name="Normal 52 10" xfId="13247" xr:uid="{00000000-0005-0000-0000-00006F240000}"/>
    <cellStyle name="Normal 52 10 2" xfId="21983" xr:uid="{55F6BB61-532E-45E4-BCE5-383EBEBB96F8}"/>
    <cellStyle name="Normal 52 11" xfId="15477" xr:uid="{9C736893-C5FF-4BFB-B3EC-B42E99CF161D}"/>
    <cellStyle name="Normal 52 2" xfId="3364" xr:uid="{00000000-0005-0000-0000-000070240000}"/>
    <cellStyle name="Normal 52 2 2" xfId="3365" xr:uid="{00000000-0005-0000-0000-000071240000}"/>
    <cellStyle name="Normal 52 2 2 2" xfId="10032" xr:uid="{00000000-0005-0000-0000-000072240000}"/>
    <cellStyle name="Normal 52 2 2 2 2" xfId="18838" xr:uid="{F62BC20C-57D7-44EA-A36C-CE299D047A8F}"/>
    <cellStyle name="Normal 52 2 2 3" xfId="8430" xr:uid="{00000000-0005-0000-0000-000073240000}"/>
    <cellStyle name="Normal 52 2 2 3 2" xfId="17239" xr:uid="{31AEC05D-9AD1-47A8-A0E6-B25FBFD5F421}"/>
    <cellStyle name="Normal 52 2 2 4" xfId="11642" xr:uid="{00000000-0005-0000-0000-000074240000}"/>
    <cellStyle name="Normal 52 2 2 4 2" xfId="20385" xr:uid="{70B5C908-5EDC-4C4E-B03F-EBA14E706B22}"/>
    <cellStyle name="Normal 52 2 2 5" xfId="13249" xr:uid="{00000000-0005-0000-0000-000075240000}"/>
    <cellStyle name="Normal 52 2 2 5 2" xfId="21985" xr:uid="{75696211-0381-44CD-82C7-1AD7A5C97895}"/>
    <cellStyle name="Normal 52 2 2 6" xfId="15479" xr:uid="{30A2B362-B38E-4D7A-8438-B2D5AF7C5675}"/>
    <cellStyle name="Normal 52 2 3" xfId="3366" xr:uid="{00000000-0005-0000-0000-000076240000}"/>
    <cellStyle name="Normal 52 2 3 2" xfId="10033" xr:uid="{00000000-0005-0000-0000-000077240000}"/>
    <cellStyle name="Normal 52 2 3 2 2" xfId="18839" xr:uid="{682D1426-73C5-4627-852A-F58C2BE3912D}"/>
    <cellStyle name="Normal 52 2 3 3" xfId="8431" xr:uid="{00000000-0005-0000-0000-000078240000}"/>
    <cellStyle name="Normal 52 2 3 3 2" xfId="17240" xr:uid="{E4987729-D47B-42FB-B64A-00785DAF693B}"/>
    <cellStyle name="Normal 52 2 3 4" xfId="11643" xr:uid="{00000000-0005-0000-0000-000079240000}"/>
    <cellStyle name="Normal 52 2 3 4 2" xfId="20386" xr:uid="{FF70B3C6-BC67-446F-9E50-B34D36E5EE8F}"/>
    <cellStyle name="Normal 52 2 3 5" xfId="13250" xr:uid="{00000000-0005-0000-0000-00007A240000}"/>
    <cellStyle name="Normal 52 2 3 5 2" xfId="21986" xr:uid="{3D95880C-B9A7-482C-B1FE-D48AD2F939F0}"/>
    <cellStyle name="Normal 52 2 3 6" xfId="15480" xr:uid="{9F73ACC3-6BD6-4DFA-8EF7-0F441911C1AB}"/>
    <cellStyle name="Normal 52 2 4" xfId="3367" xr:uid="{00000000-0005-0000-0000-00007B240000}"/>
    <cellStyle name="Normal 52 2 4 2" xfId="10034" xr:uid="{00000000-0005-0000-0000-00007C240000}"/>
    <cellStyle name="Normal 52 2 4 2 2" xfId="18840" xr:uid="{F10A07DE-0713-4700-8D36-EB73893477C3}"/>
    <cellStyle name="Normal 52 2 4 3" xfId="8432" xr:uid="{00000000-0005-0000-0000-00007D240000}"/>
    <cellStyle name="Normal 52 2 4 3 2" xfId="17241" xr:uid="{C7C9A5CD-3BCC-46B7-A52E-25C24CEEC036}"/>
    <cellStyle name="Normal 52 2 4 4" xfId="11644" xr:uid="{00000000-0005-0000-0000-00007E240000}"/>
    <cellStyle name="Normal 52 2 4 4 2" xfId="20387" xr:uid="{624057EA-7E89-454B-9A88-2301916D287E}"/>
    <cellStyle name="Normal 52 2 4 5" xfId="13251" xr:uid="{00000000-0005-0000-0000-00007F240000}"/>
    <cellStyle name="Normal 52 2 4 5 2" xfId="21987" xr:uid="{95EA69E2-FB22-4EA1-A6A0-A6BFB227AB22}"/>
    <cellStyle name="Normal 52 2 4 6" xfId="15481" xr:uid="{1A50F199-12D1-4F34-B056-8B39078629E8}"/>
    <cellStyle name="Normal 52 2 5" xfId="10031" xr:uid="{00000000-0005-0000-0000-000080240000}"/>
    <cellStyle name="Normal 52 2 5 2" xfId="18837" xr:uid="{51D3C965-E07E-4B24-9AE9-A4A12234CC75}"/>
    <cellStyle name="Normal 52 2 6" xfId="8429" xr:uid="{00000000-0005-0000-0000-000081240000}"/>
    <cellStyle name="Normal 52 2 6 2" xfId="17238" xr:uid="{2164654D-5F6B-400B-914A-30CB69582018}"/>
    <cellStyle name="Normal 52 2 7" xfId="11641" xr:uid="{00000000-0005-0000-0000-000082240000}"/>
    <cellStyle name="Normal 52 2 7 2" xfId="20384" xr:uid="{B380C3D9-0DED-4D26-B321-95DD69C8A44A}"/>
    <cellStyle name="Normal 52 2 8" xfId="13248" xr:uid="{00000000-0005-0000-0000-000083240000}"/>
    <cellStyle name="Normal 52 2 8 2" xfId="21984" xr:uid="{E511A6A6-C8B7-45F9-8BC0-59CA478E4CB9}"/>
    <cellStyle name="Normal 52 2 9" xfId="15478" xr:uid="{B4E0FFA2-096A-4EFE-88F3-F431CAEC7426}"/>
    <cellStyle name="Normal 52 3" xfId="3368" xr:uid="{00000000-0005-0000-0000-000084240000}"/>
    <cellStyle name="Normal 52 3 2" xfId="3369" xr:uid="{00000000-0005-0000-0000-000085240000}"/>
    <cellStyle name="Normal 52 3 2 2" xfId="10036" xr:uid="{00000000-0005-0000-0000-000086240000}"/>
    <cellStyle name="Normal 52 3 2 2 2" xfId="18842" xr:uid="{6477B9E2-6421-4FBE-A53E-F406616EC716}"/>
    <cellStyle name="Normal 52 3 2 3" xfId="8434" xr:uid="{00000000-0005-0000-0000-000087240000}"/>
    <cellStyle name="Normal 52 3 2 3 2" xfId="17243" xr:uid="{3ADFB117-79F8-42B4-93AE-1CA30CEA3A1D}"/>
    <cellStyle name="Normal 52 3 2 4" xfId="11646" xr:uid="{00000000-0005-0000-0000-000088240000}"/>
    <cellStyle name="Normal 52 3 2 4 2" xfId="20389" xr:uid="{EA1BC7CC-1A3B-4005-9E4A-550A87AED61F}"/>
    <cellStyle name="Normal 52 3 2 5" xfId="13253" xr:uid="{00000000-0005-0000-0000-000089240000}"/>
    <cellStyle name="Normal 52 3 2 5 2" xfId="21989" xr:uid="{40B9BB79-1066-47D0-B1D5-2AE44ADE2120}"/>
    <cellStyle name="Normal 52 3 2 6" xfId="15483" xr:uid="{0DC58082-9722-44B9-BC6D-C7F96CE5AACF}"/>
    <cellStyle name="Normal 52 3 3" xfId="3370" xr:uid="{00000000-0005-0000-0000-00008A240000}"/>
    <cellStyle name="Normal 52 3 3 2" xfId="10037" xr:uid="{00000000-0005-0000-0000-00008B240000}"/>
    <cellStyle name="Normal 52 3 3 2 2" xfId="18843" xr:uid="{30226C48-DF03-4ADB-BDED-5525F0D3D6D2}"/>
    <cellStyle name="Normal 52 3 3 3" xfId="8435" xr:uid="{00000000-0005-0000-0000-00008C240000}"/>
    <cellStyle name="Normal 52 3 3 3 2" xfId="17244" xr:uid="{7FC7685B-2274-4274-AF68-4235FCC0C9DC}"/>
    <cellStyle name="Normal 52 3 3 4" xfId="11647" xr:uid="{00000000-0005-0000-0000-00008D240000}"/>
    <cellStyle name="Normal 52 3 3 4 2" xfId="20390" xr:uid="{EB172C9C-54BC-4DE3-A87B-B3FB0C85E9F6}"/>
    <cellStyle name="Normal 52 3 3 5" xfId="13254" xr:uid="{00000000-0005-0000-0000-00008E240000}"/>
    <cellStyle name="Normal 52 3 3 5 2" xfId="21990" xr:uid="{C5C4E8D0-8AAB-4C60-86C0-59632DD59E2A}"/>
    <cellStyle name="Normal 52 3 3 6" xfId="15484" xr:uid="{2239BCFD-76B3-4CE8-B03F-8545539C8E28}"/>
    <cellStyle name="Normal 52 3 4" xfId="3371" xr:uid="{00000000-0005-0000-0000-00008F240000}"/>
    <cellStyle name="Normal 52 3 4 2" xfId="10038" xr:uid="{00000000-0005-0000-0000-000090240000}"/>
    <cellStyle name="Normal 52 3 4 2 2" xfId="18844" xr:uid="{7984B359-D0B7-42A2-8FB4-84D0B527AA97}"/>
    <cellStyle name="Normal 52 3 4 3" xfId="8436" xr:uid="{00000000-0005-0000-0000-000091240000}"/>
    <cellStyle name="Normal 52 3 4 3 2" xfId="17245" xr:uid="{BCEC308E-77CB-43B0-9B9F-68875390932B}"/>
    <cellStyle name="Normal 52 3 4 4" xfId="11648" xr:uid="{00000000-0005-0000-0000-000092240000}"/>
    <cellStyle name="Normal 52 3 4 4 2" xfId="20391" xr:uid="{0A49338F-651F-4C6C-B77D-666861EF3E0C}"/>
    <cellStyle name="Normal 52 3 4 5" xfId="13255" xr:uid="{00000000-0005-0000-0000-000093240000}"/>
    <cellStyle name="Normal 52 3 4 5 2" xfId="21991" xr:uid="{B6B3331A-F2F3-4EB5-9DF4-ED7E09111228}"/>
    <cellStyle name="Normal 52 3 4 6" xfId="15485" xr:uid="{EB434F46-6FF8-4A02-8290-C8FEBCFA5B09}"/>
    <cellStyle name="Normal 52 3 5" xfId="10035" xr:uid="{00000000-0005-0000-0000-000094240000}"/>
    <cellStyle name="Normal 52 3 5 2" xfId="18841" xr:uid="{EEFAC7C1-4221-46C9-8C53-EBF8F745531D}"/>
    <cellStyle name="Normal 52 3 6" xfId="8433" xr:uid="{00000000-0005-0000-0000-000095240000}"/>
    <cellStyle name="Normal 52 3 6 2" xfId="17242" xr:uid="{EC528050-295B-476F-96CA-0DE24C33DFD8}"/>
    <cellStyle name="Normal 52 3 7" xfId="11645" xr:uid="{00000000-0005-0000-0000-000096240000}"/>
    <cellStyle name="Normal 52 3 7 2" xfId="20388" xr:uid="{A6EAB65D-FB8E-4B1B-B0FE-437DFE2F1873}"/>
    <cellStyle name="Normal 52 3 8" xfId="13252" xr:uid="{00000000-0005-0000-0000-000097240000}"/>
    <cellStyle name="Normal 52 3 8 2" xfId="21988" xr:uid="{36F704D3-1D22-4309-A31B-47565C47577B}"/>
    <cellStyle name="Normal 52 3 9" xfId="15482" xr:uid="{E3E44818-1A86-4F37-A507-7409E0D6F7C4}"/>
    <cellStyle name="Normal 52 4" xfId="3372" xr:uid="{00000000-0005-0000-0000-000098240000}"/>
    <cellStyle name="Normal 52 4 2" xfId="10039" xr:uid="{00000000-0005-0000-0000-000099240000}"/>
    <cellStyle name="Normal 52 4 2 2" xfId="18845" xr:uid="{B126D559-C1EC-4F96-BB1B-1D8A6C16B718}"/>
    <cellStyle name="Normal 52 4 3" xfId="8437" xr:uid="{00000000-0005-0000-0000-00009A240000}"/>
    <cellStyle name="Normal 52 4 3 2" xfId="17246" xr:uid="{C06E6BCD-5892-4537-85E0-61E44F37AA27}"/>
    <cellStyle name="Normal 52 4 4" xfId="11649" xr:uid="{00000000-0005-0000-0000-00009B240000}"/>
    <cellStyle name="Normal 52 4 4 2" xfId="20392" xr:uid="{349ECC5B-4A84-4629-8E43-BD27D76E19D5}"/>
    <cellStyle name="Normal 52 4 5" xfId="13256" xr:uid="{00000000-0005-0000-0000-00009C240000}"/>
    <cellStyle name="Normal 52 4 5 2" xfId="21992" xr:uid="{AB67C13C-1BD4-48BD-9571-33E92BB1A914}"/>
    <cellStyle name="Normal 52 4 6" xfId="15486" xr:uid="{4FD8B469-3DAB-4CB2-A51A-CB8303E087B1}"/>
    <cellStyle name="Normal 52 5" xfId="3373" xr:uid="{00000000-0005-0000-0000-00009D240000}"/>
    <cellStyle name="Normal 52 5 2" xfId="10040" xr:uid="{00000000-0005-0000-0000-00009E240000}"/>
    <cellStyle name="Normal 52 5 2 2" xfId="18846" xr:uid="{EEBBC364-C4F6-421F-9969-C36209FB0D23}"/>
    <cellStyle name="Normal 52 5 3" xfId="8438" xr:uid="{00000000-0005-0000-0000-00009F240000}"/>
    <cellStyle name="Normal 52 5 3 2" xfId="17247" xr:uid="{9EB0A9AC-24AA-41F7-B4C3-F84E8A7709A9}"/>
    <cellStyle name="Normal 52 5 4" xfId="11650" xr:uid="{00000000-0005-0000-0000-0000A0240000}"/>
    <cellStyle name="Normal 52 5 4 2" xfId="20393" xr:uid="{9FDE7996-AD82-437D-A0B6-CC69D7C42547}"/>
    <cellStyle name="Normal 52 5 5" xfId="13257" xr:uid="{00000000-0005-0000-0000-0000A1240000}"/>
    <cellStyle name="Normal 52 5 5 2" xfId="21993" xr:uid="{5C96A59B-8FB2-47B3-AD53-D2BBA8C5D692}"/>
    <cellStyle name="Normal 52 5 6" xfId="15487" xr:uid="{15EF5C1B-053F-4E9E-9527-35E6611778A1}"/>
    <cellStyle name="Normal 52 6" xfId="3374" xr:uid="{00000000-0005-0000-0000-0000A2240000}"/>
    <cellStyle name="Normal 52 6 2" xfId="10041" xr:uid="{00000000-0005-0000-0000-0000A3240000}"/>
    <cellStyle name="Normal 52 6 2 2" xfId="18847" xr:uid="{FF55F32F-396C-455F-89E1-A233854F5A85}"/>
    <cellStyle name="Normal 52 6 3" xfId="8439" xr:uid="{00000000-0005-0000-0000-0000A4240000}"/>
    <cellStyle name="Normal 52 6 3 2" xfId="17248" xr:uid="{36D69DAA-435A-4A32-8984-CAFD53A134D7}"/>
    <cellStyle name="Normal 52 6 4" xfId="11651" xr:uid="{00000000-0005-0000-0000-0000A5240000}"/>
    <cellStyle name="Normal 52 6 4 2" xfId="20394" xr:uid="{9E0E6718-B886-415E-BB4C-137B88E6BA92}"/>
    <cellStyle name="Normal 52 6 5" xfId="13258" xr:uid="{00000000-0005-0000-0000-0000A6240000}"/>
    <cellStyle name="Normal 52 6 5 2" xfId="21994" xr:uid="{4AF91F9A-0EB7-4C70-B774-E3311452A3AF}"/>
    <cellStyle name="Normal 52 6 6" xfId="15488" xr:uid="{D1B76F79-4DDF-4D2A-A92F-0802603155AA}"/>
    <cellStyle name="Normal 52 7" xfId="10030" xr:uid="{00000000-0005-0000-0000-0000A7240000}"/>
    <cellStyle name="Normal 52 7 2" xfId="18836" xr:uid="{8773D12D-0DCE-43F4-9837-5D958F3A51F1}"/>
    <cellStyle name="Normal 52 8" xfId="8428" xr:uid="{00000000-0005-0000-0000-0000A8240000}"/>
    <cellStyle name="Normal 52 8 2" xfId="17237" xr:uid="{0ECA1247-2AD6-4A48-8D04-A4C32CFD6DFB}"/>
    <cellStyle name="Normal 52 9" xfId="11640" xr:uid="{00000000-0005-0000-0000-0000A9240000}"/>
    <cellStyle name="Normal 52 9 2" xfId="20383" xr:uid="{B1709597-C502-4412-A7F5-16E239BFB8CC}"/>
    <cellStyle name="Normal 53" xfId="3375" xr:uid="{00000000-0005-0000-0000-0000AA240000}"/>
    <cellStyle name="Normal 53 10" xfId="13259" xr:uid="{00000000-0005-0000-0000-0000AB240000}"/>
    <cellStyle name="Normal 53 10 2" xfId="21995" xr:uid="{E9C511EB-860C-43CE-85E9-199FAFFD3BA9}"/>
    <cellStyle name="Normal 53 11" xfId="15489" xr:uid="{B9B9B33A-010E-4A43-9124-818C461DED57}"/>
    <cellStyle name="Normal 53 2" xfId="3376" xr:uid="{00000000-0005-0000-0000-0000AC240000}"/>
    <cellStyle name="Normal 53 2 2" xfId="3377" xr:uid="{00000000-0005-0000-0000-0000AD240000}"/>
    <cellStyle name="Normal 53 2 2 2" xfId="10044" xr:uid="{00000000-0005-0000-0000-0000AE240000}"/>
    <cellStyle name="Normal 53 2 2 2 2" xfId="18850" xr:uid="{CD23486F-BA73-488F-A68F-98614C24F73C}"/>
    <cellStyle name="Normal 53 2 2 3" xfId="8442" xr:uid="{00000000-0005-0000-0000-0000AF240000}"/>
    <cellStyle name="Normal 53 2 2 3 2" xfId="17251" xr:uid="{84604B76-9AC9-415C-AB28-FD1A78DFF210}"/>
    <cellStyle name="Normal 53 2 2 4" xfId="11654" xr:uid="{00000000-0005-0000-0000-0000B0240000}"/>
    <cellStyle name="Normal 53 2 2 4 2" xfId="20397" xr:uid="{108692E9-7A29-4192-9008-717BBDC213C3}"/>
    <cellStyle name="Normal 53 2 2 5" xfId="13261" xr:uid="{00000000-0005-0000-0000-0000B1240000}"/>
    <cellStyle name="Normal 53 2 2 5 2" xfId="21997" xr:uid="{4BDCC4A0-D3FA-4671-9327-08FADB1FCD97}"/>
    <cellStyle name="Normal 53 2 2 6" xfId="15491" xr:uid="{B7D46245-01E1-47D9-9DF1-94C6914D11A3}"/>
    <cellStyle name="Normal 53 2 3" xfId="3378" xr:uid="{00000000-0005-0000-0000-0000B2240000}"/>
    <cellStyle name="Normal 53 2 3 2" xfId="10045" xr:uid="{00000000-0005-0000-0000-0000B3240000}"/>
    <cellStyle name="Normal 53 2 3 2 2" xfId="18851" xr:uid="{9DA974D4-B28A-4373-B00A-3CF85C8CE414}"/>
    <cellStyle name="Normal 53 2 3 3" xfId="8443" xr:uid="{00000000-0005-0000-0000-0000B4240000}"/>
    <cellStyle name="Normal 53 2 3 3 2" xfId="17252" xr:uid="{4164E58B-3ADD-4EC6-ABB8-0A08C02F63C9}"/>
    <cellStyle name="Normal 53 2 3 4" xfId="11655" xr:uid="{00000000-0005-0000-0000-0000B5240000}"/>
    <cellStyle name="Normal 53 2 3 4 2" xfId="20398" xr:uid="{ACD3191F-314B-496E-8A4B-8AF66232E81A}"/>
    <cellStyle name="Normal 53 2 3 5" xfId="13262" xr:uid="{00000000-0005-0000-0000-0000B6240000}"/>
    <cellStyle name="Normal 53 2 3 5 2" xfId="21998" xr:uid="{049A0867-C4F0-4EDB-B903-D369D8EB1B5C}"/>
    <cellStyle name="Normal 53 2 3 6" xfId="15492" xr:uid="{DA5CEF80-3ACE-4E25-95E1-163B1FD6AD77}"/>
    <cellStyle name="Normal 53 2 4" xfId="3379" xr:uid="{00000000-0005-0000-0000-0000B7240000}"/>
    <cellStyle name="Normal 53 2 4 2" xfId="10046" xr:uid="{00000000-0005-0000-0000-0000B8240000}"/>
    <cellStyle name="Normal 53 2 4 2 2" xfId="18852" xr:uid="{8F85602D-A808-4F21-9B88-105E2CB3DED8}"/>
    <cellStyle name="Normal 53 2 4 3" xfId="8444" xr:uid="{00000000-0005-0000-0000-0000B9240000}"/>
    <cellStyle name="Normal 53 2 4 3 2" xfId="17253" xr:uid="{A108E156-1B09-4E43-B968-7380C6500245}"/>
    <cellStyle name="Normal 53 2 4 4" xfId="11656" xr:uid="{00000000-0005-0000-0000-0000BA240000}"/>
    <cellStyle name="Normal 53 2 4 4 2" xfId="20399" xr:uid="{30A03C19-AD77-4F84-A71A-61EE9C84A478}"/>
    <cellStyle name="Normal 53 2 4 5" xfId="13263" xr:uid="{00000000-0005-0000-0000-0000BB240000}"/>
    <cellStyle name="Normal 53 2 4 5 2" xfId="21999" xr:uid="{5E93449E-8DFD-4C04-80AA-0FEEE4A54418}"/>
    <cellStyle name="Normal 53 2 4 6" xfId="15493" xr:uid="{7AC47E54-9060-42B6-B6DA-65ECEAE5E4CC}"/>
    <cellStyle name="Normal 53 2 5" xfId="10043" xr:uid="{00000000-0005-0000-0000-0000BC240000}"/>
    <cellStyle name="Normal 53 2 5 2" xfId="18849" xr:uid="{30607E78-EA4B-4C6D-86D7-48C8E0A890A6}"/>
    <cellStyle name="Normal 53 2 6" xfId="8441" xr:uid="{00000000-0005-0000-0000-0000BD240000}"/>
    <cellStyle name="Normal 53 2 6 2" xfId="17250" xr:uid="{4914934A-6B08-41EB-9044-321A85F48A6C}"/>
    <cellStyle name="Normal 53 2 7" xfId="11653" xr:uid="{00000000-0005-0000-0000-0000BE240000}"/>
    <cellStyle name="Normal 53 2 7 2" xfId="20396" xr:uid="{79D672CE-25DF-4467-ABF9-4537D9CA0FEC}"/>
    <cellStyle name="Normal 53 2 8" xfId="13260" xr:uid="{00000000-0005-0000-0000-0000BF240000}"/>
    <cellStyle name="Normal 53 2 8 2" xfId="21996" xr:uid="{97598A3B-0767-4FF1-BE23-7AF6BA4E9ADC}"/>
    <cellStyle name="Normal 53 2 9" xfId="15490" xr:uid="{644F85D5-79C1-4ABE-8E6A-B87473C3CFEB}"/>
    <cellStyle name="Normal 53 3" xfId="3380" xr:uid="{00000000-0005-0000-0000-0000C0240000}"/>
    <cellStyle name="Normal 53 3 2" xfId="3381" xr:uid="{00000000-0005-0000-0000-0000C1240000}"/>
    <cellStyle name="Normal 53 3 2 2" xfId="10048" xr:uid="{00000000-0005-0000-0000-0000C2240000}"/>
    <cellStyle name="Normal 53 3 2 2 2" xfId="18854" xr:uid="{E90CA1B6-DC6A-448B-9BA5-F31929B19F2A}"/>
    <cellStyle name="Normal 53 3 2 3" xfId="8446" xr:uid="{00000000-0005-0000-0000-0000C3240000}"/>
    <cellStyle name="Normal 53 3 2 3 2" xfId="17255" xr:uid="{BD6ADAE9-AC0A-408A-B1E0-A0369041F494}"/>
    <cellStyle name="Normal 53 3 2 4" xfId="11658" xr:uid="{00000000-0005-0000-0000-0000C4240000}"/>
    <cellStyle name="Normal 53 3 2 4 2" xfId="20401" xr:uid="{69EC689A-7B98-4BC4-A010-5D1F45F45C8D}"/>
    <cellStyle name="Normal 53 3 2 5" xfId="13265" xr:uid="{00000000-0005-0000-0000-0000C5240000}"/>
    <cellStyle name="Normal 53 3 2 5 2" xfId="22001" xr:uid="{FC916878-7794-48E0-8096-9BC065466C54}"/>
    <cellStyle name="Normal 53 3 2 6" xfId="15495" xr:uid="{FA5CE02D-CAD1-4979-A9C4-48CE1D824A21}"/>
    <cellStyle name="Normal 53 3 3" xfId="3382" xr:uid="{00000000-0005-0000-0000-0000C6240000}"/>
    <cellStyle name="Normal 53 3 3 2" xfId="10049" xr:uid="{00000000-0005-0000-0000-0000C7240000}"/>
    <cellStyle name="Normal 53 3 3 2 2" xfId="18855" xr:uid="{904365F0-15EC-4BEA-BC93-D9A3887DEB77}"/>
    <cellStyle name="Normal 53 3 3 3" xfId="8447" xr:uid="{00000000-0005-0000-0000-0000C8240000}"/>
    <cellStyle name="Normal 53 3 3 3 2" xfId="17256" xr:uid="{1775029C-E95A-4DBD-BE3B-2D725B2C88CC}"/>
    <cellStyle name="Normal 53 3 3 4" xfId="11659" xr:uid="{00000000-0005-0000-0000-0000C9240000}"/>
    <cellStyle name="Normal 53 3 3 4 2" xfId="20402" xr:uid="{83EFBED1-858D-4AD8-9DF3-D9EC3BF69082}"/>
    <cellStyle name="Normal 53 3 3 5" xfId="13266" xr:uid="{00000000-0005-0000-0000-0000CA240000}"/>
    <cellStyle name="Normal 53 3 3 5 2" xfId="22002" xr:uid="{666A23CA-5B18-46FA-82C0-6CFBA1AB5212}"/>
    <cellStyle name="Normal 53 3 3 6" xfId="15496" xr:uid="{8C68A8C4-BF15-475E-9FC5-98CB4B1292CF}"/>
    <cellStyle name="Normal 53 3 4" xfId="3383" xr:uid="{00000000-0005-0000-0000-0000CB240000}"/>
    <cellStyle name="Normal 53 3 4 2" xfId="10050" xr:uid="{00000000-0005-0000-0000-0000CC240000}"/>
    <cellStyle name="Normal 53 3 4 2 2" xfId="18856" xr:uid="{AC4B454A-39C9-4F05-BE76-D06EB5047EEE}"/>
    <cellStyle name="Normal 53 3 4 3" xfId="8448" xr:uid="{00000000-0005-0000-0000-0000CD240000}"/>
    <cellStyle name="Normal 53 3 4 3 2" xfId="17257" xr:uid="{B32972B3-6706-4B52-A518-63F5A7D7FB6B}"/>
    <cellStyle name="Normal 53 3 4 4" xfId="11660" xr:uid="{00000000-0005-0000-0000-0000CE240000}"/>
    <cellStyle name="Normal 53 3 4 4 2" xfId="20403" xr:uid="{CE69E141-EEB0-4D09-88F9-7A76FCEF8BF7}"/>
    <cellStyle name="Normal 53 3 4 5" xfId="13267" xr:uid="{00000000-0005-0000-0000-0000CF240000}"/>
    <cellStyle name="Normal 53 3 4 5 2" xfId="22003" xr:uid="{CCC27976-C104-4E3C-9F7C-6ABC9040122B}"/>
    <cellStyle name="Normal 53 3 4 6" xfId="15497" xr:uid="{1FC3D13B-1A5D-4C7C-9359-C75F8DFB7D4D}"/>
    <cellStyle name="Normal 53 3 5" xfId="10047" xr:uid="{00000000-0005-0000-0000-0000D0240000}"/>
    <cellStyle name="Normal 53 3 5 2" xfId="18853" xr:uid="{9E28BF6F-C176-4D57-A3B9-39DE91D4768B}"/>
    <cellStyle name="Normal 53 3 6" xfId="8445" xr:uid="{00000000-0005-0000-0000-0000D1240000}"/>
    <cellStyle name="Normal 53 3 6 2" xfId="17254" xr:uid="{0700ABE3-0F1A-41C9-A249-F1565E33D60A}"/>
    <cellStyle name="Normal 53 3 7" xfId="11657" xr:uid="{00000000-0005-0000-0000-0000D2240000}"/>
    <cellStyle name="Normal 53 3 7 2" xfId="20400" xr:uid="{9B240831-277E-4684-88F1-4A85ABA852CE}"/>
    <cellStyle name="Normal 53 3 8" xfId="13264" xr:uid="{00000000-0005-0000-0000-0000D3240000}"/>
    <cellStyle name="Normal 53 3 8 2" xfId="22000" xr:uid="{539672B8-381E-4C03-BFFB-7B5FB3443992}"/>
    <cellStyle name="Normal 53 3 9" xfId="15494" xr:uid="{D26FD69C-8AFE-43CC-81A9-AA3EB29EA208}"/>
    <cellStyle name="Normal 53 4" xfId="3384" xr:uid="{00000000-0005-0000-0000-0000D4240000}"/>
    <cellStyle name="Normal 53 4 2" xfId="10051" xr:uid="{00000000-0005-0000-0000-0000D5240000}"/>
    <cellStyle name="Normal 53 4 2 2" xfId="18857" xr:uid="{AFD188C5-8AF7-44D4-8050-1F7C470A73D8}"/>
    <cellStyle name="Normal 53 4 3" xfId="8449" xr:uid="{00000000-0005-0000-0000-0000D6240000}"/>
    <cellStyle name="Normal 53 4 3 2" xfId="17258" xr:uid="{5B3DF99B-C0FB-4DDE-BC9C-760E7B1CBE5A}"/>
    <cellStyle name="Normal 53 4 4" xfId="11661" xr:uid="{00000000-0005-0000-0000-0000D7240000}"/>
    <cellStyle name="Normal 53 4 4 2" xfId="20404" xr:uid="{2C6D9C3F-F416-42ED-91F2-FF5C54523B0A}"/>
    <cellStyle name="Normal 53 4 5" xfId="13268" xr:uid="{00000000-0005-0000-0000-0000D8240000}"/>
    <cellStyle name="Normal 53 4 5 2" xfId="22004" xr:uid="{5A40D27C-AB59-4133-A5BA-E791E6A70581}"/>
    <cellStyle name="Normal 53 4 6" xfId="15498" xr:uid="{6964084B-E896-426D-BF2E-36CDB289B7A7}"/>
    <cellStyle name="Normal 53 5" xfId="3385" xr:uid="{00000000-0005-0000-0000-0000D9240000}"/>
    <cellStyle name="Normal 53 5 2" xfId="10052" xr:uid="{00000000-0005-0000-0000-0000DA240000}"/>
    <cellStyle name="Normal 53 5 2 2" xfId="18858" xr:uid="{51727C1C-217B-4A03-8CB8-B868560B7853}"/>
    <cellStyle name="Normal 53 5 3" xfId="8450" xr:uid="{00000000-0005-0000-0000-0000DB240000}"/>
    <cellStyle name="Normal 53 5 3 2" xfId="17259" xr:uid="{D8E183F1-4107-4033-AE5E-AEDC4203F962}"/>
    <cellStyle name="Normal 53 5 4" xfId="11662" xr:uid="{00000000-0005-0000-0000-0000DC240000}"/>
    <cellStyle name="Normal 53 5 4 2" xfId="20405" xr:uid="{C7A9AA99-87DD-4B70-BF59-B40C18C2B7D0}"/>
    <cellStyle name="Normal 53 5 5" xfId="13269" xr:uid="{00000000-0005-0000-0000-0000DD240000}"/>
    <cellStyle name="Normal 53 5 5 2" xfId="22005" xr:uid="{B178CAC9-FDA8-4964-BA69-DE4BF239FC4C}"/>
    <cellStyle name="Normal 53 5 6" xfId="15499" xr:uid="{00163C2E-74B9-41D8-A550-024A7B081BCF}"/>
    <cellStyle name="Normal 53 6" xfId="3386" xr:uid="{00000000-0005-0000-0000-0000DE240000}"/>
    <cellStyle name="Normal 53 6 2" xfId="10053" xr:uid="{00000000-0005-0000-0000-0000DF240000}"/>
    <cellStyle name="Normal 53 6 2 2" xfId="18859" xr:uid="{6BF06AF9-A720-484D-96C7-566E5C122888}"/>
    <cellStyle name="Normal 53 6 3" xfId="8451" xr:uid="{00000000-0005-0000-0000-0000E0240000}"/>
    <cellStyle name="Normal 53 6 3 2" xfId="17260" xr:uid="{F533B0E3-43A3-4ED3-B4AC-426769D19FC4}"/>
    <cellStyle name="Normal 53 6 4" xfId="11663" xr:uid="{00000000-0005-0000-0000-0000E1240000}"/>
    <cellStyle name="Normal 53 6 4 2" xfId="20406" xr:uid="{B37EF5D9-558D-4856-B61D-E267A2A1F1E9}"/>
    <cellStyle name="Normal 53 6 5" xfId="13270" xr:uid="{00000000-0005-0000-0000-0000E2240000}"/>
    <cellStyle name="Normal 53 6 5 2" xfId="22006" xr:uid="{85789A6A-EE81-4321-B32A-5572484FD028}"/>
    <cellStyle name="Normal 53 6 6" xfId="15500" xr:uid="{7585A624-E3A1-4DE8-BB2B-ECE75D002B1C}"/>
    <cellStyle name="Normal 53 7" xfId="10042" xr:uid="{00000000-0005-0000-0000-0000E3240000}"/>
    <cellStyle name="Normal 53 7 2" xfId="18848" xr:uid="{0E9AD6D3-F0AE-4E74-915A-5516308F8AD3}"/>
    <cellStyle name="Normal 53 8" xfId="8440" xr:uid="{00000000-0005-0000-0000-0000E4240000}"/>
    <cellStyle name="Normal 53 8 2" xfId="17249" xr:uid="{49EF6115-B126-481B-9F28-75B75F864D7E}"/>
    <cellStyle name="Normal 53 9" xfId="11652" xr:uid="{00000000-0005-0000-0000-0000E5240000}"/>
    <cellStyle name="Normal 53 9 2" xfId="20395" xr:uid="{F8AB6BE9-222F-4681-9D63-74537C602F84}"/>
    <cellStyle name="Normal 54" xfId="3387" xr:uid="{00000000-0005-0000-0000-0000E6240000}"/>
    <cellStyle name="Normal 54 10" xfId="13271" xr:uid="{00000000-0005-0000-0000-0000E7240000}"/>
    <cellStyle name="Normal 54 10 2" xfId="22007" xr:uid="{281F10EB-3C52-4A35-A501-660D63ECC987}"/>
    <cellStyle name="Normal 54 11" xfId="15501" xr:uid="{8A552B29-A286-4647-929C-1760A6295E2A}"/>
    <cellStyle name="Normal 54 2" xfId="3388" xr:uid="{00000000-0005-0000-0000-0000E8240000}"/>
    <cellStyle name="Normal 54 2 2" xfId="3389" xr:uid="{00000000-0005-0000-0000-0000E9240000}"/>
    <cellStyle name="Normal 54 2 2 2" xfId="10056" xr:uid="{00000000-0005-0000-0000-0000EA240000}"/>
    <cellStyle name="Normal 54 2 2 2 2" xfId="18862" xr:uid="{0E2663D9-402B-4124-8A26-B0968598A129}"/>
    <cellStyle name="Normal 54 2 2 3" xfId="8454" xr:uid="{00000000-0005-0000-0000-0000EB240000}"/>
    <cellStyle name="Normal 54 2 2 3 2" xfId="17263" xr:uid="{F7BCE59F-1480-41C3-B4DD-5AAACD711ED3}"/>
    <cellStyle name="Normal 54 2 2 4" xfId="11666" xr:uid="{00000000-0005-0000-0000-0000EC240000}"/>
    <cellStyle name="Normal 54 2 2 4 2" xfId="20409" xr:uid="{4EC1B37C-9785-42B1-A6E5-6E059EBEF054}"/>
    <cellStyle name="Normal 54 2 2 5" xfId="13273" xr:uid="{00000000-0005-0000-0000-0000ED240000}"/>
    <cellStyle name="Normal 54 2 2 5 2" xfId="22009" xr:uid="{A1D8F5C1-3AAF-4A3F-94E5-47596015AC0C}"/>
    <cellStyle name="Normal 54 2 2 6" xfId="15503" xr:uid="{88A52206-EAA1-48FE-B8B4-1BA88955E04C}"/>
    <cellStyle name="Normal 54 2 3" xfId="3390" xr:uid="{00000000-0005-0000-0000-0000EE240000}"/>
    <cellStyle name="Normal 54 2 3 2" xfId="10057" xr:uid="{00000000-0005-0000-0000-0000EF240000}"/>
    <cellStyle name="Normal 54 2 3 2 2" xfId="18863" xr:uid="{1F5664C2-502E-471B-9253-8FB316D7D4B1}"/>
    <cellStyle name="Normal 54 2 3 3" xfId="8455" xr:uid="{00000000-0005-0000-0000-0000F0240000}"/>
    <cellStyle name="Normal 54 2 3 3 2" xfId="17264" xr:uid="{58B27156-3071-4113-8D11-45C91D27CCE9}"/>
    <cellStyle name="Normal 54 2 3 4" xfId="11667" xr:uid="{00000000-0005-0000-0000-0000F1240000}"/>
    <cellStyle name="Normal 54 2 3 4 2" xfId="20410" xr:uid="{DCBDF10A-1E66-4F06-9427-0EC146EB0BB7}"/>
    <cellStyle name="Normal 54 2 3 5" xfId="13274" xr:uid="{00000000-0005-0000-0000-0000F2240000}"/>
    <cellStyle name="Normal 54 2 3 5 2" xfId="22010" xr:uid="{299BAD78-45C5-42E3-9DC0-D118BDC0D971}"/>
    <cellStyle name="Normal 54 2 3 6" xfId="15504" xr:uid="{9B4C2817-A739-4931-A897-30804DD8BA0C}"/>
    <cellStyle name="Normal 54 2 4" xfId="3391" xr:uid="{00000000-0005-0000-0000-0000F3240000}"/>
    <cellStyle name="Normal 54 2 4 2" xfId="10058" xr:uid="{00000000-0005-0000-0000-0000F4240000}"/>
    <cellStyle name="Normal 54 2 4 2 2" xfId="18864" xr:uid="{1EC6AA9A-E86E-45EA-A337-1E563D85F74B}"/>
    <cellStyle name="Normal 54 2 4 3" xfId="8456" xr:uid="{00000000-0005-0000-0000-0000F5240000}"/>
    <cellStyle name="Normal 54 2 4 3 2" xfId="17265" xr:uid="{52A45469-7562-4419-9D81-9A7FADF01162}"/>
    <cellStyle name="Normal 54 2 4 4" xfId="11668" xr:uid="{00000000-0005-0000-0000-0000F6240000}"/>
    <cellStyle name="Normal 54 2 4 4 2" xfId="20411" xr:uid="{E4E43DA6-1688-4A48-AC01-20A0430AB120}"/>
    <cellStyle name="Normal 54 2 4 5" xfId="13275" xr:uid="{00000000-0005-0000-0000-0000F7240000}"/>
    <cellStyle name="Normal 54 2 4 5 2" xfId="22011" xr:uid="{B3FDE7C2-6F27-4F25-B501-BD3448793F0D}"/>
    <cellStyle name="Normal 54 2 4 6" xfId="15505" xr:uid="{296B880E-22CD-4FAB-8D0A-B42677F3A445}"/>
    <cellStyle name="Normal 54 2 5" xfId="10055" xr:uid="{00000000-0005-0000-0000-0000F8240000}"/>
    <cellStyle name="Normal 54 2 5 2" xfId="18861" xr:uid="{5F4318BB-B468-4572-A477-E60A2F49828B}"/>
    <cellStyle name="Normal 54 2 6" xfId="8453" xr:uid="{00000000-0005-0000-0000-0000F9240000}"/>
    <cellStyle name="Normal 54 2 6 2" xfId="17262" xr:uid="{92C56DEF-9E04-44DA-B392-BCD5CC7CFE1C}"/>
    <cellStyle name="Normal 54 2 7" xfId="11665" xr:uid="{00000000-0005-0000-0000-0000FA240000}"/>
    <cellStyle name="Normal 54 2 7 2" xfId="20408" xr:uid="{28CBBE65-7A0B-49FF-8E9D-BEDF6B9DCA30}"/>
    <cellStyle name="Normal 54 2 8" xfId="13272" xr:uid="{00000000-0005-0000-0000-0000FB240000}"/>
    <cellStyle name="Normal 54 2 8 2" xfId="22008" xr:uid="{40F86178-6CCF-4DFC-B1F0-094E3DB0E485}"/>
    <cellStyle name="Normal 54 2 9" xfId="15502" xr:uid="{C1872C1D-B9DC-4A62-8535-B1CFE7527B07}"/>
    <cellStyle name="Normal 54 3" xfId="3392" xr:uid="{00000000-0005-0000-0000-0000FC240000}"/>
    <cellStyle name="Normal 54 3 2" xfId="3393" xr:uid="{00000000-0005-0000-0000-0000FD240000}"/>
    <cellStyle name="Normal 54 3 2 2" xfId="10060" xr:uid="{00000000-0005-0000-0000-0000FE240000}"/>
    <cellStyle name="Normal 54 3 2 2 2" xfId="18866" xr:uid="{D49B6941-1C2D-438F-9C6E-106DBEAD814E}"/>
    <cellStyle name="Normal 54 3 2 3" xfId="8458" xr:uid="{00000000-0005-0000-0000-0000FF240000}"/>
    <cellStyle name="Normal 54 3 2 3 2" xfId="17267" xr:uid="{6F4F90F8-8692-4E7A-8440-3F397BF99871}"/>
    <cellStyle name="Normal 54 3 2 4" xfId="11670" xr:uid="{00000000-0005-0000-0000-000000250000}"/>
    <cellStyle name="Normal 54 3 2 4 2" xfId="20413" xr:uid="{32802AD7-CEDB-45BC-8CF8-E35FDD387B41}"/>
    <cellStyle name="Normal 54 3 2 5" xfId="13277" xr:uid="{00000000-0005-0000-0000-000001250000}"/>
    <cellStyle name="Normal 54 3 2 5 2" xfId="22013" xr:uid="{D3C8086E-DC70-44B4-929E-2D0706CC7D3B}"/>
    <cellStyle name="Normal 54 3 2 6" xfId="15507" xr:uid="{DFD4C0D4-83CB-4C7C-81B2-18231DFC6753}"/>
    <cellStyle name="Normal 54 3 3" xfId="3394" xr:uid="{00000000-0005-0000-0000-000002250000}"/>
    <cellStyle name="Normal 54 3 3 2" xfId="10061" xr:uid="{00000000-0005-0000-0000-000003250000}"/>
    <cellStyle name="Normal 54 3 3 2 2" xfId="18867" xr:uid="{45C85D32-9551-4644-B5BE-285100466EA5}"/>
    <cellStyle name="Normal 54 3 3 3" xfId="8459" xr:uid="{00000000-0005-0000-0000-000004250000}"/>
    <cellStyle name="Normal 54 3 3 3 2" xfId="17268" xr:uid="{4B78FFEB-ABC3-438F-A941-2A96F04EC91D}"/>
    <cellStyle name="Normal 54 3 3 4" xfId="11671" xr:uid="{00000000-0005-0000-0000-000005250000}"/>
    <cellStyle name="Normal 54 3 3 4 2" xfId="20414" xr:uid="{2CB97338-D540-41BD-B048-2B841457CE37}"/>
    <cellStyle name="Normal 54 3 3 5" xfId="13278" xr:uid="{00000000-0005-0000-0000-000006250000}"/>
    <cellStyle name="Normal 54 3 3 5 2" xfId="22014" xr:uid="{EF2B510D-15D3-43B6-83CA-48EA7274BBDE}"/>
    <cellStyle name="Normal 54 3 3 6" xfId="15508" xr:uid="{27C3F0F0-E712-4966-A93C-8E41A85BA5E5}"/>
    <cellStyle name="Normal 54 3 4" xfId="3395" xr:uid="{00000000-0005-0000-0000-000007250000}"/>
    <cellStyle name="Normal 54 3 4 2" xfId="10062" xr:uid="{00000000-0005-0000-0000-000008250000}"/>
    <cellStyle name="Normal 54 3 4 2 2" xfId="18868" xr:uid="{644B9990-4FBD-4D1A-8196-45AD751B8C83}"/>
    <cellStyle name="Normal 54 3 4 3" xfId="8460" xr:uid="{00000000-0005-0000-0000-000009250000}"/>
    <cellStyle name="Normal 54 3 4 3 2" xfId="17269" xr:uid="{2F6C1F86-B223-43E3-ADD1-5E5C3673294E}"/>
    <cellStyle name="Normal 54 3 4 4" xfId="11672" xr:uid="{00000000-0005-0000-0000-00000A250000}"/>
    <cellStyle name="Normal 54 3 4 4 2" xfId="20415" xr:uid="{5A2CFDEA-38A6-47AE-B362-F09DBB1C0613}"/>
    <cellStyle name="Normal 54 3 4 5" xfId="13279" xr:uid="{00000000-0005-0000-0000-00000B250000}"/>
    <cellStyle name="Normal 54 3 4 5 2" xfId="22015" xr:uid="{59F4CB18-1193-48CC-9A6A-41880929156D}"/>
    <cellStyle name="Normal 54 3 4 6" xfId="15509" xr:uid="{88B3B31A-44F1-4EDA-8523-2FCE33D8EFD9}"/>
    <cellStyle name="Normal 54 3 5" xfId="10059" xr:uid="{00000000-0005-0000-0000-00000C250000}"/>
    <cellStyle name="Normal 54 3 5 2" xfId="18865" xr:uid="{6660702F-E9E7-4D3F-B3BF-002EF2FC0AF0}"/>
    <cellStyle name="Normal 54 3 6" xfId="8457" xr:uid="{00000000-0005-0000-0000-00000D250000}"/>
    <cellStyle name="Normal 54 3 6 2" xfId="17266" xr:uid="{EE72CF6E-2859-44B2-B5BE-F572D77F5D73}"/>
    <cellStyle name="Normal 54 3 7" xfId="11669" xr:uid="{00000000-0005-0000-0000-00000E250000}"/>
    <cellStyle name="Normal 54 3 7 2" xfId="20412" xr:uid="{51FEBC2E-F6E3-495D-AAFF-8647838D7703}"/>
    <cellStyle name="Normal 54 3 8" xfId="13276" xr:uid="{00000000-0005-0000-0000-00000F250000}"/>
    <cellStyle name="Normal 54 3 8 2" xfId="22012" xr:uid="{25DE3C3F-DC92-4686-8D1A-5EAA02AB5BEA}"/>
    <cellStyle name="Normal 54 3 9" xfId="15506" xr:uid="{024387A9-9392-4B18-86A2-10D991C86E7A}"/>
    <cellStyle name="Normal 54 4" xfId="3396" xr:uid="{00000000-0005-0000-0000-000010250000}"/>
    <cellStyle name="Normal 54 4 2" xfId="10063" xr:uid="{00000000-0005-0000-0000-000011250000}"/>
    <cellStyle name="Normal 54 4 2 2" xfId="18869" xr:uid="{32625933-A231-49DB-9C28-E893251A89E4}"/>
    <cellStyle name="Normal 54 4 3" xfId="8461" xr:uid="{00000000-0005-0000-0000-000012250000}"/>
    <cellStyle name="Normal 54 4 3 2" xfId="17270" xr:uid="{C0BC399B-0F8C-4A1E-880D-9AD4C229ED65}"/>
    <cellStyle name="Normal 54 4 4" xfId="11673" xr:uid="{00000000-0005-0000-0000-000013250000}"/>
    <cellStyle name="Normal 54 4 4 2" xfId="20416" xr:uid="{5CC64308-61E2-4B59-A09A-8EC93314BF89}"/>
    <cellStyle name="Normal 54 4 5" xfId="13280" xr:uid="{00000000-0005-0000-0000-000014250000}"/>
    <cellStyle name="Normal 54 4 5 2" xfId="22016" xr:uid="{1384A731-0EB2-4F27-9438-83CD416959E1}"/>
    <cellStyle name="Normal 54 4 6" xfId="15510" xr:uid="{9DE1A473-3336-4ABF-864B-011A13B7E41D}"/>
    <cellStyle name="Normal 54 5" xfId="3397" xr:uid="{00000000-0005-0000-0000-000015250000}"/>
    <cellStyle name="Normal 54 5 2" xfId="10064" xr:uid="{00000000-0005-0000-0000-000016250000}"/>
    <cellStyle name="Normal 54 5 2 2" xfId="18870" xr:uid="{E71AEDE4-04C6-4222-94FA-E295407E005B}"/>
    <cellStyle name="Normal 54 5 3" xfId="8462" xr:uid="{00000000-0005-0000-0000-000017250000}"/>
    <cellStyle name="Normal 54 5 3 2" xfId="17271" xr:uid="{A1ED7D4D-FC06-4BFA-9443-57C0949534F4}"/>
    <cellStyle name="Normal 54 5 4" xfId="11674" xr:uid="{00000000-0005-0000-0000-000018250000}"/>
    <cellStyle name="Normal 54 5 4 2" xfId="20417" xr:uid="{4305E5EB-09E2-469F-8C37-0EA2014ED114}"/>
    <cellStyle name="Normal 54 5 5" xfId="13281" xr:uid="{00000000-0005-0000-0000-000019250000}"/>
    <cellStyle name="Normal 54 5 5 2" xfId="22017" xr:uid="{A436598E-7E32-49D8-B682-4670B91E2F98}"/>
    <cellStyle name="Normal 54 5 6" xfId="15511" xr:uid="{39D00E83-09CB-45E8-BCB8-0034713A49A9}"/>
    <cellStyle name="Normal 54 6" xfId="3398" xr:uid="{00000000-0005-0000-0000-00001A250000}"/>
    <cellStyle name="Normal 54 6 2" xfId="10065" xr:uid="{00000000-0005-0000-0000-00001B250000}"/>
    <cellStyle name="Normal 54 6 2 2" xfId="18871" xr:uid="{83457A28-B2B8-4D72-859C-4682432A5660}"/>
    <cellStyle name="Normal 54 6 3" xfId="8463" xr:uid="{00000000-0005-0000-0000-00001C250000}"/>
    <cellStyle name="Normal 54 6 3 2" xfId="17272" xr:uid="{D4EED94B-0076-4907-828D-300003A3272B}"/>
    <cellStyle name="Normal 54 6 4" xfId="11675" xr:uid="{00000000-0005-0000-0000-00001D250000}"/>
    <cellStyle name="Normal 54 6 4 2" xfId="20418" xr:uid="{81CCCD8D-28E8-40BE-A5C0-52FBCEE3A68B}"/>
    <cellStyle name="Normal 54 6 5" xfId="13282" xr:uid="{00000000-0005-0000-0000-00001E250000}"/>
    <cellStyle name="Normal 54 6 5 2" xfId="22018" xr:uid="{F5DC8FBD-9BEC-4C60-95D9-5F88C098E78F}"/>
    <cellStyle name="Normal 54 6 6" xfId="15512" xr:uid="{8385D316-1779-4F6A-B5D5-9792F0D5E22C}"/>
    <cellStyle name="Normal 54 7" xfId="10054" xr:uid="{00000000-0005-0000-0000-00001F250000}"/>
    <cellStyle name="Normal 54 7 2" xfId="18860" xr:uid="{3E5B0623-40FD-499A-8C6B-A5A8B5530FF1}"/>
    <cellStyle name="Normal 54 8" xfId="8452" xr:uid="{00000000-0005-0000-0000-000020250000}"/>
    <cellStyle name="Normal 54 8 2" xfId="17261" xr:uid="{9CE3C1EF-DB76-4B69-9127-EB470B3CE34F}"/>
    <cellStyle name="Normal 54 9" xfId="11664" xr:uid="{00000000-0005-0000-0000-000021250000}"/>
    <cellStyle name="Normal 54 9 2" xfId="20407" xr:uid="{A9E926B6-CA51-4409-8464-B4A9E19D215C}"/>
    <cellStyle name="Normal 55" xfId="3399" xr:uid="{00000000-0005-0000-0000-000022250000}"/>
    <cellStyle name="Normal 55 10" xfId="13283" xr:uid="{00000000-0005-0000-0000-000023250000}"/>
    <cellStyle name="Normal 55 10 2" xfId="22019" xr:uid="{25A59357-A24F-4B5A-8240-6E09151E2331}"/>
    <cellStyle name="Normal 55 11" xfId="15513" xr:uid="{D765D993-B08F-4C7A-993A-BC632716CFF5}"/>
    <cellStyle name="Normal 55 2" xfId="3400" xr:uid="{00000000-0005-0000-0000-000024250000}"/>
    <cellStyle name="Normal 55 2 2" xfId="3401" xr:uid="{00000000-0005-0000-0000-000025250000}"/>
    <cellStyle name="Normal 55 2 2 2" xfId="10068" xr:uid="{00000000-0005-0000-0000-000026250000}"/>
    <cellStyle name="Normal 55 2 2 2 2" xfId="18874" xr:uid="{9D0AFDEC-FD98-4F77-B30D-82BF9F157E86}"/>
    <cellStyle name="Normal 55 2 2 3" xfId="8466" xr:uid="{00000000-0005-0000-0000-000027250000}"/>
    <cellStyle name="Normal 55 2 2 3 2" xfId="17275" xr:uid="{4C384624-7E3B-476C-A158-D27FD3F07D72}"/>
    <cellStyle name="Normal 55 2 2 4" xfId="11678" xr:uid="{00000000-0005-0000-0000-000028250000}"/>
    <cellStyle name="Normal 55 2 2 4 2" xfId="20421" xr:uid="{CFFEB0D9-3FCF-408F-BEFD-328F464AF002}"/>
    <cellStyle name="Normal 55 2 2 5" xfId="13285" xr:uid="{00000000-0005-0000-0000-000029250000}"/>
    <cellStyle name="Normal 55 2 2 5 2" xfId="22021" xr:uid="{B09D4967-91A1-48EB-AFAD-50ED16DFB283}"/>
    <cellStyle name="Normal 55 2 2 6" xfId="15515" xr:uid="{D314067F-DCA4-4E18-BECF-3DAF777D7215}"/>
    <cellStyle name="Normal 55 2 3" xfId="3402" xr:uid="{00000000-0005-0000-0000-00002A250000}"/>
    <cellStyle name="Normal 55 2 3 2" xfId="10069" xr:uid="{00000000-0005-0000-0000-00002B250000}"/>
    <cellStyle name="Normal 55 2 3 2 2" xfId="18875" xr:uid="{CABCB261-5262-488C-A084-6A57837C582B}"/>
    <cellStyle name="Normal 55 2 3 3" xfId="8467" xr:uid="{00000000-0005-0000-0000-00002C250000}"/>
    <cellStyle name="Normal 55 2 3 3 2" xfId="17276" xr:uid="{1B54128E-8A49-4B01-858C-45D02439A835}"/>
    <cellStyle name="Normal 55 2 3 4" xfId="11679" xr:uid="{00000000-0005-0000-0000-00002D250000}"/>
    <cellStyle name="Normal 55 2 3 4 2" xfId="20422" xr:uid="{6A05FCF8-8891-47E7-95FA-5ED955DA9926}"/>
    <cellStyle name="Normal 55 2 3 5" xfId="13286" xr:uid="{00000000-0005-0000-0000-00002E250000}"/>
    <cellStyle name="Normal 55 2 3 5 2" xfId="22022" xr:uid="{46832AB5-16B2-4BF5-827F-F7B2A0BBD3D8}"/>
    <cellStyle name="Normal 55 2 3 6" xfId="15516" xr:uid="{69D83AEB-3067-4D9C-9EE6-AD64D82F2DDF}"/>
    <cellStyle name="Normal 55 2 4" xfId="3403" xr:uid="{00000000-0005-0000-0000-00002F250000}"/>
    <cellStyle name="Normal 55 2 4 2" xfId="10070" xr:uid="{00000000-0005-0000-0000-000030250000}"/>
    <cellStyle name="Normal 55 2 4 2 2" xfId="18876" xr:uid="{2849F8AA-C4CB-49F0-8F45-6EC0EF73561F}"/>
    <cellStyle name="Normal 55 2 4 3" xfId="8468" xr:uid="{00000000-0005-0000-0000-000031250000}"/>
    <cellStyle name="Normal 55 2 4 3 2" xfId="17277" xr:uid="{62A054B2-6EF3-4DA3-B249-0F8C41408D5F}"/>
    <cellStyle name="Normal 55 2 4 4" xfId="11680" xr:uid="{00000000-0005-0000-0000-000032250000}"/>
    <cellStyle name="Normal 55 2 4 4 2" xfId="20423" xr:uid="{98D8B5EF-C64E-405A-BC95-073D4814702B}"/>
    <cellStyle name="Normal 55 2 4 5" xfId="13287" xr:uid="{00000000-0005-0000-0000-000033250000}"/>
    <cellStyle name="Normal 55 2 4 5 2" xfId="22023" xr:uid="{78775937-3464-41FA-8B19-E79485228C5A}"/>
    <cellStyle name="Normal 55 2 4 6" xfId="15517" xr:uid="{68B53CAC-6C3C-41C1-A2AC-7B3730F901ED}"/>
    <cellStyle name="Normal 55 2 5" xfId="10067" xr:uid="{00000000-0005-0000-0000-000034250000}"/>
    <cellStyle name="Normal 55 2 5 2" xfId="18873" xr:uid="{02DE3C94-1ECA-42ED-8A96-B9C64BE4920B}"/>
    <cellStyle name="Normal 55 2 6" xfId="8465" xr:uid="{00000000-0005-0000-0000-000035250000}"/>
    <cellStyle name="Normal 55 2 6 2" xfId="17274" xr:uid="{C331E6EC-CC63-4EB1-80BD-030F2FE58E2A}"/>
    <cellStyle name="Normal 55 2 7" xfId="11677" xr:uid="{00000000-0005-0000-0000-000036250000}"/>
    <cellStyle name="Normal 55 2 7 2" xfId="20420" xr:uid="{7AA03FFF-3F19-4BE9-9F2C-1C61A37014FF}"/>
    <cellStyle name="Normal 55 2 8" xfId="13284" xr:uid="{00000000-0005-0000-0000-000037250000}"/>
    <cellStyle name="Normal 55 2 8 2" xfId="22020" xr:uid="{30276AF1-9DB5-495D-94BA-6990F5A685C0}"/>
    <cellStyle name="Normal 55 2 9" xfId="15514" xr:uid="{CE0C7512-BAC6-4A55-A57E-20BA7B58A315}"/>
    <cellStyle name="Normal 55 3" xfId="3404" xr:uid="{00000000-0005-0000-0000-000038250000}"/>
    <cellStyle name="Normal 55 3 2" xfId="3405" xr:uid="{00000000-0005-0000-0000-000039250000}"/>
    <cellStyle name="Normal 55 3 2 2" xfId="10072" xr:uid="{00000000-0005-0000-0000-00003A250000}"/>
    <cellStyle name="Normal 55 3 2 2 2" xfId="18878" xr:uid="{AC17E093-840D-46DE-BE0D-DEB2077FF027}"/>
    <cellStyle name="Normal 55 3 2 3" xfId="8470" xr:uid="{00000000-0005-0000-0000-00003B250000}"/>
    <cellStyle name="Normal 55 3 2 3 2" xfId="17279" xr:uid="{24D95291-4E1C-440F-916F-DD9FEA26057D}"/>
    <cellStyle name="Normal 55 3 2 4" xfId="11682" xr:uid="{00000000-0005-0000-0000-00003C250000}"/>
    <cellStyle name="Normal 55 3 2 4 2" xfId="20425" xr:uid="{2CFE538A-593D-4E75-BF25-DC59DE0E5D46}"/>
    <cellStyle name="Normal 55 3 2 5" xfId="13289" xr:uid="{00000000-0005-0000-0000-00003D250000}"/>
    <cellStyle name="Normal 55 3 2 5 2" xfId="22025" xr:uid="{D36F5493-12BC-47A3-9E33-C4FEDC41C0DB}"/>
    <cellStyle name="Normal 55 3 2 6" xfId="15519" xr:uid="{91F5F170-98BD-439F-83CC-209717739F50}"/>
    <cellStyle name="Normal 55 3 3" xfId="3406" xr:uid="{00000000-0005-0000-0000-00003E250000}"/>
    <cellStyle name="Normal 55 3 3 2" xfId="10073" xr:uid="{00000000-0005-0000-0000-00003F250000}"/>
    <cellStyle name="Normal 55 3 3 2 2" xfId="18879" xr:uid="{2749B8B6-A5E7-403D-9350-604251001BB5}"/>
    <cellStyle name="Normal 55 3 3 3" xfId="8471" xr:uid="{00000000-0005-0000-0000-000040250000}"/>
    <cellStyle name="Normal 55 3 3 3 2" xfId="17280" xr:uid="{3631BE24-82C4-426D-8F39-D1502618FE67}"/>
    <cellStyle name="Normal 55 3 3 4" xfId="11683" xr:uid="{00000000-0005-0000-0000-000041250000}"/>
    <cellStyle name="Normal 55 3 3 4 2" xfId="20426" xr:uid="{7F372A01-8414-43D7-9EB1-7E0B5F9505D6}"/>
    <cellStyle name="Normal 55 3 3 5" xfId="13290" xr:uid="{00000000-0005-0000-0000-000042250000}"/>
    <cellStyle name="Normal 55 3 3 5 2" xfId="22026" xr:uid="{6B71AF77-0709-437B-944A-52BD00933547}"/>
    <cellStyle name="Normal 55 3 3 6" xfId="15520" xr:uid="{D9181764-104F-47B5-A590-8969197F21C4}"/>
    <cellStyle name="Normal 55 3 4" xfId="3407" xr:uid="{00000000-0005-0000-0000-000043250000}"/>
    <cellStyle name="Normal 55 3 4 2" xfId="10074" xr:uid="{00000000-0005-0000-0000-000044250000}"/>
    <cellStyle name="Normal 55 3 4 2 2" xfId="18880" xr:uid="{E781E0DC-0726-4CE5-BD50-B6E2A489A620}"/>
    <cellStyle name="Normal 55 3 4 3" xfId="8472" xr:uid="{00000000-0005-0000-0000-000045250000}"/>
    <cellStyle name="Normal 55 3 4 3 2" xfId="17281" xr:uid="{63112605-23D1-4D3A-83B1-0985888169C1}"/>
    <cellStyle name="Normal 55 3 4 4" xfId="11684" xr:uid="{00000000-0005-0000-0000-000046250000}"/>
    <cellStyle name="Normal 55 3 4 4 2" xfId="20427" xr:uid="{12446BE1-3909-4E57-A83D-62198751679B}"/>
    <cellStyle name="Normal 55 3 4 5" xfId="13291" xr:uid="{00000000-0005-0000-0000-000047250000}"/>
    <cellStyle name="Normal 55 3 4 5 2" xfId="22027" xr:uid="{98B3A654-91E4-4CB1-B3AA-5ECE2EE16CF3}"/>
    <cellStyle name="Normal 55 3 4 6" xfId="15521" xr:uid="{1A3BF595-4E40-4D15-8D7C-2A8969D99A53}"/>
    <cellStyle name="Normal 55 3 5" xfId="10071" xr:uid="{00000000-0005-0000-0000-000048250000}"/>
    <cellStyle name="Normal 55 3 5 2" xfId="18877" xr:uid="{30D193F1-DDF0-446F-BBA1-9B5DF7E559EF}"/>
    <cellStyle name="Normal 55 3 6" xfId="8469" xr:uid="{00000000-0005-0000-0000-000049250000}"/>
    <cellStyle name="Normal 55 3 6 2" xfId="17278" xr:uid="{2462BACA-CB8E-4459-BB5A-4BB2E0736E20}"/>
    <cellStyle name="Normal 55 3 7" xfId="11681" xr:uid="{00000000-0005-0000-0000-00004A250000}"/>
    <cellStyle name="Normal 55 3 7 2" xfId="20424" xr:uid="{E73216B5-C1F3-46EB-A080-4577B5FEB170}"/>
    <cellStyle name="Normal 55 3 8" xfId="13288" xr:uid="{00000000-0005-0000-0000-00004B250000}"/>
    <cellStyle name="Normal 55 3 8 2" xfId="22024" xr:uid="{DD1C365F-352F-4381-942C-4CB3F31E9720}"/>
    <cellStyle name="Normal 55 3 9" xfId="15518" xr:uid="{B932E44E-8533-46F4-8801-BB39C8CCA979}"/>
    <cellStyle name="Normal 55 4" xfId="3408" xr:uid="{00000000-0005-0000-0000-00004C250000}"/>
    <cellStyle name="Normal 55 4 2" xfId="10075" xr:uid="{00000000-0005-0000-0000-00004D250000}"/>
    <cellStyle name="Normal 55 4 2 2" xfId="18881" xr:uid="{E89AE7B8-958E-460A-BFAF-A56B5ABB3BCF}"/>
    <cellStyle name="Normal 55 4 3" xfId="8473" xr:uid="{00000000-0005-0000-0000-00004E250000}"/>
    <cellStyle name="Normal 55 4 3 2" xfId="17282" xr:uid="{2AC68D48-D67B-4ECE-ADE4-00A1E279D78C}"/>
    <cellStyle name="Normal 55 4 4" xfId="11685" xr:uid="{00000000-0005-0000-0000-00004F250000}"/>
    <cellStyle name="Normal 55 4 4 2" xfId="20428" xr:uid="{AF242D4B-B1B8-4A8F-AFB4-01914DD561C3}"/>
    <cellStyle name="Normal 55 4 5" xfId="13292" xr:uid="{00000000-0005-0000-0000-000050250000}"/>
    <cellStyle name="Normal 55 4 5 2" xfId="22028" xr:uid="{C4A9E221-F94B-4763-9F4A-0DBED83EAC5E}"/>
    <cellStyle name="Normal 55 4 6" xfId="15522" xr:uid="{31205820-3F27-4903-98B2-61D377BF0CE2}"/>
    <cellStyle name="Normal 55 5" xfId="3409" xr:uid="{00000000-0005-0000-0000-000051250000}"/>
    <cellStyle name="Normal 55 5 2" xfId="10076" xr:uid="{00000000-0005-0000-0000-000052250000}"/>
    <cellStyle name="Normal 55 5 2 2" xfId="18882" xr:uid="{44BC386F-B119-4360-BA82-49B27BFEC293}"/>
    <cellStyle name="Normal 55 5 3" xfId="8474" xr:uid="{00000000-0005-0000-0000-000053250000}"/>
    <cellStyle name="Normal 55 5 3 2" xfId="17283" xr:uid="{145843B4-822F-4480-847B-336CCCCBEA02}"/>
    <cellStyle name="Normal 55 5 4" xfId="11686" xr:uid="{00000000-0005-0000-0000-000054250000}"/>
    <cellStyle name="Normal 55 5 4 2" xfId="20429" xr:uid="{98778216-E595-4072-BB51-35C317125C9C}"/>
    <cellStyle name="Normal 55 5 5" xfId="13293" xr:uid="{00000000-0005-0000-0000-000055250000}"/>
    <cellStyle name="Normal 55 5 5 2" xfId="22029" xr:uid="{83F81881-5D46-4BBD-A1EC-AF22696B1CEC}"/>
    <cellStyle name="Normal 55 5 6" xfId="15523" xr:uid="{0BF9258F-070E-4E53-9016-5078BABDEDCE}"/>
    <cellStyle name="Normal 55 6" xfId="3410" xr:uid="{00000000-0005-0000-0000-000056250000}"/>
    <cellStyle name="Normal 55 6 2" xfId="10077" xr:uid="{00000000-0005-0000-0000-000057250000}"/>
    <cellStyle name="Normal 55 6 2 2" xfId="18883" xr:uid="{D4FCEBB5-F2F3-4779-B324-5E352DA1FC67}"/>
    <cellStyle name="Normal 55 6 3" xfId="8475" xr:uid="{00000000-0005-0000-0000-000058250000}"/>
    <cellStyle name="Normal 55 6 3 2" xfId="17284" xr:uid="{BF1E254F-2C41-4540-B85C-6F433540FC49}"/>
    <cellStyle name="Normal 55 6 4" xfId="11687" xr:uid="{00000000-0005-0000-0000-000059250000}"/>
    <cellStyle name="Normal 55 6 4 2" xfId="20430" xr:uid="{15A9316E-48C4-47EA-A38D-6A0D85A6FDAE}"/>
    <cellStyle name="Normal 55 6 5" xfId="13294" xr:uid="{00000000-0005-0000-0000-00005A250000}"/>
    <cellStyle name="Normal 55 6 5 2" xfId="22030" xr:uid="{34BAADE8-E8F2-442D-9C08-A30F6EC71E96}"/>
    <cellStyle name="Normal 55 6 6" xfId="15524" xr:uid="{81D3DBF1-D95D-4605-9704-2B9A49FF0489}"/>
    <cellStyle name="Normal 55 7" xfId="10066" xr:uid="{00000000-0005-0000-0000-00005B250000}"/>
    <cellStyle name="Normal 55 7 2" xfId="18872" xr:uid="{EDD970EE-1C71-414C-94CB-2953735E2534}"/>
    <cellStyle name="Normal 55 8" xfId="8464" xr:uid="{00000000-0005-0000-0000-00005C250000}"/>
    <cellStyle name="Normal 55 8 2" xfId="17273" xr:uid="{CB00AAAC-4B70-4EAC-9F45-BCE37B307D5D}"/>
    <cellStyle name="Normal 55 9" xfId="11676" xr:uid="{00000000-0005-0000-0000-00005D250000}"/>
    <cellStyle name="Normal 55 9 2" xfId="20419" xr:uid="{12E05311-9FB4-45E6-9241-8B41B44F3E46}"/>
    <cellStyle name="Normal 56" xfId="3411" xr:uid="{00000000-0005-0000-0000-00005E250000}"/>
    <cellStyle name="Normal 56 10" xfId="13295" xr:uid="{00000000-0005-0000-0000-00005F250000}"/>
    <cellStyle name="Normal 56 10 2" xfId="22031" xr:uid="{3F4BEB9B-490D-406A-A445-B9E6E67F34C6}"/>
    <cellStyle name="Normal 56 11" xfId="15525" xr:uid="{24520FEC-ED46-4264-A233-EA6A63782E17}"/>
    <cellStyle name="Normal 56 2" xfId="3412" xr:uid="{00000000-0005-0000-0000-000060250000}"/>
    <cellStyle name="Normal 56 2 2" xfId="3413" xr:uid="{00000000-0005-0000-0000-000061250000}"/>
    <cellStyle name="Normal 56 2 2 2" xfId="10080" xr:uid="{00000000-0005-0000-0000-000062250000}"/>
    <cellStyle name="Normal 56 2 2 2 2" xfId="18886" xr:uid="{7E0D95E4-02FE-4993-8876-3EAAC63AD781}"/>
    <cellStyle name="Normal 56 2 2 3" xfId="8478" xr:uid="{00000000-0005-0000-0000-000063250000}"/>
    <cellStyle name="Normal 56 2 2 3 2" xfId="17287" xr:uid="{12EE865A-58EC-46F6-BBB7-08E757CD6AD7}"/>
    <cellStyle name="Normal 56 2 2 4" xfId="11690" xr:uid="{00000000-0005-0000-0000-000064250000}"/>
    <cellStyle name="Normal 56 2 2 4 2" xfId="20433" xr:uid="{75ECD9F1-DAFB-420D-A14E-F7CF77E105AD}"/>
    <cellStyle name="Normal 56 2 2 5" xfId="13297" xr:uid="{00000000-0005-0000-0000-000065250000}"/>
    <cellStyle name="Normal 56 2 2 5 2" xfId="22033" xr:uid="{C9E00928-9650-4297-B357-E37D28BCF5FA}"/>
    <cellStyle name="Normal 56 2 2 6" xfId="15527" xr:uid="{B6EFF3D9-E836-4B3C-83AA-C57B4B021073}"/>
    <cellStyle name="Normal 56 2 3" xfId="3414" xr:uid="{00000000-0005-0000-0000-000066250000}"/>
    <cellStyle name="Normal 56 2 3 2" xfId="10081" xr:uid="{00000000-0005-0000-0000-000067250000}"/>
    <cellStyle name="Normal 56 2 3 2 2" xfId="18887" xr:uid="{264C8459-0881-42D0-A91E-A571130D50D8}"/>
    <cellStyle name="Normal 56 2 3 3" xfId="8479" xr:uid="{00000000-0005-0000-0000-000068250000}"/>
    <cellStyle name="Normal 56 2 3 3 2" xfId="17288" xr:uid="{41B906FA-2E8A-4509-B2C6-908D12D138DE}"/>
    <cellStyle name="Normal 56 2 3 4" xfId="11691" xr:uid="{00000000-0005-0000-0000-000069250000}"/>
    <cellStyle name="Normal 56 2 3 4 2" xfId="20434" xr:uid="{CB86A231-1638-4536-9ABB-AB81ABF5581C}"/>
    <cellStyle name="Normal 56 2 3 5" xfId="13298" xr:uid="{00000000-0005-0000-0000-00006A250000}"/>
    <cellStyle name="Normal 56 2 3 5 2" xfId="22034" xr:uid="{6A39558E-D749-4A34-817D-2A99D42583EC}"/>
    <cellStyle name="Normal 56 2 3 6" xfId="15528" xr:uid="{0013F7C4-E2F4-4D64-8209-D2BB45B42778}"/>
    <cellStyle name="Normal 56 2 4" xfId="3415" xr:uid="{00000000-0005-0000-0000-00006B250000}"/>
    <cellStyle name="Normal 56 2 4 2" xfId="10082" xr:uid="{00000000-0005-0000-0000-00006C250000}"/>
    <cellStyle name="Normal 56 2 4 2 2" xfId="18888" xr:uid="{3307BDC8-AB6F-4710-975A-1B4BD4129477}"/>
    <cellStyle name="Normal 56 2 4 3" xfId="8480" xr:uid="{00000000-0005-0000-0000-00006D250000}"/>
    <cellStyle name="Normal 56 2 4 3 2" xfId="17289" xr:uid="{58D8CE5E-1279-4B75-8B9A-A19CD01D8EDF}"/>
    <cellStyle name="Normal 56 2 4 4" xfId="11692" xr:uid="{00000000-0005-0000-0000-00006E250000}"/>
    <cellStyle name="Normal 56 2 4 4 2" xfId="20435" xr:uid="{3A7EF602-05DA-4AEE-92EB-3B581B6D11F9}"/>
    <cellStyle name="Normal 56 2 4 5" xfId="13299" xr:uid="{00000000-0005-0000-0000-00006F250000}"/>
    <cellStyle name="Normal 56 2 4 5 2" xfId="22035" xr:uid="{E471D900-40FC-4B3D-97BB-B4C92CE90709}"/>
    <cellStyle name="Normal 56 2 4 6" xfId="15529" xr:uid="{C8E41DB1-DD54-417B-86CD-B2905A423FE2}"/>
    <cellStyle name="Normal 56 2 5" xfId="10079" xr:uid="{00000000-0005-0000-0000-000070250000}"/>
    <cellStyle name="Normal 56 2 5 2" xfId="18885" xr:uid="{41C87BBA-D38B-4D6F-8C8B-1CA4D5E04041}"/>
    <cellStyle name="Normal 56 2 6" xfId="8477" xr:uid="{00000000-0005-0000-0000-000071250000}"/>
    <cellStyle name="Normal 56 2 6 2" xfId="17286" xr:uid="{43C792E8-176C-4691-ACB9-BDE232679732}"/>
    <cellStyle name="Normal 56 2 7" xfId="11689" xr:uid="{00000000-0005-0000-0000-000072250000}"/>
    <cellStyle name="Normal 56 2 7 2" xfId="20432" xr:uid="{2631C0DB-B4AF-44B2-AEBC-23161400F69E}"/>
    <cellStyle name="Normal 56 2 8" xfId="13296" xr:uid="{00000000-0005-0000-0000-000073250000}"/>
    <cellStyle name="Normal 56 2 8 2" xfId="22032" xr:uid="{710994BE-628F-4D16-A65B-9819544936BD}"/>
    <cellStyle name="Normal 56 2 9" xfId="15526" xr:uid="{4FAD84EC-F614-4736-9BF4-33252D7F67CC}"/>
    <cellStyle name="Normal 56 3" xfId="3416" xr:uid="{00000000-0005-0000-0000-000074250000}"/>
    <cellStyle name="Normal 56 3 2" xfId="3417" xr:uid="{00000000-0005-0000-0000-000075250000}"/>
    <cellStyle name="Normal 56 3 2 2" xfId="10084" xr:uid="{00000000-0005-0000-0000-000076250000}"/>
    <cellStyle name="Normal 56 3 2 2 2" xfId="18890" xr:uid="{9E92878B-FD39-4DC3-957E-F1CBA0592782}"/>
    <cellStyle name="Normal 56 3 2 3" xfId="8482" xr:uid="{00000000-0005-0000-0000-000077250000}"/>
    <cellStyle name="Normal 56 3 2 3 2" xfId="17291" xr:uid="{C51DA692-36CC-4367-BFE6-B83CE847C1A6}"/>
    <cellStyle name="Normal 56 3 2 4" xfId="11694" xr:uid="{00000000-0005-0000-0000-000078250000}"/>
    <cellStyle name="Normal 56 3 2 4 2" xfId="20437" xr:uid="{8ACE07CC-E25F-464C-A5A9-F623998848D5}"/>
    <cellStyle name="Normal 56 3 2 5" xfId="13301" xr:uid="{00000000-0005-0000-0000-000079250000}"/>
    <cellStyle name="Normal 56 3 2 5 2" xfId="22037" xr:uid="{829E28A4-CB5B-4AAD-B3E0-A8584AEEC44A}"/>
    <cellStyle name="Normal 56 3 2 6" xfId="15531" xr:uid="{7A25735F-F502-4AA0-93C7-385E4E2C14EC}"/>
    <cellStyle name="Normal 56 3 3" xfId="3418" xr:uid="{00000000-0005-0000-0000-00007A250000}"/>
    <cellStyle name="Normal 56 3 3 2" xfId="10085" xr:uid="{00000000-0005-0000-0000-00007B250000}"/>
    <cellStyle name="Normal 56 3 3 2 2" xfId="18891" xr:uid="{8619F5DC-E598-4B9A-842A-7DA72F12E96D}"/>
    <cellStyle name="Normal 56 3 3 3" xfId="8483" xr:uid="{00000000-0005-0000-0000-00007C250000}"/>
    <cellStyle name="Normal 56 3 3 3 2" xfId="17292" xr:uid="{C41A4C97-E66A-4B22-BDA6-7E481D6A05DD}"/>
    <cellStyle name="Normal 56 3 3 4" xfId="11695" xr:uid="{00000000-0005-0000-0000-00007D250000}"/>
    <cellStyle name="Normal 56 3 3 4 2" xfId="20438" xr:uid="{47146416-C98B-41B5-AD3C-AA31EF8E8144}"/>
    <cellStyle name="Normal 56 3 3 5" xfId="13302" xr:uid="{00000000-0005-0000-0000-00007E250000}"/>
    <cellStyle name="Normal 56 3 3 5 2" xfId="22038" xr:uid="{DF9F965F-CD4B-48E2-A8A1-19D46191DF73}"/>
    <cellStyle name="Normal 56 3 3 6" xfId="15532" xr:uid="{659CF8E7-21D5-4EEA-8673-5C467B93B311}"/>
    <cellStyle name="Normal 56 3 4" xfId="3419" xr:uid="{00000000-0005-0000-0000-00007F250000}"/>
    <cellStyle name="Normal 56 3 4 2" xfId="10086" xr:uid="{00000000-0005-0000-0000-000080250000}"/>
    <cellStyle name="Normal 56 3 4 2 2" xfId="18892" xr:uid="{CAAFDAD1-9961-4632-B031-6D20C9EC9E94}"/>
    <cellStyle name="Normal 56 3 4 3" xfId="8484" xr:uid="{00000000-0005-0000-0000-000081250000}"/>
    <cellStyle name="Normal 56 3 4 3 2" xfId="17293" xr:uid="{D6A3EEA0-480B-43ED-87D6-F714544AE847}"/>
    <cellStyle name="Normal 56 3 4 4" xfId="11696" xr:uid="{00000000-0005-0000-0000-000082250000}"/>
    <cellStyle name="Normal 56 3 4 4 2" xfId="20439" xr:uid="{A6EF954E-0126-4CDF-8BDC-D3AB9DA38CB7}"/>
    <cellStyle name="Normal 56 3 4 5" xfId="13303" xr:uid="{00000000-0005-0000-0000-000083250000}"/>
    <cellStyle name="Normal 56 3 4 5 2" xfId="22039" xr:uid="{2357796D-07B5-4B96-864C-04F13D554FB8}"/>
    <cellStyle name="Normal 56 3 4 6" xfId="15533" xr:uid="{1FD4FF25-4E27-45A7-82E6-597E705A0E6B}"/>
    <cellStyle name="Normal 56 3 5" xfId="10083" xr:uid="{00000000-0005-0000-0000-000084250000}"/>
    <cellStyle name="Normal 56 3 5 2" xfId="18889" xr:uid="{58F4BF87-DC10-4103-8D1E-30418384D7BF}"/>
    <cellStyle name="Normal 56 3 6" xfId="8481" xr:uid="{00000000-0005-0000-0000-000085250000}"/>
    <cellStyle name="Normal 56 3 6 2" xfId="17290" xr:uid="{06046549-DEB3-48C1-A8B7-CABD392D4CB1}"/>
    <cellStyle name="Normal 56 3 7" xfId="11693" xr:uid="{00000000-0005-0000-0000-000086250000}"/>
    <cellStyle name="Normal 56 3 7 2" xfId="20436" xr:uid="{A0484744-E200-4658-9C12-3D8D18921C84}"/>
    <cellStyle name="Normal 56 3 8" xfId="13300" xr:uid="{00000000-0005-0000-0000-000087250000}"/>
    <cellStyle name="Normal 56 3 8 2" xfId="22036" xr:uid="{66F8157C-AF04-459B-BE3C-EBBB847AC881}"/>
    <cellStyle name="Normal 56 3 9" xfId="15530" xr:uid="{709A71A3-749E-47EB-B8BA-2962FBACF6CE}"/>
    <cellStyle name="Normal 56 4" xfId="3420" xr:uid="{00000000-0005-0000-0000-000088250000}"/>
    <cellStyle name="Normal 56 4 2" xfId="10087" xr:uid="{00000000-0005-0000-0000-000089250000}"/>
    <cellStyle name="Normal 56 4 2 2" xfId="18893" xr:uid="{6371C933-062B-4F78-90ED-4924E457064F}"/>
    <cellStyle name="Normal 56 4 3" xfId="8485" xr:uid="{00000000-0005-0000-0000-00008A250000}"/>
    <cellStyle name="Normal 56 4 3 2" xfId="17294" xr:uid="{22E42627-1641-4D73-923A-4D231E549229}"/>
    <cellStyle name="Normal 56 4 4" xfId="11697" xr:uid="{00000000-0005-0000-0000-00008B250000}"/>
    <cellStyle name="Normal 56 4 4 2" xfId="20440" xr:uid="{5C2D516B-AE85-45F2-8FFC-6679F509591D}"/>
    <cellStyle name="Normal 56 4 5" xfId="13304" xr:uid="{00000000-0005-0000-0000-00008C250000}"/>
    <cellStyle name="Normal 56 4 5 2" xfId="22040" xr:uid="{5F017C05-C7D5-4171-A1A3-719C76DC7C23}"/>
    <cellStyle name="Normal 56 4 6" xfId="15534" xr:uid="{18316225-2DC4-465D-817E-120E4B74EAD5}"/>
    <cellStyle name="Normal 56 5" xfId="3421" xr:uid="{00000000-0005-0000-0000-00008D250000}"/>
    <cellStyle name="Normal 56 5 2" xfId="10088" xr:uid="{00000000-0005-0000-0000-00008E250000}"/>
    <cellStyle name="Normal 56 5 2 2" xfId="18894" xr:uid="{EB3E89E3-D1C0-4A87-BDEC-10E784D9E781}"/>
    <cellStyle name="Normal 56 5 3" xfId="8486" xr:uid="{00000000-0005-0000-0000-00008F250000}"/>
    <cellStyle name="Normal 56 5 3 2" xfId="17295" xr:uid="{12E2C3C8-D61E-4B74-8643-6385057B437E}"/>
    <cellStyle name="Normal 56 5 4" xfId="11698" xr:uid="{00000000-0005-0000-0000-000090250000}"/>
    <cellStyle name="Normal 56 5 4 2" xfId="20441" xr:uid="{0B6873F0-044A-4C29-AAD8-75E78350FD49}"/>
    <cellStyle name="Normal 56 5 5" xfId="13305" xr:uid="{00000000-0005-0000-0000-000091250000}"/>
    <cellStyle name="Normal 56 5 5 2" xfId="22041" xr:uid="{C56BBA19-4FBA-4641-9F47-D11A93BA2AC6}"/>
    <cellStyle name="Normal 56 5 6" xfId="15535" xr:uid="{97D8D21B-324E-45E3-9484-90C7BE68278D}"/>
    <cellStyle name="Normal 56 6" xfId="3422" xr:uid="{00000000-0005-0000-0000-000092250000}"/>
    <cellStyle name="Normal 56 6 2" xfId="10089" xr:uid="{00000000-0005-0000-0000-000093250000}"/>
    <cellStyle name="Normal 56 6 2 2" xfId="18895" xr:uid="{952670F5-E79B-4791-A9C5-66F975A4067B}"/>
    <cellStyle name="Normal 56 6 3" xfId="8487" xr:uid="{00000000-0005-0000-0000-000094250000}"/>
    <cellStyle name="Normal 56 6 3 2" xfId="17296" xr:uid="{6B6188AA-BBD0-401F-9924-7A8CFB37AA0B}"/>
    <cellStyle name="Normal 56 6 4" xfId="11699" xr:uid="{00000000-0005-0000-0000-000095250000}"/>
    <cellStyle name="Normal 56 6 4 2" xfId="20442" xr:uid="{8518D695-E9EA-4AA8-AB12-988493BF0D4F}"/>
    <cellStyle name="Normal 56 6 5" xfId="13306" xr:uid="{00000000-0005-0000-0000-000096250000}"/>
    <cellStyle name="Normal 56 6 5 2" xfId="22042" xr:uid="{4F7FC1AC-A816-4214-88C6-723A26D30269}"/>
    <cellStyle name="Normal 56 6 6" xfId="15536" xr:uid="{D9B5EE3D-4162-46E7-9C5E-5BF06A68936B}"/>
    <cellStyle name="Normal 56 7" xfId="10078" xr:uid="{00000000-0005-0000-0000-000097250000}"/>
    <cellStyle name="Normal 56 7 2" xfId="18884" xr:uid="{8133D7BE-7FA0-456B-A5D0-01E5CB9169A0}"/>
    <cellStyle name="Normal 56 8" xfId="8476" xr:uid="{00000000-0005-0000-0000-000098250000}"/>
    <cellStyle name="Normal 56 8 2" xfId="17285" xr:uid="{CDD3F22A-2E84-4774-9BEB-31433C05546A}"/>
    <cellStyle name="Normal 56 9" xfId="11688" xr:uid="{00000000-0005-0000-0000-000099250000}"/>
    <cellStyle name="Normal 56 9 2" xfId="20431" xr:uid="{C71E55FE-06D6-4EDB-95E5-466EFBE10D28}"/>
    <cellStyle name="Normal 57" xfId="3423" xr:uid="{00000000-0005-0000-0000-00009A250000}"/>
    <cellStyle name="Normal 57 10" xfId="13307" xr:uid="{00000000-0005-0000-0000-00009B250000}"/>
    <cellStyle name="Normal 57 10 2" xfId="22043" xr:uid="{BB65168C-BB2B-43E6-9DC8-3DB1A41976CD}"/>
    <cellStyle name="Normal 57 11" xfId="15537" xr:uid="{8DFDB8C7-8211-4945-AF29-4D28FCC7B120}"/>
    <cellStyle name="Normal 57 2" xfId="3424" xr:uid="{00000000-0005-0000-0000-00009C250000}"/>
    <cellStyle name="Normal 57 2 2" xfId="3425" xr:uid="{00000000-0005-0000-0000-00009D250000}"/>
    <cellStyle name="Normal 57 2 2 2" xfId="10092" xr:uid="{00000000-0005-0000-0000-00009E250000}"/>
    <cellStyle name="Normal 57 2 2 2 2" xfId="18898" xr:uid="{C237609F-E009-45D6-AD1C-9B73B0ADFA93}"/>
    <cellStyle name="Normal 57 2 2 3" xfId="8490" xr:uid="{00000000-0005-0000-0000-00009F250000}"/>
    <cellStyle name="Normal 57 2 2 3 2" xfId="17299" xr:uid="{BCB31F04-7D59-4857-ADEE-935D3AE42B15}"/>
    <cellStyle name="Normal 57 2 2 4" xfId="11702" xr:uid="{00000000-0005-0000-0000-0000A0250000}"/>
    <cellStyle name="Normal 57 2 2 4 2" xfId="20445" xr:uid="{5F9779B0-CAF2-4A55-9A58-3F685D56BA31}"/>
    <cellStyle name="Normal 57 2 2 5" xfId="13309" xr:uid="{00000000-0005-0000-0000-0000A1250000}"/>
    <cellStyle name="Normal 57 2 2 5 2" xfId="22045" xr:uid="{9E4111A2-C40A-46FD-BA84-F15BDECB68A1}"/>
    <cellStyle name="Normal 57 2 2 6" xfId="15539" xr:uid="{D5CD59FD-4916-4EAD-83A2-8D805588624A}"/>
    <cellStyle name="Normal 57 2 3" xfId="3426" xr:uid="{00000000-0005-0000-0000-0000A2250000}"/>
    <cellStyle name="Normal 57 2 3 2" xfId="10093" xr:uid="{00000000-0005-0000-0000-0000A3250000}"/>
    <cellStyle name="Normal 57 2 3 2 2" xfId="18899" xr:uid="{63C76973-C1C5-4D5D-87A5-5B83F436F2E1}"/>
    <cellStyle name="Normal 57 2 3 3" xfId="8491" xr:uid="{00000000-0005-0000-0000-0000A4250000}"/>
    <cellStyle name="Normal 57 2 3 3 2" xfId="17300" xr:uid="{C8F771BE-2175-4352-8FBD-D855BBE36DF9}"/>
    <cellStyle name="Normal 57 2 3 4" xfId="11703" xr:uid="{00000000-0005-0000-0000-0000A5250000}"/>
    <cellStyle name="Normal 57 2 3 4 2" xfId="20446" xr:uid="{FF9568AD-C5EA-4E6B-97E3-45FE40E71298}"/>
    <cellStyle name="Normal 57 2 3 5" xfId="13310" xr:uid="{00000000-0005-0000-0000-0000A6250000}"/>
    <cellStyle name="Normal 57 2 3 5 2" xfId="22046" xr:uid="{87215D61-760C-40F8-B635-90C6A1C6D6E7}"/>
    <cellStyle name="Normal 57 2 3 6" xfId="15540" xr:uid="{1017EB5B-3FBC-4CBD-BD87-8EDC3E7B20A2}"/>
    <cellStyle name="Normal 57 2 4" xfId="3427" xr:uid="{00000000-0005-0000-0000-0000A7250000}"/>
    <cellStyle name="Normal 57 2 4 2" xfId="10094" xr:uid="{00000000-0005-0000-0000-0000A8250000}"/>
    <cellStyle name="Normal 57 2 4 2 2" xfId="18900" xr:uid="{D493BBAD-76E9-44D5-89B5-D02E59DD3823}"/>
    <cellStyle name="Normal 57 2 4 3" xfId="8492" xr:uid="{00000000-0005-0000-0000-0000A9250000}"/>
    <cellStyle name="Normal 57 2 4 3 2" xfId="17301" xr:uid="{8D6EAE0E-5150-4793-B451-EF6A49519CAF}"/>
    <cellStyle name="Normal 57 2 4 4" xfId="11704" xr:uid="{00000000-0005-0000-0000-0000AA250000}"/>
    <cellStyle name="Normal 57 2 4 4 2" xfId="20447" xr:uid="{14369F9C-B211-4EE2-85BE-BC1D0EB9542F}"/>
    <cellStyle name="Normal 57 2 4 5" xfId="13311" xr:uid="{00000000-0005-0000-0000-0000AB250000}"/>
    <cellStyle name="Normal 57 2 4 5 2" xfId="22047" xr:uid="{031D605F-49CF-454F-8CBA-085500E14B4B}"/>
    <cellStyle name="Normal 57 2 4 6" xfId="15541" xr:uid="{4610AF7E-E0C3-4139-9BB5-5607631674FD}"/>
    <cellStyle name="Normal 57 2 5" xfId="10091" xr:uid="{00000000-0005-0000-0000-0000AC250000}"/>
    <cellStyle name="Normal 57 2 5 2" xfId="18897" xr:uid="{529A6053-1D68-49C7-AB3B-8CCB641BE6A0}"/>
    <cellStyle name="Normal 57 2 6" xfId="8489" xr:uid="{00000000-0005-0000-0000-0000AD250000}"/>
    <cellStyle name="Normal 57 2 6 2" xfId="17298" xr:uid="{30E4A8DD-ADD7-41AB-80D7-F6BDDB3A998C}"/>
    <cellStyle name="Normal 57 2 7" xfId="11701" xr:uid="{00000000-0005-0000-0000-0000AE250000}"/>
    <cellStyle name="Normal 57 2 7 2" xfId="20444" xr:uid="{978BC768-46A6-4377-A97F-3066475A8EB6}"/>
    <cellStyle name="Normal 57 2 8" xfId="13308" xr:uid="{00000000-0005-0000-0000-0000AF250000}"/>
    <cellStyle name="Normal 57 2 8 2" xfId="22044" xr:uid="{E623A65F-AF46-4AE9-9662-AD8A64FC4D25}"/>
    <cellStyle name="Normal 57 2 9" xfId="15538" xr:uid="{57DBD895-11DA-4278-B1AA-FFBF04D26A16}"/>
    <cellStyle name="Normal 57 3" xfId="3428" xr:uid="{00000000-0005-0000-0000-0000B0250000}"/>
    <cellStyle name="Normal 57 3 2" xfId="3429" xr:uid="{00000000-0005-0000-0000-0000B1250000}"/>
    <cellStyle name="Normal 57 3 2 2" xfId="10096" xr:uid="{00000000-0005-0000-0000-0000B2250000}"/>
    <cellStyle name="Normal 57 3 2 2 2" xfId="18902" xr:uid="{675E5328-3B4B-41DE-8486-E6C4A0F2FEC3}"/>
    <cellStyle name="Normal 57 3 2 3" xfId="8494" xr:uid="{00000000-0005-0000-0000-0000B3250000}"/>
    <cellStyle name="Normal 57 3 2 3 2" xfId="17303" xr:uid="{F0BF282D-B183-43A1-80ED-E2CD3300917B}"/>
    <cellStyle name="Normal 57 3 2 4" xfId="11706" xr:uid="{00000000-0005-0000-0000-0000B4250000}"/>
    <cellStyle name="Normal 57 3 2 4 2" xfId="20449" xr:uid="{C31759DB-8891-4203-A774-C8C52B7544B3}"/>
    <cellStyle name="Normal 57 3 2 5" xfId="13313" xr:uid="{00000000-0005-0000-0000-0000B5250000}"/>
    <cellStyle name="Normal 57 3 2 5 2" xfId="22049" xr:uid="{1DE3AB43-09C4-48D8-A51F-F050FC3FB8DC}"/>
    <cellStyle name="Normal 57 3 2 6" xfId="15543" xr:uid="{1E89092F-BE80-44BA-A178-018A54390F5E}"/>
    <cellStyle name="Normal 57 3 3" xfId="3430" xr:uid="{00000000-0005-0000-0000-0000B6250000}"/>
    <cellStyle name="Normal 57 3 3 2" xfId="10097" xr:uid="{00000000-0005-0000-0000-0000B7250000}"/>
    <cellStyle name="Normal 57 3 3 2 2" xfId="18903" xr:uid="{21DBB8BE-37BF-4D87-87C1-0FB0C1ECFF73}"/>
    <cellStyle name="Normal 57 3 3 3" xfId="8495" xr:uid="{00000000-0005-0000-0000-0000B8250000}"/>
    <cellStyle name="Normal 57 3 3 3 2" xfId="17304" xr:uid="{B71BC1EE-A89B-4A1D-ADC5-009D48A78104}"/>
    <cellStyle name="Normal 57 3 3 4" xfId="11707" xr:uid="{00000000-0005-0000-0000-0000B9250000}"/>
    <cellStyle name="Normal 57 3 3 4 2" xfId="20450" xr:uid="{63C13955-AB0F-48CF-824E-B14BDEA0F24A}"/>
    <cellStyle name="Normal 57 3 3 5" xfId="13314" xr:uid="{00000000-0005-0000-0000-0000BA250000}"/>
    <cellStyle name="Normal 57 3 3 5 2" xfId="22050" xr:uid="{C8395E06-B2F6-4866-8903-B55B5475B703}"/>
    <cellStyle name="Normal 57 3 3 6" xfId="15544" xr:uid="{A9E969F7-315B-43C5-898F-BE4996FB2814}"/>
    <cellStyle name="Normal 57 3 4" xfId="3431" xr:uid="{00000000-0005-0000-0000-0000BB250000}"/>
    <cellStyle name="Normal 57 3 4 2" xfId="10098" xr:uid="{00000000-0005-0000-0000-0000BC250000}"/>
    <cellStyle name="Normal 57 3 4 2 2" xfId="18904" xr:uid="{DDDCE9FD-CC2A-4F18-B62C-C764A64684D7}"/>
    <cellStyle name="Normal 57 3 4 3" xfId="8496" xr:uid="{00000000-0005-0000-0000-0000BD250000}"/>
    <cellStyle name="Normal 57 3 4 3 2" xfId="17305" xr:uid="{BEB9B107-BF9B-4D11-9891-2BBB548F0B28}"/>
    <cellStyle name="Normal 57 3 4 4" xfId="11708" xr:uid="{00000000-0005-0000-0000-0000BE250000}"/>
    <cellStyle name="Normal 57 3 4 4 2" xfId="20451" xr:uid="{3BF4D8FC-9E7F-4ADA-99FD-CBB46DEE1CB4}"/>
    <cellStyle name="Normal 57 3 4 5" xfId="13315" xr:uid="{00000000-0005-0000-0000-0000BF250000}"/>
    <cellStyle name="Normal 57 3 4 5 2" xfId="22051" xr:uid="{67C1A3CD-DBD8-4EDC-8B7E-2B99C12200B3}"/>
    <cellStyle name="Normal 57 3 4 6" xfId="15545" xr:uid="{B0066403-5CB9-4528-B16A-5CD92FA89D6E}"/>
    <cellStyle name="Normal 57 3 5" xfId="10095" xr:uid="{00000000-0005-0000-0000-0000C0250000}"/>
    <cellStyle name="Normal 57 3 5 2" xfId="18901" xr:uid="{42492DFC-5ED0-4A7E-AFA7-0CD5B6EF0173}"/>
    <cellStyle name="Normal 57 3 6" xfId="8493" xr:uid="{00000000-0005-0000-0000-0000C1250000}"/>
    <cellStyle name="Normal 57 3 6 2" xfId="17302" xr:uid="{BE668B5F-6F13-478E-9D9F-2DD214A31EF5}"/>
    <cellStyle name="Normal 57 3 7" xfId="11705" xr:uid="{00000000-0005-0000-0000-0000C2250000}"/>
    <cellStyle name="Normal 57 3 7 2" xfId="20448" xr:uid="{BBE03A7A-9BD0-41F6-B225-928E5CAB2042}"/>
    <cellStyle name="Normal 57 3 8" xfId="13312" xr:uid="{00000000-0005-0000-0000-0000C3250000}"/>
    <cellStyle name="Normal 57 3 8 2" xfId="22048" xr:uid="{40C46E73-43E1-4982-8B2C-2F8BE5D9CF40}"/>
    <cellStyle name="Normal 57 3 9" xfId="15542" xr:uid="{79F52B07-5439-49BB-823D-B6772ACA018D}"/>
    <cellStyle name="Normal 57 4" xfId="3432" xr:uid="{00000000-0005-0000-0000-0000C4250000}"/>
    <cellStyle name="Normal 57 4 2" xfId="10099" xr:uid="{00000000-0005-0000-0000-0000C5250000}"/>
    <cellStyle name="Normal 57 4 2 2" xfId="18905" xr:uid="{4DD956B1-D0CA-4C25-BEC8-0F95B3A929D6}"/>
    <cellStyle name="Normal 57 4 3" xfId="8497" xr:uid="{00000000-0005-0000-0000-0000C6250000}"/>
    <cellStyle name="Normal 57 4 3 2" xfId="17306" xr:uid="{B29F3C82-4210-47E1-932A-F25480705C2B}"/>
    <cellStyle name="Normal 57 4 4" xfId="11709" xr:uid="{00000000-0005-0000-0000-0000C7250000}"/>
    <cellStyle name="Normal 57 4 4 2" xfId="20452" xr:uid="{23D49ED8-6538-459D-85E5-8DADB4DFA827}"/>
    <cellStyle name="Normal 57 4 5" xfId="13316" xr:uid="{00000000-0005-0000-0000-0000C8250000}"/>
    <cellStyle name="Normal 57 4 5 2" xfId="22052" xr:uid="{B072F6D8-A5FA-46CE-B0A3-32E64AE61D1A}"/>
    <cellStyle name="Normal 57 4 6" xfId="15546" xr:uid="{F604BBFA-1E12-47F5-A7CB-3D80F2BCBC48}"/>
    <cellStyle name="Normal 57 5" xfId="3433" xr:uid="{00000000-0005-0000-0000-0000C9250000}"/>
    <cellStyle name="Normal 57 5 2" xfId="10100" xr:uid="{00000000-0005-0000-0000-0000CA250000}"/>
    <cellStyle name="Normal 57 5 2 2" xfId="18906" xr:uid="{E1D1F5E7-57E0-4360-8A65-04491752CBF3}"/>
    <cellStyle name="Normal 57 5 3" xfId="8498" xr:uid="{00000000-0005-0000-0000-0000CB250000}"/>
    <cellStyle name="Normal 57 5 3 2" xfId="17307" xr:uid="{621D75C3-DC8B-44AA-8C77-EBAFD805C5F7}"/>
    <cellStyle name="Normal 57 5 4" xfId="11710" xr:uid="{00000000-0005-0000-0000-0000CC250000}"/>
    <cellStyle name="Normal 57 5 4 2" xfId="20453" xr:uid="{8FED66BE-6A56-4A01-9D0B-BD3F43649958}"/>
    <cellStyle name="Normal 57 5 5" xfId="13317" xr:uid="{00000000-0005-0000-0000-0000CD250000}"/>
    <cellStyle name="Normal 57 5 5 2" xfId="22053" xr:uid="{4445B784-5031-45FF-82CF-B92BFCF3F0B6}"/>
    <cellStyle name="Normal 57 5 6" xfId="15547" xr:uid="{EDA85C3A-BE60-4F23-80AB-938E2216F951}"/>
    <cellStyle name="Normal 57 6" xfId="3434" xr:uid="{00000000-0005-0000-0000-0000CE250000}"/>
    <cellStyle name="Normal 57 6 2" xfId="10101" xr:uid="{00000000-0005-0000-0000-0000CF250000}"/>
    <cellStyle name="Normal 57 6 2 2" xfId="18907" xr:uid="{0FB9ED6F-BF12-45B3-9A9B-8136C2AFC7DD}"/>
    <cellStyle name="Normal 57 6 3" xfId="8499" xr:uid="{00000000-0005-0000-0000-0000D0250000}"/>
    <cellStyle name="Normal 57 6 3 2" xfId="17308" xr:uid="{341C97B7-FEF6-4AB0-BC49-D1C00097CD47}"/>
    <cellStyle name="Normal 57 6 4" xfId="11711" xr:uid="{00000000-0005-0000-0000-0000D1250000}"/>
    <cellStyle name="Normal 57 6 4 2" xfId="20454" xr:uid="{C5CDB2D6-BD94-4687-8AD4-F878F2627A30}"/>
    <cellStyle name="Normal 57 6 5" xfId="13318" xr:uid="{00000000-0005-0000-0000-0000D2250000}"/>
    <cellStyle name="Normal 57 6 5 2" xfId="22054" xr:uid="{3CC61671-4437-429C-8EE7-4D0EB31F3443}"/>
    <cellStyle name="Normal 57 6 6" xfId="15548" xr:uid="{AD12AC31-CDD2-4F2F-BA4A-DA2434D98018}"/>
    <cellStyle name="Normal 57 7" xfId="10090" xr:uid="{00000000-0005-0000-0000-0000D3250000}"/>
    <cellStyle name="Normal 57 7 2" xfId="18896" xr:uid="{D59289D0-1686-4FEC-999A-7419593CEC84}"/>
    <cellStyle name="Normal 57 8" xfId="8488" xr:uid="{00000000-0005-0000-0000-0000D4250000}"/>
    <cellStyle name="Normal 57 8 2" xfId="17297" xr:uid="{FBFD5596-B3B0-4D21-B18E-A3CD6E3DFE05}"/>
    <cellStyle name="Normal 57 9" xfId="11700" xr:uid="{00000000-0005-0000-0000-0000D5250000}"/>
    <cellStyle name="Normal 57 9 2" xfId="20443" xr:uid="{72E29CA3-2D75-4386-A09A-20CE532D0DAB}"/>
    <cellStyle name="Normal 58" xfId="3435" xr:uid="{00000000-0005-0000-0000-0000D6250000}"/>
    <cellStyle name="Normal 58 10" xfId="13319" xr:uid="{00000000-0005-0000-0000-0000D7250000}"/>
    <cellStyle name="Normal 58 10 2" xfId="22055" xr:uid="{9EEE69DC-B7DC-435D-B748-7AD164EBA7A1}"/>
    <cellStyle name="Normal 58 11" xfId="15549" xr:uid="{5B05DD71-8A2A-4E25-90EE-D1F124ED90DA}"/>
    <cellStyle name="Normal 58 2" xfId="3436" xr:uid="{00000000-0005-0000-0000-0000D8250000}"/>
    <cellStyle name="Normal 58 2 2" xfId="3437" xr:uid="{00000000-0005-0000-0000-0000D9250000}"/>
    <cellStyle name="Normal 58 2 2 2" xfId="10104" xr:uid="{00000000-0005-0000-0000-0000DA250000}"/>
    <cellStyle name="Normal 58 2 2 2 2" xfId="18910" xr:uid="{CDFBE41A-C576-4705-9581-C9267EB3E204}"/>
    <cellStyle name="Normal 58 2 2 3" xfId="8502" xr:uid="{00000000-0005-0000-0000-0000DB250000}"/>
    <cellStyle name="Normal 58 2 2 3 2" xfId="17311" xr:uid="{0698DB65-FC45-4AC3-8DF8-19DF240B8B2D}"/>
    <cellStyle name="Normal 58 2 2 4" xfId="11714" xr:uid="{00000000-0005-0000-0000-0000DC250000}"/>
    <cellStyle name="Normal 58 2 2 4 2" xfId="20457" xr:uid="{64C967C5-5FFA-40F7-BBA1-42819DD6EDAA}"/>
    <cellStyle name="Normal 58 2 2 5" xfId="13321" xr:uid="{00000000-0005-0000-0000-0000DD250000}"/>
    <cellStyle name="Normal 58 2 2 5 2" xfId="22057" xr:uid="{4C888EBD-5665-4DE0-93B1-F2AB674C8840}"/>
    <cellStyle name="Normal 58 2 2 6" xfId="15551" xr:uid="{71474A5F-6770-4A19-A20C-BE9C97DF4969}"/>
    <cellStyle name="Normal 58 2 3" xfId="3438" xr:uid="{00000000-0005-0000-0000-0000DE250000}"/>
    <cellStyle name="Normal 58 2 3 2" xfId="10105" xr:uid="{00000000-0005-0000-0000-0000DF250000}"/>
    <cellStyle name="Normal 58 2 3 2 2" xfId="18911" xr:uid="{6AD866AC-8926-4204-B944-9ADF8AF9A00C}"/>
    <cellStyle name="Normal 58 2 3 3" xfId="8503" xr:uid="{00000000-0005-0000-0000-0000E0250000}"/>
    <cellStyle name="Normal 58 2 3 3 2" xfId="17312" xr:uid="{551E9326-5560-46FB-8DC7-9FFFDDBA9FDD}"/>
    <cellStyle name="Normal 58 2 3 4" xfId="11715" xr:uid="{00000000-0005-0000-0000-0000E1250000}"/>
    <cellStyle name="Normal 58 2 3 4 2" xfId="20458" xr:uid="{52135252-70D4-45F6-9482-767E1B28962C}"/>
    <cellStyle name="Normal 58 2 3 5" xfId="13322" xr:uid="{00000000-0005-0000-0000-0000E2250000}"/>
    <cellStyle name="Normal 58 2 3 5 2" xfId="22058" xr:uid="{E7481747-32F7-472C-B462-706240CBD529}"/>
    <cellStyle name="Normal 58 2 3 6" xfId="15552" xr:uid="{E80BC10A-C2C5-4ED6-A111-F1CA052452DB}"/>
    <cellStyle name="Normal 58 2 4" xfId="3439" xr:uid="{00000000-0005-0000-0000-0000E3250000}"/>
    <cellStyle name="Normal 58 2 4 2" xfId="10106" xr:uid="{00000000-0005-0000-0000-0000E4250000}"/>
    <cellStyle name="Normal 58 2 4 2 2" xfId="18912" xr:uid="{F41B9CD0-9AF6-47F2-A229-5A3678453B11}"/>
    <cellStyle name="Normal 58 2 4 3" xfId="8504" xr:uid="{00000000-0005-0000-0000-0000E5250000}"/>
    <cellStyle name="Normal 58 2 4 3 2" xfId="17313" xr:uid="{75CCFE9B-6445-4A31-A084-F0EF729FE9AF}"/>
    <cellStyle name="Normal 58 2 4 4" xfId="11716" xr:uid="{00000000-0005-0000-0000-0000E6250000}"/>
    <cellStyle name="Normal 58 2 4 4 2" xfId="20459" xr:uid="{BF3ECF4F-315D-4907-9022-8BC21432D4B0}"/>
    <cellStyle name="Normal 58 2 4 5" xfId="13323" xr:uid="{00000000-0005-0000-0000-0000E7250000}"/>
    <cellStyle name="Normal 58 2 4 5 2" xfId="22059" xr:uid="{063552BD-E882-4101-A6FD-264B55407F8F}"/>
    <cellStyle name="Normal 58 2 4 6" xfId="15553" xr:uid="{3A2183BA-2B82-4380-BE5A-65B548D7E411}"/>
    <cellStyle name="Normal 58 2 5" xfId="10103" xr:uid="{00000000-0005-0000-0000-0000E8250000}"/>
    <cellStyle name="Normal 58 2 5 2" xfId="18909" xr:uid="{129B03EB-63AF-429E-B118-DC459D4DB290}"/>
    <cellStyle name="Normal 58 2 6" xfId="8501" xr:uid="{00000000-0005-0000-0000-0000E9250000}"/>
    <cellStyle name="Normal 58 2 6 2" xfId="17310" xr:uid="{16547FAC-75D2-470F-8F39-4666B8A46F65}"/>
    <cellStyle name="Normal 58 2 7" xfId="11713" xr:uid="{00000000-0005-0000-0000-0000EA250000}"/>
    <cellStyle name="Normal 58 2 7 2" xfId="20456" xr:uid="{3285AA52-3F3F-4D46-885E-0E69B6C90488}"/>
    <cellStyle name="Normal 58 2 8" xfId="13320" xr:uid="{00000000-0005-0000-0000-0000EB250000}"/>
    <cellStyle name="Normal 58 2 8 2" xfId="22056" xr:uid="{79DAD53B-C24E-439D-B4A4-2D3F29B8C6DB}"/>
    <cellStyle name="Normal 58 2 9" xfId="15550" xr:uid="{563647D9-3273-425C-A3F8-C790760EFA37}"/>
    <cellStyle name="Normal 58 3" xfId="3440" xr:uid="{00000000-0005-0000-0000-0000EC250000}"/>
    <cellStyle name="Normal 58 3 2" xfId="3441" xr:uid="{00000000-0005-0000-0000-0000ED250000}"/>
    <cellStyle name="Normal 58 3 2 2" xfId="10108" xr:uid="{00000000-0005-0000-0000-0000EE250000}"/>
    <cellStyle name="Normal 58 3 2 2 2" xfId="18914" xr:uid="{932198F7-006F-4005-97EF-489D9AEC9FB6}"/>
    <cellStyle name="Normal 58 3 2 3" xfId="8506" xr:uid="{00000000-0005-0000-0000-0000EF250000}"/>
    <cellStyle name="Normal 58 3 2 3 2" xfId="17315" xr:uid="{3B8F801D-DC5F-4F97-B286-6966438673E9}"/>
    <cellStyle name="Normal 58 3 2 4" xfId="11718" xr:uid="{00000000-0005-0000-0000-0000F0250000}"/>
    <cellStyle name="Normal 58 3 2 4 2" xfId="20461" xr:uid="{F955B8A8-4952-4D0B-A624-B13D69DA2A13}"/>
    <cellStyle name="Normal 58 3 2 5" xfId="13325" xr:uid="{00000000-0005-0000-0000-0000F1250000}"/>
    <cellStyle name="Normal 58 3 2 5 2" xfId="22061" xr:uid="{E0834231-7597-4B80-ABD0-59FA8977E5F5}"/>
    <cellStyle name="Normal 58 3 2 6" xfId="15555" xr:uid="{FE4C3464-23CD-46F3-84FA-1C6E9E2F438F}"/>
    <cellStyle name="Normal 58 3 3" xfId="3442" xr:uid="{00000000-0005-0000-0000-0000F2250000}"/>
    <cellStyle name="Normal 58 3 3 2" xfId="10109" xr:uid="{00000000-0005-0000-0000-0000F3250000}"/>
    <cellStyle name="Normal 58 3 3 2 2" xfId="18915" xr:uid="{2293FBCD-5520-4EE6-9F60-840B965832A3}"/>
    <cellStyle name="Normal 58 3 3 3" xfId="8507" xr:uid="{00000000-0005-0000-0000-0000F4250000}"/>
    <cellStyle name="Normal 58 3 3 3 2" xfId="17316" xr:uid="{847F80A7-AEDA-431A-83A7-D3B2499F67FC}"/>
    <cellStyle name="Normal 58 3 3 4" xfId="11719" xr:uid="{00000000-0005-0000-0000-0000F5250000}"/>
    <cellStyle name="Normal 58 3 3 4 2" xfId="20462" xr:uid="{776F76C7-5575-4D09-BEAB-A3757C962F7A}"/>
    <cellStyle name="Normal 58 3 3 5" xfId="13326" xr:uid="{00000000-0005-0000-0000-0000F6250000}"/>
    <cellStyle name="Normal 58 3 3 5 2" xfId="22062" xr:uid="{D9D0A97B-457B-4475-A5A3-5742844AD9B6}"/>
    <cellStyle name="Normal 58 3 3 6" xfId="15556" xr:uid="{7787B3EB-D553-4F14-8EA5-4CFFD788C9BB}"/>
    <cellStyle name="Normal 58 3 4" xfId="3443" xr:uid="{00000000-0005-0000-0000-0000F7250000}"/>
    <cellStyle name="Normal 58 3 4 2" xfId="10110" xr:uid="{00000000-0005-0000-0000-0000F8250000}"/>
    <cellStyle name="Normal 58 3 4 2 2" xfId="18916" xr:uid="{95B92165-C1AF-4631-8EAC-0713185D08E4}"/>
    <cellStyle name="Normal 58 3 4 3" xfId="8508" xr:uid="{00000000-0005-0000-0000-0000F9250000}"/>
    <cellStyle name="Normal 58 3 4 3 2" xfId="17317" xr:uid="{38F78585-969C-4F56-A3DC-5E3F09F97904}"/>
    <cellStyle name="Normal 58 3 4 4" xfId="11720" xr:uid="{00000000-0005-0000-0000-0000FA250000}"/>
    <cellStyle name="Normal 58 3 4 4 2" xfId="20463" xr:uid="{021EF26A-E8A6-4E24-A0BD-0FECF74B72BF}"/>
    <cellStyle name="Normal 58 3 4 5" xfId="13327" xr:uid="{00000000-0005-0000-0000-0000FB250000}"/>
    <cellStyle name="Normal 58 3 4 5 2" xfId="22063" xr:uid="{6795FAF9-A1D0-4A71-8ED6-43121E74FFEA}"/>
    <cellStyle name="Normal 58 3 4 6" xfId="15557" xr:uid="{5705AD4E-6393-4F7E-8845-3AB291A9AD21}"/>
    <cellStyle name="Normal 58 3 5" xfId="10107" xr:uid="{00000000-0005-0000-0000-0000FC250000}"/>
    <cellStyle name="Normal 58 3 5 2" xfId="18913" xr:uid="{C299963A-6778-4E88-ABB5-C5298AA957F5}"/>
    <cellStyle name="Normal 58 3 6" xfId="8505" xr:uid="{00000000-0005-0000-0000-0000FD250000}"/>
    <cellStyle name="Normal 58 3 6 2" xfId="17314" xr:uid="{8FDC64E5-C03D-44E9-B1A8-A8A5C5C90B19}"/>
    <cellStyle name="Normal 58 3 7" xfId="11717" xr:uid="{00000000-0005-0000-0000-0000FE250000}"/>
    <cellStyle name="Normal 58 3 7 2" xfId="20460" xr:uid="{6C64DF77-FA1C-42A6-985B-E84C38766C7A}"/>
    <cellStyle name="Normal 58 3 8" xfId="13324" xr:uid="{00000000-0005-0000-0000-0000FF250000}"/>
    <cellStyle name="Normal 58 3 8 2" xfId="22060" xr:uid="{71B6E7D2-E41D-4BD3-A15C-BA1C2D8E1D49}"/>
    <cellStyle name="Normal 58 3 9" xfId="15554" xr:uid="{21E86EB4-839B-43E9-BCDD-5A75AA923DA3}"/>
    <cellStyle name="Normal 58 4" xfId="3444" xr:uid="{00000000-0005-0000-0000-000000260000}"/>
    <cellStyle name="Normal 58 4 2" xfId="10111" xr:uid="{00000000-0005-0000-0000-000001260000}"/>
    <cellStyle name="Normal 58 4 2 2" xfId="18917" xr:uid="{FC5B4B59-EB79-4369-B57D-AFEE326762E5}"/>
    <cellStyle name="Normal 58 4 3" xfId="8509" xr:uid="{00000000-0005-0000-0000-000002260000}"/>
    <cellStyle name="Normal 58 4 3 2" xfId="17318" xr:uid="{4553B257-EA3C-4B47-B52C-5BBABE124501}"/>
    <cellStyle name="Normal 58 4 4" xfId="11721" xr:uid="{00000000-0005-0000-0000-000003260000}"/>
    <cellStyle name="Normal 58 4 4 2" xfId="20464" xr:uid="{9C9D20BC-240F-41AD-BD6D-191AC23402DC}"/>
    <cellStyle name="Normal 58 4 5" xfId="13328" xr:uid="{00000000-0005-0000-0000-000004260000}"/>
    <cellStyle name="Normal 58 4 5 2" xfId="22064" xr:uid="{FF66C454-0B72-4C41-A763-F3F1566D4C38}"/>
    <cellStyle name="Normal 58 4 6" xfId="15558" xr:uid="{4A88E485-397B-494A-B972-140500505FE6}"/>
    <cellStyle name="Normal 58 5" xfId="3445" xr:uid="{00000000-0005-0000-0000-000005260000}"/>
    <cellStyle name="Normal 58 5 2" xfId="10112" xr:uid="{00000000-0005-0000-0000-000006260000}"/>
    <cellStyle name="Normal 58 5 2 2" xfId="18918" xr:uid="{EC6A6669-0322-42DD-9AC6-5F5A45506CD0}"/>
    <cellStyle name="Normal 58 5 3" xfId="8510" xr:uid="{00000000-0005-0000-0000-000007260000}"/>
    <cellStyle name="Normal 58 5 3 2" xfId="17319" xr:uid="{8B0CE7DD-E9AD-4E39-BAC7-A100DA7E8264}"/>
    <cellStyle name="Normal 58 5 4" xfId="11722" xr:uid="{00000000-0005-0000-0000-000008260000}"/>
    <cellStyle name="Normal 58 5 4 2" xfId="20465" xr:uid="{C81F19C8-54DC-4305-A2F3-A47FD6759E90}"/>
    <cellStyle name="Normal 58 5 5" xfId="13329" xr:uid="{00000000-0005-0000-0000-000009260000}"/>
    <cellStyle name="Normal 58 5 5 2" xfId="22065" xr:uid="{E2CB0BD0-DD77-425F-B8E7-9C9BFEF7695F}"/>
    <cellStyle name="Normal 58 5 6" xfId="15559" xr:uid="{1B3EBBB1-AC90-4653-9527-40FEAEA6FEDF}"/>
    <cellStyle name="Normal 58 6" xfId="3446" xr:uid="{00000000-0005-0000-0000-00000A260000}"/>
    <cellStyle name="Normal 58 6 2" xfId="10113" xr:uid="{00000000-0005-0000-0000-00000B260000}"/>
    <cellStyle name="Normal 58 6 2 2" xfId="18919" xr:uid="{831280CE-3BB9-4DF8-A82A-C8E15BC83164}"/>
    <cellStyle name="Normal 58 6 3" xfId="8511" xr:uid="{00000000-0005-0000-0000-00000C260000}"/>
    <cellStyle name="Normal 58 6 3 2" xfId="17320" xr:uid="{EC386385-1EC5-49ED-8B5A-D8B1ADE2C1DC}"/>
    <cellStyle name="Normal 58 6 4" xfId="11723" xr:uid="{00000000-0005-0000-0000-00000D260000}"/>
    <cellStyle name="Normal 58 6 4 2" xfId="20466" xr:uid="{8C913AE3-02EC-44DA-AE20-D300A033D45C}"/>
    <cellStyle name="Normal 58 6 5" xfId="13330" xr:uid="{00000000-0005-0000-0000-00000E260000}"/>
    <cellStyle name="Normal 58 6 5 2" xfId="22066" xr:uid="{9327BDAC-8B77-45E5-B5A6-6196B5119483}"/>
    <cellStyle name="Normal 58 6 6" xfId="15560" xr:uid="{DBB90FF7-8C52-4C38-A14D-A2F1ED98C82B}"/>
    <cellStyle name="Normal 58 7" xfId="10102" xr:uid="{00000000-0005-0000-0000-00000F260000}"/>
    <cellStyle name="Normal 58 7 2" xfId="18908" xr:uid="{33C19C19-3A7D-4247-9CD8-67A5481FC513}"/>
    <cellStyle name="Normal 58 8" xfId="8500" xr:uid="{00000000-0005-0000-0000-000010260000}"/>
    <cellStyle name="Normal 58 8 2" xfId="17309" xr:uid="{22BA7C34-46DB-46FB-884D-0FDC041476FA}"/>
    <cellStyle name="Normal 58 9" xfId="11712" xr:uid="{00000000-0005-0000-0000-000011260000}"/>
    <cellStyle name="Normal 58 9 2" xfId="20455" xr:uid="{D498B7A5-5D46-43B7-A69F-95249B3B10EE}"/>
    <cellStyle name="Normal 59" xfId="3447" xr:uid="{00000000-0005-0000-0000-000012260000}"/>
    <cellStyle name="Normal 59 10" xfId="13331" xr:uid="{00000000-0005-0000-0000-000013260000}"/>
    <cellStyle name="Normal 59 10 2" xfId="22067" xr:uid="{B636008E-9B9A-4B49-8122-E76394F87F94}"/>
    <cellStyle name="Normal 59 11" xfId="15561" xr:uid="{C3DBF855-0482-4BD7-83C1-CE5623D9FD95}"/>
    <cellStyle name="Normal 59 2" xfId="3448" xr:uid="{00000000-0005-0000-0000-000014260000}"/>
    <cellStyle name="Normal 59 2 2" xfId="3449" xr:uid="{00000000-0005-0000-0000-000015260000}"/>
    <cellStyle name="Normal 59 2 2 2" xfId="10116" xr:uid="{00000000-0005-0000-0000-000016260000}"/>
    <cellStyle name="Normal 59 2 2 2 2" xfId="18922" xr:uid="{D278B1EA-CF3C-4179-BD78-F71744FD56E9}"/>
    <cellStyle name="Normal 59 2 2 3" xfId="8514" xr:uid="{00000000-0005-0000-0000-000017260000}"/>
    <cellStyle name="Normal 59 2 2 3 2" xfId="17323" xr:uid="{0A73F147-EAF1-4472-BE32-B941DF3F2AC0}"/>
    <cellStyle name="Normal 59 2 2 4" xfId="11726" xr:uid="{00000000-0005-0000-0000-000018260000}"/>
    <cellStyle name="Normal 59 2 2 4 2" xfId="20469" xr:uid="{0DFE2D8D-6FEB-41DE-AAD9-611F8313BBFC}"/>
    <cellStyle name="Normal 59 2 2 5" xfId="13333" xr:uid="{00000000-0005-0000-0000-000019260000}"/>
    <cellStyle name="Normal 59 2 2 5 2" xfId="22069" xr:uid="{8FB323D5-B5CE-4A9E-9D77-4696C803AD3A}"/>
    <cellStyle name="Normal 59 2 2 6" xfId="15563" xr:uid="{EDB8D59C-D904-42F5-90D1-FC7A3460C3F9}"/>
    <cellStyle name="Normal 59 2 3" xfId="3450" xr:uid="{00000000-0005-0000-0000-00001A260000}"/>
    <cellStyle name="Normal 59 2 3 2" xfId="10117" xr:uid="{00000000-0005-0000-0000-00001B260000}"/>
    <cellStyle name="Normal 59 2 3 2 2" xfId="18923" xr:uid="{26377122-E0D6-42B6-BC1D-EA2FD90845B8}"/>
    <cellStyle name="Normal 59 2 3 3" xfId="8515" xr:uid="{00000000-0005-0000-0000-00001C260000}"/>
    <cellStyle name="Normal 59 2 3 3 2" xfId="17324" xr:uid="{33E3E006-9783-4641-9F1E-DB0B69EFBD8E}"/>
    <cellStyle name="Normal 59 2 3 4" xfId="11727" xr:uid="{00000000-0005-0000-0000-00001D260000}"/>
    <cellStyle name="Normal 59 2 3 4 2" xfId="20470" xr:uid="{2E51DFC2-4A9E-4398-8886-EF3B647A20CB}"/>
    <cellStyle name="Normal 59 2 3 5" xfId="13334" xr:uid="{00000000-0005-0000-0000-00001E260000}"/>
    <cellStyle name="Normal 59 2 3 5 2" xfId="22070" xr:uid="{73B8EE47-CA9E-4C41-86E1-C91AA148088F}"/>
    <cellStyle name="Normal 59 2 3 6" xfId="15564" xr:uid="{E3FF43B0-85AD-4C89-A546-A0C28C9036A1}"/>
    <cellStyle name="Normal 59 2 4" xfId="3451" xr:uid="{00000000-0005-0000-0000-00001F260000}"/>
    <cellStyle name="Normal 59 2 4 2" xfId="10118" xr:uid="{00000000-0005-0000-0000-000020260000}"/>
    <cellStyle name="Normal 59 2 4 2 2" xfId="18924" xr:uid="{D8341BC6-D932-4506-A29B-A2E7F9A7938B}"/>
    <cellStyle name="Normal 59 2 4 3" xfId="8516" xr:uid="{00000000-0005-0000-0000-000021260000}"/>
    <cellStyle name="Normal 59 2 4 3 2" xfId="17325" xr:uid="{F44F6D56-C0F7-407D-9C0E-605DB4813C62}"/>
    <cellStyle name="Normal 59 2 4 4" xfId="11728" xr:uid="{00000000-0005-0000-0000-000022260000}"/>
    <cellStyle name="Normal 59 2 4 4 2" xfId="20471" xr:uid="{04385C47-D6D2-4F61-9910-A6BDD7877A84}"/>
    <cellStyle name="Normal 59 2 4 5" xfId="13335" xr:uid="{00000000-0005-0000-0000-000023260000}"/>
    <cellStyle name="Normal 59 2 4 5 2" xfId="22071" xr:uid="{727787C0-536A-4127-A22F-6C296A73A8A6}"/>
    <cellStyle name="Normal 59 2 4 6" xfId="15565" xr:uid="{C0009D79-9FC7-49D5-A04C-DAD29AAABC2C}"/>
    <cellStyle name="Normal 59 2 5" xfId="10115" xr:uid="{00000000-0005-0000-0000-000024260000}"/>
    <cellStyle name="Normal 59 2 5 2" xfId="18921" xr:uid="{CB268E97-4DBB-4118-859D-A4B473911388}"/>
    <cellStyle name="Normal 59 2 6" xfId="8513" xr:uid="{00000000-0005-0000-0000-000025260000}"/>
    <cellStyle name="Normal 59 2 6 2" xfId="17322" xr:uid="{C802EAD3-9944-44C2-BF1F-E354CD669D59}"/>
    <cellStyle name="Normal 59 2 7" xfId="11725" xr:uid="{00000000-0005-0000-0000-000026260000}"/>
    <cellStyle name="Normal 59 2 7 2" xfId="20468" xr:uid="{5E907726-D8C6-4F1C-B28A-5A3A0903E8AE}"/>
    <cellStyle name="Normal 59 2 8" xfId="13332" xr:uid="{00000000-0005-0000-0000-000027260000}"/>
    <cellStyle name="Normal 59 2 8 2" xfId="22068" xr:uid="{1F50F6F1-D8D7-4E59-819C-01E6A79E00E0}"/>
    <cellStyle name="Normal 59 2 9" xfId="15562" xr:uid="{6D1CD9DC-21E3-4AA5-ABFE-D86710805E30}"/>
    <cellStyle name="Normal 59 3" xfId="3452" xr:uid="{00000000-0005-0000-0000-000028260000}"/>
    <cellStyle name="Normal 59 3 2" xfId="3453" xr:uid="{00000000-0005-0000-0000-000029260000}"/>
    <cellStyle name="Normal 59 3 2 2" xfId="10120" xr:uid="{00000000-0005-0000-0000-00002A260000}"/>
    <cellStyle name="Normal 59 3 2 2 2" xfId="18926" xr:uid="{8E9CCE57-271A-42C6-A42D-D5D9BCBD6EE4}"/>
    <cellStyle name="Normal 59 3 2 3" xfId="8518" xr:uid="{00000000-0005-0000-0000-00002B260000}"/>
    <cellStyle name="Normal 59 3 2 3 2" xfId="17327" xr:uid="{57D939B8-0ED7-4854-BD5D-E73898B1DB09}"/>
    <cellStyle name="Normal 59 3 2 4" xfId="11730" xr:uid="{00000000-0005-0000-0000-00002C260000}"/>
    <cellStyle name="Normal 59 3 2 4 2" xfId="20473" xr:uid="{DD5F06D6-ED28-47A4-A7F0-C7A8D44FC63C}"/>
    <cellStyle name="Normal 59 3 2 5" xfId="13337" xr:uid="{00000000-0005-0000-0000-00002D260000}"/>
    <cellStyle name="Normal 59 3 2 5 2" xfId="22073" xr:uid="{91E36EF4-1CC4-47B1-8C5B-7E66E8175F01}"/>
    <cellStyle name="Normal 59 3 2 6" xfId="15567" xr:uid="{7BCCBB42-F5DB-4B15-9A1D-4FA1E19EDEDB}"/>
    <cellStyle name="Normal 59 3 3" xfId="3454" xr:uid="{00000000-0005-0000-0000-00002E260000}"/>
    <cellStyle name="Normal 59 3 3 2" xfId="10121" xr:uid="{00000000-0005-0000-0000-00002F260000}"/>
    <cellStyle name="Normal 59 3 3 2 2" xfId="18927" xr:uid="{092206E2-52A1-4308-BA7E-E375559EDDB5}"/>
    <cellStyle name="Normal 59 3 3 3" xfId="8519" xr:uid="{00000000-0005-0000-0000-000030260000}"/>
    <cellStyle name="Normal 59 3 3 3 2" xfId="17328" xr:uid="{C53735C6-A77B-499A-BC1E-0748191C1417}"/>
    <cellStyle name="Normal 59 3 3 4" xfId="11731" xr:uid="{00000000-0005-0000-0000-000031260000}"/>
    <cellStyle name="Normal 59 3 3 4 2" xfId="20474" xr:uid="{BB964809-8536-42EE-80DB-420C67AB1FB0}"/>
    <cellStyle name="Normal 59 3 3 5" xfId="13338" xr:uid="{00000000-0005-0000-0000-000032260000}"/>
    <cellStyle name="Normal 59 3 3 5 2" xfId="22074" xr:uid="{D4422F86-1EDE-4CF4-92EC-A0793F5E01DF}"/>
    <cellStyle name="Normal 59 3 3 6" xfId="15568" xr:uid="{7D5ADC4C-ADFC-4C51-A9BB-2654B49CEF9A}"/>
    <cellStyle name="Normal 59 3 4" xfId="3455" xr:uid="{00000000-0005-0000-0000-000033260000}"/>
    <cellStyle name="Normal 59 3 4 2" xfId="10122" xr:uid="{00000000-0005-0000-0000-000034260000}"/>
    <cellStyle name="Normal 59 3 4 2 2" xfId="18928" xr:uid="{87867EC9-ED37-4A83-859F-5C536FB68EA4}"/>
    <cellStyle name="Normal 59 3 4 3" xfId="8520" xr:uid="{00000000-0005-0000-0000-000035260000}"/>
    <cellStyle name="Normal 59 3 4 3 2" xfId="17329" xr:uid="{B193E87F-2D43-46F5-BE6F-FC87C0C309F1}"/>
    <cellStyle name="Normal 59 3 4 4" xfId="11732" xr:uid="{00000000-0005-0000-0000-000036260000}"/>
    <cellStyle name="Normal 59 3 4 4 2" xfId="20475" xr:uid="{6FDF7A09-3DCD-4D98-93D3-775BCAD7018A}"/>
    <cellStyle name="Normal 59 3 4 5" xfId="13339" xr:uid="{00000000-0005-0000-0000-000037260000}"/>
    <cellStyle name="Normal 59 3 4 5 2" xfId="22075" xr:uid="{8113CE05-F150-47CB-B1C2-F2C7B67CC49F}"/>
    <cellStyle name="Normal 59 3 4 6" xfId="15569" xr:uid="{303040CC-C52B-47B4-97E2-D10DFF8C91A5}"/>
    <cellStyle name="Normal 59 3 5" xfId="10119" xr:uid="{00000000-0005-0000-0000-000038260000}"/>
    <cellStyle name="Normal 59 3 5 2" xfId="18925" xr:uid="{32545647-2203-4BDA-AE65-72A3D1B24CC5}"/>
    <cellStyle name="Normal 59 3 6" xfId="8517" xr:uid="{00000000-0005-0000-0000-000039260000}"/>
    <cellStyle name="Normal 59 3 6 2" xfId="17326" xr:uid="{636C8809-2E05-4027-8B16-1E5F23B283B0}"/>
    <cellStyle name="Normal 59 3 7" xfId="11729" xr:uid="{00000000-0005-0000-0000-00003A260000}"/>
    <cellStyle name="Normal 59 3 7 2" xfId="20472" xr:uid="{EFD61605-79C4-4716-A48A-BA2F78526777}"/>
    <cellStyle name="Normal 59 3 8" xfId="13336" xr:uid="{00000000-0005-0000-0000-00003B260000}"/>
    <cellStyle name="Normal 59 3 8 2" xfId="22072" xr:uid="{7BF6787C-6728-4439-AE2D-0AFB44AB8B5D}"/>
    <cellStyle name="Normal 59 3 9" xfId="15566" xr:uid="{9DED4676-C2AD-4A35-8925-B169D6C3785D}"/>
    <cellStyle name="Normal 59 4" xfId="3456" xr:uid="{00000000-0005-0000-0000-00003C260000}"/>
    <cellStyle name="Normal 59 4 2" xfId="10123" xr:uid="{00000000-0005-0000-0000-00003D260000}"/>
    <cellStyle name="Normal 59 4 2 2" xfId="18929" xr:uid="{5A33074C-ADFB-46F8-8C30-F706FC548224}"/>
    <cellStyle name="Normal 59 4 3" xfId="8521" xr:uid="{00000000-0005-0000-0000-00003E260000}"/>
    <cellStyle name="Normal 59 4 3 2" xfId="17330" xr:uid="{14B29CE2-4536-48AB-8614-A33B965A7EE4}"/>
    <cellStyle name="Normal 59 4 4" xfId="11733" xr:uid="{00000000-0005-0000-0000-00003F260000}"/>
    <cellStyle name="Normal 59 4 4 2" xfId="20476" xr:uid="{611319D0-D19B-4D0E-932C-51714E7C974A}"/>
    <cellStyle name="Normal 59 4 5" xfId="13340" xr:uid="{00000000-0005-0000-0000-000040260000}"/>
    <cellStyle name="Normal 59 4 5 2" xfId="22076" xr:uid="{D4318792-2D4A-44DF-8DA1-468016C1A92E}"/>
    <cellStyle name="Normal 59 4 6" xfId="15570" xr:uid="{F6D6F24F-0E7D-44FE-9075-567CBEF976B3}"/>
    <cellStyle name="Normal 59 5" xfId="3457" xr:uid="{00000000-0005-0000-0000-000041260000}"/>
    <cellStyle name="Normal 59 5 2" xfId="10124" xr:uid="{00000000-0005-0000-0000-000042260000}"/>
    <cellStyle name="Normal 59 5 2 2" xfId="18930" xr:uid="{FACB82C8-2EAE-435D-A44F-195BFEE368B8}"/>
    <cellStyle name="Normal 59 5 3" xfId="8522" xr:uid="{00000000-0005-0000-0000-000043260000}"/>
    <cellStyle name="Normal 59 5 3 2" xfId="17331" xr:uid="{30EC9ECE-A9EA-4142-AAA4-D5C0FB0EC43C}"/>
    <cellStyle name="Normal 59 5 4" xfId="11734" xr:uid="{00000000-0005-0000-0000-000044260000}"/>
    <cellStyle name="Normal 59 5 4 2" xfId="20477" xr:uid="{44067F25-B814-4CE9-9940-2DE503588635}"/>
    <cellStyle name="Normal 59 5 5" xfId="13341" xr:uid="{00000000-0005-0000-0000-000045260000}"/>
    <cellStyle name="Normal 59 5 5 2" xfId="22077" xr:uid="{7B2B3397-8445-46EF-8F98-86F6CD14C540}"/>
    <cellStyle name="Normal 59 5 6" xfId="15571" xr:uid="{DC045085-3AD3-4694-909A-2CA1D202FF58}"/>
    <cellStyle name="Normal 59 6" xfId="3458" xr:uid="{00000000-0005-0000-0000-000046260000}"/>
    <cellStyle name="Normal 59 6 2" xfId="10125" xr:uid="{00000000-0005-0000-0000-000047260000}"/>
    <cellStyle name="Normal 59 6 2 2" xfId="18931" xr:uid="{0B29E75F-6750-4A72-BF3E-2759BA045A45}"/>
    <cellStyle name="Normal 59 6 3" xfId="8523" xr:uid="{00000000-0005-0000-0000-000048260000}"/>
    <cellStyle name="Normal 59 6 3 2" xfId="17332" xr:uid="{8901DFA9-0C91-4619-8A5C-80266464B7C9}"/>
    <cellStyle name="Normal 59 6 4" xfId="11735" xr:uid="{00000000-0005-0000-0000-000049260000}"/>
    <cellStyle name="Normal 59 6 4 2" xfId="20478" xr:uid="{91F6ACFC-9976-46BA-9C93-EE061434EFF6}"/>
    <cellStyle name="Normal 59 6 5" xfId="13342" xr:uid="{00000000-0005-0000-0000-00004A260000}"/>
    <cellStyle name="Normal 59 6 5 2" xfId="22078" xr:uid="{39B29BD9-9D68-470E-BD02-6C7EA9BD4136}"/>
    <cellStyle name="Normal 59 6 6" xfId="15572" xr:uid="{69914EA5-8042-41F6-A84A-2B85A7CE859A}"/>
    <cellStyle name="Normal 59 7" xfId="10114" xr:uid="{00000000-0005-0000-0000-00004B260000}"/>
    <cellStyle name="Normal 59 7 2" xfId="18920" xr:uid="{4810E139-273C-40D9-9669-A0198C49F176}"/>
    <cellStyle name="Normal 59 8" xfId="8512" xr:uid="{00000000-0005-0000-0000-00004C260000}"/>
    <cellStyle name="Normal 59 8 2" xfId="17321" xr:uid="{BD97F5D4-1D27-4672-A21B-E0C286866BC0}"/>
    <cellStyle name="Normal 59 9" xfId="11724" xr:uid="{00000000-0005-0000-0000-00004D260000}"/>
    <cellStyle name="Normal 59 9 2" xfId="20467" xr:uid="{CC0DB125-9D79-4C92-BF28-517EC10222EE}"/>
    <cellStyle name="Normal 6" xfId="142" xr:uid="{00000000-0005-0000-0000-00004E260000}"/>
    <cellStyle name="Normal 6 10" xfId="3459" xr:uid="{00000000-0005-0000-0000-00004F260000}"/>
    <cellStyle name="Normal 6 10 2" xfId="10458" xr:uid="{00000000-0005-0000-0000-000050260000}"/>
    <cellStyle name="Normal 6 10 2 2" xfId="19257" xr:uid="{87AF3F98-A9B1-4472-B8D7-1863FB442ABA}"/>
    <cellStyle name="Normal 6 11" xfId="7395" xr:uid="{00000000-0005-0000-0000-000051260000}"/>
    <cellStyle name="Normal 6 12" xfId="10616" xr:uid="{00000000-0005-0000-0000-000052260000}"/>
    <cellStyle name="Normal 6 12 2" xfId="19375" xr:uid="{93F37AD0-CE2E-4EB0-99C9-D5C423229729}"/>
    <cellStyle name="Normal 6 13" xfId="14120" xr:uid="{C644E477-5725-470E-A540-FFD7B2CE8D78}"/>
    <cellStyle name="Normal 6 2" xfId="3460" xr:uid="{00000000-0005-0000-0000-000053260000}"/>
    <cellStyle name="Normal 6 2 10" xfId="11736" xr:uid="{00000000-0005-0000-0000-000054260000}"/>
    <cellStyle name="Normal 6 2 10 2" xfId="20479" xr:uid="{15A49975-2B8A-45D5-939E-BE6CC15024F9}"/>
    <cellStyle name="Normal 6 2 11" xfId="13343" xr:uid="{00000000-0005-0000-0000-000055260000}"/>
    <cellStyle name="Normal 6 2 11 2" xfId="22079" xr:uid="{6FDD9604-EF19-4200-AD51-BC6BAB35768E}"/>
    <cellStyle name="Normal 6 2 12" xfId="15573" xr:uid="{53456961-9A87-4CC2-8444-7CC063FC5B0B}"/>
    <cellStyle name="Normal 6 2 2" xfId="3461" xr:uid="{00000000-0005-0000-0000-000056260000}"/>
    <cellStyle name="Normal 6 2 2 2" xfId="3462" xr:uid="{00000000-0005-0000-0000-000057260000}"/>
    <cellStyle name="Normal 6 2 2 2 2" xfId="10128" xr:uid="{00000000-0005-0000-0000-000058260000}"/>
    <cellStyle name="Normal 6 2 2 2 2 2" xfId="18934" xr:uid="{08057669-66C0-4F76-8859-9DC4D09BEB53}"/>
    <cellStyle name="Normal 6 2 2 2 3" xfId="8526" xr:uid="{00000000-0005-0000-0000-000059260000}"/>
    <cellStyle name="Normal 6 2 2 2 3 2" xfId="17335" xr:uid="{B5EDE704-7CEE-4A61-9C9B-DF574CC9E128}"/>
    <cellStyle name="Normal 6 2 2 2 4" xfId="11738" xr:uid="{00000000-0005-0000-0000-00005A260000}"/>
    <cellStyle name="Normal 6 2 2 2 4 2" xfId="20481" xr:uid="{FC047791-8F57-424E-81AA-1066C833F29E}"/>
    <cellStyle name="Normal 6 2 2 2 5" xfId="13345" xr:uid="{00000000-0005-0000-0000-00005B260000}"/>
    <cellStyle name="Normal 6 2 2 2 5 2" xfId="22081" xr:uid="{54E5DF28-9737-4F14-8C17-9A7108AD298D}"/>
    <cellStyle name="Normal 6 2 2 2 6" xfId="15575" xr:uid="{A25BC223-5C83-4579-AC32-CA869B5609DA}"/>
    <cellStyle name="Normal 6 2 2 3" xfId="3463" xr:uid="{00000000-0005-0000-0000-00005C260000}"/>
    <cellStyle name="Normal 6 2 2 3 2" xfId="10129" xr:uid="{00000000-0005-0000-0000-00005D260000}"/>
    <cellStyle name="Normal 6 2 2 3 2 2" xfId="18935" xr:uid="{65817DD0-7A57-457E-822F-9F748A00C042}"/>
    <cellStyle name="Normal 6 2 2 3 3" xfId="8527" xr:uid="{00000000-0005-0000-0000-00005E260000}"/>
    <cellStyle name="Normal 6 2 2 3 3 2" xfId="17336" xr:uid="{F4CF1F55-6EFA-40CD-A5E7-B95E4E7FC15C}"/>
    <cellStyle name="Normal 6 2 2 3 4" xfId="11739" xr:uid="{00000000-0005-0000-0000-00005F260000}"/>
    <cellStyle name="Normal 6 2 2 3 4 2" xfId="20482" xr:uid="{EE4A1DD7-5166-4002-98CE-51F48EAE437F}"/>
    <cellStyle name="Normal 6 2 2 3 5" xfId="13346" xr:uid="{00000000-0005-0000-0000-000060260000}"/>
    <cellStyle name="Normal 6 2 2 3 5 2" xfId="22082" xr:uid="{0204E4FC-FC01-4197-A095-3D9D7D9F80CC}"/>
    <cellStyle name="Normal 6 2 2 3 6" xfId="15576" xr:uid="{B28B7850-235C-4448-BA67-AFDF55F633B3}"/>
    <cellStyle name="Normal 6 2 2 4" xfId="3464" xr:uid="{00000000-0005-0000-0000-000061260000}"/>
    <cellStyle name="Normal 6 2 2 4 2" xfId="10130" xr:uid="{00000000-0005-0000-0000-000062260000}"/>
    <cellStyle name="Normal 6 2 2 4 2 2" xfId="18936" xr:uid="{2EA7F4FB-0E2D-46F4-B1BA-6CD3FE2ACA18}"/>
    <cellStyle name="Normal 6 2 2 4 3" xfId="8528" xr:uid="{00000000-0005-0000-0000-000063260000}"/>
    <cellStyle name="Normal 6 2 2 4 3 2" xfId="17337" xr:uid="{52CF03BA-26B4-432D-904F-E050287261F4}"/>
    <cellStyle name="Normal 6 2 2 4 4" xfId="11740" xr:uid="{00000000-0005-0000-0000-000064260000}"/>
    <cellStyle name="Normal 6 2 2 4 4 2" xfId="20483" xr:uid="{2B58BFA3-CAE1-4E7A-8CBB-535943DB1ED8}"/>
    <cellStyle name="Normal 6 2 2 4 5" xfId="13347" xr:uid="{00000000-0005-0000-0000-000065260000}"/>
    <cellStyle name="Normal 6 2 2 4 5 2" xfId="22083" xr:uid="{C0B40A1A-7035-485F-91AF-6A3A737B1CB1}"/>
    <cellStyle name="Normal 6 2 2 4 6" xfId="15577" xr:uid="{79AB0D25-DBB2-4FFA-964E-EEF02FF0089A}"/>
    <cellStyle name="Normal 6 2 2 5" xfId="10127" xr:uid="{00000000-0005-0000-0000-000066260000}"/>
    <cellStyle name="Normal 6 2 2 5 2" xfId="18933" xr:uid="{510BE40E-598D-4856-ADD1-2316B89CDA0D}"/>
    <cellStyle name="Normal 6 2 2 6" xfId="8525" xr:uid="{00000000-0005-0000-0000-000067260000}"/>
    <cellStyle name="Normal 6 2 2 6 2" xfId="17334" xr:uid="{067C080D-D4AE-410F-ABB3-DE6F0427D999}"/>
    <cellStyle name="Normal 6 2 2 7" xfId="11737" xr:uid="{00000000-0005-0000-0000-000068260000}"/>
    <cellStyle name="Normal 6 2 2 7 2" xfId="20480" xr:uid="{A19D8347-F551-4308-ADF9-1A98EB868456}"/>
    <cellStyle name="Normal 6 2 2 8" xfId="13344" xr:uid="{00000000-0005-0000-0000-000069260000}"/>
    <cellStyle name="Normal 6 2 2 8 2" xfId="22080" xr:uid="{9A6368E2-39A2-4023-A1A8-A805515F5662}"/>
    <cellStyle name="Normal 6 2 2 9" xfId="15574" xr:uid="{293D8AB3-626D-4992-AFBB-9A207FB215B9}"/>
    <cellStyle name="Normal 6 2 3" xfId="3465" xr:uid="{00000000-0005-0000-0000-00006A260000}"/>
    <cellStyle name="Normal 6 2 3 2" xfId="3466" xr:uid="{00000000-0005-0000-0000-00006B260000}"/>
    <cellStyle name="Normal 6 2 3 2 2" xfId="10132" xr:uid="{00000000-0005-0000-0000-00006C260000}"/>
    <cellStyle name="Normal 6 2 3 2 2 2" xfId="18938" xr:uid="{5EB487CD-B8D1-4E7F-AD93-5BCCB2040765}"/>
    <cellStyle name="Normal 6 2 3 2 3" xfId="8530" xr:uid="{00000000-0005-0000-0000-00006D260000}"/>
    <cellStyle name="Normal 6 2 3 2 3 2" xfId="17339" xr:uid="{A210AD58-519A-417A-8075-EA2A8FF29968}"/>
    <cellStyle name="Normal 6 2 3 2 4" xfId="11742" xr:uid="{00000000-0005-0000-0000-00006E260000}"/>
    <cellStyle name="Normal 6 2 3 2 4 2" xfId="20485" xr:uid="{9FEB0044-A92B-4CB3-B2CD-04BAC140144C}"/>
    <cellStyle name="Normal 6 2 3 2 5" xfId="13349" xr:uid="{00000000-0005-0000-0000-00006F260000}"/>
    <cellStyle name="Normal 6 2 3 2 5 2" xfId="22085" xr:uid="{3ECC8964-346C-49DA-B6F4-76232EE502D2}"/>
    <cellStyle name="Normal 6 2 3 2 6" xfId="15579" xr:uid="{5979AB62-4A89-4AD9-BD61-70C0007F1016}"/>
    <cellStyle name="Normal 6 2 3 3" xfId="3467" xr:uid="{00000000-0005-0000-0000-000070260000}"/>
    <cellStyle name="Normal 6 2 3 3 2" xfId="10133" xr:uid="{00000000-0005-0000-0000-000071260000}"/>
    <cellStyle name="Normal 6 2 3 3 2 2" xfId="18939" xr:uid="{B771EB08-1207-484A-97F1-0DBD9BA87C0D}"/>
    <cellStyle name="Normal 6 2 3 3 3" xfId="8531" xr:uid="{00000000-0005-0000-0000-000072260000}"/>
    <cellStyle name="Normal 6 2 3 3 3 2" xfId="17340" xr:uid="{7E35EF03-22C7-42D0-8DCD-BD4EC043A936}"/>
    <cellStyle name="Normal 6 2 3 3 4" xfId="11743" xr:uid="{00000000-0005-0000-0000-000073260000}"/>
    <cellStyle name="Normal 6 2 3 3 4 2" xfId="20486" xr:uid="{A113A69B-1B2F-4EF7-80D9-869D396A7073}"/>
    <cellStyle name="Normal 6 2 3 3 5" xfId="13350" xr:uid="{00000000-0005-0000-0000-000074260000}"/>
    <cellStyle name="Normal 6 2 3 3 5 2" xfId="22086" xr:uid="{152A30E9-7CA0-439C-AB04-454446B62459}"/>
    <cellStyle name="Normal 6 2 3 3 6" xfId="15580" xr:uid="{129D5430-5C65-4F8B-9E80-3FAD0457E825}"/>
    <cellStyle name="Normal 6 2 3 4" xfId="3468" xr:uid="{00000000-0005-0000-0000-000075260000}"/>
    <cellStyle name="Normal 6 2 3 4 2" xfId="10134" xr:uid="{00000000-0005-0000-0000-000076260000}"/>
    <cellStyle name="Normal 6 2 3 4 2 2" xfId="18940" xr:uid="{44A7FA22-DA48-4570-BDD1-0338B3B9DDC9}"/>
    <cellStyle name="Normal 6 2 3 4 3" xfId="8532" xr:uid="{00000000-0005-0000-0000-000077260000}"/>
    <cellStyle name="Normal 6 2 3 4 3 2" xfId="17341" xr:uid="{93EEEFA6-CBEB-4DFB-A57F-C3CBC954D235}"/>
    <cellStyle name="Normal 6 2 3 4 4" xfId="11744" xr:uid="{00000000-0005-0000-0000-000078260000}"/>
    <cellStyle name="Normal 6 2 3 4 4 2" xfId="20487" xr:uid="{3FDD34CF-6780-48BE-A9A4-8443507275CC}"/>
    <cellStyle name="Normal 6 2 3 4 5" xfId="13351" xr:uid="{00000000-0005-0000-0000-000079260000}"/>
    <cellStyle name="Normal 6 2 3 4 5 2" xfId="22087" xr:uid="{2FF3BCA0-A373-4F93-9308-BA46A1045AD9}"/>
    <cellStyle name="Normal 6 2 3 4 6" xfId="15581" xr:uid="{EA565286-0BD3-4043-9FB4-49BE8705BECA}"/>
    <cellStyle name="Normal 6 2 3 5" xfId="10131" xr:uid="{00000000-0005-0000-0000-00007A260000}"/>
    <cellStyle name="Normal 6 2 3 5 2" xfId="18937" xr:uid="{09E61D97-41A0-4ECD-84C1-8AF960F69722}"/>
    <cellStyle name="Normal 6 2 3 6" xfId="8529" xr:uid="{00000000-0005-0000-0000-00007B260000}"/>
    <cellStyle name="Normal 6 2 3 6 2" xfId="17338" xr:uid="{AD9DD665-3157-49B5-A1CC-592F8E4080AA}"/>
    <cellStyle name="Normal 6 2 3 7" xfId="11741" xr:uid="{00000000-0005-0000-0000-00007C260000}"/>
    <cellStyle name="Normal 6 2 3 7 2" xfId="20484" xr:uid="{A1A0749C-B84F-4AF5-937A-BB4FCE652DF4}"/>
    <cellStyle name="Normal 6 2 3 8" xfId="13348" xr:uid="{00000000-0005-0000-0000-00007D260000}"/>
    <cellStyle name="Normal 6 2 3 8 2" xfId="22084" xr:uid="{A0C409F6-CF3B-4975-8041-4EAFC8A9FB5F}"/>
    <cellStyle name="Normal 6 2 3 9" xfId="15578" xr:uid="{90D38915-6F8A-47EF-88C0-4C1DEC282EEA}"/>
    <cellStyle name="Normal 6 2 4" xfId="3469" xr:uid="{00000000-0005-0000-0000-00007E260000}"/>
    <cellStyle name="Normal 6 2 4 2" xfId="10135" xr:uid="{00000000-0005-0000-0000-00007F260000}"/>
    <cellStyle name="Normal 6 2 4 2 2" xfId="18941" xr:uid="{056DA3A3-FFBC-4ECC-9E87-B1577E056CFE}"/>
    <cellStyle name="Normal 6 2 4 3" xfId="8533" xr:uid="{00000000-0005-0000-0000-000080260000}"/>
    <cellStyle name="Normal 6 2 4 3 2" xfId="17342" xr:uid="{92BA93EC-9A4C-4B14-BBE8-647C63DB33C6}"/>
    <cellStyle name="Normal 6 2 4 4" xfId="11745" xr:uid="{00000000-0005-0000-0000-000081260000}"/>
    <cellStyle name="Normal 6 2 4 4 2" xfId="20488" xr:uid="{5E487415-D43B-40DF-BB71-9417D41777E6}"/>
    <cellStyle name="Normal 6 2 4 5" xfId="13352" xr:uid="{00000000-0005-0000-0000-000082260000}"/>
    <cellStyle name="Normal 6 2 4 5 2" xfId="22088" xr:uid="{1B35282D-E381-4E0C-BD4F-F955A57593FC}"/>
    <cellStyle name="Normal 6 2 4 6" xfId="15582" xr:uid="{77C1FAB2-B624-489A-B802-BFA72F5D0BF9}"/>
    <cellStyle name="Normal 6 2 5" xfId="3470" xr:uid="{00000000-0005-0000-0000-000083260000}"/>
    <cellStyle name="Normal 6 2 5 2" xfId="10136" xr:uid="{00000000-0005-0000-0000-000084260000}"/>
    <cellStyle name="Normal 6 2 5 2 2" xfId="18942" xr:uid="{1ECEB3A5-96CB-4EB6-99D7-0A8536C28F11}"/>
    <cellStyle name="Normal 6 2 5 3" xfId="8534" xr:uid="{00000000-0005-0000-0000-000085260000}"/>
    <cellStyle name="Normal 6 2 5 3 2" xfId="17343" xr:uid="{8F0A9750-D64B-4723-B559-174D4AE818AD}"/>
    <cellStyle name="Normal 6 2 5 4" xfId="11746" xr:uid="{00000000-0005-0000-0000-000086260000}"/>
    <cellStyle name="Normal 6 2 5 4 2" xfId="20489" xr:uid="{6710417D-75DA-4C27-BCBC-856E6BC468DC}"/>
    <cellStyle name="Normal 6 2 5 5" xfId="13353" xr:uid="{00000000-0005-0000-0000-000087260000}"/>
    <cellStyle name="Normal 6 2 5 5 2" xfId="22089" xr:uid="{A9959D04-F436-40DB-81AC-1C2E40E56498}"/>
    <cellStyle name="Normal 6 2 5 6" xfId="15583" xr:uid="{7D9F0E85-549B-4C6B-BD95-E6A5632BB6DC}"/>
    <cellStyle name="Normal 6 2 6" xfId="3471" xr:uid="{00000000-0005-0000-0000-000088260000}"/>
    <cellStyle name="Normal 6 2 6 2" xfId="10137" xr:uid="{00000000-0005-0000-0000-000089260000}"/>
    <cellStyle name="Normal 6 2 6 2 2" xfId="18943" xr:uid="{3265926E-10AC-450B-BEA6-53FC7A6F7C5F}"/>
    <cellStyle name="Normal 6 2 6 3" xfId="8535" xr:uid="{00000000-0005-0000-0000-00008A260000}"/>
    <cellStyle name="Normal 6 2 6 3 2" xfId="17344" xr:uid="{1073D1DF-DF93-4412-9CC4-BF34214AB4C4}"/>
    <cellStyle name="Normal 6 2 6 4" xfId="11747" xr:uid="{00000000-0005-0000-0000-00008B260000}"/>
    <cellStyle name="Normal 6 2 6 4 2" xfId="20490" xr:uid="{0437ADA8-A5A2-482F-AC73-DF7EF0332B13}"/>
    <cellStyle name="Normal 6 2 6 5" xfId="13354" xr:uid="{00000000-0005-0000-0000-00008C260000}"/>
    <cellStyle name="Normal 6 2 6 5 2" xfId="22090" xr:uid="{EB84DA00-7C1B-4897-BC76-203EB3B382C8}"/>
    <cellStyle name="Normal 6 2 6 6" xfId="15584" xr:uid="{9A26FB47-FE5F-4B06-8E2F-CAFDFBD3F8A5}"/>
    <cellStyle name="Normal 6 2 7" xfId="4903" xr:uid="{00000000-0005-0000-0000-00008D260000}"/>
    <cellStyle name="Normal 6 2 8" xfId="10126" xr:uid="{00000000-0005-0000-0000-00008E260000}"/>
    <cellStyle name="Normal 6 2 8 2" xfId="18932" xr:uid="{0CFD1755-87A0-4523-84E0-BC90B4C70804}"/>
    <cellStyle name="Normal 6 2 9" xfId="8524" xr:uid="{00000000-0005-0000-0000-00008F260000}"/>
    <cellStyle name="Normal 6 2 9 2" xfId="17333" xr:uid="{1ED5D0CA-EAC1-4E61-9211-B6180FC27BF7}"/>
    <cellStyle name="Normal 6 3" xfId="3472" xr:uid="{00000000-0005-0000-0000-000090260000}"/>
    <cellStyle name="Normal 6 3 2" xfId="3473" xr:uid="{00000000-0005-0000-0000-000091260000}"/>
    <cellStyle name="Normal 6 3 2 2" xfId="10139" xr:uid="{00000000-0005-0000-0000-000092260000}"/>
    <cellStyle name="Normal 6 3 2 2 2" xfId="18945" xr:uid="{25936468-C12F-4351-AE7C-9A4B1ABD9ED6}"/>
    <cellStyle name="Normal 6 3 2 3" xfId="8537" xr:uid="{00000000-0005-0000-0000-000093260000}"/>
    <cellStyle name="Normal 6 3 2 3 2" xfId="17346" xr:uid="{F87368AE-FAB1-459A-80BB-2896B9452115}"/>
    <cellStyle name="Normal 6 3 2 4" xfId="11749" xr:uid="{00000000-0005-0000-0000-000094260000}"/>
    <cellStyle name="Normal 6 3 2 4 2" xfId="20492" xr:uid="{7C543B6F-5A5E-45DD-A944-311A9F6BEBA1}"/>
    <cellStyle name="Normal 6 3 2 5" xfId="13356" xr:uid="{00000000-0005-0000-0000-000095260000}"/>
    <cellStyle name="Normal 6 3 2 5 2" xfId="22092" xr:uid="{C4DA0674-8880-410C-8A38-8029B33E7AA4}"/>
    <cellStyle name="Normal 6 3 2 6" xfId="15586" xr:uid="{478808EC-DB6A-4E0F-AAA1-543275838C1C}"/>
    <cellStyle name="Normal 6 3 3" xfId="3474" xr:uid="{00000000-0005-0000-0000-000096260000}"/>
    <cellStyle name="Normal 6 3 3 2" xfId="10140" xr:uid="{00000000-0005-0000-0000-000097260000}"/>
    <cellStyle name="Normal 6 3 3 2 2" xfId="18946" xr:uid="{B2EB115A-62F1-4581-AD46-33BEC0C60ABB}"/>
    <cellStyle name="Normal 6 3 3 3" xfId="8538" xr:uid="{00000000-0005-0000-0000-000098260000}"/>
    <cellStyle name="Normal 6 3 3 3 2" xfId="17347" xr:uid="{7DED92EA-69A6-45FC-8595-232734D1F95E}"/>
    <cellStyle name="Normal 6 3 3 4" xfId="11750" xr:uid="{00000000-0005-0000-0000-000099260000}"/>
    <cellStyle name="Normal 6 3 3 4 2" xfId="20493" xr:uid="{295AAEA3-6E4E-451F-B709-692EE90D7431}"/>
    <cellStyle name="Normal 6 3 3 5" xfId="13357" xr:uid="{00000000-0005-0000-0000-00009A260000}"/>
    <cellStyle name="Normal 6 3 3 5 2" xfId="22093" xr:uid="{98679954-32DC-43EE-93AF-AE0A928B5547}"/>
    <cellStyle name="Normal 6 3 3 6" xfId="15587" xr:uid="{92CF0E63-74BC-4721-8F6A-64D3650736DC}"/>
    <cellStyle name="Normal 6 3 4" xfId="3475" xr:uid="{00000000-0005-0000-0000-00009B260000}"/>
    <cellStyle name="Normal 6 3 4 2" xfId="10141" xr:uid="{00000000-0005-0000-0000-00009C260000}"/>
    <cellStyle name="Normal 6 3 4 2 2" xfId="18947" xr:uid="{368E2B74-D7B5-4040-8E00-19D7141A92D6}"/>
    <cellStyle name="Normal 6 3 4 3" xfId="8539" xr:uid="{00000000-0005-0000-0000-00009D260000}"/>
    <cellStyle name="Normal 6 3 4 3 2" xfId="17348" xr:uid="{2EC56041-34D7-4612-AE2A-AF9CDB0EE387}"/>
    <cellStyle name="Normal 6 3 4 4" xfId="11751" xr:uid="{00000000-0005-0000-0000-00009E260000}"/>
    <cellStyle name="Normal 6 3 4 4 2" xfId="20494" xr:uid="{75362D2F-699C-4A14-9EEE-592B62A64F16}"/>
    <cellStyle name="Normal 6 3 4 5" xfId="13358" xr:uid="{00000000-0005-0000-0000-00009F260000}"/>
    <cellStyle name="Normal 6 3 4 5 2" xfId="22094" xr:uid="{AC1BD6C4-2615-47A5-8B15-DFDED749EE01}"/>
    <cellStyle name="Normal 6 3 4 6" xfId="15588" xr:uid="{D492758A-7918-43FF-8230-A0263A96FD38}"/>
    <cellStyle name="Normal 6 3 5" xfId="10138" xr:uid="{00000000-0005-0000-0000-0000A0260000}"/>
    <cellStyle name="Normal 6 3 5 2" xfId="18944" xr:uid="{D0BC790C-04EC-4B95-B91A-E97E0C12616D}"/>
    <cellStyle name="Normal 6 3 6" xfId="8536" xr:uid="{00000000-0005-0000-0000-0000A1260000}"/>
    <cellStyle name="Normal 6 3 6 2" xfId="17345" xr:uid="{0560D1D9-1272-47F8-87B8-73776E04C7E1}"/>
    <cellStyle name="Normal 6 3 7" xfId="11748" xr:uid="{00000000-0005-0000-0000-0000A2260000}"/>
    <cellStyle name="Normal 6 3 7 2" xfId="20491" xr:uid="{4CF0E8BC-198C-4BA4-8DFA-F8B21396BD9E}"/>
    <cellStyle name="Normal 6 3 8" xfId="13355" xr:uid="{00000000-0005-0000-0000-0000A3260000}"/>
    <cellStyle name="Normal 6 3 8 2" xfId="22091" xr:uid="{911D8045-BCB8-4BD4-BE62-35527CD8DB0C}"/>
    <cellStyle name="Normal 6 3 9" xfId="15585" xr:uid="{B4C3AB61-DBDE-48EA-B58D-C8365CCED052}"/>
    <cellStyle name="Normal 6 4" xfId="3476" xr:uid="{00000000-0005-0000-0000-0000A4260000}"/>
    <cellStyle name="Normal 6 4 2" xfId="3477" xr:uid="{00000000-0005-0000-0000-0000A5260000}"/>
    <cellStyle name="Normal 6 4 2 2" xfId="10143" xr:uid="{00000000-0005-0000-0000-0000A6260000}"/>
    <cellStyle name="Normal 6 4 2 2 2" xfId="18949" xr:uid="{8924E150-0120-40B2-8E5D-E3FDF2D45255}"/>
    <cellStyle name="Normal 6 4 2 3" xfId="8541" xr:uid="{00000000-0005-0000-0000-0000A7260000}"/>
    <cellStyle name="Normal 6 4 2 3 2" xfId="17350" xr:uid="{DE215EBB-EDCE-47C5-B55F-BFA61309EB3F}"/>
    <cellStyle name="Normal 6 4 2 4" xfId="11753" xr:uid="{00000000-0005-0000-0000-0000A8260000}"/>
    <cellStyle name="Normal 6 4 2 4 2" xfId="20496" xr:uid="{C5E2DFE6-F03E-46EF-93D3-F7D0B04A30FA}"/>
    <cellStyle name="Normal 6 4 2 5" xfId="13360" xr:uid="{00000000-0005-0000-0000-0000A9260000}"/>
    <cellStyle name="Normal 6 4 2 5 2" xfId="22096" xr:uid="{07D305F0-E429-4C1B-8929-C955AAD21875}"/>
    <cellStyle name="Normal 6 4 2 6" xfId="15590" xr:uid="{39AD15FC-8E98-4741-92E5-52DA162487B6}"/>
    <cellStyle name="Normal 6 4 3" xfId="3478" xr:uid="{00000000-0005-0000-0000-0000AA260000}"/>
    <cellStyle name="Normal 6 4 3 2" xfId="10144" xr:uid="{00000000-0005-0000-0000-0000AB260000}"/>
    <cellStyle name="Normal 6 4 3 2 2" xfId="18950" xr:uid="{770624E7-2541-4E96-952D-8882C778D263}"/>
    <cellStyle name="Normal 6 4 3 3" xfId="8542" xr:uid="{00000000-0005-0000-0000-0000AC260000}"/>
    <cellStyle name="Normal 6 4 3 3 2" xfId="17351" xr:uid="{26A1F9AE-B517-4234-8878-DEED62FF5E44}"/>
    <cellStyle name="Normal 6 4 3 4" xfId="11754" xr:uid="{00000000-0005-0000-0000-0000AD260000}"/>
    <cellStyle name="Normal 6 4 3 4 2" xfId="20497" xr:uid="{458C71A6-7EC9-4CE6-AF3A-ADC5DE208983}"/>
    <cellStyle name="Normal 6 4 3 5" xfId="13361" xr:uid="{00000000-0005-0000-0000-0000AE260000}"/>
    <cellStyle name="Normal 6 4 3 5 2" xfId="22097" xr:uid="{1EB6B0EC-8D47-4393-AEF6-19C3F8B62B25}"/>
    <cellStyle name="Normal 6 4 3 6" xfId="15591" xr:uid="{27370344-1BFE-4AFB-9CD3-49F3972AAAE4}"/>
    <cellStyle name="Normal 6 4 4" xfId="3479" xr:uid="{00000000-0005-0000-0000-0000AF260000}"/>
    <cellStyle name="Normal 6 4 4 2" xfId="10145" xr:uid="{00000000-0005-0000-0000-0000B0260000}"/>
    <cellStyle name="Normal 6 4 4 2 2" xfId="18951" xr:uid="{1AE8B8D5-103F-4183-9637-32AF71401BE1}"/>
    <cellStyle name="Normal 6 4 4 3" xfId="8543" xr:uid="{00000000-0005-0000-0000-0000B1260000}"/>
    <cellStyle name="Normal 6 4 4 3 2" xfId="17352" xr:uid="{13223D9A-6F97-4E43-8273-5C83E457F63C}"/>
    <cellStyle name="Normal 6 4 4 4" xfId="11755" xr:uid="{00000000-0005-0000-0000-0000B2260000}"/>
    <cellStyle name="Normal 6 4 4 4 2" xfId="20498" xr:uid="{1958109A-7F8B-4422-A8C6-21ECBD89E4F8}"/>
    <cellStyle name="Normal 6 4 4 5" xfId="13362" xr:uid="{00000000-0005-0000-0000-0000B3260000}"/>
    <cellStyle name="Normal 6 4 4 5 2" xfId="22098" xr:uid="{8E7CDF6E-17B1-4A54-98E7-D0902BDCB4D3}"/>
    <cellStyle name="Normal 6 4 4 6" xfId="15592" xr:uid="{261DC2E9-6E78-4995-85F8-127B8BA52AED}"/>
    <cellStyle name="Normal 6 4 5" xfId="10142" xr:uid="{00000000-0005-0000-0000-0000B4260000}"/>
    <cellStyle name="Normal 6 4 5 2" xfId="18948" xr:uid="{F579BA3D-2115-4F55-89EF-D51A0076100A}"/>
    <cellStyle name="Normal 6 4 6" xfId="8540" xr:uid="{00000000-0005-0000-0000-0000B5260000}"/>
    <cellStyle name="Normal 6 4 6 2" xfId="17349" xr:uid="{3681A497-3D30-40A6-9386-E2B35FC284B0}"/>
    <cellStyle name="Normal 6 4 7" xfId="11752" xr:uid="{00000000-0005-0000-0000-0000B6260000}"/>
    <cellStyle name="Normal 6 4 7 2" xfId="20495" xr:uid="{F302962F-5638-43B6-8FAA-C07C81B63651}"/>
    <cellStyle name="Normal 6 4 8" xfId="13359" xr:uid="{00000000-0005-0000-0000-0000B7260000}"/>
    <cellStyle name="Normal 6 4 8 2" xfId="22095" xr:uid="{8F603FE8-6FFE-4A12-9DB6-3FE2AF9A41A2}"/>
    <cellStyle name="Normal 6 4 9" xfId="15589" xr:uid="{F039CFA5-47EF-44C8-A823-990552FEA545}"/>
    <cellStyle name="Normal 6 5" xfId="3480" xr:uid="{00000000-0005-0000-0000-0000B8260000}"/>
    <cellStyle name="Normal 6 5 2" xfId="3481" xr:uid="{00000000-0005-0000-0000-0000B9260000}"/>
    <cellStyle name="Normal 6 5 2 2" xfId="10147" xr:uid="{00000000-0005-0000-0000-0000BA260000}"/>
    <cellStyle name="Normal 6 5 2 2 2" xfId="18953" xr:uid="{DEA25E88-1BF5-45B0-95FF-2233F984C57C}"/>
    <cellStyle name="Normal 6 5 2 3" xfId="8545" xr:uid="{00000000-0005-0000-0000-0000BB260000}"/>
    <cellStyle name="Normal 6 5 2 3 2" xfId="17354" xr:uid="{FF916CA2-E279-417E-9BA3-4A7819C3E86D}"/>
    <cellStyle name="Normal 6 5 2 4" xfId="11757" xr:uid="{00000000-0005-0000-0000-0000BC260000}"/>
    <cellStyle name="Normal 6 5 2 4 2" xfId="20500" xr:uid="{B17CD9B9-F073-49A9-9BF9-1A35AFF108E2}"/>
    <cellStyle name="Normal 6 5 2 5" xfId="13364" xr:uid="{00000000-0005-0000-0000-0000BD260000}"/>
    <cellStyle name="Normal 6 5 2 5 2" xfId="22100" xr:uid="{0C96EC20-75D4-4E39-A5F7-CA1817C8108C}"/>
    <cellStyle name="Normal 6 5 2 6" xfId="15594" xr:uid="{2F0402F8-F607-4200-A68D-580993FEE222}"/>
    <cellStyle name="Normal 6 5 3" xfId="3482" xr:uid="{00000000-0005-0000-0000-0000BE260000}"/>
    <cellStyle name="Normal 6 5 3 2" xfId="10148" xr:uid="{00000000-0005-0000-0000-0000BF260000}"/>
    <cellStyle name="Normal 6 5 3 2 2" xfId="18954" xr:uid="{ACD791E2-3C5D-4415-B66D-ED18E6FF9972}"/>
    <cellStyle name="Normal 6 5 3 3" xfId="8546" xr:uid="{00000000-0005-0000-0000-0000C0260000}"/>
    <cellStyle name="Normal 6 5 3 3 2" xfId="17355" xr:uid="{B0503B24-51B5-4C6B-AA62-51E9F875A156}"/>
    <cellStyle name="Normal 6 5 3 4" xfId="11758" xr:uid="{00000000-0005-0000-0000-0000C1260000}"/>
    <cellStyle name="Normal 6 5 3 4 2" xfId="20501" xr:uid="{CCD2D229-809D-4513-B766-00C5516F528C}"/>
    <cellStyle name="Normal 6 5 3 5" xfId="13365" xr:uid="{00000000-0005-0000-0000-0000C2260000}"/>
    <cellStyle name="Normal 6 5 3 5 2" xfId="22101" xr:uid="{ECFEAA43-E5B7-4924-97A9-ACC5FFCD8E24}"/>
    <cellStyle name="Normal 6 5 3 6" xfId="15595" xr:uid="{07313BC6-FE6D-4CD4-99D6-235DDB0975EF}"/>
    <cellStyle name="Normal 6 5 4" xfId="3483" xr:uid="{00000000-0005-0000-0000-0000C3260000}"/>
    <cellStyle name="Normal 6 5 4 2" xfId="10149" xr:uid="{00000000-0005-0000-0000-0000C4260000}"/>
    <cellStyle name="Normal 6 5 4 2 2" xfId="18955" xr:uid="{03A300EA-578B-4627-B7E7-2B2BA7C3E664}"/>
    <cellStyle name="Normal 6 5 4 3" xfId="8547" xr:uid="{00000000-0005-0000-0000-0000C5260000}"/>
    <cellStyle name="Normal 6 5 4 3 2" xfId="17356" xr:uid="{E41CC1C2-C34C-4368-860A-91BA238979FF}"/>
    <cellStyle name="Normal 6 5 4 4" xfId="11759" xr:uid="{00000000-0005-0000-0000-0000C6260000}"/>
    <cellStyle name="Normal 6 5 4 4 2" xfId="20502" xr:uid="{A9225BC3-362C-4B2B-9C7A-6260B273A0D7}"/>
    <cellStyle name="Normal 6 5 4 5" xfId="13366" xr:uid="{00000000-0005-0000-0000-0000C7260000}"/>
    <cellStyle name="Normal 6 5 4 5 2" xfId="22102" xr:uid="{6A43DE54-A267-45C5-8F19-C64F77826DE9}"/>
    <cellStyle name="Normal 6 5 4 6" xfId="15596" xr:uid="{DCCF451E-73DC-4B70-BE44-B0C0925CF0E2}"/>
    <cellStyle name="Normal 6 5 5" xfId="10146" xr:uid="{00000000-0005-0000-0000-0000C8260000}"/>
    <cellStyle name="Normal 6 5 5 2" xfId="18952" xr:uid="{2182A9CA-9F91-4627-9878-EA29D7365F0F}"/>
    <cellStyle name="Normal 6 5 6" xfId="8544" xr:uid="{00000000-0005-0000-0000-0000C9260000}"/>
    <cellStyle name="Normal 6 5 6 2" xfId="17353" xr:uid="{049D83D4-1883-4FD4-8D85-2FC14E583012}"/>
    <cellStyle name="Normal 6 5 7" xfId="11756" xr:uid="{00000000-0005-0000-0000-0000CA260000}"/>
    <cellStyle name="Normal 6 5 7 2" xfId="20499" xr:uid="{559B3D13-5783-4473-B0C7-1B8FEC5E614E}"/>
    <cellStyle name="Normal 6 5 8" xfId="13363" xr:uid="{00000000-0005-0000-0000-0000CB260000}"/>
    <cellStyle name="Normal 6 5 8 2" xfId="22099" xr:uid="{B302CC8F-9D6C-4377-8BD2-68AC29493135}"/>
    <cellStyle name="Normal 6 5 9" xfId="15593" xr:uid="{4F05226E-53E7-4709-8C26-575D73FB72DB}"/>
    <cellStyle name="Normal 6 6" xfId="3484" xr:uid="{00000000-0005-0000-0000-0000CC260000}"/>
    <cellStyle name="Normal 6 6 2" xfId="10150" xr:uid="{00000000-0005-0000-0000-0000CD260000}"/>
    <cellStyle name="Normal 6 6 2 2" xfId="18956" xr:uid="{49A87B98-8EFC-41C0-A1FF-893B25956074}"/>
    <cellStyle name="Normal 6 6 3" xfId="8548" xr:uid="{00000000-0005-0000-0000-0000CE260000}"/>
    <cellStyle name="Normal 6 6 3 2" xfId="17357" xr:uid="{02A5AECF-F679-42C6-BB6D-3C974F2A9116}"/>
    <cellStyle name="Normal 6 6 4" xfId="11760" xr:uid="{00000000-0005-0000-0000-0000CF260000}"/>
    <cellStyle name="Normal 6 6 4 2" xfId="20503" xr:uid="{FFFE1DB4-3522-4342-9CA5-D53A158DB795}"/>
    <cellStyle name="Normal 6 6 5" xfId="13367" xr:uid="{00000000-0005-0000-0000-0000D0260000}"/>
    <cellStyle name="Normal 6 6 5 2" xfId="22103" xr:uid="{442FCB45-6257-449B-B00F-44ED2BB91A7B}"/>
    <cellStyle name="Normal 6 6 6" xfId="15597" xr:uid="{FF7840FF-F193-46A7-9B95-BC7DBD4FA699}"/>
    <cellStyle name="Normal 6 7" xfId="3485" xr:uid="{00000000-0005-0000-0000-0000D1260000}"/>
    <cellStyle name="Normal 6 7 2" xfId="10151" xr:uid="{00000000-0005-0000-0000-0000D2260000}"/>
    <cellStyle name="Normal 6 7 2 2" xfId="18957" xr:uid="{7E62BA17-A034-4BE7-937C-55CC0E4FE654}"/>
    <cellStyle name="Normal 6 7 3" xfId="8549" xr:uid="{00000000-0005-0000-0000-0000D3260000}"/>
    <cellStyle name="Normal 6 7 3 2" xfId="17358" xr:uid="{853A9389-BDAA-4037-AC0F-7B1C24B98A0A}"/>
    <cellStyle name="Normal 6 7 4" xfId="11761" xr:uid="{00000000-0005-0000-0000-0000D4260000}"/>
    <cellStyle name="Normal 6 7 4 2" xfId="20504" xr:uid="{671E67CB-748E-4506-819F-B677BAB510CD}"/>
    <cellStyle name="Normal 6 7 5" xfId="13368" xr:uid="{00000000-0005-0000-0000-0000D5260000}"/>
    <cellStyle name="Normal 6 7 5 2" xfId="22104" xr:uid="{1A72BFEC-CFB4-40D3-9053-4BC77CB7EE1E}"/>
    <cellStyle name="Normal 6 7 6" xfId="15598" xr:uid="{E35828DE-5C5B-43A5-AD79-1B29DBC3D4B3}"/>
    <cellStyle name="Normal 6 8" xfId="3486" xr:uid="{00000000-0005-0000-0000-0000D6260000}"/>
    <cellStyle name="Normal 6 8 2" xfId="10152" xr:uid="{00000000-0005-0000-0000-0000D7260000}"/>
    <cellStyle name="Normal 6 8 2 2" xfId="18958" xr:uid="{FAA1A9B9-6919-4F0F-A573-0725A4E073F3}"/>
    <cellStyle name="Normal 6 8 3" xfId="8550" xr:uid="{00000000-0005-0000-0000-0000D8260000}"/>
    <cellStyle name="Normal 6 8 3 2" xfId="17359" xr:uid="{AC15E8A4-60BB-431A-A038-503DB670381D}"/>
    <cellStyle name="Normal 6 8 4" xfId="11762" xr:uid="{00000000-0005-0000-0000-0000D9260000}"/>
    <cellStyle name="Normal 6 8 4 2" xfId="20505" xr:uid="{D2DE73E8-05EE-43F4-A220-1E2D6841B5DE}"/>
    <cellStyle name="Normal 6 8 5" xfId="13369" xr:uid="{00000000-0005-0000-0000-0000DA260000}"/>
    <cellStyle name="Normal 6 8 5 2" xfId="22105" xr:uid="{610A033E-DA8F-404B-870E-BE1C971F3B5B}"/>
    <cellStyle name="Normal 6 8 6" xfId="15599" xr:uid="{F14BD3BA-1C50-4F89-BC95-2DA257A55548}"/>
    <cellStyle name="Normal 6 9" xfId="3487" xr:uid="{00000000-0005-0000-0000-0000DB260000}"/>
    <cellStyle name="Normal 6 9 2" xfId="10153" xr:uid="{00000000-0005-0000-0000-0000DC260000}"/>
    <cellStyle name="Normal 6 9 2 2" xfId="18959" xr:uid="{A6102683-8F1F-4EA7-B10A-83288F9325F5}"/>
    <cellStyle name="Normal 6 9 3" xfId="8551" xr:uid="{00000000-0005-0000-0000-0000DD260000}"/>
    <cellStyle name="Normal 6 9 3 2" xfId="17360" xr:uid="{01FB732A-1C02-4E74-8541-EE9398D90B36}"/>
    <cellStyle name="Normal 6 9 4" xfId="11763" xr:uid="{00000000-0005-0000-0000-0000DE260000}"/>
    <cellStyle name="Normal 6 9 4 2" xfId="20506" xr:uid="{1621C448-83A2-48C6-9BDA-5C52C3BC54DD}"/>
    <cellStyle name="Normal 6 9 5" xfId="13370" xr:uid="{00000000-0005-0000-0000-0000DF260000}"/>
    <cellStyle name="Normal 6 9 5 2" xfId="22106" xr:uid="{BFB6887C-1954-4017-A124-355D6695250F}"/>
    <cellStyle name="Normal 6 9 6" xfId="15600" xr:uid="{0519F91F-7556-4DF5-B288-14ED2728396F}"/>
    <cellStyle name="Normal 60" xfId="3488" xr:uid="{00000000-0005-0000-0000-0000E0260000}"/>
    <cellStyle name="Normal 60 2" xfId="3489" xr:uid="{00000000-0005-0000-0000-0000E1260000}"/>
    <cellStyle name="Normal 60 2 2" xfId="10155" xr:uid="{00000000-0005-0000-0000-0000E2260000}"/>
    <cellStyle name="Normal 60 2 2 2" xfId="18961" xr:uid="{75DA8E80-BE83-490E-A88C-0E59FD76430C}"/>
    <cellStyle name="Normal 60 2 3" xfId="8553" xr:uid="{00000000-0005-0000-0000-0000E3260000}"/>
    <cellStyle name="Normal 60 2 3 2" xfId="17362" xr:uid="{0B247710-DA67-4563-AB29-AE78B7354B89}"/>
    <cellStyle name="Normal 60 2 4" xfId="11765" xr:uid="{00000000-0005-0000-0000-0000E4260000}"/>
    <cellStyle name="Normal 60 2 4 2" xfId="20508" xr:uid="{13F6880D-2683-48F0-AB17-5D61CB36A7F1}"/>
    <cellStyle name="Normal 60 2 5" xfId="13372" xr:uid="{00000000-0005-0000-0000-0000E5260000}"/>
    <cellStyle name="Normal 60 2 5 2" xfId="22108" xr:uid="{39BB1F2E-E26E-42B1-85CA-63D46F1487BF}"/>
    <cellStyle name="Normal 60 2 6" xfId="15602" xr:uid="{95D70335-84A6-4D2A-8E47-608C8EAFD3DE}"/>
    <cellStyle name="Normal 60 3" xfId="3490" xr:uid="{00000000-0005-0000-0000-0000E6260000}"/>
    <cellStyle name="Normal 60 3 2" xfId="10156" xr:uid="{00000000-0005-0000-0000-0000E7260000}"/>
    <cellStyle name="Normal 60 3 2 2" xfId="18962" xr:uid="{22BC1FC9-E53B-4D4A-B613-A1F1C22C7CB9}"/>
    <cellStyle name="Normal 60 3 3" xfId="8554" xr:uid="{00000000-0005-0000-0000-0000E8260000}"/>
    <cellStyle name="Normal 60 3 3 2" xfId="17363" xr:uid="{1E408F3B-B951-493B-B24E-539A2397DC2C}"/>
    <cellStyle name="Normal 60 3 4" xfId="11766" xr:uid="{00000000-0005-0000-0000-0000E9260000}"/>
    <cellStyle name="Normal 60 3 4 2" xfId="20509" xr:uid="{617D0DC0-939E-46D5-A610-33E909E2C114}"/>
    <cellStyle name="Normal 60 3 5" xfId="13373" xr:uid="{00000000-0005-0000-0000-0000EA260000}"/>
    <cellStyle name="Normal 60 3 5 2" xfId="22109" xr:uid="{2B12A206-530E-47CC-8614-CD45DEAAC930}"/>
    <cellStyle name="Normal 60 3 6" xfId="15603" xr:uid="{B0A7E80F-8D81-49EE-8E3D-B5726536CEF1}"/>
    <cellStyle name="Normal 60 4" xfId="3491" xr:uid="{00000000-0005-0000-0000-0000EB260000}"/>
    <cellStyle name="Normal 60 4 2" xfId="10157" xr:uid="{00000000-0005-0000-0000-0000EC260000}"/>
    <cellStyle name="Normal 60 4 2 2" xfId="18963" xr:uid="{C0DBC5DF-0031-4570-B27B-DD7E8F3474FD}"/>
    <cellStyle name="Normal 60 4 3" xfId="8555" xr:uid="{00000000-0005-0000-0000-0000ED260000}"/>
    <cellStyle name="Normal 60 4 3 2" xfId="17364" xr:uid="{653377F2-C9A0-499D-A243-AEED8D034FCA}"/>
    <cellStyle name="Normal 60 4 4" xfId="11767" xr:uid="{00000000-0005-0000-0000-0000EE260000}"/>
    <cellStyle name="Normal 60 4 4 2" xfId="20510" xr:uid="{69BBDB4A-1F2C-4407-BC91-66B072D932C4}"/>
    <cellStyle name="Normal 60 4 5" xfId="13374" xr:uid="{00000000-0005-0000-0000-0000EF260000}"/>
    <cellStyle name="Normal 60 4 5 2" xfId="22110" xr:uid="{7500EDFC-21C6-4F68-9899-75607C8840E1}"/>
    <cellStyle name="Normal 60 4 6" xfId="15604" xr:uid="{1EB01249-AC10-4E19-A053-0F2FC1CE9F76}"/>
    <cellStyle name="Normal 60 5" xfId="10154" xr:uid="{00000000-0005-0000-0000-0000F0260000}"/>
    <cellStyle name="Normal 60 5 2" xfId="18960" xr:uid="{57FAF791-7AF4-4B46-96A8-F13D556E5B7A}"/>
    <cellStyle name="Normal 60 6" xfId="8552" xr:uid="{00000000-0005-0000-0000-0000F1260000}"/>
    <cellStyle name="Normal 60 6 2" xfId="17361" xr:uid="{C877636C-4311-4423-B100-692B2D9324E4}"/>
    <cellStyle name="Normal 60 7" xfId="11764" xr:uid="{00000000-0005-0000-0000-0000F2260000}"/>
    <cellStyle name="Normal 60 7 2" xfId="20507" xr:uid="{39289D0A-7CB7-44E3-85B0-A58EFB0551EE}"/>
    <cellStyle name="Normal 60 8" xfId="13371" xr:uid="{00000000-0005-0000-0000-0000F3260000}"/>
    <cellStyle name="Normal 60 8 2" xfId="22107" xr:uid="{9C9CC806-E40E-49B8-BE3A-4783DB29B1F6}"/>
    <cellStyle name="Normal 60 9" xfId="15601" xr:uid="{6AD0FEFE-B01C-4F80-A168-3039CE4B6AE5}"/>
    <cellStyle name="Normal 61" xfId="3492" xr:uid="{00000000-0005-0000-0000-0000F4260000}"/>
    <cellStyle name="Normal 61 2" xfId="3493" xr:uid="{00000000-0005-0000-0000-0000F5260000}"/>
    <cellStyle name="Normal 61 2 2" xfId="10159" xr:uid="{00000000-0005-0000-0000-0000F6260000}"/>
    <cellStyle name="Normal 61 2 2 2" xfId="18965" xr:uid="{381F461A-D4C4-4A6C-87C7-61EADDF8FA70}"/>
    <cellStyle name="Normal 61 2 3" xfId="8557" xr:uid="{00000000-0005-0000-0000-0000F7260000}"/>
    <cellStyle name="Normal 61 2 3 2" xfId="17366" xr:uid="{871BCE6C-6AA0-4E57-97FE-B8AE40CABCC6}"/>
    <cellStyle name="Normal 61 2 4" xfId="11769" xr:uid="{00000000-0005-0000-0000-0000F8260000}"/>
    <cellStyle name="Normal 61 2 4 2" xfId="20512" xr:uid="{1E9D7A1F-2934-40B6-BF98-81ACAAC47AB0}"/>
    <cellStyle name="Normal 61 2 5" xfId="13376" xr:uid="{00000000-0005-0000-0000-0000F9260000}"/>
    <cellStyle name="Normal 61 2 5 2" xfId="22112" xr:uid="{102B1B86-89D9-4D51-90FB-1FFB5266C508}"/>
    <cellStyle name="Normal 61 2 6" xfId="15606" xr:uid="{FA1C6AF1-2651-44C0-BB04-9E3BD660ADBE}"/>
    <cellStyle name="Normal 61 3" xfId="3494" xr:uid="{00000000-0005-0000-0000-0000FA260000}"/>
    <cellStyle name="Normal 61 3 2" xfId="10160" xr:uid="{00000000-0005-0000-0000-0000FB260000}"/>
    <cellStyle name="Normal 61 3 2 2" xfId="18966" xr:uid="{E6BB27AB-7845-4C30-A0C9-75494A38434F}"/>
    <cellStyle name="Normal 61 3 3" xfId="8558" xr:uid="{00000000-0005-0000-0000-0000FC260000}"/>
    <cellStyle name="Normal 61 3 3 2" xfId="17367" xr:uid="{F5333E61-1497-4F33-845F-3C47BD483D0C}"/>
    <cellStyle name="Normal 61 3 4" xfId="11770" xr:uid="{00000000-0005-0000-0000-0000FD260000}"/>
    <cellStyle name="Normal 61 3 4 2" xfId="20513" xr:uid="{3EE02B81-1CCF-46A4-BF38-98C1456B99D3}"/>
    <cellStyle name="Normal 61 3 5" xfId="13377" xr:uid="{00000000-0005-0000-0000-0000FE260000}"/>
    <cellStyle name="Normal 61 3 5 2" xfId="22113" xr:uid="{B9C0E4BC-6689-446C-A6C3-183FF720BB6D}"/>
    <cellStyle name="Normal 61 3 6" xfId="15607" xr:uid="{5117532F-6276-4BCB-9C62-7BCC4B8047CD}"/>
    <cellStyle name="Normal 61 4" xfId="3495" xr:uid="{00000000-0005-0000-0000-0000FF260000}"/>
    <cellStyle name="Normal 61 4 2" xfId="10161" xr:uid="{00000000-0005-0000-0000-000000270000}"/>
    <cellStyle name="Normal 61 4 2 2" xfId="18967" xr:uid="{9AD5F37C-CC88-4189-857F-AA61C352A326}"/>
    <cellStyle name="Normal 61 4 3" xfId="8559" xr:uid="{00000000-0005-0000-0000-000001270000}"/>
    <cellStyle name="Normal 61 4 3 2" xfId="17368" xr:uid="{A64E9CF0-1EBF-478B-A9B1-DFEA13711DB3}"/>
    <cellStyle name="Normal 61 4 4" xfId="11771" xr:uid="{00000000-0005-0000-0000-000002270000}"/>
    <cellStyle name="Normal 61 4 4 2" xfId="20514" xr:uid="{F30A82F5-A730-4280-BB8B-656DEED9D104}"/>
    <cellStyle name="Normal 61 4 5" xfId="13378" xr:uid="{00000000-0005-0000-0000-000003270000}"/>
    <cellStyle name="Normal 61 4 5 2" xfId="22114" xr:uid="{A30AA403-4154-48E4-88BD-E8D74BF6363A}"/>
    <cellStyle name="Normal 61 4 6" xfId="15608" xr:uid="{6E33D0D5-BC49-4796-AEB2-7087DECDA34F}"/>
    <cellStyle name="Normal 61 5" xfId="10158" xr:uid="{00000000-0005-0000-0000-000004270000}"/>
    <cellStyle name="Normal 61 5 2" xfId="18964" xr:uid="{709F0068-49C4-4469-8583-86AB6BB501CE}"/>
    <cellStyle name="Normal 61 6" xfId="8556" xr:uid="{00000000-0005-0000-0000-000005270000}"/>
    <cellStyle name="Normal 61 6 2" xfId="17365" xr:uid="{62911138-375D-4A5E-B433-9EABCE221F20}"/>
    <cellStyle name="Normal 61 7" xfId="11768" xr:uid="{00000000-0005-0000-0000-000006270000}"/>
    <cellStyle name="Normal 61 7 2" xfId="20511" xr:uid="{1004BB5D-43E4-4F38-9B9B-262F804134B5}"/>
    <cellStyle name="Normal 61 8" xfId="13375" xr:uid="{00000000-0005-0000-0000-000007270000}"/>
    <cellStyle name="Normal 61 8 2" xfId="22111" xr:uid="{121A9DA6-4B6C-4C4F-A053-B34663BD59A9}"/>
    <cellStyle name="Normal 61 9" xfId="15605" xr:uid="{F6C48DAB-A8C0-4EB1-B9A5-D54D78ED592B}"/>
    <cellStyle name="Normal 62" xfId="3496" xr:uid="{00000000-0005-0000-0000-000008270000}"/>
    <cellStyle name="Normal 62 2" xfId="3497" xr:uid="{00000000-0005-0000-0000-000009270000}"/>
    <cellStyle name="Normal 62 2 2" xfId="10163" xr:uid="{00000000-0005-0000-0000-00000A270000}"/>
    <cellStyle name="Normal 62 2 2 2" xfId="18969" xr:uid="{482E8023-500A-4E49-8412-E92DC9AD8F6E}"/>
    <cellStyle name="Normal 62 2 3" xfId="8561" xr:uid="{00000000-0005-0000-0000-00000B270000}"/>
    <cellStyle name="Normal 62 2 3 2" xfId="17370" xr:uid="{C5C606E3-7313-4698-864E-01F9E8926CCA}"/>
    <cellStyle name="Normal 62 2 4" xfId="11773" xr:uid="{00000000-0005-0000-0000-00000C270000}"/>
    <cellStyle name="Normal 62 2 4 2" xfId="20516" xr:uid="{F43CA24B-E364-42B3-A82F-228E16F831EA}"/>
    <cellStyle name="Normal 62 2 5" xfId="13380" xr:uid="{00000000-0005-0000-0000-00000D270000}"/>
    <cellStyle name="Normal 62 2 5 2" xfId="22116" xr:uid="{22ADCB31-0911-40AD-8A80-CE1052FB13D2}"/>
    <cellStyle name="Normal 62 2 6" xfId="15610" xr:uid="{A386554A-C53B-4100-9A32-E63654822DAE}"/>
    <cellStyle name="Normal 62 3" xfId="3498" xr:uid="{00000000-0005-0000-0000-00000E270000}"/>
    <cellStyle name="Normal 62 3 2" xfId="10164" xr:uid="{00000000-0005-0000-0000-00000F270000}"/>
    <cellStyle name="Normal 62 3 2 2" xfId="18970" xr:uid="{7060121C-A95C-45BC-B293-094F370F965D}"/>
    <cellStyle name="Normal 62 3 3" xfId="8562" xr:uid="{00000000-0005-0000-0000-000010270000}"/>
    <cellStyle name="Normal 62 3 3 2" xfId="17371" xr:uid="{4AB2221D-5A1D-4F50-B73D-CC3F22CCF6E7}"/>
    <cellStyle name="Normal 62 3 4" xfId="11774" xr:uid="{00000000-0005-0000-0000-000011270000}"/>
    <cellStyle name="Normal 62 3 4 2" xfId="20517" xr:uid="{B3799E6A-2093-48C9-B7D4-C9B21CF3BEF2}"/>
    <cellStyle name="Normal 62 3 5" xfId="13381" xr:uid="{00000000-0005-0000-0000-000012270000}"/>
    <cellStyle name="Normal 62 3 5 2" xfId="22117" xr:uid="{2DC280FE-43A5-4836-96F7-95248B35B6DC}"/>
    <cellStyle name="Normal 62 3 6" xfId="15611" xr:uid="{BAECE975-703B-437A-B6FD-E3B9E23FA240}"/>
    <cellStyle name="Normal 62 4" xfId="3499" xr:uid="{00000000-0005-0000-0000-000013270000}"/>
    <cellStyle name="Normal 62 4 2" xfId="10165" xr:uid="{00000000-0005-0000-0000-000014270000}"/>
    <cellStyle name="Normal 62 4 2 2" xfId="18971" xr:uid="{3E31DCB2-33D3-4D51-BD54-2BEC4B5B78B9}"/>
    <cellStyle name="Normal 62 4 3" xfId="8563" xr:uid="{00000000-0005-0000-0000-000015270000}"/>
    <cellStyle name="Normal 62 4 3 2" xfId="17372" xr:uid="{7FBA5955-D87C-42B3-85A5-8ECE6255A93D}"/>
    <cellStyle name="Normal 62 4 4" xfId="11775" xr:uid="{00000000-0005-0000-0000-000016270000}"/>
    <cellStyle name="Normal 62 4 4 2" xfId="20518" xr:uid="{2847AA9A-A504-490A-96F4-5BB1F356D7F1}"/>
    <cellStyle name="Normal 62 4 5" xfId="13382" xr:uid="{00000000-0005-0000-0000-000017270000}"/>
    <cellStyle name="Normal 62 4 5 2" xfId="22118" xr:uid="{678221A4-DBBA-43CE-9693-E85141E3B7A9}"/>
    <cellStyle name="Normal 62 4 6" xfId="15612" xr:uid="{FADDA877-18FD-4BBE-9A9E-24B1E13A038F}"/>
    <cellStyle name="Normal 62 5" xfId="10162" xr:uid="{00000000-0005-0000-0000-000018270000}"/>
    <cellStyle name="Normal 62 5 2" xfId="18968" xr:uid="{15FEAF99-9A43-41B3-8CF9-0CD088EFED6F}"/>
    <cellStyle name="Normal 62 6" xfId="8560" xr:uid="{00000000-0005-0000-0000-000019270000}"/>
    <cellStyle name="Normal 62 6 2" xfId="17369" xr:uid="{3A36A981-A56C-4CA7-83DE-1065E86767AE}"/>
    <cellStyle name="Normal 62 7" xfId="11772" xr:uid="{00000000-0005-0000-0000-00001A270000}"/>
    <cellStyle name="Normal 62 7 2" xfId="20515" xr:uid="{05ED3B4B-E436-47D7-9DA9-8728D0E87826}"/>
    <cellStyle name="Normal 62 8" xfId="13379" xr:uid="{00000000-0005-0000-0000-00001B270000}"/>
    <cellStyle name="Normal 62 8 2" xfId="22115" xr:uid="{7701E1BC-A6CA-4688-93E7-ED7E4446A768}"/>
    <cellStyle name="Normal 62 9" xfId="15609" xr:uid="{A95D5BCE-0FA1-4540-B6B8-596F2E1BA9EC}"/>
    <cellStyle name="Normal 63" xfId="3500" xr:uid="{00000000-0005-0000-0000-00001C270000}"/>
    <cellStyle name="Normal 63 2" xfId="3501" xr:uid="{00000000-0005-0000-0000-00001D270000}"/>
    <cellStyle name="Normal 63 2 2" xfId="10167" xr:uid="{00000000-0005-0000-0000-00001E270000}"/>
    <cellStyle name="Normal 63 2 2 2" xfId="18973" xr:uid="{A88526FD-A299-45AC-B30E-B0DD63DCE148}"/>
    <cellStyle name="Normal 63 2 3" xfId="8565" xr:uid="{00000000-0005-0000-0000-00001F270000}"/>
    <cellStyle name="Normal 63 2 3 2" xfId="17374" xr:uid="{EE1A266E-3D89-412C-9123-598B166098BF}"/>
    <cellStyle name="Normal 63 2 4" xfId="11777" xr:uid="{00000000-0005-0000-0000-000020270000}"/>
    <cellStyle name="Normal 63 2 4 2" xfId="20520" xr:uid="{1C19646F-4295-43C8-8E07-CC16C12623FD}"/>
    <cellStyle name="Normal 63 2 5" xfId="13384" xr:uid="{00000000-0005-0000-0000-000021270000}"/>
    <cellStyle name="Normal 63 2 5 2" xfId="22120" xr:uid="{14370BEE-5842-4680-B4C7-BADFF715CE7A}"/>
    <cellStyle name="Normal 63 2 6" xfId="15614" xr:uid="{957C9BBE-1603-410B-876E-834037C3ACD2}"/>
    <cellStyle name="Normal 63 3" xfId="3502" xr:uid="{00000000-0005-0000-0000-000022270000}"/>
    <cellStyle name="Normal 63 3 2" xfId="10168" xr:uid="{00000000-0005-0000-0000-000023270000}"/>
    <cellStyle name="Normal 63 3 2 2" xfId="18974" xr:uid="{97454B69-979A-4459-800A-9A494E5E2149}"/>
    <cellStyle name="Normal 63 3 3" xfId="8566" xr:uid="{00000000-0005-0000-0000-000024270000}"/>
    <cellStyle name="Normal 63 3 3 2" xfId="17375" xr:uid="{3273FEF7-BC4B-4585-8F90-B3936AB2EE11}"/>
    <cellStyle name="Normal 63 3 4" xfId="11778" xr:uid="{00000000-0005-0000-0000-000025270000}"/>
    <cellStyle name="Normal 63 3 4 2" xfId="20521" xr:uid="{DC4F55D9-4B13-4055-99B5-4E23E9E74F8A}"/>
    <cellStyle name="Normal 63 3 5" xfId="13385" xr:uid="{00000000-0005-0000-0000-000026270000}"/>
    <cellStyle name="Normal 63 3 5 2" xfId="22121" xr:uid="{2809CF5D-290C-4C99-A12E-5454CF6D052D}"/>
    <cellStyle name="Normal 63 3 6" xfId="15615" xr:uid="{6A938BE9-CB2C-4BCE-9AE2-D98AB7B78CFC}"/>
    <cellStyle name="Normal 63 4" xfId="3503" xr:uid="{00000000-0005-0000-0000-000027270000}"/>
    <cellStyle name="Normal 63 4 2" xfId="10169" xr:uid="{00000000-0005-0000-0000-000028270000}"/>
    <cellStyle name="Normal 63 4 2 2" xfId="18975" xr:uid="{EA257BD3-C06A-405C-97E0-860A02B1443B}"/>
    <cellStyle name="Normal 63 4 3" xfId="8567" xr:uid="{00000000-0005-0000-0000-000029270000}"/>
    <cellStyle name="Normal 63 4 3 2" xfId="17376" xr:uid="{5F036EDE-779B-49FE-AC52-ACB3CE8E7844}"/>
    <cellStyle name="Normal 63 4 4" xfId="11779" xr:uid="{00000000-0005-0000-0000-00002A270000}"/>
    <cellStyle name="Normal 63 4 4 2" xfId="20522" xr:uid="{0924454E-A587-47CB-A0C1-693B06AB9F97}"/>
    <cellStyle name="Normal 63 4 5" xfId="13386" xr:uid="{00000000-0005-0000-0000-00002B270000}"/>
    <cellStyle name="Normal 63 4 5 2" xfId="22122" xr:uid="{8C3E65C3-F783-4300-BA74-7A767581B897}"/>
    <cellStyle name="Normal 63 4 6" xfId="15616" xr:uid="{CD1FB239-C129-42F1-915B-F1110AAF4A62}"/>
    <cellStyle name="Normal 63 5" xfId="10166" xr:uid="{00000000-0005-0000-0000-00002C270000}"/>
    <cellStyle name="Normal 63 5 2" xfId="18972" xr:uid="{8CE55154-C266-4148-95D1-8FE1325D08E4}"/>
    <cellStyle name="Normal 63 6" xfId="8564" xr:uid="{00000000-0005-0000-0000-00002D270000}"/>
    <cellStyle name="Normal 63 6 2" xfId="17373" xr:uid="{5177E543-A9CB-467F-BEB6-A28CBB6F2DB3}"/>
    <cellStyle name="Normal 63 7" xfId="11776" xr:uid="{00000000-0005-0000-0000-00002E270000}"/>
    <cellStyle name="Normal 63 7 2" xfId="20519" xr:uid="{77C0B3D8-8B8E-48D1-898C-DBDBB705BFF3}"/>
    <cellStyle name="Normal 63 8" xfId="13383" xr:uid="{00000000-0005-0000-0000-00002F270000}"/>
    <cellStyle name="Normal 63 8 2" xfId="22119" xr:uid="{D17CA3CD-2D4F-4642-A9B7-A9AA6321E3BD}"/>
    <cellStyle name="Normal 63 9" xfId="15613" xr:uid="{ADDEE3B6-E3FB-4FFA-BE2A-4CA7D1E8DCD7}"/>
    <cellStyle name="Normal 64" xfId="3504" xr:uid="{00000000-0005-0000-0000-000030270000}"/>
    <cellStyle name="Normal 64 2" xfId="3505" xr:uid="{00000000-0005-0000-0000-000031270000}"/>
    <cellStyle name="Normal 64 2 2" xfId="10171" xr:uid="{00000000-0005-0000-0000-000032270000}"/>
    <cellStyle name="Normal 64 2 2 2" xfId="18977" xr:uid="{E75BC20C-75AB-4E8E-BFF5-424AEB190683}"/>
    <cellStyle name="Normal 64 2 3" xfId="8569" xr:uid="{00000000-0005-0000-0000-000033270000}"/>
    <cellStyle name="Normal 64 2 3 2" xfId="17378" xr:uid="{670D4801-3F56-41D0-A220-4338EA067F18}"/>
    <cellStyle name="Normal 64 2 4" xfId="11781" xr:uid="{00000000-0005-0000-0000-000034270000}"/>
    <cellStyle name="Normal 64 2 4 2" xfId="20524" xr:uid="{8926369F-8570-45C4-8971-443796679E2C}"/>
    <cellStyle name="Normal 64 2 5" xfId="13388" xr:uid="{00000000-0005-0000-0000-000035270000}"/>
    <cellStyle name="Normal 64 2 5 2" xfId="22124" xr:uid="{1C54F992-A5F2-4438-B2A5-566CA9D5AD60}"/>
    <cellStyle name="Normal 64 2 6" xfId="15618" xr:uid="{E6076DB5-24E6-4E36-A308-F1B96576BEE7}"/>
    <cellStyle name="Normal 64 3" xfId="3506" xr:uid="{00000000-0005-0000-0000-000036270000}"/>
    <cellStyle name="Normal 64 3 2" xfId="10172" xr:uid="{00000000-0005-0000-0000-000037270000}"/>
    <cellStyle name="Normal 64 3 2 2" xfId="18978" xr:uid="{D314A4DD-91F2-4BE4-A563-8DFA5691E200}"/>
    <cellStyle name="Normal 64 3 3" xfId="8570" xr:uid="{00000000-0005-0000-0000-000038270000}"/>
    <cellStyle name="Normal 64 3 3 2" xfId="17379" xr:uid="{0E41BDFC-22DF-4A69-8009-A6162960B3DD}"/>
    <cellStyle name="Normal 64 3 4" xfId="11782" xr:uid="{00000000-0005-0000-0000-000039270000}"/>
    <cellStyle name="Normal 64 3 4 2" xfId="20525" xr:uid="{D52DCDF1-AA81-4C17-94B2-BA86FD51C918}"/>
    <cellStyle name="Normal 64 3 5" xfId="13389" xr:uid="{00000000-0005-0000-0000-00003A270000}"/>
    <cellStyle name="Normal 64 3 5 2" xfId="22125" xr:uid="{14AFB2C5-5CD7-469E-9E4A-27A637BDB24E}"/>
    <cellStyle name="Normal 64 3 6" xfId="15619" xr:uid="{AF30270B-71CD-4A1C-A125-41E8D28CA217}"/>
    <cellStyle name="Normal 64 4" xfId="3507" xr:uid="{00000000-0005-0000-0000-00003B270000}"/>
    <cellStyle name="Normal 64 4 2" xfId="10173" xr:uid="{00000000-0005-0000-0000-00003C270000}"/>
    <cellStyle name="Normal 64 4 2 2" xfId="18979" xr:uid="{31B8BC05-3E79-4BE9-A0EB-8F3358C3960F}"/>
    <cellStyle name="Normal 64 4 3" xfId="8571" xr:uid="{00000000-0005-0000-0000-00003D270000}"/>
    <cellStyle name="Normal 64 4 3 2" xfId="17380" xr:uid="{75AE2C32-93BF-4948-BFAD-4386A3111A13}"/>
    <cellStyle name="Normal 64 4 4" xfId="11783" xr:uid="{00000000-0005-0000-0000-00003E270000}"/>
    <cellStyle name="Normal 64 4 4 2" xfId="20526" xr:uid="{7A5B93C7-7FC4-481A-982A-FD4377EDB3E0}"/>
    <cellStyle name="Normal 64 4 5" xfId="13390" xr:uid="{00000000-0005-0000-0000-00003F270000}"/>
    <cellStyle name="Normal 64 4 5 2" xfId="22126" xr:uid="{28E49598-DF3E-4707-8024-87D4A2D36B6D}"/>
    <cellStyle name="Normal 64 4 6" xfId="15620" xr:uid="{4A4FD41A-F911-47A5-839F-8521A244B91C}"/>
    <cellStyle name="Normal 64 5" xfId="10170" xr:uid="{00000000-0005-0000-0000-000040270000}"/>
    <cellStyle name="Normal 64 5 2" xfId="18976" xr:uid="{77876839-ED16-4656-9715-ABD8AB96D848}"/>
    <cellStyle name="Normal 64 6" xfId="8568" xr:uid="{00000000-0005-0000-0000-000041270000}"/>
    <cellStyle name="Normal 64 6 2" xfId="17377" xr:uid="{FE38CD5B-1744-4C6D-A08F-5031F08EF32B}"/>
    <cellStyle name="Normal 64 7" xfId="11780" xr:uid="{00000000-0005-0000-0000-000042270000}"/>
    <cellStyle name="Normal 64 7 2" xfId="20523" xr:uid="{6A607747-ADEC-423D-94B6-8C8755D0EC44}"/>
    <cellStyle name="Normal 64 8" xfId="13387" xr:uid="{00000000-0005-0000-0000-000043270000}"/>
    <cellStyle name="Normal 64 8 2" xfId="22123" xr:uid="{EBCDD66A-13C2-41BA-80E8-C63CAEBD9876}"/>
    <cellStyle name="Normal 64 9" xfId="15617" xr:uid="{38E22C28-51EE-4AA5-A74E-99BC39D20DF9}"/>
    <cellStyle name="Normal 65" xfId="3508" xr:uid="{00000000-0005-0000-0000-000044270000}"/>
    <cellStyle name="Normal 65 10" xfId="13391" xr:uid="{00000000-0005-0000-0000-000045270000}"/>
    <cellStyle name="Normal 65 10 2" xfId="22127" xr:uid="{82E7E41C-25E5-43A5-9C03-2021BF89FB23}"/>
    <cellStyle name="Normal 65 11" xfId="15621" xr:uid="{03FB39CA-3827-4FFC-BE30-E288D300467F}"/>
    <cellStyle name="Normal 65 2" xfId="3509" xr:uid="{00000000-0005-0000-0000-000046270000}"/>
    <cellStyle name="Normal 65 2 2" xfId="3510" xr:uid="{00000000-0005-0000-0000-000047270000}"/>
    <cellStyle name="Normal 65 2 2 2" xfId="10176" xr:uid="{00000000-0005-0000-0000-000048270000}"/>
    <cellStyle name="Normal 65 2 2 2 2" xfId="18982" xr:uid="{AE9C4534-B49C-4C93-AF93-D33180D8ED2C}"/>
    <cellStyle name="Normal 65 2 2 3" xfId="8574" xr:uid="{00000000-0005-0000-0000-000049270000}"/>
    <cellStyle name="Normal 65 2 2 3 2" xfId="17383" xr:uid="{4FA23063-4684-4CCA-B008-4D262BB56A81}"/>
    <cellStyle name="Normal 65 2 2 4" xfId="11786" xr:uid="{00000000-0005-0000-0000-00004A270000}"/>
    <cellStyle name="Normal 65 2 2 4 2" xfId="20529" xr:uid="{A5F2FD2A-7ACD-4B49-8EF7-3C81E6423E26}"/>
    <cellStyle name="Normal 65 2 2 5" xfId="13393" xr:uid="{00000000-0005-0000-0000-00004B270000}"/>
    <cellStyle name="Normal 65 2 2 5 2" xfId="22129" xr:uid="{8AB4375D-1B99-4BDC-A39E-9502896518B8}"/>
    <cellStyle name="Normal 65 2 2 6" xfId="15623" xr:uid="{4F66064D-2873-469E-8615-A7A9222DD771}"/>
    <cellStyle name="Normal 65 2 3" xfId="3511" xr:uid="{00000000-0005-0000-0000-00004C270000}"/>
    <cellStyle name="Normal 65 2 3 2" xfId="10177" xr:uid="{00000000-0005-0000-0000-00004D270000}"/>
    <cellStyle name="Normal 65 2 3 2 2" xfId="18983" xr:uid="{033ADC3A-7A8A-4D5D-AED7-87477EB9B969}"/>
    <cellStyle name="Normal 65 2 3 3" xfId="8575" xr:uid="{00000000-0005-0000-0000-00004E270000}"/>
    <cellStyle name="Normal 65 2 3 3 2" xfId="17384" xr:uid="{F3D8CEB7-1412-4A91-9B54-6610D84685B0}"/>
    <cellStyle name="Normal 65 2 3 4" xfId="11787" xr:uid="{00000000-0005-0000-0000-00004F270000}"/>
    <cellStyle name="Normal 65 2 3 4 2" xfId="20530" xr:uid="{EC357788-3421-40F9-986F-6495B41F1253}"/>
    <cellStyle name="Normal 65 2 3 5" xfId="13394" xr:uid="{00000000-0005-0000-0000-000050270000}"/>
    <cellStyle name="Normal 65 2 3 5 2" xfId="22130" xr:uid="{B69C9D8B-E0CD-42DD-872D-68428AEDF80C}"/>
    <cellStyle name="Normal 65 2 3 6" xfId="15624" xr:uid="{2064897D-1494-40D0-B928-6A23CB49ECDB}"/>
    <cellStyle name="Normal 65 2 4" xfId="3512" xr:uid="{00000000-0005-0000-0000-000051270000}"/>
    <cellStyle name="Normal 65 2 4 2" xfId="10178" xr:uid="{00000000-0005-0000-0000-000052270000}"/>
    <cellStyle name="Normal 65 2 4 2 2" xfId="18984" xr:uid="{A3A061B8-DAEE-4997-A492-8B656AEE9D19}"/>
    <cellStyle name="Normal 65 2 4 3" xfId="8576" xr:uid="{00000000-0005-0000-0000-000053270000}"/>
    <cellStyle name="Normal 65 2 4 3 2" xfId="17385" xr:uid="{5D16CB9A-8BA7-41D6-BC85-D6D8205A2AF3}"/>
    <cellStyle name="Normal 65 2 4 4" xfId="11788" xr:uid="{00000000-0005-0000-0000-000054270000}"/>
    <cellStyle name="Normal 65 2 4 4 2" xfId="20531" xr:uid="{B1CCC0E7-5E16-4348-9DA5-047891B140CA}"/>
    <cellStyle name="Normal 65 2 4 5" xfId="13395" xr:uid="{00000000-0005-0000-0000-000055270000}"/>
    <cellStyle name="Normal 65 2 4 5 2" xfId="22131" xr:uid="{1B7E162C-5ABB-4132-BAF3-0E82213714F6}"/>
    <cellStyle name="Normal 65 2 4 6" xfId="15625" xr:uid="{1BD3ABF9-6925-4BFB-937E-835190314612}"/>
    <cellStyle name="Normal 65 2 5" xfId="10175" xr:uid="{00000000-0005-0000-0000-000056270000}"/>
    <cellStyle name="Normal 65 2 5 2" xfId="18981" xr:uid="{9A72E847-7A10-4E0A-BD6C-733A6F05F998}"/>
    <cellStyle name="Normal 65 2 6" xfId="8573" xr:uid="{00000000-0005-0000-0000-000057270000}"/>
    <cellStyle name="Normal 65 2 6 2" xfId="17382" xr:uid="{CC61D3D7-ABD0-47A7-ABE4-696BED71C26E}"/>
    <cellStyle name="Normal 65 2 7" xfId="11785" xr:uid="{00000000-0005-0000-0000-000058270000}"/>
    <cellStyle name="Normal 65 2 7 2" xfId="20528" xr:uid="{1951DC40-54FB-4437-884A-E90BD851394F}"/>
    <cellStyle name="Normal 65 2 8" xfId="13392" xr:uid="{00000000-0005-0000-0000-000059270000}"/>
    <cellStyle name="Normal 65 2 8 2" xfId="22128" xr:uid="{E1FD608D-5DAD-4E4A-BA33-661C8C69D490}"/>
    <cellStyle name="Normal 65 2 9" xfId="15622" xr:uid="{382334C9-1903-4060-8BA9-51B0C4387084}"/>
    <cellStyle name="Normal 65 3" xfId="3513" xr:uid="{00000000-0005-0000-0000-00005A270000}"/>
    <cellStyle name="Normal 65 3 2" xfId="3514" xr:uid="{00000000-0005-0000-0000-00005B270000}"/>
    <cellStyle name="Normal 65 3 2 2" xfId="10180" xr:uid="{00000000-0005-0000-0000-00005C270000}"/>
    <cellStyle name="Normal 65 3 2 2 2" xfId="18986" xr:uid="{7AB20392-0AB5-4EAE-ABAC-584F972141E6}"/>
    <cellStyle name="Normal 65 3 2 3" xfId="8578" xr:uid="{00000000-0005-0000-0000-00005D270000}"/>
    <cellStyle name="Normal 65 3 2 3 2" xfId="17387" xr:uid="{742C575F-3087-4FDE-846A-3995DB722512}"/>
    <cellStyle name="Normal 65 3 2 4" xfId="11790" xr:uid="{00000000-0005-0000-0000-00005E270000}"/>
    <cellStyle name="Normal 65 3 2 4 2" xfId="20533" xr:uid="{A24F91EE-B2A6-44F0-B957-DA894D20E733}"/>
    <cellStyle name="Normal 65 3 2 5" xfId="13397" xr:uid="{00000000-0005-0000-0000-00005F270000}"/>
    <cellStyle name="Normal 65 3 2 5 2" xfId="22133" xr:uid="{328E9427-9570-4472-8D00-AFAC9995D57D}"/>
    <cellStyle name="Normal 65 3 2 6" xfId="15627" xr:uid="{35C3272D-F399-4885-82D3-4A961055C20A}"/>
    <cellStyle name="Normal 65 3 3" xfId="3515" xr:uid="{00000000-0005-0000-0000-000060270000}"/>
    <cellStyle name="Normal 65 3 3 2" xfId="10181" xr:uid="{00000000-0005-0000-0000-000061270000}"/>
    <cellStyle name="Normal 65 3 3 2 2" xfId="18987" xr:uid="{D788E6A3-9A13-4F19-A759-B666159D5A05}"/>
    <cellStyle name="Normal 65 3 3 3" xfId="8579" xr:uid="{00000000-0005-0000-0000-000062270000}"/>
    <cellStyle name="Normal 65 3 3 3 2" xfId="17388" xr:uid="{BBEDDB47-F07E-4910-BC17-EAFA0DC2B2D5}"/>
    <cellStyle name="Normal 65 3 3 4" xfId="11791" xr:uid="{00000000-0005-0000-0000-000063270000}"/>
    <cellStyle name="Normal 65 3 3 4 2" xfId="20534" xr:uid="{98896BBD-C7B9-4A7F-AF78-DE79037DD0F8}"/>
    <cellStyle name="Normal 65 3 3 5" xfId="13398" xr:uid="{00000000-0005-0000-0000-000064270000}"/>
    <cellStyle name="Normal 65 3 3 5 2" xfId="22134" xr:uid="{9D9CFD9B-73FF-4B4A-8F21-ED4244C9D540}"/>
    <cellStyle name="Normal 65 3 3 6" xfId="15628" xr:uid="{A751E21F-42BE-4D39-AC06-DA15FE5EA04F}"/>
    <cellStyle name="Normal 65 3 4" xfId="3516" xr:uid="{00000000-0005-0000-0000-000065270000}"/>
    <cellStyle name="Normal 65 3 4 2" xfId="10182" xr:uid="{00000000-0005-0000-0000-000066270000}"/>
    <cellStyle name="Normal 65 3 4 2 2" xfId="18988" xr:uid="{DD614B31-4819-4358-9666-D090AF37FC30}"/>
    <cellStyle name="Normal 65 3 4 3" xfId="8580" xr:uid="{00000000-0005-0000-0000-000067270000}"/>
    <cellStyle name="Normal 65 3 4 3 2" xfId="17389" xr:uid="{82B55C8B-CD41-4B92-BB35-D2DC8E5C0F17}"/>
    <cellStyle name="Normal 65 3 4 4" xfId="11792" xr:uid="{00000000-0005-0000-0000-000068270000}"/>
    <cellStyle name="Normal 65 3 4 4 2" xfId="20535" xr:uid="{BA6637C4-0AFD-4F58-9BF8-B72A614750B8}"/>
    <cellStyle name="Normal 65 3 4 5" xfId="13399" xr:uid="{00000000-0005-0000-0000-000069270000}"/>
    <cellStyle name="Normal 65 3 4 5 2" xfId="22135" xr:uid="{18BC1CD9-A844-46BE-860C-F225413CD4A6}"/>
    <cellStyle name="Normal 65 3 4 6" xfId="15629" xr:uid="{F2E1CD55-F2F4-48B6-83CE-4729426ACBC4}"/>
    <cellStyle name="Normal 65 3 5" xfId="10179" xr:uid="{00000000-0005-0000-0000-00006A270000}"/>
    <cellStyle name="Normal 65 3 5 2" xfId="18985" xr:uid="{010C3BAA-7D0A-4B04-84BC-10D6CB06762A}"/>
    <cellStyle name="Normal 65 3 6" xfId="8577" xr:uid="{00000000-0005-0000-0000-00006B270000}"/>
    <cellStyle name="Normal 65 3 6 2" xfId="17386" xr:uid="{3FB1CB84-0FFB-47B8-8FD1-15443004464A}"/>
    <cellStyle name="Normal 65 3 7" xfId="11789" xr:uid="{00000000-0005-0000-0000-00006C270000}"/>
    <cellStyle name="Normal 65 3 7 2" xfId="20532" xr:uid="{9CA0FECF-47CB-4CEA-9DA6-C3A650EEBA26}"/>
    <cellStyle name="Normal 65 3 8" xfId="13396" xr:uid="{00000000-0005-0000-0000-00006D270000}"/>
    <cellStyle name="Normal 65 3 8 2" xfId="22132" xr:uid="{0DB071D7-B5BB-4CCD-904E-27B1614BBFD7}"/>
    <cellStyle name="Normal 65 3 9" xfId="15626" xr:uid="{9A03E87D-2684-49DF-A843-06B769E2EF93}"/>
    <cellStyle name="Normal 65 4" xfId="3517" xr:uid="{00000000-0005-0000-0000-00006E270000}"/>
    <cellStyle name="Normal 65 4 2" xfId="10183" xr:uid="{00000000-0005-0000-0000-00006F270000}"/>
    <cellStyle name="Normal 65 4 2 2" xfId="18989" xr:uid="{738067DA-ACD9-4230-8C32-27C6D3CB7ABC}"/>
    <cellStyle name="Normal 65 4 3" xfId="8581" xr:uid="{00000000-0005-0000-0000-000070270000}"/>
    <cellStyle name="Normal 65 4 3 2" xfId="17390" xr:uid="{486C4335-DC63-43E6-BB23-862778047741}"/>
    <cellStyle name="Normal 65 4 4" xfId="11793" xr:uid="{00000000-0005-0000-0000-000071270000}"/>
    <cellStyle name="Normal 65 4 4 2" xfId="20536" xr:uid="{7F783ACA-6E8F-4DE2-89EC-23B255E2CA94}"/>
    <cellStyle name="Normal 65 4 5" xfId="13400" xr:uid="{00000000-0005-0000-0000-000072270000}"/>
    <cellStyle name="Normal 65 4 5 2" xfId="22136" xr:uid="{E64E9D6C-B5FB-493E-AF93-67D652049127}"/>
    <cellStyle name="Normal 65 4 6" xfId="15630" xr:uid="{7D98D955-6141-446A-91EA-D986D3BC7D0B}"/>
    <cellStyle name="Normal 65 5" xfId="3518" xr:uid="{00000000-0005-0000-0000-000073270000}"/>
    <cellStyle name="Normal 65 5 2" xfId="10184" xr:uid="{00000000-0005-0000-0000-000074270000}"/>
    <cellStyle name="Normal 65 5 2 2" xfId="18990" xr:uid="{2E852D18-C786-41F1-9354-8BD9F7C4ED02}"/>
    <cellStyle name="Normal 65 5 3" xfId="8582" xr:uid="{00000000-0005-0000-0000-000075270000}"/>
    <cellStyle name="Normal 65 5 3 2" xfId="17391" xr:uid="{CBDE2389-3091-4900-B7CB-7477B8C809C5}"/>
    <cellStyle name="Normal 65 5 4" xfId="11794" xr:uid="{00000000-0005-0000-0000-000076270000}"/>
    <cellStyle name="Normal 65 5 4 2" xfId="20537" xr:uid="{6A841BB6-4F29-44DE-8875-26905C54F9A7}"/>
    <cellStyle name="Normal 65 5 5" xfId="13401" xr:uid="{00000000-0005-0000-0000-000077270000}"/>
    <cellStyle name="Normal 65 5 5 2" xfId="22137" xr:uid="{8C4977D3-EB8B-46D4-A88E-F7BB00AA03E6}"/>
    <cellStyle name="Normal 65 5 6" xfId="15631" xr:uid="{FED926B0-743C-4A10-B0D0-2B9FFB730860}"/>
    <cellStyle name="Normal 65 6" xfId="3519" xr:uid="{00000000-0005-0000-0000-000078270000}"/>
    <cellStyle name="Normal 65 6 2" xfId="10185" xr:uid="{00000000-0005-0000-0000-000079270000}"/>
    <cellStyle name="Normal 65 6 2 2" xfId="18991" xr:uid="{1EB9D6E0-1331-4E2A-8D4B-808F61D3AE61}"/>
    <cellStyle name="Normal 65 6 3" xfId="8583" xr:uid="{00000000-0005-0000-0000-00007A270000}"/>
    <cellStyle name="Normal 65 6 3 2" xfId="17392" xr:uid="{9E161EEA-ED96-4D1B-BC05-B011116BB73F}"/>
    <cellStyle name="Normal 65 6 4" xfId="11795" xr:uid="{00000000-0005-0000-0000-00007B270000}"/>
    <cellStyle name="Normal 65 6 4 2" xfId="20538" xr:uid="{E1052526-5279-48FA-AF8B-46AD639DFC92}"/>
    <cellStyle name="Normal 65 6 5" xfId="13402" xr:uid="{00000000-0005-0000-0000-00007C270000}"/>
    <cellStyle name="Normal 65 6 5 2" xfId="22138" xr:uid="{E8F79DE5-5E8E-46C4-B376-A80DF00AEBEC}"/>
    <cellStyle name="Normal 65 6 6" xfId="15632" xr:uid="{7285EFED-F49C-4E7C-9CC9-E1528353BA82}"/>
    <cellStyle name="Normal 65 7" xfId="10174" xr:uid="{00000000-0005-0000-0000-00007D270000}"/>
    <cellStyle name="Normal 65 7 2" xfId="18980" xr:uid="{32F5420D-54B0-41FE-BBA2-6C055DD9629F}"/>
    <cellStyle name="Normal 65 8" xfId="8572" xr:uid="{00000000-0005-0000-0000-00007E270000}"/>
    <cellStyle name="Normal 65 8 2" xfId="17381" xr:uid="{6A01638A-2CE0-4A80-82E2-01A4106ABCF6}"/>
    <cellStyle name="Normal 65 9" xfId="11784" xr:uid="{00000000-0005-0000-0000-00007F270000}"/>
    <cellStyle name="Normal 65 9 2" xfId="20527" xr:uid="{745C4BE2-D56F-4893-B679-9D89E8E6C97E}"/>
    <cellStyle name="Normal 66" xfId="3520" xr:uid="{00000000-0005-0000-0000-000080270000}"/>
    <cellStyle name="Normal 66 2" xfId="3521" xr:uid="{00000000-0005-0000-0000-000081270000}"/>
    <cellStyle name="Normal 66 2 2" xfId="3522" xr:uid="{00000000-0005-0000-0000-000082270000}"/>
    <cellStyle name="Normal 66 2 2 2" xfId="10187" xr:uid="{00000000-0005-0000-0000-000083270000}"/>
    <cellStyle name="Normal 66 2 2 2 2" xfId="18993" xr:uid="{E637CF4F-DE4F-42D0-AE9B-21C4F58D187E}"/>
    <cellStyle name="Normal 66 2 2 3" xfId="8585" xr:uid="{00000000-0005-0000-0000-000084270000}"/>
    <cellStyle name="Normal 66 2 2 3 2" xfId="17394" xr:uid="{317013F0-AEEB-495E-897A-5ED1DC066FF1}"/>
    <cellStyle name="Normal 66 2 2 4" xfId="11797" xr:uid="{00000000-0005-0000-0000-000085270000}"/>
    <cellStyle name="Normal 66 2 2 4 2" xfId="20540" xr:uid="{AA73D0A6-0B46-43E5-B069-C7BB3D69529E}"/>
    <cellStyle name="Normal 66 2 2 5" xfId="13404" xr:uid="{00000000-0005-0000-0000-000086270000}"/>
    <cellStyle name="Normal 66 2 2 5 2" xfId="22140" xr:uid="{EEE86287-02D2-4761-9E11-819EE03416EB}"/>
    <cellStyle name="Normal 66 2 2 6" xfId="15634" xr:uid="{69DFE073-BB6A-4E79-BE99-9CD94301D92D}"/>
    <cellStyle name="Normal 66 2 3" xfId="3523" xr:uid="{00000000-0005-0000-0000-000087270000}"/>
    <cellStyle name="Normal 66 2 3 2" xfId="10188" xr:uid="{00000000-0005-0000-0000-000088270000}"/>
    <cellStyle name="Normal 66 2 3 2 2" xfId="18994" xr:uid="{22CF052D-CE76-42BE-860A-A35603973E69}"/>
    <cellStyle name="Normal 66 2 3 3" xfId="8586" xr:uid="{00000000-0005-0000-0000-000089270000}"/>
    <cellStyle name="Normal 66 2 3 3 2" xfId="17395" xr:uid="{1D0F5A27-A92B-4AFA-BA88-759AAF47F72C}"/>
    <cellStyle name="Normal 66 2 3 4" xfId="11798" xr:uid="{00000000-0005-0000-0000-00008A270000}"/>
    <cellStyle name="Normal 66 2 3 4 2" xfId="20541" xr:uid="{753AC0F6-E127-40E7-84C1-EE444B091164}"/>
    <cellStyle name="Normal 66 2 3 5" xfId="13405" xr:uid="{00000000-0005-0000-0000-00008B270000}"/>
    <cellStyle name="Normal 66 2 3 5 2" xfId="22141" xr:uid="{C6A6E225-6462-43A6-87D3-E515BF51CA83}"/>
    <cellStyle name="Normal 66 2 3 6" xfId="15635" xr:uid="{0816AF2E-E7A2-4B87-A9FD-4BA5965EB907}"/>
    <cellStyle name="Normal 66 2 4" xfId="3524" xr:uid="{00000000-0005-0000-0000-00008C270000}"/>
    <cellStyle name="Normal 66 2 4 2" xfId="10189" xr:uid="{00000000-0005-0000-0000-00008D270000}"/>
    <cellStyle name="Normal 66 2 4 2 2" xfId="18995" xr:uid="{376AC9F8-24A4-45EB-8748-95FB7BF141D3}"/>
    <cellStyle name="Normal 66 2 4 3" xfId="8587" xr:uid="{00000000-0005-0000-0000-00008E270000}"/>
    <cellStyle name="Normal 66 2 4 3 2" xfId="17396" xr:uid="{66E3558B-E32C-4F1C-8D04-506F17147E27}"/>
    <cellStyle name="Normal 66 2 4 4" xfId="11799" xr:uid="{00000000-0005-0000-0000-00008F270000}"/>
    <cellStyle name="Normal 66 2 4 4 2" xfId="20542" xr:uid="{7B994B40-A808-4054-A5A7-C77CF1825D53}"/>
    <cellStyle name="Normal 66 2 4 5" xfId="13406" xr:uid="{00000000-0005-0000-0000-000090270000}"/>
    <cellStyle name="Normal 66 2 4 5 2" xfId="22142" xr:uid="{D2C65714-5479-4DF0-94C8-BF50B9BCD556}"/>
    <cellStyle name="Normal 66 2 4 6" xfId="15636" xr:uid="{73C9486D-AA93-4219-B902-0C46EDFFD1EC}"/>
    <cellStyle name="Normal 66 2 5" xfId="10186" xr:uid="{00000000-0005-0000-0000-000091270000}"/>
    <cellStyle name="Normal 66 2 5 2" xfId="18992" xr:uid="{9B7B81CD-FD87-4174-8E40-A675F76AC1EB}"/>
    <cellStyle name="Normal 66 2 6" xfId="8584" xr:uid="{00000000-0005-0000-0000-000092270000}"/>
    <cellStyle name="Normal 66 2 6 2" xfId="17393" xr:uid="{E8033FEC-CCB7-465B-8E8E-EE9188BC5CEA}"/>
    <cellStyle name="Normal 66 2 7" xfId="11796" xr:uid="{00000000-0005-0000-0000-000093270000}"/>
    <cellStyle name="Normal 66 2 7 2" xfId="20539" xr:uid="{9CC64809-C45F-47AD-B6A5-D00CBBE2A9DC}"/>
    <cellStyle name="Normal 66 2 8" xfId="13403" xr:uid="{00000000-0005-0000-0000-000094270000}"/>
    <cellStyle name="Normal 66 2 8 2" xfId="22139" xr:uid="{60160A93-535A-42FA-A234-1406DCB5D033}"/>
    <cellStyle name="Normal 66 2 9" xfId="15633" xr:uid="{324F1822-9CD1-4E99-BC24-65FB2927B58E}"/>
    <cellStyle name="Normal 66 3" xfId="3525" xr:uid="{00000000-0005-0000-0000-000095270000}"/>
    <cellStyle name="Normal 67" xfId="3526" xr:uid="{00000000-0005-0000-0000-000096270000}"/>
    <cellStyle name="Normal 67 2" xfId="3527" xr:uid="{00000000-0005-0000-0000-000097270000}"/>
    <cellStyle name="Normal 67 2 2" xfId="10191" xr:uid="{00000000-0005-0000-0000-000098270000}"/>
    <cellStyle name="Normal 67 2 2 2" xfId="18997" xr:uid="{E358B5D9-F4FF-487D-BE62-57EBDC35AF10}"/>
    <cellStyle name="Normal 67 2 3" xfId="8589" xr:uid="{00000000-0005-0000-0000-000099270000}"/>
    <cellStyle name="Normal 67 2 3 2" xfId="17398" xr:uid="{A0332C99-C022-40F4-8DA8-B07119C1DF7C}"/>
    <cellStyle name="Normal 67 2 4" xfId="11801" xr:uid="{00000000-0005-0000-0000-00009A270000}"/>
    <cellStyle name="Normal 67 2 4 2" xfId="20544" xr:uid="{927C1AC5-9A3F-4E1E-80EB-34CD46B95F16}"/>
    <cellStyle name="Normal 67 2 5" xfId="13408" xr:uid="{00000000-0005-0000-0000-00009B270000}"/>
    <cellStyle name="Normal 67 2 5 2" xfId="22144" xr:uid="{BF674EFE-3961-499D-BC15-E2D4654047E7}"/>
    <cellStyle name="Normal 67 2 6" xfId="15638" xr:uid="{7A3988F2-610C-4EF7-BDC5-6AE25D84425E}"/>
    <cellStyle name="Normal 67 3" xfId="3528" xr:uid="{00000000-0005-0000-0000-00009C270000}"/>
    <cellStyle name="Normal 67 3 2" xfId="10192" xr:uid="{00000000-0005-0000-0000-00009D270000}"/>
    <cellStyle name="Normal 67 3 2 2" xfId="18998" xr:uid="{48C85C37-F0BA-48E7-86BA-275F1886B39A}"/>
    <cellStyle name="Normal 67 3 3" xfId="8590" xr:uid="{00000000-0005-0000-0000-00009E270000}"/>
    <cellStyle name="Normal 67 3 3 2" xfId="17399" xr:uid="{BED7A40D-8F16-46E8-B4A5-43A864BE8041}"/>
    <cellStyle name="Normal 67 3 4" xfId="11802" xr:uid="{00000000-0005-0000-0000-00009F270000}"/>
    <cellStyle name="Normal 67 3 4 2" xfId="20545" xr:uid="{D93E6638-B7BB-4ADC-9E79-5ED6AC0288A9}"/>
    <cellStyle name="Normal 67 3 5" xfId="13409" xr:uid="{00000000-0005-0000-0000-0000A0270000}"/>
    <cellStyle name="Normal 67 3 5 2" xfId="22145" xr:uid="{85D34A90-10B4-416D-807F-CBEC4FB6EE78}"/>
    <cellStyle name="Normal 67 3 6" xfId="15639" xr:uid="{AB5609DD-1595-4F5D-B3FA-E46003B7977B}"/>
    <cellStyle name="Normal 67 4" xfId="3529" xr:uid="{00000000-0005-0000-0000-0000A1270000}"/>
    <cellStyle name="Normal 67 4 2" xfId="10193" xr:uid="{00000000-0005-0000-0000-0000A2270000}"/>
    <cellStyle name="Normal 67 4 2 2" xfId="18999" xr:uid="{4FBAFD4C-7AFD-44C4-A172-58C23DD25046}"/>
    <cellStyle name="Normal 67 4 3" xfId="8591" xr:uid="{00000000-0005-0000-0000-0000A3270000}"/>
    <cellStyle name="Normal 67 4 3 2" xfId="17400" xr:uid="{307BE86F-F3D8-462E-B48B-87FFCC3F6A0B}"/>
    <cellStyle name="Normal 67 4 4" xfId="11803" xr:uid="{00000000-0005-0000-0000-0000A4270000}"/>
    <cellStyle name="Normal 67 4 4 2" xfId="20546" xr:uid="{73A4CB85-C09F-4170-9375-10DA6BEA5F73}"/>
    <cellStyle name="Normal 67 4 5" xfId="13410" xr:uid="{00000000-0005-0000-0000-0000A5270000}"/>
    <cellStyle name="Normal 67 4 5 2" xfId="22146" xr:uid="{846727CD-5BC4-4C0D-9EC2-B757E170E756}"/>
    <cellStyle name="Normal 67 4 6" xfId="15640" xr:uid="{753F8427-73EC-45F0-8DDB-332B54F48A86}"/>
    <cellStyle name="Normal 67 5" xfId="10190" xr:uid="{00000000-0005-0000-0000-0000A6270000}"/>
    <cellStyle name="Normal 67 5 2" xfId="18996" xr:uid="{6A7E8273-5D7C-405D-B667-863CC6BA1F89}"/>
    <cellStyle name="Normal 67 6" xfId="8588" xr:uid="{00000000-0005-0000-0000-0000A7270000}"/>
    <cellStyle name="Normal 67 6 2" xfId="17397" xr:uid="{E586B4DF-8E50-49F7-B4CE-7DDF5B5D982F}"/>
    <cellStyle name="Normal 67 7" xfId="11800" xr:uid="{00000000-0005-0000-0000-0000A8270000}"/>
    <cellStyle name="Normal 67 7 2" xfId="20543" xr:uid="{559DAD8C-6128-40F8-A16E-56E73FAE92FE}"/>
    <cellStyle name="Normal 67 8" xfId="13407" xr:uid="{00000000-0005-0000-0000-0000A9270000}"/>
    <cellStyle name="Normal 67 8 2" xfId="22143" xr:uid="{649CFEE6-0DFB-412C-B06A-2B99C49BC66C}"/>
    <cellStyle name="Normal 67 9" xfId="15637" xr:uid="{737F4748-AAC3-4780-A6FB-718A9D7CC84C}"/>
    <cellStyle name="Normal 68" xfId="3530" xr:uid="{00000000-0005-0000-0000-0000AA270000}"/>
    <cellStyle name="Normal 68 2" xfId="3531" xr:uid="{00000000-0005-0000-0000-0000AB270000}"/>
    <cellStyle name="Normal 68 2 2" xfId="10195" xr:uid="{00000000-0005-0000-0000-0000AC270000}"/>
    <cellStyle name="Normal 68 2 2 2" xfId="19001" xr:uid="{513E098C-1059-4917-AD60-1144C16AD208}"/>
    <cellStyle name="Normal 68 2 3" xfId="8593" xr:uid="{00000000-0005-0000-0000-0000AD270000}"/>
    <cellStyle name="Normal 68 2 3 2" xfId="17402" xr:uid="{1AFD8329-2172-4545-9C01-5B40436D0512}"/>
    <cellStyle name="Normal 68 2 4" xfId="11805" xr:uid="{00000000-0005-0000-0000-0000AE270000}"/>
    <cellStyle name="Normal 68 2 4 2" xfId="20548" xr:uid="{B8BC5E4F-7DDC-4FB4-B89A-C75231CC15D5}"/>
    <cellStyle name="Normal 68 2 5" xfId="13412" xr:uid="{00000000-0005-0000-0000-0000AF270000}"/>
    <cellStyle name="Normal 68 2 5 2" xfId="22148" xr:uid="{8D51B40A-7132-41F2-ACB0-01EFE46303B3}"/>
    <cellStyle name="Normal 68 2 6" xfId="15642" xr:uid="{2104207B-2477-424A-A418-FA1A7A20359D}"/>
    <cellStyle name="Normal 68 3" xfId="3532" xr:uid="{00000000-0005-0000-0000-0000B0270000}"/>
    <cellStyle name="Normal 68 3 2" xfId="10196" xr:uid="{00000000-0005-0000-0000-0000B1270000}"/>
    <cellStyle name="Normal 68 3 2 2" xfId="19002" xr:uid="{B1CC966C-DB7A-43C0-BD69-EF8F825D5CBE}"/>
    <cellStyle name="Normal 68 3 3" xfId="8594" xr:uid="{00000000-0005-0000-0000-0000B2270000}"/>
    <cellStyle name="Normal 68 3 3 2" xfId="17403" xr:uid="{20C20089-147B-43B9-86CB-6141B21E370C}"/>
    <cellStyle name="Normal 68 3 4" xfId="11806" xr:uid="{00000000-0005-0000-0000-0000B3270000}"/>
    <cellStyle name="Normal 68 3 4 2" xfId="20549" xr:uid="{F4DEB332-AB90-4D79-A946-6F1EC9109F7A}"/>
    <cellStyle name="Normal 68 3 5" xfId="13413" xr:uid="{00000000-0005-0000-0000-0000B4270000}"/>
    <cellStyle name="Normal 68 3 5 2" xfId="22149" xr:uid="{A085BC7F-45AF-45D6-B86D-542894000A5E}"/>
    <cellStyle name="Normal 68 3 6" xfId="15643" xr:uid="{4F6DCA71-0C6C-4787-AB00-B8E94D671342}"/>
    <cellStyle name="Normal 68 4" xfId="3533" xr:uid="{00000000-0005-0000-0000-0000B5270000}"/>
    <cellStyle name="Normal 68 4 2" xfId="10197" xr:uid="{00000000-0005-0000-0000-0000B6270000}"/>
    <cellStyle name="Normal 68 4 2 2" xfId="19003" xr:uid="{FD7CF3A5-1344-4F55-8B01-5D212FDF5EAB}"/>
    <cellStyle name="Normal 68 4 3" xfId="8595" xr:uid="{00000000-0005-0000-0000-0000B7270000}"/>
    <cellStyle name="Normal 68 4 3 2" xfId="17404" xr:uid="{3CD062FC-3DD9-47A4-BB0C-7959C428F66E}"/>
    <cellStyle name="Normal 68 4 4" xfId="11807" xr:uid="{00000000-0005-0000-0000-0000B8270000}"/>
    <cellStyle name="Normal 68 4 4 2" xfId="20550" xr:uid="{A2458A8F-DD4C-4C1E-8020-0B4E74CC5D66}"/>
    <cellStyle name="Normal 68 4 5" xfId="13414" xr:uid="{00000000-0005-0000-0000-0000B9270000}"/>
    <cellStyle name="Normal 68 4 5 2" xfId="22150" xr:uid="{0B04ADB9-54C9-419D-BAC2-EDDFF4423955}"/>
    <cellStyle name="Normal 68 4 6" xfId="15644" xr:uid="{6121F9F6-648B-45B8-A229-3C04FD383479}"/>
    <cellStyle name="Normal 68 5" xfId="10194" xr:uid="{00000000-0005-0000-0000-0000BA270000}"/>
    <cellStyle name="Normal 68 5 2" xfId="19000" xr:uid="{4F789269-2A3C-4ED1-96EF-469D89D60ABC}"/>
    <cellStyle name="Normal 68 6" xfId="8592" xr:uid="{00000000-0005-0000-0000-0000BB270000}"/>
    <cellStyle name="Normal 68 6 2" xfId="17401" xr:uid="{45321721-714C-4272-87E8-AF9F2820A1E4}"/>
    <cellStyle name="Normal 68 7" xfId="11804" xr:uid="{00000000-0005-0000-0000-0000BC270000}"/>
    <cellStyle name="Normal 68 7 2" xfId="20547" xr:uid="{107F4BB1-665E-4297-8236-8F2A53155CA9}"/>
    <cellStyle name="Normal 68 8" xfId="13411" xr:uid="{00000000-0005-0000-0000-0000BD270000}"/>
    <cellStyle name="Normal 68 8 2" xfId="22147" xr:uid="{C231928A-C8E4-4099-B178-1B78D0E19E37}"/>
    <cellStyle name="Normal 68 9" xfId="15641" xr:uid="{4C5B426C-93B1-4BBB-90EF-DC876BC80734}"/>
    <cellStyle name="Normal 69" xfId="3534" xr:uid="{00000000-0005-0000-0000-0000BE270000}"/>
    <cellStyle name="Normal 69 2" xfId="3535" xr:uid="{00000000-0005-0000-0000-0000BF270000}"/>
    <cellStyle name="Normal 69 2 2" xfId="10199" xr:uid="{00000000-0005-0000-0000-0000C0270000}"/>
    <cellStyle name="Normal 69 2 2 2" xfId="19005" xr:uid="{6C26F3C7-D157-42B0-ACAE-87DDE48751AE}"/>
    <cellStyle name="Normal 69 2 3" xfId="8597" xr:uid="{00000000-0005-0000-0000-0000C1270000}"/>
    <cellStyle name="Normal 69 2 3 2" xfId="17406" xr:uid="{C95FE11D-4858-4A99-B916-0BFBB2C70848}"/>
    <cellStyle name="Normal 69 2 4" xfId="11809" xr:uid="{00000000-0005-0000-0000-0000C2270000}"/>
    <cellStyle name="Normal 69 2 4 2" xfId="20552" xr:uid="{99D97D38-D823-46EA-9094-D97326AC3609}"/>
    <cellStyle name="Normal 69 2 5" xfId="13416" xr:uid="{00000000-0005-0000-0000-0000C3270000}"/>
    <cellStyle name="Normal 69 2 5 2" xfId="22152" xr:uid="{3A53EF1E-8E86-466E-8364-42B5F7148A8D}"/>
    <cellStyle name="Normal 69 2 6" xfId="15646" xr:uid="{AF2FFDB3-D626-4206-B906-2F4E7F5E567E}"/>
    <cellStyle name="Normal 69 3" xfId="3536" xr:uid="{00000000-0005-0000-0000-0000C4270000}"/>
    <cellStyle name="Normal 69 3 2" xfId="10200" xr:uid="{00000000-0005-0000-0000-0000C5270000}"/>
    <cellStyle name="Normal 69 3 2 2" xfId="19006" xr:uid="{BBA261CB-7F9C-4E1A-8CF8-7A000CA4A57F}"/>
    <cellStyle name="Normal 69 3 3" xfId="8598" xr:uid="{00000000-0005-0000-0000-0000C6270000}"/>
    <cellStyle name="Normal 69 3 3 2" xfId="17407" xr:uid="{18D2B7B0-85EA-4EA0-921B-D344E9F63D00}"/>
    <cellStyle name="Normal 69 3 4" xfId="11810" xr:uid="{00000000-0005-0000-0000-0000C7270000}"/>
    <cellStyle name="Normal 69 3 4 2" xfId="20553" xr:uid="{0944DB7B-1EE5-4D1F-BFE8-A9FC22726B52}"/>
    <cellStyle name="Normal 69 3 5" xfId="13417" xr:uid="{00000000-0005-0000-0000-0000C8270000}"/>
    <cellStyle name="Normal 69 3 5 2" xfId="22153" xr:uid="{E96EF89D-D503-429A-A2E8-E78D79052F73}"/>
    <cellStyle name="Normal 69 3 6" xfId="15647" xr:uid="{BE715028-B8B9-423E-BC9E-1FA99F35F614}"/>
    <cellStyle name="Normal 69 4" xfId="3537" xr:uid="{00000000-0005-0000-0000-0000C9270000}"/>
    <cellStyle name="Normal 69 4 2" xfId="10201" xr:uid="{00000000-0005-0000-0000-0000CA270000}"/>
    <cellStyle name="Normal 69 4 2 2" xfId="19007" xr:uid="{3C67CFF8-A70E-4044-B65D-93F2CDBB085A}"/>
    <cellStyle name="Normal 69 4 3" xfId="8599" xr:uid="{00000000-0005-0000-0000-0000CB270000}"/>
    <cellStyle name="Normal 69 4 3 2" xfId="17408" xr:uid="{E5438D9D-D309-4E92-A90B-E0B2C4704158}"/>
    <cellStyle name="Normal 69 4 4" xfId="11811" xr:uid="{00000000-0005-0000-0000-0000CC270000}"/>
    <cellStyle name="Normal 69 4 4 2" xfId="20554" xr:uid="{5EAD754B-AD0D-4F72-B7F3-B87018DF038F}"/>
    <cellStyle name="Normal 69 4 5" xfId="13418" xr:uid="{00000000-0005-0000-0000-0000CD270000}"/>
    <cellStyle name="Normal 69 4 5 2" xfId="22154" xr:uid="{F2E71470-E17F-4E3C-9BDB-887A69D2E3EC}"/>
    <cellStyle name="Normal 69 4 6" xfId="15648" xr:uid="{FA7FA5D1-E014-4847-972B-E83B8316BA11}"/>
    <cellStyle name="Normal 69 5" xfId="10198" xr:uid="{00000000-0005-0000-0000-0000CE270000}"/>
    <cellStyle name="Normal 69 5 2" xfId="19004" xr:uid="{CFF45B8A-8AE3-4248-9D72-36776D2FD1DD}"/>
    <cellStyle name="Normal 69 6" xfId="8596" xr:uid="{00000000-0005-0000-0000-0000CF270000}"/>
    <cellStyle name="Normal 69 6 2" xfId="17405" xr:uid="{18D08F5A-6795-4CD1-8760-782B9C6ED598}"/>
    <cellStyle name="Normal 69 7" xfId="11808" xr:uid="{00000000-0005-0000-0000-0000D0270000}"/>
    <cellStyle name="Normal 69 7 2" xfId="20551" xr:uid="{1BD3417A-DBFC-4CC6-A5F9-96541044171B}"/>
    <cellStyle name="Normal 69 8" xfId="13415" xr:uid="{00000000-0005-0000-0000-0000D1270000}"/>
    <cellStyle name="Normal 69 8 2" xfId="22151" xr:uid="{C1C67B99-1A70-42CB-9059-A26B60FE78EB}"/>
    <cellStyle name="Normal 69 9" xfId="15645" xr:uid="{36BE8293-D371-4167-A9E8-33B9C900B721}"/>
    <cellStyle name="Normal 7" xfId="144" xr:uid="{00000000-0005-0000-0000-0000D2270000}"/>
    <cellStyle name="Normal 7 10" xfId="14775" xr:uid="{A470EBCC-278C-4461-8A58-12B18A48E0F7}"/>
    <cellStyle name="Normal 7 2" xfId="3539" xr:uid="{00000000-0005-0000-0000-0000D3270000}"/>
    <cellStyle name="Normal 7 2 10" xfId="3540" xr:uid="{00000000-0005-0000-0000-0000D4270000}"/>
    <cellStyle name="Normal 7 2 10 2" xfId="10203" xr:uid="{00000000-0005-0000-0000-0000D5270000}"/>
    <cellStyle name="Normal 7 2 10 2 2" xfId="19009" xr:uid="{85EFDA0D-2460-4897-B98B-6EB7FB2D085B}"/>
    <cellStyle name="Normal 7 2 10 3" xfId="8601" xr:uid="{00000000-0005-0000-0000-0000D6270000}"/>
    <cellStyle name="Normal 7 2 10 3 2" xfId="17410" xr:uid="{DD876CFA-5538-4F9C-B184-DF6DB9D047EE}"/>
    <cellStyle name="Normal 7 2 10 4" xfId="11813" xr:uid="{00000000-0005-0000-0000-0000D7270000}"/>
    <cellStyle name="Normal 7 2 10 4 2" xfId="20556" xr:uid="{89A99ACD-014E-43C6-9D5C-8C859B3BA61A}"/>
    <cellStyle name="Normal 7 2 10 5" xfId="13420" xr:uid="{00000000-0005-0000-0000-0000D8270000}"/>
    <cellStyle name="Normal 7 2 10 5 2" xfId="22156" xr:uid="{85E96E61-963E-404C-82CE-0322F54B897D}"/>
    <cellStyle name="Normal 7 2 10 6" xfId="15650" xr:uid="{F66A7BE3-D9A2-4FCF-BF74-7AD0783BAF08}"/>
    <cellStyle name="Normal 7 2 2" xfId="3541" xr:uid="{00000000-0005-0000-0000-0000D9270000}"/>
    <cellStyle name="Normal 7 2 2 2" xfId="3542" xr:uid="{00000000-0005-0000-0000-0000DA270000}"/>
    <cellStyle name="Normal 7 2 2 2 2" xfId="10205" xr:uid="{00000000-0005-0000-0000-0000DB270000}"/>
    <cellStyle name="Normal 7 2 2 2 2 2" xfId="19011" xr:uid="{B6CB0C47-5589-4B21-88BC-D8D35CE034C0}"/>
    <cellStyle name="Normal 7 2 2 2 3" xfId="8603" xr:uid="{00000000-0005-0000-0000-0000DC270000}"/>
    <cellStyle name="Normal 7 2 2 2 3 2" xfId="17412" xr:uid="{19006BF5-1D0B-45DD-A9BD-CAF9150B4D82}"/>
    <cellStyle name="Normal 7 2 2 2 4" xfId="11815" xr:uid="{00000000-0005-0000-0000-0000DD270000}"/>
    <cellStyle name="Normal 7 2 2 2 4 2" xfId="20558" xr:uid="{7662D1FA-4B5B-4BFE-B09E-FBB9FDEDFD4A}"/>
    <cellStyle name="Normal 7 2 2 2 5" xfId="13422" xr:uid="{00000000-0005-0000-0000-0000DE270000}"/>
    <cellStyle name="Normal 7 2 2 2 5 2" xfId="22158" xr:uid="{74CA6236-516C-4480-8772-6B9B995AB7D1}"/>
    <cellStyle name="Normal 7 2 2 2 6" xfId="15652" xr:uid="{4D7412FF-CCF7-49F5-85EB-250251051279}"/>
    <cellStyle name="Normal 7 2 2 3" xfId="3543" xr:uid="{00000000-0005-0000-0000-0000DF270000}"/>
    <cellStyle name="Normal 7 2 2 3 2" xfId="10206" xr:uid="{00000000-0005-0000-0000-0000E0270000}"/>
    <cellStyle name="Normal 7 2 2 3 2 2" xfId="19012" xr:uid="{1490B66A-510D-44C0-A3DF-6B3D31C89442}"/>
    <cellStyle name="Normal 7 2 2 3 3" xfId="8604" xr:uid="{00000000-0005-0000-0000-0000E1270000}"/>
    <cellStyle name="Normal 7 2 2 3 3 2" xfId="17413" xr:uid="{94EFD35B-29E1-427C-A2E9-D341CB8558AF}"/>
    <cellStyle name="Normal 7 2 2 3 4" xfId="11816" xr:uid="{00000000-0005-0000-0000-0000E2270000}"/>
    <cellStyle name="Normal 7 2 2 3 4 2" xfId="20559" xr:uid="{F53CAED1-CC24-48BC-BB8A-B519A0BEABBF}"/>
    <cellStyle name="Normal 7 2 2 3 5" xfId="13423" xr:uid="{00000000-0005-0000-0000-0000E3270000}"/>
    <cellStyle name="Normal 7 2 2 3 5 2" xfId="22159" xr:uid="{B79BD942-4AE0-405A-B102-725F8997E658}"/>
    <cellStyle name="Normal 7 2 2 3 6" xfId="15653" xr:uid="{D7400BC6-1DC6-4ED7-B888-AFB7C5687FD1}"/>
    <cellStyle name="Normal 7 2 2 4" xfId="3544" xr:uid="{00000000-0005-0000-0000-0000E4270000}"/>
    <cellStyle name="Normal 7 2 2 4 2" xfId="10207" xr:uid="{00000000-0005-0000-0000-0000E5270000}"/>
    <cellStyle name="Normal 7 2 2 4 2 2" xfId="19013" xr:uid="{EDD234EB-4011-446E-9F73-82C2E4BFF609}"/>
    <cellStyle name="Normal 7 2 2 4 3" xfId="8605" xr:uid="{00000000-0005-0000-0000-0000E6270000}"/>
    <cellStyle name="Normal 7 2 2 4 3 2" xfId="17414" xr:uid="{26042613-CB67-43ED-A96F-33E2BC4072CC}"/>
    <cellStyle name="Normal 7 2 2 4 4" xfId="11817" xr:uid="{00000000-0005-0000-0000-0000E7270000}"/>
    <cellStyle name="Normal 7 2 2 4 4 2" xfId="20560" xr:uid="{176B57B5-789F-4827-8AC5-2095AEB6B1A2}"/>
    <cellStyle name="Normal 7 2 2 4 5" xfId="13424" xr:uid="{00000000-0005-0000-0000-0000E8270000}"/>
    <cellStyle name="Normal 7 2 2 4 5 2" xfId="22160" xr:uid="{638A2E45-BC40-48F6-A51A-F6CDA1336687}"/>
    <cellStyle name="Normal 7 2 2 4 6" xfId="15654" xr:uid="{319E5D3D-BC12-4F94-9DB0-E50696A538FF}"/>
    <cellStyle name="Normal 7 2 2 5" xfId="10204" xr:uid="{00000000-0005-0000-0000-0000E9270000}"/>
    <cellStyle name="Normal 7 2 2 5 2" xfId="19010" xr:uid="{8549DF64-E3E0-4B07-9655-7A55939B219F}"/>
    <cellStyle name="Normal 7 2 2 6" xfId="8602" xr:uid="{00000000-0005-0000-0000-0000EA270000}"/>
    <cellStyle name="Normal 7 2 2 6 2" xfId="17411" xr:uid="{20C767E8-734E-4C00-9E6B-A8FABE42CA7D}"/>
    <cellStyle name="Normal 7 2 2 7" xfId="11814" xr:uid="{00000000-0005-0000-0000-0000EB270000}"/>
    <cellStyle name="Normal 7 2 2 7 2" xfId="20557" xr:uid="{7A7A47A6-7CCA-4C63-8DE4-3F26FEB40DEF}"/>
    <cellStyle name="Normal 7 2 2 8" xfId="13421" xr:uid="{00000000-0005-0000-0000-0000EC270000}"/>
    <cellStyle name="Normal 7 2 2 8 2" xfId="22157" xr:uid="{81FDDCE6-C469-4579-8287-44F92F605200}"/>
    <cellStyle name="Normal 7 2 2 9" xfId="15651" xr:uid="{2D0BA362-8DE2-4BFD-9E7B-70A34366F28E}"/>
    <cellStyle name="Normal 7 2 3" xfId="3545" xr:uid="{00000000-0005-0000-0000-0000ED270000}"/>
    <cellStyle name="Normal 7 2 3 2" xfId="3546" xr:uid="{00000000-0005-0000-0000-0000EE270000}"/>
    <cellStyle name="Normal 7 2 3 2 2" xfId="10209" xr:uid="{00000000-0005-0000-0000-0000EF270000}"/>
    <cellStyle name="Normal 7 2 3 2 2 2" xfId="19015" xr:uid="{D2BE54D1-0C14-47AB-BAE4-72802A16A0EB}"/>
    <cellStyle name="Normal 7 2 3 2 3" xfId="8607" xr:uid="{00000000-0005-0000-0000-0000F0270000}"/>
    <cellStyle name="Normal 7 2 3 2 3 2" xfId="17416" xr:uid="{1B0783DF-70A0-42D4-8B2D-91BADC3D0C38}"/>
    <cellStyle name="Normal 7 2 3 2 4" xfId="11819" xr:uid="{00000000-0005-0000-0000-0000F1270000}"/>
    <cellStyle name="Normal 7 2 3 2 4 2" xfId="20562" xr:uid="{45983681-A5E8-4E99-83CA-72501007AB0E}"/>
    <cellStyle name="Normal 7 2 3 2 5" xfId="13426" xr:uid="{00000000-0005-0000-0000-0000F2270000}"/>
    <cellStyle name="Normal 7 2 3 2 5 2" xfId="22162" xr:uid="{EED3520C-4BC3-435B-A907-234EFB628B64}"/>
    <cellStyle name="Normal 7 2 3 2 6" xfId="15656" xr:uid="{E6C6FCE7-CF33-41DB-9BBB-2EF62B4BA57F}"/>
    <cellStyle name="Normal 7 2 3 3" xfId="3547" xr:uid="{00000000-0005-0000-0000-0000F3270000}"/>
    <cellStyle name="Normal 7 2 3 3 2" xfId="10210" xr:uid="{00000000-0005-0000-0000-0000F4270000}"/>
    <cellStyle name="Normal 7 2 3 3 2 2" xfId="19016" xr:uid="{950CBFCA-A72F-45BE-B4EF-27BF8ABD135F}"/>
    <cellStyle name="Normal 7 2 3 3 3" xfId="8608" xr:uid="{00000000-0005-0000-0000-0000F5270000}"/>
    <cellStyle name="Normal 7 2 3 3 3 2" xfId="17417" xr:uid="{0FF6DD0A-4C43-497B-B7EB-BE4CD077051D}"/>
    <cellStyle name="Normal 7 2 3 3 4" xfId="11820" xr:uid="{00000000-0005-0000-0000-0000F6270000}"/>
    <cellStyle name="Normal 7 2 3 3 4 2" xfId="20563" xr:uid="{670FF009-BCD4-473A-9EA7-47954CA558AD}"/>
    <cellStyle name="Normal 7 2 3 3 5" xfId="13427" xr:uid="{00000000-0005-0000-0000-0000F7270000}"/>
    <cellStyle name="Normal 7 2 3 3 5 2" xfId="22163" xr:uid="{47E19679-F101-42BD-A36E-C8D3981B0B3A}"/>
    <cellStyle name="Normal 7 2 3 3 6" xfId="15657" xr:uid="{3D81A0BE-96B7-4993-B309-32C993510212}"/>
    <cellStyle name="Normal 7 2 3 4" xfId="3548" xr:uid="{00000000-0005-0000-0000-0000F8270000}"/>
    <cellStyle name="Normal 7 2 3 4 2" xfId="10211" xr:uid="{00000000-0005-0000-0000-0000F9270000}"/>
    <cellStyle name="Normal 7 2 3 4 2 2" xfId="19017" xr:uid="{3486C25A-C63D-4A4B-A262-0FD1B21BFCA5}"/>
    <cellStyle name="Normal 7 2 3 4 3" xfId="8609" xr:uid="{00000000-0005-0000-0000-0000FA270000}"/>
    <cellStyle name="Normal 7 2 3 4 3 2" xfId="17418" xr:uid="{CB0BD67C-56D8-4712-A9B8-0F572ABDA001}"/>
    <cellStyle name="Normal 7 2 3 4 4" xfId="11821" xr:uid="{00000000-0005-0000-0000-0000FB270000}"/>
    <cellStyle name="Normal 7 2 3 4 4 2" xfId="20564" xr:uid="{3F4DF24A-4274-42A3-A5C1-13B2507D38FB}"/>
    <cellStyle name="Normal 7 2 3 4 5" xfId="13428" xr:uid="{00000000-0005-0000-0000-0000FC270000}"/>
    <cellStyle name="Normal 7 2 3 4 5 2" xfId="22164" xr:uid="{B2C7F104-6EE0-4C87-8602-3C707796B8DA}"/>
    <cellStyle name="Normal 7 2 3 4 6" xfId="15658" xr:uid="{D05F1006-F70F-4E7D-ABCF-F5C67DF55717}"/>
    <cellStyle name="Normal 7 2 3 5" xfId="10208" xr:uid="{00000000-0005-0000-0000-0000FD270000}"/>
    <cellStyle name="Normal 7 2 3 5 2" xfId="19014" xr:uid="{580B9ED9-81FA-4ECA-A129-28AC4A6AF8BF}"/>
    <cellStyle name="Normal 7 2 3 6" xfId="8606" xr:uid="{00000000-0005-0000-0000-0000FE270000}"/>
    <cellStyle name="Normal 7 2 3 6 2" xfId="17415" xr:uid="{7ABCDEDB-019D-4FE5-9E5C-CD46001FC481}"/>
    <cellStyle name="Normal 7 2 3 7" xfId="11818" xr:uid="{00000000-0005-0000-0000-0000FF270000}"/>
    <cellStyle name="Normal 7 2 3 7 2" xfId="20561" xr:uid="{6887F510-C604-4F60-8395-AD55CEB425E0}"/>
    <cellStyle name="Normal 7 2 3 8" xfId="13425" xr:uid="{00000000-0005-0000-0000-000000280000}"/>
    <cellStyle name="Normal 7 2 3 8 2" xfId="22161" xr:uid="{9724CFF4-ADE6-42F6-8639-B88D712C56D3}"/>
    <cellStyle name="Normal 7 2 3 9" xfId="15655" xr:uid="{3BA22B22-5AF2-4F03-B655-67A568F50FC6}"/>
    <cellStyle name="Normal 7 2 4" xfId="3549" xr:uid="{00000000-0005-0000-0000-000001280000}"/>
    <cellStyle name="Normal 7 2 4 2" xfId="3550" xr:uid="{00000000-0005-0000-0000-000002280000}"/>
    <cellStyle name="Normal 7 2 4 2 2" xfId="3551" xr:uid="{00000000-0005-0000-0000-000003280000}"/>
    <cellStyle name="Normal 7 2 4 2 2 2" xfId="3552" xr:uid="{00000000-0005-0000-0000-000004280000}"/>
    <cellStyle name="Normal 7 2 4 2 2 2 2" xfId="10213" xr:uid="{00000000-0005-0000-0000-000005280000}"/>
    <cellStyle name="Normal 7 2 4 2 2 2 2 2" xfId="19019" xr:uid="{152EFE00-83AA-41DC-9701-DFEDADC7E340}"/>
    <cellStyle name="Normal 7 2 4 2 2 2 3" xfId="8611" xr:uid="{00000000-0005-0000-0000-000006280000}"/>
    <cellStyle name="Normal 7 2 4 2 2 2 3 2" xfId="17420" xr:uid="{772E700A-CEFC-4165-809B-F10095FB3969}"/>
    <cellStyle name="Normal 7 2 4 2 2 2 4" xfId="11823" xr:uid="{00000000-0005-0000-0000-000007280000}"/>
    <cellStyle name="Normal 7 2 4 2 2 2 4 2" xfId="20566" xr:uid="{A184EEBD-D5F0-4AA1-AC82-9149715992DF}"/>
    <cellStyle name="Normal 7 2 4 2 2 2 5" xfId="13430" xr:uid="{00000000-0005-0000-0000-000008280000}"/>
    <cellStyle name="Normal 7 2 4 2 2 2 5 2" xfId="22166" xr:uid="{62CC5A91-6C0C-4B89-B4E4-3EE5D4CB0951}"/>
    <cellStyle name="Normal 7 2 4 2 2 2 6" xfId="15660" xr:uid="{FDE40CCD-82C4-4314-B134-C3EBB94D1544}"/>
    <cellStyle name="Normal 7 2 4 2 2 3" xfId="3553" xr:uid="{00000000-0005-0000-0000-000009280000}"/>
    <cellStyle name="Normal 7 2 4 2 2 3 2" xfId="10214" xr:uid="{00000000-0005-0000-0000-00000A280000}"/>
    <cellStyle name="Normal 7 2 4 2 2 3 2 2" xfId="19020" xr:uid="{CF3B056F-FE51-4EDB-B14E-CBBC46E2E714}"/>
    <cellStyle name="Normal 7 2 4 2 2 3 3" xfId="8612" xr:uid="{00000000-0005-0000-0000-00000B280000}"/>
    <cellStyle name="Normal 7 2 4 2 2 3 3 2" xfId="17421" xr:uid="{1981430F-2D47-4A97-8317-DEE7EA3175CB}"/>
    <cellStyle name="Normal 7 2 4 2 2 3 4" xfId="11824" xr:uid="{00000000-0005-0000-0000-00000C280000}"/>
    <cellStyle name="Normal 7 2 4 2 2 3 4 2" xfId="20567" xr:uid="{E21C3EEB-8EEA-4722-8171-650593CA6C78}"/>
    <cellStyle name="Normal 7 2 4 2 2 3 5" xfId="13431" xr:uid="{00000000-0005-0000-0000-00000D280000}"/>
    <cellStyle name="Normal 7 2 4 2 2 3 5 2" xfId="22167" xr:uid="{F8A8D728-AF9B-4100-BADA-09AAC0412961}"/>
    <cellStyle name="Normal 7 2 4 2 2 3 6" xfId="15661" xr:uid="{1C9C53B0-DFF1-45AC-816C-0AD6DC7BE60A}"/>
    <cellStyle name="Normal 7 2 4 2 2 4" xfId="3554" xr:uid="{00000000-0005-0000-0000-00000E280000}"/>
    <cellStyle name="Normal 7 2 4 2 2 4 2" xfId="10215" xr:uid="{00000000-0005-0000-0000-00000F280000}"/>
    <cellStyle name="Normal 7 2 4 2 2 4 2 2" xfId="19021" xr:uid="{BBD0CDCD-9B72-438F-A30B-68AD6C4264BA}"/>
    <cellStyle name="Normal 7 2 4 2 2 4 3" xfId="8613" xr:uid="{00000000-0005-0000-0000-000010280000}"/>
    <cellStyle name="Normal 7 2 4 2 2 4 3 2" xfId="17422" xr:uid="{241D29F7-6629-4CCE-8C41-18F6B819E7E5}"/>
    <cellStyle name="Normal 7 2 4 2 2 4 4" xfId="11825" xr:uid="{00000000-0005-0000-0000-000011280000}"/>
    <cellStyle name="Normal 7 2 4 2 2 4 4 2" xfId="20568" xr:uid="{6A15A71F-64C3-4A00-8469-A9377EAD9409}"/>
    <cellStyle name="Normal 7 2 4 2 2 4 5" xfId="13432" xr:uid="{00000000-0005-0000-0000-000012280000}"/>
    <cellStyle name="Normal 7 2 4 2 2 4 5 2" xfId="22168" xr:uid="{03F9D8C6-9DBD-44EB-A89F-E47F77DF67EA}"/>
    <cellStyle name="Normal 7 2 4 2 2 4 6" xfId="15662" xr:uid="{FFDE585A-6563-4277-8770-4AD4D0DA1A28}"/>
    <cellStyle name="Normal 7 2 4 2 3" xfId="3555" xr:uid="{00000000-0005-0000-0000-000013280000}"/>
    <cellStyle name="Normal 7 2 4 2 4" xfId="3556" xr:uid="{00000000-0005-0000-0000-000014280000}"/>
    <cellStyle name="Normal 7 2 4 2 5" xfId="10212" xr:uid="{00000000-0005-0000-0000-000015280000}"/>
    <cellStyle name="Normal 7 2 4 2 5 2" xfId="19018" xr:uid="{2DE2EEE4-C697-4BA4-B452-82089712FE44}"/>
    <cellStyle name="Normal 7 2 4 2 6" xfId="8610" xr:uid="{00000000-0005-0000-0000-000016280000}"/>
    <cellStyle name="Normal 7 2 4 2 6 2" xfId="17419" xr:uid="{C78B61F4-20FF-4095-933A-DD24AD15C060}"/>
    <cellStyle name="Normal 7 2 4 2 7" xfId="11822" xr:uid="{00000000-0005-0000-0000-000017280000}"/>
    <cellStyle name="Normal 7 2 4 2 7 2" xfId="20565" xr:uid="{D1891468-CCFA-443F-B031-11C1BC639753}"/>
    <cellStyle name="Normal 7 2 4 2 8" xfId="13429" xr:uid="{00000000-0005-0000-0000-000018280000}"/>
    <cellStyle name="Normal 7 2 4 2 8 2" xfId="22165" xr:uid="{BEC32EAD-A5B1-431B-90A9-EBD839E38D01}"/>
    <cellStyle name="Normal 7 2 4 2 9" xfId="15659" xr:uid="{776F2004-13E9-4817-BA69-FE2151C51B3D}"/>
    <cellStyle name="Normal 7 2 4 3" xfId="3557" xr:uid="{00000000-0005-0000-0000-000019280000}"/>
    <cellStyle name="Normal 7 2 4 3 2" xfId="3558" xr:uid="{00000000-0005-0000-0000-00001A280000}"/>
    <cellStyle name="Normal 7 2 4 3 2 2" xfId="10217" xr:uid="{00000000-0005-0000-0000-00001B280000}"/>
    <cellStyle name="Normal 7 2 4 3 2 2 2" xfId="19023" xr:uid="{E228C20B-6D1F-47A9-A171-9F9153BDC895}"/>
    <cellStyle name="Normal 7 2 4 3 2 3" xfId="8615" xr:uid="{00000000-0005-0000-0000-00001C280000}"/>
    <cellStyle name="Normal 7 2 4 3 2 3 2" xfId="17424" xr:uid="{A55B9FAC-96FD-4DF6-9E7C-4C4BF16FE6E6}"/>
    <cellStyle name="Normal 7 2 4 3 2 4" xfId="11827" xr:uid="{00000000-0005-0000-0000-00001D280000}"/>
    <cellStyle name="Normal 7 2 4 3 2 4 2" xfId="20570" xr:uid="{E1728FEF-C96E-4000-9C28-481C952C00F5}"/>
    <cellStyle name="Normal 7 2 4 3 2 5" xfId="13434" xr:uid="{00000000-0005-0000-0000-00001E280000}"/>
    <cellStyle name="Normal 7 2 4 3 2 5 2" xfId="22170" xr:uid="{45DF9337-DAD7-4DF2-8FA6-3EFA7AD066DF}"/>
    <cellStyle name="Normal 7 2 4 3 2 6" xfId="15664" xr:uid="{C77E6319-24E5-4331-BEAF-920861F205E9}"/>
    <cellStyle name="Normal 7 2 4 3 3" xfId="3559" xr:uid="{00000000-0005-0000-0000-00001F280000}"/>
    <cellStyle name="Normal 7 2 4 3 3 2" xfId="10218" xr:uid="{00000000-0005-0000-0000-000020280000}"/>
    <cellStyle name="Normal 7 2 4 3 3 2 2" xfId="19024" xr:uid="{4AEFF00C-EFDA-4B5F-8705-7EC26317AC95}"/>
    <cellStyle name="Normal 7 2 4 3 3 3" xfId="8616" xr:uid="{00000000-0005-0000-0000-000021280000}"/>
    <cellStyle name="Normal 7 2 4 3 3 3 2" xfId="17425" xr:uid="{D5AF6675-AD15-4896-AD43-A87186327FD5}"/>
    <cellStyle name="Normal 7 2 4 3 3 4" xfId="11828" xr:uid="{00000000-0005-0000-0000-000022280000}"/>
    <cellStyle name="Normal 7 2 4 3 3 4 2" xfId="20571" xr:uid="{AB2CD366-FCE0-4A6C-A933-F2736D215EE9}"/>
    <cellStyle name="Normal 7 2 4 3 3 5" xfId="13435" xr:uid="{00000000-0005-0000-0000-000023280000}"/>
    <cellStyle name="Normal 7 2 4 3 3 5 2" xfId="22171" xr:uid="{5A1B92C5-E978-46B6-B263-1A70AD35DD51}"/>
    <cellStyle name="Normal 7 2 4 3 3 6" xfId="15665" xr:uid="{FBE62407-B0B0-4F0B-A616-FE55960EF5AF}"/>
    <cellStyle name="Normal 7 2 4 3 4" xfId="3560" xr:uid="{00000000-0005-0000-0000-000024280000}"/>
    <cellStyle name="Normal 7 2 4 3 4 2" xfId="10219" xr:uid="{00000000-0005-0000-0000-000025280000}"/>
    <cellStyle name="Normal 7 2 4 3 4 2 2" xfId="19025" xr:uid="{F17E144B-957F-4AB2-829E-BA50E20CCF73}"/>
    <cellStyle name="Normal 7 2 4 3 4 3" xfId="8617" xr:uid="{00000000-0005-0000-0000-000026280000}"/>
    <cellStyle name="Normal 7 2 4 3 4 3 2" xfId="17426" xr:uid="{CD8B39D8-E9A1-4657-B46A-6B2452B329AF}"/>
    <cellStyle name="Normal 7 2 4 3 4 4" xfId="11829" xr:uid="{00000000-0005-0000-0000-000027280000}"/>
    <cellStyle name="Normal 7 2 4 3 4 4 2" xfId="20572" xr:uid="{6DFA26E3-1426-4FAA-8556-FC6E8DF38AE6}"/>
    <cellStyle name="Normal 7 2 4 3 4 5" xfId="13436" xr:uid="{00000000-0005-0000-0000-000028280000}"/>
    <cellStyle name="Normal 7 2 4 3 4 5 2" xfId="22172" xr:uid="{222533EF-8933-48D7-A3F4-A5B7128B4FD7}"/>
    <cellStyle name="Normal 7 2 4 3 4 6" xfId="15666" xr:uid="{DE1A3957-42DA-457D-80FC-FF585A0E9A7C}"/>
    <cellStyle name="Normal 7 2 4 3 5" xfId="10216" xr:uid="{00000000-0005-0000-0000-000029280000}"/>
    <cellStyle name="Normal 7 2 4 3 5 2" xfId="19022" xr:uid="{04E68399-9D18-4276-BCEC-6EA1F7450E9A}"/>
    <cellStyle name="Normal 7 2 4 3 6" xfId="8614" xr:uid="{00000000-0005-0000-0000-00002A280000}"/>
    <cellStyle name="Normal 7 2 4 3 6 2" xfId="17423" xr:uid="{28EA720F-4679-443D-B452-951AAF1C2B0A}"/>
    <cellStyle name="Normal 7 2 4 3 7" xfId="11826" xr:uid="{00000000-0005-0000-0000-00002B280000}"/>
    <cellStyle name="Normal 7 2 4 3 7 2" xfId="20569" xr:uid="{98BB2500-8DB1-4445-A9C9-CD8205559D56}"/>
    <cellStyle name="Normal 7 2 4 3 8" xfId="13433" xr:uid="{00000000-0005-0000-0000-00002C280000}"/>
    <cellStyle name="Normal 7 2 4 3 8 2" xfId="22169" xr:uid="{99A76B77-8762-4ECB-B21E-2A20D514731C}"/>
    <cellStyle name="Normal 7 2 4 3 9" xfId="15663" xr:uid="{212806F2-4C83-4EF1-B696-9EEC613A5A0D}"/>
    <cellStyle name="Normal 7 2 4 4" xfId="3561" xr:uid="{00000000-0005-0000-0000-00002D280000}"/>
    <cellStyle name="Normal 7 2 4 4 2" xfId="3562" xr:uid="{00000000-0005-0000-0000-00002E280000}"/>
    <cellStyle name="Normal 7 2 4 4 2 2" xfId="10221" xr:uid="{00000000-0005-0000-0000-00002F280000}"/>
    <cellStyle name="Normal 7 2 4 4 2 2 2" xfId="19027" xr:uid="{180B431A-A328-4C19-A7CF-FD19C3718118}"/>
    <cellStyle name="Normal 7 2 4 4 2 3" xfId="8619" xr:uid="{00000000-0005-0000-0000-000030280000}"/>
    <cellStyle name="Normal 7 2 4 4 2 3 2" xfId="17428" xr:uid="{04F0C3C4-CCD7-4677-9D38-F88D22C1AABB}"/>
    <cellStyle name="Normal 7 2 4 4 2 4" xfId="11831" xr:uid="{00000000-0005-0000-0000-000031280000}"/>
    <cellStyle name="Normal 7 2 4 4 2 4 2" xfId="20574" xr:uid="{A9D59BCB-7DF2-4F51-B225-9AF49948BBB8}"/>
    <cellStyle name="Normal 7 2 4 4 2 5" xfId="13438" xr:uid="{00000000-0005-0000-0000-000032280000}"/>
    <cellStyle name="Normal 7 2 4 4 2 5 2" xfId="22174" xr:uid="{C95BCAF6-43E8-4FD7-AD9B-156D088D84CC}"/>
    <cellStyle name="Normal 7 2 4 4 2 6" xfId="15668" xr:uid="{BCCBB8F3-2E74-4864-83B2-AD23E2E28A4B}"/>
    <cellStyle name="Normal 7 2 4 4 3" xfId="3563" xr:uid="{00000000-0005-0000-0000-000033280000}"/>
    <cellStyle name="Normal 7 2 4 4 3 2" xfId="10222" xr:uid="{00000000-0005-0000-0000-000034280000}"/>
    <cellStyle name="Normal 7 2 4 4 3 2 2" xfId="19028" xr:uid="{F200C862-5709-4E89-9D73-3450860B46EC}"/>
    <cellStyle name="Normal 7 2 4 4 3 3" xfId="8620" xr:uid="{00000000-0005-0000-0000-000035280000}"/>
    <cellStyle name="Normal 7 2 4 4 3 3 2" xfId="17429" xr:uid="{3660D30D-555A-4F99-B8CB-EE614766A44E}"/>
    <cellStyle name="Normal 7 2 4 4 3 4" xfId="11832" xr:uid="{00000000-0005-0000-0000-000036280000}"/>
    <cellStyle name="Normal 7 2 4 4 3 4 2" xfId="20575" xr:uid="{FE724EA4-6929-4936-8D6D-8FAE31D8009B}"/>
    <cellStyle name="Normal 7 2 4 4 3 5" xfId="13439" xr:uid="{00000000-0005-0000-0000-000037280000}"/>
    <cellStyle name="Normal 7 2 4 4 3 5 2" xfId="22175" xr:uid="{27F8BC97-B230-4D1D-A0B2-91773551A89B}"/>
    <cellStyle name="Normal 7 2 4 4 3 6" xfId="15669" xr:uid="{CE1B2004-54A4-4EB8-B84B-010EBB535F4C}"/>
    <cellStyle name="Normal 7 2 4 4 4" xfId="3564" xr:uid="{00000000-0005-0000-0000-000038280000}"/>
    <cellStyle name="Normal 7 2 4 4 4 2" xfId="10223" xr:uid="{00000000-0005-0000-0000-000039280000}"/>
    <cellStyle name="Normal 7 2 4 4 4 2 2" xfId="19029" xr:uid="{F2F25D0B-DB2C-444C-9117-A4A883339E5D}"/>
    <cellStyle name="Normal 7 2 4 4 4 3" xfId="8621" xr:uid="{00000000-0005-0000-0000-00003A280000}"/>
    <cellStyle name="Normal 7 2 4 4 4 3 2" xfId="17430" xr:uid="{A4C61005-444C-4871-8ED7-9683A0B70697}"/>
    <cellStyle name="Normal 7 2 4 4 4 4" xfId="11833" xr:uid="{00000000-0005-0000-0000-00003B280000}"/>
    <cellStyle name="Normal 7 2 4 4 4 4 2" xfId="20576" xr:uid="{11ED49E8-53A7-440E-9089-1A448D5B9D61}"/>
    <cellStyle name="Normal 7 2 4 4 4 5" xfId="13440" xr:uid="{00000000-0005-0000-0000-00003C280000}"/>
    <cellStyle name="Normal 7 2 4 4 4 5 2" xfId="22176" xr:uid="{CB525FDC-C8BD-4456-BBD7-996E6EE926BB}"/>
    <cellStyle name="Normal 7 2 4 4 4 6" xfId="15670" xr:uid="{BFD5C126-7788-4E9E-BEC9-35963E657744}"/>
    <cellStyle name="Normal 7 2 4 4 5" xfId="10220" xr:uid="{00000000-0005-0000-0000-00003D280000}"/>
    <cellStyle name="Normal 7 2 4 4 5 2" xfId="19026" xr:uid="{33FDF43F-291C-4F60-94AF-27073FEE3F86}"/>
    <cellStyle name="Normal 7 2 4 4 6" xfId="8618" xr:uid="{00000000-0005-0000-0000-00003E280000}"/>
    <cellStyle name="Normal 7 2 4 4 6 2" xfId="17427" xr:uid="{DBB73D7C-D89F-4EFA-BB71-FE865EA0791E}"/>
    <cellStyle name="Normal 7 2 4 4 7" xfId="11830" xr:uid="{00000000-0005-0000-0000-00003F280000}"/>
    <cellStyle name="Normal 7 2 4 4 7 2" xfId="20573" xr:uid="{D9ADC5B6-6B8C-499A-91A2-2F771FE576BF}"/>
    <cellStyle name="Normal 7 2 4 4 8" xfId="13437" xr:uid="{00000000-0005-0000-0000-000040280000}"/>
    <cellStyle name="Normal 7 2 4 4 8 2" xfId="22173" xr:uid="{3CAF4E8C-D20B-428E-B654-4F9E87030045}"/>
    <cellStyle name="Normal 7 2 4 4 9" xfId="15667" xr:uid="{DF9C34AA-72D6-4018-B310-1D753AAE89EE}"/>
    <cellStyle name="Normal 7 2 4 5" xfId="3565" xr:uid="{00000000-0005-0000-0000-000041280000}"/>
    <cellStyle name="Normal 7 2 4 5 2" xfId="10224" xr:uid="{00000000-0005-0000-0000-000042280000}"/>
    <cellStyle name="Normal 7 2 4 5 2 2" xfId="19030" xr:uid="{CD4772A6-10C2-42F4-A21A-8C9351F3EBEA}"/>
    <cellStyle name="Normal 7 2 4 5 3" xfId="8622" xr:uid="{00000000-0005-0000-0000-000043280000}"/>
    <cellStyle name="Normal 7 2 4 5 3 2" xfId="17431" xr:uid="{6B7AEAF9-2BEF-48FD-8FEA-C9A9E488A4EB}"/>
    <cellStyle name="Normal 7 2 4 5 4" xfId="11834" xr:uid="{00000000-0005-0000-0000-000044280000}"/>
    <cellStyle name="Normal 7 2 4 5 4 2" xfId="20577" xr:uid="{61FE4323-1D27-48E3-B3DE-42848488DBE7}"/>
    <cellStyle name="Normal 7 2 4 5 5" xfId="13441" xr:uid="{00000000-0005-0000-0000-000045280000}"/>
    <cellStyle name="Normal 7 2 4 5 5 2" xfId="22177" xr:uid="{276061D9-EA35-4C7F-8A0C-141168C82B4F}"/>
    <cellStyle name="Normal 7 2 4 5 6" xfId="15671" xr:uid="{DD2B46B5-4306-41D7-B53A-7A5C7296C650}"/>
    <cellStyle name="Normal 7 2 4 6" xfId="3566" xr:uid="{00000000-0005-0000-0000-000046280000}"/>
    <cellStyle name="Normal 7 2 4 6 2" xfId="10225" xr:uid="{00000000-0005-0000-0000-000047280000}"/>
    <cellStyle name="Normal 7 2 4 6 2 2" xfId="19031" xr:uid="{54F3DC88-06B7-4EE9-9D53-74B56DD550C5}"/>
    <cellStyle name="Normal 7 2 4 6 3" xfId="8623" xr:uid="{00000000-0005-0000-0000-000048280000}"/>
    <cellStyle name="Normal 7 2 4 6 3 2" xfId="17432" xr:uid="{22CAA174-6292-4818-AD48-3D53FBC5E88D}"/>
    <cellStyle name="Normal 7 2 4 6 4" xfId="11835" xr:uid="{00000000-0005-0000-0000-000049280000}"/>
    <cellStyle name="Normal 7 2 4 6 4 2" xfId="20578" xr:uid="{113FFFFF-FA04-429E-B6BF-3E0E3742174E}"/>
    <cellStyle name="Normal 7 2 4 6 5" xfId="13442" xr:uid="{00000000-0005-0000-0000-00004A280000}"/>
    <cellStyle name="Normal 7 2 4 6 5 2" xfId="22178" xr:uid="{54FEBE45-2ECA-4D16-8EBE-8834F6CB8DB3}"/>
    <cellStyle name="Normal 7 2 4 6 6" xfId="15672" xr:uid="{92EBDA05-AC93-46B3-AEC6-1E9AFBB2017E}"/>
    <cellStyle name="Normal 7 2 4 7" xfId="3567" xr:uid="{00000000-0005-0000-0000-00004B280000}"/>
    <cellStyle name="Normal 7 2 4 7 2" xfId="10226" xr:uid="{00000000-0005-0000-0000-00004C280000}"/>
    <cellStyle name="Normal 7 2 4 7 2 2" xfId="19032" xr:uid="{2C8E9CAD-362D-4866-961A-2B37FA657829}"/>
    <cellStyle name="Normal 7 2 4 7 3" xfId="8624" xr:uid="{00000000-0005-0000-0000-00004D280000}"/>
    <cellStyle name="Normal 7 2 4 7 3 2" xfId="17433" xr:uid="{3C513C27-3470-4140-8896-31D3ADD2E8D7}"/>
    <cellStyle name="Normal 7 2 4 7 4" xfId="11836" xr:uid="{00000000-0005-0000-0000-00004E280000}"/>
    <cellStyle name="Normal 7 2 4 7 4 2" xfId="20579" xr:uid="{21A4D067-AE25-48F6-B842-64372556CF3C}"/>
    <cellStyle name="Normal 7 2 4 7 5" xfId="13443" xr:uid="{00000000-0005-0000-0000-00004F280000}"/>
    <cellStyle name="Normal 7 2 4 7 5 2" xfId="22179" xr:uid="{D721A029-B4E4-4456-87AE-8CB058F3F0FF}"/>
    <cellStyle name="Normal 7 2 4 7 6" xfId="15673" xr:uid="{1E68AA32-D36C-4461-8FC3-5D8A1D2468F8}"/>
    <cellStyle name="Normal 7 2 5" xfId="3568" xr:uid="{00000000-0005-0000-0000-000050280000}"/>
    <cellStyle name="Normal 7 2 6" xfId="3569" xr:uid="{00000000-0005-0000-0000-000051280000}"/>
    <cellStyle name="Normal 7 2 7" xfId="3570" xr:uid="{00000000-0005-0000-0000-000052280000}"/>
    <cellStyle name="Normal 7 2 7 2" xfId="10227" xr:uid="{00000000-0005-0000-0000-000053280000}"/>
    <cellStyle name="Normal 7 2 7 2 2" xfId="19033" xr:uid="{40A7CBB5-901E-4373-9220-E56752E843F7}"/>
    <cellStyle name="Normal 7 2 7 3" xfId="8625" xr:uid="{00000000-0005-0000-0000-000054280000}"/>
    <cellStyle name="Normal 7 2 7 3 2" xfId="17434" xr:uid="{0A5C8812-A00B-4EB2-8A42-4907F21935DC}"/>
    <cellStyle name="Normal 7 2 7 4" xfId="11837" xr:uid="{00000000-0005-0000-0000-000055280000}"/>
    <cellStyle name="Normal 7 2 7 4 2" xfId="20580" xr:uid="{B9631FEB-B4FE-4231-9F4B-EAEB9A02F1FC}"/>
    <cellStyle name="Normal 7 2 7 5" xfId="13444" xr:uid="{00000000-0005-0000-0000-000056280000}"/>
    <cellStyle name="Normal 7 2 7 5 2" xfId="22180" xr:uid="{091DD2BF-37B5-490A-BB79-32EBA3C14EBD}"/>
    <cellStyle name="Normal 7 2 7 6" xfId="15674" xr:uid="{713EFBA0-2D57-4084-BEA8-06BE520C1E8E}"/>
    <cellStyle name="Normal 7 2 8" xfId="3571" xr:uid="{00000000-0005-0000-0000-000057280000}"/>
    <cellStyle name="Normal 7 2 8 2" xfId="10228" xr:uid="{00000000-0005-0000-0000-000058280000}"/>
    <cellStyle name="Normal 7 2 8 2 2" xfId="19034" xr:uid="{DA814F86-D37A-4D29-90A7-C2E122DB138B}"/>
    <cellStyle name="Normal 7 2 8 3" xfId="8626" xr:uid="{00000000-0005-0000-0000-000059280000}"/>
    <cellStyle name="Normal 7 2 8 3 2" xfId="17435" xr:uid="{9C9631C4-D7E3-4975-850E-020C8B78B0D9}"/>
    <cellStyle name="Normal 7 2 8 4" xfId="11838" xr:uid="{00000000-0005-0000-0000-00005A280000}"/>
    <cellStyle name="Normal 7 2 8 4 2" xfId="20581" xr:uid="{C176F919-7EE8-429A-A780-412FBCAD30A1}"/>
    <cellStyle name="Normal 7 2 8 5" xfId="13445" xr:uid="{00000000-0005-0000-0000-00005B280000}"/>
    <cellStyle name="Normal 7 2 8 5 2" xfId="22181" xr:uid="{53C14974-74A4-47F5-993E-6FE643FE836A}"/>
    <cellStyle name="Normal 7 2 8 6" xfId="15675" xr:uid="{5243338F-1714-4C55-9240-263141ECD708}"/>
    <cellStyle name="Normal 7 2 9" xfId="3572" xr:uid="{00000000-0005-0000-0000-00005C280000}"/>
    <cellStyle name="Normal 7 2 9 2" xfId="10229" xr:uid="{00000000-0005-0000-0000-00005D280000}"/>
    <cellStyle name="Normal 7 2 9 2 2" xfId="19035" xr:uid="{E5F5D5B1-DBE9-4152-AC94-A563C02C8557}"/>
    <cellStyle name="Normal 7 2 9 3" xfId="8627" xr:uid="{00000000-0005-0000-0000-00005E280000}"/>
    <cellStyle name="Normal 7 2 9 3 2" xfId="17436" xr:uid="{A13154D6-51B7-4C90-BC14-DCD62DA710E7}"/>
    <cellStyle name="Normal 7 2 9 4" xfId="11839" xr:uid="{00000000-0005-0000-0000-00005F280000}"/>
    <cellStyle name="Normal 7 2 9 4 2" xfId="20582" xr:uid="{AA369349-EBAC-4B13-8245-BFF6B5DD527C}"/>
    <cellStyle name="Normal 7 2 9 5" xfId="13446" xr:uid="{00000000-0005-0000-0000-000060280000}"/>
    <cellStyle name="Normal 7 2 9 5 2" xfId="22182" xr:uid="{90CE4F9B-F99D-41A8-AF8A-667C3452FAC0}"/>
    <cellStyle name="Normal 7 2 9 6" xfId="15676" xr:uid="{C31CB8A0-AA19-4754-8B0F-15F60BBD5A5B}"/>
    <cellStyle name="Normal 7 3" xfId="3573" xr:uid="{00000000-0005-0000-0000-000061280000}"/>
    <cellStyle name="Normal 7 3 2" xfId="3574" xr:uid="{00000000-0005-0000-0000-000062280000}"/>
    <cellStyle name="Normal 7 3 3" xfId="10230" xr:uid="{00000000-0005-0000-0000-000063280000}"/>
    <cellStyle name="Normal 7 3 3 2" xfId="19036" xr:uid="{1903BB75-57DB-4784-858F-796628DFC316}"/>
    <cellStyle name="Normal 7 3 4" xfId="8628" xr:uid="{00000000-0005-0000-0000-000064280000}"/>
    <cellStyle name="Normal 7 3 4 2" xfId="17437" xr:uid="{6D4CEE1B-D04F-44CD-BDA9-6F67F27D95C3}"/>
    <cellStyle name="Normal 7 3 5" xfId="11840" xr:uid="{00000000-0005-0000-0000-000065280000}"/>
    <cellStyle name="Normal 7 3 5 2" xfId="20583" xr:uid="{453252F2-07DA-42FE-9421-47FAA5EFC533}"/>
    <cellStyle name="Normal 7 3 6" xfId="13447" xr:uid="{00000000-0005-0000-0000-000066280000}"/>
    <cellStyle name="Normal 7 3 6 2" xfId="22183" xr:uid="{A0F29D1F-2EDD-45AE-ACCF-DA41AF438D99}"/>
    <cellStyle name="Normal 7 3 7" xfId="15677" xr:uid="{BC6BC83E-5ADD-458F-8AB1-3504377170AE}"/>
    <cellStyle name="Normal 7 4" xfId="3575" xr:uid="{00000000-0005-0000-0000-000067280000}"/>
    <cellStyle name="Normal 7 5" xfId="3538" xr:uid="{00000000-0005-0000-0000-000068280000}"/>
    <cellStyle name="Normal 7 5 2" xfId="10202" xr:uid="{00000000-0005-0000-0000-000069280000}"/>
    <cellStyle name="Normal 7 5 2 2" xfId="19008" xr:uid="{33A5E682-6D59-48AE-8742-685B99B1B91A}"/>
    <cellStyle name="Normal 7 5 3" xfId="11812" xr:uid="{00000000-0005-0000-0000-00006A280000}"/>
    <cellStyle name="Normal 7 5 3 2" xfId="20555" xr:uid="{21EF6B54-BB0D-4F6C-8ECF-75E3E12F019B}"/>
    <cellStyle name="Normal 7 5 4" xfId="15649" xr:uid="{8EA270CE-5EF1-4EA3-A60A-DBF4E4AA8968}"/>
    <cellStyle name="Normal 7 6" xfId="10460" xr:uid="{00000000-0005-0000-0000-00006B280000}"/>
    <cellStyle name="Normal 7 6 2" xfId="19259" xr:uid="{D2606910-5C3E-4BF8-B71A-CB8BB13EE464}"/>
    <cellStyle name="Normal 7 7" xfId="8600" xr:uid="{00000000-0005-0000-0000-00006C280000}"/>
    <cellStyle name="Normal 7 7 2" xfId="17409" xr:uid="{17F17133-6C23-4BA0-8350-BBB4E083610A}"/>
    <cellStyle name="Normal 7 8" xfId="10618" xr:uid="{00000000-0005-0000-0000-00006D280000}"/>
    <cellStyle name="Normal 7 8 2" xfId="19377" xr:uid="{1EFED68D-3D75-47D0-AC96-3251A94830DD}"/>
    <cellStyle name="Normal 7 9" xfId="13419" xr:uid="{00000000-0005-0000-0000-00006E280000}"/>
    <cellStyle name="Normal 7 9 2" xfId="22155" xr:uid="{579BF1A9-58F3-4A5A-90C1-3A784CBA5E4D}"/>
    <cellStyle name="Normal 70" xfId="3576" xr:uid="{00000000-0005-0000-0000-00006F280000}"/>
    <cellStyle name="Normal 70 2" xfId="3577" xr:uid="{00000000-0005-0000-0000-000070280000}"/>
    <cellStyle name="Normal 70 2 2" xfId="10232" xr:uid="{00000000-0005-0000-0000-000071280000}"/>
    <cellStyle name="Normal 70 2 2 2" xfId="19038" xr:uid="{4BFADE85-6A4B-4B93-B191-4382CF0D1C6E}"/>
    <cellStyle name="Normal 70 2 3" xfId="8630" xr:uid="{00000000-0005-0000-0000-000072280000}"/>
    <cellStyle name="Normal 70 2 3 2" xfId="17439" xr:uid="{58E6A4DC-5F52-46D7-9696-6C1F46FDACE1}"/>
    <cellStyle name="Normal 70 2 4" xfId="11842" xr:uid="{00000000-0005-0000-0000-000073280000}"/>
    <cellStyle name="Normal 70 2 4 2" xfId="20585" xr:uid="{7193D00B-8549-4DB3-8B1C-862361F1ED77}"/>
    <cellStyle name="Normal 70 2 5" xfId="13449" xr:uid="{00000000-0005-0000-0000-000074280000}"/>
    <cellStyle name="Normal 70 2 5 2" xfId="22185" xr:uid="{690DF19B-BA2D-40C8-8819-1D4CDDF4661D}"/>
    <cellStyle name="Normal 70 2 6" xfId="15679" xr:uid="{364A2138-8208-4F22-A814-F9440329B505}"/>
    <cellStyle name="Normal 70 3" xfId="3578" xr:uid="{00000000-0005-0000-0000-000075280000}"/>
    <cellStyle name="Normal 70 3 2" xfId="10233" xr:uid="{00000000-0005-0000-0000-000076280000}"/>
    <cellStyle name="Normal 70 3 2 2" xfId="19039" xr:uid="{CFD1BAB7-6CE8-4DE8-99A5-03BCA46E4F24}"/>
    <cellStyle name="Normal 70 3 3" xfId="8631" xr:uid="{00000000-0005-0000-0000-000077280000}"/>
    <cellStyle name="Normal 70 3 3 2" xfId="17440" xr:uid="{54C5F5A5-5FE0-4D76-A37C-000562B51CBA}"/>
    <cellStyle name="Normal 70 3 4" xfId="11843" xr:uid="{00000000-0005-0000-0000-000078280000}"/>
    <cellStyle name="Normal 70 3 4 2" xfId="20586" xr:uid="{CF756B62-9AFD-4BD6-8A6B-EA81F8CFDE4B}"/>
    <cellStyle name="Normal 70 3 5" xfId="13450" xr:uid="{00000000-0005-0000-0000-000079280000}"/>
    <cellStyle name="Normal 70 3 5 2" xfId="22186" xr:uid="{35B11B89-7702-43F8-8AA8-E88250EB3138}"/>
    <cellStyle name="Normal 70 3 6" xfId="15680" xr:uid="{6BC9360C-D1C9-49C2-BE3C-4049992EB00B}"/>
    <cellStyle name="Normal 70 4" xfId="3579" xr:uid="{00000000-0005-0000-0000-00007A280000}"/>
    <cellStyle name="Normal 70 4 2" xfId="10234" xr:uid="{00000000-0005-0000-0000-00007B280000}"/>
    <cellStyle name="Normal 70 4 2 2" xfId="19040" xr:uid="{DA234F0E-1A2E-4EDD-9581-1552E57BC0DA}"/>
    <cellStyle name="Normal 70 4 3" xfId="8632" xr:uid="{00000000-0005-0000-0000-00007C280000}"/>
    <cellStyle name="Normal 70 4 3 2" xfId="17441" xr:uid="{BEB0978D-D240-4A4F-8C7B-6F1220E58BCA}"/>
    <cellStyle name="Normal 70 4 4" xfId="11844" xr:uid="{00000000-0005-0000-0000-00007D280000}"/>
    <cellStyle name="Normal 70 4 4 2" xfId="20587" xr:uid="{9265D5C4-12F5-4D21-98A3-6F24B159F86F}"/>
    <cellStyle name="Normal 70 4 5" xfId="13451" xr:uid="{00000000-0005-0000-0000-00007E280000}"/>
    <cellStyle name="Normal 70 4 5 2" xfId="22187" xr:uid="{109C78C6-5777-4785-A5F8-0D6FABDDDA77}"/>
    <cellStyle name="Normal 70 4 6" xfId="15681" xr:uid="{4107ECC7-B135-4108-BD4A-A7C5CFA5F771}"/>
    <cellStyle name="Normal 70 5" xfId="10231" xr:uid="{00000000-0005-0000-0000-00007F280000}"/>
    <cellStyle name="Normal 70 5 2" xfId="19037" xr:uid="{FB1CC48A-66D3-42C7-BE2A-F7D57E1AE4EC}"/>
    <cellStyle name="Normal 70 6" xfId="8629" xr:uid="{00000000-0005-0000-0000-000080280000}"/>
    <cellStyle name="Normal 70 6 2" xfId="17438" xr:uid="{F93A1386-B5FE-495F-9129-DEFCACA429B3}"/>
    <cellStyle name="Normal 70 7" xfId="11841" xr:uid="{00000000-0005-0000-0000-000081280000}"/>
    <cellStyle name="Normal 70 7 2" xfId="20584" xr:uid="{1D1F558B-C046-4B09-BAD2-07BF4BEA9F64}"/>
    <cellStyle name="Normal 70 8" xfId="13448" xr:uid="{00000000-0005-0000-0000-000082280000}"/>
    <cellStyle name="Normal 70 8 2" xfId="22184" xr:uid="{A2BCD8EC-5A3F-48A6-AABC-2C41191AE65E}"/>
    <cellStyle name="Normal 70 9" xfId="15678" xr:uid="{D8EE4A82-5D0F-46B3-90B9-D5ECA55AE2BB}"/>
    <cellStyle name="Normal 71" xfId="3580" xr:uid="{00000000-0005-0000-0000-000083280000}"/>
    <cellStyle name="Normal 71 2" xfId="3581" xr:uid="{00000000-0005-0000-0000-000084280000}"/>
    <cellStyle name="Normal 71 2 2" xfId="10236" xr:uid="{00000000-0005-0000-0000-000085280000}"/>
    <cellStyle name="Normal 71 2 2 2" xfId="19042" xr:uid="{6272A043-B6DE-4FB2-9E13-E133E172EB3A}"/>
    <cellStyle name="Normal 71 2 3" xfId="8634" xr:uid="{00000000-0005-0000-0000-000086280000}"/>
    <cellStyle name="Normal 71 2 3 2" xfId="17443" xr:uid="{C5132CAB-2825-4FF1-AFD6-06161E22CA0D}"/>
    <cellStyle name="Normal 71 2 4" xfId="11846" xr:uid="{00000000-0005-0000-0000-000087280000}"/>
    <cellStyle name="Normal 71 2 4 2" xfId="20589" xr:uid="{63A852DC-4B13-42C7-A4FA-BB3D67BC63B0}"/>
    <cellStyle name="Normal 71 2 5" xfId="13453" xr:uid="{00000000-0005-0000-0000-000088280000}"/>
    <cellStyle name="Normal 71 2 5 2" xfId="22189" xr:uid="{6D926EC2-68D3-47B0-9768-592A777B9A68}"/>
    <cellStyle name="Normal 71 2 6" xfId="15683" xr:uid="{8E1F64F6-96AA-497E-8FC7-18197CB92E3C}"/>
    <cellStyle name="Normal 71 3" xfId="3582" xr:uid="{00000000-0005-0000-0000-000089280000}"/>
    <cellStyle name="Normal 71 3 2" xfId="10237" xr:uid="{00000000-0005-0000-0000-00008A280000}"/>
    <cellStyle name="Normal 71 3 2 2" xfId="19043" xr:uid="{AC6D1357-FD4A-498C-AC20-D1F2CA5E4892}"/>
    <cellStyle name="Normal 71 3 3" xfId="8635" xr:uid="{00000000-0005-0000-0000-00008B280000}"/>
    <cellStyle name="Normal 71 3 3 2" xfId="17444" xr:uid="{FF279B8F-EA25-4514-ABCE-A687E90CAC26}"/>
    <cellStyle name="Normal 71 3 4" xfId="11847" xr:uid="{00000000-0005-0000-0000-00008C280000}"/>
    <cellStyle name="Normal 71 3 4 2" xfId="20590" xr:uid="{471AB21C-0DB2-4397-AC98-4B1EFA45244D}"/>
    <cellStyle name="Normal 71 3 5" xfId="13454" xr:uid="{00000000-0005-0000-0000-00008D280000}"/>
    <cellStyle name="Normal 71 3 5 2" xfId="22190" xr:uid="{7303FC68-D89D-4206-87F3-52DB358CB188}"/>
    <cellStyle name="Normal 71 3 6" xfId="15684" xr:uid="{7C9B96B8-2043-4D4C-8A63-30BAA275B3D5}"/>
    <cellStyle name="Normal 71 4" xfId="3583" xr:uid="{00000000-0005-0000-0000-00008E280000}"/>
    <cellStyle name="Normal 71 4 2" xfId="10238" xr:uid="{00000000-0005-0000-0000-00008F280000}"/>
    <cellStyle name="Normal 71 4 2 2" xfId="19044" xr:uid="{38B0F093-7323-445A-A599-91AB3D9C3824}"/>
    <cellStyle name="Normal 71 4 3" xfId="8636" xr:uid="{00000000-0005-0000-0000-000090280000}"/>
    <cellStyle name="Normal 71 4 3 2" xfId="17445" xr:uid="{29B963AC-DF35-4259-9898-57EED0DD747E}"/>
    <cellStyle name="Normal 71 4 4" xfId="11848" xr:uid="{00000000-0005-0000-0000-000091280000}"/>
    <cellStyle name="Normal 71 4 4 2" xfId="20591" xr:uid="{5BDAD186-9654-4D97-B672-9401226D0379}"/>
    <cellStyle name="Normal 71 4 5" xfId="13455" xr:uid="{00000000-0005-0000-0000-000092280000}"/>
    <cellStyle name="Normal 71 4 5 2" xfId="22191" xr:uid="{DDF2059B-CAC1-43D8-AB84-1C6326C50613}"/>
    <cellStyle name="Normal 71 4 6" xfId="15685" xr:uid="{779E2DFD-FE55-4FDC-B22E-2FE5EB696CA2}"/>
    <cellStyle name="Normal 71 5" xfId="10235" xr:uid="{00000000-0005-0000-0000-000093280000}"/>
    <cellStyle name="Normal 71 5 2" xfId="19041" xr:uid="{F526A300-4ACC-45AE-A411-2175BDD02DF7}"/>
    <cellStyle name="Normal 71 6" xfId="8633" xr:uid="{00000000-0005-0000-0000-000094280000}"/>
    <cellStyle name="Normal 71 6 2" xfId="17442" xr:uid="{0072ABEA-E3CC-4746-9782-8FA9A60FF472}"/>
    <cellStyle name="Normal 71 7" xfId="11845" xr:uid="{00000000-0005-0000-0000-000095280000}"/>
    <cellStyle name="Normal 71 7 2" xfId="20588" xr:uid="{33269046-76EB-4737-AC63-A49B84168507}"/>
    <cellStyle name="Normal 71 8" xfId="13452" xr:uid="{00000000-0005-0000-0000-000096280000}"/>
    <cellStyle name="Normal 71 8 2" xfId="22188" xr:uid="{97AB0A93-E844-4EB5-9D12-7AB2CC1F4A9D}"/>
    <cellStyle name="Normal 71 9" xfId="15682" xr:uid="{22FD2762-99CA-42EA-B64F-5CC86FBDAD61}"/>
    <cellStyle name="Normal 72" xfId="3584" xr:uid="{00000000-0005-0000-0000-000097280000}"/>
    <cellStyle name="Normal 72 2" xfId="3585" xr:uid="{00000000-0005-0000-0000-000098280000}"/>
    <cellStyle name="Normal 72 2 2" xfId="10240" xr:uid="{00000000-0005-0000-0000-000099280000}"/>
    <cellStyle name="Normal 72 2 2 2" xfId="19046" xr:uid="{017144CB-051D-4386-B416-554CC1D0A70C}"/>
    <cellStyle name="Normal 72 2 3" xfId="8638" xr:uid="{00000000-0005-0000-0000-00009A280000}"/>
    <cellStyle name="Normal 72 2 3 2" xfId="17447" xr:uid="{792DFE23-4E22-4334-A775-D19FDBB0E982}"/>
    <cellStyle name="Normal 72 2 4" xfId="11850" xr:uid="{00000000-0005-0000-0000-00009B280000}"/>
    <cellStyle name="Normal 72 2 4 2" xfId="20593" xr:uid="{D36C4484-52FF-432E-9594-297C55977D6C}"/>
    <cellStyle name="Normal 72 2 5" xfId="13457" xr:uid="{00000000-0005-0000-0000-00009C280000}"/>
    <cellStyle name="Normal 72 2 5 2" xfId="22193" xr:uid="{18C2CF6E-7EB1-4D6D-93DF-F233D8C51E72}"/>
    <cellStyle name="Normal 72 2 6" xfId="15687" xr:uid="{434F5ED8-93B4-4DDF-9A76-1714DF4354E2}"/>
    <cellStyle name="Normal 72 3" xfId="3586" xr:uid="{00000000-0005-0000-0000-00009D280000}"/>
    <cellStyle name="Normal 72 3 2" xfId="10241" xr:uid="{00000000-0005-0000-0000-00009E280000}"/>
    <cellStyle name="Normal 72 3 2 2" xfId="19047" xr:uid="{A626F3E4-4096-4DAF-8C69-3034CBC3FCBC}"/>
    <cellStyle name="Normal 72 3 3" xfId="8639" xr:uid="{00000000-0005-0000-0000-00009F280000}"/>
    <cellStyle name="Normal 72 3 3 2" xfId="17448" xr:uid="{63F489A4-099A-420B-8C55-F52460E05420}"/>
    <cellStyle name="Normal 72 3 4" xfId="11851" xr:uid="{00000000-0005-0000-0000-0000A0280000}"/>
    <cellStyle name="Normal 72 3 4 2" xfId="20594" xr:uid="{FCF381BF-F8E5-4E06-BD16-D0D6B7FFE126}"/>
    <cellStyle name="Normal 72 3 5" xfId="13458" xr:uid="{00000000-0005-0000-0000-0000A1280000}"/>
    <cellStyle name="Normal 72 3 5 2" xfId="22194" xr:uid="{12FE0837-5B85-48B2-BF82-6EFD27007C61}"/>
    <cellStyle name="Normal 72 3 6" xfId="15688" xr:uid="{3E5FD1D4-40F6-4250-B7CE-C02383DBCCE7}"/>
    <cellStyle name="Normal 72 4" xfId="3587" xr:uid="{00000000-0005-0000-0000-0000A2280000}"/>
    <cellStyle name="Normal 72 4 2" xfId="10242" xr:uid="{00000000-0005-0000-0000-0000A3280000}"/>
    <cellStyle name="Normal 72 4 2 2" xfId="19048" xr:uid="{EAAE1F6F-8DD7-4A32-98D3-B6D769085085}"/>
    <cellStyle name="Normal 72 4 3" xfId="8640" xr:uid="{00000000-0005-0000-0000-0000A4280000}"/>
    <cellStyle name="Normal 72 4 3 2" xfId="17449" xr:uid="{04B2F1D9-EF33-4B1D-B6F1-225CCCD76642}"/>
    <cellStyle name="Normal 72 4 4" xfId="11852" xr:uid="{00000000-0005-0000-0000-0000A5280000}"/>
    <cellStyle name="Normal 72 4 4 2" xfId="20595" xr:uid="{D9607715-A3B6-41D3-AE4F-4DECB92C2004}"/>
    <cellStyle name="Normal 72 4 5" xfId="13459" xr:uid="{00000000-0005-0000-0000-0000A6280000}"/>
    <cellStyle name="Normal 72 4 5 2" xfId="22195" xr:uid="{F34B1CDF-ADEF-4DDD-99FB-F0BD13AE9740}"/>
    <cellStyle name="Normal 72 4 6" xfId="15689" xr:uid="{182768A3-ECD6-40BF-8318-064360EDEC83}"/>
    <cellStyle name="Normal 72 5" xfId="10239" xr:uid="{00000000-0005-0000-0000-0000A7280000}"/>
    <cellStyle name="Normal 72 5 2" xfId="19045" xr:uid="{6BA1C763-BE47-49FA-B02A-BD9AB31B324D}"/>
    <cellStyle name="Normal 72 6" xfId="8637" xr:uid="{00000000-0005-0000-0000-0000A8280000}"/>
    <cellStyle name="Normal 72 6 2" xfId="17446" xr:uid="{A7F5B75C-DF83-46C3-BF46-7F95BA1450CE}"/>
    <cellStyle name="Normal 72 7" xfId="11849" xr:uid="{00000000-0005-0000-0000-0000A9280000}"/>
    <cellStyle name="Normal 72 7 2" xfId="20592" xr:uid="{05C6F1B2-29B2-40A3-83FF-DC102C603707}"/>
    <cellStyle name="Normal 72 8" xfId="13456" xr:uid="{00000000-0005-0000-0000-0000AA280000}"/>
    <cellStyle name="Normal 72 8 2" xfId="22192" xr:uid="{264D1060-3BD4-4340-AE8F-C76CDE3C0D6A}"/>
    <cellStyle name="Normal 72 9" xfId="15686" xr:uid="{6437D23B-E8D5-47E6-8615-89C52BA324EE}"/>
    <cellStyle name="Normal 73" xfId="3588" xr:uid="{00000000-0005-0000-0000-0000AB280000}"/>
    <cellStyle name="Normal 73 2" xfId="3589" xr:uid="{00000000-0005-0000-0000-0000AC280000}"/>
    <cellStyle name="Normal 73 2 2" xfId="10244" xr:uid="{00000000-0005-0000-0000-0000AD280000}"/>
    <cellStyle name="Normal 73 2 2 2" xfId="19050" xr:uid="{3A07D0B2-C1F5-4EC1-89AC-B7AEC4BC2FFD}"/>
    <cellStyle name="Normal 73 2 3" xfId="8642" xr:uid="{00000000-0005-0000-0000-0000AE280000}"/>
    <cellStyle name="Normal 73 2 3 2" xfId="17451" xr:uid="{C1E3B7D1-69F5-4350-9D98-8133FC5977A1}"/>
    <cellStyle name="Normal 73 2 4" xfId="11854" xr:uid="{00000000-0005-0000-0000-0000AF280000}"/>
    <cellStyle name="Normal 73 2 4 2" xfId="20597" xr:uid="{0E93EAC6-CDA7-4871-A780-A71D7419A896}"/>
    <cellStyle name="Normal 73 2 5" xfId="13461" xr:uid="{00000000-0005-0000-0000-0000B0280000}"/>
    <cellStyle name="Normal 73 2 5 2" xfId="22197" xr:uid="{71BF8938-80F4-47C5-A894-868C63E62769}"/>
    <cellStyle name="Normal 73 2 6" xfId="15691" xr:uid="{DCCE4394-9FEA-48F4-849A-322B3E41B26D}"/>
    <cellStyle name="Normal 73 3" xfId="3590" xr:uid="{00000000-0005-0000-0000-0000B1280000}"/>
    <cellStyle name="Normal 73 3 2" xfId="10245" xr:uid="{00000000-0005-0000-0000-0000B2280000}"/>
    <cellStyle name="Normal 73 3 2 2" xfId="19051" xr:uid="{A1A1E96B-F07B-41BA-93A9-2273C3C1EFFB}"/>
    <cellStyle name="Normal 73 3 3" xfId="8643" xr:uid="{00000000-0005-0000-0000-0000B3280000}"/>
    <cellStyle name="Normal 73 3 3 2" xfId="17452" xr:uid="{A37E91F1-66DD-41FE-A2C7-0F5FA07A5B55}"/>
    <cellStyle name="Normal 73 3 4" xfId="11855" xr:uid="{00000000-0005-0000-0000-0000B4280000}"/>
    <cellStyle name="Normal 73 3 4 2" xfId="20598" xr:uid="{1D244F6D-051A-4E17-9906-CD310AF0757F}"/>
    <cellStyle name="Normal 73 3 5" xfId="13462" xr:uid="{00000000-0005-0000-0000-0000B5280000}"/>
    <cellStyle name="Normal 73 3 5 2" xfId="22198" xr:uid="{DA831DF0-970C-43B6-A57C-34C557EDBAAC}"/>
    <cellStyle name="Normal 73 3 6" xfId="15692" xr:uid="{19DBC679-BC17-47C2-91E3-D85F8E83CA77}"/>
    <cellStyle name="Normal 73 4" xfId="3591" xr:uid="{00000000-0005-0000-0000-0000B6280000}"/>
    <cellStyle name="Normal 73 4 2" xfId="10246" xr:uid="{00000000-0005-0000-0000-0000B7280000}"/>
    <cellStyle name="Normal 73 4 2 2" xfId="19052" xr:uid="{1B374C94-E55D-4EB3-A6A4-30596EEAF650}"/>
    <cellStyle name="Normal 73 4 3" xfId="8644" xr:uid="{00000000-0005-0000-0000-0000B8280000}"/>
    <cellStyle name="Normal 73 4 3 2" xfId="17453" xr:uid="{3B1684B1-0ACA-40A1-B161-C09157FF6992}"/>
    <cellStyle name="Normal 73 4 4" xfId="11856" xr:uid="{00000000-0005-0000-0000-0000B9280000}"/>
    <cellStyle name="Normal 73 4 4 2" xfId="20599" xr:uid="{8E911CDF-99A1-4ACA-87DD-9C0663E1BC27}"/>
    <cellStyle name="Normal 73 4 5" xfId="13463" xr:uid="{00000000-0005-0000-0000-0000BA280000}"/>
    <cellStyle name="Normal 73 4 5 2" xfId="22199" xr:uid="{0E8D9C02-698B-4B8D-888C-13910F70DE78}"/>
    <cellStyle name="Normal 73 4 6" xfId="15693" xr:uid="{A29FC158-2B04-4753-A530-BE32DB472C8D}"/>
    <cellStyle name="Normal 73 5" xfId="10243" xr:uid="{00000000-0005-0000-0000-0000BB280000}"/>
    <cellStyle name="Normal 73 5 2" xfId="19049" xr:uid="{81612D10-D4D0-4DD5-BD17-E97673473A73}"/>
    <cellStyle name="Normal 73 6" xfId="8641" xr:uid="{00000000-0005-0000-0000-0000BC280000}"/>
    <cellStyle name="Normal 73 6 2" xfId="17450" xr:uid="{F0DB36DD-7000-4B21-976E-CAA954738C78}"/>
    <cellStyle name="Normal 73 7" xfId="11853" xr:uid="{00000000-0005-0000-0000-0000BD280000}"/>
    <cellStyle name="Normal 73 7 2" xfId="20596" xr:uid="{1F6B1269-6A78-44F0-A581-C6A245BDDF78}"/>
    <cellStyle name="Normal 73 8" xfId="13460" xr:uid="{00000000-0005-0000-0000-0000BE280000}"/>
    <cellStyle name="Normal 73 8 2" xfId="22196" xr:uid="{17C7205E-766B-4013-B9CB-B0C0C6C68397}"/>
    <cellStyle name="Normal 73 9" xfId="15690" xr:uid="{26BC47BA-0516-480F-AE75-5CAFB4F6D24A}"/>
    <cellStyle name="Normal 74" xfId="3592" xr:uid="{00000000-0005-0000-0000-0000BF280000}"/>
    <cellStyle name="Normal 74 2" xfId="3593" xr:uid="{00000000-0005-0000-0000-0000C0280000}"/>
    <cellStyle name="Normal 74 2 2" xfId="10248" xr:uid="{00000000-0005-0000-0000-0000C1280000}"/>
    <cellStyle name="Normal 74 2 2 2" xfId="19054" xr:uid="{70D59B8D-A9CD-40CF-B71A-593BD519AD1D}"/>
    <cellStyle name="Normal 74 2 3" xfId="8646" xr:uid="{00000000-0005-0000-0000-0000C2280000}"/>
    <cellStyle name="Normal 74 2 3 2" xfId="17455" xr:uid="{6138DDC5-056E-4C2C-B112-1CA07ADD9507}"/>
    <cellStyle name="Normal 74 2 4" xfId="11858" xr:uid="{00000000-0005-0000-0000-0000C3280000}"/>
    <cellStyle name="Normal 74 2 4 2" xfId="20601" xr:uid="{B8371171-5C35-402B-93EC-A0562E319B28}"/>
    <cellStyle name="Normal 74 2 5" xfId="13465" xr:uid="{00000000-0005-0000-0000-0000C4280000}"/>
    <cellStyle name="Normal 74 2 5 2" xfId="22201" xr:uid="{24B6575F-726F-46B4-A685-55846012189C}"/>
    <cellStyle name="Normal 74 2 6" xfId="15695" xr:uid="{E043912F-24F9-46B7-9271-E7BA69220585}"/>
    <cellStyle name="Normal 74 3" xfId="3594" xr:uid="{00000000-0005-0000-0000-0000C5280000}"/>
    <cellStyle name="Normal 74 3 2" xfId="10249" xr:uid="{00000000-0005-0000-0000-0000C6280000}"/>
    <cellStyle name="Normal 74 3 2 2" xfId="19055" xr:uid="{FCBDCCD6-C3F1-4EEE-91C7-F9242EC34C48}"/>
    <cellStyle name="Normal 74 3 3" xfId="8647" xr:uid="{00000000-0005-0000-0000-0000C7280000}"/>
    <cellStyle name="Normal 74 3 3 2" xfId="17456" xr:uid="{5E1BBCAA-B789-4044-A514-364BE7860FFC}"/>
    <cellStyle name="Normal 74 3 4" xfId="11859" xr:uid="{00000000-0005-0000-0000-0000C8280000}"/>
    <cellStyle name="Normal 74 3 4 2" xfId="20602" xr:uid="{F864E0B7-A304-4510-B568-4297F394839D}"/>
    <cellStyle name="Normal 74 3 5" xfId="13466" xr:uid="{00000000-0005-0000-0000-0000C9280000}"/>
    <cellStyle name="Normal 74 3 5 2" xfId="22202" xr:uid="{C01C28E7-CF39-42E3-8442-57FAE8BA14C4}"/>
    <cellStyle name="Normal 74 3 6" xfId="15696" xr:uid="{1D2AE5CD-11E3-4871-8E02-B83DA39BE24C}"/>
    <cellStyle name="Normal 74 4" xfId="3595" xr:uid="{00000000-0005-0000-0000-0000CA280000}"/>
    <cellStyle name="Normal 74 4 2" xfId="10250" xr:uid="{00000000-0005-0000-0000-0000CB280000}"/>
    <cellStyle name="Normal 74 4 2 2" xfId="19056" xr:uid="{A609D1AB-BC25-4716-AA86-278B71FD9D75}"/>
    <cellStyle name="Normal 74 4 3" xfId="8648" xr:uid="{00000000-0005-0000-0000-0000CC280000}"/>
    <cellStyle name="Normal 74 4 3 2" xfId="17457" xr:uid="{571B3B79-543C-44FD-A88A-C935E432A531}"/>
    <cellStyle name="Normal 74 4 4" xfId="11860" xr:uid="{00000000-0005-0000-0000-0000CD280000}"/>
    <cellStyle name="Normal 74 4 4 2" xfId="20603" xr:uid="{6FEE98BD-77DA-4651-8D36-8D5517437D2D}"/>
    <cellStyle name="Normal 74 4 5" xfId="13467" xr:uid="{00000000-0005-0000-0000-0000CE280000}"/>
    <cellStyle name="Normal 74 4 5 2" xfId="22203" xr:uid="{28BC1D5C-5052-4BA6-AF0E-CD491A853427}"/>
    <cellStyle name="Normal 74 4 6" xfId="15697" xr:uid="{50E1BD06-E4A7-4AF6-A1F3-63DC3197E509}"/>
    <cellStyle name="Normal 74 5" xfId="10247" xr:uid="{00000000-0005-0000-0000-0000CF280000}"/>
    <cellStyle name="Normal 74 5 2" xfId="19053" xr:uid="{4152BD0D-EA2F-4B1B-8173-D5EFCBBBC493}"/>
    <cellStyle name="Normal 74 6" xfId="8645" xr:uid="{00000000-0005-0000-0000-0000D0280000}"/>
    <cellStyle name="Normal 74 6 2" xfId="17454" xr:uid="{57681BD3-D3EF-4D4A-832E-CED7AB788226}"/>
    <cellStyle name="Normal 74 7" xfId="11857" xr:uid="{00000000-0005-0000-0000-0000D1280000}"/>
    <cellStyle name="Normal 74 7 2" xfId="20600" xr:uid="{E4C781E6-A664-44CD-833B-8F6396970184}"/>
    <cellStyle name="Normal 74 8" xfId="13464" xr:uid="{00000000-0005-0000-0000-0000D2280000}"/>
    <cellStyle name="Normal 74 8 2" xfId="22200" xr:uid="{09EC9C18-74B8-4F76-A23A-230B0ACA83A6}"/>
    <cellStyle name="Normal 74 9" xfId="15694" xr:uid="{529F983C-683B-446C-AF1A-3981B6FED64F}"/>
    <cellStyle name="Normal 75" xfId="3596" xr:uid="{00000000-0005-0000-0000-0000D3280000}"/>
    <cellStyle name="Normal 75 2" xfId="3597" xr:uid="{00000000-0005-0000-0000-0000D4280000}"/>
    <cellStyle name="Normal 75 2 2" xfId="10252" xr:uid="{00000000-0005-0000-0000-0000D5280000}"/>
    <cellStyle name="Normal 75 2 2 2" xfId="19058" xr:uid="{6656BF23-5661-4F16-ACF5-15807B16DA18}"/>
    <cellStyle name="Normal 75 2 3" xfId="8650" xr:uid="{00000000-0005-0000-0000-0000D6280000}"/>
    <cellStyle name="Normal 75 2 3 2" xfId="17459" xr:uid="{BB9572E3-340F-4DD1-AF72-4DF034E8281E}"/>
    <cellStyle name="Normal 75 2 4" xfId="11862" xr:uid="{00000000-0005-0000-0000-0000D7280000}"/>
    <cellStyle name="Normal 75 2 4 2" xfId="20605" xr:uid="{3857B555-B5B2-49F3-9453-7668264828C1}"/>
    <cellStyle name="Normal 75 2 5" xfId="13469" xr:uid="{00000000-0005-0000-0000-0000D8280000}"/>
    <cellStyle name="Normal 75 2 5 2" xfId="22205" xr:uid="{9E9898BD-4B7E-45E6-B998-DAB507B6FF2C}"/>
    <cellStyle name="Normal 75 2 6" xfId="15699" xr:uid="{61E73287-0B57-4ADD-B7D6-01353C306660}"/>
    <cellStyle name="Normal 75 3" xfId="3598" xr:uid="{00000000-0005-0000-0000-0000D9280000}"/>
    <cellStyle name="Normal 75 3 2" xfId="10253" xr:uid="{00000000-0005-0000-0000-0000DA280000}"/>
    <cellStyle name="Normal 75 3 2 2" xfId="19059" xr:uid="{3D67C911-6EBB-4E9F-8119-97A1CB0DA335}"/>
    <cellStyle name="Normal 75 3 3" xfId="8651" xr:uid="{00000000-0005-0000-0000-0000DB280000}"/>
    <cellStyle name="Normal 75 3 3 2" xfId="17460" xr:uid="{E3F51399-0F66-4801-8CE2-453BBE868B09}"/>
    <cellStyle name="Normal 75 3 4" xfId="11863" xr:uid="{00000000-0005-0000-0000-0000DC280000}"/>
    <cellStyle name="Normal 75 3 4 2" xfId="20606" xr:uid="{EDDC8C9D-08D8-4B60-B1B3-853EF1651B5F}"/>
    <cellStyle name="Normal 75 3 5" xfId="13470" xr:uid="{00000000-0005-0000-0000-0000DD280000}"/>
    <cellStyle name="Normal 75 3 5 2" xfId="22206" xr:uid="{0FDB5A72-C26E-4D73-9B7A-10BE6B76F40C}"/>
    <cellStyle name="Normal 75 3 6" xfId="15700" xr:uid="{CE2C6E28-88AD-47C8-AD40-AF7B88BCAB95}"/>
    <cellStyle name="Normal 75 4" xfId="3599" xr:uid="{00000000-0005-0000-0000-0000DE280000}"/>
    <cellStyle name="Normal 75 4 2" xfId="10254" xr:uid="{00000000-0005-0000-0000-0000DF280000}"/>
    <cellStyle name="Normal 75 4 2 2" xfId="19060" xr:uid="{0C6EDC70-B8E1-4FC7-A2F4-BFEF602B18DA}"/>
    <cellStyle name="Normal 75 4 3" xfId="8652" xr:uid="{00000000-0005-0000-0000-0000E0280000}"/>
    <cellStyle name="Normal 75 4 3 2" xfId="17461" xr:uid="{71CB0861-2006-43FE-B132-58D6F6415C3D}"/>
    <cellStyle name="Normal 75 4 4" xfId="11864" xr:uid="{00000000-0005-0000-0000-0000E1280000}"/>
    <cellStyle name="Normal 75 4 4 2" xfId="20607" xr:uid="{64495151-A172-425A-9453-A9227B12C9E8}"/>
    <cellStyle name="Normal 75 4 5" xfId="13471" xr:uid="{00000000-0005-0000-0000-0000E2280000}"/>
    <cellStyle name="Normal 75 4 5 2" xfId="22207" xr:uid="{B2E82A9C-2B97-4CE1-A8CC-EDEB8CF7A38E}"/>
    <cellStyle name="Normal 75 4 6" xfId="15701" xr:uid="{1B2BF8D0-23F6-418D-AE1F-8E37291AE44B}"/>
    <cellStyle name="Normal 75 5" xfId="10251" xr:uid="{00000000-0005-0000-0000-0000E3280000}"/>
    <cellStyle name="Normal 75 5 2" xfId="19057" xr:uid="{CCB70055-217B-4506-B29E-2E4DEE53C192}"/>
    <cellStyle name="Normal 75 6" xfId="8649" xr:uid="{00000000-0005-0000-0000-0000E4280000}"/>
    <cellStyle name="Normal 75 6 2" xfId="17458" xr:uid="{3A7A8E4B-0CA8-4589-8753-D3760D229C7C}"/>
    <cellStyle name="Normal 75 7" xfId="11861" xr:uid="{00000000-0005-0000-0000-0000E5280000}"/>
    <cellStyle name="Normal 75 7 2" xfId="20604" xr:uid="{41AEA838-A118-486B-B7FD-E09E541DBC7E}"/>
    <cellStyle name="Normal 75 8" xfId="13468" xr:uid="{00000000-0005-0000-0000-0000E6280000}"/>
    <cellStyle name="Normal 75 8 2" xfId="22204" xr:uid="{37CCE315-9ABD-466D-806B-4DCDAEEC0D5D}"/>
    <cellStyle name="Normal 75 9" xfId="15698" xr:uid="{2C612FC0-1A34-4AFA-910B-60516F00D8BC}"/>
    <cellStyle name="Normal 76" xfId="3600" xr:uid="{00000000-0005-0000-0000-0000E7280000}"/>
    <cellStyle name="Normal 76 2" xfId="3601" xr:uid="{00000000-0005-0000-0000-0000E8280000}"/>
    <cellStyle name="Normal 76 2 2" xfId="10256" xr:uid="{00000000-0005-0000-0000-0000E9280000}"/>
    <cellStyle name="Normal 76 2 2 2" xfId="19062" xr:uid="{5D483BDF-EED7-44A6-83BD-2C3876203CD3}"/>
    <cellStyle name="Normal 76 2 3" xfId="8654" xr:uid="{00000000-0005-0000-0000-0000EA280000}"/>
    <cellStyle name="Normal 76 2 3 2" xfId="17463" xr:uid="{EDA4C8C0-DE8D-46A0-9584-009F98744118}"/>
    <cellStyle name="Normal 76 2 4" xfId="11866" xr:uid="{00000000-0005-0000-0000-0000EB280000}"/>
    <cellStyle name="Normal 76 2 4 2" xfId="20609" xr:uid="{5ED7F63D-CCC1-4E9D-A347-711650204357}"/>
    <cellStyle name="Normal 76 2 5" xfId="13473" xr:uid="{00000000-0005-0000-0000-0000EC280000}"/>
    <cellStyle name="Normal 76 2 5 2" xfId="22209" xr:uid="{F9008212-47E7-4D7C-8E79-1FBA479BAD8D}"/>
    <cellStyle name="Normal 76 2 6" xfId="15703" xr:uid="{C596584A-2AC3-4BB3-B123-FD329BC703F2}"/>
    <cellStyle name="Normal 76 3" xfId="3602" xr:uid="{00000000-0005-0000-0000-0000ED280000}"/>
    <cellStyle name="Normal 76 3 2" xfId="10257" xr:uid="{00000000-0005-0000-0000-0000EE280000}"/>
    <cellStyle name="Normal 76 3 2 2" xfId="19063" xr:uid="{3B09B5AA-471F-41E8-AC37-7C42A7631AAF}"/>
    <cellStyle name="Normal 76 3 3" xfId="8655" xr:uid="{00000000-0005-0000-0000-0000EF280000}"/>
    <cellStyle name="Normal 76 3 3 2" xfId="17464" xr:uid="{1AFC8A85-8131-4EC8-ADF3-92B37845BDDB}"/>
    <cellStyle name="Normal 76 3 4" xfId="11867" xr:uid="{00000000-0005-0000-0000-0000F0280000}"/>
    <cellStyle name="Normal 76 3 4 2" xfId="20610" xr:uid="{81A81C63-F4D4-409B-A222-2F6BC564F6C0}"/>
    <cellStyle name="Normal 76 3 5" xfId="13474" xr:uid="{00000000-0005-0000-0000-0000F1280000}"/>
    <cellStyle name="Normal 76 3 5 2" xfId="22210" xr:uid="{4F14643A-8D1E-4A0C-B3B0-45D36C6456FD}"/>
    <cellStyle name="Normal 76 3 6" xfId="15704" xr:uid="{EFC26CD8-B5CC-41D4-BFC4-FB2E8556B2E1}"/>
    <cellStyle name="Normal 76 4" xfId="3603" xr:uid="{00000000-0005-0000-0000-0000F2280000}"/>
    <cellStyle name="Normal 76 4 2" xfId="10258" xr:uid="{00000000-0005-0000-0000-0000F3280000}"/>
    <cellStyle name="Normal 76 4 2 2" xfId="19064" xr:uid="{4C772D52-E2AD-499E-AF69-1561A3666970}"/>
    <cellStyle name="Normal 76 4 3" xfId="8656" xr:uid="{00000000-0005-0000-0000-0000F4280000}"/>
    <cellStyle name="Normal 76 4 3 2" xfId="17465" xr:uid="{0235F92A-F7A0-45DA-83FC-8EAFCC5EBE9F}"/>
    <cellStyle name="Normal 76 4 4" xfId="11868" xr:uid="{00000000-0005-0000-0000-0000F5280000}"/>
    <cellStyle name="Normal 76 4 4 2" xfId="20611" xr:uid="{683C35F6-772E-4129-925D-AB43FB59D620}"/>
    <cellStyle name="Normal 76 4 5" xfId="13475" xr:uid="{00000000-0005-0000-0000-0000F6280000}"/>
    <cellStyle name="Normal 76 4 5 2" xfId="22211" xr:uid="{78C30BAA-C1DE-4599-A531-F336A7B415B5}"/>
    <cellStyle name="Normal 76 4 6" xfId="15705" xr:uid="{9EADFF15-6190-498D-9C44-6C8CDA2D4B6A}"/>
    <cellStyle name="Normal 76 5" xfId="10255" xr:uid="{00000000-0005-0000-0000-0000F7280000}"/>
    <cellStyle name="Normal 76 5 2" xfId="19061" xr:uid="{07802B7E-47F8-4E33-B06D-F5C0875E49C4}"/>
    <cellStyle name="Normal 76 6" xfId="8653" xr:uid="{00000000-0005-0000-0000-0000F8280000}"/>
    <cellStyle name="Normal 76 6 2" xfId="17462" xr:uid="{94AEE2F1-F813-442A-806B-20EFF208093D}"/>
    <cellStyle name="Normal 76 7" xfId="11865" xr:uid="{00000000-0005-0000-0000-0000F9280000}"/>
    <cellStyle name="Normal 76 7 2" xfId="20608" xr:uid="{DC2ED27B-BA06-4E74-B48A-034E866C2A97}"/>
    <cellStyle name="Normal 76 8" xfId="13472" xr:uid="{00000000-0005-0000-0000-0000FA280000}"/>
    <cellStyle name="Normal 76 8 2" xfId="22208" xr:uid="{82C4B769-F769-4145-B8D2-9C77F364F450}"/>
    <cellStyle name="Normal 76 9" xfId="15702" xr:uid="{A5FC99C6-A5A3-486E-A85C-3E31EC2A5C4C}"/>
    <cellStyle name="Normal 77" xfId="3604" xr:uid="{00000000-0005-0000-0000-0000FB280000}"/>
    <cellStyle name="Normal 77 2" xfId="3605" xr:uid="{00000000-0005-0000-0000-0000FC280000}"/>
    <cellStyle name="Normal 77 2 2" xfId="10260" xr:uid="{00000000-0005-0000-0000-0000FD280000}"/>
    <cellStyle name="Normal 77 2 2 2" xfId="19066" xr:uid="{04E49A26-4CBB-43DA-A52C-9D380B0EB9A5}"/>
    <cellStyle name="Normal 77 2 3" xfId="8658" xr:uid="{00000000-0005-0000-0000-0000FE280000}"/>
    <cellStyle name="Normal 77 2 3 2" xfId="17467" xr:uid="{E6E4AE0E-DF53-46F6-B4A5-E5E77367467A}"/>
    <cellStyle name="Normal 77 2 4" xfId="11870" xr:uid="{00000000-0005-0000-0000-0000FF280000}"/>
    <cellStyle name="Normal 77 2 4 2" xfId="20613" xr:uid="{728C4447-0129-476E-87C4-C42127FB32D7}"/>
    <cellStyle name="Normal 77 2 5" xfId="13477" xr:uid="{00000000-0005-0000-0000-000000290000}"/>
    <cellStyle name="Normal 77 2 5 2" xfId="22213" xr:uid="{27811EAB-E593-4DBE-9EC4-A0DC77DF7415}"/>
    <cellStyle name="Normal 77 2 6" xfId="15707" xr:uid="{3825205E-F7C8-4453-9839-DEFD87D12D97}"/>
    <cellStyle name="Normal 77 3" xfId="3606" xr:uid="{00000000-0005-0000-0000-000001290000}"/>
    <cellStyle name="Normal 77 3 2" xfId="10261" xr:uid="{00000000-0005-0000-0000-000002290000}"/>
    <cellStyle name="Normal 77 3 2 2" xfId="19067" xr:uid="{C852C82E-6BC8-4F7A-89FB-E540CEA103F3}"/>
    <cellStyle name="Normal 77 3 3" xfId="8659" xr:uid="{00000000-0005-0000-0000-000003290000}"/>
    <cellStyle name="Normal 77 3 3 2" xfId="17468" xr:uid="{00CD4D01-0A81-4C9A-A1A7-58DF7EB6AB17}"/>
    <cellStyle name="Normal 77 3 4" xfId="11871" xr:uid="{00000000-0005-0000-0000-000004290000}"/>
    <cellStyle name="Normal 77 3 4 2" xfId="20614" xr:uid="{E8832E06-E9BE-415E-AD56-ABD990500E4D}"/>
    <cellStyle name="Normal 77 3 5" xfId="13478" xr:uid="{00000000-0005-0000-0000-000005290000}"/>
    <cellStyle name="Normal 77 3 5 2" xfId="22214" xr:uid="{8C9A31A9-0EFC-449A-9646-9FDCDCE6ED0E}"/>
    <cellStyle name="Normal 77 3 6" xfId="15708" xr:uid="{9AAED1C2-3837-41E6-9CFE-ED640F037F29}"/>
    <cellStyle name="Normal 77 4" xfId="3607" xr:uid="{00000000-0005-0000-0000-000006290000}"/>
    <cellStyle name="Normal 77 4 2" xfId="10262" xr:uid="{00000000-0005-0000-0000-000007290000}"/>
    <cellStyle name="Normal 77 4 2 2" xfId="19068" xr:uid="{47E687DF-714D-49A3-B37C-21C40D73195E}"/>
    <cellStyle name="Normal 77 4 3" xfId="8660" xr:uid="{00000000-0005-0000-0000-000008290000}"/>
    <cellStyle name="Normal 77 4 3 2" xfId="17469" xr:uid="{60881F78-997A-4D8D-B02C-91B2F1558259}"/>
    <cellStyle name="Normal 77 4 4" xfId="11872" xr:uid="{00000000-0005-0000-0000-000009290000}"/>
    <cellStyle name="Normal 77 4 4 2" xfId="20615" xr:uid="{85202EB3-2B32-4BF5-A89F-D4592F33A33E}"/>
    <cellStyle name="Normal 77 4 5" xfId="13479" xr:uid="{00000000-0005-0000-0000-00000A290000}"/>
    <cellStyle name="Normal 77 4 5 2" xfId="22215" xr:uid="{74243CCF-8635-4D77-B6AA-55E3457825A7}"/>
    <cellStyle name="Normal 77 4 6" xfId="15709" xr:uid="{5BE09340-EFC2-426A-8F8E-EAEC5F84B9E0}"/>
    <cellStyle name="Normal 77 5" xfId="10259" xr:uid="{00000000-0005-0000-0000-00000B290000}"/>
    <cellStyle name="Normal 77 5 2" xfId="19065" xr:uid="{5E07E4DC-F516-4202-B0E8-983C57C4DE0B}"/>
    <cellStyle name="Normal 77 6" xfId="8657" xr:uid="{00000000-0005-0000-0000-00000C290000}"/>
    <cellStyle name="Normal 77 6 2" xfId="17466" xr:uid="{AD760C7B-DA61-414D-98FB-805E86F4902D}"/>
    <cellStyle name="Normal 77 7" xfId="11869" xr:uid="{00000000-0005-0000-0000-00000D290000}"/>
    <cellStyle name="Normal 77 7 2" xfId="20612" xr:uid="{EA1D2E9C-BF76-4903-8060-F7E8D4DC4503}"/>
    <cellStyle name="Normal 77 8" xfId="13476" xr:uid="{00000000-0005-0000-0000-00000E290000}"/>
    <cellStyle name="Normal 77 8 2" xfId="22212" xr:uid="{61927D77-0B95-4E2F-BBCD-440D9B73AFB9}"/>
    <cellStyle name="Normal 77 9" xfId="15706" xr:uid="{0E8493FE-F515-41BD-8000-64E169347D8D}"/>
    <cellStyle name="Normal 78" xfId="3608" xr:uid="{00000000-0005-0000-0000-00000F290000}"/>
    <cellStyle name="Normal 78 2" xfId="3609" xr:uid="{00000000-0005-0000-0000-000010290000}"/>
    <cellStyle name="Normal 78 2 2" xfId="10264" xr:uid="{00000000-0005-0000-0000-000011290000}"/>
    <cellStyle name="Normal 78 2 2 2" xfId="19070" xr:uid="{8A16E655-70BD-42DB-A764-29BCD633FBB0}"/>
    <cellStyle name="Normal 78 2 3" xfId="8662" xr:uid="{00000000-0005-0000-0000-000012290000}"/>
    <cellStyle name="Normal 78 2 3 2" xfId="17471" xr:uid="{A3837731-F69D-4F16-A85E-81A1A47396DB}"/>
    <cellStyle name="Normal 78 2 4" xfId="11874" xr:uid="{00000000-0005-0000-0000-000013290000}"/>
    <cellStyle name="Normal 78 2 4 2" xfId="20617" xr:uid="{684A68C8-1E6A-4179-BEBA-8ED63AA1A6FD}"/>
    <cellStyle name="Normal 78 2 5" xfId="13481" xr:uid="{00000000-0005-0000-0000-000014290000}"/>
    <cellStyle name="Normal 78 2 5 2" xfId="22217" xr:uid="{29CB2F4E-2151-450C-97AD-0EEA23D03C6B}"/>
    <cellStyle name="Normal 78 2 6" xfId="15711" xr:uid="{F0992F2F-CECE-4C7E-BEF7-31D9CC77B57E}"/>
    <cellStyle name="Normal 78 3" xfId="3610" xr:uid="{00000000-0005-0000-0000-000015290000}"/>
    <cellStyle name="Normal 78 3 2" xfId="10265" xr:uid="{00000000-0005-0000-0000-000016290000}"/>
    <cellStyle name="Normal 78 3 2 2" xfId="19071" xr:uid="{D7631E7E-3444-4CAE-9FEB-D56E6901EC84}"/>
    <cellStyle name="Normal 78 3 3" xfId="8663" xr:uid="{00000000-0005-0000-0000-000017290000}"/>
    <cellStyle name="Normal 78 3 3 2" xfId="17472" xr:uid="{809D224A-3B29-4CA1-AA67-672647A09A6C}"/>
    <cellStyle name="Normal 78 3 4" xfId="11875" xr:uid="{00000000-0005-0000-0000-000018290000}"/>
    <cellStyle name="Normal 78 3 4 2" xfId="20618" xr:uid="{94F332A6-11AC-486A-9321-698B85D2B67E}"/>
    <cellStyle name="Normal 78 3 5" xfId="13482" xr:uid="{00000000-0005-0000-0000-000019290000}"/>
    <cellStyle name="Normal 78 3 5 2" xfId="22218" xr:uid="{19B0982A-B294-4400-9AD0-731EA1BCC2B6}"/>
    <cellStyle name="Normal 78 3 6" xfId="15712" xr:uid="{C82A739D-8204-4D00-9703-5347FCC4EC96}"/>
    <cellStyle name="Normal 78 4" xfId="3611" xr:uid="{00000000-0005-0000-0000-00001A290000}"/>
    <cellStyle name="Normal 78 4 2" xfId="10266" xr:uid="{00000000-0005-0000-0000-00001B290000}"/>
    <cellStyle name="Normal 78 4 2 2" xfId="19072" xr:uid="{1DBDA436-8DBA-49EB-A9C2-1C0208C8A44B}"/>
    <cellStyle name="Normal 78 4 3" xfId="8664" xr:uid="{00000000-0005-0000-0000-00001C290000}"/>
    <cellStyle name="Normal 78 4 3 2" xfId="17473" xr:uid="{C7370AB0-B720-4B69-9428-768499DCD3DE}"/>
    <cellStyle name="Normal 78 4 4" xfId="11876" xr:uid="{00000000-0005-0000-0000-00001D290000}"/>
    <cellStyle name="Normal 78 4 4 2" xfId="20619" xr:uid="{98EA40B0-5A07-47FC-8E65-A9D89CCE9972}"/>
    <cellStyle name="Normal 78 4 5" xfId="13483" xr:uid="{00000000-0005-0000-0000-00001E290000}"/>
    <cellStyle name="Normal 78 4 5 2" xfId="22219" xr:uid="{EAEE7C92-FDDC-4B03-928E-78B9A766B057}"/>
    <cellStyle name="Normal 78 4 6" xfId="15713" xr:uid="{50A84B0D-AB80-4B03-A55E-934B4916E86C}"/>
    <cellStyle name="Normal 78 5" xfId="10263" xr:uid="{00000000-0005-0000-0000-00001F290000}"/>
    <cellStyle name="Normal 78 5 2" xfId="19069" xr:uid="{82A3B0DD-F049-4AD1-A20F-D0E5938B4D02}"/>
    <cellStyle name="Normal 78 6" xfId="8661" xr:uid="{00000000-0005-0000-0000-000020290000}"/>
    <cellStyle name="Normal 78 6 2" xfId="17470" xr:uid="{890C720F-60E9-45B9-B33C-835D8545B13A}"/>
    <cellStyle name="Normal 78 7" xfId="11873" xr:uid="{00000000-0005-0000-0000-000021290000}"/>
    <cellStyle name="Normal 78 7 2" xfId="20616" xr:uid="{639444E2-F446-4D52-AAA7-23A7828DC8F0}"/>
    <cellStyle name="Normal 78 8" xfId="13480" xr:uid="{00000000-0005-0000-0000-000022290000}"/>
    <cellStyle name="Normal 78 8 2" xfId="22216" xr:uid="{53528A39-EC29-40D6-AF9B-B34F1A49F2E5}"/>
    <cellStyle name="Normal 78 9" xfId="15710" xr:uid="{4D66427D-548D-48E0-8EBE-9201F901E878}"/>
    <cellStyle name="Normal 79" xfId="3612" xr:uid="{00000000-0005-0000-0000-000023290000}"/>
    <cellStyle name="Normal 79 2" xfId="3613" xr:uid="{00000000-0005-0000-0000-000024290000}"/>
    <cellStyle name="Normal 79 2 2" xfId="10268" xr:uid="{00000000-0005-0000-0000-000025290000}"/>
    <cellStyle name="Normal 79 2 2 2" xfId="19074" xr:uid="{6551836F-9ECF-4928-BF60-DC00E7DC8622}"/>
    <cellStyle name="Normal 79 2 3" xfId="8666" xr:uid="{00000000-0005-0000-0000-000026290000}"/>
    <cellStyle name="Normal 79 2 3 2" xfId="17475" xr:uid="{8F48F9FA-3EA0-4021-9A3B-E8153C4A029E}"/>
    <cellStyle name="Normal 79 2 4" xfId="11878" xr:uid="{00000000-0005-0000-0000-000027290000}"/>
    <cellStyle name="Normal 79 2 4 2" xfId="20621" xr:uid="{AC90B37B-B986-4F49-A0F7-0304483CB528}"/>
    <cellStyle name="Normal 79 2 5" xfId="13485" xr:uid="{00000000-0005-0000-0000-000028290000}"/>
    <cellStyle name="Normal 79 2 5 2" xfId="22221" xr:uid="{48B6A5C8-1E8C-4260-BB88-61CE0182AA2F}"/>
    <cellStyle name="Normal 79 2 6" xfId="15715" xr:uid="{8850F0AF-B370-4CA4-8A5F-C9FBA0B3D58C}"/>
    <cellStyle name="Normal 79 3" xfId="3614" xr:uid="{00000000-0005-0000-0000-000029290000}"/>
    <cellStyle name="Normal 79 3 2" xfId="10269" xr:uid="{00000000-0005-0000-0000-00002A290000}"/>
    <cellStyle name="Normal 79 3 2 2" xfId="19075" xr:uid="{9156640F-1B5C-4871-B23B-8A0992D43CFF}"/>
    <cellStyle name="Normal 79 3 3" xfId="8667" xr:uid="{00000000-0005-0000-0000-00002B290000}"/>
    <cellStyle name="Normal 79 3 3 2" xfId="17476" xr:uid="{546CD4FD-163A-4E5B-B5A9-187A8B4405DF}"/>
    <cellStyle name="Normal 79 3 4" xfId="11879" xr:uid="{00000000-0005-0000-0000-00002C290000}"/>
    <cellStyle name="Normal 79 3 4 2" xfId="20622" xr:uid="{7CC3332B-464E-48CC-99DB-D51858D5CFAA}"/>
    <cellStyle name="Normal 79 3 5" xfId="13486" xr:uid="{00000000-0005-0000-0000-00002D290000}"/>
    <cellStyle name="Normal 79 3 5 2" xfId="22222" xr:uid="{60104735-F046-4C09-9933-877A19148B6A}"/>
    <cellStyle name="Normal 79 3 6" xfId="15716" xr:uid="{9E6E2639-66E7-4D78-BACB-34F3F9C47C3B}"/>
    <cellStyle name="Normal 79 4" xfId="3615" xr:uid="{00000000-0005-0000-0000-00002E290000}"/>
    <cellStyle name="Normal 79 4 2" xfId="10270" xr:uid="{00000000-0005-0000-0000-00002F290000}"/>
    <cellStyle name="Normal 79 4 2 2" xfId="19076" xr:uid="{4E11A5DF-D989-428B-B117-4DE7381FCA24}"/>
    <cellStyle name="Normal 79 4 3" xfId="8668" xr:uid="{00000000-0005-0000-0000-000030290000}"/>
    <cellStyle name="Normal 79 4 3 2" xfId="17477" xr:uid="{C41CCE8B-0BB3-40FF-B361-E4CE69CE20BF}"/>
    <cellStyle name="Normal 79 4 4" xfId="11880" xr:uid="{00000000-0005-0000-0000-000031290000}"/>
    <cellStyle name="Normal 79 4 4 2" xfId="20623" xr:uid="{999AE75F-873B-43F6-B003-317A02342511}"/>
    <cellStyle name="Normal 79 4 5" xfId="13487" xr:uid="{00000000-0005-0000-0000-000032290000}"/>
    <cellStyle name="Normal 79 4 5 2" xfId="22223" xr:uid="{4549D164-2DDC-45F6-A4D4-AF887C907CB0}"/>
    <cellStyle name="Normal 79 4 6" xfId="15717" xr:uid="{C9804690-D23B-46DA-9B31-9145BE23ADE0}"/>
    <cellStyle name="Normal 79 5" xfId="10267" xr:uid="{00000000-0005-0000-0000-000033290000}"/>
    <cellStyle name="Normal 79 5 2" xfId="19073" xr:uid="{F7141BC8-B7B8-40C5-A927-5D8DCA8D515B}"/>
    <cellStyle name="Normal 79 6" xfId="8665" xr:uid="{00000000-0005-0000-0000-000034290000}"/>
    <cellStyle name="Normal 79 6 2" xfId="17474" xr:uid="{1A448ABA-24E5-4353-A61F-E2278AD87CE1}"/>
    <cellStyle name="Normal 79 7" xfId="11877" xr:uid="{00000000-0005-0000-0000-000035290000}"/>
    <cellStyle name="Normal 79 7 2" xfId="20620" xr:uid="{9632A2F7-9235-4837-AC80-DD4350871650}"/>
    <cellStyle name="Normal 79 8" xfId="13484" xr:uid="{00000000-0005-0000-0000-000036290000}"/>
    <cellStyle name="Normal 79 8 2" xfId="22220" xr:uid="{B5A17914-7659-4D4F-8975-993A0BA61068}"/>
    <cellStyle name="Normal 79 9" xfId="15714" xr:uid="{38ED0E98-9D2A-41C3-8FE7-7B3F5AC4AE9A}"/>
    <cellStyle name="Normal 8" xfId="150" xr:uid="{00000000-0005-0000-0000-000037290000}"/>
    <cellStyle name="Normal 8 10" xfId="3617" xr:uid="{00000000-0005-0000-0000-000038290000}"/>
    <cellStyle name="Normal 8 11" xfId="3618" xr:uid="{00000000-0005-0000-0000-000039290000}"/>
    <cellStyle name="Normal 8 12" xfId="3619" xr:uid="{00000000-0005-0000-0000-00003A290000}"/>
    <cellStyle name="Normal 8 13" xfId="3620" xr:uid="{00000000-0005-0000-0000-00003B290000}"/>
    <cellStyle name="Normal 8 14" xfId="3621" xr:uid="{00000000-0005-0000-0000-00003C290000}"/>
    <cellStyle name="Normal 8 15" xfId="3622" xr:uid="{00000000-0005-0000-0000-00003D290000}"/>
    <cellStyle name="Normal 8 16" xfId="3623" xr:uid="{00000000-0005-0000-0000-00003E290000}"/>
    <cellStyle name="Normal 8 17" xfId="3624" xr:uid="{00000000-0005-0000-0000-00003F290000}"/>
    <cellStyle name="Normal 8 18" xfId="3625" xr:uid="{00000000-0005-0000-0000-000040290000}"/>
    <cellStyle name="Normal 8 19" xfId="3626" xr:uid="{00000000-0005-0000-0000-000041290000}"/>
    <cellStyle name="Normal 8 2" xfId="3627" xr:uid="{00000000-0005-0000-0000-000042290000}"/>
    <cellStyle name="Normal 8 2 10" xfId="13489" xr:uid="{00000000-0005-0000-0000-000043290000}"/>
    <cellStyle name="Normal 8 2 10 2" xfId="22225" xr:uid="{0C342B6D-58CF-4B55-B402-8CBC7B8B622B}"/>
    <cellStyle name="Normal 8 2 11" xfId="15719" xr:uid="{507EF50A-C885-4D94-A992-F7EB625791C2}"/>
    <cellStyle name="Normal 8 2 2" xfId="3628" xr:uid="{00000000-0005-0000-0000-000044290000}"/>
    <cellStyle name="Normal 8 2 2 10" xfId="8671" xr:uid="{00000000-0005-0000-0000-000045290000}"/>
    <cellStyle name="Normal 8 2 2 10 2" xfId="17480" xr:uid="{9752DC27-5EB0-4DB1-8A2B-A6D4AD4D7BFD}"/>
    <cellStyle name="Normal 8 2 2 11" xfId="11883" xr:uid="{00000000-0005-0000-0000-000046290000}"/>
    <cellStyle name="Normal 8 2 2 11 2" xfId="20626" xr:uid="{9B5C6277-00F8-4D2C-9E68-5D32EDCA7ED6}"/>
    <cellStyle name="Normal 8 2 2 12" xfId="13490" xr:uid="{00000000-0005-0000-0000-000047290000}"/>
    <cellStyle name="Normal 8 2 2 12 2" xfId="22226" xr:uid="{FD59799B-D9BC-4672-A7F0-99119C7F681F}"/>
    <cellStyle name="Normal 8 2 2 13" xfId="15720" xr:uid="{5A54B924-9619-40F1-8B9F-E1B004286906}"/>
    <cellStyle name="Normal 8 2 2 2" xfId="3629" xr:uid="{00000000-0005-0000-0000-000048290000}"/>
    <cellStyle name="Normal 8 2 2 2 2" xfId="3630" xr:uid="{00000000-0005-0000-0000-000049290000}"/>
    <cellStyle name="Normal 8 2 2 2 2 2" xfId="3631" xr:uid="{00000000-0005-0000-0000-00004A290000}"/>
    <cellStyle name="Normal 8 2 2 2 2 3" xfId="3632" xr:uid="{00000000-0005-0000-0000-00004B290000}"/>
    <cellStyle name="Normal 8 2 2 2 2 4" xfId="3633" xr:uid="{00000000-0005-0000-0000-00004C290000}"/>
    <cellStyle name="Normal 8 2 2 2 3" xfId="3634" xr:uid="{00000000-0005-0000-0000-00004D290000}"/>
    <cellStyle name="Normal 8 2 2 2 4" xfId="3635" xr:uid="{00000000-0005-0000-0000-00004E290000}"/>
    <cellStyle name="Normal 8 2 2 3" xfId="3636" xr:uid="{00000000-0005-0000-0000-00004F290000}"/>
    <cellStyle name="Normal 8 2 2 4" xfId="3637" xr:uid="{00000000-0005-0000-0000-000050290000}"/>
    <cellStyle name="Normal 8 2 2 5" xfId="3638" xr:uid="{00000000-0005-0000-0000-000051290000}"/>
    <cellStyle name="Normal 8 2 2 6" xfId="3639" xr:uid="{00000000-0005-0000-0000-000052290000}"/>
    <cellStyle name="Normal 8 2 2 7" xfId="3640" xr:uid="{00000000-0005-0000-0000-000053290000}"/>
    <cellStyle name="Normal 8 2 2 8" xfId="3641" xr:uid="{00000000-0005-0000-0000-000054290000}"/>
    <cellStyle name="Normal 8 2 2 9" xfId="10273" xr:uid="{00000000-0005-0000-0000-000055290000}"/>
    <cellStyle name="Normal 8 2 2 9 2" xfId="19079" xr:uid="{FC80B051-F30B-43C2-BF02-EE37CFC409C7}"/>
    <cellStyle name="Normal 8 2 3" xfId="3642" xr:uid="{00000000-0005-0000-0000-000056290000}"/>
    <cellStyle name="Normal 8 2 4" xfId="3643" xr:uid="{00000000-0005-0000-0000-000057290000}"/>
    <cellStyle name="Normal 8 2 5" xfId="3644" xr:uid="{00000000-0005-0000-0000-000058290000}"/>
    <cellStyle name="Normal 8 2 6" xfId="3645" xr:uid="{00000000-0005-0000-0000-000059290000}"/>
    <cellStyle name="Normal 8 2 7" xfId="10272" xr:uid="{00000000-0005-0000-0000-00005A290000}"/>
    <cellStyle name="Normal 8 2 7 2" xfId="19078" xr:uid="{5066A6FC-2FE5-4A46-A26D-BF9D9C9C0698}"/>
    <cellStyle name="Normal 8 2 8" xfId="8670" xr:uid="{00000000-0005-0000-0000-00005B290000}"/>
    <cellStyle name="Normal 8 2 8 2" xfId="17479" xr:uid="{A5D95C6F-9B4D-4314-805D-012B671741F3}"/>
    <cellStyle name="Normal 8 2 9" xfId="11882" xr:uid="{00000000-0005-0000-0000-00005C290000}"/>
    <cellStyle name="Normal 8 2 9 2" xfId="20625" xr:uid="{D51A836D-BB66-40C1-8C1C-BC77D739F3EE}"/>
    <cellStyle name="Normal 8 20" xfId="3646" xr:uid="{00000000-0005-0000-0000-00005D290000}"/>
    <cellStyle name="Normal 8 21" xfId="3647" xr:uid="{00000000-0005-0000-0000-00005E290000}"/>
    <cellStyle name="Normal 8 22" xfId="3648" xr:uid="{00000000-0005-0000-0000-00005F290000}"/>
    <cellStyle name="Normal 8 23" xfId="3649" xr:uid="{00000000-0005-0000-0000-000060290000}"/>
    <cellStyle name="Normal 8 24" xfId="3650" xr:uid="{00000000-0005-0000-0000-000061290000}"/>
    <cellStyle name="Normal 8 25" xfId="3651" xr:uid="{00000000-0005-0000-0000-000062290000}"/>
    <cellStyle name="Normal 8 26" xfId="3652" xr:uid="{00000000-0005-0000-0000-000063290000}"/>
    <cellStyle name="Normal 8 27" xfId="3653" xr:uid="{00000000-0005-0000-0000-000064290000}"/>
    <cellStyle name="Normal 8 28" xfId="3654" xr:uid="{00000000-0005-0000-0000-000065290000}"/>
    <cellStyle name="Normal 8 29" xfId="3655" xr:uid="{00000000-0005-0000-0000-000066290000}"/>
    <cellStyle name="Normal 8 3" xfId="3656" xr:uid="{00000000-0005-0000-0000-000067290000}"/>
    <cellStyle name="Normal 8 3 2" xfId="3657" xr:uid="{00000000-0005-0000-0000-000068290000}"/>
    <cellStyle name="Normal 8 3 3" xfId="3658" xr:uid="{00000000-0005-0000-0000-000069290000}"/>
    <cellStyle name="Normal 8 30" xfId="3659" xr:uid="{00000000-0005-0000-0000-00006A290000}"/>
    <cellStyle name="Normal 8 31" xfId="3660" xr:uid="{00000000-0005-0000-0000-00006B290000}"/>
    <cellStyle name="Normal 8 32" xfId="3661" xr:uid="{00000000-0005-0000-0000-00006C290000}"/>
    <cellStyle name="Normal 8 33" xfId="3662" xr:uid="{00000000-0005-0000-0000-00006D290000}"/>
    <cellStyle name="Normal 8 34" xfId="3663" xr:uid="{00000000-0005-0000-0000-00006E290000}"/>
    <cellStyle name="Normal 8 35" xfId="3664" xr:uid="{00000000-0005-0000-0000-00006F290000}"/>
    <cellStyle name="Normal 8 36" xfId="3665" xr:uid="{00000000-0005-0000-0000-000070290000}"/>
    <cellStyle name="Normal 8 37" xfId="3666" xr:uid="{00000000-0005-0000-0000-000071290000}"/>
    <cellStyle name="Normal 8 38" xfId="3667" xr:uid="{00000000-0005-0000-0000-000072290000}"/>
    <cellStyle name="Normal 8 39" xfId="3668" xr:uid="{00000000-0005-0000-0000-000073290000}"/>
    <cellStyle name="Normal 8 4" xfId="3669" xr:uid="{00000000-0005-0000-0000-000074290000}"/>
    <cellStyle name="Normal 8 4 2" xfId="3670" xr:uid="{00000000-0005-0000-0000-000075290000}"/>
    <cellStyle name="Normal 8 40" xfId="3671" xr:uid="{00000000-0005-0000-0000-000076290000}"/>
    <cellStyle name="Normal 8 41" xfId="3672" xr:uid="{00000000-0005-0000-0000-000077290000}"/>
    <cellStyle name="Normal 8 42" xfId="3616" xr:uid="{00000000-0005-0000-0000-000078290000}"/>
    <cellStyle name="Normal 8 42 2" xfId="10271" xr:uid="{00000000-0005-0000-0000-000079290000}"/>
    <cellStyle name="Normal 8 42 2 2" xfId="19077" xr:uid="{899E85AE-C34A-4719-A6A6-09738361F1CF}"/>
    <cellStyle name="Normal 8 42 3" xfId="11881" xr:uid="{00000000-0005-0000-0000-00007A290000}"/>
    <cellStyle name="Normal 8 42 3 2" xfId="20624" xr:uid="{65359C8C-3DAD-45E2-931A-E3E6F1F1C1A7}"/>
    <cellStyle name="Normal 8 42 4" xfId="15718" xr:uid="{AAE896CC-0094-4B9D-9DF5-158EB4971602}"/>
    <cellStyle name="Normal 8 43" xfId="10464" xr:uid="{00000000-0005-0000-0000-00007B290000}"/>
    <cellStyle name="Normal 8 43 2" xfId="19263" xr:uid="{920EA40F-9721-41C5-82AB-302EF6649C0B}"/>
    <cellStyle name="Normal 8 44" xfId="8669" xr:uid="{00000000-0005-0000-0000-00007C290000}"/>
    <cellStyle name="Normal 8 44 2" xfId="17478" xr:uid="{AB2404A9-14E5-4917-91DB-8B397D2A9E57}"/>
    <cellStyle name="Normal 8 45" xfId="10622" xr:uid="{00000000-0005-0000-0000-00007D290000}"/>
    <cellStyle name="Normal 8 45 2" xfId="19381" xr:uid="{297740E2-2EE4-4A96-AB32-0C0AC663C05D}"/>
    <cellStyle name="Normal 8 46" xfId="13488" xr:uid="{00000000-0005-0000-0000-00007E290000}"/>
    <cellStyle name="Normal 8 46 2" xfId="22224" xr:uid="{5734FC83-87C0-41FB-B395-06E77D2570C1}"/>
    <cellStyle name="Normal 8 47" xfId="14567" xr:uid="{CAE3B8C7-A2F9-4B07-A50B-8619D6F50F46}"/>
    <cellStyle name="Normal 8 5" xfId="3673" xr:uid="{00000000-0005-0000-0000-00007F290000}"/>
    <cellStyle name="Normal 8 6" xfId="3674" xr:uid="{00000000-0005-0000-0000-000080290000}"/>
    <cellStyle name="Normal 8 7" xfId="3675" xr:uid="{00000000-0005-0000-0000-000081290000}"/>
    <cellStyle name="Normal 8 8" xfId="3676" xr:uid="{00000000-0005-0000-0000-000082290000}"/>
    <cellStyle name="Normal 8 9" xfId="3677" xr:uid="{00000000-0005-0000-0000-000083290000}"/>
    <cellStyle name="Normal 80" xfId="3678" xr:uid="{00000000-0005-0000-0000-000084290000}"/>
    <cellStyle name="Normal 80 2" xfId="3679" xr:uid="{00000000-0005-0000-0000-000085290000}"/>
    <cellStyle name="Normal 80 2 2" xfId="10275" xr:uid="{00000000-0005-0000-0000-000086290000}"/>
    <cellStyle name="Normal 80 2 2 2" xfId="19081" xr:uid="{DEEBBB94-30E1-47E1-B99C-B2EB5488F558}"/>
    <cellStyle name="Normal 80 2 3" xfId="8673" xr:uid="{00000000-0005-0000-0000-000087290000}"/>
    <cellStyle name="Normal 80 2 3 2" xfId="17482" xr:uid="{972DCF32-D7D8-4A81-A87E-8BB3E0DA3E35}"/>
    <cellStyle name="Normal 80 2 4" xfId="11885" xr:uid="{00000000-0005-0000-0000-000088290000}"/>
    <cellStyle name="Normal 80 2 4 2" xfId="20628" xr:uid="{7788C21E-39AD-4780-A8C7-AE7EDF290E50}"/>
    <cellStyle name="Normal 80 2 5" xfId="13492" xr:uid="{00000000-0005-0000-0000-000089290000}"/>
    <cellStyle name="Normal 80 2 5 2" xfId="22228" xr:uid="{D8462783-6D09-45BC-9A52-08771E95C27F}"/>
    <cellStyle name="Normal 80 2 6" xfId="15722" xr:uid="{E238A08C-D602-434F-BE83-F1C1A913C88C}"/>
    <cellStyle name="Normal 80 3" xfId="3680" xr:uid="{00000000-0005-0000-0000-00008A290000}"/>
    <cellStyle name="Normal 80 3 2" xfId="10276" xr:uid="{00000000-0005-0000-0000-00008B290000}"/>
    <cellStyle name="Normal 80 3 2 2" xfId="19082" xr:uid="{544BB09D-2AE4-409A-9EF6-EEE957686DF8}"/>
    <cellStyle name="Normal 80 3 3" xfId="8674" xr:uid="{00000000-0005-0000-0000-00008C290000}"/>
    <cellStyle name="Normal 80 3 3 2" xfId="17483" xr:uid="{A022F3D4-561C-431E-AB97-7AE80A1E9C5C}"/>
    <cellStyle name="Normal 80 3 4" xfId="11886" xr:uid="{00000000-0005-0000-0000-00008D290000}"/>
    <cellStyle name="Normal 80 3 4 2" xfId="20629" xr:uid="{E51A284E-3281-4BD9-A1AB-B4E96952B024}"/>
    <cellStyle name="Normal 80 3 5" xfId="13493" xr:uid="{00000000-0005-0000-0000-00008E290000}"/>
    <cellStyle name="Normal 80 3 5 2" xfId="22229" xr:uid="{F61A8AD2-B00A-407E-96A7-BF86FE11BF30}"/>
    <cellStyle name="Normal 80 3 6" xfId="15723" xr:uid="{C7D0FEC9-C255-4032-8AB2-24CBC3C68F65}"/>
    <cellStyle name="Normal 80 4" xfId="3681" xr:uid="{00000000-0005-0000-0000-00008F290000}"/>
    <cellStyle name="Normal 80 4 2" xfId="10277" xr:uid="{00000000-0005-0000-0000-000090290000}"/>
    <cellStyle name="Normal 80 4 2 2" xfId="19083" xr:uid="{EC858A4F-BE40-4FE6-8AD2-563DCCE6A7EA}"/>
    <cellStyle name="Normal 80 4 3" xfId="8675" xr:uid="{00000000-0005-0000-0000-000091290000}"/>
    <cellStyle name="Normal 80 4 3 2" xfId="17484" xr:uid="{8A05D249-447F-4D1F-865D-6DB5A6F7E51E}"/>
    <cellStyle name="Normal 80 4 4" xfId="11887" xr:uid="{00000000-0005-0000-0000-000092290000}"/>
    <cellStyle name="Normal 80 4 4 2" xfId="20630" xr:uid="{AA86A640-E973-41CF-9625-CFCC812F5FA2}"/>
    <cellStyle name="Normal 80 4 5" xfId="13494" xr:uid="{00000000-0005-0000-0000-000093290000}"/>
    <cellStyle name="Normal 80 4 5 2" xfId="22230" xr:uid="{58EFF12E-1DD6-49FF-8DF3-4043EBF9BD94}"/>
    <cellStyle name="Normal 80 4 6" xfId="15724" xr:uid="{760A366B-BCE1-4BD3-B8E1-0212F45AE155}"/>
    <cellStyle name="Normal 80 5" xfId="10274" xr:uid="{00000000-0005-0000-0000-000094290000}"/>
    <cellStyle name="Normal 80 5 2" xfId="19080" xr:uid="{DA6D82FB-9D5A-451C-A004-49BF60E7C49D}"/>
    <cellStyle name="Normal 80 6" xfId="8672" xr:uid="{00000000-0005-0000-0000-000095290000}"/>
    <cellStyle name="Normal 80 6 2" xfId="17481" xr:uid="{3D342577-5E2F-4EE4-B147-C394CCA34B99}"/>
    <cellStyle name="Normal 80 7" xfId="11884" xr:uid="{00000000-0005-0000-0000-000096290000}"/>
    <cellStyle name="Normal 80 7 2" xfId="20627" xr:uid="{EDD2F83E-6790-44F5-B6D5-EA3F189BD57D}"/>
    <cellStyle name="Normal 80 8" xfId="13491" xr:uid="{00000000-0005-0000-0000-000097290000}"/>
    <cellStyle name="Normal 80 8 2" xfId="22227" xr:uid="{DA38DA04-D39B-4EB3-982F-35D4CDEC9020}"/>
    <cellStyle name="Normal 80 9" xfId="15721" xr:uid="{369ACC83-3D67-451D-BE50-6E54B61D4D58}"/>
    <cellStyle name="Normal 81" xfId="3682" xr:uid="{00000000-0005-0000-0000-000098290000}"/>
    <cellStyle name="Normal 81 2" xfId="3683" xr:uid="{00000000-0005-0000-0000-000099290000}"/>
    <cellStyle name="Normal 81 2 2" xfId="10279" xr:uid="{00000000-0005-0000-0000-00009A290000}"/>
    <cellStyle name="Normal 81 2 2 2" xfId="19085" xr:uid="{269F115E-E9AA-4B26-9908-F61C055C3F7C}"/>
    <cellStyle name="Normal 81 2 3" xfId="8677" xr:uid="{00000000-0005-0000-0000-00009B290000}"/>
    <cellStyle name="Normal 81 2 3 2" xfId="17486" xr:uid="{BB88F048-A83A-45DA-B03C-61582050F476}"/>
    <cellStyle name="Normal 81 2 4" xfId="11889" xr:uid="{00000000-0005-0000-0000-00009C290000}"/>
    <cellStyle name="Normal 81 2 4 2" xfId="20632" xr:uid="{9235C73A-F5CE-4103-BCA7-D5F301521421}"/>
    <cellStyle name="Normal 81 2 5" xfId="13496" xr:uid="{00000000-0005-0000-0000-00009D290000}"/>
    <cellStyle name="Normal 81 2 5 2" xfId="22232" xr:uid="{15B83E83-43BA-4F01-B574-48F167144E4A}"/>
    <cellStyle name="Normal 81 2 6" xfId="15726" xr:uid="{3ECA1C03-79AD-418B-8580-4605A9786BDB}"/>
    <cellStyle name="Normal 81 3" xfId="3684" xr:uid="{00000000-0005-0000-0000-00009E290000}"/>
    <cellStyle name="Normal 81 3 2" xfId="10280" xr:uid="{00000000-0005-0000-0000-00009F290000}"/>
    <cellStyle name="Normal 81 3 2 2" xfId="19086" xr:uid="{D573C651-7384-4486-879E-3EA410FAA638}"/>
    <cellStyle name="Normal 81 3 3" xfId="8678" xr:uid="{00000000-0005-0000-0000-0000A0290000}"/>
    <cellStyle name="Normal 81 3 3 2" xfId="17487" xr:uid="{BAC4E1B0-3E9C-4A45-8DFC-5028E3D1C565}"/>
    <cellStyle name="Normal 81 3 4" xfId="11890" xr:uid="{00000000-0005-0000-0000-0000A1290000}"/>
    <cellStyle name="Normal 81 3 4 2" xfId="20633" xr:uid="{C3501F77-96CF-4F60-8DCC-0AF7C29E2C6B}"/>
    <cellStyle name="Normal 81 3 5" xfId="13497" xr:uid="{00000000-0005-0000-0000-0000A2290000}"/>
    <cellStyle name="Normal 81 3 5 2" xfId="22233" xr:uid="{188FCFD7-F8A8-46D6-A9A3-2A0E85B98AB6}"/>
    <cellStyle name="Normal 81 3 6" xfId="15727" xr:uid="{F6EA24FD-CB7F-4C94-A534-B00403DCDDD7}"/>
    <cellStyle name="Normal 81 4" xfId="3685" xr:uid="{00000000-0005-0000-0000-0000A3290000}"/>
    <cellStyle name="Normal 81 4 2" xfId="10281" xr:uid="{00000000-0005-0000-0000-0000A4290000}"/>
    <cellStyle name="Normal 81 4 2 2" xfId="19087" xr:uid="{4A12A9C6-6600-4E6D-B34C-3BA626B8ADB4}"/>
    <cellStyle name="Normal 81 4 3" xfId="8679" xr:uid="{00000000-0005-0000-0000-0000A5290000}"/>
    <cellStyle name="Normal 81 4 3 2" xfId="17488" xr:uid="{0046F0E2-647C-4DE7-ABCA-8B38F8116FD7}"/>
    <cellStyle name="Normal 81 4 4" xfId="11891" xr:uid="{00000000-0005-0000-0000-0000A6290000}"/>
    <cellStyle name="Normal 81 4 4 2" xfId="20634" xr:uid="{3F624E6F-DA60-4B78-9ED9-2222B550E48E}"/>
    <cellStyle name="Normal 81 4 5" xfId="13498" xr:uid="{00000000-0005-0000-0000-0000A7290000}"/>
    <cellStyle name="Normal 81 4 5 2" xfId="22234" xr:uid="{6E6DAA0E-6D33-4639-8DEE-BB2D218CE487}"/>
    <cellStyle name="Normal 81 4 6" xfId="15728" xr:uid="{7EC49AB1-59E1-43A1-A09B-53B1DF5B0467}"/>
    <cellStyle name="Normal 81 5" xfId="10278" xr:uid="{00000000-0005-0000-0000-0000A8290000}"/>
    <cellStyle name="Normal 81 5 2" xfId="19084" xr:uid="{F1850DC6-DA0A-4C8B-88F7-392B89C14ACE}"/>
    <cellStyle name="Normal 81 6" xfId="8676" xr:uid="{00000000-0005-0000-0000-0000A9290000}"/>
    <cellStyle name="Normal 81 6 2" xfId="17485" xr:uid="{0C8E1F88-354E-408B-B717-81419F0187E0}"/>
    <cellStyle name="Normal 81 7" xfId="11888" xr:uid="{00000000-0005-0000-0000-0000AA290000}"/>
    <cellStyle name="Normal 81 7 2" xfId="20631" xr:uid="{F7DEBD51-B46F-4BC4-A7C8-B89169BCAABE}"/>
    <cellStyle name="Normal 81 8" xfId="13495" xr:uid="{00000000-0005-0000-0000-0000AB290000}"/>
    <cellStyle name="Normal 81 8 2" xfId="22231" xr:uid="{1D78D2BB-BC63-4901-896B-3672507E7A11}"/>
    <cellStyle name="Normal 81 9" xfId="15725" xr:uid="{509D7AD5-0C4E-4A85-A1A8-5088886182B4}"/>
    <cellStyle name="Normal 82" xfId="3686" xr:uid="{00000000-0005-0000-0000-0000AC290000}"/>
    <cellStyle name="Normal 82 2" xfId="3687" xr:uid="{00000000-0005-0000-0000-0000AD290000}"/>
    <cellStyle name="Normal 82 2 2" xfId="10283" xr:uid="{00000000-0005-0000-0000-0000AE290000}"/>
    <cellStyle name="Normal 82 2 2 2" xfId="19089" xr:uid="{96092653-A1AC-4DB8-A9E9-8509E0622AD5}"/>
    <cellStyle name="Normal 82 2 3" xfId="8681" xr:uid="{00000000-0005-0000-0000-0000AF290000}"/>
    <cellStyle name="Normal 82 2 3 2" xfId="17490" xr:uid="{86ECEA9C-6FDD-4E0F-B5BB-3F7FD1571050}"/>
    <cellStyle name="Normal 82 2 4" xfId="11893" xr:uid="{00000000-0005-0000-0000-0000B0290000}"/>
    <cellStyle name="Normal 82 2 4 2" xfId="20636" xr:uid="{E2EEF410-AEAA-462C-BCCD-43B156D7CD9D}"/>
    <cellStyle name="Normal 82 2 5" xfId="13500" xr:uid="{00000000-0005-0000-0000-0000B1290000}"/>
    <cellStyle name="Normal 82 2 5 2" xfId="22236" xr:uid="{C2E9A20A-7E0F-467E-B3FC-C7F146B555D2}"/>
    <cellStyle name="Normal 82 2 6" xfId="15730" xr:uid="{B5934D10-6988-4905-81FC-941B73786F32}"/>
    <cellStyle name="Normal 82 3" xfId="3688" xr:uid="{00000000-0005-0000-0000-0000B2290000}"/>
    <cellStyle name="Normal 82 3 2" xfId="10284" xr:uid="{00000000-0005-0000-0000-0000B3290000}"/>
    <cellStyle name="Normal 82 3 2 2" xfId="19090" xr:uid="{90D659FF-0F56-4296-8172-FD2B5ACBD175}"/>
    <cellStyle name="Normal 82 3 3" xfId="8682" xr:uid="{00000000-0005-0000-0000-0000B4290000}"/>
    <cellStyle name="Normal 82 3 3 2" xfId="17491" xr:uid="{CF960251-1BDC-48FF-BB4F-BD28DC468E60}"/>
    <cellStyle name="Normal 82 3 4" xfId="11894" xr:uid="{00000000-0005-0000-0000-0000B5290000}"/>
    <cellStyle name="Normal 82 3 4 2" xfId="20637" xr:uid="{A3D3871F-BAAD-4375-8F6F-32A07C85BBDB}"/>
    <cellStyle name="Normal 82 3 5" xfId="13501" xr:uid="{00000000-0005-0000-0000-0000B6290000}"/>
    <cellStyle name="Normal 82 3 5 2" xfId="22237" xr:uid="{00CA85C4-67BA-4086-8C1A-16D143C3347A}"/>
    <cellStyle name="Normal 82 3 6" xfId="15731" xr:uid="{F1A66768-3764-4BF1-9829-04EC92149AAB}"/>
    <cellStyle name="Normal 82 4" xfId="3689" xr:uid="{00000000-0005-0000-0000-0000B7290000}"/>
    <cellStyle name="Normal 82 4 2" xfId="10285" xr:uid="{00000000-0005-0000-0000-0000B8290000}"/>
    <cellStyle name="Normal 82 4 2 2" xfId="19091" xr:uid="{F7AA7E13-112C-4B61-874C-CA1080EF1B7F}"/>
    <cellStyle name="Normal 82 4 3" xfId="8683" xr:uid="{00000000-0005-0000-0000-0000B9290000}"/>
    <cellStyle name="Normal 82 4 3 2" xfId="17492" xr:uid="{EB6FCC49-1B0F-4AD3-BCA0-B4BE35E539C5}"/>
    <cellStyle name="Normal 82 4 4" xfId="11895" xr:uid="{00000000-0005-0000-0000-0000BA290000}"/>
    <cellStyle name="Normal 82 4 4 2" xfId="20638" xr:uid="{2B9B6824-3C76-41C9-9EC4-0591B70CAC4E}"/>
    <cellStyle name="Normal 82 4 5" xfId="13502" xr:uid="{00000000-0005-0000-0000-0000BB290000}"/>
    <cellStyle name="Normal 82 4 5 2" xfId="22238" xr:uid="{A00F7FEE-A4C7-43A9-9817-FADDE696B810}"/>
    <cellStyle name="Normal 82 4 6" xfId="15732" xr:uid="{7D5DBD1B-7148-4425-957A-452C54E7F14B}"/>
    <cellStyle name="Normal 82 5" xfId="10282" xr:uid="{00000000-0005-0000-0000-0000BC290000}"/>
    <cellStyle name="Normal 82 5 2" xfId="19088" xr:uid="{1DA887A7-5ABE-4138-A496-AEFC22D24BA7}"/>
    <cellStyle name="Normal 82 6" xfId="8680" xr:uid="{00000000-0005-0000-0000-0000BD290000}"/>
    <cellStyle name="Normal 82 6 2" xfId="17489" xr:uid="{1B968774-4ED7-47DB-8A22-21862C2CFD8D}"/>
    <cellStyle name="Normal 82 7" xfId="11892" xr:uid="{00000000-0005-0000-0000-0000BE290000}"/>
    <cellStyle name="Normal 82 7 2" xfId="20635" xr:uid="{9795FEC9-9163-4F86-9C83-DF2A78F0D143}"/>
    <cellStyle name="Normal 82 8" xfId="13499" xr:uid="{00000000-0005-0000-0000-0000BF290000}"/>
    <cellStyle name="Normal 82 8 2" xfId="22235" xr:uid="{9A742F1B-22A1-4A27-B00E-373975BD4117}"/>
    <cellStyle name="Normal 82 9" xfId="15729" xr:uid="{EDE585BD-A6F7-4276-A984-390EE974C764}"/>
    <cellStyle name="Normal 83" xfId="3690" xr:uid="{00000000-0005-0000-0000-0000C0290000}"/>
    <cellStyle name="Normal 83 2" xfId="3691" xr:uid="{00000000-0005-0000-0000-0000C1290000}"/>
    <cellStyle name="Normal 83 2 2" xfId="10287" xr:uid="{00000000-0005-0000-0000-0000C2290000}"/>
    <cellStyle name="Normal 83 2 2 2" xfId="19093" xr:uid="{1DF5979D-3790-42BB-BF4B-36EF3B020E7D}"/>
    <cellStyle name="Normal 83 2 3" xfId="8685" xr:uid="{00000000-0005-0000-0000-0000C3290000}"/>
    <cellStyle name="Normal 83 2 3 2" xfId="17494" xr:uid="{B476C580-040F-44CB-8436-51C13B7A867F}"/>
    <cellStyle name="Normal 83 2 4" xfId="11897" xr:uid="{00000000-0005-0000-0000-0000C4290000}"/>
    <cellStyle name="Normal 83 2 4 2" xfId="20640" xr:uid="{6DDDC6C6-A2D0-49F9-839F-E52A7D7680A1}"/>
    <cellStyle name="Normal 83 2 5" xfId="13504" xr:uid="{00000000-0005-0000-0000-0000C5290000}"/>
    <cellStyle name="Normal 83 2 5 2" xfId="22240" xr:uid="{C7965131-1C6F-4C19-87CA-B2724E8D22FC}"/>
    <cellStyle name="Normal 83 2 6" xfId="15734" xr:uid="{5058B229-C525-4ED7-A85C-2076BEAAD2EB}"/>
    <cellStyle name="Normal 83 3" xfId="3692" xr:uid="{00000000-0005-0000-0000-0000C6290000}"/>
    <cellStyle name="Normal 83 3 2" xfId="10288" xr:uid="{00000000-0005-0000-0000-0000C7290000}"/>
    <cellStyle name="Normal 83 3 2 2" xfId="19094" xr:uid="{BF955EBA-DEBD-4691-BF19-776D511BFA2E}"/>
    <cellStyle name="Normal 83 3 3" xfId="8686" xr:uid="{00000000-0005-0000-0000-0000C8290000}"/>
    <cellStyle name="Normal 83 3 3 2" xfId="17495" xr:uid="{0F4BDDD7-575A-4AF1-AF91-1CD5C98CE0A5}"/>
    <cellStyle name="Normal 83 3 4" xfId="11898" xr:uid="{00000000-0005-0000-0000-0000C9290000}"/>
    <cellStyle name="Normal 83 3 4 2" xfId="20641" xr:uid="{4ECF4F42-C460-4127-833F-6C2F458B8A3B}"/>
    <cellStyle name="Normal 83 3 5" xfId="13505" xr:uid="{00000000-0005-0000-0000-0000CA290000}"/>
    <cellStyle name="Normal 83 3 5 2" xfId="22241" xr:uid="{363DA40A-AB46-4042-A0CF-7589380042E8}"/>
    <cellStyle name="Normal 83 3 6" xfId="15735" xr:uid="{A6F414E0-FBFD-4D68-A149-366320B61E4D}"/>
    <cellStyle name="Normal 83 4" xfId="3693" xr:uid="{00000000-0005-0000-0000-0000CB290000}"/>
    <cellStyle name="Normal 83 4 2" xfId="10289" xr:uid="{00000000-0005-0000-0000-0000CC290000}"/>
    <cellStyle name="Normal 83 4 2 2" xfId="19095" xr:uid="{7B4D1098-C3C3-4CDE-8D9E-2509269EEB8B}"/>
    <cellStyle name="Normal 83 4 3" xfId="8687" xr:uid="{00000000-0005-0000-0000-0000CD290000}"/>
    <cellStyle name="Normal 83 4 3 2" xfId="17496" xr:uid="{43E4E75C-A08C-4010-A581-9F524620B98E}"/>
    <cellStyle name="Normal 83 4 4" xfId="11899" xr:uid="{00000000-0005-0000-0000-0000CE290000}"/>
    <cellStyle name="Normal 83 4 4 2" xfId="20642" xr:uid="{BC0B314C-356B-48B8-8290-923EC53E6597}"/>
    <cellStyle name="Normal 83 4 5" xfId="13506" xr:uid="{00000000-0005-0000-0000-0000CF290000}"/>
    <cellStyle name="Normal 83 4 5 2" xfId="22242" xr:uid="{DFB2398F-F7C6-467E-8C4A-211EDE1CA7F1}"/>
    <cellStyle name="Normal 83 4 6" xfId="15736" xr:uid="{61CF3D95-6D0A-4B5A-880F-406BB514CE09}"/>
    <cellStyle name="Normal 83 5" xfId="10286" xr:uid="{00000000-0005-0000-0000-0000D0290000}"/>
    <cellStyle name="Normal 83 5 2" xfId="19092" xr:uid="{BAE778A2-CC5A-435E-A9E1-BD1BD8F0FE20}"/>
    <cellStyle name="Normal 83 6" xfId="8684" xr:uid="{00000000-0005-0000-0000-0000D1290000}"/>
    <cellStyle name="Normal 83 6 2" xfId="17493" xr:uid="{E79C8554-4FCD-4763-9C37-F8F58CBF50D2}"/>
    <cellStyle name="Normal 83 7" xfId="11896" xr:uid="{00000000-0005-0000-0000-0000D2290000}"/>
    <cellStyle name="Normal 83 7 2" xfId="20639" xr:uid="{77F94C4C-916A-46B9-849A-AE344811D6B4}"/>
    <cellStyle name="Normal 83 8" xfId="13503" xr:uid="{00000000-0005-0000-0000-0000D3290000}"/>
    <cellStyle name="Normal 83 8 2" xfId="22239" xr:uid="{F78B065B-FD9E-4122-ABF3-68AC7F41813D}"/>
    <cellStyle name="Normal 83 9" xfId="15733" xr:uid="{81B31B29-64E5-42D4-A996-1661F58FDCF5}"/>
    <cellStyle name="Normal 84" xfId="3694" xr:uid="{00000000-0005-0000-0000-0000D4290000}"/>
    <cellStyle name="Normal 84 2" xfId="3695" xr:uid="{00000000-0005-0000-0000-0000D5290000}"/>
    <cellStyle name="Normal 84 2 2" xfId="10291" xr:uid="{00000000-0005-0000-0000-0000D6290000}"/>
    <cellStyle name="Normal 84 2 2 2" xfId="19097" xr:uid="{9541D4C5-B6AF-4EAE-9A4B-92C14FE607EB}"/>
    <cellStyle name="Normal 84 2 3" xfId="8689" xr:uid="{00000000-0005-0000-0000-0000D7290000}"/>
    <cellStyle name="Normal 84 2 3 2" xfId="17498" xr:uid="{4B91EE2A-904B-4A1A-955B-F07428DE196B}"/>
    <cellStyle name="Normal 84 2 4" xfId="11901" xr:uid="{00000000-0005-0000-0000-0000D8290000}"/>
    <cellStyle name="Normal 84 2 4 2" xfId="20644" xr:uid="{7E55E48E-0B24-4291-88B2-629FFC1BFC81}"/>
    <cellStyle name="Normal 84 2 5" xfId="13508" xr:uid="{00000000-0005-0000-0000-0000D9290000}"/>
    <cellStyle name="Normal 84 2 5 2" xfId="22244" xr:uid="{672D3CD0-655E-4658-B625-304C9B91DB71}"/>
    <cellStyle name="Normal 84 2 6" xfId="15738" xr:uid="{553FE57A-F98B-4267-8210-1FAF3095CCA5}"/>
    <cellStyle name="Normal 84 3" xfId="3696" xr:uid="{00000000-0005-0000-0000-0000DA290000}"/>
    <cellStyle name="Normal 84 3 2" xfId="10292" xr:uid="{00000000-0005-0000-0000-0000DB290000}"/>
    <cellStyle name="Normal 84 3 2 2" xfId="19098" xr:uid="{174DBD8B-5AA9-484B-BCB6-3C11FA1C43B9}"/>
    <cellStyle name="Normal 84 3 3" xfId="8690" xr:uid="{00000000-0005-0000-0000-0000DC290000}"/>
    <cellStyle name="Normal 84 3 3 2" xfId="17499" xr:uid="{764624B6-82E3-4629-B777-26F5B38FEAD5}"/>
    <cellStyle name="Normal 84 3 4" xfId="11902" xr:uid="{00000000-0005-0000-0000-0000DD290000}"/>
    <cellStyle name="Normal 84 3 4 2" xfId="20645" xr:uid="{C9A80B15-9344-4C56-876A-E2460FB9649B}"/>
    <cellStyle name="Normal 84 3 5" xfId="13509" xr:uid="{00000000-0005-0000-0000-0000DE290000}"/>
    <cellStyle name="Normal 84 3 5 2" xfId="22245" xr:uid="{2CD59AE1-1AAA-443C-AFD8-E8E618F1FECF}"/>
    <cellStyle name="Normal 84 3 6" xfId="15739" xr:uid="{E48EE061-EAD1-43D3-A5EF-53AE63400B41}"/>
    <cellStyle name="Normal 84 4" xfId="3697" xr:uid="{00000000-0005-0000-0000-0000DF290000}"/>
    <cellStyle name="Normal 84 4 2" xfId="10293" xr:uid="{00000000-0005-0000-0000-0000E0290000}"/>
    <cellStyle name="Normal 84 4 2 2" xfId="19099" xr:uid="{BC1FE392-D47D-4474-9A6A-8F41817A778E}"/>
    <cellStyle name="Normal 84 4 3" xfId="8691" xr:uid="{00000000-0005-0000-0000-0000E1290000}"/>
    <cellStyle name="Normal 84 4 3 2" xfId="17500" xr:uid="{D8341E67-88D6-41DB-92CF-6D009453625E}"/>
    <cellStyle name="Normal 84 4 4" xfId="11903" xr:uid="{00000000-0005-0000-0000-0000E2290000}"/>
    <cellStyle name="Normal 84 4 4 2" xfId="20646" xr:uid="{4E2C77D3-AFE4-4A97-97D5-C20E224FD313}"/>
    <cellStyle name="Normal 84 4 5" xfId="13510" xr:uid="{00000000-0005-0000-0000-0000E3290000}"/>
    <cellStyle name="Normal 84 4 5 2" xfId="22246" xr:uid="{AA3F13CA-F6D1-4563-B68A-7A55ADC2055F}"/>
    <cellStyle name="Normal 84 4 6" xfId="15740" xr:uid="{14BF1477-72ED-4692-90BB-5F49B8857AB0}"/>
    <cellStyle name="Normal 84 5" xfId="10290" xr:uid="{00000000-0005-0000-0000-0000E4290000}"/>
    <cellStyle name="Normal 84 5 2" xfId="19096" xr:uid="{E0AF8F23-BEFA-4687-A549-E1A6255B668C}"/>
    <cellStyle name="Normal 84 6" xfId="8688" xr:uid="{00000000-0005-0000-0000-0000E5290000}"/>
    <cellStyle name="Normal 84 6 2" xfId="17497" xr:uid="{A5865C47-344F-47FD-BB6B-D208B6E7A14C}"/>
    <cellStyle name="Normal 84 7" xfId="11900" xr:uid="{00000000-0005-0000-0000-0000E6290000}"/>
    <cellStyle name="Normal 84 7 2" xfId="20643" xr:uid="{5D64F20B-4475-4FE9-89D3-7C45D34DA631}"/>
    <cellStyle name="Normal 84 8" xfId="13507" xr:uid="{00000000-0005-0000-0000-0000E7290000}"/>
    <cellStyle name="Normal 84 8 2" xfId="22243" xr:uid="{FB8C1654-BD46-425B-B566-80A4E940B0E7}"/>
    <cellStyle name="Normal 84 9" xfId="15737" xr:uid="{702209E7-205B-41DF-B344-ADB6EEB7BEE7}"/>
    <cellStyle name="Normal 85" xfId="3698" xr:uid="{00000000-0005-0000-0000-0000E8290000}"/>
    <cellStyle name="Normal 85 2" xfId="3699" xr:uid="{00000000-0005-0000-0000-0000E9290000}"/>
    <cellStyle name="Normal 85 2 2" xfId="10295" xr:uid="{00000000-0005-0000-0000-0000EA290000}"/>
    <cellStyle name="Normal 85 2 2 2" xfId="19101" xr:uid="{0341D7DB-1EAC-4B32-964E-B951A27AE576}"/>
    <cellStyle name="Normal 85 2 3" xfId="8693" xr:uid="{00000000-0005-0000-0000-0000EB290000}"/>
    <cellStyle name="Normal 85 2 3 2" xfId="17502" xr:uid="{19503ED8-89E6-4E4C-8665-B8A675C25A88}"/>
    <cellStyle name="Normal 85 2 4" xfId="11905" xr:uid="{00000000-0005-0000-0000-0000EC290000}"/>
    <cellStyle name="Normal 85 2 4 2" xfId="20648" xr:uid="{FB681CCE-B9FB-4A07-9A91-74D577FF9E9F}"/>
    <cellStyle name="Normal 85 2 5" xfId="13512" xr:uid="{00000000-0005-0000-0000-0000ED290000}"/>
    <cellStyle name="Normal 85 2 5 2" xfId="22248" xr:uid="{2CBB1E91-6057-4F09-8EB5-8123A9005358}"/>
    <cellStyle name="Normal 85 2 6" xfId="15742" xr:uid="{80ED14B9-A66A-4CDF-8064-C91A05E524CD}"/>
    <cellStyle name="Normal 85 3" xfId="3700" xr:uid="{00000000-0005-0000-0000-0000EE290000}"/>
    <cellStyle name="Normal 85 3 2" xfId="10296" xr:uid="{00000000-0005-0000-0000-0000EF290000}"/>
    <cellStyle name="Normal 85 3 2 2" xfId="19102" xr:uid="{A9B32EB8-09FE-4FC2-BD05-F1C1D7F6D192}"/>
    <cellStyle name="Normal 85 3 3" xfId="8694" xr:uid="{00000000-0005-0000-0000-0000F0290000}"/>
    <cellStyle name="Normal 85 3 3 2" xfId="17503" xr:uid="{5ED4372E-B2C5-4AC1-971D-79267FD64988}"/>
    <cellStyle name="Normal 85 3 4" xfId="11906" xr:uid="{00000000-0005-0000-0000-0000F1290000}"/>
    <cellStyle name="Normal 85 3 4 2" xfId="20649" xr:uid="{D20D3AC5-1FFE-448A-BD68-AF12E6758962}"/>
    <cellStyle name="Normal 85 3 5" xfId="13513" xr:uid="{00000000-0005-0000-0000-0000F2290000}"/>
    <cellStyle name="Normal 85 3 5 2" xfId="22249" xr:uid="{757D04A1-2C43-4668-B3B0-76944BCED473}"/>
    <cellStyle name="Normal 85 3 6" xfId="15743" xr:uid="{8DA156E2-0B5E-4A18-B3B4-EE9404029174}"/>
    <cellStyle name="Normal 85 4" xfId="3701" xr:uid="{00000000-0005-0000-0000-0000F3290000}"/>
    <cellStyle name="Normal 85 4 2" xfId="10297" xr:uid="{00000000-0005-0000-0000-0000F4290000}"/>
    <cellStyle name="Normal 85 4 2 2" xfId="19103" xr:uid="{BFFB47A4-294B-40B9-BFC9-6316587B02C7}"/>
    <cellStyle name="Normal 85 4 3" xfId="8695" xr:uid="{00000000-0005-0000-0000-0000F5290000}"/>
    <cellStyle name="Normal 85 4 3 2" xfId="17504" xr:uid="{0900A398-8782-444B-B77E-02C14182FE20}"/>
    <cellStyle name="Normal 85 4 4" xfId="11907" xr:uid="{00000000-0005-0000-0000-0000F6290000}"/>
    <cellStyle name="Normal 85 4 4 2" xfId="20650" xr:uid="{734FCD89-D43A-4CD7-AE0C-0B9A82044737}"/>
    <cellStyle name="Normal 85 4 5" xfId="13514" xr:uid="{00000000-0005-0000-0000-0000F7290000}"/>
    <cellStyle name="Normal 85 4 5 2" xfId="22250" xr:uid="{B0961051-D97D-48D4-9631-88D7A89FA75E}"/>
    <cellStyle name="Normal 85 4 6" xfId="15744" xr:uid="{D13E3D9F-782C-4DD3-BEAC-5320604F1C97}"/>
    <cellStyle name="Normal 85 5" xfId="10294" xr:uid="{00000000-0005-0000-0000-0000F8290000}"/>
    <cellStyle name="Normal 85 5 2" xfId="19100" xr:uid="{ECE2EBF6-B36E-4931-8B66-4D1D14473EC1}"/>
    <cellStyle name="Normal 85 6" xfId="8692" xr:uid="{00000000-0005-0000-0000-0000F9290000}"/>
    <cellStyle name="Normal 85 6 2" xfId="17501" xr:uid="{C3A6DC6C-47EF-4A26-B278-3C15A14E10AA}"/>
    <cellStyle name="Normal 85 7" xfId="11904" xr:uid="{00000000-0005-0000-0000-0000FA290000}"/>
    <cellStyle name="Normal 85 7 2" xfId="20647" xr:uid="{D9DAF802-F684-41BC-9D73-A4D0FB09022C}"/>
    <cellStyle name="Normal 85 8" xfId="13511" xr:uid="{00000000-0005-0000-0000-0000FB290000}"/>
    <cellStyle name="Normal 85 8 2" xfId="22247" xr:uid="{D8AB9B32-A453-4BBB-A9B9-2B404C01B613}"/>
    <cellStyle name="Normal 85 9" xfId="15741" xr:uid="{98210C85-1B06-4739-B73F-E4180BE3282B}"/>
    <cellStyle name="Normal 86" xfId="3702" xr:uid="{00000000-0005-0000-0000-0000FC290000}"/>
    <cellStyle name="Normal 86 2" xfId="3703" xr:uid="{00000000-0005-0000-0000-0000FD290000}"/>
    <cellStyle name="Normal 86 2 2" xfId="10299" xr:uid="{00000000-0005-0000-0000-0000FE290000}"/>
    <cellStyle name="Normal 86 2 2 2" xfId="19105" xr:uid="{F9FCB2C5-E065-48A6-97E6-8B26F236C11F}"/>
    <cellStyle name="Normal 86 2 3" xfId="8697" xr:uid="{00000000-0005-0000-0000-0000FF290000}"/>
    <cellStyle name="Normal 86 2 3 2" xfId="17506" xr:uid="{F53DA0CD-B7FD-43E4-81B5-0028E8DA7544}"/>
    <cellStyle name="Normal 86 2 4" xfId="11909" xr:uid="{00000000-0005-0000-0000-0000002A0000}"/>
    <cellStyle name="Normal 86 2 4 2" xfId="20652" xr:uid="{4D28AC85-2C5E-4C4F-A403-A30B2B396F5B}"/>
    <cellStyle name="Normal 86 2 5" xfId="13516" xr:uid="{00000000-0005-0000-0000-0000012A0000}"/>
    <cellStyle name="Normal 86 2 5 2" xfId="22252" xr:uid="{26B17710-1FB4-4D75-9E02-5A586F7CB7E8}"/>
    <cellStyle name="Normal 86 2 6" xfId="15746" xr:uid="{3DD553DA-74A2-4F0D-BEFB-DF8D1E09093F}"/>
    <cellStyle name="Normal 86 3" xfId="3704" xr:uid="{00000000-0005-0000-0000-0000022A0000}"/>
    <cellStyle name="Normal 86 3 2" xfId="10300" xr:uid="{00000000-0005-0000-0000-0000032A0000}"/>
    <cellStyle name="Normal 86 3 2 2" xfId="19106" xr:uid="{EAC9638F-1EC3-4BF4-AD8B-68B83880D92D}"/>
    <cellStyle name="Normal 86 3 3" xfId="8698" xr:uid="{00000000-0005-0000-0000-0000042A0000}"/>
    <cellStyle name="Normal 86 3 3 2" xfId="17507" xr:uid="{3131588A-EDBE-4C3B-989B-FD7D9EAAD5ED}"/>
    <cellStyle name="Normal 86 3 4" xfId="11910" xr:uid="{00000000-0005-0000-0000-0000052A0000}"/>
    <cellStyle name="Normal 86 3 4 2" xfId="20653" xr:uid="{A72C7FEC-0405-4330-9C3E-73EEEF12E29E}"/>
    <cellStyle name="Normal 86 3 5" xfId="13517" xr:uid="{00000000-0005-0000-0000-0000062A0000}"/>
    <cellStyle name="Normal 86 3 5 2" xfId="22253" xr:uid="{66D91268-B1CC-474B-84B9-7BA996C5E140}"/>
    <cellStyle name="Normal 86 3 6" xfId="15747" xr:uid="{9C77DE30-3BD4-4026-AFA4-34A6FFFB40DF}"/>
    <cellStyle name="Normal 86 4" xfId="3705" xr:uid="{00000000-0005-0000-0000-0000072A0000}"/>
    <cellStyle name="Normal 86 4 2" xfId="10301" xr:uid="{00000000-0005-0000-0000-0000082A0000}"/>
    <cellStyle name="Normal 86 4 2 2" xfId="19107" xr:uid="{F8EF0D90-390D-47EA-9AB8-1950C9DD8B35}"/>
    <cellStyle name="Normal 86 4 3" xfId="8699" xr:uid="{00000000-0005-0000-0000-0000092A0000}"/>
    <cellStyle name="Normal 86 4 3 2" xfId="17508" xr:uid="{B513C51B-E1AD-495E-95ED-88F686F88CF6}"/>
    <cellStyle name="Normal 86 4 4" xfId="11911" xr:uid="{00000000-0005-0000-0000-00000A2A0000}"/>
    <cellStyle name="Normal 86 4 4 2" xfId="20654" xr:uid="{873F92E0-D961-4EEE-9EB6-F537F45E638E}"/>
    <cellStyle name="Normal 86 4 5" xfId="13518" xr:uid="{00000000-0005-0000-0000-00000B2A0000}"/>
    <cellStyle name="Normal 86 4 5 2" xfId="22254" xr:uid="{8B01108C-D5A6-40B4-BA20-22776A4F7D5C}"/>
    <cellStyle name="Normal 86 4 6" xfId="15748" xr:uid="{C531D8F3-0CFF-469B-8A65-9A8438BA27F3}"/>
    <cellStyle name="Normal 86 5" xfId="10298" xr:uid="{00000000-0005-0000-0000-00000C2A0000}"/>
    <cellStyle name="Normal 86 5 2" xfId="19104" xr:uid="{4B94516A-5906-4556-B39E-5913A0F68941}"/>
    <cellStyle name="Normal 86 6" xfId="8696" xr:uid="{00000000-0005-0000-0000-00000D2A0000}"/>
    <cellStyle name="Normal 86 6 2" xfId="17505" xr:uid="{0B49E5FA-8963-452A-A047-81B15EAA2F7F}"/>
    <cellStyle name="Normal 86 7" xfId="11908" xr:uid="{00000000-0005-0000-0000-00000E2A0000}"/>
    <cellStyle name="Normal 86 7 2" xfId="20651" xr:uid="{D7F5CF79-DDA8-43DA-80D0-F96EA2B2A499}"/>
    <cellStyle name="Normal 86 8" xfId="13515" xr:uid="{00000000-0005-0000-0000-00000F2A0000}"/>
    <cellStyle name="Normal 86 8 2" xfId="22251" xr:uid="{15304141-C9B3-441F-A725-92B689AC579A}"/>
    <cellStyle name="Normal 86 9" xfId="15745" xr:uid="{86E0FECD-0732-4FFD-8E78-69B26871E8ED}"/>
    <cellStyle name="Normal 87" xfId="3706" xr:uid="{00000000-0005-0000-0000-0000102A0000}"/>
    <cellStyle name="Normal 87 2" xfId="3707" xr:uid="{00000000-0005-0000-0000-0000112A0000}"/>
    <cellStyle name="Normal 87 2 2" xfId="10303" xr:uid="{00000000-0005-0000-0000-0000122A0000}"/>
    <cellStyle name="Normal 87 2 2 2" xfId="19109" xr:uid="{B3CC86FA-2D62-4676-AD61-BF863528D9F3}"/>
    <cellStyle name="Normal 87 2 3" xfId="8701" xr:uid="{00000000-0005-0000-0000-0000132A0000}"/>
    <cellStyle name="Normal 87 2 3 2" xfId="17510" xr:uid="{8665C771-419C-4F70-93B1-4B429CF58CB1}"/>
    <cellStyle name="Normal 87 2 4" xfId="11913" xr:uid="{00000000-0005-0000-0000-0000142A0000}"/>
    <cellStyle name="Normal 87 2 4 2" xfId="20656" xr:uid="{7CD48C50-2676-4A8B-A99E-80BB8B7A462E}"/>
    <cellStyle name="Normal 87 2 5" xfId="13520" xr:uid="{00000000-0005-0000-0000-0000152A0000}"/>
    <cellStyle name="Normal 87 2 5 2" xfId="22256" xr:uid="{0DEC003B-C990-4250-9649-753B19FE59D3}"/>
    <cellStyle name="Normal 87 2 6" xfId="15750" xr:uid="{F9D1ACD7-63B8-41B9-A6B7-7C9DE210B67D}"/>
    <cellStyle name="Normal 87 3" xfId="3708" xr:uid="{00000000-0005-0000-0000-0000162A0000}"/>
    <cellStyle name="Normal 87 3 2" xfId="10304" xr:uid="{00000000-0005-0000-0000-0000172A0000}"/>
    <cellStyle name="Normal 87 3 2 2" xfId="19110" xr:uid="{58538990-88D3-4817-9187-6CF21BB47E9A}"/>
    <cellStyle name="Normal 87 3 3" xfId="8702" xr:uid="{00000000-0005-0000-0000-0000182A0000}"/>
    <cellStyle name="Normal 87 3 3 2" xfId="17511" xr:uid="{C2693B27-AE47-401B-9A53-4EB9332677F8}"/>
    <cellStyle name="Normal 87 3 4" xfId="11914" xr:uid="{00000000-0005-0000-0000-0000192A0000}"/>
    <cellStyle name="Normal 87 3 4 2" xfId="20657" xr:uid="{0DB6E96C-85E8-4F5A-ABA7-916BD2F51FAA}"/>
    <cellStyle name="Normal 87 3 5" xfId="13521" xr:uid="{00000000-0005-0000-0000-00001A2A0000}"/>
    <cellStyle name="Normal 87 3 5 2" xfId="22257" xr:uid="{14E3AE88-6B43-4C7E-9A55-1539C5D82535}"/>
    <cellStyle name="Normal 87 3 6" xfId="15751" xr:uid="{4C70022B-C8BC-47F7-B7A0-25651A1A8BDF}"/>
    <cellStyle name="Normal 87 4" xfId="3709" xr:uid="{00000000-0005-0000-0000-00001B2A0000}"/>
    <cellStyle name="Normal 87 4 2" xfId="10305" xr:uid="{00000000-0005-0000-0000-00001C2A0000}"/>
    <cellStyle name="Normal 87 4 2 2" xfId="19111" xr:uid="{44B301C2-2E72-483D-B4D4-72CCB32CCF6C}"/>
    <cellStyle name="Normal 87 4 3" xfId="8703" xr:uid="{00000000-0005-0000-0000-00001D2A0000}"/>
    <cellStyle name="Normal 87 4 3 2" xfId="17512" xr:uid="{9257EFC2-7CD2-4081-950D-00ED1A31F12F}"/>
    <cellStyle name="Normal 87 4 4" xfId="11915" xr:uid="{00000000-0005-0000-0000-00001E2A0000}"/>
    <cellStyle name="Normal 87 4 4 2" xfId="20658" xr:uid="{668892A2-6918-476F-8F18-FEC7E87C5062}"/>
    <cellStyle name="Normal 87 4 5" xfId="13522" xr:uid="{00000000-0005-0000-0000-00001F2A0000}"/>
    <cellStyle name="Normal 87 4 5 2" xfId="22258" xr:uid="{25A1B041-0C51-49AD-A6EA-D0AEBB727F4E}"/>
    <cellStyle name="Normal 87 4 6" xfId="15752" xr:uid="{3D988A54-E959-4EB1-ADAD-FA307648DAB9}"/>
    <cellStyle name="Normal 87 5" xfId="10302" xr:uid="{00000000-0005-0000-0000-0000202A0000}"/>
    <cellStyle name="Normal 87 5 2" xfId="19108" xr:uid="{CC000B9C-0D28-419D-BDF5-D75BD02AD5F7}"/>
    <cellStyle name="Normal 87 6" xfId="8700" xr:uid="{00000000-0005-0000-0000-0000212A0000}"/>
    <cellStyle name="Normal 87 6 2" xfId="17509" xr:uid="{3954E9E2-CCF7-4F01-BB79-4EBCC5579BD9}"/>
    <cellStyle name="Normal 87 7" xfId="11912" xr:uid="{00000000-0005-0000-0000-0000222A0000}"/>
    <cellStyle name="Normal 87 7 2" xfId="20655" xr:uid="{CD3ADF66-84A6-4840-B5B6-320C0A438439}"/>
    <cellStyle name="Normal 87 8" xfId="13519" xr:uid="{00000000-0005-0000-0000-0000232A0000}"/>
    <cellStyle name="Normal 87 8 2" xfId="22255" xr:uid="{C5AF0BA4-52B1-49A2-9AD7-B2376E96DFE1}"/>
    <cellStyle name="Normal 87 9" xfId="15749" xr:uid="{F030681B-DA57-41EB-8979-DBF5C5CA8F42}"/>
    <cellStyle name="Normal 88" xfId="3710" xr:uid="{00000000-0005-0000-0000-0000242A0000}"/>
    <cellStyle name="Normal 88 2" xfId="3711" xr:uid="{00000000-0005-0000-0000-0000252A0000}"/>
    <cellStyle name="Normal 88 2 2" xfId="10307" xr:uid="{00000000-0005-0000-0000-0000262A0000}"/>
    <cellStyle name="Normal 88 2 2 2" xfId="19113" xr:uid="{0C7A78F1-E870-44E4-A8D9-030FAC11B0BE}"/>
    <cellStyle name="Normal 88 2 3" xfId="8705" xr:uid="{00000000-0005-0000-0000-0000272A0000}"/>
    <cellStyle name="Normal 88 2 3 2" xfId="17514" xr:uid="{22A4CB38-61B4-4FD9-9EB7-BE75DBD1BE17}"/>
    <cellStyle name="Normal 88 2 4" xfId="11917" xr:uid="{00000000-0005-0000-0000-0000282A0000}"/>
    <cellStyle name="Normal 88 2 4 2" xfId="20660" xr:uid="{62046F51-0736-44FC-A309-72BAE6800C33}"/>
    <cellStyle name="Normal 88 2 5" xfId="13524" xr:uid="{00000000-0005-0000-0000-0000292A0000}"/>
    <cellStyle name="Normal 88 2 5 2" xfId="22260" xr:uid="{C26888FC-027F-4ED5-97C0-2DE749342AF2}"/>
    <cellStyle name="Normal 88 2 6" xfId="15754" xr:uid="{75CB29CD-4E6F-452D-933A-A98759D5B7BF}"/>
    <cellStyle name="Normal 88 3" xfId="3712" xr:uid="{00000000-0005-0000-0000-00002A2A0000}"/>
    <cellStyle name="Normal 88 3 2" xfId="10308" xr:uid="{00000000-0005-0000-0000-00002B2A0000}"/>
    <cellStyle name="Normal 88 3 2 2" xfId="19114" xr:uid="{12673B7E-7A79-450C-8F5F-2A9E2742CF04}"/>
    <cellStyle name="Normal 88 3 3" xfId="8706" xr:uid="{00000000-0005-0000-0000-00002C2A0000}"/>
    <cellStyle name="Normal 88 3 3 2" xfId="17515" xr:uid="{EA5ECC8C-1507-4C6D-8EF4-A02913E8A2F1}"/>
    <cellStyle name="Normal 88 3 4" xfId="11918" xr:uid="{00000000-0005-0000-0000-00002D2A0000}"/>
    <cellStyle name="Normal 88 3 4 2" xfId="20661" xr:uid="{4A77959D-E952-4699-9AB4-3BE8B2FD992F}"/>
    <cellStyle name="Normal 88 3 5" xfId="13525" xr:uid="{00000000-0005-0000-0000-00002E2A0000}"/>
    <cellStyle name="Normal 88 3 5 2" xfId="22261" xr:uid="{D0F9196E-1F2F-4B3A-889A-E7E37C73737B}"/>
    <cellStyle name="Normal 88 3 6" xfId="15755" xr:uid="{0008B859-464D-4A97-9A60-914F6C00BD82}"/>
    <cellStyle name="Normal 88 4" xfId="3713" xr:uid="{00000000-0005-0000-0000-00002F2A0000}"/>
    <cellStyle name="Normal 88 4 2" xfId="10309" xr:uid="{00000000-0005-0000-0000-0000302A0000}"/>
    <cellStyle name="Normal 88 4 2 2" xfId="19115" xr:uid="{6284F255-81C9-4701-A088-4CD4B023A6BE}"/>
    <cellStyle name="Normal 88 4 3" xfId="8707" xr:uid="{00000000-0005-0000-0000-0000312A0000}"/>
    <cellStyle name="Normal 88 4 3 2" xfId="17516" xr:uid="{3192FFA8-62D6-436B-B470-DFBE6B059227}"/>
    <cellStyle name="Normal 88 4 4" xfId="11919" xr:uid="{00000000-0005-0000-0000-0000322A0000}"/>
    <cellStyle name="Normal 88 4 4 2" xfId="20662" xr:uid="{E6A119B0-9E6B-41BF-B0EA-0F187335F265}"/>
    <cellStyle name="Normal 88 4 5" xfId="13526" xr:uid="{00000000-0005-0000-0000-0000332A0000}"/>
    <cellStyle name="Normal 88 4 5 2" xfId="22262" xr:uid="{FFC62234-E400-4499-8832-604153F738E7}"/>
    <cellStyle name="Normal 88 4 6" xfId="15756" xr:uid="{D6877A22-75BF-4051-B18D-DA137C70854B}"/>
    <cellStyle name="Normal 88 5" xfId="10306" xr:uid="{00000000-0005-0000-0000-0000342A0000}"/>
    <cellStyle name="Normal 88 5 2" xfId="19112" xr:uid="{C284C7B1-856D-47E2-BE04-867032395F07}"/>
    <cellStyle name="Normal 88 6" xfId="8704" xr:uid="{00000000-0005-0000-0000-0000352A0000}"/>
    <cellStyle name="Normal 88 6 2" xfId="17513" xr:uid="{7D0FD3A6-1089-4A6F-87AD-C3227E786356}"/>
    <cellStyle name="Normal 88 7" xfId="11916" xr:uid="{00000000-0005-0000-0000-0000362A0000}"/>
    <cellStyle name="Normal 88 7 2" xfId="20659" xr:uid="{24589D46-F997-4CAE-941D-DDA5CD5A25E8}"/>
    <cellStyle name="Normal 88 8" xfId="13523" xr:uid="{00000000-0005-0000-0000-0000372A0000}"/>
    <cellStyle name="Normal 88 8 2" xfId="22259" xr:uid="{CFB7BB89-ABCD-43E4-813A-444A81A5C4D0}"/>
    <cellStyle name="Normal 88 9" xfId="15753" xr:uid="{EA12B3C2-350E-4F25-A77D-B39670A82D38}"/>
    <cellStyle name="Normal 89" xfId="3714" xr:uid="{00000000-0005-0000-0000-0000382A0000}"/>
    <cellStyle name="Normal 89 2" xfId="3715" xr:uid="{00000000-0005-0000-0000-0000392A0000}"/>
    <cellStyle name="Normal 89 2 2" xfId="10311" xr:uid="{00000000-0005-0000-0000-00003A2A0000}"/>
    <cellStyle name="Normal 89 2 2 2" xfId="19117" xr:uid="{037F4FDF-890C-4D68-99BF-FC4FBF43C73E}"/>
    <cellStyle name="Normal 89 2 3" xfId="8709" xr:uid="{00000000-0005-0000-0000-00003B2A0000}"/>
    <cellStyle name="Normal 89 2 3 2" xfId="17518" xr:uid="{6CA56C05-0960-4748-A8F8-3967E71664B9}"/>
    <cellStyle name="Normal 89 2 4" xfId="11921" xr:uid="{00000000-0005-0000-0000-00003C2A0000}"/>
    <cellStyle name="Normal 89 2 4 2" xfId="20664" xr:uid="{A124C4A3-D145-4C45-B8D1-85A032506872}"/>
    <cellStyle name="Normal 89 2 5" xfId="13528" xr:uid="{00000000-0005-0000-0000-00003D2A0000}"/>
    <cellStyle name="Normal 89 2 5 2" xfId="22264" xr:uid="{4241796A-5671-46A6-B3F4-C17F28A28EA4}"/>
    <cellStyle name="Normal 89 2 6" xfId="15758" xr:uid="{71828A39-91EB-4BE7-8183-2C012CCE00E2}"/>
    <cellStyle name="Normal 89 3" xfId="3716" xr:uid="{00000000-0005-0000-0000-00003E2A0000}"/>
    <cellStyle name="Normal 89 3 2" xfId="10312" xr:uid="{00000000-0005-0000-0000-00003F2A0000}"/>
    <cellStyle name="Normal 89 3 2 2" xfId="19118" xr:uid="{D4C511AF-BD21-4A30-9317-1B8FA177C2CC}"/>
    <cellStyle name="Normal 89 3 3" xfId="8710" xr:uid="{00000000-0005-0000-0000-0000402A0000}"/>
    <cellStyle name="Normal 89 3 3 2" xfId="17519" xr:uid="{CA52B469-A83D-48C7-BAF7-522A9CC65304}"/>
    <cellStyle name="Normal 89 3 4" xfId="11922" xr:uid="{00000000-0005-0000-0000-0000412A0000}"/>
    <cellStyle name="Normal 89 3 4 2" xfId="20665" xr:uid="{E5BE295F-9A92-4DE1-95D4-5F06893DC872}"/>
    <cellStyle name="Normal 89 3 5" xfId="13529" xr:uid="{00000000-0005-0000-0000-0000422A0000}"/>
    <cellStyle name="Normal 89 3 5 2" xfId="22265" xr:uid="{0D14B9AA-64D3-4CCA-B122-443100420713}"/>
    <cellStyle name="Normal 89 3 6" xfId="15759" xr:uid="{6F399E2F-8510-42FE-9DC2-528B24C8B3C8}"/>
    <cellStyle name="Normal 89 4" xfId="3717" xr:uid="{00000000-0005-0000-0000-0000432A0000}"/>
    <cellStyle name="Normal 89 4 2" xfId="10313" xr:uid="{00000000-0005-0000-0000-0000442A0000}"/>
    <cellStyle name="Normal 89 4 2 2" xfId="19119" xr:uid="{7A41A8E8-7B43-4B65-996A-A943ABDD5B41}"/>
    <cellStyle name="Normal 89 4 3" xfId="8711" xr:uid="{00000000-0005-0000-0000-0000452A0000}"/>
    <cellStyle name="Normal 89 4 3 2" xfId="17520" xr:uid="{9BFC8D3C-9A1E-4C5F-92A8-E2A2FB4E2AA5}"/>
    <cellStyle name="Normal 89 4 4" xfId="11923" xr:uid="{00000000-0005-0000-0000-0000462A0000}"/>
    <cellStyle name="Normal 89 4 4 2" xfId="20666" xr:uid="{83396E31-42C0-485F-ACC4-DCDBC67FC85A}"/>
    <cellStyle name="Normal 89 4 5" xfId="13530" xr:uid="{00000000-0005-0000-0000-0000472A0000}"/>
    <cellStyle name="Normal 89 4 5 2" xfId="22266" xr:uid="{B0108EBF-6CB1-4929-B714-281107C19BD8}"/>
    <cellStyle name="Normal 89 4 6" xfId="15760" xr:uid="{8F8FFB5D-BE28-47F2-9AD4-0CD3F21BA7D1}"/>
    <cellStyle name="Normal 89 5" xfId="10310" xr:uid="{00000000-0005-0000-0000-0000482A0000}"/>
    <cellStyle name="Normal 89 5 2" xfId="19116" xr:uid="{226454B7-7DEB-44A6-9C45-55A85B547D1B}"/>
    <cellStyle name="Normal 89 6" xfId="8708" xr:uid="{00000000-0005-0000-0000-0000492A0000}"/>
    <cellStyle name="Normal 89 6 2" xfId="17517" xr:uid="{99EEE71E-35FF-42D7-9DFF-FEA98E1E6F62}"/>
    <cellStyle name="Normal 89 7" xfId="11920" xr:uid="{00000000-0005-0000-0000-00004A2A0000}"/>
    <cellStyle name="Normal 89 7 2" xfId="20663" xr:uid="{6CE171E5-B08E-4BC2-983E-9ED8DC050A0B}"/>
    <cellStyle name="Normal 89 8" xfId="13527" xr:uid="{00000000-0005-0000-0000-00004B2A0000}"/>
    <cellStyle name="Normal 89 8 2" xfId="22263" xr:uid="{032CBB22-D0E0-4748-8EF8-5A6FCB7ACE00}"/>
    <cellStyle name="Normal 89 9" xfId="15757" xr:uid="{CADB6844-6C6B-4D51-9ED6-9A41D1EFA0AC}"/>
    <cellStyle name="Normal 9" xfId="127" xr:uid="{00000000-0005-0000-0000-00004C2A0000}"/>
    <cellStyle name="Normal 9 10" xfId="3719" xr:uid="{00000000-0005-0000-0000-00004D2A0000}"/>
    <cellStyle name="Normal 9 11" xfId="3720" xr:uid="{00000000-0005-0000-0000-00004E2A0000}"/>
    <cellStyle name="Normal 9 12" xfId="3721" xr:uid="{00000000-0005-0000-0000-00004F2A0000}"/>
    <cellStyle name="Normal 9 13" xfId="3722" xr:uid="{00000000-0005-0000-0000-0000502A0000}"/>
    <cellStyle name="Normal 9 14" xfId="3723" xr:uid="{00000000-0005-0000-0000-0000512A0000}"/>
    <cellStyle name="Normal 9 15" xfId="3724" xr:uid="{00000000-0005-0000-0000-0000522A0000}"/>
    <cellStyle name="Normal 9 16" xfId="3725" xr:uid="{00000000-0005-0000-0000-0000532A0000}"/>
    <cellStyle name="Normal 9 17" xfId="3726" xr:uid="{00000000-0005-0000-0000-0000542A0000}"/>
    <cellStyle name="Normal 9 18" xfId="3727" xr:uid="{00000000-0005-0000-0000-0000552A0000}"/>
    <cellStyle name="Normal 9 19" xfId="3728" xr:uid="{00000000-0005-0000-0000-0000562A0000}"/>
    <cellStyle name="Normal 9 2" xfId="3729" xr:uid="{00000000-0005-0000-0000-0000572A0000}"/>
    <cellStyle name="Normal 9 2 10" xfId="3730" xr:uid="{00000000-0005-0000-0000-0000582A0000}"/>
    <cellStyle name="Normal 9 2 11" xfId="3731" xr:uid="{00000000-0005-0000-0000-0000592A0000}"/>
    <cellStyle name="Normal 9 2 12" xfId="3732" xr:uid="{00000000-0005-0000-0000-00005A2A0000}"/>
    <cellStyle name="Normal 9 2 13" xfId="3733" xr:uid="{00000000-0005-0000-0000-00005B2A0000}"/>
    <cellStyle name="Normal 9 2 14" xfId="3734" xr:uid="{00000000-0005-0000-0000-00005C2A0000}"/>
    <cellStyle name="Normal 9 2 15" xfId="3735" xr:uid="{00000000-0005-0000-0000-00005D2A0000}"/>
    <cellStyle name="Normal 9 2 16" xfId="3736" xr:uid="{00000000-0005-0000-0000-00005E2A0000}"/>
    <cellStyle name="Normal 9 2 17" xfId="3737" xr:uid="{00000000-0005-0000-0000-00005F2A0000}"/>
    <cellStyle name="Normal 9 2 18" xfId="3738" xr:uid="{00000000-0005-0000-0000-0000602A0000}"/>
    <cellStyle name="Normal 9 2 19" xfId="3739" xr:uid="{00000000-0005-0000-0000-0000612A0000}"/>
    <cellStyle name="Normal 9 2 2" xfId="3740" xr:uid="{00000000-0005-0000-0000-0000622A0000}"/>
    <cellStyle name="Normal 9 2 2 2" xfId="3741" xr:uid="{00000000-0005-0000-0000-0000632A0000}"/>
    <cellStyle name="Normal 9 2 2 3" xfId="10315" xr:uid="{00000000-0005-0000-0000-0000642A0000}"/>
    <cellStyle name="Normal 9 2 2 3 2" xfId="19121" xr:uid="{AEAF22AC-71D6-4532-8FC3-87B70FA6AEA8}"/>
    <cellStyle name="Normal 9 2 2 4" xfId="8713" xr:uid="{00000000-0005-0000-0000-0000652A0000}"/>
    <cellStyle name="Normal 9 2 2 4 2" xfId="17522" xr:uid="{36D60B46-DE0F-47B7-80AE-13CA7CC6D78D}"/>
    <cellStyle name="Normal 9 2 2 5" xfId="11925" xr:uid="{00000000-0005-0000-0000-0000662A0000}"/>
    <cellStyle name="Normal 9 2 2 5 2" xfId="20668" xr:uid="{BCEE8A4B-DC77-4A6F-BF1A-2B1E1B71C588}"/>
    <cellStyle name="Normal 9 2 2 6" xfId="13532" xr:uid="{00000000-0005-0000-0000-0000672A0000}"/>
    <cellStyle name="Normal 9 2 2 6 2" xfId="22268" xr:uid="{854F32A5-D66B-4B4A-A739-9ED0EBDF3838}"/>
    <cellStyle name="Normal 9 2 2 7" xfId="15761" xr:uid="{5FDF49E9-D62E-4E4F-98BA-6EE13D1B7159}"/>
    <cellStyle name="Normal 9 2 20" xfId="3742" xr:uid="{00000000-0005-0000-0000-0000682A0000}"/>
    <cellStyle name="Normal 9 2 21" xfId="3743" xr:uid="{00000000-0005-0000-0000-0000692A0000}"/>
    <cellStyle name="Normal 9 2 22" xfId="3744" xr:uid="{00000000-0005-0000-0000-00006A2A0000}"/>
    <cellStyle name="Normal 9 2 23" xfId="3745" xr:uid="{00000000-0005-0000-0000-00006B2A0000}"/>
    <cellStyle name="Normal 9 2 24" xfId="3746" xr:uid="{00000000-0005-0000-0000-00006C2A0000}"/>
    <cellStyle name="Normal 9 2 25" xfId="3747" xr:uid="{00000000-0005-0000-0000-00006D2A0000}"/>
    <cellStyle name="Normal 9 2 26" xfId="3748" xr:uid="{00000000-0005-0000-0000-00006E2A0000}"/>
    <cellStyle name="Normal 9 2 27" xfId="3749" xr:uid="{00000000-0005-0000-0000-00006F2A0000}"/>
    <cellStyle name="Normal 9 2 28" xfId="3750" xr:uid="{00000000-0005-0000-0000-0000702A0000}"/>
    <cellStyle name="Normal 9 2 29" xfId="3751" xr:uid="{00000000-0005-0000-0000-0000712A0000}"/>
    <cellStyle name="Normal 9 2 3" xfId="3752" xr:uid="{00000000-0005-0000-0000-0000722A0000}"/>
    <cellStyle name="Normal 9 2 30" xfId="3753" xr:uid="{00000000-0005-0000-0000-0000732A0000}"/>
    <cellStyle name="Normal 9 2 31" xfId="3754" xr:uid="{00000000-0005-0000-0000-0000742A0000}"/>
    <cellStyle name="Normal 9 2 32" xfId="3755" xr:uid="{00000000-0005-0000-0000-0000752A0000}"/>
    <cellStyle name="Normal 9 2 33" xfId="3756" xr:uid="{00000000-0005-0000-0000-0000762A0000}"/>
    <cellStyle name="Normal 9 2 34" xfId="3757" xr:uid="{00000000-0005-0000-0000-0000772A0000}"/>
    <cellStyle name="Normal 9 2 35" xfId="3758" xr:uid="{00000000-0005-0000-0000-0000782A0000}"/>
    <cellStyle name="Normal 9 2 36" xfId="3759" xr:uid="{00000000-0005-0000-0000-0000792A0000}"/>
    <cellStyle name="Normal 9 2 37" xfId="3760" xr:uid="{00000000-0005-0000-0000-00007A2A0000}"/>
    <cellStyle name="Normal 9 2 38" xfId="3761" xr:uid="{00000000-0005-0000-0000-00007B2A0000}"/>
    <cellStyle name="Normal 9 2 39" xfId="3762" xr:uid="{00000000-0005-0000-0000-00007C2A0000}"/>
    <cellStyle name="Normal 9 2 4" xfId="3763" xr:uid="{00000000-0005-0000-0000-00007D2A0000}"/>
    <cellStyle name="Normal 9 2 40" xfId="3764" xr:uid="{00000000-0005-0000-0000-00007E2A0000}"/>
    <cellStyle name="Normal 9 2 41" xfId="3765" xr:uid="{00000000-0005-0000-0000-00007F2A0000}"/>
    <cellStyle name="Normal 9 2 42" xfId="3766" xr:uid="{00000000-0005-0000-0000-0000802A0000}"/>
    <cellStyle name="Normal 9 2 43" xfId="6934" xr:uid="{00000000-0005-0000-0000-0000812A0000}"/>
    <cellStyle name="Normal 9 2 43 2" xfId="10314" xr:uid="{00000000-0005-0000-0000-0000822A0000}"/>
    <cellStyle name="Normal 9 2 43 2 2" xfId="19120" xr:uid="{13B12FD1-722E-4445-A85C-3DCF91F4B24E}"/>
    <cellStyle name="Normal 9 2 43 3" xfId="16198" xr:uid="{D4741E9A-CACE-433E-A4B1-37B4CCF1751A}"/>
    <cellStyle name="Normal 9 2 44" xfId="8712" xr:uid="{00000000-0005-0000-0000-0000832A0000}"/>
    <cellStyle name="Normal 9 2 44 2" xfId="17521" xr:uid="{20A37236-BA40-43BC-9F52-9E3B1102EA18}"/>
    <cellStyle name="Normal 9 2 45" xfId="11924" xr:uid="{00000000-0005-0000-0000-0000842A0000}"/>
    <cellStyle name="Normal 9 2 45 2" xfId="20667" xr:uid="{B79CF94D-C521-4EDD-9963-A0CEF1146FB1}"/>
    <cellStyle name="Normal 9 2 46" xfId="13531" xr:uid="{00000000-0005-0000-0000-0000852A0000}"/>
    <cellStyle name="Normal 9 2 46 2" xfId="22267" xr:uid="{468C7F9D-BD81-4075-8B68-75037CE4C134}"/>
    <cellStyle name="Normal 9 2 47" xfId="14613" xr:uid="{4224800E-4572-4673-B32C-F0822BF0ACDC}"/>
    <cellStyle name="Normal 9 2 5" xfId="3767" xr:uid="{00000000-0005-0000-0000-0000862A0000}"/>
    <cellStyle name="Normal 9 2 6" xfId="3768" xr:uid="{00000000-0005-0000-0000-0000872A0000}"/>
    <cellStyle name="Normal 9 2 7" xfId="3769" xr:uid="{00000000-0005-0000-0000-0000882A0000}"/>
    <cellStyle name="Normal 9 2 8" xfId="3770" xr:uid="{00000000-0005-0000-0000-0000892A0000}"/>
    <cellStyle name="Normal 9 2 9" xfId="3771" xr:uid="{00000000-0005-0000-0000-00008A2A0000}"/>
    <cellStyle name="Normal 9 20" xfId="3772" xr:uid="{00000000-0005-0000-0000-00008B2A0000}"/>
    <cellStyle name="Normal 9 21" xfId="3773" xr:uid="{00000000-0005-0000-0000-00008C2A0000}"/>
    <cellStyle name="Normal 9 22" xfId="3774" xr:uid="{00000000-0005-0000-0000-00008D2A0000}"/>
    <cellStyle name="Normal 9 23" xfId="3775" xr:uid="{00000000-0005-0000-0000-00008E2A0000}"/>
    <cellStyle name="Normal 9 24" xfId="3776" xr:uid="{00000000-0005-0000-0000-00008F2A0000}"/>
    <cellStyle name="Normal 9 25" xfId="3777" xr:uid="{00000000-0005-0000-0000-0000902A0000}"/>
    <cellStyle name="Normal 9 26" xfId="3778" xr:uid="{00000000-0005-0000-0000-0000912A0000}"/>
    <cellStyle name="Normal 9 27" xfId="3779" xr:uid="{00000000-0005-0000-0000-0000922A0000}"/>
    <cellStyle name="Normal 9 28" xfId="3780" xr:uid="{00000000-0005-0000-0000-0000932A0000}"/>
    <cellStyle name="Normal 9 29" xfId="3781" xr:uid="{00000000-0005-0000-0000-0000942A0000}"/>
    <cellStyle name="Normal 9 3" xfId="3782" xr:uid="{00000000-0005-0000-0000-0000952A0000}"/>
    <cellStyle name="Normal 9 3 2" xfId="3783" xr:uid="{00000000-0005-0000-0000-0000962A0000}"/>
    <cellStyle name="Normal 9 3 3" xfId="6935" xr:uid="{00000000-0005-0000-0000-0000972A0000}"/>
    <cellStyle name="Normal 9 3 3 2" xfId="16199" xr:uid="{664A528D-5027-4E49-8F3A-F4EC37CD8202}"/>
    <cellStyle name="Normal 9 3 4" xfId="14614" xr:uid="{F7C4E716-2411-4A41-AB6A-EABEA60F68FE}"/>
    <cellStyle name="Normal 9 30" xfId="3784" xr:uid="{00000000-0005-0000-0000-0000982A0000}"/>
    <cellStyle name="Normal 9 31" xfId="3785" xr:uid="{00000000-0005-0000-0000-0000992A0000}"/>
    <cellStyle name="Normal 9 32" xfId="3786" xr:uid="{00000000-0005-0000-0000-00009A2A0000}"/>
    <cellStyle name="Normal 9 33" xfId="3787" xr:uid="{00000000-0005-0000-0000-00009B2A0000}"/>
    <cellStyle name="Normal 9 34" xfId="3788" xr:uid="{00000000-0005-0000-0000-00009C2A0000}"/>
    <cellStyle name="Normal 9 35" xfId="3789" xr:uid="{00000000-0005-0000-0000-00009D2A0000}"/>
    <cellStyle name="Normal 9 36" xfId="3790" xr:uid="{00000000-0005-0000-0000-00009E2A0000}"/>
    <cellStyle name="Normal 9 37" xfId="3791" xr:uid="{00000000-0005-0000-0000-00009F2A0000}"/>
    <cellStyle name="Normal 9 38" xfId="3792" xr:uid="{00000000-0005-0000-0000-0000A02A0000}"/>
    <cellStyle name="Normal 9 39" xfId="3793" xr:uid="{00000000-0005-0000-0000-0000A12A0000}"/>
    <cellStyle name="Normal 9 4" xfId="3794" xr:uid="{00000000-0005-0000-0000-0000A22A0000}"/>
    <cellStyle name="Normal 9 4 2" xfId="3795" xr:uid="{00000000-0005-0000-0000-0000A32A0000}"/>
    <cellStyle name="Normal 9 4 3" xfId="6936" xr:uid="{00000000-0005-0000-0000-0000A42A0000}"/>
    <cellStyle name="Normal 9 4 3 2" xfId="16200" xr:uid="{AA256814-089B-4443-BFF4-EC8040DB69FE}"/>
    <cellStyle name="Normal 9 4 4" xfId="14615" xr:uid="{FF103954-5F11-4CD7-A126-0E7A068EA64B}"/>
    <cellStyle name="Normal 9 40" xfId="3796" xr:uid="{00000000-0005-0000-0000-0000A52A0000}"/>
    <cellStyle name="Normal 9 41" xfId="3797" xr:uid="{00000000-0005-0000-0000-0000A62A0000}"/>
    <cellStyle name="Normal 9 42" xfId="3718" xr:uid="{00000000-0005-0000-0000-0000A72A0000}"/>
    <cellStyle name="Normal 9 42 2" xfId="10467" xr:uid="{00000000-0005-0000-0000-0000A82A0000}"/>
    <cellStyle name="Normal 9 42 2 2" xfId="19266" xr:uid="{84D91364-1007-4B31-89D8-8121D8016693}"/>
    <cellStyle name="Normal 9 43" xfId="6933" xr:uid="{00000000-0005-0000-0000-0000A92A0000}"/>
    <cellStyle name="Normal 9 43 2" xfId="16197" xr:uid="{B6A904D8-50E7-4065-A72A-7636A4383443}"/>
    <cellStyle name="Normal 9 44" xfId="14612" xr:uid="{8ADDB4EC-C930-4148-9AC8-73C319EA0B95}"/>
    <cellStyle name="Normal 9 5" xfId="3798" xr:uid="{00000000-0005-0000-0000-0000AA2A0000}"/>
    <cellStyle name="Normal 9 5 2" xfId="6937" xr:uid="{00000000-0005-0000-0000-0000AB2A0000}"/>
    <cellStyle name="Normal 9 5 2 2" xfId="16201" xr:uid="{43550B61-0AC2-4A82-94B1-30F33C6C5C39}"/>
    <cellStyle name="Normal 9 5 3" xfId="14616" xr:uid="{28643547-BC2A-498E-BDE9-A2D28E40EF83}"/>
    <cellStyle name="Normal 9 6" xfId="3799" xr:uid="{00000000-0005-0000-0000-0000AC2A0000}"/>
    <cellStyle name="Normal 9 6 2" xfId="6938" xr:uid="{00000000-0005-0000-0000-0000AD2A0000}"/>
    <cellStyle name="Normal 9 6 2 2" xfId="16202" xr:uid="{4413F857-D76E-4E3F-897C-753252904CD5}"/>
    <cellStyle name="Normal 9 6 3" xfId="14617" xr:uid="{E2DECE9C-671F-4689-B5AA-125D18478A54}"/>
    <cellStyle name="Normal 9 7" xfId="3800" xr:uid="{00000000-0005-0000-0000-0000AE2A0000}"/>
    <cellStyle name="Normal 9 8" xfId="3801" xr:uid="{00000000-0005-0000-0000-0000AF2A0000}"/>
    <cellStyle name="Normal 9 9" xfId="3802" xr:uid="{00000000-0005-0000-0000-0000B02A0000}"/>
    <cellStyle name="Normal 90" xfId="3803" xr:uid="{00000000-0005-0000-0000-0000B12A0000}"/>
    <cellStyle name="Normal 90 2" xfId="3804" xr:uid="{00000000-0005-0000-0000-0000B22A0000}"/>
    <cellStyle name="Normal 90 2 2" xfId="10317" xr:uid="{00000000-0005-0000-0000-0000B32A0000}"/>
    <cellStyle name="Normal 90 2 2 2" xfId="19123" xr:uid="{29A3A002-45BE-40AE-A2A2-6A5C8C7661C8}"/>
    <cellStyle name="Normal 90 2 3" xfId="8715" xr:uid="{00000000-0005-0000-0000-0000B42A0000}"/>
    <cellStyle name="Normal 90 2 3 2" xfId="17524" xr:uid="{815AC756-C1BF-4A82-BB72-B87626ED602A}"/>
    <cellStyle name="Normal 90 2 4" xfId="11927" xr:uid="{00000000-0005-0000-0000-0000B52A0000}"/>
    <cellStyle name="Normal 90 2 4 2" xfId="20670" xr:uid="{1667B33B-4CA1-4236-B54F-2086B3D21995}"/>
    <cellStyle name="Normal 90 2 5" xfId="13534" xr:uid="{00000000-0005-0000-0000-0000B62A0000}"/>
    <cellStyle name="Normal 90 2 5 2" xfId="22270" xr:uid="{D2F97A39-31A8-4BAF-B0A4-6EEBB63D4CD8}"/>
    <cellStyle name="Normal 90 2 6" xfId="15763" xr:uid="{DA6B743B-2314-4FE8-85AE-67AE981B21DA}"/>
    <cellStyle name="Normal 90 3" xfId="3805" xr:uid="{00000000-0005-0000-0000-0000B72A0000}"/>
    <cellStyle name="Normal 90 3 2" xfId="10318" xr:uid="{00000000-0005-0000-0000-0000B82A0000}"/>
    <cellStyle name="Normal 90 3 2 2" xfId="19124" xr:uid="{327CE4BA-D15B-4C66-950E-BD987D73B234}"/>
    <cellStyle name="Normal 90 3 3" xfId="8716" xr:uid="{00000000-0005-0000-0000-0000B92A0000}"/>
    <cellStyle name="Normal 90 3 3 2" xfId="17525" xr:uid="{914C6D02-58C2-4B50-9283-1F20DA3C1AE6}"/>
    <cellStyle name="Normal 90 3 4" xfId="11928" xr:uid="{00000000-0005-0000-0000-0000BA2A0000}"/>
    <cellStyle name="Normal 90 3 4 2" xfId="20671" xr:uid="{874EAA36-83BA-4CC0-819C-77AD9F0A13C8}"/>
    <cellStyle name="Normal 90 3 5" xfId="13535" xr:uid="{00000000-0005-0000-0000-0000BB2A0000}"/>
    <cellStyle name="Normal 90 3 5 2" xfId="22271" xr:uid="{2B0C5C87-6341-4DFB-B259-67069F1DECE9}"/>
    <cellStyle name="Normal 90 3 6" xfId="15764" xr:uid="{75F04271-249F-4FAD-9755-DFAD477CAD87}"/>
    <cellStyle name="Normal 90 4" xfId="3806" xr:uid="{00000000-0005-0000-0000-0000BC2A0000}"/>
    <cellStyle name="Normal 90 4 2" xfId="10319" xr:uid="{00000000-0005-0000-0000-0000BD2A0000}"/>
    <cellStyle name="Normal 90 4 2 2" xfId="19125" xr:uid="{427ABCF4-0FA7-4F29-9F96-E2F2509DA5FF}"/>
    <cellStyle name="Normal 90 4 3" xfId="8717" xr:uid="{00000000-0005-0000-0000-0000BE2A0000}"/>
    <cellStyle name="Normal 90 4 3 2" xfId="17526" xr:uid="{8D2C352F-0C04-40AD-9C61-329BBFA10621}"/>
    <cellStyle name="Normal 90 4 4" xfId="11929" xr:uid="{00000000-0005-0000-0000-0000BF2A0000}"/>
    <cellStyle name="Normal 90 4 4 2" xfId="20672" xr:uid="{5C81F11A-3FD5-45E4-997B-5657EBB1001B}"/>
    <cellStyle name="Normal 90 4 5" xfId="13536" xr:uid="{00000000-0005-0000-0000-0000C02A0000}"/>
    <cellStyle name="Normal 90 4 5 2" xfId="22272" xr:uid="{DCEFBFF2-6EC1-49E2-93DD-6A6177095EF1}"/>
    <cellStyle name="Normal 90 4 6" xfId="15765" xr:uid="{7077CA6B-DE53-4F87-B8D3-0E5FE8382FD1}"/>
    <cellStyle name="Normal 90 5" xfId="10316" xr:uid="{00000000-0005-0000-0000-0000C12A0000}"/>
    <cellStyle name="Normal 90 5 2" xfId="19122" xr:uid="{4AC53A11-5624-463A-BBE5-BED652A42FF5}"/>
    <cellStyle name="Normal 90 6" xfId="8714" xr:uid="{00000000-0005-0000-0000-0000C22A0000}"/>
    <cellStyle name="Normal 90 6 2" xfId="17523" xr:uid="{EB83E6EA-29E1-40C1-A2D2-4E44464210AA}"/>
    <cellStyle name="Normal 90 7" xfId="11926" xr:uid="{00000000-0005-0000-0000-0000C32A0000}"/>
    <cellStyle name="Normal 90 7 2" xfId="20669" xr:uid="{639C92D5-51F1-4E7E-A3C9-50A96E0457F7}"/>
    <cellStyle name="Normal 90 8" xfId="13533" xr:uid="{00000000-0005-0000-0000-0000C42A0000}"/>
    <cellStyle name="Normal 90 8 2" xfId="22269" xr:uid="{E288F742-BDEB-470E-8EBC-86C637E95BAA}"/>
    <cellStyle name="Normal 90 9" xfId="15762" xr:uid="{E1B981BE-A51B-4BCB-8E6F-55A0FFF39944}"/>
    <cellStyle name="Normal 91" xfId="3807" xr:uid="{00000000-0005-0000-0000-0000C52A0000}"/>
    <cellStyle name="Normal 91 2" xfId="3808" xr:uid="{00000000-0005-0000-0000-0000C62A0000}"/>
    <cellStyle name="Normal 91 2 2" xfId="10321" xr:uid="{00000000-0005-0000-0000-0000C72A0000}"/>
    <cellStyle name="Normal 91 2 2 2" xfId="19127" xr:uid="{C8A69464-EA88-49BF-8E47-B40198114B46}"/>
    <cellStyle name="Normal 91 2 3" xfId="8719" xr:uid="{00000000-0005-0000-0000-0000C82A0000}"/>
    <cellStyle name="Normal 91 2 3 2" xfId="17528" xr:uid="{17638087-1B42-424D-811A-993635B80E75}"/>
    <cellStyle name="Normal 91 2 4" xfId="11931" xr:uid="{00000000-0005-0000-0000-0000C92A0000}"/>
    <cellStyle name="Normal 91 2 4 2" xfId="20674" xr:uid="{102BF7B8-AA3F-4EC3-BFF0-F9F920311890}"/>
    <cellStyle name="Normal 91 2 5" xfId="13538" xr:uid="{00000000-0005-0000-0000-0000CA2A0000}"/>
    <cellStyle name="Normal 91 2 5 2" xfId="22274" xr:uid="{9F469B26-EF4B-4A42-8527-A131966FA8B5}"/>
    <cellStyle name="Normal 91 2 6" xfId="15767" xr:uid="{724C0AFB-A2AD-4710-A505-CB7AF3545934}"/>
    <cellStyle name="Normal 91 3" xfId="3809" xr:uid="{00000000-0005-0000-0000-0000CB2A0000}"/>
    <cellStyle name="Normal 91 3 2" xfId="10322" xr:uid="{00000000-0005-0000-0000-0000CC2A0000}"/>
    <cellStyle name="Normal 91 3 2 2" xfId="19128" xr:uid="{8B6A87D3-9EAC-484C-9CF4-AB45F85D2D4E}"/>
    <cellStyle name="Normal 91 3 3" xfId="8720" xr:uid="{00000000-0005-0000-0000-0000CD2A0000}"/>
    <cellStyle name="Normal 91 3 3 2" xfId="17529" xr:uid="{F00F7755-B966-4266-B8C0-DF73B7ECD6F6}"/>
    <cellStyle name="Normal 91 3 4" xfId="11932" xr:uid="{00000000-0005-0000-0000-0000CE2A0000}"/>
    <cellStyle name="Normal 91 3 4 2" xfId="20675" xr:uid="{FC3EC96B-0518-4AEF-B9A1-D933257EF75E}"/>
    <cellStyle name="Normal 91 3 5" xfId="13539" xr:uid="{00000000-0005-0000-0000-0000CF2A0000}"/>
    <cellStyle name="Normal 91 3 5 2" xfId="22275" xr:uid="{5DFE6163-531F-414B-8264-B499485AFB60}"/>
    <cellStyle name="Normal 91 3 6" xfId="15768" xr:uid="{9122319E-87F8-4478-B1FB-EDE935B4461B}"/>
    <cellStyle name="Normal 91 4" xfId="3810" xr:uid="{00000000-0005-0000-0000-0000D02A0000}"/>
    <cellStyle name="Normal 91 4 2" xfId="10323" xr:uid="{00000000-0005-0000-0000-0000D12A0000}"/>
    <cellStyle name="Normal 91 4 2 2" xfId="19129" xr:uid="{56BD9DA9-CB94-4292-B811-B174B1CE347E}"/>
    <cellStyle name="Normal 91 4 3" xfId="8721" xr:uid="{00000000-0005-0000-0000-0000D22A0000}"/>
    <cellStyle name="Normal 91 4 3 2" xfId="17530" xr:uid="{9AEC26C5-6790-4285-8AD4-6F501E0522BD}"/>
    <cellStyle name="Normal 91 4 4" xfId="11933" xr:uid="{00000000-0005-0000-0000-0000D32A0000}"/>
    <cellStyle name="Normal 91 4 4 2" xfId="20676" xr:uid="{0CC33501-D5C6-41FF-B1D2-7A73CD1583C7}"/>
    <cellStyle name="Normal 91 4 5" xfId="13540" xr:uid="{00000000-0005-0000-0000-0000D42A0000}"/>
    <cellStyle name="Normal 91 4 5 2" xfId="22276" xr:uid="{B29AA60F-1904-4792-85F2-3629B126524E}"/>
    <cellStyle name="Normal 91 4 6" xfId="15769" xr:uid="{65761C13-73F3-4C7F-B97F-3F41247F2203}"/>
    <cellStyle name="Normal 91 5" xfId="10320" xr:uid="{00000000-0005-0000-0000-0000D52A0000}"/>
    <cellStyle name="Normal 91 5 2" xfId="19126" xr:uid="{AF588BA7-1178-4806-8567-5FFC52243F22}"/>
    <cellStyle name="Normal 91 6" xfId="8718" xr:uid="{00000000-0005-0000-0000-0000D62A0000}"/>
    <cellStyle name="Normal 91 6 2" xfId="17527" xr:uid="{637A0153-DD12-4754-B7B2-7BD9BCABDB70}"/>
    <cellStyle name="Normal 91 7" xfId="11930" xr:uid="{00000000-0005-0000-0000-0000D72A0000}"/>
    <cellStyle name="Normal 91 7 2" xfId="20673" xr:uid="{ACC464E1-B593-4562-A9D4-33FB5E5D406D}"/>
    <cellStyle name="Normal 91 8" xfId="13537" xr:uid="{00000000-0005-0000-0000-0000D82A0000}"/>
    <cellStyle name="Normal 91 8 2" xfId="22273" xr:uid="{DDB6117A-3A47-433A-9CC9-8B7EE6BF29B2}"/>
    <cellStyle name="Normal 91 9" xfId="15766" xr:uid="{D77E37E1-197D-4909-BECF-37FF417F4CA2}"/>
    <cellStyle name="Normal 92" xfId="3811" xr:uid="{00000000-0005-0000-0000-0000D92A0000}"/>
    <cellStyle name="Normal 92 2" xfId="3812" xr:uid="{00000000-0005-0000-0000-0000DA2A0000}"/>
    <cellStyle name="Normal 92 2 2" xfId="10325" xr:uid="{00000000-0005-0000-0000-0000DB2A0000}"/>
    <cellStyle name="Normal 92 2 2 2" xfId="19131" xr:uid="{DFA1CDA6-986C-45A3-BA21-17EAD13E5887}"/>
    <cellStyle name="Normal 92 2 3" xfId="8723" xr:uid="{00000000-0005-0000-0000-0000DC2A0000}"/>
    <cellStyle name="Normal 92 2 3 2" xfId="17532" xr:uid="{F1A572B0-D058-4497-BB6A-349CC68229DA}"/>
    <cellStyle name="Normal 92 2 4" xfId="11935" xr:uid="{00000000-0005-0000-0000-0000DD2A0000}"/>
    <cellStyle name="Normal 92 2 4 2" xfId="20678" xr:uid="{8178DF89-32D4-4F70-ACBD-A8F070CF6895}"/>
    <cellStyle name="Normal 92 2 5" xfId="13542" xr:uid="{00000000-0005-0000-0000-0000DE2A0000}"/>
    <cellStyle name="Normal 92 2 5 2" xfId="22278" xr:uid="{70843846-DB14-42C9-9BBC-C45B29303AFF}"/>
    <cellStyle name="Normal 92 2 6" xfId="15771" xr:uid="{C3CAAB36-26F9-42CA-A50E-68663C68BAA5}"/>
    <cellStyle name="Normal 92 3" xfId="3813" xr:uid="{00000000-0005-0000-0000-0000DF2A0000}"/>
    <cellStyle name="Normal 92 3 2" xfId="10326" xr:uid="{00000000-0005-0000-0000-0000E02A0000}"/>
    <cellStyle name="Normal 92 3 2 2" xfId="19132" xr:uid="{6CF894CD-1949-43DC-B387-90070D330394}"/>
    <cellStyle name="Normal 92 3 3" xfId="8724" xr:uid="{00000000-0005-0000-0000-0000E12A0000}"/>
    <cellStyle name="Normal 92 3 3 2" xfId="17533" xr:uid="{FF892146-ED5C-42EF-A6DB-32624A0047C5}"/>
    <cellStyle name="Normal 92 3 4" xfId="11936" xr:uid="{00000000-0005-0000-0000-0000E22A0000}"/>
    <cellStyle name="Normal 92 3 4 2" xfId="20679" xr:uid="{0AEEF5C4-6E9A-4B04-94DA-653E5083E6C1}"/>
    <cellStyle name="Normal 92 3 5" xfId="13543" xr:uid="{00000000-0005-0000-0000-0000E32A0000}"/>
    <cellStyle name="Normal 92 3 5 2" xfId="22279" xr:uid="{DB7C0490-0C10-4043-AB87-01D07C654934}"/>
    <cellStyle name="Normal 92 3 6" xfId="15772" xr:uid="{8A44DAFC-D983-4AB8-85A8-AE4809AF5C53}"/>
    <cellStyle name="Normal 92 4" xfId="3814" xr:uid="{00000000-0005-0000-0000-0000E42A0000}"/>
    <cellStyle name="Normal 92 4 2" xfId="10327" xr:uid="{00000000-0005-0000-0000-0000E52A0000}"/>
    <cellStyle name="Normal 92 4 2 2" xfId="19133" xr:uid="{187F9DBC-4A20-4839-9842-871AC57787AB}"/>
    <cellStyle name="Normal 92 4 3" xfId="8725" xr:uid="{00000000-0005-0000-0000-0000E62A0000}"/>
    <cellStyle name="Normal 92 4 3 2" xfId="17534" xr:uid="{15A62028-6525-4191-90D2-D81372010D42}"/>
    <cellStyle name="Normal 92 4 4" xfId="11937" xr:uid="{00000000-0005-0000-0000-0000E72A0000}"/>
    <cellStyle name="Normal 92 4 4 2" xfId="20680" xr:uid="{BA58F88F-1F23-4E7B-B3BC-6834B609432F}"/>
    <cellStyle name="Normal 92 4 5" xfId="13544" xr:uid="{00000000-0005-0000-0000-0000E82A0000}"/>
    <cellStyle name="Normal 92 4 5 2" xfId="22280" xr:uid="{EF5E901E-2078-42FF-9EA6-EE834596987D}"/>
    <cellStyle name="Normal 92 4 6" xfId="15773" xr:uid="{0A31ABA8-4D2B-4406-BF8B-97F2A1FDB00E}"/>
    <cellStyle name="Normal 92 5" xfId="10324" xr:uid="{00000000-0005-0000-0000-0000E92A0000}"/>
    <cellStyle name="Normal 92 5 2" xfId="19130" xr:uid="{689F6815-BD70-434B-B0FB-ADFA5635D3C1}"/>
    <cellStyle name="Normal 92 6" xfId="8722" xr:uid="{00000000-0005-0000-0000-0000EA2A0000}"/>
    <cellStyle name="Normal 92 6 2" xfId="17531" xr:uid="{3256B836-2B34-4A14-A875-9083FE104794}"/>
    <cellStyle name="Normal 92 7" xfId="11934" xr:uid="{00000000-0005-0000-0000-0000EB2A0000}"/>
    <cellStyle name="Normal 92 7 2" xfId="20677" xr:uid="{43F61310-D615-49A4-B319-6FF86237E8C4}"/>
    <cellStyle name="Normal 92 8" xfId="13541" xr:uid="{00000000-0005-0000-0000-0000EC2A0000}"/>
    <cellStyle name="Normal 92 8 2" xfId="22277" xr:uid="{DE7678FC-745F-43F4-A4D8-3C2B0E696EE8}"/>
    <cellStyle name="Normal 92 9" xfId="15770" xr:uid="{48E7B6B8-DC18-43D0-A8DD-C726DEBA2192}"/>
    <cellStyle name="Normal 93" xfId="3815" xr:uid="{00000000-0005-0000-0000-0000ED2A0000}"/>
    <cellStyle name="Normal 93 2" xfId="3816" xr:uid="{00000000-0005-0000-0000-0000EE2A0000}"/>
    <cellStyle name="Normal 93 2 2" xfId="10329" xr:uid="{00000000-0005-0000-0000-0000EF2A0000}"/>
    <cellStyle name="Normal 93 2 2 2" xfId="19135" xr:uid="{352F62E7-424C-4FD5-AFBA-A7C58DBB49E5}"/>
    <cellStyle name="Normal 93 2 3" xfId="8727" xr:uid="{00000000-0005-0000-0000-0000F02A0000}"/>
    <cellStyle name="Normal 93 2 3 2" xfId="17536" xr:uid="{31D98AD2-7141-4EBE-B3AD-7031513B3650}"/>
    <cellStyle name="Normal 93 2 4" xfId="11939" xr:uid="{00000000-0005-0000-0000-0000F12A0000}"/>
    <cellStyle name="Normal 93 2 4 2" xfId="20682" xr:uid="{A2B33E61-BDAF-4ABC-AF0C-3B0418181AF3}"/>
    <cellStyle name="Normal 93 2 5" xfId="13546" xr:uid="{00000000-0005-0000-0000-0000F22A0000}"/>
    <cellStyle name="Normal 93 2 5 2" xfId="22282" xr:uid="{FA8666F4-85AA-4776-B8D7-7B0C2DD1A756}"/>
    <cellStyle name="Normal 93 2 6" xfId="15775" xr:uid="{73C43A0A-342A-4811-81C6-186758C8C8A9}"/>
    <cellStyle name="Normal 93 3" xfId="3817" xr:uid="{00000000-0005-0000-0000-0000F32A0000}"/>
    <cellStyle name="Normal 93 3 2" xfId="10330" xr:uid="{00000000-0005-0000-0000-0000F42A0000}"/>
    <cellStyle name="Normal 93 3 2 2" xfId="19136" xr:uid="{C7C75B61-A2BA-45E7-A0DD-CCC791663761}"/>
    <cellStyle name="Normal 93 3 3" xfId="8728" xr:uid="{00000000-0005-0000-0000-0000F52A0000}"/>
    <cellStyle name="Normal 93 3 3 2" xfId="17537" xr:uid="{7D8FD5E8-5BB9-4B85-AFCD-26BD6610AF58}"/>
    <cellStyle name="Normal 93 3 4" xfId="11940" xr:uid="{00000000-0005-0000-0000-0000F62A0000}"/>
    <cellStyle name="Normal 93 3 4 2" xfId="20683" xr:uid="{D2D19437-8369-4A93-918D-C281D41D5EC4}"/>
    <cellStyle name="Normal 93 3 5" xfId="13547" xr:uid="{00000000-0005-0000-0000-0000F72A0000}"/>
    <cellStyle name="Normal 93 3 5 2" xfId="22283" xr:uid="{28EC4F5A-BB16-4582-9184-0EEAD674F542}"/>
    <cellStyle name="Normal 93 3 6" xfId="15776" xr:uid="{6E707069-68E2-460F-A5FB-38F9A509FDB1}"/>
    <cellStyle name="Normal 93 4" xfId="3818" xr:uid="{00000000-0005-0000-0000-0000F82A0000}"/>
    <cellStyle name="Normal 93 4 2" xfId="10331" xr:uid="{00000000-0005-0000-0000-0000F92A0000}"/>
    <cellStyle name="Normal 93 4 2 2" xfId="19137" xr:uid="{8A16CE4E-E6A5-436F-BC8E-9E4AE4B9D3DF}"/>
    <cellStyle name="Normal 93 4 3" xfId="8729" xr:uid="{00000000-0005-0000-0000-0000FA2A0000}"/>
    <cellStyle name="Normal 93 4 3 2" xfId="17538" xr:uid="{FFDE41D6-79F6-41E0-B066-4FD7856831A0}"/>
    <cellStyle name="Normal 93 4 4" xfId="11941" xr:uid="{00000000-0005-0000-0000-0000FB2A0000}"/>
    <cellStyle name="Normal 93 4 4 2" xfId="20684" xr:uid="{5B4D8D22-7707-42ED-852F-BCEFFAC48C15}"/>
    <cellStyle name="Normal 93 4 5" xfId="13548" xr:uid="{00000000-0005-0000-0000-0000FC2A0000}"/>
    <cellStyle name="Normal 93 4 5 2" xfId="22284" xr:uid="{CBC4753C-350F-4830-BF34-6348EF5D0809}"/>
    <cellStyle name="Normal 93 4 6" xfId="15777" xr:uid="{A2268B65-0679-45D3-A580-E1B466173EED}"/>
    <cellStyle name="Normal 93 5" xfId="10328" xr:uid="{00000000-0005-0000-0000-0000FD2A0000}"/>
    <cellStyle name="Normal 93 5 2" xfId="19134" xr:uid="{518B4A51-E625-4490-A15D-085EE0CDC3A5}"/>
    <cellStyle name="Normal 93 6" xfId="8726" xr:uid="{00000000-0005-0000-0000-0000FE2A0000}"/>
    <cellStyle name="Normal 93 6 2" xfId="17535" xr:uid="{42350C70-11FA-499C-92A8-4DF66C6821D7}"/>
    <cellStyle name="Normal 93 7" xfId="11938" xr:uid="{00000000-0005-0000-0000-0000FF2A0000}"/>
    <cellStyle name="Normal 93 7 2" xfId="20681" xr:uid="{7749EA51-C92E-4F65-913E-5240F9F524BD}"/>
    <cellStyle name="Normal 93 8" xfId="13545" xr:uid="{00000000-0005-0000-0000-0000002B0000}"/>
    <cellStyle name="Normal 93 8 2" xfId="22281" xr:uid="{5DD92C8E-1A7C-48A4-A178-A877CBB53A3D}"/>
    <cellStyle name="Normal 93 9" xfId="15774" xr:uid="{4783DD17-68B8-465C-955C-01BFE1EC340C}"/>
    <cellStyle name="Normal 94" xfId="3819" xr:uid="{00000000-0005-0000-0000-0000012B0000}"/>
    <cellStyle name="Normal 95" xfId="3820" xr:uid="{00000000-0005-0000-0000-0000022B0000}"/>
    <cellStyle name="Normal 95 2" xfId="3821" xr:uid="{00000000-0005-0000-0000-0000032B0000}"/>
    <cellStyle name="Normal 95 2 2" xfId="3822" xr:uid="{00000000-0005-0000-0000-0000042B0000}"/>
    <cellStyle name="Normal 95 2 2 2" xfId="3823" xr:uid="{00000000-0005-0000-0000-0000052B0000}"/>
    <cellStyle name="Normal 95 2 2 3" xfId="3824" xr:uid="{00000000-0005-0000-0000-0000062B0000}"/>
    <cellStyle name="Normal 95 2 2 4" xfId="3825" xr:uid="{00000000-0005-0000-0000-0000072B0000}"/>
    <cellStyle name="Normal 95 2 3" xfId="3826" xr:uid="{00000000-0005-0000-0000-0000082B0000}"/>
    <cellStyle name="Normal 95 2 4" xfId="3827" xr:uid="{00000000-0005-0000-0000-0000092B0000}"/>
    <cellStyle name="Normal 95 3" xfId="3828" xr:uid="{00000000-0005-0000-0000-00000A2B0000}"/>
    <cellStyle name="Normal 95 4" xfId="3829" xr:uid="{00000000-0005-0000-0000-00000B2B0000}"/>
    <cellStyle name="Normal 95 5" xfId="3830" xr:uid="{00000000-0005-0000-0000-00000C2B0000}"/>
    <cellStyle name="Normal 95 6" xfId="3831" xr:uid="{00000000-0005-0000-0000-00000D2B0000}"/>
    <cellStyle name="Normal 95 7" xfId="3832" xr:uid="{00000000-0005-0000-0000-00000E2B0000}"/>
    <cellStyle name="Normal 96" xfId="3833" xr:uid="{00000000-0005-0000-0000-00000F2B0000}"/>
    <cellStyle name="Normal 96 2" xfId="3834" xr:uid="{00000000-0005-0000-0000-0000102B0000}"/>
    <cellStyle name="Normal 96 2 2" xfId="10333" xr:uid="{00000000-0005-0000-0000-0000112B0000}"/>
    <cellStyle name="Normal 96 2 2 2" xfId="19139" xr:uid="{E999885C-B825-4C58-A645-3504A715197E}"/>
    <cellStyle name="Normal 96 2 3" xfId="8731" xr:uid="{00000000-0005-0000-0000-0000122B0000}"/>
    <cellStyle name="Normal 96 2 3 2" xfId="17540" xr:uid="{619F21A7-7022-4F67-96A9-83255A5EA717}"/>
    <cellStyle name="Normal 96 2 4" xfId="11943" xr:uid="{00000000-0005-0000-0000-0000132B0000}"/>
    <cellStyle name="Normal 96 2 4 2" xfId="20686" xr:uid="{48251F5F-6CDB-40FD-8076-D141975FC86C}"/>
    <cellStyle name="Normal 96 2 5" xfId="13550" xr:uid="{00000000-0005-0000-0000-0000142B0000}"/>
    <cellStyle name="Normal 96 2 5 2" xfId="22286" xr:uid="{76272440-7D99-4B2C-9DFD-139FECC029FC}"/>
    <cellStyle name="Normal 96 2 6" xfId="15779" xr:uid="{109933BB-6388-4583-80BF-C9A15495F0D5}"/>
    <cellStyle name="Normal 96 3" xfId="3835" xr:uid="{00000000-0005-0000-0000-0000152B0000}"/>
    <cellStyle name="Normal 96 3 2" xfId="10334" xr:uid="{00000000-0005-0000-0000-0000162B0000}"/>
    <cellStyle name="Normal 96 3 2 2" xfId="19140" xr:uid="{38B53B5C-1198-44BC-9D57-DDB7F150CBC4}"/>
    <cellStyle name="Normal 96 3 3" xfId="8732" xr:uid="{00000000-0005-0000-0000-0000172B0000}"/>
    <cellStyle name="Normal 96 3 3 2" xfId="17541" xr:uid="{6386666D-1311-43F2-89C1-167474C9DC61}"/>
    <cellStyle name="Normal 96 3 4" xfId="11944" xr:uid="{00000000-0005-0000-0000-0000182B0000}"/>
    <cellStyle name="Normal 96 3 4 2" xfId="20687" xr:uid="{A916F623-C23F-4387-B2DB-BF7543AB92BA}"/>
    <cellStyle name="Normal 96 3 5" xfId="13551" xr:uid="{00000000-0005-0000-0000-0000192B0000}"/>
    <cellStyle name="Normal 96 3 5 2" xfId="22287" xr:uid="{D554C0A9-9829-432A-A2B6-718FBC2CA4B5}"/>
    <cellStyle name="Normal 96 3 6" xfId="15780" xr:uid="{E6F2AF7A-645B-4E6E-AEA0-08095C957C1B}"/>
    <cellStyle name="Normal 96 4" xfId="3836" xr:uid="{00000000-0005-0000-0000-00001A2B0000}"/>
    <cellStyle name="Normal 96 4 2" xfId="10335" xr:uid="{00000000-0005-0000-0000-00001B2B0000}"/>
    <cellStyle name="Normal 96 4 2 2" xfId="19141" xr:uid="{1C369828-1DCB-4D55-9E79-34C8EF05E909}"/>
    <cellStyle name="Normal 96 4 3" xfId="8733" xr:uid="{00000000-0005-0000-0000-00001C2B0000}"/>
    <cellStyle name="Normal 96 4 3 2" xfId="17542" xr:uid="{E156ADD3-5D00-4D8A-AB0C-C8FF1B54B3B4}"/>
    <cellStyle name="Normal 96 4 4" xfId="11945" xr:uid="{00000000-0005-0000-0000-00001D2B0000}"/>
    <cellStyle name="Normal 96 4 4 2" xfId="20688" xr:uid="{63000F82-2A9D-40AE-8C87-76BE236AD5AC}"/>
    <cellStyle name="Normal 96 4 5" xfId="13552" xr:uid="{00000000-0005-0000-0000-00001E2B0000}"/>
    <cellStyle name="Normal 96 4 5 2" xfId="22288" xr:uid="{CA93EB28-5D19-4107-ADD4-05166E7485CD}"/>
    <cellStyle name="Normal 96 4 6" xfId="15781" xr:uid="{D198EFC8-3E6E-4868-B95C-44D55B064567}"/>
    <cellStyle name="Normal 96 5" xfId="10332" xr:uid="{00000000-0005-0000-0000-00001F2B0000}"/>
    <cellStyle name="Normal 96 5 2" xfId="19138" xr:uid="{DA93E158-A78C-4AD2-A6DC-69A7B8763837}"/>
    <cellStyle name="Normal 96 6" xfId="8730" xr:uid="{00000000-0005-0000-0000-0000202B0000}"/>
    <cellStyle name="Normal 96 6 2" xfId="17539" xr:uid="{763A95D5-5897-40C9-981C-54B1E5CEB459}"/>
    <cellStyle name="Normal 96 7" xfId="11942" xr:uid="{00000000-0005-0000-0000-0000212B0000}"/>
    <cellStyle name="Normal 96 7 2" xfId="20685" xr:uid="{FDA397C1-E8AF-47BB-8F72-4BF1823DDE28}"/>
    <cellStyle name="Normal 96 8" xfId="13549" xr:uid="{00000000-0005-0000-0000-0000222B0000}"/>
    <cellStyle name="Normal 96 8 2" xfId="22285" xr:uid="{8392EC26-D60A-4FEB-9E95-DA959583D44E}"/>
    <cellStyle name="Normal 96 9" xfId="15778" xr:uid="{B6B0E3E1-59A1-41C5-9944-3E8396E9ED64}"/>
    <cellStyle name="Normal 97" xfId="3837" xr:uid="{00000000-0005-0000-0000-0000232B0000}"/>
    <cellStyle name="Normal 97 2" xfId="3838" xr:uid="{00000000-0005-0000-0000-0000242B0000}"/>
    <cellStyle name="Normal 97 2 2" xfId="10337" xr:uid="{00000000-0005-0000-0000-0000252B0000}"/>
    <cellStyle name="Normal 97 2 2 2" xfId="19143" xr:uid="{05BA5289-5C39-49A0-B390-4BC0B3783A4F}"/>
    <cellStyle name="Normal 97 2 3" xfId="8735" xr:uid="{00000000-0005-0000-0000-0000262B0000}"/>
    <cellStyle name="Normal 97 2 3 2" xfId="17544" xr:uid="{0E1ABF84-35E3-4C05-B2A7-5E822E2582C1}"/>
    <cellStyle name="Normal 97 2 4" xfId="11947" xr:uid="{00000000-0005-0000-0000-0000272B0000}"/>
    <cellStyle name="Normal 97 2 4 2" xfId="20690" xr:uid="{FDD80EA7-D463-4594-9F7E-68327D0BC492}"/>
    <cellStyle name="Normal 97 2 5" xfId="13554" xr:uid="{00000000-0005-0000-0000-0000282B0000}"/>
    <cellStyle name="Normal 97 2 5 2" xfId="22290" xr:uid="{CBC9ECDD-5277-4520-872C-5EB560AE2FC6}"/>
    <cellStyle name="Normal 97 2 6" xfId="15783" xr:uid="{3AD4B4F4-4EB5-4914-A96D-1DD8B440B834}"/>
    <cellStyle name="Normal 97 3" xfId="3839" xr:uid="{00000000-0005-0000-0000-0000292B0000}"/>
    <cellStyle name="Normal 97 3 2" xfId="10338" xr:uid="{00000000-0005-0000-0000-00002A2B0000}"/>
    <cellStyle name="Normal 97 3 2 2" xfId="19144" xr:uid="{65002C8A-0230-4B49-933E-720334EA56EC}"/>
    <cellStyle name="Normal 97 3 3" xfId="8736" xr:uid="{00000000-0005-0000-0000-00002B2B0000}"/>
    <cellStyle name="Normal 97 3 3 2" xfId="17545" xr:uid="{8CFD79CE-06BF-418C-A8CC-7DE4381ADB01}"/>
    <cellStyle name="Normal 97 3 4" xfId="11948" xr:uid="{00000000-0005-0000-0000-00002C2B0000}"/>
    <cellStyle name="Normal 97 3 4 2" xfId="20691" xr:uid="{DB0CD995-7013-46A3-878E-E9F17D458971}"/>
    <cellStyle name="Normal 97 3 5" xfId="13555" xr:uid="{00000000-0005-0000-0000-00002D2B0000}"/>
    <cellStyle name="Normal 97 3 5 2" xfId="22291" xr:uid="{C27C3865-5EE3-4237-BEA0-24B0DF58BC47}"/>
    <cellStyle name="Normal 97 3 6" xfId="15784" xr:uid="{DC127968-8AA8-4B7C-8020-889B351D9D53}"/>
    <cellStyle name="Normal 97 4" xfId="3840" xr:uid="{00000000-0005-0000-0000-00002E2B0000}"/>
    <cellStyle name="Normal 97 4 2" xfId="10339" xr:uid="{00000000-0005-0000-0000-00002F2B0000}"/>
    <cellStyle name="Normal 97 4 2 2" xfId="19145" xr:uid="{3B682DF6-79C0-40A5-AAAF-909762C9C5B0}"/>
    <cellStyle name="Normal 97 4 3" xfId="8737" xr:uid="{00000000-0005-0000-0000-0000302B0000}"/>
    <cellStyle name="Normal 97 4 3 2" xfId="17546" xr:uid="{B3DC8B0C-4745-4FD3-9A0E-1AE1768181CB}"/>
    <cellStyle name="Normal 97 4 4" xfId="11949" xr:uid="{00000000-0005-0000-0000-0000312B0000}"/>
    <cellStyle name="Normal 97 4 4 2" xfId="20692" xr:uid="{284513AE-80C6-4D16-B94F-1BF92489CC67}"/>
    <cellStyle name="Normal 97 4 5" xfId="13556" xr:uid="{00000000-0005-0000-0000-0000322B0000}"/>
    <cellStyle name="Normal 97 4 5 2" xfId="22292" xr:uid="{6FD44444-0996-4D7E-966F-6D18BC27A081}"/>
    <cellStyle name="Normal 97 4 6" xfId="15785" xr:uid="{FB079518-D9C0-46AA-A614-DFD96898107D}"/>
    <cellStyle name="Normal 97 5" xfId="10336" xr:uid="{00000000-0005-0000-0000-0000332B0000}"/>
    <cellStyle name="Normal 97 5 2" xfId="19142" xr:uid="{69B803CC-9063-410B-A1EA-B46F9A14185E}"/>
    <cellStyle name="Normal 97 6" xfId="8734" xr:uid="{00000000-0005-0000-0000-0000342B0000}"/>
    <cellStyle name="Normal 97 6 2" xfId="17543" xr:uid="{92E11DDC-530D-410D-91FB-0030FAEC86EB}"/>
    <cellStyle name="Normal 97 7" xfId="11946" xr:uid="{00000000-0005-0000-0000-0000352B0000}"/>
    <cellStyle name="Normal 97 7 2" xfId="20689" xr:uid="{53836D6B-2706-4533-B9FB-94B8A97720D5}"/>
    <cellStyle name="Normal 97 8" xfId="13553" xr:uid="{00000000-0005-0000-0000-0000362B0000}"/>
    <cellStyle name="Normal 97 8 2" xfId="22289" xr:uid="{FD564DB8-FC91-4176-A8CC-E32665BD810D}"/>
    <cellStyle name="Normal 97 9" xfId="15782" xr:uid="{05816533-01CA-4242-B0A1-E3966BCDCAF7}"/>
    <cellStyle name="Normal 98" xfId="3841" xr:uid="{00000000-0005-0000-0000-0000372B0000}"/>
    <cellStyle name="Normal 98 2" xfId="3842" xr:uid="{00000000-0005-0000-0000-0000382B0000}"/>
    <cellStyle name="Normal 98 2 2" xfId="10341" xr:uid="{00000000-0005-0000-0000-0000392B0000}"/>
    <cellStyle name="Normal 98 2 2 2" xfId="19147" xr:uid="{DF9FFD22-FDDB-4E04-9F1D-AC2A74481FAD}"/>
    <cellStyle name="Normal 98 2 3" xfId="8739" xr:uid="{00000000-0005-0000-0000-00003A2B0000}"/>
    <cellStyle name="Normal 98 2 3 2" xfId="17548" xr:uid="{3F8DA386-C417-4509-9D8C-15352E23EE34}"/>
    <cellStyle name="Normal 98 2 4" xfId="11951" xr:uid="{00000000-0005-0000-0000-00003B2B0000}"/>
    <cellStyle name="Normal 98 2 4 2" xfId="20694" xr:uid="{46B726AF-BAF0-4EF0-B6BB-9E1639455E79}"/>
    <cellStyle name="Normal 98 2 5" xfId="13558" xr:uid="{00000000-0005-0000-0000-00003C2B0000}"/>
    <cellStyle name="Normal 98 2 5 2" xfId="22294" xr:uid="{D763EBE5-B197-4165-AA4B-A27B7F249DEF}"/>
    <cellStyle name="Normal 98 2 6" xfId="15787" xr:uid="{F5E8F30B-C188-4453-BE51-9779D28756D6}"/>
    <cellStyle name="Normal 98 3" xfId="3843" xr:uid="{00000000-0005-0000-0000-00003D2B0000}"/>
    <cellStyle name="Normal 98 3 2" xfId="10342" xr:uid="{00000000-0005-0000-0000-00003E2B0000}"/>
    <cellStyle name="Normal 98 3 2 2" xfId="19148" xr:uid="{0351156E-518F-498B-BF38-527E44BBCCC9}"/>
    <cellStyle name="Normal 98 3 3" xfId="8740" xr:uid="{00000000-0005-0000-0000-00003F2B0000}"/>
    <cellStyle name="Normal 98 3 3 2" xfId="17549" xr:uid="{B04F52A4-0B8F-422E-9393-C8DA03CFCB6F}"/>
    <cellStyle name="Normal 98 3 4" xfId="11952" xr:uid="{00000000-0005-0000-0000-0000402B0000}"/>
    <cellStyle name="Normal 98 3 4 2" xfId="20695" xr:uid="{92BCB4D5-A806-4895-9B59-C97BD7223D93}"/>
    <cellStyle name="Normal 98 3 5" xfId="13559" xr:uid="{00000000-0005-0000-0000-0000412B0000}"/>
    <cellStyle name="Normal 98 3 5 2" xfId="22295" xr:uid="{D77F497E-95EB-487B-A941-F590A89FE452}"/>
    <cellStyle name="Normal 98 3 6" xfId="15788" xr:uid="{DFE202D0-6073-475B-B64E-131E693228A4}"/>
    <cellStyle name="Normal 98 4" xfId="3844" xr:uid="{00000000-0005-0000-0000-0000422B0000}"/>
    <cellStyle name="Normal 98 4 2" xfId="10343" xr:uid="{00000000-0005-0000-0000-0000432B0000}"/>
    <cellStyle name="Normal 98 4 2 2" xfId="19149" xr:uid="{EE84FFAA-F183-43AD-B99D-1CB6348FCB70}"/>
    <cellStyle name="Normal 98 4 3" xfId="8741" xr:uid="{00000000-0005-0000-0000-0000442B0000}"/>
    <cellStyle name="Normal 98 4 3 2" xfId="17550" xr:uid="{3B9384E7-D1D6-4968-8128-73276A52C3F1}"/>
    <cellStyle name="Normal 98 4 4" xfId="11953" xr:uid="{00000000-0005-0000-0000-0000452B0000}"/>
    <cellStyle name="Normal 98 4 4 2" xfId="20696" xr:uid="{1CA3FAE5-0A82-4C8A-944D-0B9077367685}"/>
    <cellStyle name="Normal 98 4 5" xfId="13560" xr:uid="{00000000-0005-0000-0000-0000462B0000}"/>
    <cellStyle name="Normal 98 4 5 2" xfId="22296" xr:uid="{F2843255-A28D-4A2A-986D-F81F065919F0}"/>
    <cellStyle name="Normal 98 4 6" xfId="15789" xr:uid="{EDBD801B-67F3-4607-B363-EF54CAB53E45}"/>
    <cellStyle name="Normal 98 5" xfId="10340" xr:uid="{00000000-0005-0000-0000-0000472B0000}"/>
    <cellStyle name="Normal 98 5 2" xfId="19146" xr:uid="{7F7C72C8-93B8-4565-BBD2-E57350EAE231}"/>
    <cellStyle name="Normal 98 6" xfId="8738" xr:uid="{00000000-0005-0000-0000-0000482B0000}"/>
    <cellStyle name="Normal 98 6 2" xfId="17547" xr:uid="{C08E6586-7B08-47A4-A0E2-C8866F71CB2F}"/>
    <cellStyle name="Normal 98 7" xfId="11950" xr:uid="{00000000-0005-0000-0000-0000492B0000}"/>
    <cellStyle name="Normal 98 7 2" xfId="20693" xr:uid="{93CAB2CE-4FCC-4962-9B9B-F99A4140A070}"/>
    <cellStyle name="Normal 98 8" xfId="13557" xr:uid="{00000000-0005-0000-0000-00004A2B0000}"/>
    <cellStyle name="Normal 98 8 2" xfId="22293" xr:uid="{5FFF4DAD-3EC6-4930-A8B1-9B8725796451}"/>
    <cellStyle name="Normal 98 9" xfId="15786" xr:uid="{76407DB2-6B1E-4AFE-B282-2FE0D910949C}"/>
    <cellStyle name="Normal 99" xfId="3845" xr:uid="{00000000-0005-0000-0000-00004B2B0000}"/>
    <cellStyle name="Normal 99 2" xfId="3846" xr:uid="{00000000-0005-0000-0000-00004C2B0000}"/>
    <cellStyle name="Normal 99 2 2" xfId="10345" xr:uid="{00000000-0005-0000-0000-00004D2B0000}"/>
    <cellStyle name="Normal 99 2 2 2" xfId="19151" xr:uid="{BF55D3EC-FA28-4030-B2AB-E7A0CF42B623}"/>
    <cellStyle name="Normal 99 2 3" xfId="8743" xr:uid="{00000000-0005-0000-0000-00004E2B0000}"/>
    <cellStyle name="Normal 99 2 3 2" xfId="17552" xr:uid="{D6CABFA7-BA5C-4F17-97B9-34A54BFDEDD8}"/>
    <cellStyle name="Normal 99 2 4" xfId="11955" xr:uid="{00000000-0005-0000-0000-00004F2B0000}"/>
    <cellStyle name="Normal 99 2 4 2" xfId="20698" xr:uid="{E508F0D6-EFC5-47C9-97E3-583D4B1E7711}"/>
    <cellStyle name="Normal 99 2 5" xfId="13562" xr:uid="{00000000-0005-0000-0000-0000502B0000}"/>
    <cellStyle name="Normal 99 2 5 2" xfId="22298" xr:uid="{7152745D-9877-45E2-9DBE-05E3E6C42D19}"/>
    <cellStyle name="Normal 99 2 6" xfId="15791" xr:uid="{89B8E9F0-7E23-41F6-A478-E2ACD27DF519}"/>
    <cellStyle name="Normal 99 3" xfId="3847" xr:uid="{00000000-0005-0000-0000-0000512B0000}"/>
    <cellStyle name="Normal 99 3 2" xfId="10346" xr:uid="{00000000-0005-0000-0000-0000522B0000}"/>
    <cellStyle name="Normal 99 3 2 2" xfId="19152" xr:uid="{DF45A3CE-E7D3-455D-9640-7EAFB8FC634A}"/>
    <cellStyle name="Normal 99 3 3" xfId="8744" xr:uid="{00000000-0005-0000-0000-0000532B0000}"/>
    <cellStyle name="Normal 99 3 3 2" xfId="17553" xr:uid="{C53629D3-FA65-494B-9CB3-534B1B6B8E9F}"/>
    <cellStyle name="Normal 99 3 4" xfId="11956" xr:uid="{00000000-0005-0000-0000-0000542B0000}"/>
    <cellStyle name="Normal 99 3 4 2" xfId="20699" xr:uid="{48524997-08D6-41B6-B4D6-29942C65A188}"/>
    <cellStyle name="Normal 99 3 5" xfId="13563" xr:uid="{00000000-0005-0000-0000-0000552B0000}"/>
    <cellStyle name="Normal 99 3 5 2" xfId="22299" xr:uid="{63B43400-B3A0-4991-8AE7-6A50A9942033}"/>
    <cellStyle name="Normal 99 3 6" xfId="15792" xr:uid="{28DA8AC8-B40E-4424-846A-F00C73996992}"/>
    <cellStyle name="Normal 99 4" xfId="3848" xr:uid="{00000000-0005-0000-0000-0000562B0000}"/>
    <cellStyle name="Normal 99 4 2" xfId="10347" xr:uid="{00000000-0005-0000-0000-0000572B0000}"/>
    <cellStyle name="Normal 99 4 2 2" xfId="19153" xr:uid="{01A06779-7855-4E2C-B031-5283E04D865C}"/>
    <cellStyle name="Normal 99 4 3" xfId="8745" xr:uid="{00000000-0005-0000-0000-0000582B0000}"/>
    <cellStyle name="Normal 99 4 3 2" xfId="17554" xr:uid="{261E12BF-0C28-4772-B29D-527BD0667E7F}"/>
    <cellStyle name="Normal 99 4 4" xfId="11957" xr:uid="{00000000-0005-0000-0000-0000592B0000}"/>
    <cellStyle name="Normal 99 4 4 2" xfId="20700" xr:uid="{F56836A5-B95D-48B6-9B3D-091EB542279E}"/>
    <cellStyle name="Normal 99 4 5" xfId="13564" xr:uid="{00000000-0005-0000-0000-00005A2B0000}"/>
    <cellStyle name="Normal 99 4 5 2" xfId="22300" xr:uid="{B7129C76-0BA5-4F4C-A6D9-7CE898CEE525}"/>
    <cellStyle name="Normal 99 4 6" xfId="15793" xr:uid="{4400B7A6-5E54-447B-B15F-130EA089D13C}"/>
    <cellStyle name="Normal 99 5" xfId="10344" xr:uid="{00000000-0005-0000-0000-00005B2B0000}"/>
    <cellStyle name="Normal 99 5 2" xfId="19150" xr:uid="{A5F4F790-CE09-4A59-9840-CE084A053AB9}"/>
    <cellStyle name="Normal 99 6" xfId="8742" xr:uid="{00000000-0005-0000-0000-00005C2B0000}"/>
    <cellStyle name="Normal 99 6 2" xfId="17551" xr:uid="{3B1D7D7A-CDE0-4A97-87BC-8097CD4AE08C}"/>
    <cellStyle name="Normal 99 7" xfId="11954" xr:uid="{00000000-0005-0000-0000-00005D2B0000}"/>
    <cellStyle name="Normal 99 7 2" xfId="20697" xr:uid="{FABF952C-32F1-40F1-B38B-9779F8D27A09}"/>
    <cellStyle name="Normal 99 8" xfId="13561" xr:uid="{00000000-0005-0000-0000-00005E2B0000}"/>
    <cellStyle name="Normal 99 8 2" xfId="22297" xr:uid="{0C31BA9F-552E-481E-A758-87DC0A0BC4CA}"/>
    <cellStyle name="Normal 99 9" xfId="15790" xr:uid="{2D5DB14E-5C28-4EFD-BCFB-BE0FD87CC4BC}"/>
    <cellStyle name="Normal Bold" xfId="3849" xr:uid="{00000000-0005-0000-0000-00005F2B0000}"/>
    <cellStyle name="Normal Pct" xfId="3850" xr:uid="{00000000-0005-0000-0000-0000602B0000}"/>
    <cellStyle name="Normal_BOOK INFO_PUBLICO_2005_2010" xfId="9" xr:uid="{00000000-0005-0000-0000-0000612B0000}"/>
    <cellStyle name="Normal_BOOK INFO_PUBLICO_2005_2010_Book_2005_2T11emerson" xfId="13854" xr:uid="{4CC97F47-CA7D-4418-9EB0-2CC0391DAF22}"/>
    <cellStyle name="Normal_CSNA3_Proj2009" xfId="2" xr:uid="{00000000-0005-0000-0000-0000622B0000}"/>
    <cellStyle name="Normal_Macro" xfId="8" xr:uid="{00000000-0005-0000-0000-0000632B0000}"/>
    <cellStyle name="Normal_natura_PROJ2009" xfId="7" xr:uid="{00000000-0005-0000-0000-0000642B0000}"/>
    <cellStyle name="Normal_PDD 22.02.08" xfId="6" xr:uid="{00000000-0005-0000-0000-0000652B0000}"/>
    <cellStyle name="Normal_Sadia_Proj2008" xfId="5" xr:uid="{00000000-0005-0000-0000-0000662B0000}"/>
    <cellStyle name="Normal1" xfId="3851" xr:uid="{00000000-0005-0000-0000-0000672B0000}"/>
    <cellStyle name="Normal1 10" xfId="3852" xr:uid="{00000000-0005-0000-0000-0000682B0000}"/>
    <cellStyle name="Normal1 11" xfId="3853" xr:uid="{00000000-0005-0000-0000-0000692B0000}"/>
    <cellStyle name="Normal1 12" xfId="3854" xr:uid="{00000000-0005-0000-0000-00006A2B0000}"/>
    <cellStyle name="Normal1 2" xfId="3855" xr:uid="{00000000-0005-0000-0000-00006B2B0000}"/>
    <cellStyle name="Normal1 2 2" xfId="3856" xr:uid="{00000000-0005-0000-0000-00006C2B0000}"/>
    <cellStyle name="Normal1 2 3" xfId="3857" xr:uid="{00000000-0005-0000-0000-00006D2B0000}"/>
    <cellStyle name="Normal1 2 4" xfId="3858" xr:uid="{00000000-0005-0000-0000-00006E2B0000}"/>
    <cellStyle name="Normal1 2 5" xfId="3859" xr:uid="{00000000-0005-0000-0000-00006F2B0000}"/>
    <cellStyle name="Normal1 2 6" xfId="3860" xr:uid="{00000000-0005-0000-0000-0000702B0000}"/>
    <cellStyle name="Normal1 3" xfId="3861" xr:uid="{00000000-0005-0000-0000-0000712B0000}"/>
    <cellStyle name="Normal1 3 2" xfId="3862" xr:uid="{00000000-0005-0000-0000-0000722B0000}"/>
    <cellStyle name="Normal1 3 3" xfId="3863" xr:uid="{00000000-0005-0000-0000-0000732B0000}"/>
    <cellStyle name="Normal1 3 4" xfId="3864" xr:uid="{00000000-0005-0000-0000-0000742B0000}"/>
    <cellStyle name="Normal1 3 5" xfId="3865" xr:uid="{00000000-0005-0000-0000-0000752B0000}"/>
    <cellStyle name="Normal1 3 6" xfId="3866" xr:uid="{00000000-0005-0000-0000-0000762B0000}"/>
    <cellStyle name="Normal1 4" xfId="3867" xr:uid="{00000000-0005-0000-0000-0000772B0000}"/>
    <cellStyle name="Normal1 4 2" xfId="3868" xr:uid="{00000000-0005-0000-0000-0000782B0000}"/>
    <cellStyle name="Normal1 4 3" xfId="3869" xr:uid="{00000000-0005-0000-0000-0000792B0000}"/>
    <cellStyle name="Normal1 4 4" xfId="3870" xr:uid="{00000000-0005-0000-0000-00007A2B0000}"/>
    <cellStyle name="Normal1 4 5" xfId="3871" xr:uid="{00000000-0005-0000-0000-00007B2B0000}"/>
    <cellStyle name="Normal1 4 6" xfId="3872" xr:uid="{00000000-0005-0000-0000-00007C2B0000}"/>
    <cellStyle name="Normal1 5" xfId="3873" xr:uid="{00000000-0005-0000-0000-00007D2B0000}"/>
    <cellStyle name="Normal1 5 2" xfId="3874" xr:uid="{00000000-0005-0000-0000-00007E2B0000}"/>
    <cellStyle name="Normal1 5 3" xfId="3875" xr:uid="{00000000-0005-0000-0000-00007F2B0000}"/>
    <cellStyle name="Normal1 5 4" xfId="3876" xr:uid="{00000000-0005-0000-0000-0000802B0000}"/>
    <cellStyle name="Normal1 5 5" xfId="3877" xr:uid="{00000000-0005-0000-0000-0000812B0000}"/>
    <cellStyle name="Normal1 5 6" xfId="3878" xr:uid="{00000000-0005-0000-0000-0000822B0000}"/>
    <cellStyle name="Normal1 5 7" xfId="3879" xr:uid="{00000000-0005-0000-0000-0000832B0000}"/>
    <cellStyle name="Normal1 6" xfId="3880" xr:uid="{00000000-0005-0000-0000-0000842B0000}"/>
    <cellStyle name="Normal1 6 2" xfId="3881" xr:uid="{00000000-0005-0000-0000-0000852B0000}"/>
    <cellStyle name="Normal1 6 3" xfId="3882" xr:uid="{00000000-0005-0000-0000-0000862B0000}"/>
    <cellStyle name="Normal1 6 4" xfId="3883" xr:uid="{00000000-0005-0000-0000-0000872B0000}"/>
    <cellStyle name="Normal1 6 5" xfId="3884" xr:uid="{00000000-0005-0000-0000-0000882B0000}"/>
    <cellStyle name="Normal1 6 6" xfId="3885" xr:uid="{00000000-0005-0000-0000-0000892B0000}"/>
    <cellStyle name="Normal1 7" xfId="3886" xr:uid="{00000000-0005-0000-0000-00008A2B0000}"/>
    <cellStyle name="Normal1 7 2" xfId="3887" xr:uid="{00000000-0005-0000-0000-00008B2B0000}"/>
    <cellStyle name="Normal1 7 3" xfId="3888" xr:uid="{00000000-0005-0000-0000-00008C2B0000}"/>
    <cellStyle name="Normal1 7 4" xfId="3889" xr:uid="{00000000-0005-0000-0000-00008D2B0000}"/>
    <cellStyle name="Normal1 7 5" xfId="3890" xr:uid="{00000000-0005-0000-0000-00008E2B0000}"/>
    <cellStyle name="Normal1 7 6" xfId="3891" xr:uid="{00000000-0005-0000-0000-00008F2B0000}"/>
    <cellStyle name="Normal1 8" xfId="3892" xr:uid="{00000000-0005-0000-0000-0000902B0000}"/>
    <cellStyle name="Normal1 9" xfId="3893" xr:uid="{00000000-0005-0000-0000-0000912B0000}"/>
    <cellStyle name="Normal2" xfId="3894" xr:uid="{00000000-0005-0000-0000-0000922B0000}"/>
    <cellStyle name="NormalGB" xfId="5088" xr:uid="{00000000-0005-0000-0000-0000932B0000}"/>
    <cellStyle name="Nota" xfId="81" xr:uid="{00000000-0005-0000-0000-0000942B0000}"/>
    <cellStyle name="Nota 10" xfId="5568" xr:uid="{00000000-0005-0000-0000-0000952B0000}"/>
    <cellStyle name="Nota 10 2" xfId="7394" xr:uid="{00000000-0005-0000-0000-0000962B0000}"/>
    <cellStyle name="Nota 10 2 2" xfId="14786" xr:uid="{35A2A64D-C2EB-4EBD-822B-49A799CC4304}"/>
    <cellStyle name="Nota 10 3" xfId="14121" xr:uid="{60DD66C8-43AF-46B6-BD9A-2C090F8AA280}"/>
    <cellStyle name="Nota 10 4" xfId="16139" xr:uid="{5A9A7EB2-DE4B-43E4-B3E1-5E7A1CE99E7E}"/>
    <cellStyle name="Nota 11" xfId="5519" xr:uid="{00000000-0005-0000-0000-0000972B0000}"/>
    <cellStyle name="Nota 11 2" xfId="14105" xr:uid="{6EC98DB2-835B-42CF-BECE-B3123CD6FD91}"/>
    <cellStyle name="Nota 11 3" xfId="22584" xr:uid="{AE7C2F2A-F04B-4C4B-903C-6E2FF73E80B7}"/>
    <cellStyle name="Nota 12" xfId="5571" xr:uid="{00000000-0005-0000-0000-0000982B0000}"/>
    <cellStyle name="Nota 12 2" xfId="14122" xr:uid="{02AD636D-C27B-45BD-8E3B-C822B1C2356F}"/>
    <cellStyle name="Nota 12 3" xfId="16143" xr:uid="{42471200-ACF5-4298-A0C7-2AA279A6D4C0}"/>
    <cellStyle name="Nota 13" xfId="5515" xr:uid="{00000000-0005-0000-0000-0000992B0000}"/>
    <cellStyle name="Nota 13 2" xfId="14102" xr:uid="{84ABAA22-90D9-4163-A22F-3CAB439692F5}"/>
    <cellStyle name="Nota 13 3" xfId="22589" xr:uid="{A4EFF3F4-02B8-4F0F-A167-3EAC4EC82DF9}"/>
    <cellStyle name="Nota 14" xfId="5623" xr:uid="{00000000-0005-0000-0000-00009A2B0000}"/>
    <cellStyle name="Nota 14 2" xfId="14140" xr:uid="{0F92C737-B585-40BF-841C-2EAA0DDA91AE}"/>
    <cellStyle name="Nota 14 3" xfId="16185" xr:uid="{D058D465-4521-4AC0-8ADF-A87B40DF7909}"/>
    <cellStyle name="Nota 15" xfId="5727" xr:uid="{00000000-0005-0000-0000-00009B2B0000}"/>
    <cellStyle name="Nota 15 2" xfId="14168" xr:uid="{2D2B6572-AC1C-47E8-B1EC-A736A74CE0C3}"/>
    <cellStyle name="Nota 15 3" xfId="14104" xr:uid="{2CA5054C-EDAE-4A81-A244-DA67A99A92D0}"/>
    <cellStyle name="Nota 16" xfId="5707" xr:uid="{00000000-0005-0000-0000-00009C2B0000}"/>
    <cellStyle name="Nota 16 2" xfId="14165" xr:uid="{D3B766FB-BFB8-4F2A-8FA2-468DAE72A5E5}"/>
    <cellStyle name="Nota 16 3" xfId="14545" xr:uid="{D9D3BDE2-0928-4C1A-9F8B-F6FCCBD54F24}"/>
    <cellStyle name="Nota 2" xfId="3895" xr:uid="{00000000-0005-0000-0000-00009D2B0000}"/>
    <cellStyle name="Nota 2 10" xfId="13965" xr:uid="{0BB2EF09-ADE4-4D25-AC7F-DF4B69E99182}"/>
    <cellStyle name="Nota 2 11" xfId="15794" xr:uid="{F4D9C9C8-4B7F-4D4D-A7BB-2A13938E7DCE}"/>
    <cellStyle name="Nota 2 12" xfId="22604" xr:uid="{08BCA171-9985-4294-A2F5-91E9BDB87920}"/>
    <cellStyle name="Nota 2 2" xfId="3896" xr:uid="{00000000-0005-0000-0000-00009E2B0000}"/>
    <cellStyle name="Nota 2 2 2" xfId="6942" xr:uid="{00000000-0005-0000-0000-00009F2B0000}"/>
    <cellStyle name="Nota 2 2 2 2" xfId="6943" xr:uid="{00000000-0005-0000-0000-0000A02B0000}"/>
    <cellStyle name="Nota 2 2 2 2 2" xfId="6944" xr:uid="{00000000-0005-0000-0000-0000A12B0000}"/>
    <cellStyle name="Nota 2 2 2 2 2 2" xfId="6945" xr:uid="{00000000-0005-0000-0000-0000A22B0000}"/>
    <cellStyle name="Nota 2 2 2 2 2 2 2" xfId="6946" xr:uid="{00000000-0005-0000-0000-0000A32B0000}"/>
    <cellStyle name="Nota 2 2 2 2 2 2 2 2" xfId="6947" xr:uid="{00000000-0005-0000-0000-0000A42B0000}"/>
    <cellStyle name="Nota 2 2 2 2 2 2 2 2 2" xfId="14626" xr:uid="{A2251B8F-0C5B-4D78-AE1A-51C55DF80A93}"/>
    <cellStyle name="Nota 2 2 2 2 2 2 2 2 3" xfId="22667" xr:uid="{E76C1B37-EEC7-4567-AF82-EF2DC7421EFC}"/>
    <cellStyle name="Nota 2 2 2 2 2 2 2 3" xfId="14625" xr:uid="{D3F30830-208F-425C-B14A-B70D548CEB29}"/>
    <cellStyle name="Nota 2 2 2 2 2 2 3" xfId="6948" xr:uid="{00000000-0005-0000-0000-0000A52B0000}"/>
    <cellStyle name="Nota 2 2 2 2 2 2 3 2" xfId="14627" xr:uid="{D1E39D72-CF6F-4C77-997B-FE8A0A8CED47}"/>
    <cellStyle name="Nota 2 2 2 2 2 2 3 3" xfId="22652" xr:uid="{B08FFE14-F81E-443C-BC5B-29BCFCF5DEA2}"/>
    <cellStyle name="Nota 2 2 2 2 2 2 4" xfId="14624" xr:uid="{2E163206-C825-41C9-BC1D-70D037826EA6}"/>
    <cellStyle name="Nota 2 2 2 2 2 2 5" xfId="22621" xr:uid="{E2572C36-295A-440E-95A6-C8C1AEB065D6}"/>
    <cellStyle name="Nota 2 2 2 2 2 3" xfId="6949" xr:uid="{00000000-0005-0000-0000-0000A62B0000}"/>
    <cellStyle name="Nota 2 2 2 2 2 3 2" xfId="6950" xr:uid="{00000000-0005-0000-0000-0000A72B0000}"/>
    <cellStyle name="Nota 2 2 2 2 2 3 2 2" xfId="14629" xr:uid="{BAED5C8E-10F5-423F-94B0-B8FDAE7070BF}"/>
    <cellStyle name="Nota 2 2 2 2 2 3 3" xfId="14628" xr:uid="{1E409F35-514C-4531-BE49-355F89F4AD38}"/>
    <cellStyle name="Nota 2 2 2 2 2 3 4" xfId="22624" xr:uid="{4772D039-AF56-4D1C-9419-798B2812C837}"/>
    <cellStyle name="Nota 2 2 2 2 2 4" xfId="14623" xr:uid="{CB98954C-F8E5-4242-A194-DB24E7140804}"/>
    <cellStyle name="Nota 2 2 2 2 3" xfId="6951" xr:uid="{00000000-0005-0000-0000-0000A82B0000}"/>
    <cellStyle name="Nota 2 2 2 2 3 2" xfId="6952" xr:uid="{00000000-0005-0000-0000-0000A92B0000}"/>
    <cellStyle name="Nota 2 2 2 2 3 2 2" xfId="14631" xr:uid="{99E0C389-000F-4213-AE7F-43A1941D513C}"/>
    <cellStyle name="Nota 2 2 2 2 3 2 3" xfId="22666" xr:uid="{A315EC5B-3D25-433B-A287-3C23048615DA}"/>
    <cellStyle name="Nota 2 2 2 2 3 3" xfId="14630" xr:uid="{2B017C45-7A79-4492-A9E8-65C91004C234}"/>
    <cellStyle name="Nota 2 2 2 2 4" xfId="14622" xr:uid="{89870FD6-BD76-4D7D-8F53-9A59D13350EE}"/>
    <cellStyle name="Nota 2 2 2 2 5" xfId="22665" xr:uid="{F3559628-A1EA-4744-A96F-AF72831B605D}"/>
    <cellStyle name="Nota 2 2 2 3" xfId="6953" xr:uid="{00000000-0005-0000-0000-0000AA2B0000}"/>
    <cellStyle name="Nota 2 2 2 3 2" xfId="14632" xr:uid="{9F40F605-0503-490B-8882-30B89EA81E9F}"/>
    <cellStyle name="Nota 2 2 2 3 3" xfId="22651" xr:uid="{4111F4B0-4DE3-415D-83BC-8C293EA75751}"/>
    <cellStyle name="Nota 2 2 2 4" xfId="6954" xr:uid="{00000000-0005-0000-0000-0000AB2B0000}"/>
    <cellStyle name="Nota 2 2 2 4 2" xfId="6955" xr:uid="{00000000-0005-0000-0000-0000AC2B0000}"/>
    <cellStyle name="Nota 2 2 2 4 2 2" xfId="14634" xr:uid="{53A16DE2-455F-4DE3-AE25-EE989CD8054A}"/>
    <cellStyle name="Nota 2 2 2 4 3" xfId="14633" xr:uid="{3F62DAE8-6BF4-4BEE-A685-78C1A2096F04}"/>
    <cellStyle name="Nota 2 2 2 4 4" xfId="22623" xr:uid="{F3B26ECE-F63E-4A4C-A38A-728975D35BEA}"/>
    <cellStyle name="Nota 2 2 2 5" xfId="14621" xr:uid="{51EA36FF-A084-4EED-8FCA-C3CAAC6CA10B}"/>
    <cellStyle name="Nota 2 2 3" xfId="6956" xr:uid="{00000000-0005-0000-0000-0000AD2B0000}"/>
    <cellStyle name="Nota 2 2 3 2" xfId="14635" xr:uid="{FF348BD6-2DBD-4349-9CFA-DB76FF904938}"/>
    <cellStyle name="Nota 2 2 4" xfId="6957" xr:uid="{00000000-0005-0000-0000-0000AE2B0000}"/>
    <cellStyle name="Nota 2 2 4 2" xfId="6958" xr:uid="{00000000-0005-0000-0000-0000AF2B0000}"/>
    <cellStyle name="Nota 2 2 4 2 2" xfId="14637" xr:uid="{7B0CB25E-EBE4-4FE1-BEF3-9BFF0699B136}"/>
    <cellStyle name="Nota 2 2 4 2 3" xfId="22650" xr:uid="{CE9AF221-E019-41F5-9BE8-85DF54B86498}"/>
    <cellStyle name="Nota 2 2 4 3" xfId="14636" xr:uid="{6EBA555E-7BAF-484E-B105-9673C15630BE}"/>
    <cellStyle name="Nota 2 2 5" xfId="6941" xr:uid="{00000000-0005-0000-0000-0000B02B0000}"/>
    <cellStyle name="Nota 2 2 5 2" xfId="16203" xr:uid="{D28FB896-30BC-4C90-BF8D-FB19FF6EF431}"/>
    <cellStyle name="Nota 2 2 6" xfId="14620" xr:uid="{F9B4DD6F-38C3-46E9-9877-3D9F637FAEC6}"/>
    <cellStyle name="Nota 2 2 7" xfId="22636" xr:uid="{DE33F028-CF52-453A-830C-24D79176BC19}"/>
    <cellStyle name="Nota 2 3" xfId="3897" xr:uid="{00000000-0005-0000-0000-0000B12B0000}"/>
    <cellStyle name="Nota 2 3 2" xfId="6959" xr:uid="{00000000-0005-0000-0000-0000B22B0000}"/>
    <cellStyle name="Nota 2 3 2 2" xfId="16204" xr:uid="{5E1C6F70-3BC2-405D-9C5D-36D470B3F14A}"/>
    <cellStyle name="Nota 2 3 3" xfId="14638" xr:uid="{EE904806-8FE7-42DF-9722-EA80D095FD9C}"/>
    <cellStyle name="Nota 2 3 4" xfId="22622" xr:uid="{A74FF275-B1C8-48D6-8B54-2D851C844880}"/>
    <cellStyle name="Nota 2 4" xfId="3898" xr:uid="{00000000-0005-0000-0000-0000B32B0000}"/>
    <cellStyle name="Nota 2 4 2" xfId="6960" xr:uid="{00000000-0005-0000-0000-0000B42B0000}"/>
    <cellStyle name="Nota 2 4 2 2" xfId="16205" xr:uid="{0C021C4E-F167-4219-957D-90012F8B5E18}"/>
    <cellStyle name="Nota 2 4 3" xfId="14639" xr:uid="{2EA1BA2A-6F2B-4B48-BF54-C40CF57EDC23}"/>
    <cellStyle name="Nota 2 4 4" xfId="22635" xr:uid="{C396E3D8-5636-4D3A-B5FD-2F875614336F}"/>
    <cellStyle name="Nota 2 5" xfId="6961" xr:uid="{00000000-0005-0000-0000-0000B52B0000}"/>
    <cellStyle name="Nota 2 5 2" xfId="14640" xr:uid="{F861F460-D3D5-403B-B881-912AEFD1B8C8}"/>
    <cellStyle name="Nota 2 5 3" xfId="14788" xr:uid="{9A785196-F7DB-4086-9E5D-A010AD6FDFD2}"/>
    <cellStyle name="Nota 2 6" xfId="6962" xr:uid="{00000000-0005-0000-0000-0000B62B0000}"/>
    <cellStyle name="Nota 2 6 2" xfId="6963" xr:uid="{00000000-0005-0000-0000-0000B72B0000}"/>
    <cellStyle name="Nota 2 6 2 2" xfId="14642" xr:uid="{3E091896-0FF0-4D5A-8C92-E25D43DC4BF7}"/>
    <cellStyle name="Nota 2 6 3" xfId="14641" xr:uid="{82000BBD-CEDE-44B9-ACCE-EB439F3C46B4}"/>
    <cellStyle name="Nota 2 6 4" xfId="14823" xr:uid="{BBA5CEAD-5A77-40AB-97AE-2FDB3021ED16}"/>
    <cellStyle name="Nota 2 7" xfId="6940" xr:uid="{00000000-0005-0000-0000-0000B82B0000}"/>
    <cellStyle name="Nota 2 7 2" xfId="14619" xr:uid="{D9390D14-5FAE-4901-A4B9-922482D1ABE8}"/>
    <cellStyle name="Nota 2 8" xfId="5089" xr:uid="{00000000-0005-0000-0000-0000B92B0000}"/>
    <cellStyle name="Nota 2 8 2" xfId="16124" xr:uid="{FBC1348C-309E-4228-9F53-B328C9FF3A58}"/>
    <cellStyle name="Nota 2 9" xfId="10534" xr:uid="{00000000-0005-0000-0000-0000BA2B0000}"/>
    <cellStyle name="Nota 2 9 2" xfId="19317" xr:uid="{08D97EC4-1155-4FF2-ABAF-70FF101F34BA}"/>
    <cellStyle name="Nota 3" xfId="3899" xr:uid="{00000000-0005-0000-0000-0000BB2B0000}"/>
    <cellStyle name="Nota 3 10" xfId="16164" xr:uid="{9DE80916-FBB8-4641-91DD-F709E884B995}"/>
    <cellStyle name="Nota 3 2" xfId="3900" xr:uid="{00000000-0005-0000-0000-0000BC2B0000}"/>
    <cellStyle name="Nota 3 2 2" xfId="6965" xr:uid="{00000000-0005-0000-0000-0000BD2B0000}"/>
    <cellStyle name="Nota 3 2 2 2" xfId="16206" xr:uid="{40634018-E268-4CCF-81F4-5E49271075A1}"/>
    <cellStyle name="Nota 3 2 3" xfId="14644" xr:uid="{3DC46D64-D84A-4C0A-93A7-FAE2EF62EB2C}"/>
    <cellStyle name="Nota 3 3" xfId="3901" xr:uid="{00000000-0005-0000-0000-0000BE2B0000}"/>
    <cellStyle name="Nota 3 3 2" xfId="6966" xr:uid="{00000000-0005-0000-0000-0000BF2B0000}"/>
    <cellStyle name="Nota 3 3 2 2" xfId="16207" xr:uid="{8C55A405-0CDE-4A02-94DC-5D8EEA530EC4}"/>
    <cellStyle name="Nota 3 3 3" xfId="14645" xr:uid="{19205641-885D-4682-8659-DBAEAFF56541}"/>
    <cellStyle name="Nota 3 4" xfId="3902" xr:uid="{00000000-0005-0000-0000-0000C02B0000}"/>
    <cellStyle name="Nota 3 4 2" xfId="6967" xr:uid="{00000000-0005-0000-0000-0000C12B0000}"/>
    <cellStyle name="Nota 3 4 2 2" xfId="16208" xr:uid="{4342439C-D852-45C6-84F4-CF6BA912FA4E}"/>
    <cellStyle name="Nota 3 4 3" xfId="14646" xr:uid="{7D930414-5D4F-45D5-B402-75ABF9C243D0}"/>
    <cellStyle name="Nota 3 5" xfId="6964" xr:uid="{00000000-0005-0000-0000-0000C22B0000}"/>
    <cellStyle name="Nota 3 5 2" xfId="14643" xr:uid="{8CCBCC24-387A-4795-87AF-3D3DCE63F263}"/>
    <cellStyle name="Nota 3 6" xfId="5301" xr:uid="{00000000-0005-0000-0000-0000C32B0000}"/>
    <cellStyle name="Nota 3 6 2" xfId="16135" xr:uid="{AA59CE92-8EED-4438-8EEB-E1914C414ADC}"/>
    <cellStyle name="Nota 3 7" xfId="10535" xr:uid="{00000000-0005-0000-0000-0000C42B0000}"/>
    <cellStyle name="Nota 3 7 2" xfId="19318" xr:uid="{B9113C3C-7822-4337-97E0-63D39D9C65BF}"/>
    <cellStyle name="Nota 3 8" xfId="14032" xr:uid="{84B70445-24F4-4586-92E0-0636BE078EC3}"/>
    <cellStyle name="Nota 3 9" xfId="15795" xr:uid="{68F2398F-BA85-425A-9E6A-91477493CB61}"/>
    <cellStyle name="Nota 4" xfId="3903" xr:uid="{00000000-0005-0000-0000-0000C52B0000}"/>
    <cellStyle name="Nota 4 2" xfId="3904" xr:uid="{00000000-0005-0000-0000-0000C62B0000}"/>
    <cellStyle name="Nota 4 2 2" xfId="6969" xr:uid="{00000000-0005-0000-0000-0000C72B0000}"/>
    <cellStyle name="Nota 4 2 2 2" xfId="16210" xr:uid="{945736B9-8557-4F0E-9A50-196D69E1C3A6}"/>
    <cellStyle name="Nota 4 2 3" xfId="14648" xr:uid="{A2F081B6-5D34-45F6-8BFE-C6ADCA2D40D3}"/>
    <cellStyle name="Nota 4 3" xfId="3905" xr:uid="{00000000-0005-0000-0000-0000C82B0000}"/>
    <cellStyle name="Nota 4 3 2" xfId="6970" xr:uid="{00000000-0005-0000-0000-0000C92B0000}"/>
    <cellStyle name="Nota 4 3 2 2" xfId="16211" xr:uid="{3B30A189-0C7A-4410-AE13-6224DF70BFBB}"/>
    <cellStyle name="Nota 4 3 3" xfId="14649" xr:uid="{BEBFFCFA-0D4B-424B-8A94-4FCD730C55BC}"/>
    <cellStyle name="Nota 4 4" xfId="3906" xr:uid="{00000000-0005-0000-0000-0000CA2B0000}"/>
    <cellStyle name="Nota 4 4 2" xfId="6968" xr:uid="{00000000-0005-0000-0000-0000CB2B0000}"/>
    <cellStyle name="Nota 4 4 2 2" xfId="16209" xr:uid="{24A32D66-4AF1-47D5-AAA8-99D00F9130DD}"/>
    <cellStyle name="Nota 4 4 3" xfId="14647" xr:uid="{9B2CDCE6-416F-4C44-9E10-B16C9A68E6EA}"/>
    <cellStyle name="Nota 4 5" xfId="5238" xr:uid="{00000000-0005-0000-0000-0000CC2B0000}"/>
    <cellStyle name="Nota 4 5 2" xfId="16134" xr:uid="{8E126BA9-49CC-44B9-965E-A5DDB94151E2}"/>
    <cellStyle name="Nota 4 6" xfId="10536" xr:uid="{00000000-0005-0000-0000-0000CD2B0000}"/>
    <cellStyle name="Nota 4 6 2" xfId="19319" xr:uid="{DEC9A7CB-B3C6-4D21-8BBD-5B5E32F29ECC}"/>
    <cellStyle name="Nota 4 7" xfId="14015" xr:uid="{CDE2098F-E487-4D5D-B332-6B5E02345A97}"/>
    <cellStyle name="Nota 4 8" xfId="15796" xr:uid="{B9C608C0-1969-40DC-B809-D4967E1064A5}"/>
    <cellStyle name="Nota 4 9" xfId="16169" xr:uid="{F00F8F85-1285-4316-9066-9A761A1A838D}"/>
    <cellStyle name="Nota 5" xfId="3907" xr:uid="{00000000-0005-0000-0000-0000CE2B0000}"/>
    <cellStyle name="Nota 5 2" xfId="6972" xr:uid="{00000000-0005-0000-0000-0000CF2B0000}"/>
    <cellStyle name="Nota 5 2 2" xfId="14651" xr:uid="{414DC00D-80D9-485B-8D7B-9A5A8301BE98}"/>
    <cellStyle name="Nota 5 3" xfId="6971" xr:uid="{00000000-0005-0000-0000-0000D02B0000}"/>
    <cellStyle name="Nota 5 3 2" xfId="14650" xr:uid="{2CFBE2E7-2E1B-48D3-8B6F-15E4111D1D2B}"/>
    <cellStyle name="Nota 5 4" xfId="5304" xr:uid="{00000000-0005-0000-0000-0000D12B0000}"/>
    <cellStyle name="Nota 5 4 2" xfId="16136" xr:uid="{EEFCE425-775E-4F56-B1EF-00F9A118FF61}"/>
    <cellStyle name="Nota 5 5" xfId="10537" xr:uid="{00000000-0005-0000-0000-0000D22B0000}"/>
    <cellStyle name="Nota 5 5 2" xfId="19320" xr:uid="{9E1984C7-D915-4116-8201-F6902CEC3E24}"/>
    <cellStyle name="Nota 5 6" xfId="14033" xr:uid="{9EF7631E-B553-40E0-8D8B-EA0186435EC6}"/>
    <cellStyle name="Nota 5 7" xfId="15797" xr:uid="{75CDE2C2-BC25-421D-A3C7-3F8D48675B03}"/>
    <cellStyle name="Nota 5 8" xfId="16214" xr:uid="{844E38F1-645B-4FA5-A981-9F710B03385A}"/>
    <cellStyle name="Nota 6" xfId="3908" xr:uid="{00000000-0005-0000-0000-0000D32B0000}"/>
    <cellStyle name="Nota 6 2" xfId="6974" xr:uid="{00000000-0005-0000-0000-0000D42B0000}"/>
    <cellStyle name="Nota 6 2 2" xfId="14653" xr:uid="{9F33C5DF-7134-4BA0-84F5-0EF070E42C3A}"/>
    <cellStyle name="Nota 6 2 3" xfId="22620" xr:uid="{244E843B-6550-47E3-B5C2-AF73F7D02143}"/>
    <cellStyle name="Nota 6 3" xfId="7369" xr:uid="{00000000-0005-0000-0000-0000D52B0000}"/>
    <cellStyle name="Nota 6 3 2" xfId="14779" xr:uid="{D84D5339-F809-46D3-B8B6-70CC78A264DE}"/>
    <cellStyle name="Nota 6 4" xfId="6973" xr:uid="{00000000-0005-0000-0000-0000D62B0000}"/>
    <cellStyle name="Nota 6 4 2" xfId="14652" xr:uid="{CA4095F1-A91E-4203-A232-3B532C70BEB6}"/>
    <cellStyle name="Nota 6 5" xfId="5232" xr:uid="{00000000-0005-0000-0000-0000D72B0000}"/>
    <cellStyle name="Nota 6 5 2" xfId="16133" xr:uid="{51C3E2FA-BC7E-47B6-9257-A7514BF2364D}"/>
    <cellStyle name="Nota 6 6" xfId="10538" xr:uid="{00000000-0005-0000-0000-0000D82B0000}"/>
    <cellStyle name="Nota 6 6 2" xfId="19321" xr:uid="{5295C035-EB96-44EB-B1BB-CE5FED35356F}"/>
    <cellStyle name="Nota 6 7" xfId="14013" xr:uid="{984C725A-6120-4202-9FB8-FADE6FC56F90}"/>
    <cellStyle name="Nota 6 8" xfId="15798" xr:uid="{8A07EF8D-1B19-4671-BC7D-DBF59B3ABA5B}"/>
    <cellStyle name="Nota 6 9" xfId="16132" xr:uid="{4A3DBD0E-89A9-483B-9057-C83F1E1C3B04}"/>
    <cellStyle name="Nota 7" xfId="3909" xr:uid="{00000000-0005-0000-0000-0000D92B0000}"/>
    <cellStyle name="Nota 7 2" xfId="7370" xr:uid="{00000000-0005-0000-0000-0000DA2B0000}"/>
    <cellStyle name="Nota 7 2 2" xfId="14780" xr:uid="{576C213F-38A0-4357-828B-8F71CD0380E5}"/>
    <cellStyle name="Nota 7 3" xfId="6975" xr:uid="{00000000-0005-0000-0000-0000DB2B0000}"/>
    <cellStyle name="Nota 7 3 2" xfId="14654" xr:uid="{4C79BFDD-7B46-4D97-B710-3861EE7C7783}"/>
    <cellStyle name="Nota 7 4" xfId="5360" xr:uid="{00000000-0005-0000-0000-0000DC2B0000}"/>
    <cellStyle name="Nota 7 4 2" xfId="16138" xr:uid="{C3EAD72D-9F9E-41CE-AB8B-76CB8CA2D26F}"/>
    <cellStyle name="Nota 7 5" xfId="10539" xr:uid="{00000000-0005-0000-0000-0000DD2B0000}"/>
    <cellStyle name="Nota 7 5 2" xfId="19322" xr:uid="{08CB533D-2411-468C-940D-2AF074A4F583}"/>
    <cellStyle name="Nota 7 6" xfId="14057" xr:uid="{A46501E8-908B-452B-A25E-D943E8A4CD9D}"/>
    <cellStyle name="Nota 7 7" xfId="15799" xr:uid="{22719280-1DB5-4768-B7DC-7DD899B4933B}"/>
    <cellStyle name="Nota 7 8" xfId="16174" xr:uid="{0EF070B3-E700-48A1-BC8C-FD08567BAFA5}"/>
    <cellStyle name="Nota 8" xfId="5388" xr:uid="{00000000-0005-0000-0000-0000DE2B0000}"/>
    <cellStyle name="Nota 8 2" xfId="7368" xr:uid="{00000000-0005-0000-0000-0000DF2B0000}"/>
    <cellStyle name="Nota 8 2 2" xfId="14778" xr:uid="{74980354-2036-4157-9460-073544A264D9}"/>
    <cellStyle name="Nota 8 2 3" xfId="14562" xr:uid="{242A70FB-7314-4125-A095-BD33776A3E98}"/>
    <cellStyle name="Nota 8 3" xfId="14067" xr:uid="{3C78A8DD-02E7-4074-A290-BAD0F22130BD}"/>
    <cellStyle name="Nota 8 4" xfId="16176" xr:uid="{A5B9932C-5B2B-45BD-B909-9A6D71B2D6D7}"/>
    <cellStyle name="Nota 9" xfId="5415" xr:uid="{00000000-0005-0000-0000-0000E02B0000}"/>
    <cellStyle name="Nota 9 2" xfId="6939" xr:uid="{00000000-0005-0000-0000-0000E12B0000}"/>
    <cellStyle name="Nota 9 2 2" xfId="14618" xr:uid="{5681EA0C-0A12-4B9E-BFAD-04894A903C70}"/>
    <cellStyle name="Nota 9 2 3" xfId="22653" xr:uid="{96BC09D9-01D6-4F1A-A155-797E2E1B8A90}"/>
    <cellStyle name="Nota 9 3" xfId="14075" xr:uid="{8A365ACA-5CA7-47F4-8A7F-44D2E31E7839}"/>
    <cellStyle name="Nota 9 4" xfId="16178" xr:uid="{6343C3DF-E5D4-4BC7-9E64-2C128C57F9AB}"/>
    <cellStyle name="Notas" xfId="3910" xr:uid="{00000000-0005-0000-0000-0000E22B0000}"/>
    <cellStyle name="Notas 2" xfId="3911" xr:uid="{00000000-0005-0000-0000-0000E32B0000}"/>
    <cellStyle name="Notas 2 2" xfId="10541" xr:uid="{00000000-0005-0000-0000-0000E42B0000}"/>
    <cellStyle name="Notas 2 2 2" xfId="19324" xr:uid="{8EE16BA6-BD62-4635-8D22-5FBACD9E4042}"/>
    <cellStyle name="Notas 2 3" xfId="15801" xr:uid="{2DDD6E2D-A406-430F-BD0A-2F3BE1F29381}"/>
    <cellStyle name="Notas 3" xfId="3912" xr:uid="{00000000-0005-0000-0000-0000E52B0000}"/>
    <cellStyle name="Notas 3 2" xfId="10542" xr:uid="{00000000-0005-0000-0000-0000E62B0000}"/>
    <cellStyle name="Notas 3 2 2" xfId="19325" xr:uid="{B910F02B-518D-4CC0-AB8D-290E017B985D}"/>
    <cellStyle name="Notas 3 3" xfId="15802" xr:uid="{E788107F-E495-44EB-8B85-A7D3FCCCC26C}"/>
    <cellStyle name="Notas 4" xfId="10540" xr:uid="{00000000-0005-0000-0000-0000E72B0000}"/>
    <cellStyle name="Notas 4 2" xfId="19323" xr:uid="{C272769C-72B1-4024-9254-2D03146F79F5}"/>
    <cellStyle name="Notas 5" xfId="15800" xr:uid="{D6C853D7-59B1-4A61-B89B-B16E1A489FAE}"/>
    <cellStyle name="Note 10" xfId="22603" xr:uid="{1B597BE7-E7FB-4066-B9B1-AE48A0F60F25}"/>
    <cellStyle name="Note 2" xfId="3914" xr:uid="{00000000-0005-0000-0000-0000E82B0000}"/>
    <cellStyle name="Note 2 2" xfId="3915" xr:uid="{00000000-0005-0000-0000-0000E92B0000}"/>
    <cellStyle name="Note 2 2 2" xfId="3916" xr:uid="{00000000-0005-0000-0000-0000EA2B0000}"/>
    <cellStyle name="Note 2 2 2 2" xfId="10546" xr:uid="{00000000-0005-0000-0000-0000EB2B0000}"/>
    <cellStyle name="Note 2 2 2 2 2" xfId="19329" xr:uid="{466CBB85-CB98-4186-B6A3-CE9639A92AC4}"/>
    <cellStyle name="Note 2 2 2 3" xfId="15806" xr:uid="{35D0F531-0775-4FED-81F3-AE4F264A2329}"/>
    <cellStyle name="Note 2 2 3" xfId="10545" xr:uid="{00000000-0005-0000-0000-0000EC2B0000}"/>
    <cellStyle name="Note 2 2 3 2" xfId="19328" xr:uid="{730C2835-DFD5-4CF4-AB5B-E83E1729E7B9}"/>
    <cellStyle name="Note 2 2 4" xfId="15805" xr:uid="{B6D03190-0C89-4EE7-9731-63206C047BD9}"/>
    <cellStyle name="Note 2 3" xfId="3917" xr:uid="{00000000-0005-0000-0000-0000ED2B0000}"/>
    <cellStyle name="Note 2 3 2" xfId="3918" xr:uid="{00000000-0005-0000-0000-0000EE2B0000}"/>
    <cellStyle name="Note 2 3 2 2" xfId="10548" xr:uid="{00000000-0005-0000-0000-0000EF2B0000}"/>
    <cellStyle name="Note 2 3 2 2 2" xfId="19331" xr:uid="{4B425B3D-3D1B-4BAC-8476-83A0F56D6CB5}"/>
    <cellStyle name="Note 2 3 2 3" xfId="15808" xr:uid="{E9880568-10E9-4ED2-B723-7E23042B6D40}"/>
    <cellStyle name="Note 2 3 3" xfId="10547" xr:uid="{00000000-0005-0000-0000-0000F02B0000}"/>
    <cellStyle name="Note 2 3 3 2" xfId="19330" xr:uid="{A9043641-4FE7-4E82-A139-10794E8A68C7}"/>
    <cellStyle name="Note 2 3 4" xfId="15807" xr:uid="{379F2A53-A2C3-469B-ACA7-07A67BF0616D}"/>
    <cellStyle name="Note 2 4" xfId="3919" xr:uid="{00000000-0005-0000-0000-0000F12B0000}"/>
    <cellStyle name="Note 2 4 2" xfId="10549" xr:uid="{00000000-0005-0000-0000-0000F22B0000}"/>
    <cellStyle name="Note 2 4 2 2" xfId="19332" xr:uid="{50B9269A-61AC-4709-A8FD-9C19F9049F00}"/>
    <cellStyle name="Note 2 4 3" xfId="15809" xr:uid="{8A37C0C7-C392-4744-9D84-95F27AAE8282}"/>
    <cellStyle name="Note 2 5" xfId="3920" xr:uid="{00000000-0005-0000-0000-0000F32B0000}"/>
    <cellStyle name="Note 2 5 2" xfId="10550" xr:uid="{00000000-0005-0000-0000-0000F42B0000}"/>
    <cellStyle name="Note 2 5 2 2" xfId="19333" xr:uid="{E7B5DD3D-59CB-47A8-8507-1F8798ED102E}"/>
    <cellStyle name="Note 2 5 3" xfId="15810" xr:uid="{798C6DFA-F59B-4124-91B3-38F86B9DF2A3}"/>
    <cellStyle name="Note 2 6" xfId="10544" xr:uid="{00000000-0005-0000-0000-0000F52B0000}"/>
    <cellStyle name="Note 2 6 2" xfId="19327" xr:uid="{A3B85DAA-736F-4297-A561-005E47D78FDA}"/>
    <cellStyle name="Note 2 7" xfId="15804" xr:uid="{A0875D7C-DCAF-4831-8A44-88AB3527D98B}"/>
    <cellStyle name="Note 3" xfId="3921" xr:uid="{00000000-0005-0000-0000-0000F62B0000}"/>
    <cellStyle name="Note 3 2" xfId="3922" xr:uid="{00000000-0005-0000-0000-0000F72B0000}"/>
    <cellStyle name="Note 3 2 2" xfId="3923" xr:uid="{00000000-0005-0000-0000-0000F82B0000}"/>
    <cellStyle name="Note 3 2 2 2" xfId="10553" xr:uid="{00000000-0005-0000-0000-0000F92B0000}"/>
    <cellStyle name="Note 3 2 2 2 2" xfId="19336" xr:uid="{066172C4-7351-4DE1-8946-2D19B82046E5}"/>
    <cellStyle name="Note 3 2 2 3" xfId="15813" xr:uid="{1CA2D703-C876-46AE-96EE-F8D90DB5161E}"/>
    <cellStyle name="Note 3 2 3" xfId="10552" xr:uid="{00000000-0005-0000-0000-0000FA2B0000}"/>
    <cellStyle name="Note 3 2 3 2" xfId="19335" xr:uid="{DF4EAB92-5E96-4CDB-9ABB-3F956D397D2F}"/>
    <cellStyle name="Note 3 2 4" xfId="15812" xr:uid="{28E52B9B-3B5D-4D91-8433-E5A06F35DA70}"/>
    <cellStyle name="Note 3 3" xfId="3924" xr:uid="{00000000-0005-0000-0000-0000FB2B0000}"/>
    <cellStyle name="Note 3 3 2" xfId="3925" xr:uid="{00000000-0005-0000-0000-0000FC2B0000}"/>
    <cellStyle name="Note 3 3 2 2" xfId="10555" xr:uid="{00000000-0005-0000-0000-0000FD2B0000}"/>
    <cellStyle name="Note 3 3 2 2 2" xfId="19338" xr:uid="{5362A03B-5A74-4354-999F-4598438090CB}"/>
    <cellStyle name="Note 3 3 2 3" xfId="15815" xr:uid="{95602FB8-8CA2-4616-B80D-23ADE20C8151}"/>
    <cellStyle name="Note 3 3 3" xfId="10554" xr:uid="{00000000-0005-0000-0000-0000FE2B0000}"/>
    <cellStyle name="Note 3 3 3 2" xfId="19337" xr:uid="{7C6858E1-89E9-40F1-94B8-DB62CE976CFB}"/>
    <cellStyle name="Note 3 3 4" xfId="15814" xr:uid="{680DCD1B-A726-4073-BAA0-E052EA6F421D}"/>
    <cellStyle name="Note 3 4" xfId="3926" xr:uid="{00000000-0005-0000-0000-0000FF2B0000}"/>
    <cellStyle name="Note 3 4 2" xfId="10556" xr:uid="{00000000-0005-0000-0000-0000002C0000}"/>
    <cellStyle name="Note 3 4 2 2" xfId="19339" xr:uid="{602B71BF-148D-4EAF-BEDE-7530A6A62844}"/>
    <cellStyle name="Note 3 4 3" xfId="15816" xr:uid="{EA7B09B0-5AA2-4F2E-A558-E158CC790F3D}"/>
    <cellStyle name="Note 3 5" xfId="3927" xr:uid="{00000000-0005-0000-0000-0000012C0000}"/>
    <cellStyle name="Note 3 5 2" xfId="10557" xr:uid="{00000000-0005-0000-0000-0000022C0000}"/>
    <cellStyle name="Note 3 5 2 2" xfId="19340" xr:uid="{F3B2A1B2-6BB0-43D3-88D4-799623060D07}"/>
    <cellStyle name="Note 3 5 3" xfId="15817" xr:uid="{398CC11C-1C52-4076-B7E4-79BD69094960}"/>
    <cellStyle name="Note 3 6" xfId="10551" xr:uid="{00000000-0005-0000-0000-0000032C0000}"/>
    <cellStyle name="Note 3 6 2" xfId="19334" xr:uid="{F396E4F1-36DE-4084-97D0-AB9062EE3CD5}"/>
    <cellStyle name="Note 3 7" xfId="15811" xr:uid="{D501BC90-FA01-4EE9-A80C-A21FFB624E6E}"/>
    <cellStyle name="Note 4" xfId="3928" xr:uid="{00000000-0005-0000-0000-0000042C0000}"/>
    <cellStyle name="Note 4 2" xfId="3929" xr:uid="{00000000-0005-0000-0000-0000052C0000}"/>
    <cellStyle name="Note 4 2 2" xfId="3930" xr:uid="{00000000-0005-0000-0000-0000062C0000}"/>
    <cellStyle name="Note 4 2 2 2" xfId="10560" xr:uid="{00000000-0005-0000-0000-0000072C0000}"/>
    <cellStyle name="Note 4 2 2 2 2" xfId="19343" xr:uid="{6B800DC3-503D-4395-83EA-A805651E9E4D}"/>
    <cellStyle name="Note 4 2 2 3" xfId="15820" xr:uid="{B88B2D72-5565-46E7-AD67-1AC54F0556A7}"/>
    <cellStyle name="Note 4 2 3" xfId="10559" xr:uid="{00000000-0005-0000-0000-0000082C0000}"/>
    <cellStyle name="Note 4 2 3 2" xfId="19342" xr:uid="{B4AB5A8D-0CAF-42EF-AF50-E6F8B8F3951A}"/>
    <cellStyle name="Note 4 2 4" xfId="15819" xr:uid="{8B78CF84-6F68-4C4B-9BE5-CA671B337C6B}"/>
    <cellStyle name="Note 4 3" xfId="3931" xr:uid="{00000000-0005-0000-0000-0000092C0000}"/>
    <cellStyle name="Note 4 3 2" xfId="3932" xr:uid="{00000000-0005-0000-0000-00000A2C0000}"/>
    <cellStyle name="Note 4 3 2 2" xfId="10562" xr:uid="{00000000-0005-0000-0000-00000B2C0000}"/>
    <cellStyle name="Note 4 3 2 2 2" xfId="19345" xr:uid="{838F8259-409A-4A7F-90C6-32961EDC4E9D}"/>
    <cellStyle name="Note 4 3 2 3" xfId="15822" xr:uid="{77B5B668-0695-4D7B-B137-2A55FDEA880E}"/>
    <cellStyle name="Note 4 3 3" xfId="10561" xr:uid="{00000000-0005-0000-0000-00000C2C0000}"/>
    <cellStyle name="Note 4 3 3 2" xfId="19344" xr:uid="{1966EB00-B10A-4993-98DA-E34C770788E0}"/>
    <cellStyle name="Note 4 3 4" xfId="15821" xr:uid="{BC3562FB-581D-4A2B-BBB8-95D9FA87259A}"/>
    <cellStyle name="Note 4 4" xfId="3933" xr:uid="{00000000-0005-0000-0000-00000D2C0000}"/>
    <cellStyle name="Note 4 4 2" xfId="10563" xr:uid="{00000000-0005-0000-0000-00000E2C0000}"/>
    <cellStyle name="Note 4 4 2 2" xfId="19346" xr:uid="{A20D375C-AEF2-4288-8A83-5C20C8DCEDB5}"/>
    <cellStyle name="Note 4 4 3" xfId="15823" xr:uid="{F8092562-2ECE-42AD-A18F-A2BEAC92692B}"/>
    <cellStyle name="Note 4 5" xfId="3934" xr:uid="{00000000-0005-0000-0000-00000F2C0000}"/>
    <cellStyle name="Note 4 5 2" xfId="10564" xr:uid="{00000000-0005-0000-0000-0000102C0000}"/>
    <cellStyle name="Note 4 5 2 2" xfId="19347" xr:uid="{65A2C341-0A55-4C2D-A1EB-7D3A923BD2ED}"/>
    <cellStyle name="Note 4 5 3" xfId="15824" xr:uid="{C01F8820-B36D-4030-A62E-FC3EE3312599}"/>
    <cellStyle name="Note 4 6" xfId="10558" xr:uid="{00000000-0005-0000-0000-0000112C0000}"/>
    <cellStyle name="Note 4 6 2" xfId="19341" xr:uid="{0950C0DD-02EB-4320-98FF-8CE78E164913}"/>
    <cellStyle name="Note 4 7" xfId="15818" xr:uid="{1A5AA8B1-3B99-46BC-8535-3665444AF5AB}"/>
    <cellStyle name="Note 5" xfId="3935" xr:uid="{00000000-0005-0000-0000-0000122C0000}"/>
    <cellStyle name="Note 5 2" xfId="10565" xr:uid="{00000000-0005-0000-0000-0000132C0000}"/>
    <cellStyle name="Note 5 2 2" xfId="19348" xr:uid="{9459BA42-E503-43B9-BB9D-AD988977B0D2}"/>
    <cellStyle name="Note 5 3" xfId="15825" xr:uid="{6AF76164-EDA6-4DF0-AE05-92131079DE1F}"/>
    <cellStyle name="Note 6" xfId="3936" xr:uid="{00000000-0005-0000-0000-0000142C0000}"/>
    <cellStyle name="Note 6 2" xfId="10566" xr:uid="{00000000-0005-0000-0000-0000152C0000}"/>
    <cellStyle name="Note 6 2 2" xfId="19349" xr:uid="{016C4A76-6530-4C96-9C8B-25989F7DF919}"/>
    <cellStyle name="Note 6 3" xfId="15826" xr:uid="{2DCC1C9E-7413-4331-9251-FBE03FB16FBA}"/>
    <cellStyle name="Note 7" xfId="3913" xr:uid="{00000000-0005-0000-0000-0000162C0000}"/>
    <cellStyle name="Note 7 2" xfId="11958" xr:uid="{00000000-0005-0000-0000-0000172C0000}"/>
    <cellStyle name="Note 7 2 2" xfId="20701" xr:uid="{961C2556-0904-491A-B809-3DE41143F134}"/>
    <cellStyle name="Note 7 3" xfId="15803" xr:uid="{56854890-5F46-4AF9-ACFC-5FE6655B69C4}"/>
    <cellStyle name="Note 8" xfId="10543" xr:uid="{00000000-0005-0000-0000-0000182C0000}"/>
    <cellStyle name="Note 8 2" xfId="19326" xr:uid="{58E16A0F-DBD3-4F72-8163-F1B84A90C327}"/>
    <cellStyle name="Note 9" xfId="82" xr:uid="{00000000-0005-0000-0000-0000192C0000}"/>
    <cellStyle name="NPPESalesPct" xfId="3937" xr:uid="{00000000-0005-0000-0000-00001A2C0000}"/>
    <cellStyle name="num1Style" xfId="5090" xr:uid="{00000000-0005-0000-0000-00001B2C0000}"/>
    <cellStyle name="num1Styleb" xfId="5091" xr:uid="{00000000-0005-0000-0000-00001C2C0000}"/>
    <cellStyle name="num4Style" xfId="5092" xr:uid="{00000000-0005-0000-0000-00001D2C0000}"/>
    <cellStyle name="num4Styleb" xfId="5093" xr:uid="{00000000-0005-0000-0000-00001E2C0000}"/>
    <cellStyle name="Number" xfId="10" xr:uid="{00000000-0005-0000-0000-00001F2C0000}"/>
    <cellStyle name="numPStyle" xfId="5094" xr:uid="{00000000-0005-0000-0000-0000202C0000}"/>
    <cellStyle name="numPStyleb" xfId="5095" xr:uid="{00000000-0005-0000-0000-0000212C0000}"/>
    <cellStyle name="numXStyle" xfId="5096" xr:uid="{00000000-0005-0000-0000-0000222C0000}"/>
    <cellStyle name="numXStyleb" xfId="5097" xr:uid="{00000000-0005-0000-0000-0000232C0000}"/>
    <cellStyle name="NWI%S" xfId="3938" xr:uid="{00000000-0005-0000-0000-0000242C0000}"/>
    <cellStyle name="Oculta" xfId="3939" xr:uid="{00000000-0005-0000-0000-0000252C0000}"/>
    <cellStyle name="Oculta 10" xfId="3940" xr:uid="{00000000-0005-0000-0000-0000262C0000}"/>
    <cellStyle name="Oculta 11" xfId="3941" xr:uid="{00000000-0005-0000-0000-0000272C0000}"/>
    <cellStyle name="Oculta 12" xfId="3942" xr:uid="{00000000-0005-0000-0000-0000282C0000}"/>
    <cellStyle name="Oculta 13" xfId="3943" xr:uid="{00000000-0005-0000-0000-0000292C0000}"/>
    <cellStyle name="Oculta 14" xfId="3944" xr:uid="{00000000-0005-0000-0000-00002A2C0000}"/>
    <cellStyle name="Oculta 15" xfId="3945" xr:uid="{00000000-0005-0000-0000-00002B2C0000}"/>
    <cellStyle name="Oculta 16" xfId="3946" xr:uid="{00000000-0005-0000-0000-00002C2C0000}"/>
    <cellStyle name="Oculta 17" xfId="3947" xr:uid="{00000000-0005-0000-0000-00002D2C0000}"/>
    <cellStyle name="Oculta 18" xfId="3948" xr:uid="{00000000-0005-0000-0000-00002E2C0000}"/>
    <cellStyle name="Oculta 19" xfId="3949" xr:uid="{00000000-0005-0000-0000-00002F2C0000}"/>
    <cellStyle name="Oculta 2" xfId="3950" xr:uid="{00000000-0005-0000-0000-0000302C0000}"/>
    <cellStyle name="Oculta 20" xfId="3951" xr:uid="{00000000-0005-0000-0000-0000312C0000}"/>
    <cellStyle name="Oculta 21" xfId="3952" xr:uid="{00000000-0005-0000-0000-0000322C0000}"/>
    <cellStyle name="Oculta 22" xfId="3953" xr:uid="{00000000-0005-0000-0000-0000332C0000}"/>
    <cellStyle name="Oculta 23" xfId="3954" xr:uid="{00000000-0005-0000-0000-0000342C0000}"/>
    <cellStyle name="Oculta 24" xfId="3955" xr:uid="{00000000-0005-0000-0000-0000352C0000}"/>
    <cellStyle name="Oculta 25" xfId="3956" xr:uid="{00000000-0005-0000-0000-0000362C0000}"/>
    <cellStyle name="Oculta 26" xfId="3957" xr:uid="{00000000-0005-0000-0000-0000372C0000}"/>
    <cellStyle name="Oculta 27" xfId="3958" xr:uid="{00000000-0005-0000-0000-0000382C0000}"/>
    <cellStyle name="Oculta 28" xfId="3959" xr:uid="{00000000-0005-0000-0000-0000392C0000}"/>
    <cellStyle name="Oculta 29" xfId="3960" xr:uid="{00000000-0005-0000-0000-00003A2C0000}"/>
    <cellStyle name="Oculta 3" xfId="3961" xr:uid="{00000000-0005-0000-0000-00003B2C0000}"/>
    <cellStyle name="Oculta 30" xfId="3962" xr:uid="{00000000-0005-0000-0000-00003C2C0000}"/>
    <cellStyle name="Oculta 31" xfId="3963" xr:uid="{00000000-0005-0000-0000-00003D2C0000}"/>
    <cellStyle name="Oculta 32" xfId="3964" xr:uid="{00000000-0005-0000-0000-00003E2C0000}"/>
    <cellStyle name="Oculta 33" xfId="3965" xr:uid="{00000000-0005-0000-0000-00003F2C0000}"/>
    <cellStyle name="Oculta 34" xfId="3966" xr:uid="{00000000-0005-0000-0000-0000402C0000}"/>
    <cellStyle name="Oculta 35" xfId="3967" xr:uid="{00000000-0005-0000-0000-0000412C0000}"/>
    <cellStyle name="Oculta 36" xfId="3968" xr:uid="{00000000-0005-0000-0000-0000422C0000}"/>
    <cellStyle name="Oculta 37" xfId="3969" xr:uid="{00000000-0005-0000-0000-0000432C0000}"/>
    <cellStyle name="Oculta 38" xfId="3970" xr:uid="{00000000-0005-0000-0000-0000442C0000}"/>
    <cellStyle name="Oculta 39" xfId="3971" xr:uid="{00000000-0005-0000-0000-0000452C0000}"/>
    <cellStyle name="Oculta 4" xfId="3972" xr:uid="{00000000-0005-0000-0000-0000462C0000}"/>
    <cellStyle name="Oculta 40" xfId="3973" xr:uid="{00000000-0005-0000-0000-0000472C0000}"/>
    <cellStyle name="Oculta 5" xfId="3974" xr:uid="{00000000-0005-0000-0000-0000482C0000}"/>
    <cellStyle name="Oculta 6" xfId="3975" xr:uid="{00000000-0005-0000-0000-0000492C0000}"/>
    <cellStyle name="Oculta 7" xfId="3976" xr:uid="{00000000-0005-0000-0000-00004A2C0000}"/>
    <cellStyle name="Oculta 8" xfId="3977" xr:uid="{00000000-0005-0000-0000-00004B2C0000}"/>
    <cellStyle name="Oculta 9" xfId="3978" xr:uid="{00000000-0005-0000-0000-00004C2C0000}"/>
    <cellStyle name="Ordinary" xfId="5098" xr:uid="{00000000-0005-0000-0000-00004D2C0000}"/>
    <cellStyle name="OT" xfId="3979" xr:uid="{00000000-0005-0000-0000-00004E2C0000}"/>
    <cellStyle name="Output 2" xfId="3980" xr:uid="{00000000-0005-0000-0000-00004F2C0000}"/>
    <cellStyle name="Output 2 2" xfId="3981" xr:uid="{00000000-0005-0000-0000-0000502C0000}"/>
    <cellStyle name="Output 2 2 2" xfId="10569" xr:uid="{00000000-0005-0000-0000-0000512C0000}"/>
    <cellStyle name="Output 2 3" xfId="10568" xr:uid="{00000000-0005-0000-0000-0000522C0000}"/>
    <cellStyle name="Output 3" xfId="3982" xr:uid="{00000000-0005-0000-0000-0000532C0000}"/>
    <cellStyle name="Output 3 2" xfId="3983" xr:uid="{00000000-0005-0000-0000-0000542C0000}"/>
    <cellStyle name="Output 3 2 2" xfId="10571" xr:uid="{00000000-0005-0000-0000-0000552C0000}"/>
    <cellStyle name="Output 3 3" xfId="10570" xr:uid="{00000000-0005-0000-0000-0000562C0000}"/>
    <cellStyle name="Output 4" xfId="3984" xr:uid="{00000000-0005-0000-0000-0000572C0000}"/>
    <cellStyle name="Output 4 2" xfId="10572" xr:uid="{00000000-0005-0000-0000-0000582C0000}"/>
    <cellStyle name="Output 5" xfId="3985" xr:uid="{00000000-0005-0000-0000-0000592C0000}"/>
    <cellStyle name="Output 5 2" xfId="10573" xr:uid="{00000000-0005-0000-0000-00005A2C0000}"/>
    <cellStyle name="Output 6" xfId="3986" xr:uid="{00000000-0005-0000-0000-00005B2C0000}"/>
    <cellStyle name="Output 6 2" xfId="10574" xr:uid="{00000000-0005-0000-0000-00005C2C0000}"/>
    <cellStyle name="Output 7" xfId="3987" xr:uid="{00000000-0005-0000-0000-00005D2C0000}"/>
    <cellStyle name="Output 7 2" xfId="10575" xr:uid="{00000000-0005-0000-0000-00005E2C0000}"/>
    <cellStyle name="Output 8" xfId="10567" xr:uid="{00000000-0005-0000-0000-00005F2C0000}"/>
    <cellStyle name="Output 9" xfId="83" xr:uid="{00000000-0005-0000-0000-0000602C0000}"/>
    <cellStyle name="Page Number" xfId="5099" xr:uid="{00000000-0005-0000-0000-0000612C0000}"/>
    <cellStyle name="Percent" xfId="13889" builtinId="5"/>
    <cellStyle name="Percent [0]" xfId="3988" xr:uid="{00000000-0005-0000-0000-0000622C0000}"/>
    <cellStyle name="Percent [0] 2" xfId="5100" xr:uid="{00000000-0005-0000-0000-0000632C0000}"/>
    <cellStyle name="Percent [00]" xfId="5101" xr:uid="{00000000-0005-0000-0000-0000642C0000}"/>
    <cellStyle name="Percent [1]" xfId="3989" xr:uid="{00000000-0005-0000-0000-0000652C0000}"/>
    <cellStyle name="Percent [2]" xfId="3990" xr:uid="{00000000-0005-0000-0000-0000662C0000}"/>
    <cellStyle name="Percent 10" xfId="13853" xr:uid="{00000000-0005-0000-0000-0000672C0000}"/>
    <cellStyle name="Percent 11" xfId="13907" xr:uid="{FA3E2C0F-5DCF-4389-93ED-5334139DA858}"/>
    <cellStyle name="Percent 12" xfId="13896" xr:uid="{939A48BB-7778-4495-BE14-0404173A9F31}"/>
    <cellStyle name="Percent 13" xfId="13899" xr:uid="{8A56CC85-0626-4E82-BAA2-A37C4A2AA002}"/>
    <cellStyle name="Percent 14" xfId="13892" xr:uid="{1B016CFF-3908-4FD3-BC01-11615509A5F7}"/>
    <cellStyle name="Percent 15" xfId="13875" xr:uid="{CD3AAA5B-8642-41AC-9316-9BE28BF1F5F4}"/>
    <cellStyle name="Percent 16" xfId="22700" xr:uid="{3E117491-74B8-4EE1-A709-C2A28D9185CA}"/>
    <cellStyle name="Percent 17" xfId="22675" xr:uid="{4D3C27E2-CF21-46A5-A8B3-F147992E8DF7}"/>
    <cellStyle name="Percent 18" xfId="22680" xr:uid="{92141F8D-E4FD-4990-AB00-7B4BFE62437A}"/>
    <cellStyle name="Percent 19" xfId="13901" xr:uid="{1402FE39-19AC-41BC-B7F9-075B47DEFDF5}"/>
    <cellStyle name="Percent 2" xfId="3991" xr:uid="{00000000-0005-0000-0000-0000682C0000}"/>
    <cellStyle name="Percent 2 2" xfId="3992" xr:uid="{00000000-0005-0000-0000-0000692C0000}"/>
    <cellStyle name="Percent 2 2 2" xfId="10348" xr:uid="{00000000-0005-0000-0000-00006A2C0000}"/>
    <cellStyle name="Percent 2 2 2 2" xfId="19154" xr:uid="{D7425896-4C1C-4A53-A675-0F76A482FE89}"/>
    <cellStyle name="Percent 2 2 3" xfId="8746" xr:uid="{00000000-0005-0000-0000-00006B2C0000}"/>
    <cellStyle name="Percent 2 2 3 2" xfId="17555" xr:uid="{E3D66807-4EB1-462E-9126-FD793219AFE7}"/>
    <cellStyle name="Percent 2 2 4" xfId="11959" xr:uid="{00000000-0005-0000-0000-00006C2C0000}"/>
    <cellStyle name="Percent 2 2 4 2" xfId="20702" xr:uid="{11DF5AD1-E775-44B8-8834-758B50046619}"/>
    <cellStyle name="Percent 2 2 5" xfId="13565" xr:uid="{00000000-0005-0000-0000-00006D2C0000}"/>
    <cellStyle name="Percent 2 2 5 2" xfId="22301" xr:uid="{465C6959-F3F4-47CF-83FB-59FB6270E619}"/>
    <cellStyle name="Percent 2 2 6" xfId="15827" xr:uid="{EB2F4C7B-339C-443B-A02B-2731C0BB5789}"/>
    <cellStyle name="Percent 2 3" xfId="5102" xr:uid="{00000000-0005-0000-0000-00006E2C0000}"/>
    <cellStyle name="Percent 20" xfId="22698" xr:uid="{92B10574-FDD8-4C0C-904B-43BAC712FF4E}"/>
    <cellStyle name="Percent 21" xfId="22676" xr:uid="{1A378EF3-ED57-46AA-9434-F2EDA3188DF5}"/>
    <cellStyle name="Percent 22" xfId="13876" xr:uid="{EF59C27C-D5B5-4A2A-92E6-75B28FC208CB}"/>
    <cellStyle name="Percent 23" xfId="22721" xr:uid="{85735945-6DE6-4522-A37B-3053FCEC3680}"/>
    <cellStyle name="Percent 24" xfId="22726" xr:uid="{66889E7A-B0FA-4DDC-8E4F-F6FB96DDFB45}"/>
    <cellStyle name="Percent 25" xfId="22731" xr:uid="{F60794BD-D95D-41B7-8179-124F240108DF}"/>
    <cellStyle name="Percent 26" xfId="22768" xr:uid="{FB722E93-A399-4DFC-8191-B2F7E93AF8FB}"/>
    <cellStyle name="Percent 27" xfId="22740" xr:uid="{D26C6E58-B6C9-4A7B-A6F8-36EE10E09F8E}"/>
    <cellStyle name="Percent 28" xfId="22753" xr:uid="{B42D7E9B-FEEE-41C2-867E-AA451F069FCC}"/>
    <cellStyle name="Percent 29" xfId="22749" xr:uid="{DAB4DF0F-6867-49CF-9552-BA861979D8B9}"/>
    <cellStyle name="Percent 3" xfId="84" xr:uid="{00000000-0005-0000-0000-00006F2C0000}"/>
    <cellStyle name="Percent 30" xfId="22742" xr:uid="{2A30B146-D114-448C-A488-28D8641145EE}"/>
    <cellStyle name="Percent 31" xfId="22758" xr:uid="{2C0D2394-7E65-4306-B132-A64367410D5F}"/>
    <cellStyle name="Percent 32" xfId="22757" xr:uid="{BD7E64C2-BEA2-4E8A-9DAC-E4AE37CCB789}"/>
    <cellStyle name="Percent 33" xfId="22751" xr:uid="{25B0308F-7D35-4E0D-925B-281611B114FB}"/>
    <cellStyle name="Percent 34" xfId="22765" xr:uid="{81B0C635-3CD2-443E-A4E5-6A3F18C77773}"/>
    <cellStyle name="Percent 35" xfId="22781" xr:uid="{D641838F-B73C-46A0-9DF4-7F8611C13C55}"/>
    <cellStyle name="Percent 36" xfId="22815" xr:uid="{D63C2581-EAC6-437E-815B-171C6EA12DDE}"/>
    <cellStyle name="Percent 37" xfId="24147" xr:uid="{51FB98D6-D3E7-4DF9-80F5-CEF352951564}"/>
    <cellStyle name="Percent 38" xfId="22835" xr:uid="{E8C74320-050F-4053-AAA8-398D9FB5635A}"/>
    <cellStyle name="Percent 39" xfId="23875" xr:uid="{FD52D435-8E51-44C2-988F-C99FABE0A2FB}"/>
    <cellStyle name="Percent 4" xfId="13858" xr:uid="{4FA0E23E-33CB-4CA2-9036-006BD3426E2F}"/>
    <cellStyle name="Percent 40" xfId="22819" xr:uid="{DA0410D6-7066-473D-96B4-45AEB848313C}"/>
    <cellStyle name="Percent 41" xfId="22867" xr:uid="{F43D2191-E12D-4043-A262-16DF22C00DA1}"/>
    <cellStyle name="Percent 42" xfId="22942" xr:uid="{15DB38F0-5F4B-4851-8C91-0C415E2BA641}"/>
    <cellStyle name="Percent 43" xfId="23230" xr:uid="{C80FAF77-6EA0-4CA8-B025-774B2444C78D}"/>
    <cellStyle name="Percent 44" xfId="23227" xr:uid="{8C2805EE-1683-4A07-9BEE-BB67C9F9BDBC}"/>
    <cellStyle name="Percent 45" xfId="22850" xr:uid="{7DE47E90-8CED-49DC-83C2-C7FFAC56ADDF}"/>
    <cellStyle name="Percent 46" xfId="24146" xr:uid="{9DBB203E-1D3C-4B92-9F24-DBAEF430D73D}"/>
    <cellStyle name="Percent 47" xfId="23601" xr:uid="{88865032-ED3D-424A-A881-7D775CF58F3D}"/>
    <cellStyle name="Percent 48" xfId="22897" xr:uid="{8BE8CFA7-2FF2-4667-AA5F-6121B43A4591}"/>
    <cellStyle name="Percent 49" xfId="23604" xr:uid="{50A27D98-4B31-4B1C-9737-180FAD3CF0EF}"/>
    <cellStyle name="Percent 5" xfId="13879" xr:uid="{ACC75C47-5E24-4383-AA34-452C703595A0}"/>
    <cellStyle name="Percent 50" xfId="24140" xr:uid="{829514B8-81EF-4DB1-8662-CF4ABE7FFA3C}"/>
    <cellStyle name="Percent 51" xfId="22797" xr:uid="{4720C30E-49CB-4F5E-BADE-53C3E852DBC5}"/>
    <cellStyle name="Percent 52" xfId="22809" xr:uid="{A53D0792-8402-491A-91C4-7B88B546E2B3}"/>
    <cellStyle name="Percent 53" xfId="22828" xr:uid="{BD2A5EE9-7BD1-452B-BA00-C77680688883}"/>
    <cellStyle name="Percent 54" xfId="22941" xr:uid="{FFE380D4-087A-44F3-B0BC-1846BC1B9957}"/>
    <cellStyle name="Percent 55" xfId="22932" xr:uid="{2A183636-3020-4B84-9B67-9D546DA10561}"/>
    <cellStyle name="Percent 56" xfId="22792" xr:uid="{4D51EE7A-17C8-4576-84F6-7AF125D5008C}"/>
    <cellStyle name="Percent 57" xfId="22833" xr:uid="{1F44E364-0FD7-4A59-A84D-AC7936A77C4F}"/>
    <cellStyle name="Percent 58" xfId="23602" xr:uid="{A6BDB240-9DAE-4CD6-8C91-06250F0B8219}"/>
    <cellStyle name="Percent 59" xfId="22785" xr:uid="{6BB11B1B-47E7-4A01-A7C0-C6F65FD895B9}"/>
    <cellStyle name="Percent 6" xfId="22701" xr:uid="{FCCED2D1-6402-4335-9394-7ABEE3706445}"/>
    <cellStyle name="Percent 60" xfId="22834" xr:uid="{248A1156-383E-42F3-9F2A-921E4C936331}"/>
    <cellStyle name="Percent 61" xfId="22788" xr:uid="{15B8347E-BF1C-488C-A7F0-363642A4425E}"/>
    <cellStyle name="Percent 62" xfId="22859" xr:uid="{066E5568-D49D-4D52-ADC0-8C0A79EE0AA5}"/>
    <cellStyle name="Percent 63" xfId="22796" xr:uid="{AB74D5BA-9094-4E98-8235-8D5E235257E4}"/>
    <cellStyle name="Percent 64" xfId="22803" xr:uid="{A7ED74AB-90F7-4BE2-ACC2-082C8D6BDF23}"/>
    <cellStyle name="Percent 65" xfId="23226" xr:uid="{3BC4A268-C2A8-4BB6-8720-F5EE15E575FA}"/>
    <cellStyle name="Percent 66" xfId="23606" xr:uid="{415481AC-E2B0-423C-A1DE-0E2245755283}"/>
    <cellStyle name="Percent 67" xfId="22841" xr:uid="{0DB8C42F-34DC-4001-B078-AE902166AF5F}"/>
    <cellStyle name="Percent 68" xfId="23876" xr:uid="{251C4A03-2D6A-4FD0-AF71-E27E23126642}"/>
    <cellStyle name="Percent 69" xfId="22805" xr:uid="{45AA662F-BA71-4209-9118-8767FA2551EE}"/>
    <cellStyle name="Percent 7" xfId="13872" xr:uid="{4B7B34BC-E2CD-4442-8A09-8B8423D3AA59}"/>
    <cellStyle name="Percent 70" xfId="22799" xr:uid="{117C1431-0CAB-492D-9217-7019367C6B47}"/>
    <cellStyle name="Percent 71" xfId="22784" xr:uid="{9292FDF9-9C3C-424B-8223-D51264210A7F}"/>
    <cellStyle name="Percent 72" xfId="22827" xr:uid="{CD6C4C10-2D4F-4372-B548-C4B48C059E2A}"/>
    <cellStyle name="Percent 8" xfId="22678" xr:uid="{38E79BAB-B1BC-49DC-BB27-658DD427249F}"/>
    <cellStyle name="Percent 9" xfId="22697" xr:uid="{B3E18277-7610-4B2B-9D11-2F4A17EECA96}"/>
    <cellStyle name="Percent1" xfId="3993" xr:uid="{00000000-0005-0000-0000-0000702C0000}"/>
    <cellStyle name="Percentage" xfId="3994" xr:uid="{00000000-0005-0000-0000-0000712C0000}"/>
    <cellStyle name="Percentagem_Blue Tables for Brazil 06-2005-NEW  IRAQ Only" xfId="3995" xr:uid="{00000000-0005-0000-0000-0000722C0000}"/>
    <cellStyle name="PercentSales" xfId="3996" xr:uid="{00000000-0005-0000-0000-0000732C0000}"/>
    <cellStyle name="Percentual" xfId="5103" xr:uid="{00000000-0005-0000-0000-0000742C0000}"/>
    <cellStyle name="Ponto" xfId="5104" xr:uid="{00000000-0005-0000-0000-0000752C0000}"/>
    <cellStyle name="Porcentagem 10" xfId="3997" xr:uid="{00000000-0005-0000-0000-0000762C0000}"/>
    <cellStyle name="Porcentagem 11" xfId="3998" xr:uid="{00000000-0005-0000-0000-0000772C0000}"/>
    <cellStyle name="Porcentagem 11 10" xfId="11960" xr:uid="{00000000-0005-0000-0000-0000782C0000}"/>
    <cellStyle name="Porcentagem 11 10 2" xfId="20703" xr:uid="{8F280A1D-8DAB-401D-8CAF-6978DF5C8683}"/>
    <cellStyle name="Porcentagem 11 11" xfId="13566" xr:uid="{00000000-0005-0000-0000-0000792C0000}"/>
    <cellStyle name="Porcentagem 11 11 2" xfId="22302" xr:uid="{DB359B7C-3BBF-449B-89A7-003E54E0A000}"/>
    <cellStyle name="Porcentagem 11 12" xfId="15828" xr:uid="{837BFB79-90F2-46DA-BC78-785FD8A139A4}"/>
    <cellStyle name="Porcentagem 11 2" xfId="3999" xr:uid="{00000000-0005-0000-0000-00007A2C0000}"/>
    <cellStyle name="Porcentagem 11 3" xfId="4000" xr:uid="{00000000-0005-0000-0000-00007B2C0000}"/>
    <cellStyle name="Porcentagem 11 4" xfId="4001" xr:uid="{00000000-0005-0000-0000-00007C2C0000}"/>
    <cellStyle name="Porcentagem 11 5" xfId="4002" xr:uid="{00000000-0005-0000-0000-00007D2C0000}"/>
    <cellStyle name="Porcentagem 11 6" xfId="4003" xr:uid="{00000000-0005-0000-0000-00007E2C0000}"/>
    <cellStyle name="Porcentagem 11 7" xfId="4004" xr:uid="{00000000-0005-0000-0000-00007F2C0000}"/>
    <cellStyle name="Porcentagem 11 8" xfId="10349" xr:uid="{00000000-0005-0000-0000-0000802C0000}"/>
    <cellStyle name="Porcentagem 11 8 2" xfId="19155" xr:uid="{5C8233FB-1DFE-446D-9915-CC118E13868A}"/>
    <cellStyle name="Porcentagem 11 9" xfId="8747" xr:uid="{00000000-0005-0000-0000-0000812C0000}"/>
    <cellStyle name="Porcentagem 11 9 2" xfId="17556" xr:uid="{90ACCFF4-6D6C-4E76-8205-C9A4DB26DB76}"/>
    <cellStyle name="Porcentagem 12" xfId="4005" xr:uid="{00000000-0005-0000-0000-0000822C0000}"/>
    <cellStyle name="Porcentagem 12 2" xfId="10350" xr:uid="{00000000-0005-0000-0000-0000832C0000}"/>
    <cellStyle name="Porcentagem 12 2 2" xfId="19156" xr:uid="{7916C726-0E45-497A-9131-AE0C80CA27B5}"/>
    <cellStyle name="Porcentagem 12 3" xfId="8748" xr:uid="{00000000-0005-0000-0000-0000842C0000}"/>
    <cellStyle name="Porcentagem 12 3 2" xfId="17557" xr:uid="{FB3D4ADD-AEEA-41DF-BFCD-9836DBCFE056}"/>
    <cellStyle name="Porcentagem 12 4" xfId="11961" xr:uid="{00000000-0005-0000-0000-0000852C0000}"/>
    <cellStyle name="Porcentagem 12 4 2" xfId="20704" xr:uid="{EEBDD71E-004C-4528-917F-B5048FE0AAE5}"/>
    <cellStyle name="Porcentagem 12 5" xfId="13567" xr:uid="{00000000-0005-0000-0000-0000862C0000}"/>
    <cellStyle name="Porcentagem 12 5 2" xfId="22303" xr:uid="{B5AE7225-6C31-4089-9D13-CF078692686F}"/>
    <cellStyle name="Porcentagem 12 6" xfId="15829" xr:uid="{B9030ACF-930A-437D-9709-91DC8EE84ECC}"/>
    <cellStyle name="Porcentagem 13" xfId="4006" xr:uid="{00000000-0005-0000-0000-0000872C0000}"/>
    <cellStyle name="Porcentagem 13 10" xfId="8749" xr:uid="{00000000-0005-0000-0000-0000882C0000}"/>
    <cellStyle name="Porcentagem 13 10 2" xfId="17558" xr:uid="{480CF079-D280-4C90-ABF0-E99CC385D980}"/>
    <cellStyle name="Porcentagem 13 11" xfId="11962" xr:uid="{00000000-0005-0000-0000-0000892C0000}"/>
    <cellStyle name="Porcentagem 13 11 2" xfId="20705" xr:uid="{31C9EB0A-2D5D-4C7C-AB1D-18C7B5B13A27}"/>
    <cellStyle name="Porcentagem 13 12" xfId="13568" xr:uid="{00000000-0005-0000-0000-00008A2C0000}"/>
    <cellStyle name="Porcentagem 13 12 2" xfId="22304" xr:uid="{913F9275-E36B-4FA8-A598-FC7035EEB747}"/>
    <cellStyle name="Porcentagem 13 13" xfId="15830" xr:uid="{FE9CAAEA-29AB-4A4B-8419-3180826D9A91}"/>
    <cellStyle name="Porcentagem 13 2" xfId="4007" xr:uid="{00000000-0005-0000-0000-00008B2C0000}"/>
    <cellStyle name="Porcentagem 13 2 10" xfId="11963" xr:uid="{00000000-0005-0000-0000-00008C2C0000}"/>
    <cellStyle name="Porcentagem 13 2 10 2" xfId="20706" xr:uid="{A952B372-4BB8-4A1C-A8D3-7E46EC6220AD}"/>
    <cellStyle name="Porcentagem 13 2 11" xfId="13569" xr:uid="{00000000-0005-0000-0000-00008D2C0000}"/>
    <cellStyle name="Porcentagem 13 2 11 2" xfId="22305" xr:uid="{956273B2-9684-4CE6-9662-E49C99A51F29}"/>
    <cellStyle name="Porcentagem 13 2 12" xfId="15831" xr:uid="{A1E66E57-C793-456C-9278-6312E92E5606}"/>
    <cellStyle name="Porcentagem 13 2 2" xfId="4008" xr:uid="{00000000-0005-0000-0000-00008E2C0000}"/>
    <cellStyle name="Porcentagem 13 2 3" xfId="4009" xr:uid="{00000000-0005-0000-0000-00008F2C0000}"/>
    <cellStyle name="Porcentagem 13 2 4" xfId="4010" xr:uid="{00000000-0005-0000-0000-0000902C0000}"/>
    <cellStyle name="Porcentagem 13 2 5" xfId="4011" xr:uid="{00000000-0005-0000-0000-0000912C0000}"/>
    <cellStyle name="Porcentagem 13 2 6" xfId="4012" xr:uid="{00000000-0005-0000-0000-0000922C0000}"/>
    <cellStyle name="Porcentagem 13 2 7" xfId="4013" xr:uid="{00000000-0005-0000-0000-0000932C0000}"/>
    <cellStyle name="Porcentagem 13 2 8" xfId="10352" xr:uid="{00000000-0005-0000-0000-0000942C0000}"/>
    <cellStyle name="Porcentagem 13 2 8 2" xfId="19158" xr:uid="{6E7C7496-E1E4-4B2F-8C7B-20A5E04545B0}"/>
    <cellStyle name="Porcentagem 13 2 9" xfId="8750" xr:uid="{00000000-0005-0000-0000-0000952C0000}"/>
    <cellStyle name="Porcentagem 13 2 9 2" xfId="17559" xr:uid="{0258068E-7A70-43E6-91BD-F9E51564A829}"/>
    <cellStyle name="Porcentagem 13 3" xfId="4014" xr:uid="{00000000-0005-0000-0000-0000962C0000}"/>
    <cellStyle name="Porcentagem 13 4" xfId="4015" xr:uid="{00000000-0005-0000-0000-0000972C0000}"/>
    <cellStyle name="Porcentagem 13 5" xfId="4016" xr:uid="{00000000-0005-0000-0000-0000982C0000}"/>
    <cellStyle name="Porcentagem 13 6" xfId="4017" xr:uid="{00000000-0005-0000-0000-0000992C0000}"/>
    <cellStyle name="Porcentagem 13 7" xfId="4018" xr:uid="{00000000-0005-0000-0000-00009A2C0000}"/>
    <cellStyle name="Porcentagem 13 8" xfId="4019" xr:uid="{00000000-0005-0000-0000-00009B2C0000}"/>
    <cellStyle name="Porcentagem 13 9" xfId="10351" xr:uid="{00000000-0005-0000-0000-00009C2C0000}"/>
    <cellStyle name="Porcentagem 13 9 2" xfId="19157" xr:uid="{CE89BB54-9348-494E-A58F-F68082869CA8}"/>
    <cellStyle name="Porcentagem 14" xfId="4020" xr:uid="{00000000-0005-0000-0000-00009D2C0000}"/>
    <cellStyle name="Porcentagem 15" xfId="4021" xr:uid="{00000000-0005-0000-0000-00009E2C0000}"/>
    <cellStyle name="Porcentagem 16" xfId="4889" xr:uid="{00000000-0005-0000-0000-00009F2C0000}"/>
    <cellStyle name="Porcentagem 16 2" xfId="9024" xr:uid="{00000000-0005-0000-0000-0000A02C0000}"/>
    <cellStyle name="Porcentagem 16 2 2" xfId="17830" xr:uid="{FAEEF9C7-4988-4C1D-889F-DB8F791FA150}"/>
    <cellStyle name="Porcentagem 16 3" xfId="12231" xr:uid="{00000000-0005-0000-0000-0000A12C0000}"/>
    <cellStyle name="Porcentagem 16 3 2" xfId="20972" xr:uid="{CC458B12-91F7-4BD1-8075-583A4D981E81}"/>
    <cellStyle name="Porcentagem 16 4" xfId="16089" xr:uid="{F3C2B574-C51C-4894-9382-17B39E61816D}"/>
    <cellStyle name="Porcentagem 17" xfId="4920" xr:uid="{00000000-0005-0000-0000-0000A22C0000}"/>
    <cellStyle name="Porcentagem 17 2" xfId="16102" xr:uid="{A18D0AB0-0AA2-4066-B700-D76CA630A637}"/>
    <cellStyle name="Porcentagem 18" xfId="13839" xr:uid="{00000000-0005-0000-0000-0000A32C0000}"/>
    <cellStyle name="Porcentagem 18 2" xfId="22572" xr:uid="{5BA98175-6F0E-4A09-8BEE-2720C6830251}"/>
    <cellStyle name="Porcentagem 19" xfId="13912" xr:uid="{E3A50273-4C20-44BF-9653-351C213DBF35}"/>
    <cellStyle name="Porcentagem 2" xfId="85" xr:uid="{00000000-0005-0000-0000-0000A42C0000}"/>
    <cellStyle name="Porcentagem 2 10" xfId="4022" xr:uid="{00000000-0005-0000-0000-0000A52C0000}"/>
    <cellStyle name="Porcentagem 2 10 2" xfId="4023" xr:uid="{00000000-0005-0000-0000-0000A62C0000}"/>
    <cellStyle name="Porcentagem 2 11" xfId="4024" xr:uid="{00000000-0005-0000-0000-0000A72C0000}"/>
    <cellStyle name="Porcentagem 2 11 2" xfId="4025" xr:uid="{00000000-0005-0000-0000-0000A82C0000}"/>
    <cellStyle name="Porcentagem 2 12" xfId="4026" xr:uid="{00000000-0005-0000-0000-0000A92C0000}"/>
    <cellStyle name="Porcentagem 2 12 2" xfId="4027" xr:uid="{00000000-0005-0000-0000-0000AA2C0000}"/>
    <cellStyle name="Porcentagem 2 13" xfId="4028" xr:uid="{00000000-0005-0000-0000-0000AB2C0000}"/>
    <cellStyle name="Porcentagem 2 13 2" xfId="4029" xr:uid="{00000000-0005-0000-0000-0000AC2C0000}"/>
    <cellStyle name="Porcentagem 2 14" xfId="4030" xr:uid="{00000000-0005-0000-0000-0000AD2C0000}"/>
    <cellStyle name="Porcentagem 2 14 2" xfId="4031" xr:uid="{00000000-0005-0000-0000-0000AE2C0000}"/>
    <cellStyle name="Porcentagem 2 15" xfId="4032" xr:uid="{00000000-0005-0000-0000-0000AF2C0000}"/>
    <cellStyle name="Porcentagem 2 15 2" xfId="4033" xr:uid="{00000000-0005-0000-0000-0000B02C0000}"/>
    <cellStyle name="Porcentagem 2 16" xfId="4034" xr:uid="{00000000-0005-0000-0000-0000B12C0000}"/>
    <cellStyle name="Porcentagem 2 16 2" xfId="4035" xr:uid="{00000000-0005-0000-0000-0000B22C0000}"/>
    <cellStyle name="Porcentagem 2 17" xfId="4036" xr:uid="{00000000-0005-0000-0000-0000B32C0000}"/>
    <cellStyle name="Porcentagem 2 17 2" xfId="4037" xr:uid="{00000000-0005-0000-0000-0000B42C0000}"/>
    <cellStyle name="Porcentagem 2 18" xfId="4038" xr:uid="{00000000-0005-0000-0000-0000B52C0000}"/>
    <cellStyle name="Porcentagem 2 18 2" xfId="4039" xr:uid="{00000000-0005-0000-0000-0000B62C0000}"/>
    <cellStyle name="Porcentagem 2 19" xfId="4040" xr:uid="{00000000-0005-0000-0000-0000B72C0000}"/>
    <cellStyle name="Porcentagem 2 19 2" xfId="4041" xr:uid="{00000000-0005-0000-0000-0000B82C0000}"/>
    <cellStyle name="Porcentagem 2 2" xfId="135" xr:uid="{00000000-0005-0000-0000-0000B92C0000}"/>
    <cellStyle name="Porcentagem 2 2 2" xfId="4042" xr:uid="{00000000-0005-0000-0000-0000BA2C0000}"/>
    <cellStyle name="Porcentagem 2 2 2 2" xfId="4043" xr:uid="{00000000-0005-0000-0000-0000BB2C0000}"/>
    <cellStyle name="Porcentagem 2 2 2 2 2" xfId="10354" xr:uid="{00000000-0005-0000-0000-0000BC2C0000}"/>
    <cellStyle name="Porcentagem 2 2 2 2 2 2" xfId="19160" xr:uid="{75B8E035-99E5-44E4-82DC-012C607918BC}"/>
    <cellStyle name="Porcentagem 2 2 2 2 3" xfId="8753" xr:uid="{00000000-0005-0000-0000-0000BD2C0000}"/>
    <cellStyle name="Porcentagem 2 2 2 2 3 2" xfId="17561" xr:uid="{24FE4D67-2E7D-41D1-8049-3C98C09D370F}"/>
    <cellStyle name="Porcentagem 2 2 2 2 4" xfId="11965" xr:uid="{00000000-0005-0000-0000-0000BE2C0000}"/>
    <cellStyle name="Porcentagem 2 2 2 2 4 2" xfId="20708" xr:uid="{AB5D3254-0193-44AD-8081-40FDC4290257}"/>
    <cellStyle name="Porcentagem 2 2 2 2 5" xfId="13571" xr:uid="{00000000-0005-0000-0000-0000BF2C0000}"/>
    <cellStyle name="Porcentagem 2 2 2 2 5 2" xfId="22307" xr:uid="{7159A652-3D14-48F9-B707-4E2F2D31F105}"/>
    <cellStyle name="Porcentagem 2 2 2 2 6" xfId="15833" xr:uid="{68D69328-4EB5-453A-BB5C-E336302ADBAA}"/>
    <cellStyle name="Porcentagem 2 2 2 3" xfId="4044" xr:uid="{00000000-0005-0000-0000-0000C02C0000}"/>
    <cellStyle name="Porcentagem 2 2 2 3 2" xfId="10355" xr:uid="{00000000-0005-0000-0000-0000C12C0000}"/>
    <cellStyle name="Porcentagem 2 2 2 3 2 2" xfId="19161" xr:uid="{FB0132A6-06B0-4689-9A2F-81D5E55ADC54}"/>
    <cellStyle name="Porcentagem 2 2 2 3 3" xfId="8754" xr:uid="{00000000-0005-0000-0000-0000C22C0000}"/>
    <cellStyle name="Porcentagem 2 2 2 3 3 2" xfId="17562" xr:uid="{D4FA3EBE-A398-4F84-A68B-1DA04C423A69}"/>
    <cellStyle name="Porcentagem 2 2 2 3 4" xfId="11966" xr:uid="{00000000-0005-0000-0000-0000C32C0000}"/>
    <cellStyle name="Porcentagem 2 2 2 3 4 2" xfId="20709" xr:uid="{DEE6B722-0228-440B-8C18-D5EAE182DD37}"/>
    <cellStyle name="Porcentagem 2 2 2 3 5" xfId="13572" xr:uid="{00000000-0005-0000-0000-0000C42C0000}"/>
    <cellStyle name="Porcentagem 2 2 2 3 5 2" xfId="22308" xr:uid="{709F9A6C-1C77-4310-AA46-80AFEAD37ED1}"/>
    <cellStyle name="Porcentagem 2 2 2 3 6" xfId="15834" xr:uid="{B5B68DC0-CB50-4A3E-8970-891C52E32E38}"/>
    <cellStyle name="Porcentagem 2 2 2 4" xfId="4045" xr:uid="{00000000-0005-0000-0000-0000C52C0000}"/>
    <cellStyle name="Porcentagem 2 2 2 4 2" xfId="10356" xr:uid="{00000000-0005-0000-0000-0000C62C0000}"/>
    <cellStyle name="Porcentagem 2 2 2 4 2 2" xfId="19162" xr:uid="{90C03440-2AF6-4452-952F-8EAF9B26F8BC}"/>
    <cellStyle name="Porcentagem 2 2 2 4 3" xfId="8755" xr:uid="{00000000-0005-0000-0000-0000C72C0000}"/>
    <cellStyle name="Porcentagem 2 2 2 4 3 2" xfId="17563" xr:uid="{7200F37F-0C9B-42B9-BB46-6411BFAE3270}"/>
    <cellStyle name="Porcentagem 2 2 2 4 4" xfId="11967" xr:uid="{00000000-0005-0000-0000-0000C82C0000}"/>
    <cellStyle name="Porcentagem 2 2 2 4 4 2" xfId="20710" xr:uid="{D45E4236-D59E-4314-9356-CBFE3D8944D9}"/>
    <cellStyle name="Porcentagem 2 2 2 4 5" xfId="13573" xr:uid="{00000000-0005-0000-0000-0000C92C0000}"/>
    <cellStyle name="Porcentagem 2 2 2 4 5 2" xfId="22309" xr:uid="{4820CE70-C5C0-4860-B738-87EC485CBF29}"/>
    <cellStyle name="Porcentagem 2 2 2 4 6" xfId="15835" xr:uid="{8E8FC3D4-782B-46B8-8161-C693EFEB93C0}"/>
    <cellStyle name="Porcentagem 2 2 2 5" xfId="10353" xr:uid="{00000000-0005-0000-0000-0000CA2C0000}"/>
    <cellStyle name="Porcentagem 2 2 2 5 2" xfId="19159" xr:uid="{5547B51E-ADDD-4584-965C-8675257BF793}"/>
    <cellStyle name="Porcentagem 2 2 2 6" xfId="8752" xr:uid="{00000000-0005-0000-0000-0000CB2C0000}"/>
    <cellStyle name="Porcentagem 2 2 2 6 2" xfId="17560" xr:uid="{A97CA7DE-B006-4815-A73E-D7A5E774003C}"/>
    <cellStyle name="Porcentagem 2 2 2 7" xfId="11964" xr:uid="{00000000-0005-0000-0000-0000CC2C0000}"/>
    <cellStyle name="Porcentagem 2 2 2 7 2" xfId="20707" xr:uid="{BBCF1C33-3F8F-453C-9935-ADE4667F843A}"/>
    <cellStyle name="Porcentagem 2 2 2 8" xfId="13570" xr:uid="{00000000-0005-0000-0000-0000CD2C0000}"/>
    <cellStyle name="Porcentagem 2 2 2 8 2" xfId="22306" xr:uid="{16307919-7E71-4C0D-99AB-617FE3F44F03}"/>
    <cellStyle name="Porcentagem 2 2 2 9" xfId="15832" xr:uid="{A451997A-6016-4232-ABAE-437F1254ABE5}"/>
    <cellStyle name="Porcentagem 2 2 3" xfId="4046" xr:uid="{00000000-0005-0000-0000-0000CE2C0000}"/>
    <cellStyle name="Porcentagem 2 20" xfId="4047" xr:uid="{00000000-0005-0000-0000-0000CF2C0000}"/>
    <cellStyle name="Porcentagem 2 20 2" xfId="4048" xr:uid="{00000000-0005-0000-0000-0000D02C0000}"/>
    <cellStyle name="Porcentagem 2 21" xfId="4049" xr:uid="{00000000-0005-0000-0000-0000D12C0000}"/>
    <cellStyle name="Porcentagem 2 21 2" xfId="4050" xr:uid="{00000000-0005-0000-0000-0000D22C0000}"/>
    <cellStyle name="Porcentagem 2 22" xfId="4051" xr:uid="{00000000-0005-0000-0000-0000D32C0000}"/>
    <cellStyle name="Porcentagem 2 22 2" xfId="4052" xr:uid="{00000000-0005-0000-0000-0000D42C0000}"/>
    <cellStyle name="Porcentagem 2 23" xfId="4053" xr:uid="{00000000-0005-0000-0000-0000D52C0000}"/>
    <cellStyle name="Porcentagem 2 23 2" xfId="4054" xr:uid="{00000000-0005-0000-0000-0000D62C0000}"/>
    <cellStyle name="Porcentagem 2 24" xfId="4055" xr:uid="{00000000-0005-0000-0000-0000D72C0000}"/>
    <cellStyle name="Porcentagem 2 25" xfId="4056" xr:uid="{00000000-0005-0000-0000-0000D82C0000}"/>
    <cellStyle name="Porcentagem 2 26" xfId="4057" xr:uid="{00000000-0005-0000-0000-0000D92C0000}"/>
    <cellStyle name="Porcentagem 2 27" xfId="4058" xr:uid="{00000000-0005-0000-0000-0000DA2C0000}"/>
    <cellStyle name="Porcentagem 2 28" xfId="8751" xr:uid="{00000000-0005-0000-0000-0000DB2C0000}"/>
    <cellStyle name="Porcentagem 2 29" xfId="7411" xr:uid="{00000000-0005-0000-0000-0000DC2C0000}"/>
    <cellStyle name="Porcentagem 2 29 2" xfId="16228" xr:uid="{24596404-4B60-4451-B63F-0412802B9C19}"/>
    <cellStyle name="Porcentagem 2 3" xfId="4059" xr:uid="{00000000-0005-0000-0000-0000DD2C0000}"/>
    <cellStyle name="Porcentagem 2 3 2" xfId="4060" xr:uid="{00000000-0005-0000-0000-0000DE2C0000}"/>
    <cellStyle name="Porcentagem 2 4" xfId="4061" xr:uid="{00000000-0005-0000-0000-0000DF2C0000}"/>
    <cellStyle name="Porcentagem 2 4 2" xfId="4062" xr:uid="{00000000-0005-0000-0000-0000E02C0000}"/>
    <cellStyle name="Porcentagem 2 4 3" xfId="4063" xr:uid="{00000000-0005-0000-0000-0000E12C0000}"/>
    <cellStyle name="Porcentagem 2 5" xfId="4064" xr:uid="{00000000-0005-0000-0000-0000E22C0000}"/>
    <cellStyle name="Porcentagem 2 5 2" xfId="4065" xr:uid="{00000000-0005-0000-0000-0000E32C0000}"/>
    <cellStyle name="Porcentagem 2 6" xfId="4066" xr:uid="{00000000-0005-0000-0000-0000E42C0000}"/>
    <cellStyle name="Porcentagem 2 6 2" xfId="4067" xr:uid="{00000000-0005-0000-0000-0000E52C0000}"/>
    <cellStyle name="Porcentagem 2 7" xfId="4068" xr:uid="{00000000-0005-0000-0000-0000E62C0000}"/>
    <cellStyle name="Porcentagem 2 7 2" xfId="4069" xr:uid="{00000000-0005-0000-0000-0000E72C0000}"/>
    <cellStyle name="Porcentagem 2 8" xfId="4070" xr:uid="{00000000-0005-0000-0000-0000E82C0000}"/>
    <cellStyle name="Porcentagem 2 8 2" xfId="4071" xr:uid="{00000000-0005-0000-0000-0000E92C0000}"/>
    <cellStyle name="Porcentagem 2 9" xfId="4072" xr:uid="{00000000-0005-0000-0000-0000EA2C0000}"/>
    <cellStyle name="Porcentagem 2 9 2" xfId="4073" xr:uid="{00000000-0005-0000-0000-0000EB2C0000}"/>
    <cellStyle name="Porcentagem 3" xfId="134" xr:uid="{00000000-0005-0000-0000-0000EC2C0000}"/>
    <cellStyle name="Porcentagem 3 2" xfId="4074" xr:uid="{00000000-0005-0000-0000-0000ED2C0000}"/>
    <cellStyle name="Porcentagem 3 2 2" xfId="4075" xr:uid="{00000000-0005-0000-0000-0000EE2C0000}"/>
    <cellStyle name="Porcentagem 3 3" xfId="4076" xr:uid="{00000000-0005-0000-0000-0000EF2C0000}"/>
    <cellStyle name="Porcentagem 3 4" xfId="4077" xr:uid="{00000000-0005-0000-0000-0000F02C0000}"/>
    <cellStyle name="Porcentagem 3 5" xfId="4078" xr:uid="{00000000-0005-0000-0000-0000F12C0000}"/>
    <cellStyle name="Porcentagem 3 6" xfId="4079" xr:uid="{00000000-0005-0000-0000-0000F22C0000}"/>
    <cellStyle name="Porcentagem 3 7" xfId="4080" xr:uid="{00000000-0005-0000-0000-0000F32C0000}"/>
    <cellStyle name="Porcentagem 3 8" xfId="4081" xr:uid="{00000000-0005-0000-0000-0000F42C0000}"/>
    <cellStyle name="Porcentagem 3 9" xfId="4082" xr:uid="{00000000-0005-0000-0000-0000F52C0000}"/>
    <cellStyle name="Porcentagem 4" xfId="143" xr:uid="{00000000-0005-0000-0000-0000F62C0000}"/>
    <cellStyle name="Porcentagem 4 10" xfId="4083" xr:uid="{00000000-0005-0000-0000-0000F72C0000}"/>
    <cellStyle name="Porcentagem 4 10 2" xfId="10459" xr:uid="{00000000-0005-0000-0000-0000F82C0000}"/>
    <cellStyle name="Porcentagem 4 10 2 2" xfId="19258" xr:uid="{4DFF0693-F28C-4605-9F85-1FB801A77E7A}"/>
    <cellStyle name="Porcentagem 4 11" xfId="10617" xr:uid="{00000000-0005-0000-0000-0000F92C0000}"/>
    <cellStyle name="Porcentagem 4 11 2" xfId="19376" xr:uid="{36DB8247-9016-41FA-A913-5B56327E6DEC}"/>
    <cellStyle name="Porcentagem 4 12" xfId="14560" xr:uid="{90B90BC7-CFA2-4973-B892-A15E613AF997}"/>
    <cellStyle name="Porcentagem 4 2" xfId="4084" xr:uid="{00000000-0005-0000-0000-0000FA2C0000}"/>
    <cellStyle name="Porcentagem 4 2 2" xfId="5808" xr:uid="{00000000-0005-0000-0000-0000FB2C0000}"/>
    <cellStyle name="Porcentagem 4 3" xfId="4085" xr:uid="{00000000-0005-0000-0000-0000FC2C0000}"/>
    <cellStyle name="Porcentagem 4 4" xfId="4086" xr:uid="{00000000-0005-0000-0000-0000FD2C0000}"/>
    <cellStyle name="Porcentagem 4 5" xfId="4087" xr:uid="{00000000-0005-0000-0000-0000FE2C0000}"/>
    <cellStyle name="Porcentagem 4 6" xfId="4088" xr:uid="{00000000-0005-0000-0000-0000FF2C0000}"/>
    <cellStyle name="Porcentagem 4 7" xfId="4089" xr:uid="{00000000-0005-0000-0000-0000002D0000}"/>
    <cellStyle name="Porcentagem 4 8" xfId="4090" xr:uid="{00000000-0005-0000-0000-0000012D0000}"/>
    <cellStyle name="Porcentagem 4 9" xfId="4091" xr:uid="{00000000-0005-0000-0000-0000022D0000}"/>
    <cellStyle name="Porcentagem 5" xfId="4092" xr:uid="{00000000-0005-0000-0000-0000032D0000}"/>
    <cellStyle name="Porcentagem 5 2" xfId="4093" xr:uid="{00000000-0005-0000-0000-0000042D0000}"/>
    <cellStyle name="Porcentagem 5 3" xfId="5106" xr:uid="{00000000-0005-0000-0000-0000052D0000}"/>
    <cellStyle name="Porcentagem 6" xfId="4094" xr:uid="{00000000-0005-0000-0000-0000062D0000}"/>
    <cellStyle name="Porcentagem 6 2" xfId="4095" xr:uid="{00000000-0005-0000-0000-0000072D0000}"/>
    <cellStyle name="Porcentagem 6 2 2" xfId="4096" xr:uid="{00000000-0005-0000-0000-0000082D0000}"/>
    <cellStyle name="Porcentagem 6 2 3" xfId="4097" xr:uid="{00000000-0005-0000-0000-0000092D0000}"/>
    <cellStyle name="Porcentagem 6 2 4" xfId="4098" xr:uid="{00000000-0005-0000-0000-00000A2D0000}"/>
    <cellStyle name="Porcentagem 6 2 5" xfId="4099" xr:uid="{00000000-0005-0000-0000-00000B2D0000}"/>
    <cellStyle name="Porcentagem 6 2 6" xfId="4100" xr:uid="{00000000-0005-0000-0000-00000C2D0000}"/>
    <cellStyle name="Porcentagem 6 2 7" xfId="4101" xr:uid="{00000000-0005-0000-0000-00000D2D0000}"/>
    <cellStyle name="Porcentagem 6 2 8" xfId="4102" xr:uid="{00000000-0005-0000-0000-00000E2D0000}"/>
    <cellStyle name="Porcentagem 6 3" xfId="4103" xr:uid="{00000000-0005-0000-0000-00000F2D0000}"/>
    <cellStyle name="Porcentagem 6 3 2" xfId="10357" xr:uid="{00000000-0005-0000-0000-0000102D0000}"/>
    <cellStyle name="Porcentagem 6 3 2 2" xfId="19163" xr:uid="{3E9FB562-0848-4304-B625-1CD3A9D781BC}"/>
    <cellStyle name="Porcentagem 6 3 3" xfId="8756" xr:uid="{00000000-0005-0000-0000-0000112D0000}"/>
    <cellStyle name="Porcentagem 6 3 3 2" xfId="17564" xr:uid="{08DFBEC5-A9DB-453A-B022-4D8680902B08}"/>
    <cellStyle name="Porcentagem 6 3 4" xfId="11968" xr:uid="{00000000-0005-0000-0000-0000122D0000}"/>
    <cellStyle name="Porcentagem 6 3 4 2" xfId="20711" xr:uid="{5042A25E-8B73-4760-AFC9-35022A0A928C}"/>
    <cellStyle name="Porcentagem 6 3 5" xfId="13574" xr:uid="{00000000-0005-0000-0000-0000132D0000}"/>
    <cellStyle name="Porcentagem 6 3 5 2" xfId="22310" xr:uid="{FD7EF103-981B-47CB-B7A2-D47E1A360F57}"/>
    <cellStyle name="Porcentagem 6 3 6" xfId="15836" xr:uid="{55D12AA2-8321-4617-B686-F0356A01B4AA}"/>
    <cellStyle name="Porcentagem 6 4" xfId="4104" xr:uid="{00000000-0005-0000-0000-0000142D0000}"/>
    <cellStyle name="Porcentagem 6 5" xfId="4105" xr:uid="{00000000-0005-0000-0000-0000152D0000}"/>
    <cellStyle name="Porcentagem 6 6" xfId="4106" xr:uid="{00000000-0005-0000-0000-0000162D0000}"/>
    <cellStyle name="Porcentagem 6 7" xfId="4107" xr:uid="{00000000-0005-0000-0000-0000172D0000}"/>
    <cellStyle name="Porcentagem 6 8" xfId="4108" xr:uid="{00000000-0005-0000-0000-0000182D0000}"/>
    <cellStyle name="Porcentagem 7" xfId="4109" xr:uid="{00000000-0005-0000-0000-0000192D0000}"/>
    <cellStyle name="Porcentagem 7 2" xfId="4110" xr:uid="{00000000-0005-0000-0000-00001A2D0000}"/>
    <cellStyle name="Porcentagem 7 3" xfId="5188" xr:uid="{00000000-0005-0000-0000-00001B2D0000}"/>
    <cellStyle name="Porcentagem 7 3 2" xfId="16129" xr:uid="{EA2576FC-E0A5-424C-BD16-57241B4F3C5B}"/>
    <cellStyle name="Porcentagem 7 4" xfId="13998" xr:uid="{0BF6CFB7-5C72-44E9-B101-22E03A5199FE}"/>
    <cellStyle name="Porcentagem 8" xfId="4111" xr:uid="{00000000-0005-0000-0000-00001C2D0000}"/>
    <cellStyle name="Porcentagem 8 2" xfId="5768" xr:uid="{00000000-0005-0000-0000-00001D2D0000}"/>
    <cellStyle name="Porcentagem 8 2 2" xfId="10358" xr:uid="{00000000-0005-0000-0000-00001E2D0000}"/>
    <cellStyle name="Porcentagem 8 2 2 2" xfId="19164" xr:uid="{25B392A7-1F84-45E6-B3C3-9267D5B4823D}"/>
    <cellStyle name="Porcentagem 8 3" xfId="8757" xr:uid="{00000000-0005-0000-0000-00001F2D0000}"/>
    <cellStyle name="Porcentagem 8 3 2" xfId="17565" xr:uid="{1C3B14F8-A5B0-4438-831F-BEB7CDD332D3}"/>
    <cellStyle name="Porcentagem 8 4" xfId="11969" xr:uid="{00000000-0005-0000-0000-0000202D0000}"/>
    <cellStyle name="Porcentagem 8 4 2" xfId="20712" xr:uid="{C3B0FF00-8BF2-402E-BA76-AF22FC86689B}"/>
    <cellStyle name="Porcentagem 8 5" xfId="13575" xr:uid="{00000000-0005-0000-0000-0000212D0000}"/>
    <cellStyle name="Porcentagem 8 5 2" xfId="22311" xr:uid="{B36D995C-418C-4C44-83E6-4E160F6E8949}"/>
    <cellStyle name="Porcentagem 8 6" xfId="15837" xr:uid="{0E6CB8F9-B639-44AD-9132-2424DFA7CB10}"/>
    <cellStyle name="Porcentagem 9" xfId="108" xr:uid="{00000000-0005-0000-0000-0000222D0000}"/>
    <cellStyle name="Porcentagem 9 2" xfId="4112" xr:uid="{00000000-0005-0000-0000-0000232D0000}"/>
    <cellStyle name="PrePop Currency (0)" xfId="5107" xr:uid="{00000000-0005-0000-0000-0000252D0000}"/>
    <cellStyle name="PrePop Currency (2)" xfId="5108" xr:uid="{00000000-0005-0000-0000-0000262D0000}"/>
    <cellStyle name="PrePop Units (0)" xfId="5109" xr:uid="{00000000-0005-0000-0000-0000272D0000}"/>
    <cellStyle name="PrePop Units (1)" xfId="5110" xr:uid="{00000000-0005-0000-0000-0000282D0000}"/>
    <cellStyle name="PrePop Units (2)" xfId="5111" xr:uid="{00000000-0005-0000-0000-0000292D0000}"/>
    <cellStyle name="PROTECTED" xfId="4113" xr:uid="{00000000-0005-0000-0000-00002A2D0000}"/>
    <cellStyle name="PSChar" xfId="5112" xr:uid="{00000000-0005-0000-0000-00002B2D0000}"/>
    <cellStyle name="PSDate" xfId="5113" xr:uid="{00000000-0005-0000-0000-00002C2D0000}"/>
    <cellStyle name="Punto0" xfId="5114" xr:uid="{00000000-0005-0000-0000-00002D2D0000}"/>
    <cellStyle name="Quadro" xfId="4114" xr:uid="{00000000-0005-0000-0000-00002E2D0000}"/>
    <cellStyle name="Quadro 2" xfId="4115" xr:uid="{00000000-0005-0000-0000-00002F2D0000}"/>
    <cellStyle name="Quadro 3" xfId="4116" xr:uid="{00000000-0005-0000-0000-0000302D0000}"/>
    <cellStyle name="Quadro 4" xfId="4117" xr:uid="{00000000-0005-0000-0000-0000312D0000}"/>
    <cellStyle name="Red font" xfId="4118" xr:uid="{00000000-0005-0000-0000-0000322D0000}"/>
    <cellStyle name="Red Text" xfId="5115" xr:uid="{00000000-0005-0000-0000-0000332D0000}"/>
    <cellStyle name="RevList" xfId="4119" xr:uid="{00000000-0005-0000-0000-0000342D0000}"/>
    <cellStyle name="RevList 2" xfId="5116" xr:uid="{00000000-0005-0000-0000-0000352D0000}"/>
    <cellStyle name="Saída" xfId="86" xr:uid="{00000000-0005-0000-0000-0000362D0000}"/>
    <cellStyle name="Saída 10" xfId="5576" xr:uid="{00000000-0005-0000-0000-0000372D0000}"/>
    <cellStyle name="Saída 10 2" xfId="14124" xr:uid="{F2974C81-A694-4A38-84A5-361A974B84E1}"/>
    <cellStyle name="Saída 10 3" xfId="16167" xr:uid="{3C4892E9-5B44-47E5-826C-B7ECB798C5FE}"/>
    <cellStyle name="Saída 11" xfId="5497" xr:uid="{00000000-0005-0000-0000-0000382D0000}"/>
    <cellStyle name="Saída 11 2" xfId="14098" xr:uid="{6DAADC23-08B9-4270-9AC3-0AE04C8E5833}"/>
    <cellStyle name="Saída 11 3" xfId="22591" xr:uid="{F408CB99-205C-4800-8600-F01A86B0023A}"/>
    <cellStyle name="Saída 12" xfId="5588" xr:uid="{00000000-0005-0000-0000-0000392D0000}"/>
    <cellStyle name="Saída 12 2" xfId="14127" xr:uid="{642E78A7-590E-48B2-BF91-665686903862}"/>
    <cellStyle name="Saída 12 3" xfId="16168" xr:uid="{E07097E4-DCD8-4815-B739-3171231023D9}"/>
    <cellStyle name="Saída 13" xfId="5480" xr:uid="{00000000-0005-0000-0000-00003A2D0000}"/>
    <cellStyle name="Saída 13 2" xfId="14094" xr:uid="{03A529EB-0FB8-4EC9-A7E3-9BA956C3648D}"/>
    <cellStyle name="Saída 13 3" xfId="22593" xr:uid="{CC89119F-E092-4A82-9240-B0EF6F5FBCAC}"/>
    <cellStyle name="Saída 14" xfId="5615" xr:uid="{00000000-0005-0000-0000-00003B2D0000}"/>
    <cellStyle name="Saída 14 2" xfId="14136" xr:uid="{B2ED95E0-99AA-4C1D-BC53-9F3B335737F7}"/>
    <cellStyle name="Saída 14 3" xfId="16184" xr:uid="{53F56D42-3468-4FFA-956F-1116CC0F831B}"/>
    <cellStyle name="Saída 15" xfId="5732" xr:uid="{00000000-0005-0000-0000-00003C2D0000}"/>
    <cellStyle name="Saída 15 2" xfId="14171" xr:uid="{A22E4BC3-3020-403A-A2E9-4BB7E5A25D10}"/>
    <cellStyle name="Saída 15 3" xfId="14772" xr:uid="{0B988651-FCD6-4239-A70A-449197FAB7C0}"/>
    <cellStyle name="Saída 16" xfId="5690" xr:uid="{00000000-0005-0000-0000-00003D2D0000}"/>
    <cellStyle name="Saída 16 2" xfId="14160" xr:uid="{F9F9DF4F-1FC6-40F9-AECC-0A8B5ECC335D}"/>
    <cellStyle name="Saída 16 3" xfId="14597" xr:uid="{1F2B950F-D1CE-448E-8D03-EF3DE0E0ABA6}"/>
    <cellStyle name="Saída 17" xfId="5776" xr:uid="{00000000-0005-0000-0000-00003E2D0000}"/>
    <cellStyle name="Saída 18" xfId="10596" xr:uid="{00000000-0005-0000-0000-00003F2D0000}"/>
    <cellStyle name="Saída 2" xfId="5117" xr:uid="{00000000-0005-0000-0000-0000402D0000}"/>
    <cellStyle name="Saída 2 2" xfId="6977" xr:uid="{00000000-0005-0000-0000-0000412D0000}"/>
    <cellStyle name="Saída 2 2 2" xfId="6978" xr:uid="{00000000-0005-0000-0000-0000422D0000}"/>
    <cellStyle name="Saída 2 2 2 2" xfId="6979" xr:uid="{00000000-0005-0000-0000-0000432D0000}"/>
    <cellStyle name="Saída 2 2 2 2 2" xfId="6980" xr:uid="{00000000-0005-0000-0000-0000442D0000}"/>
    <cellStyle name="Saída 2 2 2 2 2 2" xfId="6981" xr:uid="{00000000-0005-0000-0000-0000452D0000}"/>
    <cellStyle name="Saída 2 2 2 2 2 2 2" xfId="6982" xr:uid="{00000000-0005-0000-0000-0000462D0000}"/>
    <cellStyle name="Saída 2 2 2 2 2 2 2 2" xfId="6983" xr:uid="{00000000-0005-0000-0000-0000472D0000}"/>
    <cellStyle name="Saída 2 2 2 2 2 2 2 2 2" xfId="14660" xr:uid="{D5140261-5FAF-499B-BF6E-CFB2F0EDCF9E}"/>
    <cellStyle name="Saída 2 2 2 2 2 2 2 2 3" xfId="22647" xr:uid="{8B1134ED-C078-4B56-8905-53506401A74C}"/>
    <cellStyle name="Saída 2 2 2 2 2 2 3" xfId="6984" xr:uid="{00000000-0005-0000-0000-0000482D0000}"/>
    <cellStyle name="Saída 2 2 2 2 2 2 3 2" xfId="14661" xr:uid="{CFA68C4A-C5FB-45D3-8744-2D77F792805C}"/>
    <cellStyle name="Saída 2 2 2 2 2 2 3 3" xfId="22619" xr:uid="{448D05FA-040E-4D72-9B34-FB60BD5F96C3}"/>
    <cellStyle name="Saída 2 2 2 2 2 2 4" xfId="14658" xr:uid="{2D476A49-4209-46DE-8B2A-AB06E2068C36}"/>
    <cellStyle name="Saída 2 2 2 2 2 2 5" xfId="16107" xr:uid="{325305A7-B52D-4ABA-84C5-04D793FC4697}"/>
    <cellStyle name="Saída 2 2 2 2 2 3" xfId="6985" xr:uid="{00000000-0005-0000-0000-0000492D0000}"/>
    <cellStyle name="Saída 2 2 2 2 2 3 2" xfId="6986" xr:uid="{00000000-0005-0000-0000-00004A2D0000}"/>
    <cellStyle name="Saída 2 2 2 2 2 3 3" xfId="14662" xr:uid="{7C00FCF6-917A-4405-8E20-57A1F58C6844}"/>
    <cellStyle name="Saída 2 2 2 2 2 3 4" xfId="16108" xr:uid="{902029C2-50F3-416F-A36A-F52FF0C298FD}"/>
    <cellStyle name="Saída 2 2 2 2 3" xfId="6987" xr:uid="{00000000-0005-0000-0000-00004B2D0000}"/>
    <cellStyle name="Saída 2 2 2 2 3 2" xfId="6988" xr:uid="{00000000-0005-0000-0000-00004C2D0000}"/>
    <cellStyle name="Saída 2 2 2 2 3 2 2" xfId="14664" xr:uid="{3E777E06-4FA6-4057-B8EC-00C88430E293}"/>
    <cellStyle name="Saída 2 2 2 2 3 2 3" xfId="22646" xr:uid="{69020A41-EE71-448B-9BE3-D150C555A283}"/>
    <cellStyle name="Saída 2 2 2 2 4" xfId="14657" xr:uid="{F44EE6A9-E893-4A86-A927-5D42C719E058}"/>
    <cellStyle name="Saída 2 2 2 2 5" xfId="22634" xr:uid="{F1352940-4FC7-4A65-9CCA-94BA7B355C46}"/>
    <cellStyle name="Saída 2 2 2 3" xfId="6989" xr:uid="{00000000-0005-0000-0000-00004D2D0000}"/>
    <cellStyle name="Saída 2 2 2 3 2" xfId="14665" xr:uid="{E9B9B701-2DF4-4E5A-829B-0B99975E04A7}"/>
    <cellStyle name="Saída 2 2 2 3 3" xfId="22618" xr:uid="{2E02C06A-2768-4CB5-8B8E-C67E5C8C44AC}"/>
    <cellStyle name="Saída 2 2 2 4" xfId="6990" xr:uid="{00000000-0005-0000-0000-00004E2D0000}"/>
    <cellStyle name="Saída 2 2 2 4 2" xfId="6991" xr:uid="{00000000-0005-0000-0000-00004F2D0000}"/>
    <cellStyle name="Saída 2 2 2 4 3" xfId="14666" xr:uid="{66C3E6E8-5F12-4348-BD76-20B861D1D6D3}"/>
    <cellStyle name="Saída 2 2 2 4 4" xfId="16109" xr:uid="{D88545BB-FCC9-4052-A68D-02730C776ECC}"/>
    <cellStyle name="Saída 2 2 3" xfId="6992" xr:uid="{00000000-0005-0000-0000-0000502D0000}"/>
    <cellStyle name="Saída 2 2 4" xfId="6993" xr:uid="{00000000-0005-0000-0000-0000512D0000}"/>
    <cellStyle name="Saída 2 2 4 2" xfId="6994" xr:uid="{00000000-0005-0000-0000-0000522D0000}"/>
    <cellStyle name="Saída 2 2 4 2 2" xfId="14667" xr:uid="{0691E5EF-C176-436A-832E-95E0B038B8F6}"/>
    <cellStyle name="Saída 2 2 4 2 3" xfId="16110" xr:uid="{39A2C65E-C68B-40C6-B284-4AA290DF7442}"/>
    <cellStyle name="Saída 2 2 5" xfId="14656" xr:uid="{0F386B93-EEF5-4C76-A3DF-229D3A4E5821}"/>
    <cellStyle name="Saída 2 2 6" xfId="22648" xr:uid="{B90A5132-02E6-4FF1-9317-82220BEBA061}"/>
    <cellStyle name="Saída 2 3" xfId="6995" xr:uid="{00000000-0005-0000-0000-0000532D0000}"/>
    <cellStyle name="Saída 2 3 2" xfId="14668" xr:uid="{91EEA33B-3F79-4D96-B40E-DF6CB91FEC86}"/>
    <cellStyle name="Saída 2 3 3" xfId="22664" xr:uid="{5E67921C-F963-438A-8780-798DA2812306}"/>
    <cellStyle name="Saída 2 4" xfId="6996" xr:uid="{00000000-0005-0000-0000-0000542D0000}"/>
    <cellStyle name="Saída 2 4 2" xfId="14669" xr:uid="{1496AE08-3EF0-401C-8294-1B27E284F833}"/>
    <cellStyle name="Saída 2 4 3" xfId="22645" xr:uid="{E6DA09D5-6E43-427D-9A15-B32F762F37E5}"/>
    <cellStyle name="Saída 2 5" xfId="6997" xr:uid="{00000000-0005-0000-0000-0000552D0000}"/>
    <cellStyle name="Saída 2 5 2" xfId="14670" xr:uid="{54A9A3EA-CEDE-44D9-9455-81B094FD84D5}"/>
    <cellStyle name="Saída 2 5 3" xfId="22617" xr:uid="{ED66EEC1-64B1-40B8-B511-A2C38615FC46}"/>
    <cellStyle name="Saída 2 6" xfId="6998" xr:uid="{00000000-0005-0000-0000-0000562D0000}"/>
    <cellStyle name="Saída 2 6 2" xfId="6999" xr:uid="{00000000-0005-0000-0000-0000572D0000}"/>
    <cellStyle name="Saída 2 6 3" xfId="14671" xr:uid="{858CF412-A58A-4776-8961-B06DF0004286}"/>
    <cellStyle name="Saída 2 6 4" xfId="16111" xr:uid="{5F8C4B8C-C82B-46F9-AECC-5300A833F442}"/>
    <cellStyle name="Saída 2 7" xfId="6976" xr:uid="{00000000-0005-0000-0000-0000582D0000}"/>
    <cellStyle name="Saída 2 8" xfId="13967" xr:uid="{4CAEA93A-B334-4303-956F-84DF543900F5}"/>
    <cellStyle name="Saída 2 9" xfId="16142" xr:uid="{F676B69D-B9BA-4709-8F07-68A915DDB40C}"/>
    <cellStyle name="Saída 3" xfId="5311" xr:uid="{00000000-0005-0000-0000-0000592D0000}"/>
    <cellStyle name="Saída 3 2" xfId="7001" xr:uid="{00000000-0005-0000-0000-00005A2D0000}"/>
    <cellStyle name="Saída 3 3" xfId="7002" xr:uid="{00000000-0005-0000-0000-00005B2D0000}"/>
    <cellStyle name="Saída 3 4" xfId="7003" xr:uid="{00000000-0005-0000-0000-00005C2D0000}"/>
    <cellStyle name="Saída 3 5" xfId="7000" xr:uid="{00000000-0005-0000-0000-00005D2D0000}"/>
    <cellStyle name="Saída 3 6" xfId="14036" xr:uid="{63AC1C56-9FCE-4DF5-9F53-CECA84628035}"/>
    <cellStyle name="Saída 3 7" xfId="16216" xr:uid="{7545D40B-BCDA-4B7B-9F9C-35B0796AE48F}"/>
    <cellStyle name="Saída 4" xfId="5220" xr:uid="{00000000-0005-0000-0000-00005E2D0000}"/>
    <cellStyle name="Saída 4 2" xfId="7005" xr:uid="{00000000-0005-0000-0000-00005F2D0000}"/>
    <cellStyle name="Saída 4 3" xfId="7006" xr:uid="{00000000-0005-0000-0000-0000602D0000}"/>
    <cellStyle name="Saída 4 4" xfId="7004" xr:uid="{00000000-0005-0000-0000-0000612D0000}"/>
    <cellStyle name="Saída 4 5" xfId="14010" xr:uid="{BFC8F0AE-850B-4A77-8E44-8F4EEE8B33D7}"/>
    <cellStyle name="Saída 4 6" xfId="22586" xr:uid="{6DEA6D77-190D-4281-B03E-539A954FC875}"/>
    <cellStyle name="Saída 5" xfId="5322" xr:uid="{00000000-0005-0000-0000-0000622D0000}"/>
    <cellStyle name="Saída 5 2" xfId="7008" xr:uid="{00000000-0005-0000-0000-0000632D0000}"/>
    <cellStyle name="Saída 5 3" xfId="7007" xr:uid="{00000000-0005-0000-0000-0000642D0000}"/>
    <cellStyle name="Saída 5 4" xfId="14040" xr:uid="{90104E98-A551-4BC9-B2E5-0BC2485DE76F}"/>
    <cellStyle name="Saída 5 5" xfId="16146" xr:uid="{A1F0875E-E35A-4C86-A4CB-DA7C071FDB2E}"/>
    <cellStyle name="Saída 6" xfId="5197" xr:uid="{00000000-0005-0000-0000-0000652D0000}"/>
    <cellStyle name="Saída 6 2" xfId="7010" xr:uid="{00000000-0005-0000-0000-0000662D0000}"/>
    <cellStyle name="Saída 6 2 2" xfId="14673" xr:uid="{82BA0797-E6F6-40B5-912E-D551EED57ECA}"/>
    <cellStyle name="Saída 6 2 3" xfId="22663" xr:uid="{0604A656-5423-4538-BC90-ECDA8C1EF8F5}"/>
    <cellStyle name="Saída 6 3" xfId="7371" xr:uid="{00000000-0005-0000-0000-0000672D0000}"/>
    <cellStyle name="Saída 6 4" xfId="7009" xr:uid="{00000000-0005-0000-0000-0000682D0000}"/>
    <cellStyle name="Saída 6 5" xfId="14003" xr:uid="{5216BB4B-BF88-4C53-A5C9-6ED0AB383F31}"/>
    <cellStyle name="Saída 6 6" xfId="22601" xr:uid="{8575C521-D4EA-42A8-AC79-DE6E5DAB354C}"/>
    <cellStyle name="Saída 7" xfId="5352" xr:uid="{00000000-0005-0000-0000-0000692D0000}"/>
    <cellStyle name="Saída 7 2" xfId="7372" xr:uid="{00000000-0005-0000-0000-00006A2D0000}"/>
    <cellStyle name="Saída 7 3" xfId="7011" xr:uid="{00000000-0005-0000-0000-00006B2D0000}"/>
    <cellStyle name="Saída 7 4" xfId="14051" xr:uid="{AEA515F6-6231-426E-9F71-C90C2588794F}"/>
    <cellStyle name="Saída 7 5" xfId="16173" xr:uid="{5F94A9FE-D7D8-4495-B424-6EAAB84AB094}"/>
    <cellStyle name="Saída 8" xfId="5381" xr:uid="{00000000-0005-0000-0000-00006C2D0000}"/>
    <cellStyle name="Saída 8 2" xfId="14061" xr:uid="{6A6A5D3F-A463-40C6-B7D9-0F2115E54729}"/>
    <cellStyle name="Saída 8 3" xfId="16175" xr:uid="{C24D3617-56EE-4B08-906C-048EE6BEBDCB}"/>
    <cellStyle name="Saída 9" xfId="5408" xr:uid="{00000000-0005-0000-0000-00006D2D0000}"/>
    <cellStyle name="Saída 9 2" xfId="14070" xr:uid="{EBC75E79-51AC-4C16-BE2A-F10567D80C1F}"/>
    <cellStyle name="Saída 9 3" xfId="16177" xr:uid="{5123E2CE-F0F5-4A5A-8FA5-E660711CCB71}"/>
    <cellStyle name="Salida" xfId="4120" xr:uid="{00000000-0005-0000-0000-00006E2D0000}"/>
    <cellStyle name="Salida 2" xfId="4121" xr:uid="{00000000-0005-0000-0000-00006F2D0000}"/>
    <cellStyle name="Salida 2 2" xfId="4122" xr:uid="{00000000-0005-0000-0000-0000702D0000}"/>
    <cellStyle name="Salida 2 2 2" xfId="10579" xr:uid="{00000000-0005-0000-0000-0000712D0000}"/>
    <cellStyle name="Salida 2 3" xfId="10578" xr:uid="{00000000-0005-0000-0000-0000722D0000}"/>
    <cellStyle name="Salida 3" xfId="4123" xr:uid="{00000000-0005-0000-0000-0000732D0000}"/>
    <cellStyle name="Salida 3 2" xfId="4124" xr:uid="{00000000-0005-0000-0000-0000742D0000}"/>
    <cellStyle name="Salida 3 2 2" xfId="10581" xr:uid="{00000000-0005-0000-0000-0000752D0000}"/>
    <cellStyle name="Salida 3 3" xfId="10580" xr:uid="{00000000-0005-0000-0000-0000762D0000}"/>
    <cellStyle name="Salida 4" xfId="4125" xr:uid="{00000000-0005-0000-0000-0000772D0000}"/>
    <cellStyle name="Salida 4 2" xfId="10582" xr:uid="{00000000-0005-0000-0000-0000782D0000}"/>
    <cellStyle name="Salida 5" xfId="10577" xr:uid="{00000000-0005-0000-0000-0000792D0000}"/>
    <cellStyle name="Salomon Logo" xfId="5118" xr:uid="{00000000-0005-0000-0000-00007A2D0000}"/>
    <cellStyle name="SelectFormat" xfId="5119" xr:uid="{00000000-0005-0000-0000-00007B2D0000}"/>
    <cellStyle name="SelectFormat 2" xfId="13968" xr:uid="{18BFBD5D-859D-4E42-946D-343C36C4BA86}"/>
    <cellStyle name="SelectFormat 3" xfId="22611" xr:uid="{953F10A6-0697-4313-8586-A1D714B2E0A7}"/>
    <cellStyle name="Sep. milhar [0]" xfId="4126" xr:uid="{00000000-0005-0000-0000-00007C2D0000}"/>
    <cellStyle name="Separador de milhares 10" xfId="4127" xr:uid="{00000000-0005-0000-0000-00007D2D0000}"/>
    <cellStyle name="Separador de milhares 10 10" xfId="8758" xr:uid="{00000000-0005-0000-0000-00007E2D0000}"/>
    <cellStyle name="Separador de milhares 10 10 2" xfId="17566" xr:uid="{5AD9D1ED-F1C9-4015-94A3-819F962CEC23}"/>
    <cellStyle name="Separador de milhares 10 10 2 2" xfId="23232" xr:uid="{DD231645-C07E-4F3E-BFC0-606AD352ADFC}"/>
    <cellStyle name="Separador de milhares 10 11" xfId="11970" xr:uid="{00000000-0005-0000-0000-00007F2D0000}"/>
    <cellStyle name="Separador de milhares 10 11 2" xfId="20713" xr:uid="{AAB9C7B1-DD15-4B00-B129-EDD444FAA8EF}"/>
    <cellStyle name="Separador de milhares 10 11 2 2" xfId="23609" xr:uid="{C92376F7-AB22-4C08-AF5A-517AE42151A9}"/>
    <cellStyle name="Separador de milhares 10 12" xfId="13576" xr:uid="{00000000-0005-0000-0000-0000802D0000}"/>
    <cellStyle name="Separador de milhares 10 12 2" xfId="22312" xr:uid="{5B78F374-95F9-463F-B210-E0FC1F45F6A5}"/>
    <cellStyle name="Separador de milhares 10 12 2 2" xfId="23880" xr:uid="{1EE2115C-C7ED-41EA-A346-C4D8D6906D41}"/>
    <cellStyle name="Separador de milhares 10 13" xfId="15838" xr:uid="{13C0D77D-3BD8-4A2E-B684-D7C8D8140531}"/>
    <cellStyle name="Separador de milhares 10 13 2" xfId="22948" xr:uid="{C6274A56-7455-42AC-BFDE-FD2450531E48}"/>
    <cellStyle name="Separador de milhares 10 2" xfId="4128" xr:uid="{00000000-0005-0000-0000-0000812D0000}"/>
    <cellStyle name="Separador de milhares 10 2 2" xfId="4129" xr:uid="{00000000-0005-0000-0000-0000822D0000}"/>
    <cellStyle name="Separador de milhares 10 2 2 2" xfId="8760" xr:uid="{00000000-0005-0000-0000-0000832D0000}"/>
    <cellStyle name="Separador de milhares 10 2 2 2 2" xfId="17568" xr:uid="{5ABADFDF-1358-4821-A613-82E8C68D1D7F}"/>
    <cellStyle name="Separador de milhares 10 2 2 2 2 2" xfId="23234" xr:uid="{E9EB6D08-DEFB-4769-BB38-BF61B7FE92F9}"/>
    <cellStyle name="Separador de milhares 10 2 2 3" xfId="11972" xr:uid="{00000000-0005-0000-0000-0000842D0000}"/>
    <cellStyle name="Separador de milhares 10 2 2 3 2" xfId="20715" xr:uid="{BF43EBCA-5DE4-43E9-968B-E4F1DD1DF561}"/>
    <cellStyle name="Separador de milhares 10 2 2 3 2 2" xfId="23611" xr:uid="{8DD2E378-5634-4EB5-8D03-D0C919CC2E44}"/>
    <cellStyle name="Separador de milhares 10 2 2 4" xfId="13578" xr:uid="{00000000-0005-0000-0000-0000852D0000}"/>
    <cellStyle name="Separador de milhares 10 2 2 4 2" xfId="22314" xr:uid="{5170D6AB-3E0F-4124-89F6-2B5D93D09A9F}"/>
    <cellStyle name="Separador de milhares 10 2 2 4 2 2" xfId="23882" xr:uid="{5A1C27F7-E21F-40D1-9BDC-7B310AC99C3A}"/>
    <cellStyle name="Separador de milhares 10 2 2 5" xfId="15840" xr:uid="{6F938219-AF0E-4A41-B44A-F5931A6CAFBB}"/>
    <cellStyle name="Separador de milhares 10 2 2 5 2" xfId="22950" xr:uid="{61B8A949-8850-471D-8118-5F57363BDC6F}"/>
    <cellStyle name="Separador de milhares 10 2 3" xfId="8759" xr:uid="{00000000-0005-0000-0000-0000862D0000}"/>
    <cellStyle name="Separador de milhares 10 2 3 2" xfId="17567" xr:uid="{95F872C8-7264-4E7D-88DF-855CB58FD051}"/>
    <cellStyle name="Separador de milhares 10 2 3 2 2" xfId="23233" xr:uid="{56345184-104C-4749-8C3F-4E0252C1185D}"/>
    <cellStyle name="Separador de milhares 10 2 4" xfId="11971" xr:uid="{00000000-0005-0000-0000-0000872D0000}"/>
    <cellStyle name="Separador de milhares 10 2 4 2" xfId="20714" xr:uid="{409159E4-17CA-48A1-B7D6-B7C60EB83FFF}"/>
    <cellStyle name="Separador de milhares 10 2 4 2 2" xfId="23610" xr:uid="{C20E4EBB-5B45-46D4-A0C3-2BD161131A21}"/>
    <cellStyle name="Separador de milhares 10 2 5" xfId="13577" xr:uid="{00000000-0005-0000-0000-0000882D0000}"/>
    <cellStyle name="Separador de milhares 10 2 5 2" xfId="22313" xr:uid="{6BE85B88-8771-4798-8DFE-CC448F3B2A39}"/>
    <cellStyle name="Separador de milhares 10 2 5 2 2" xfId="23881" xr:uid="{224D945F-01B2-4FB9-9517-CB8666B3A0A0}"/>
    <cellStyle name="Separador de milhares 10 2 6" xfId="15839" xr:uid="{FD26529B-F3FB-4058-A9B1-17DB57F2C49D}"/>
    <cellStyle name="Separador de milhares 10 2 6 2" xfId="22949" xr:uid="{6ED83B2E-2782-45CD-8B93-5152C398C7ED}"/>
    <cellStyle name="Separador de milhares 10 3" xfId="4130" xr:uid="{00000000-0005-0000-0000-0000892D0000}"/>
    <cellStyle name="Separador de milhares 10 3 2" xfId="4131" xr:uid="{00000000-0005-0000-0000-00008A2D0000}"/>
    <cellStyle name="Separador de milhares 10 3 2 2" xfId="8762" xr:uid="{00000000-0005-0000-0000-00008B2D0000}"/>
    <cellStyle name="Separador de milhares 10 3 2 2 2" xfId="17570" xr:uid="{2A4DEC04-820E-44A0-8902-82DDD1A90129}"/>
    <cellStyle name="Separador de milhares 10 3 2 2 2 2" xfId="23236" xr:uid="{2E32AD62-AE28-4B39-B925-924A57140100}"/>
    <cellStyle name="Separador de milhares 10 3 2 3" xfId="11974" xr:uid="{00000000-0005-0000-0000-00008C2D0000}"/>
    <cellStyle name="Separador de milhares 10 3 2 3 2" xfId="20717" xr:uid="{6812071D-BE18-43A4-99B8-7E51D7CBF999}"/>
    <cellStyle name="Separador de milhares 10 3 2 3 2 2" xfId="23613" xr:uid="{C2B06078-6218-4112-A1C3-65162418DE47}"/>
    <cellStyle name="Separador de milhares 10 3 2 4" xfId="13580" xr:uid="{00000000-0005-0000-0000-00008D2D0000}"/>
    <cellStyle name="Separador de milhares 10 3 2 4 2" xfId="22316" xr:uid="{DA692361-808E-46A4-BC13-0FF51800F78E}"/>
    <cellStyle name="Separador de milhares 10 3 2 4 2 2" xfId="23884" xr:uid="{5448FEF7-FC78-4FC3-BAC2-0854A8A73231}"/>
    <cellStyle name="Separador de milhares 10 3 2 5" xfId="15842" xr:uid="{B83F46B7-8E1D-44DD-8238-874D929604BC}"/>
    <cellStyle name="Separador de milhares 10 3 2 5 2" xfId="22952" xr:uid="{C39ECC09-74D7-4ECF-97D4-A129D8D63DD1}"/>
    <cellStyle name="Separador de milhares 10 3 3" xfId="8761" xr:uid="{00000000-0005-0000-0000-00008E2D0000}"/>
    <cellStyle name="Separador de milhares 10 3 3 2" xfId="17569" xr:uid="{7C109681-78F8-456F-A6FE-12884255D5CB}"/>
    <cellStyle name="Separador de milhares 10 3 3 2 2" xfId="23235" xr:uid="{66ED98CE-0BA6-427F-8BB8-17C0A98B75E1}"/>
    <cellStyle name="Separador de milhares 10 3 4" xfId="11973" xr:uid="{00000000-0005-0000-0000-00008F2D0000}"/>
    <cellStyle name="Separador de milhares 10 3 4 2" xfId="20716" xr:uid="{7B52897A-7A55-425F-9066-8C646824D1FE}"/>
    <cellStyle name="Separador de milhares 10 3 4 2 2" xfId="23612" xr:uid="{91008AE9-F71B-4723-940C-339C5D92EBAD}"/>
    <cellStyle name="Separador de milhares 10 3 5" xfId="13579" xr:uid="{00000000-0005-0000-0000-0000902D0000}"/>
    <cellStyle name="Separador de milhares 10 3 5 2" xfId="22315" xr:uid="{99A56E78-342E-4D56-A343-766E686C1140}"/>
    <cellStyle name="Separador de milhares 10 3 5 2 2" xfId="23883" xr:uid="{C684DB85-D226-41B4-B96D-8C90B2AE1A98}"/>
    <cellStyle name="Separador de milhares 10 3 6" xfId="15841" xr:uid="{A808BE0C-E72F-4915-9654-90CA9335E7DC}"/>
    <cellStyle name="Separador de milhares 10 3 6 2" xfId="22951" xr:uid="{C5C394A8-9302-4D3C-8263-EFCC1EC39EB5}"/>
    <cellStyle name="Separador de milhares 10 4" xfId="4132" xr:uid="{00000000-0005-0000-0000-0000912D0000}"/>
    <cellStyle name="Separador de milhares 10 4 2" xfId="8763" xr:uid="{00000000-0005-0000-0000-0000922D0000}"/>
    <cellStyle name="Separador de milhares 10 4 2 2" xfId="17571" xr:uid="{B6EBBA3F-385F-413E-B7A4-777D9B69BEAB}"/>
    <cellStyle name="Separador de milhares 10 4 2 2 2" xfId="23237" xr:uid="{8876742C-CE6E-4846-A079-3DFF26588B94}"/>
    <cellStyle name="Separador de milhares 10 4 3" xfId="11975" xr:uid="{00000000-0005-0000-0000-0000932D0000}"/>
    <cellStyle name="Separador de milhares 10 4 3 2" xfId="20718" xr:uid="{F6F6C3D5-724F-4ADD-8C32-09B673BC7B75}"/>
    <cellStyle name="Separador de milhares 10 4 3 2 2" xfId="23614" xr:uid="{51C9B867-8E3E-4BEF-9634-27E02FB0A729}"/>
    <cellStyle name="Separador de milhares 10 4 4" xfId="13581" xr:uid="{00000000-0005-0000-0000-0000942D0000}"/>
    <cellStyle name="Separador de milhares 10 4 4 2" xfId="22317" xr:uid="{A23ADE34-4904-4173-A2B4-8CA84A483AE0}"/>
    <cellStyle name="Separador de milhares 10 4 4 2 2" xfId="23885" xr:uid="{1D00596D-60FE-4FF2-BB59-D05BEB08B2B8}"/>
    <cellStyle name="Separador de milhares 10 4 5" xfId="15843" xr:uid="{16F5140A-29B4-4ECF-9B37-5AD88C8C7A21}"/>
    <cellStyle name="Separador de milhares 10 4 5 2" xfId="22953" xr:uid="{D80934A6-747D-4005-BF6A-13213D2422AA}"/>
    <cellStyle name="Separador de milhares 10 5" xfId="4133" xr:uid="{00000000-0005-0000-0000-0000952D0000}"/>
    <cellStyle name="Separador de milhares 10 5 2" xfId="8764" xr:uid="{00000000-0005-0000-0000-0000962D0000}"/>
    <cellStyle name="Separador de milhares 10 5 2 2" xfId="17572" xr:uid="{0EFE9E6D-4DC2-4F5A-9610-40C2C0B3C6D2}"/>
    <cellStyle name="Separador de milhares 10 5 2 2 2" xfId="23238" xr:uid="{0AB2892C-F961-4EB1-BAC2-83A3A73F65ED}"/>
    <cellStyle name="Separador de milhares 10 5 3" xfId="11976" xr:uid="{00000000-0005-0000-0000-0000972D0000}"/>
    <cellStyle name="Separador de milhares 10 5 3 2" xfId="20719" xr:uid="{5326226D-7E99-457B-83DA-122527B4243E}"/>
    <cellStyle name="Separador de milhares 10 5 3 2 2" xfId="23615" xr:uid="{B398706B-B08D-4953-A74F-314D860A510C}"/>
    <cellStyle name="Separador de milhares 10 5 4" xfId="13582" xr:uid="{00000000-0005-0000-0000-0000982D0000}"/>
    <cellStyle name="Separador de milhares 10 5 4 2" xfId="22318" xr:uid="{3DD8592D-7FFB-4A3F-8445-C2E50F6FFDAC}"/>
    <cellStyle name="Separador de milhares 10 5 4 2 2" xfId="23886" xr:uid="{E6238DE6-AA34-4F93-B089-D5C8D1064BFD}"/>
    <cellStyle name="Separador de milhares 10 5 5" xfId="15844" xr:uid="{1F12AFAE-0B7D-4720-96B1-DDFE04914B2D}"/>
    <cellStyle name="Separador de milhares 10 5 5 2" xfId="22954" xr:uid="{4856231A-74C9-4BBD-A3EC-373F59AE7371}"/>
    <cellStyle name="Separador de milhares 10 6" xfId="4134" xr:uid="{00000000-0005-0000-0000-0000992D0000}"/>
    <cellStyle name="Separador de milhares 10 6 2" xfId="8765" xr:uid="{00000000-0005-0000-0000-00009A2D0000}"/>
    <cellStyle name="Separador de milhares 10 6 2 2" xfId="17573" xr:uid="{4C96C874-3B1C-4989-84A2-70D756F92E44}"/>
    <cellStyle name="Separador de milhares 10 6 2 2 2" xfId="23239" xr:uid="{A68B54A6-254C-4454-BED3-2A41271F0B8C}"/>
    <cellStyle name="Separador de milhares 10 6 3" xfId="11977" xr:uid="{00000000-0005-0000-0000-00009B2D0000}"/>
    <cellStyle name="Separador de milhares 10 6 3 2" xfId="20720" xr:uid="{5DAF427F-7673-4F41-BB8A-BEBC05ED73D8}"/>
    <cellStyle name="Separador de milhares 10 6 3 2 2" xfId="23616" xr:uid="{F8859959-1559-41AA-9FCC-A7AFAB43845B}"/>
    <cellStyle name="Separador de milhares 10 6 4" xfId="13583" xr:uid="{00000000-0005-0000-0000-00009C2D0000}"/>
    <cellStyle name="Separador de milhares 10 6 4 2" xfId="22319" xr:uid="{0718063E-3CF2-4106-B7A4-FEACB5A73C0C}"/>
    <cellStyle name="Separador de milhares 10 6 4 2 2" xfId="23887" xr:uid="{7BC54704-B4CD-4C9B-9F2B-2EB62C5F6451}"/>
    <cellStyle name="Separador de milhares 10 6 5" xfId="15845" xr:uid="{B6A8480C-E994-45F0-97E5-DDF72C840EE3}"/>
    <cellStyle name="Separador de milhares 10 6 5 2" xfId="22955" xr:uid="{A75F0803-FC81-49E1-B8C0-7C0F13186399}"/>
    <cellStyle name="Separador de milhares 10 7" xfId="4135" xr:uid="{00000000-0005-0000-0000-00009D2D0000}"/>
    <cellStyle name="Separador de milhares 10 7 2" xfId="8766" xr:uid="{00000000-0005-0000-0000-00009E2D0000}"/>
    <cellStyle name="Separador de milhares 10 7 2 2" xfId="17574" xr:uid="{2EA28205-27D1-4643-8931-8798279228B6}"/>
    <cellStyle name="Separador de milhares 10 7 2 2 2" xfId="23240" xr:uid="{0C3871BD-15B0-46AD-9055-16468DD7BE02}"/>
    <cellStyle name="Separador de milhares 10 7 3" xfId="11978" xr:uid="{00000000-0005-0000-0000-00009F2D0000}"/>
    <cellStyle name="Separador de milhares 10 7 3 2" xfId="20721" xr:uid="{15F209BE-A08C-4622-9D5C-F28AC57B8587}"/>
    <cellStyle name="Separador de milhares 10 7 3 2 2" xfId="23617" xr:uid="{0EE9CAD9-94B6-4B7A-A429-469C2C16AEE7}"/>
    <cellStyle name="Separador de milhares 10 7 4" xfId="13584" xr:uid="{00000000-0005-0000-0000-0000A02D0000}"/>
    <cellStyle name="Separador de milhares 10 7 4 2" xfId="22320" xr:uid="{EFD8A839-B148-4032-AFF5-4D59779F4891}"/>
    <cellStyle name="Separador de milhares 10 7 4 2 2" xfId="23888" xr:uid="{E0D81487-D442-4C15-B871-DDD18CFE71B3}"/>
    <cellStyle name="Separador de milhares 10 7 5" xfId="15846" xr:uid="{506B52BC-2F2C-4E01-BD9D-CBBD1195382A}"/>
    <cellStyle name="Separador de milhares 10 7 5 2" xfId="22956" xr:uid="{300E4D0C-C3BE-4A60-918F-A26B6FF7BAEF}"/>
    <cellStyle name="Separador de milhares 10 8" xfId="4136" xr:uid="{00000000-0005-0000-0000-0000A12D0000}"/>
    <cellStyle name="Separador de milhares 10 8 2" xfId="8767" xr:uid="{00000000-0005-0000-0000-0000A22D0000}"/>
    <cellStyle name="Separador de milhares 10 8 2 2" xfId="17575" xr:uid="{EE6D7815-5CF3-4150-BE67-33789E2DD5DB}"/>
    <cellStyle name="Separador de milhares 10 8 2 2 2" xfId="23241" xr:uid="{E524D91B-2A38-46BC-88A7-9B607957A3A6}"/>
    <cellStyle name="Separador de milhares 10 8 3" xfId="11979" xr:uid="{00000000-0005-0000-0000-0000A32D0000}"/>
    <cellStyle name="Separador de milhares 10 8 3 2" xfId="20722" xr:uid="{65839987-F5B7-4B43-A9DD-290E156A8725}"/>
    <cellStyle name="Separador de milhares 10 8 3 2 2" xfId="23618" xr:uid="{C61C764A-F0AC-498F-954C-1778D0354166}"/>
    <cellStyle name="Separador de milhares 10 8 4" xfId="13585" xr:uid="{00000000-0005-0000-0000-0000A42D0000}"/>
    <cellStyle name="Separador de milhares 10 8 4 2" xfId="22321" xr:uid="{22C7A30C-50E3-4DC1-8BF7-97E3A89E7451}"/>
    <cellStyle name="Separador de milhares 10 8 4 2 2" xfId="23889" xr:uid="{5F39C9A3-44C9-46CA-AA9A-C777D2999743}"/>
    <cellStyle name="Separador de milhares 10 8 5" xfId="15847" xr:uid="{29029734-ECBD-4776-B06C-D65C31F648B5}"/>
    <cellStyle name="Separador de milhares 10 8 5 2" xfId="22957" xr:uid="{28063BD4-1957-4721-B997-B9920B1E3D7B}"/>
    <cellStyle name="Separador de milhares 10 9" xfId="10359" xr:uid="{00000000-0005-0000-0000-0000A52D0000}"/>
    <cellStyle name="Separador de milhares 10 9 2" xfId="19165" xr:uid="{13345F81-AA5C-43B3-BDA4-0E4D754C6DD6}"/>
    <cellStyle name="Separador de milhares 10 9 2 2" xfId="23495" xr:uid="{3DD6F2E4-8671-4F37-820F-7B96193F241A}"/>
    <cellStyle name="Separador de milhares 11" xfId="4137" xr:uid="{00000000-0005-0000-0000-0000A62D0000}"/>
    <cellStyle name="Separador de milhares 11 10" xfId="8768" xr:uid="{00000000-0005-0000-0000-0000A72D0000}"/>
    <cellStyle name="Separador de milhares 11 10 2" xfId="17576" xr:uid="{F9CC7B4B-6CF0-402A-850B-A5EA02B46067}"/>
    <cellStyle name="Separador de milhares 11 10 2 2" xfId="23242" xr:uid="{4522DC0E-AE25-4827-971A-896732BEA70C}"/>
    <cellStyle name="Separador de milhares 11 11" xfId="11980" xr:uid="{00000000-0005-0000-0000-0000A82D0000}"/>
    <cellStyle name="Separador de milhares 11 11 2" xfId="20723" xr:uid="{8C4FD171-F8BB-4FE7-BBA2-ED8BAF169621}"/>
    <cellStyle name="Separador de milhares 11 11 2 2" xfId="23619" xr:uid="{727162EA-2978-407A-81A6-F471CC7E86CF}"/>
    <cellStyle name="Separador de milhares 11 12" xfId="13586" xr:uid="{00000000-0005-0000-0000-0000A92D0000}"/>
    <cellStyle name="Separador de milhares 11 12 2" xfId="22322" xr:uid="{85EBF935-40CA-4902-8271-2FEB112ECE22}"/>
    <cellStyle name="Separador de milhares 11 12 2 2" xfId="23890" xr:uid="{95F25A33-FA0A-42E6-B817-094100D475A7}"/>
    <cellStyle name="Separador de milhares 11 13" xfId="15848" xr:uid="{B6E8530F-4404-44DD-A977-5B1C73EA00EE}"/>
    <cellStyle name="Separador de milhares 11 13 2" xfId="22958" xr:uid="{B2E9C1E6-E887-4A9A-BA6B-87FA4DC67A4A}"/>
    <cellStyle name="Separador de milhares 11 2" xfId="4138" xr:uid="{00000000-0005-0000-0000-0000AA2D0000}"/>
    <cellStyle name="Separador de milhares 11 2 2" xfId="4139" xr:uid="{00000000-0005-0000-0000-0000AB2D0000}"/>
    <cellStyle name="Separador de milhares 11 2 2 2" xfId="10362" xr:uid="{00000000-0005-0000-0000-0000AC2D0000}"/>
    <cellStyle name="Separador de milhares 11 2 2 2 2" xfId="19168" xr:uid="{C3C46A94-4F16-4349-9901-E785E8E9D363}"/>
    <cellStyle name="Separador de milhares 11 2 2 2 2 2" xfId="23498" xr:uid="{DAE4BF2A-3F38-4B19-A9A3-6432964E2875}"/>
    <cellStyle name="Separador de milhares 11 2 2 3" xfId="8770" xr:uid="{00000000-0005-0000-0000-0000AD2D0000}"/>
    <cellStyle name="Separador de milhares 11 2 2 3 2" xfId="17578" xr:uid="{AAD126A3-34F7-47DB-81B9-C782B6C89C54}"/>
    <cellStyle name="Separador de milhares 11 2 2 3 2 2" xfId="23244" xr:uid="{5F35D44A-61B8-4CA9-B67D-9C783CB75BAB}"/>
    <cellStyle name="Separador de milhares 11 2 2 4" xfId="11982" xr:uid="{00000000-0005-0000-0000-0000AE2D0000}"/>
    <cellStyle name="Separador de milhares 11 2 2 4 2" xfId="20725" xr:uid="{01EB38CA-7310-4E7F-A8EC-9BAF6F6E9EEA}"/>
    <cellStyle name="Separador de milhares 11 2 2 4 2 2" xfId="23621" xr:uid="{CF560D38-892F-4F9F-B340-9B78A85B82EF}"/>
    <cellStyle name="Separador de milhares 11 2 2 5" xfId="13588" xr:uid="{00000000-0005-0000-0000-0000AF2D0000}"/>
    <cellStyle name="Separador de milhares 11 2 2 5 2" xfId="22324" xr:uid="{A8DD7CAE-7719-45C2-A8AE-C72C9A4FA95B}"/>
    <cellStyle name="Separador de milhares 11 2 2 5 2 2" xfId="23892" xr:uid="{358C4230-D708-4CC2-A04E-0DDDC875DBD3}"/>
    <cellStyle name="Separador de milhares 11 2 2 6" xfId="15850" xr:uid="{9610F790-E532-40F7-B43F-4EB17B86E55C}"/>
    <cellStyle name="Separador de milhares 11 2 2 6 2" xfId="22960" xr:uid="{B664B494-DABA-4595-9883-AAA9897D5CF5}"/>
    <cellStyle name="Separador de milhares 11 2 3" xfId="4140" xr:uid="{00000000-0005-0000-0000-0000B02D0000}"/>
    <cellStyle name="Separador de milhares 11 2 3 2" xfId="10363" xr:uid="{00000000-0005-0000-0000-0000B12D0000}"/>
    <cellStyle name="Separador de milhares 11 2 3 2 2" xfId="19169" xr:uid="{57AC0F70-8375-4F9F-85D8-75BAA958E9CC}"/>
    <cellStyle name="Separador de milhares 11 2 3 2 2 2" xfId="23499" xr:uid="{344E3189-25DF-40BC-BB8F-D36F6A263F16}"/>
    <cellStyle name="Separador de milhares 11 2 3 3" xfId="8771" xr:uid="{00000000-0005-0000-0000-0000B22D0000}"/>
    <cellStyle name="Separador de milhares 11 2 3 3 2" xfId="17579" xr:uid="{5666143F-3D5A-46C7-9468-5666907CE09D}"/>
    <cellStyle name="Separador de milhares 11 2 3 3 2 2" xfId="23245" xr:uid="{E8D6B146-D32A-4812-A73F-A4DD9ACEC82B}"/>
    <cellStyle name="Separador de milhares 11 2 3 4" xfId="11983" xr:uid="{00000000-0005-0000-0000-0000B32D0000}"/>
    <cellStyle name="Separador de milhares 11 2 3 4 2" xfId="20726" xr:uid="{A7C47B27-74F5-4678-B3FC-55951EA17614}"/>
    <cellStyle name="Separador de milhares 11 2 3 4 2 2" xfId="23622" xr:uid="{815C0DDA-AF44-4806-808B-341CECE7D36D}"/>
    <cellStyle name="Separador de milhares 11 2 3 5" xfId="13589" xr:uid="{00000000-0005-0000-0000-0000B42D0000}"/>
    <cellStyle name="Separador de milhares 11 2 3 5 2" xfId="22325" xr:uid="{7CFAC45A-3707-4872-B894-2183CBCD7162}"/>
    <cellStyle name="Separador de milhares 11 2 3 5 2 2" xfId="23893" xr:uid="{3178E4C9-8F4F-4192-AA97-08825AB68056}"/>
    <cellStyle name="Separador de milhares 11 2 3 6" xfId="15851" xr:uid="{639BDF09-28DD-420B-A3BB-79251BADA4CE}"/>
    <cellStyle name="Separador de milhares 11 2 3 6 2" xfId="22961" xr:uid="{DC206EE4-6553-4180-960C-870BEDFCD422}"/>
    <cellStyle name="Separador de milhares 11 2 4" xfId="4141" xr:uid="{00000000-0005-0000-0000-0000B52D0000}"/>
    <cellStyle name="Separador de milhares 11 2 4 2" xfId="10364" xr:uid="{00000000-0005-0000-0000-0000B62D0000}"/>
    <cellStyle name="Separador de milhares 11 2 4 2 2" xfId="19170" xr:uid="{FA7B95B9-5272-4923-9982-53B23C22A4AC}"/>
    <cellStyle name="Separador de milhares 11 2 4 2 2 2" xfId="23500" xr:uid="{93D82690-B491-4517-88C1-B1BFCB69ADEB}"/>
    <cellStyle name="Separador de milhares 11 2 4 3" xfId="8772" xr:uid="{00000000-0005-0000-0000-0000B72D0000}"/>
    <cellStyle name="Separador de milhares 11 2 4 3 2" xfId="17580" xr:uid="{90C6BDF9-8A35-425B-8BDF-4CC1A4382F16}"/>
    <cellStyle name="Separador de milhares 11 2 4 3 2 2" xfId="23246" xr:uid="{F6A8E329-D9A6-49FB-B0A6-6A2603878AE4}"/>
    <cellStyle name="Separador de milhares 11 2 4 4" xfId="11984" xr:uid="{00000000-0005-0000-0000-0000B82D0000}"/>
    <cellStyle name="Separador de milhares 11 2 4 4 2" xfId="20727" xr:uid="{72EF4D80-3CCB-45D6-9EEC-D45CF34007E0}"/>
    <cellStyle name="Separador de milhares 11 2 4 4 2 2" xfId="23623" xr:uid="{56C749EF-A875-4545-9A44-CAD5EAB01FE0}"/>
    <cellStyle name="Separador de milhares 11 2 4 5" xfId="13590" xr:uid="{00000000-0005-0000-0000-0000B92D0000}"/>
    <cellStyle name="Separador de milhares 11 2 4 5 2" xfId="22326" xr:uid="{1DFA92DC-1CE0-44F5-B1A7-5AA3DB4EC496}"/>
    <cellStyle name="Separador de milhares 11 2 4 5 2 2" xfId="23894" xr:uid="{34A31AA6-B277-454F-9353-7AE83427C0F4}"/>
    <cellStyle name="Separador de milhares 11 2 4 6" xfId="15852" xr:uid="{C5621C14-F52D-4AD9-BEB1-D4C0C7C89BE8}"/>
    <cellStyle name="Separador de milhares 11 2 4 6 2" xfId="22962" xr:uid="{511A73AE-0DC0-4059-8906-D5DC5EA0ED7B}"/>
    <cellStyle name="Separador de milhares 11 2 5" xfId="10361" xr:uid="{00000000-0005-0000-0000-0000BA2D0000}"/>
    <cellStyle name="Separador de milhares 11 2 5 2" xfId="19167" xr:uid="{D0CEE0CC-B3AE-4AC0-865A-3B11E7AB9B27}"/>
    <cellStyle name="Separador de milhares 11 2 5 2 2" xfId="23497" xr:uid="{BAF81206-CF27-4CB5-9149-17F6F563FBD8}"/>
    <cellStyle name="Separador de milhares 11 2 6" xfId="8769" xr:uid="{00000000-0005-0000-0000-0000BB2D0000}"/>
    <cellStyle name="Separador de milhares 11 2 6 2" xfId="17577" xr:uid="{613BCD2E-1417-46EB-B9CD-2140C2C1F330}"/>
    <cellStyle name="Separador de milhares 11 2 6 2 2" xfId="23243" xr:uid="{C2AD8E79-A3F8-48A8-80C4-268DAEBF0C4D}"/>
    <cellStyle name="Separador de milhares 11 2 7" xfId="11981" xr:uid="{00000000-0005-0000-0000-0000BC2D0000}"/>
    <cellStyle name="Separador de milhares 11 2 7 2" xfId="20724" xr:uid="{5EFC9419-E6EF-4C27-9219-E68AC858413C}"/>
    <cellStyle name="Separador de milhares 11 2 7 2 2" xfId="23620" xr:uid="{5AAFC179-1768-4537-B7E4-21EF3F80A773}"/>
    <cellStyle name="Separador de milhares 11 2 8" xfId="13587" xr:uid="{00000000-0005-0000-0000-0000BD2D0000}"/>
    <cellStyle name="Separador de milhares 11 2 8 2" xfId="22323" xr:uid="{B6CEBDAB-398D-4334-9D47-147F0AFCCD1A}"/>
    <cellStyle name="Separador de milhares 11 2 8 2 2" xfId="23891" xr:uid="{BAADBD82-EA8B-4651-829F-C51B420D51BE}"/>
    <cellStyle name="Separador de milhares 11 2 9" xfId="15849" xr:uid="{C751CDA7-B3FA-404B-926B-2C57B36A029F}"/>
    <cellStyle name="Separador de milhares 11 2 9 2" xfId="22959" xr:uid="{29F1CC60-255A-4D32-B2C0-915B0DB36915}"/>
    <cellStyle name="Separador de milhares 11 3" xfId="4142" xr:uid="{00000000-0005-0000-0000-0000BE2D0000}"/>
    <cellStyle name="Separador de milhares 11 3 2" xfId="4143" xr:uid="{00000000-0005-0000-0000-0000BF2D0000}"/>
    <cellStyle name="Separador de milhares 11 3 2 2" xfId="10366" xr:uid="{00000000-0005-0000-0000-0000C02D0000}"/>
    <cellStyle name="Separador de milhares 11 3 2 2 2" xfId="19172" xr:uid="{E3954450-9779-4B97-A753-BA5DF0ED5C36}"/>
    <cellStyle name="Separador de milhares 11 3 2 2 2 2" xfId="23502" xr:uid="{4F66D6AD-CFCA-4CF1-AC46-1F17C9669CAA}"/>
    <cellStyle name="Separador de milhares 11 3 2 3" xfId="8774" xr:uid="{00000000-0005-0000-0000-0000C12D0000}"/>
    <cellStyle name="Separador de milhares 11 3 2 3 2" xfId="17582" xr:uid="{149BA5A6-BA40-4C16-89F4-7FDC9749C2A9}"/>
    <cellStyle name="Separador de milhares 11 3 2 3 2 2" xfId="23248" xr:uid="{30911EC7-0043-4E25-9E3F-2EE9F903C236}"/>
    <cellStyle name="Separador de milhares 11 3 2 4" xfId="11986" xr:uid="{00000000-0005-0000-0000-0000C22D0000}"/>
    <cellStyle name="Separador de milhares 11 3 2 4 2" xfId="20729" xr:uid="{1BA9C77A-729F-4184-B76E-39E02BD31AE5}"/>
    <cellStyle name="Separador de milhares 11 3 2 4 2 2" xfId="23625" xr:uid="{AA16648F-F6ED-47B6-9577-5758F4F98458}"/>
    <cellStyle name="Separador de milhares 11 3 2 5" xfId="13592" xr:uid="{00000000-0005-0000-0000-0000C32D0000}"/>
    <cellStyle name="Separador de milhares 11 3 2 5 2" xfId="22328" xr:uid="{7C593311-7C5F-4742-938E-749E24DCEBFD}"/>
    <cellStyle name="Separador de milhares 11 3 2 5 2 2" xfId="23896" xr:uid="{50D3E69E-52E4-40BF-B6AC-A9A97931B0C8}"/>
    <cellStyle name="Separador de milhares 11 3 2 6" xfId="15854" xr:uid="{43C5155F-CD8B-4FFD-9BE4-113BA59F01C4}"/>
    <cellStyle name="Separador de milhares 11 3 2 6 2" xfId="22964" xr:uid="{2507E4C5-C995-4160-BC41-E4A00A974987}"/>
    <cellStyle name="Separador de milhares 11 3 3" xfId="4144" xr:uid="{00000000-0005-0000-0000-0000C42D0000}"/>
    <cellStyle name="Separador de milhares 11 3 3 2" xfId="10367" xr:uid="{00000000-0005-0000-0000-0000C52D0000}"/>
    <cellStyle name="Separador de milhares 11 3 3 2 2" xfId="19173" xr:uid="{C4CE2586-DE98-416B-A385-FBDB29CD72C5}"/>
    <cellStyle name="Separador de milhares 11 3 3 2 2 2" xfId="23503" xr:uid="{1A13053C-0F6D-4A38-973C-FBE30D757CE8}"/>
    <cellStyle name="Separador de milhares 11 3 3 3" xfId="8775" xr:uid="{00000000-0005-0000-0000-0000C62D0000}"/>
    <cellStyle name="Separador de milhares 11 3 3 3 2" xfId="17583" xr:uid="{28FFA5BB-5392-45CF-9824-4A9D34D9FEF3}"/>
    <cellStyle name="Separador de milhares 11 3 3 3 2 2" xfId="23249" xr:uid="{C5A585AB-78C3-425E-9123-21921521E4E9}"/>
    <cellStyle name="Separador de milhares 11 3 3 4" xfId="11987" xr:uid="{00000000-0005-0000-0000-0000C72D0000}"/>
    <cellStyle name="Separador de milhares 11 3 3 4 2" xfId="20730" xr:uid="{09BCBB07-1545-466D-A02C-769782775DCC}"/>
    <cellStyle name="Separador de milhares 11 3 3 4 2 2" xfId="23626" xr:uid="{A28EB29D-7C0A-45A0-BBEE-B065557ECD4C}"/>
    <cellStyle name="Separador de milhares 11 3 3 5" xfId="13593" xr:uid="{00000000-0005-0000-0000-0000C82D0000}"/>
    <cellStyle name="Separador de milhares 11 3 3 5 2" xfId="22329" xr:uid="{99F1C833-FEE1-4DAA-A079-6EB53FFA65B3}"/>
    <cellStyle name="Separador de milhares 11 3 3 5 2 2" xfId="23897" xr:uid="{BB892585-5EFC-4008-9503-0524FC8E503B}"/>
    <cellStyle name="Separador de milhares 11 3 3 6" xfId="15855" xr:uid="{996F642F-0A78-4F86-958A-15C37E183942}"/>
    <cellStyle name="Separador de milhares 11 3 3 6 2" xfId="22965" xr:uid="{C527039B-D584-481B-95CB-415E7A7961A5}"/>
    <cellStyle name="Separador de milhares 11 3 4" xfId="4145" xr:uid="{00000000-0005-0000-0000-0000C92D0000}"/>
    <cellStyle name="Separador de milhares 11 3 4 2" xfId="10368" xr:uid="{00000000-0005-0000-0000-0000CA2D0000}"/>
    <cellStyle name="Separador de milhares 11 3 4 2 2" xfId="19174" xr:uid="{68BEADB3-8F73-4F57-81E7-FE3281602972}"/>
    <cellStyle name="Separador de milhares 11 3 4 2 2 2" xfId="23504" xr:uid="{53569609-E7BD-42DD-85F1-920FE6F07949}"/>
    <cellStyle name="Separador de milhares 11 3 4 3" xfId="8776" xr:uid="{00000000-0005-0000-0000-0000CB2D0000}"/>
    <cellStyle name="Separador de milhares 11 3 4 3 2" xfId="17584" xr:uid="{CACBE071-2F79-48AD-9AA2-36199E29EB82}"/>
    <cellStyle name="Separador de milhares 11 3 4 3 2 2" xfId="23250" xr:uid="{86406B33-A85B-4344-B240-7DE1FD4E5BD1}"/>
    <cellStyle name="Separador de milhares 11 3 4 4" xfId="11988" xr:uid="{00000000-0005-0000-0000-0000CC2D0000}"/>
    <cellStyle name="Separador de milhares 11 3 4 4 2" xfId="20731" xr:uid="{AF67F26C-6184-4C70-B78E-83FEBEC128F5}"/>
    <cellStyle name="Separador de milhares 11 3 4 4 2 2" xfId="23627" xr:uid="{EEFD222C-55F5-4746-89B0-E87F065013BA}"/>
    <cellStyle name="Separador de milhares 11 3 4 5" xfId="13594" xr:uid="{00000000-0005-0000-0000-0000CD2D0000}"/>
    <cellStyle name="Separador de milhares 11 3 4 5 2" xfId="22330" xr:uid="{6A488F7B-5ADC-447C-86C8-D22AD9054465}"/>
    <cellStyle name="Separador de milhares 11 3 4 5 2 2" xfId="23898" xr:uid="{99C9054D-8BFF-47FC-84AD-AD1D51200E0D}"/>
    <cellStyle name="Separador de milhares 11 3 4 6" xfId="15856" xr:uid="{2DF2D10B-F2DC-4F33-B07A-2DE99B136DBC}"/>
    <cellStyle name="Separador de milhares 11 3 4 6 2" xfId="22966" xr:uid="{B3C89405-9EA3-4650-9E9F-0CBD58AEB6D6}"/>
    <cellStyle name="Separador de milhares 11 3 5" xfId="10365" xr:uid="{00000000-0005-0000-0000-0000CE2D0000}"/>
    <cellStyle name="Separador de milhares 11 3 5 2" xfId="19171" xr:uid="{E1825CBC-1AF0-43E5-9CED-203B7F3B4031}"/>
    <cellStyle name="Separador de milhares 11 3 5 2 2" xfId="23501" xr:uid="{AF685A97-11F2-4DFC-B7FC-216625055720}"/>
    <cellStyle name="Separador de milhares 11 3 6" xfId="8773" xr:uid="{00000000-0005-0000-0000-0000CF2D0000}"/>
    <cellStyle name="Separador de milhares 11 3 6 2" xfId="17581" xr:uid="{1AE310DB-8226-44F6-96FD-E0E3E604769C}"/>
    <cellStyle name="Separador de milhares 11 3 6 2 2" xfId="23247" xr:uid="{77D51569-61DF-4005-A28B-F92EF8A36194}"/>
    <cellStyle name="Separador de milhares 11 3 7" xfId="11985" xr:uid="{00000000-0005-0000-0000-0000D02D0000}"/>
    <cellStyle name="Separador de milhares 11 3 7 2" xfId="20728" xr:uid="{9B9746C0-CADF-46EA-87E6-19B1F90BAD6B}"/>
    <cellStyle name="Separador de milhares 11 3 7 2 2" xfId="23624" xr:uid="{78B6559A-D861-458C-80F0-5DD92A5BA837}"/>
    <cellStyle name="Separador de milhares 11 3 8" xfId="13591" xr:uid="{00000000-0005-0000-0000-0000D12D0000}"/>
    <cellStyle name="Separador de milhares 11 3 8 2" xfId="22327" xr:uid="{5D646ACC-1C4D-470C-9133-7755F334DEE7}"/>
    <cellStyle name="Separador de milhares 11 3 8 2 2" xfId="23895" xr:uid="{B462662B-5778-4A60-A0B9-DE2EB9DF7B80}"/>
    <cellStyle name="Separador de milhares 11 3 9" xfId="15853" xr:uid="{3D07F8C3-080E-4064-A82D-E49ECAFCE992}"/>
    <cellStyle name="Separador de milhares 11 3 9 2" xfId="22963" xr:uid="{CA50D1A6-4913-4842-984F-65E1A4372CDE}"/>
    <cellStyle name="Separador de milhares 11 4" xfId="4146" xr:uid="{00000000-0005-0000-0000-0000D22D0000}"/>
    <cellStyle name="Separador de milhares 11 4 2" xfId="10369" xr:uid="{00000000-0005-0000-0000-0000D32D0000}"/>
    <cellStyle name="Separador de milhares 11 4 2 2" xfId="19175" xr:uid="{31AEEA28-FD4A-4580-9CE9-8AAA9D7DD819}"/>
    <cellStyle name="Separador de milhares 11 4 2 2 2" xfId="23505" xr:uid="{E6DF46EA-ED5E-4CC0-A8F0-57FE3CE6A7F0}"/>
    <cellStyle name="Separador de milhares 11 4 3" xfId="8777" xr:uid="{00000000-0005-0000-0000-0000D42D0000}"/>
    <cellStyle name="Separador de milhares 11 4 3 2" xfId="17585" xr:uid="{65807A30-D9F1-4DA9-A7CF-E0B163123D2A}"/>
    <cellStyle name="Separador de milhares 11 4 3 2 2" xfId="23251" xr:uid="{F68E070A-54A9-404B-A2E4-C76E2A9479D1}"/>
    <cellStyle name="Separador de milhares 11 4 4" xfId="11989" xr:uid="{00000000-0005-0000-0000-0000D52D0000}"/>
    <cellStyle name="Separador de milhares 11 4 4 2" xfId="20732" xr:uid="{53868DB1-3525-4ABD-B780-3C905E6167E8}"/>
    <cellStyle name="Separador de milhares 11 4 4 2 2" xfId="23628" xr:uid="{9B6FA866-3D01-49A5-88F4-91138E28D9CF}"/>
    <cellStyle name="Separador de milhares 11 4 5" xfId="13595" xr:uid="{00000000-0005-0000-0000-0000D62D0000}"/>
    <cellStyle name="Separador de milhares 11 4 5 2" xfId="22331" xr:uid="{6E41CB5F-1F82-4BE3-B78D-6E560654F7C9}"/>
    <cellStyle name="Separador de milhares 11 4 5 2 2" xfId="23899" xr:uid="{7E6521FA-1FBE-49E1-A49F-67258204E0F4}"/>
    <cellStyle name="Separador de milhares 11 4 6" xfId="15857" xr:uid="{92165717-B302-4714-A23E-7947AE48CC84}"/>
    <cellStyle name="Separador de milhares 11 4 6 2" xfId="22967" xr:uid="{807D8A0A-8199-4175-85B2-2B8734D6B105}"/>
    <cellStyle name="Separador de milhares 11 5" xfId="4147" xr:uid="{00000000-0005-0000-0000-0000D72D0000}"/>
    <cellStyle name="Separador de milhares 11 5 2" xfId="10370" xr:uid="{00000000-0005-0000-0000-0000D82D0000}"/>
    <cellStyle name="Separador de milhares 11 5 2 2" xfId="19176" xr:uid="{2B794E35-2F5A-4923-8905-ABF7C21826C8}"/>
    <cellStyle name="Separador de milhares 11 5 2 2 2" xfId="23506" xr:uid="{ABFBAEC2-E628-45D7-AB78-6961C648F18A}"/>
    <cellStyle name="Separador de milhares 11 5 3" xfId="8778" xr:uid="{00000000-0005-0000-0000-0000D92D0000}"/>
    <cellStyle name="Separador de milhares 11 5 3 2" xfId="17586" xr:uid="{0A28A372-19B4-457D-888F-D21E9F39FB74}"/>
    <cellStyle name="Separador de milhares 11 5 3 2 2" xfId="23252" xr:uid="{644CB725-75C6-4DD8-B048-AD8225DC5168}"/>
    <cellStyle name="Separador de milhares 11 5 4" xfId="11990" xr:uid="{00000000-0005-0000-0000-0000DA2D0000}"/>
    <cellStyle name="Separador de milhares 11 5 4 2" xfId="20733" xr:uid="{25ED4890-85E5-4749-998F-FA8B0F7D5A99}"/>
    <cellStyle name="Separador de milhares 11 5 4 2 2" xfId="23629" xr:uid="{E51E146D-B06F-477C-AA7F-8D0314F148AF}"/>
    <cellStyle name="Separador de milhares 11 5 5" xfId="13596" xr:uid="{00000000-0005-0000-0000-0000DB2D0000}"/>
    <cellStyle name="Separador de milhares 11 5 5 2" xfId="22332" xr:uid="{8BA05F7A-225A-4416-9665-37F482F28BFA}"/>
    <cellStyle name="Separador de milhares 11 5 5 2 2" xfId="23900" xr:uid="{0135425B-63BE-4346-8FF0-3E6034D49D84}"/>
    <cellStyle name="Separador de milhares 11 5 6" xfId="15858" xr:uid="{71D17E53-1F23-4CAD-B3B8-6875D800FE1D}"/>
    <cellStyle name="Separador de milhares 11 5 6 2" xfId="22968" xr:uid="{22399C0E-96CD-496E-B272-42DA3B955337}"/>
    <cellStyle name="Separador de milhares 11 6" xfId="4148" xr:uid="{00000000-0005-0000-0000-0000DC2D0000}"/>
    <cellStyle name="Separador de milhares 11 6 2" xfId="10371" xr:uid="{00000000-0005-0000-0000-0000DD2D0000}"/>
    <cellStyle name="Separador de milhares 11 6 2 2" xfId="19177" xr:uid="{61E9B633-AED2-4855-B59C-30CE9E063AFD}"/>
    <cellStyle name="Separador de milhares 11 6 2 2 2" xfId="23507" xr:uid="{04368F17-A664-41C5-8575-E99E1FBF3445}"/>
    <cellStyle name="Separador de milhares 11 6 3" xfId="8779" xr:uid="{00000000-0005-0000-0000-0000DE2D0000}"/>
    <cellStyle name="Separador de milhares 11 6 3 2" xfId="17587" xr:uid="{7E32BE8E-C771-48FF-B001-92F9BB608515}"/>
    <cellStyle name="Separador de milhares 11 6 3 2 2" xfId="23253" xr:uid="{56E963AE-5B55-4E41-BAFF-64EBFE21A155}"/>
    <cellStyle name="Separador de milhares 11 6 4" xfId="11991" xr:uid="{00000000-0005-0000-0000-0000DF2D0000}"/>
    <cellStyle name="Separador de milhares 11 6 4 2" xfId="20734" xr:uid="{094926BB-29D7-41D4-BB85-3E9A3D53C8DD}"/>
    <cellStyle name="Separador de milhares 11 6 4 2 2" xfId="23630" xr:uid="{A6BA7079-64EC-4CC1-962D-F18696E49672}"/>
    <cellStyle name="Separador de milhares 11 6 5" xfId="13597" xr:uid="{00000000-0005-0000-0000-0000E02D0000}"/>
    <cellStyle name="Separador de milhares 11 6 5 2" xfId="22333" xr:uid="{5D5A8425-63A9-456A-96D1-BAD8ABE3DF75}"/>
    <cellStyle name="Separador de milhares 11 6 5 2 2" xfId="23901" xr:uid="{24C5627D-7A87-46AE-A536-557D2C3EE6AA}"/>
    <cellStyle name="Separador de milhares 11 6 6" xfId="15859" xr:uid="{598BEA2C-D2CD-4AE2-AE9A-EB8E677E6CA1}"/>
    <cellStyle name="Separador de milhares 11 6 6 2" xfId="22969" xr:uid="{93C0E6C7-2F6D-4ECD-A435-0E36FD82D09E}"/>
    <cellStyle name="Separador de milhares 11 7" xfId="4149" xr:uid="{00000000-0005-0000-0000-0000E12D0000}"/>
    <cellStyle name="Separador de milhares 11 7 2" xfId="10372" xr:uid="{00000000-0005-0000-0000-0000E22D0000}"/>
    <cellStyle name="Separador de milhares 11 7 2 2" xfId="19178" xr:uid="{46D14A3F-4A50-4BD6-ABE6-36FE6E23E61E}"/>
    <cellStyle name="Separador de milhares 11 7 2 2 2" xfId="23508" xr:uid="{7BE4177E-37E5-4C4A-AD43-6E2705D035F7}"/>
    <cellStyle name="Separador de milhares 11 7 3" xfId="8780" xr:uid="{00000000-0005-0000-0000-0000E32D0000}"/>
    <cellStyle name="Separador de milhares 11 7 3 2" xfId="17588" xr:uid="{45201A0C-D9D8-4289-B1B7-769EC2060AB8}"/>
    <cellStyle name="Separador de milhares 11 7 3 2 2" xfId="23254" xr:uid="{DFA930C2-DB6E-43EE-97B5-CE28C9291EBB}"/>
    <cellStyle name="Separador de milhares 11 7 4" xfId="11992" xr:uid="{00000000-0005-0000-0000-0000E42D0000}"/>
    <cellStyle name="Separador de milhares 11 7 4 2" xfId="20735" xr:uid="{3541EFE3-F9BD-4BBF-BAB0-FA463FD749B7}"/>
    <cellStyle name="Separador de milhares 11 7 4 2 2" xfId="23631" xr:uid="{7748CE36-2EE3-4808-88E4-8E4661B04D30}"/>
    <cellStyle name="Separador de milhares 11 7 5" xfId="13598" xr:uid="{00000000-0005-0000-0000-0000E52D0000}"/>
    <cellStyle name="Separador de milhares 11 7 5 2" xfId="22334" xr:uid="{9AA842BB-E82D-453F-9F82-CC7EEDF53CD3}"/>
    <cellStyle name="Separador de milhares 11 7 5 2 2" xfId="23902" xr:uid="{221F3EDA-70E0-4A6B-AC56-7EA8F10D6CE4}"/>
    <cellStyle name="Separador de milhares 11 7 6" xfId="15860" xr:uid="{22A16844-1181-44C4-AC3C-8015042512CC}"/>
    <cellStyle name="Separador de milhares 11 7 6 2" xfId="22970" xr:uid="{C85CF65C-9C5D-47F1-81CA-CE7352BF09CD}"/>
    <cellStyle name="Separador de milhares 11 8" xfId="4150" xr:uid="{00000000-0005-0000-0000-0000E62D0000}"/>
    <cellStyle name="Separador de milhares 11 8 2" xfId="10373" xr:uid="{00000000-0005-0000-0000-0000E72D0000}"/>
    <cellStyle name="Separador de milhares 11 8 2 2" xfId="19179" xr:uid="{2CF5F8A8-BCF5-47B7-89FD-A7E8128597CC}"/>
    <cellStyle name="Separador de milhares 11 8 2 2 2" xfId="23509" xr:uid="{A1B2182D-68C8-4C14-8C09-7887CF3BD5D4}"/>
    <cellStyle name="Separador de milhares 11 8 3" xfId="8781" xr:uid="{00000000-0005-0000-0000-0000E82D0000}"/>
    <cellStyle name="Separador de milhares 11 8 3 2" xfId="17589" xr:uid="{95181780-FE26-4D38-BD4B-CEC9B7413C33}"/>
    <cellStyle name="Separador de milhares 11 8 3 2 2" xfId="23255" xr:uid="{083AA8BF-D6A2-44EA-B618-9D861FA53CED}"/>
    <cellStyle name="Separador de milhares 11 8 4" xfId="11993" xr:uid="{00000000-0005-0000-0000-0000E92D0000}"/>
    <cellStyle name="Separador de milhares 11 8 4 2" xfId="20736" xr:uid="{3D20C207-67A2-43EB-9923-42215D2345B1}"/>
    <cellStyle name="Separador de milhares 11 8 4 2 2" xfId="23632" xr:uid="{3A368796-2FD8-423C-B5AD-1C01FCE77F51}"/>
    <cellStyle name="Separador de milhares 11 8 5" xfId="13599" xr:uid="{00000000-0005-0000-0000-0000EA2D0000}"/>
    <cellStyle name="Separador de milhares 11 8 5 2" xfId="22335" xr:uid="{00F62569-C339-459C-90D0-526B2E6450DD}"/>
    <cellStyle name="Separador de milhares 11 8 5 2 2" xfId="23903" xr:uid="{20FE1A0C-DD8A-4DFE-82CF-0E242E1C4316}"/>
    <cellStyle name="Separador de milhares 11 8 6" xfId="15861" xr:uid="{76B9A56E-311B-4DB2-BBF3-41855A730037}"/>
    <cellStyle name="Separador de milhares 11 8 6 2" xfId="22971" xr:uid="{459AB216-F950-4D98-8940-20553F9E0673}"/>
    <cellStyle name="Separador de milhares 11 9" xfId="10360" xr:uid="{00000000-0005-0000-0000-0000EB2D0000}"/>
    <cellStyle name="Separador de milhares 11 9 2" xfId="19166" xr:uid="{AEB7A4EE-82B1-4BE8-84D1-0AC31CB5E244}"/>
    <cellStyle name="Separador de milhares 11 9 2 2" xfId="23496" xr:uid="{0CD0BB4E-CEA9-4C67-9586-69578CABBE10}"/>
    <cellStyle name="Separador de milhares 12" xfId="4151" xr:uid="{00000000-0005-0000-0000-0000EC2D0000}"/>
    <cellStyle name="Separador de milhares 12 10" xfId="8782" xr:uid="{00000000-0005-0000-0000-0000ED2D0000}"/>
    <cellStyle name="Separador de milhares 12 10 2" xfId="17590" xr:uid="{60375959-DF0C-47A8-AD9A-689EBF147524}"/>
    <cellStyle name="Separador de milhares 12 10 2 2" xfId="23256" xr:uid="{EC8863CB-1A86-4AEA-81D1-EC93178F18E7}"/>
    <cellStyle name="Separador de milhares 12 11" xfId="11994" xr:uid="{00000000-0005-0000-0000-0000EE2D0000}"/>
    <cellStyle name="Separador de milhares 12 11 2" xfId="20737" xr:uid="{6684AA90-5A2B-4AE6-8204-5A7D64188970}"/>
    <cellStyle name="Separador de milhares 12 11 2 2" xfId="23633" xr:uid="{4C040795-E2D1-4D16-84AE-E9EB84BCE92B}"/>
    <cellStyle name="Separador de milhares 12 12" xfId="13600" xr:uid="{00000000-0005-0000-0000-0000EF2D0000}"/>
    <cellStyle name="Separador de milhares 12 12 2" xfId="22336" xr:uid="{3032586D-722F-4C95-A063-FBEE69838693}"/>
    <cellStyle name="Separador de milhares 12 12 2 2" xfId="23904" xr:uid="{0DE416AB-C87A-4BC6-AC23-8A992A4BDCA5}"/>
    <cellStyle name="Separador de milhares 12 13" xfId="15862" xr:uid="{E182C01C-0640-4271-9590-C187A37EDFDE}"/>
    <cellStyle name="Separador de milhares 12 13 2" xfId="22972" xr:uid="{9636DB8A-C9DA-4473-931C-4E3892B4CF00}"/>
    <cellStyle name="Separador de milhares 12 2" xfId="4152" xr:uid="{00000000-0005-0000-0000-0000F02D0000}"/>
    <cellStyle name="Separador de milhares 12 2 10" xfId="15863" xr:uid="{C8B7A265-6F14-4E03-92D3-F2774F7B6641}"/>
    <cellStyle name="Separador de milhares 12 2 10 2" xfId="22973" xr:uid="{42C73A61-735D-47B7-A8EF-589BF33D21C2}"/>
    <cellStyle name="Separador de milhares 12 2 2" xfId="4153" xr:uid="{00000000-0005-0000-0000-0000F12D0000}"/>
    <cellStyle name="Separador de milhares 12 2 2 2" xfId="10376" xr:uid="{00000000-0005-0000-0000-0000F22D0000}"/>
    <cellStyle name="Separador de milhares 12 2 2 2 2" xfId="19182" xr:uid="{ECA13A9E-909A-4872-B7CA-7F33CC149429}"/>
    <cellStyle name="Separador de milhares 12 2 2 2 2 2" xfId="23512" xr:uid="{455826BE-5DB0-4442-990E-6C522A8AAFBD}"/>
    <cellStyle name="Separador de milhares 12 2 2 3" xfId="8784" xr:uid="{00000000-0005-0000-0000-0000F32D0000}"/>
    <cellStyle name="Separador de milhares 12 2 2 3 2" xfId="17592" xr:uid="{080A2959-4ACE-4E89-9B59-B645BDDC24DF}"/>
    <cellStyle name="Separador de milhares 12 2 2 3 2 2" xfId="23258" xr:uid="{D1DE5502-D2B9-4D0E-98FE-46EB6E80125B}"/>
    <cellStyle name="Separador de milhares 12 2 2 4" xfId="11996" xr:uid="{00000000-0005-0000-0000-0000F42D0000}"/>
    <cellStyle name="Separador de milhares 12 2 2 4 2" xfId="20739" xr:uid="{AAE53DF7-DDEF-437A-9DA9-DAC9CC4DF9DE}"/>
    <cellStyle name="Separador de milhares 12 2 2 4 2 2" xfId="23635" xr:uid="{47CE003D-2E0D-497B-BB46-4A0622CDFF69}"/>
    <cellStyle name="Separador de milhares 12 2 2 5" xfId="13602" xr:uid="{00000000-0005-0000-0000-0000F52D0000}"/>
    <cellStyle name="Separador de milhares 12 2 2 5 2" xfId="22338" xr:uid="{6D0809E8-0135-4B9B-955E-2D2E96C6BDA5}"/>
    <cellStyle name="Separador de milhares 12 2 2 5 2 2" xfId="23906" xr:uid="{C3D15C19-2E2E-47EF-AA97-BD325592309A}"/>
    <cellStyle name="Separador de milhares 12 2 2 6" xfId="15864" xr:uid="{674280DE-C8C9-4E62-8E75-876D3D206650}"/>
    <cellStyle name="Separador de milhares 12 2 2 6 2" xfId="22974" xr:uid="{4B2EE68C-DCE5-4EF0-BAE8-83F77D3B2EC3}"/>
    <cellStyle name="Separador de milhares 12 2 3" xfId="4154" xr:uid="{00000000-0005-0000-0000-0000F62D0000}"/>
    <cellStyle name="Separador de milhares 12 2 3 2" xfId="10377" xr:uid="{00000000-0005-0000-0000-0000F72D0000}"/>
    <cellStyle name="Separador de milhares 12 2 3 2 2" xfId="19183" xr:uid="{4C5177E5-63C4-4379-B262-D9D778E560D4}"/>
    <cellStyle name="Separador de milhares 12 2 3 2 2 2" xfId="23513" xr:uid="{404C7ED9-9F7B-4BB8-B915-65015C1AB94F}"/>
    <cellStyle name="Separador de milhares 12 2 3 3" xfId="8785" xr:uid="{00000000-0005-0000-0000-0000F82D0000}"/>
    <cellStyle name="Separador de milhares 12 2 3 3 2" xfId="17593" xr:uid="{480E584B-EE69-4CAA-897E-A9C45A0BBBD2}"/>
    <cellStyle name="Separador de milhares 12 2 3 3 2 2" xfId="23259" xr:uid="{E4E79E10-B489-40A8-AC97-5534149213B4}"/>
    <cellStyle name="Separador de milhares 12 2 3 4" xfId="11997" xr:uid="{00000000-0005-0000-0000-0000F92D0000}"/>
    <cellStyle name="Separador de milhares 12 2 3 4 2" xfId="20740" xr:uid="{22A14844-88CD-43F9-AF20-2DE8D7D87A57}"/>
    <cellStyle name="Separador de milhares 12 2 3 4 2 2" xfId="23636" xr:uid="{BAF67B2F-53D8-42D5-92D1-CE399B288C85}"/>
    <cellStyle name="Separador de milhares 12 2 3 5" xfId="13603" xr:uid="{00000000-0005-0000-0000-0000FA2D0000}"/>
    <cellStyle name="Separador de milhares 12 2 3 5 2" xfId="22339" xr:uid="{DB8BEFAF-2FD2-4720-A88E-FCB857651561}"/>
    <cellStyle name="Separador de milhares 12 2 3 5 2 2" xfId="23907" xr:uid="{AF2BE818-1032-4E28-A7CB-17E1F5535FED}"/>
    <cellStyle name="Separador de milhares 12 2 3 6" xfId="15865" xr:uid="{65A03542-EAF2-4AE8-99F4-21818CA6063C}"/>
    <cellStyle name="Separador de milhares 12 2 3 6 2" xfId="22975" xr:uid="{BCA0A423-E997-4770-8691-F5403C33442B}"/>
    <cellStyle name="Separador de milhares 12 2 4" xfId="4155" xr:uid="{00000000-0005-0000-0000-0000FB2D0000}"/>
    <cellStyle name="Separador de milhares 12 2 4 2" xfId="10378" xr:uid="{00000000-0005-0000-0000-0000FC2D0000}"/>
    <cellStyle name="Separador de milhares 12 2 4 2 2" xfId="19184" xr:uid="{BBA0145C-CDA2-4E32-92DF-B475E8EA73EB}"/>
    <cellStyle name="Separador de milhares 12 2 4 2 2 2" xfId="23514" xr:uid="{2A3EAC4C-020C-4C31-A11A-207EB19D9586}"/>
    <cellStyle name="Separador de milhares 12 2 4 3" xfId="8786" xr:uid="{00000000-0005-0000-0000-0000FD2D0000}"/>
    <cellStyle name="Separador de milhares 12 2 4 3 2" xfId="17594" xr:uid="{A1B88FD1-2399-42D2-B655-23CE0F9E0C1D}"/>
    <cellStyle name="Separador de milhares 12 2 4 3 2 2" xfId="23260" xr:uid="{B1AD8C6B-FA27-4C42-9C6E-EB850793968A}"/>
    <cellStyle name="Separador de milhares 12 2 4 4" xfId="11998" xr:uid="{00000000-0005-0000-0000-0000FE2D0000}"/>
    <cellStyle name="Separador de milhares 12 2 4 4 2" xfId="20741" xr:uid="{5D64A7F9-F87B-4B70-9DAE-FE60E5DC37A6}"/>
    <cellStyle name="Separador de milhares 12 2 4 4 2 2" xfId="23637" xr:uid="{1E25BB66-CA74-4CB5-BB84-B65A30029A38}"/>
    <cellStyle name="Separador de milhares 12 2 4 5" xfId="13604" xr:uid="{00000000-0005-0000-0000-0000FF2D0000}"/>
    <cellStyle name="Separador de milhares 12 2 4 5 2" xfId="22340" xr:uid="{19DDE915-85EA-41B8-95C5-9FF14B699725}"/>
    <cellStyle name="Separador de milhares 12 2 4 5 2 2" xfId="23908" xr:uid="{DBC726CC-CEBA-43D5-9F79-0839924F6202}"/>
    <cellStyle name="Separador de milhares 12 2 4 6" xfId="15866" xr:uid="{D959B8B6-157B-4C2D-9436-12F44EC61FA2}"/>
    <cellStyle name="Separador de milhares 12 2 4 6 2" xfId="22976" xr:uid="{82AADA95-0DAA-4AD1-A1C1-781EFBBDD94C}"/>
    <cellStyle name="Separador de milhares 12 2 5" xfId="4156" xr:uid="{00000000-0005-0000-0000-0000002E0000}"/>
    <cellStyle name="Separador de milhares 12 2 5 2" xfId="10379" xr:uid="{00000000-0005-0000-0000-0000012E0000}"/>
    <cellStyle name="Separador de milhares 12 2 5 2 2" xfId="19185" xr:uid="{369815E3-B34B-44D5-8574-CAB406A84CCE}"/>
    <cellStyle name="Separador de milhares 12 2 5 2 2 2" xfId="23515" xr:uid="{B04333C2-F223-4114-BE9D-3870A5818BB6}"/>
    <cellStyle name="Separador de milhares 12 2 5 3" xfId="8787" xr:uid="{00000000-0005-0000-0000-0000022E0000}"/>
    <cellStyle name="Separador de milhares 12 2 5 3 2" xfId="17595" xr:uid="{25899FC3-11AB-44AB-8086-80F1DF523840}"/>
    <cellStyle name="Separador de milhares 12 2 5 3 2 2" xfId="23261" xr:uid="{7CE4F32C-52D7-42E0-969D-853024726D2D}"/>
    <cellStyle name="Separador de milhares 12 2 5 4" xfId="11999" xr:uid="{00000000-0005-0000-0000-0000032E0000}"/>
    <cellStyle name="Separador de milhares 12 2 5 4 2" xfId="20742" xr:uid="{E7E7527F-2603-453A-AF4C-435E793BA842}"/>
    <cellStyle name="Separador de milhares 12 2 5 4 2 2" xfId="23638" xr:uid="{356E1784-82CA-4A89-B296-761908F71F9D}"/>
    <cellStyle name="Separador de milhares 12 2 5 5" xfId="13605" xr:uid="{00000000-0005-0000-0000-0000042E0000}"/>
    <cellStyle name="Separador de milhares 12 2 5 5 2" xfId="22341" xr:uid="{9E6E4993-2248-4904-9374-4D4B09365575}"/>
    <cellStyle name="Separador de milhares 12 2 5 5 2 2" xfId="23909" xr:uid="{E4046074-3394-4E3E-80A3-D6DDA8478BB2}"/>
    <cellStyle name="Separador de milhares 12 2 5 6" xfId="15867" xr:uid="{8063A2E0-7458-40C5-B7AC-946747424A3D}"/>
    <cellStyle name="Separador de milhares 12 2 5 6 2" xfId="22977" xr:uid="{106FA16E-4432-47FA-8C43-C64883B28235}"/>
    <cellStyle name="Separador de milhares 12 2 6" xfId="10375" xr:uid="{00000000-0005-0000-0000-0000052E0000}"/>
    <cellStyle name="Separador de milhares 12 2 6 2" xfId="19181" xr:uid="{A4DE7F81-B7E1-4F17-B210-45A48C13E3F3}"/>
    <cellStyle name="Separador de milhares 12 2 6 2 2" xfId="23511" xr:uid="{7883395F-520E-42E5-B40F-92B8DAAE7B84}"/>
    <cellStyle name="Separador de milhares 12 2 7" xfId="8783" xr:uid="{00000000-0005-0000-0000-0000062E0000}"/>
    <cellStyle name="Separador de milhares 12 2 7 2" xfId="17591" xr:uid="{9AB93774-210B-4992-BEE9-5A2B9A1AF854}"/>
    <cellStyle name="Separador de milhares 12 2 7 2 2" xfId="23257" xr:uid="{C3D663DE-A408-4BAE-BDE5-3CA1708FB405}"/>
    <cellStyle name="Separador de milhares 12 2 8" xfId="11995" xr:uid="{00000000-0005-0000-0000-0000072E0000}"/>
    <cellStyle name="Separador de milhares 12 2 8 2" xfId="20738" xr:uid="{44B078B4-6D70-46E6-AF91-718F5C1F1333}"/>
    <cellStyle name="Separador de milhares 12 2 8 2 2" xfId="23634" xr:uid="{EF850E6C-CFA2-407A-B0F9-35FF65E3378E}"/>
    <cellStyle name="Separador de milhares 12 2 9" xfId="13601" xr:uid="{00000000-0005-0000-0000-0000082E0000}"/>
    <cellStyle name="Separador de milhares 12 2 9 2" xfId="22337" xr:uid="{CB6B00A9-F9FC-46A8-9B5B-EEB424DFDBCC}"/>
    <cellStyle name="Separador de milhares 12 2 9 2 2" xfId="23905" xr:uid="{83886B08-0C89-419B-9AB1-7466CE55DC78}"/>
    <cellStyle name="Separador de milhares 12 3" xfId="4157" xr:uid="{00000000-0005-0000-0000-0000092E0000}"/>
    <cellStyle name="Separador de milhares 12 3 2" xfId="4158" xr:uid="{00000000-0005-0000-0000-00000A2E0000}"/>
    <cellStyle name="Separador de milhares 12 3 2 2" xfId="10380" xr:uid="{00000000-0005-0000-0000-00000B2E0000}"/>
    <cellStyle name="Separador de milhares 12 3 2 2 2" xfId="19186" xr:uid="{00AFC631-8143-4403-B112-FE8C04C79B70}"/>
    <cellStyle name="Separador de milhares 12 3 2 2 2 2" xfId="23516" xr:uid="{D1D0E6FF-BCDA-4358-B8E0-A93FC7F5362D}"/>
    <cellStyle name="Separador de milhares 12 3 2 3" xfId="8789" xr:uid="{00000000-0005-0000-0000-00000C2E0000}"/>
    <cellStyle name="Separador de milhares 12 3 2 3 2" xfId="17597" xr:uid="{978F2A7E-51D4-4B59-9B2D-95D4B3DC3B54}"/>
    <cellStyle name="Separador de milhares 12 3 2 3 2 2" xfId="23263" xr:uid="{98D238B1-5FF2-4485-A43E-4790C57DBBDF}"/>
    <cellStyle name="Separador de milhares 12 3 2 4" xfId="12001" xr:uid="{00000000-0005-0000-0000-00000D2E0000}"/>
    <cellStyle name="Separador de milhares 12 3 2 4 2" xfId="20744" xr:uid="{A1ECE3ED-7147-40E2-84C9-AE9735E7C8B5}"/>
    <cellStyle name="Separador de milhares 12 3 2 4 2 2" xfId="23640" xr:uid="{730F5338-8962-44FC-B86D-E756BF66234C}"/>
    <cellStyle name="Separador de milhares 12 3 2 5" xfId="13607" xr:uid="{00000000-0005-0000-0000-00000E2E0000}"/>
    <cellStyle name="Separador de milhares 12 3 2 5 2" xfId="22343" xr:uid="{68A1F160-8792-4370-B5FB-345C3AF19748}"/>
    <cellStyle name="Separador de milhares 12 3 2 5 2 2" xfId="23911" xr:uid="{104C8DA4-616C-4BFE-AB0D-237B09D98800}"/>
    <cellStyle name="Separador de milhares 12 3 2 6" xfId="15869" xr:uid="{3363C085-3A2E-4DC2-A309-9646FD734A30}"/>
    <cellStyle name="Separador de milhares 12 3 2 6 2" xfId="22979" xr:uid="{BE57EB20-6DF2-4F33-9B10-5E236D61ABF2}"/>
    <cellStyle name="Separador de milhares 12 3 3" xfId="4159" xr:uid="{00000000-0005-0000-0000-00000F2E0000}"/>
    <cellStyle name="Separador de milhares 12 3 3 2" xfId="10381" xr:uid="{00000000-0005-0000-0000-0000102E0000}"/>
    <cellStyle name="Separador de milhares 12 3 3 2 2" xfId="19187" xr:uid="{C6FE8EA6-E814-4CF6-AF49-D71B355B6C67}"/>
    <cellStyle name="Separador de milhares 12 3 3 2 2 2" xfId="23517" xr:uid="{2E60F44C-2FCB-4D6F-A4DF-DA592C05145E}"/>
    <cellStyle name="Separador de milhares 12 3 3 3" xfId="8790" xr:uid="{00000000-0005-0000-0000-0000112E0000}"/>
    <cellStyle name="Separador de milhares 12 3 3 3 2" xfId="17598" xr:uid="{CE599C4E-748D-4B72-84DF-E1D6F131C9A3}"/>
    <cellStyle name="Separador de milhares 12 3 3 3 2 2" xfId="23264" xr:uid="{F7B81B19-3439-4B4E-8995-5C0114FBB957}"/>
    <cellStyle name="Separador de milhares 12 3 3 4" xfId="12002" xr:uid="{00000000-0005-0000-0000-0000122E0000}"/>
    <cellStyle name="Separador de milhares 12 3 3 4 2" xfId="20745" xr:uid="{EB0ABD33-E553-4934-A52E-B133EEB978F4}"/>
    <cellStyle name="Separador de milhares 12 3 3 4 2 2" xfId="23641" xr:uid="{BCD8AF78-C56F-429F-A78D-4972B121FC63}"/>
    <cellStyle name="Separador de milhares 12 3 3 5" xfId="13608" xr:uid="{00000000-0005-0000-0000-0000132E0000}"/>
    <cellStyle name="Separador de milhares 12 3 3 5 2" xfId="22344" xr:uid="{87F71329-2031-4598-918D-C150188DC3BB}"/>
    <cellStyle name="Separador de milhares 12 3 3 5 2 2" xfId="23912" xr:uid="{893FD473-B44B-4CA9-B161-78A75CB99C7A}"/>
    <cellStyle name="Separador de milhares 12 3 3 6" xfId="15870" xr:uid="{629B267A-DFCC-4604-A02F-BD48B16FD369}"/>
    <cellStyle name="Separador de milhares 12 3 3 6 2" xfId="22980" xr:uid="{44CF97F6-CA80-4B44-9C5C-261ADC735298}"/>
    <cellStyle name="Separador de milhares 12 3 4" xfId="4160" xr:uid="{00000000-0005-0000-0000-0000142E0000}"/>
    <cellStyle name="Separador de milhares 12 3 4 2" xfId="10382" xr:uid="{00000000-0005-0000-0000-0000152E0000}"/>
    <cellStyle name="Separador de milhares 12 3 4 2 2" xfId="19188" xr:uid="{754EF0E4-AE4B-4B8C-BE5A-49B3C17BD53F}"/>
    <cellStyle name="Separador de milhares 12 3 4 2 2 2" xfId="23518" xr:uid="{7E05B8F3-2668-4852-9EC8-1ED5A8D33AF5}"/>
    <cellStyle name="Separador de milhares 12 3 4 3" xfId="8791" xr:uid="{00000000-0005-0000-0000-0000162E0000}"/>
    <cellStyle name="Separador de milhares 12 3 4 3 2" xfId="17599" xr:uid="{B5E55BE8-C1FF-42AC-96B0-DC472E4DF33F}"/>
    <cellStyle name="Separador de milhares 12 3 4 3 2 2" xfId="23265" xr:uid="{7904C047-B69E-4A95-AC35-E37E1F6BA2A9}"/>
    <cellStyle name="Separador de milhares 12 3 4 4" xfId="12003" xr:uid="{00000000-0005-0000-0000-0000172E0000}"/>
    <cellStyle name="Separador de milhares 12 3 4 4 2" xfId="20746" xr:uid="{D3DE705C-8C74-4081-911A-CC4F27E27072}"/>
    <cellStyle name="Separador de milhares 12 3 4 4 2 2" xfId="23642" xr:uid="{1BDB4B09-4A19-40F9-8139-A0F02B6324BF}"/>
    <cellStyle name="Separador de milhares 12 3 4 5" xfId="13609" xr:uid="{00000000-0005-0000-0000-0000182E0000}"/>
    <cellStyle name="Separador de milhares 12 3 4 5 2" xfId="22345" xr:uid="{5F51DAA6-4BA8-449C-B7E0-BFB18FC68EEA}"/>
    <cellStyle name="Separador de milhares 12 3 4 5 2 2" xfId="23913" xr:uid="{3EEB4F1C-0D94-42F0-BF1F-291B4981A431}"/>
    <cellStyle name="Separador de milhares 12 3 4 6" xfId="15871" xr:uid="{2D7606EE-E4F7-4DF1-8A13-9E396F2FBB8E}"/>
    <cellStyle name="Separador de milhares 12 3 4 6 2" xfId="22981" xr:uid="{1C73B8FA-992B-4C29-A02A-B001620E83AA}"/>
    <cellStyle name="Separador de milhares 12 3 5" xfId="4161" xr:uid="{00000000-0005-0000-0000-0000192E0000}"/>
    <cellStyle name="Separador de milhares 12 3 5 2" xfId="10383" xr:uid="{00000000-0005-0000-0000-00001A2E0000}"/>
    <cellStyle name="Separador de milhares 12 3 5 2 2" xfId="19189" xr:uid="{B5382924-9686-4AF5-87A5-414C31ECB959}"/>
    <cellStyle name="Separador de milhares 12 3 5 2 2 2" xfId="23519" xr:uid="{9B713D33-2ECE-4954-96A1-9DBECA8F16C1}"/>
    <cellStyle name="Separador de milhares 12 3 5 3" xfId="8792" xr:uid="{00000000-0005-0000-0000-00001B2E0000}"/>
    <cellStyle name="Separador de milhares 12 3 5 3 2" xfId="17600" xr:uid="{242F7E3F-3854-4456-8C6A-F59F2F4023C5}"/>
    <cellStyle name="Separador de milhares 12 3 5 3 2 2" xfId="23266" xr:uid="{06299668-82F4-4336-8F8A-569005174C69}"/>
    <cellStyle name="Separador de milhares 12 3 5 4" xfId="12004" xr:uid="{00000000-0005-0000-0000-00001C2E0000}"/>
    <cellStyle name="Separador de milhares 12 3 5 4 2" xfId="20747" xr:uid="{1CEC949B-6C74-4024-8699-788F324FEB85}"/>
    <cellStyle name="Separador de milhares 12 3 5 4 2 2" xfId="23643" xr:uid="{38FD5561-2EAB-4D57-AED5-6844D43B1FFE}"/>
    <cellStyle name="Separador de milhares 12 3 5 5" xfId="13610" xr:uid="{00000000-0005-0000-0000-00001D2E0000}"/>
    <cellStyle name="Separador de milhares 12 3 5 5 2" xfId="22346" xr:uid="{0887D464-CB99-4287-87B2-3650CB7B664F}"/>
    <cellStyle name="Separador de milhares 12 3 5 5 2 2" xfId="23914" xr:uid="{3DCE3765-14F0-4F4F-85BF-BC175F39E7C4}"/>
    <cellStyle name="Separador de milhares 12 3 5 6" xfId="15872" xr:uid="{2F4C3A83-BD32-4BEB-A7D9-AE95EDED96DC}"/>
    <cellStyle name="Separador de milhares 12 3 5 6 2" xfId="22982" xr:uid="{7D8D88B5-AAD5-4B74-BA3C-EA695C42B692}"/>
    <cellStyle name="Separador de milhares 12 3 6" xfId="8788" xr:uid="{00000000-0005-0000-0000-00001E2E0000}"/>
    <cellStyle name="Separador de milhares 12 3 6 2" xfId="17596" xr:uid="{B884D35F-C026-411B-9CB7-43560C620AA3}"/>
    <cellStyle name="Separador de milhares 12 3 6 2 2" xfId="23262" xr:uid="{961C862E-2174-49D5-9E8A-872FCEC57067}"/>
    <cellStyle name="Separador de milhares 12 3 7" xfId="12000" xr:uid="{00000000-0005-0000-0000-00001F2E0000}"/>
    <cellStyle name="Separador de milhares 12 3 7 2" xfId="20743" xr:uid="{21982987-4DFD-44F0-918E-8323261FE36A}"/>
    <cellStyle name="Separador de milhares 12 3 7 2 2" xfId="23639" xr:uid="{28D81449-D2A4-4201-9755-47ECF87928C0}"/>
    <cellStyle name="Separador de milhares 12 3 8" xfId="13606" xr:uid="{00000000-0005-0000-0000-0000202E0000}"/>
    <cellStyle name="Separador de milhares 12 3 8 2" xfId="22342" xr:uid="{4FF0524A-7853-4C75-924A-7848F4AF8981}"/>
    <cellStyle name="Separador de milhares 12 3 8 2 2" xfId="23910" xr:uid="{31E1FC33-3ACD-412A-8AE6-4F8D908BF94B}"/>
    <cellStyle name="Separador de milhares 12 3 9" xfId="15868" xr:uid="{3FDA33D2-AD44-40F3-99FA-151A9E5FB2E4}"/>
    <cellStyle name="Separador de milhares 12 3 9 2" xfId="22978" xr:uid="{23DB1D1F-EB99-4077-8932-A3631B200554}"/>
    <cellStyle name="Separador de milhares 12 4" xfId="4162" xr:uid="{00000000-0005-0000-0000-0000212E0000}"/>
    <cellStyle name="Separador de milhares 12 4 2" xfId="4163" xr:uid="{00000000-0005-0000-0000-0000222E0000}"/>
    <cellStyle name="Separador de milhares 12 4 2 2" xfId="10384" xr:uid="{00000000-0005-0000-0000-0000232E0000}"/>
    <cellStyle name="Separador de milhares 12 4 2 2 2" xfId="19190" xr:uid="{9DCF2391-42B0-4D55-A0C5-E55C15CBFAD3}"/>
    <cellStyle name="Separador de milhares 12 4 2 2 2 2" xfId="23520" xr:uid="{9B7FDC75-0C86-4F24-8193-A4FC63FD671D}"/>
    <cellStyle name="Separador de milhares 12 4 2 3" xfId="8794" xr:uid="{00000000-0005-0000-0000-0000242E0000}"/>
    <cellStyle name="Separador de milhares 12 4 2 3 2" xfId="17602" xr:uid="{99B1DF71-CE35-4632-8AE0-8F1C9820B8B4}"/>
    <cellStyle name="Separador de milhares 12 4 2 3 2 2" xfId="23268" xr:uid="{6E7D6C96-F436-42B6-9D63-C9D05E8E4618}"/>
    <cellStyle name="Separador de milhares 12 4 2 4" xfId="12006" xr:uid="{00000000-0005-0000-0000-0000252E0000}"/>
    <cellStyle name="Separador de milhares 12 4 2 4 2" xfId="20749" xr:uid="{398C6579-59CE-4218-85E6-8F59B83B6BD4}"/>
    <cellStyle name="Separador de milhares 12 4 2 4 2 2" xfId="23645" xr:uid="{3D4322D9-088F-460E-9DCC-03EDB8BC10DF}"/>
    <cellStyle name="Separador de milhares 12 4 2 5" xfId="13612" xr:uid="{00000000-0005-0000-0000-0000262E0000}"/>
    <cellStyle name="Separador de milhares 12 4 2 5 2" xfId="22348" xr:uid="{DAFF5430-A117-4B61-AC4B-9F5F127F51F9}"/>
    <cellStyle name="Separador de milhares 12 4 2 5 2 2" xfId="23916" xr:uid="{7D1E3D8E-EA48-4DF0-A631-54855020823B}"/>
    <cellStyle name="Separador de milhares 12 4 2 6" xfId="15874" xr:uid="{8EA84EA4-A042-4239-954C-12BC3F2CEF8A}"/>
    <cellStyle name="Separador de milhares 12 4 2 6 2" xfId="22984" xr:uid="{206F69F5-69F2-4300-AA91-40E1D3513C2B}"/>
    <cellStyle name="Separador de milhares 12 4 3" xfId="8793" xr:uid="{00000000-0005-0000-0000-0000272E0000}"/>
    <cellStyle name="Separador de milhares 12 4 3 2" xfId="17601" xr:uid="{57964197-E5EA-418D-A123-F4946A7F7DF8}"/>
    <cellStyle name="Separador de milhares 12 4 3 2 2" xfId="23267" xr:uid="{B7331EB0-E3C7-4AF8-BC44-D530F17485C5}"/>
    <cellStyle name="Separador de milhares 12 4 4" xfId="12005" xr:uid="{00000000-0005-0000-0000-0000282E0000}"/>
    <cellStyle name="Separador de milhares 12 4 4 2" xfId="20748" xr:uid="{20FE282D-0435-4756-B97E-C3086ED960F9}"/>
    <cellStyle name="Separador de milhares 12 4 4 2 2" xfId="23644" xr:uid="{4A6006DB-F94E-4891-908E-D68F41938B1E}"/>
    <cellStyle name="Separador de milhares 12 4 5" xfId="13611" xr:uid="{00000000-0005-0000-0000-0000292E0000}"/>
    <cellStyle name="Separador de milhares 12 4 5 2" xfId="22347" xr:uid="{EE82E789-9D69-434A-BECF-7A011854DEC2}"/>
    <cellStyle name="Separador de milhares 12 4 5 2 2" xfId="23915" xr:uid="{AC49B958-57DC-4E3A-9B25-05503BD836E0}"/>
    <cellStyle name="Separador de milhares 12 4 6" xfId="15873" xr:uid="{8CCBF589-7CE7-4A3D-9E45-9534876200DD}"/>
    <cellStyle name="Separador de milhares 12 4 6 2" xfId="22983" xr:uid="{80189434-BF51-4A85-99B9-C1C5EF64A0C9}"/>
    <cellStyle name="Separador de milhares 12 5" xfId="4164" xr:uid="{00000000-0005-0000-0000-00002A2E0000}"/>
    <cellStyle name="Separador de milhares 12 5 2" xfId="4165" xr:uid="{00000000-0005-0000-0000-00002B2E0000}"/>
    <cellStyle name="Separador de milhares 12 5 2 2" xfId="10385" xr:uid="{00000000-0005-0000-0000-00002C2E0000}"/>
    <cellStyle name="Separador de milhares 12 5 2 2 2" xfId="19191" xr:uid="{6D7D6746-35FA-4013-84C4-4351D8590438}"/>
    <cellStyle name="Separador de milhares 12 5 2 2 2 2" xfId="23521" xr:uid="{9ACEAE35-036F-4AF1-BD73-67A4E7B38FEC}"/>
    <cellStyle name="Separador de milhares 12 5 2 3" xfId="8796" xr:uid="{00000000-0005-0000-0000-00002D2E0000}"/>
    <cellStyle name="Separador de milhares 12 5 2 3 2" xfId="17604" xr:uid="{4CB8E692-C73D-4115-B583-6071A4E0A19C}"/>
    <cellStyle name="Separador de milhares 12 5 2 3 2 2" xfId="23270" xr:uid="{2C11E7B8-2153-4DDF-829C-9646C7189AB6}"/>
    <cellStyle name="Separador de milhares 12 5 2 4" xfId="12008" xr:uid="{00000000-0005-0000-0000-00002E2E0000}"/>
    <cellStyle name="Separador de milhares 12 5 2 4 2" xfId="20751" xr:uid="{CFBC6AB0-E350-4748-A19F-F0F962E35A66}"/>
    <cellStyle name="Separador de milhares 12 5 2 4 2 2" xfId="23647" xr:uid="{A9216C83-E447-4138-890A-0F60C5C3BD5A}"/>
    <cellStyle name="Separador de milhares 12 5 2 5" xfId="13614" xr:uid="{00000000-0005-0000-0000-00002F2E0000}"/>
    <cellStyle name="Separador de milhares 12 5 2 5 2" xfId="22350" xr:uid="{6E45DBA6-65B3-4CEB-BFC9-C379D0DE1640}"/>
    <cellStyle name="Separador de milhares 12 5 2 5 2 2" xfId="23918" xr:uid="{94787068-D321-470A-9CB7-CAF0DE270ABB}"/>
    <cellStyle name="Separador de milhares 12 5 2 6" xfId="15876" xr:uid="{07C8F2D3-2F90-4013-A677-DC9369936DDD}"/>
    <cellStyle name="Separador de milhares 12 5 2 6 2" xfId="22986" xr:uid="{5242A096-28B6-46FF-B257-17F080B2D74F}"/>
    <cellStyle name="Separador de milhares 12 5 3" xfId="8795" xr:uid="{00000000-0005-0000-0000-0000302E0000}"/>
    <cellStyle name="Separador de milhares 12 5 3 2" xfId="17603" xr:uid="{9633EB7F-99BD-42CD-BB09-0514321C7E35}"/>
    <cellStyle name="Separador de milhares 12 5 3 2 2" xfId="23269" xr:uid="{2A06E840-590B-4BC9-9928-01390A985E05}"/>
    <cellStyle name="Separador de milhares 12 5 4" xfId="12007" xr:uid="{00000000-0005-0000-0000-0000312E0000}"/>
    <cellStyle name="Separador de milhares 12 5 4 2" xfId="20750" xr:uid="{8D83B4D3-C27D-41DE-A5CF-FC8149A5F940}"/>
    <cellStyle name="Separador de milhares 12 5 4 2 2" xfId="23646" xr:uid="{C48F4AF7-7AD5-487E-9A3A-AC5A51BEC3C4}"/>
    <cellStyle name="Separador de milhares 12 5 5" xfId="13613" xr:uid="{00000000-0005-0000-0000-0000322E0000}"/>
    <cellStyle name="Separador de milhares 12 5 5 2" xfId="22349" xr:uid="{9A817026-C708-4CC1-BBA4-972BD15BCE7C}"/>
    <cellStyle name="Separador de milhares 12 5 5 2 2" xfId="23917" xr:uid="{EED12928-14E3-4E7C-974F-1A284035BA96}"/>
    <cellStyle name="Separador de milhares 12 5 6" xfId="15875" xr:uid="{B33009A3-2F8E-41D3-94FE-02C7738BAC3B}"/>
    <cellStyle name="Separador de milhares 12 5 6 2" xfId="22985" xr:uid="{1F0C3C6C-D7BF-4858-A4E8-6DD0EB1F9E89}"/>
    <cellStyle name="Separador de milhares 12 6" xfId="4166" xr:uid="{00000000-0005-0000-0000-0000332E0000}"/>
    <cellStyle name="Separador de milhares 12 6 2" xfId="4167" xr:uid="{00000000-0005-0000-0000-0000342E0000}"/>
    <cellStyle name="Separador de milhares 12 6 2 2" xfId="10386" xr:uid="{00000000-0005-0000-0000-0000352E0000}"/>
    <cellStyle name="Separador de milhares 12 6 2 2 2" xfId="19192" xr:uid="{3F3FE131-A520-4F39-B9EC-4C9FA1C6F9F2}"/>
    <cellStyle name="Separador de milhares 12 6 2 2 2 2" xfId="23522" xr:uid="{F44F4A7B-CE3B-482C-8EA4-C82FAC79B016}"/>
    <cellStyle name="Separador de milhares 12 6 2 3" xfId="8798" xr:uid="{00000000-0005-0000-0000-0000362E0000}"/>
    <cellStyle name="Separador de milhares 12 6 2 3 2" xfId="17606" xr:uid="{C6F799EB-E112-4A40-99C3-1586B0E44C09}"/>
    <cellStyle name="Separador de milhares 12 6 2 3 2 2" xfId="23272" xr:uid="{3D34CFC9-EA55-4BB2-9AC4-35F038F8B681}"/>
    <cellStyle name="Separador de milhares 12 6 2 4" xfId="12010" xr:uid="{00000000-0005-0000-0000-0000372E0000}"/>
    <cellStyle name="Separador de milhares 12 6 2 4 2" xfId="20753" xr:uid="{2FB91D99-09D2-4B7D-9574-B8E1BAF08C8F}"/>
    <cellStyle name="Separador de milhares 12 6 2 4 2 2" xfId="23649" xr:uid="{BED8F035-96D0-4C87-9873-7ED4C3FF4E9F}"/>
    <cellStyle name="Separador de milhares 12 6 2 5" xfId="13616" xr:uid="{00000000-0005-0000-0000-0000382E0000}"/>
    <cellStyle name="Separador de milhares 12 6 2 5 2" xfId="22352" xr:uid="{4B425F19-2E28-4166-AA97-6A3D8395D0E0}"/>
    <cellStyle name="Separador de milhares 12 6 2 5 2 2" xfId="23920" xr:uid="{46CF1A81-B104-4104-A916-362DADC83DA3}"/>
    <cellStyle name="Separador de milhares 12 6 2 6" xfId="15878" xr:uid="{1BDC9957-BBE6-452F-A7A9-A76F64827C2B}"/>
    <cellStyle name="Separador de milhares 12 6 2 6 2" xfId="22988" xr:uid="{E5963490-19B5-4F75-98AE-65F85C7390BF}"/>
    <cellStyle name="Separador de milhares 12 6 3" xfId="8797" xr:uid="{00000000-0005-0000-0000-0000392E0000}"/>
    <cellStyle name="Separador de milhares 12 6 3 2" xfId="17605" xr:uid="{566790FC-CBA7-4BD2-91A3-D79EEE0A28A8}"/>
    <cellStyle name="Separador de milhares 12 6 3 2 2" xfId="23271" xr:uid="{F1DAE55D-E070-4BBF-90C1-3FF215D9D9C1}"/>
    <cellStyle name="Separador de milhares 12 6 4" xfId="12009" xr:uid="{00000000-0005-0000-0000-00003A2E0000}"/>
    <cellStyle name="Separador de milhares 12 6 4 2" xfId="20752" xr:uid="{61A0FFA5-9758-4B33-AD0A-7A24EBF83AE3}"/>
    <cellStyle name="Separador de milhares 12 6 4 2 2" xfId="23648" xr:uid="{1BA1D806-4FBD-4F42-8FD8-8A38F86B98D7}"/>
    <cellStyle name="Separador de milhares 12 6 5" xfId="13615" xr:uid="{00000000-0005-0000-0000-00003B2E0000}"/>
    <cellStyle name="Separador de milhares 12 6 5 2" xfId="22351" xr:uid="{33B5B5F2-FD4C-4D61-AC05-2C7632C3AFAA}"/>
    <cellStyle name="Separador de milhares 12 6 5 2 2" xfId="23919" xr:uid="{3FA81367-40EC-4844-824D-3C2FA4BC42FF}"/>
    <cellStyle name="Separador de milhares 12 6 6" xfId="15877" xr:uid="{39AE609D-9E8B-43FB-81E7-74674F230BDA}"/>
    <cellStyle name="Separador de milhares 12 6 6 2" xfId="22987" xr:uid="{C7F70F94-AAA3-436A-8524-373D7E12C382}"/>
    <cellStyle name="Separador de milhares 12 7" xfId="4168" xr:uid="{00000000-0005-0000-0000-00003C2E0000}"/>
    <cellStyle name="Separador de milhares 12 7 2" xfId="8799" xr:uid="{00000000-0005-0000-0000-00003D2E0000}"/>
    <cellStyle name="Separador de milhares 12 7 2 2" xfId="17607" xr:uid="{74308325-8603-4D0C-B44F-451378B21B4E}"/>
    <cellStyle name="Separador de milhares 12 7 2 2 2" xfId="23273" xr:uid="{F9DABA83-4B63-4E9A-A20F-52933E31E906}"/>
    <cellStyle name="Separador de milhares 12 7 3" xfId="12011" xr:uid="{00000000-0005-0000-0000-00003E2E0000}"/>
    <cellStyle name="Separador de milhares 12 7 3 2" xfId="20754" xr:uid="{481EA6CD-F5B4-4726-A732-A25336EAE93F}"/>
    <cellStyle name="Separador de milhares 12 7 3 2 2" xfId="23650" xr:uid="{D9452A55-1AFE-4390-BC60-4F0139DF216D}"/>
    <cellStyle name="Separador de milhares 12 7 4" xfId="13617" xr:uid="{00000000-0005-0000-0000-00003F2E0000}"/>
    <cellStyle name="Separador de milhares 12 7 4 2" xfId="22353" xr:uid="{C0DA9745-FA1D-43BC-8362-968F105A8D2D}"/>
    <cellStyle name="Separador de milhares 12 7 4 2 2" xfId="23921" xr:uid="{A28A035D-8CB5-4B59-8B18-B131F17D5811}"/>
    <cellStyle name="Separador de milhares 12 7 5" xfId="15879" xr:uid="{CB325405-63B9-41BC-8FBC-E5A1662CC892}"/>
    <cellStyle name="Separador de milhares 12 7 5 2" xfId="22989" xr:uid="{E99BB8A8-AFC9-493D-83F9-B5F9F9FF1230}"/>
    <cellStyle name="Separador de milhares 12 8" xfId="4169" xr:uid="{00000000-0005-0000-0000-0000402E0000}"/>
    <cellStyle name="Separador de milhares 12 8 2" xfId="10387" xr:uid="{00000000-0005-0000-0000-0000412E0000}"/>
    <cellStyle name="Separador de milhares 12 8 2 2" xfId="19193" xr:uid="{8E7E0D85-48AA-4335-93E3-8FA78011CA08}"/>
    <cellStyle name="Separador de milhares 12 8 2 2 2" xfId="23523" xr:uid="{787BCE52-B163-476A-A826-BB93E5F3662C}"/>
    <cellStyle name="Separador de milhares 12 8 3" xfId="8800" xr:uid="{00000000-0005-0000-0000-0000422E0000}"/>
    <cellStyle name="Separador de milhares 12 8 3 2" xfId="17608" xr:uid="{FA7C517F-1C0B-4CA7-A801-5953599C6FF1}"/>
    <cellStyle name="Separador de milhares 12 8 3 2 2" xfId="23274" xr:uid="{979D4134-733A-4F18-B13E-3BD47FB3F6AB}"/>
    <cellStyle name="Separador de milhares 12 8 4" xfId="12012" xr:uid="{00000000-0005-0000-0000-0000432E0000}"/>
    <cellStyle name="Separador de milhares 12 8 4 2" xfId="20755" xr:uid="{E3BC4DD4-F7B5-49E9-B71B-B4C04B94735F}"/>
    <cellStyle name="Separador de milhares 12 8 4 2 2" xfId="23651" xr:uid="{64B626FA-619F-4810-84C5-DBFF3C440774}"/>
    <cellStyle name="Separador de milhares 12 8 5" xfId="13618" xr:uid="{00000000-0005-0000-0000-0000442E0000}"/>
    <cellStyle name="Separador de milhares 12 8 5 2" xfId="22354" xr:uid="{53D3760F-95DE-416D-BEF8-22F43D919FBA}"/>
    <cellStyle name="Separador de milhares 12 8 5 2 2" xfId="23922" xr:uid="{107923F6-0396-4549-83A6-A5C3D432CB5A}"/>
    <cellStyle name="Separador de milhares 12 8 6" xfId="15880" xr:uid="{261E71C7-D8C7-4A17-AD40-9D62F8BACD78}"/>
    <cellStyle name="Separador de milhares 12 8 6 2" xfId="22990" xr:uid="{C5EE42E2-0E45-4F6D-B988-5CD5DF3FEF4D}"/>
    <cellStyle name="Separador de milhares 12 9" xfId="10374" xr:uid="{00000000-0005-0000-0000-0000452E0000}"/>
    <cellStyle name="Separador de milhares 12 9 2" xfId="19180" xr:uid="{46BF1E73-BCDC-4740-8ACD-4565C86831C2}"/>
    <cellStyle name="Separador de milhares 12 9 2 2" xfId="23510" xr:uid="{182200EA-4A35-498F-979D-495338F7DBD5}"/>
    <cellStyle name="Separador de milhares 13" xfId="4170" xr:uid="{00000000-0005-0000-0000-0000462E0000}"/>
    <cellStyle name="Separador de milhares 13 10" xfId="15881" xr:uid="{BADD64B7-A95B-4B0B-B575-092CB83B076C}"/>
    <cellStyle name="Separador de milhares 13 10 2" xfId="22991" xr:uid="{8B6E9C4C-54AE-4CE2-A854-4EB3044D9233}"/>
    <cellStyle name="Separador de milhares 13 2" xfId="4171" xr:uid="{00000000-0005-0000-0000-0000472E0000}"/>
    <cellStyle name="Separador de milhares 13 2 2" xfId="4172" xr:uid="{00000000-0005-0000-0000-0000482E0000}"/>
    <cellStyle name="Separador de milhares 13 2 2 2" xfId="10389" xr:uid="{00000000-0005-0000-0000-0000492E0000}"/>
    <cellStyle name="Separador de milhares 13 2 2 2 2" xfId="19195" xr:uid="{629EC2FC-B2BA-4435-98F2-DC50767D6069}"/>
    <cellStyle name="Separador de milhares 13 2 2 2 2 2" xfId="23525" xr:uid="{E5366AD1-D692-487D-8DFB-0180599DE8D8}"/>
    <cellStyle name="Separador de milhares 13 2 2 3" xfId="8803" xr:uid="{00000000-0005-0000-0000-00004A2E0000}"/>
    <cellStyle name="Separador de milhares 13 2 2 3 2" xfId="17611" xr:uid="{3C0ED647-C90F-40EC-BFF6-90624CDB8BA9}"/>
    <cellStyle name="Separador de milhares 13 2 2 3 2 2" xfId="23277" xr:uid="{35147C60-7CF5-48C9-8628-A8E59EB98AAD}"/>
    <cellStyle name="Separador de milhares 13 2 2 4" xfId="12015" xr:uid="{00000000-0005-0000-0000-00004B2E0000}"/>
    <cellStyle name="Separador de milhares 13 2 2 4 2" xfId="20758" xr:uid="{FBB77AB3-7635-4814-9753-8D86293AF725}"/>
    <cellStyle name="Separador de milhares 13 2 2 4 2 2" xfId="23654" xr:uid="{52D57767-F204-4E5B-AA64-AAE54A2B4953}"/>
    <cellStyle name="Separador de milhares 13 2 2 5" xfId="13621" xr:uid="{00000000-0005-0000-0000-00004C2E0000}"/>
    <cellStyle name="Separador de milhares 13 2 2 5 2" xfId="22357" xr:uid="{E20283A0-0395-421E-B24F-0F52077CBF7E}"/>
    <cellStyle name="Separador de milhares 13 2 2 5 2 2" xfId="23925" xr:uid="{6CA6D214-86C2-424C-BA32-8E9F89443CAF}"/>
    <cellStyle name="Separador de milhares 13 2 2 6" xfId="15883" xr:uid="{14F3609D-68D5-471E-B636-310877EF3382}"/>
    <cellStyle name="Separador de milhares 13 2 2 6 2" xfId="22993" xr:uid="{204B4678-DD5A-4AE2-B62F-6D6DEFF1F075}"/>
    <cellStyle name="Separador de milhares 13 2 3" xfId="4173" xr:uid="{00000000-0005-0000-0000-00004D2E0000}"/>
    <cellStyle name="Separador de milhares 13 2 3 2" xfId="10390" xr:uid="{00000000-0005-0000-0000-00004E2E0000}"/>
    <cellStyle name="Separador de milhares 13 2 3 2 2" xfId="19196" xr:uid="{ACAB7E8F-41D2-4475-8572-242DA9BACD0A}"/>
    <cellStyle name="Separador de milhares 13 2 3 2 2 2" xfId="23526" xr:uid="{1A12E78D-80E9-4DE2-9F5D-8C6739BE4372}"/>
    <cellStyle name="Separador de milhares 13 2 3 3" xfId="8804" xr:uid="{00000000-0005-0000-0000-00004F2E0000}"/>
    <cellStyle name="Separador de milhares 13 2 3 3 2" xfId="17612" xr:uid="{2DCB802E-8642-49AC-ABA6-EFA4E949355F}"/>
    <cellStyle name="Separador de milhares 13 2 3 3 2 2" xfId="23278" xr:uid="{C0D08347-FFD0-481B-B3E8-138A57D2D1AD}"/>
    <cellStyle name="Separador de milhares 13 2 3 4" xfId="12016" xr:uid="{00000000-0005-0000-0000-0000502E0000}"/>
    <cellStyle name="Separador de milhares 13 2 3 4 2" xfId="20759" xr:uid="{CACE3253-94A7-4660-9256-F7BEF1F6C017}"/>
    <cellStyle name="Separador de milhares 13 2 3 4 2 2" xfId="23655" xr:uid="{366C9576-42E1-479C-9199-F4FFEFABC5F3}"/>
    <cellStyle name="Separador de milhares 13 2 3 5" xfId="13622" xr:uid="{00000000-0005-0000-0000-0000512E0000}"/>
    <cellStyle name="Separador de milhares 13 2 3 5 2" xfId="22358" xr:uid="{06677376-A142-4C4D-9FE7-02529A2AC109}"/>
    <cellStyle name="Separador de milhares 13 2 3 5 2 2" xfId="23926" xr:uid="{C6E3B03A-A9AA-4CAB-8EBA-6D4309C9F2CA}"/>
    <cellStyle name="Separador de milhares 13 2 3 6" xfId="15884" xr:uid="{5E86731F-5ABE-4637-A898-6114FF003554}"/>
    <cellStyle name="Separador de milhares 13 2 3 6 2" xfId="22994" xr:uid="{5847229B-464B-4934-AF64-7ECD96748ED6}"/>
    <cellStyle name="Separador de milhares 13 2 4" xfId="4174" xr:uid="{00000000-0005-0000-0000-0000522E0000}"/>
    <cellStyle name="Separador de milhares 13 2 4 2" xfId="10391" xr:uid="{00000000-0005-0000-0000-0000532E0000}"/>
    <cellStyle name="Separador de milhares 13 2 4 2 2" xfId="19197" xr:uid="{942E1F33-CDD3-408C-A79C-AC63C3C2B3DB}"/>
    <cellStyle name="Separador de milhares 13 2 4 2 2 2" xfId="23527" xr:uid="{ADEB7278-20E6-41E7-91E5-26F910C3EC2E}"/>
    <cellStyle name="Separador de milhares 13 2 4 3" xfId="8805" xr:uid="{00000000-0005-0000-0000-0000542E0000}"/>
    <cellStyle name="Separador de milhares 13 2 4 3 2" xfId="17613" xr:uid="{81D1358C-C787-4F84-88F6-9BCCB7058665}"/>
    <cellStyle name="Separador de milhares 13 2 4 3 2 2" xfId="23279" xr:uid="{3323F939-1140-4344-8ED3-F8C1B51A0058}"/>
    <cellStyle name="Separador de milhares 13 2 4 4" xfId="12017" xr:uid="{00000000-0005-0000-0000-0000552E0000}"/>
    <cellStyle name="Separador de milhares 13 2 4 4 2" xfId="20760" xr:uid="{981CB473-830B-4485-8D65-314341BCB6D4}"/>
    <cellStyle name="Separador de milhares 13 2 4 4 2 2" xfId="23656" xr:uid="{013D3B25-6494-466B-AE5E-894F350DFDAE}"/>
    <cellStyle name="Separador de milhares 13 2 4 5" xfId="13623" xr:uid="{00000000-0005-0000-0000-0000562E0000}"/>
    <cellStyle name="Separador de milhares 13 2 4 5 2" xfId="22359" xr:uid="{8702E2A8-E1DD-49CA-8F44-CAB721AF61B4}"/>
    <cellStyle name="Separador de milhares 13 2 4 5 2 2" xfId="23927" xr:uid="{085066DB-D816-42D7-A7C9-FC824EA2D4CB}"/>
    <cellStyle name="Separador de milhares 13 2 4 6" xfId="15885" xr:uid="{DD1C81B7-C477-47A2-998B-0B7F31BACCB6}"/>
    <cellStyle name="Separador de milhares 13 2 4 6 2" xfId="22995" xr:uid="{DC81A9FA-260A-4451-8A40-5071E3E8ED15}"/>
    <cellStyle name="Separador de milhares 13 2 5" xfId="4175" xr:uid="{00000000-0005-0000-0000-0000572E0000}"/>
    <cellStyle name="Separador de milhares 13 2 5 2" xfId="10392" xr:uid="{00000000-0005-0000-0000-0000582E0000}"/>
    <cellStyle name="Separador de milhares 13 2 5 2 2" xfId="19198" xr:uid="{28BB23ED-E647-4888-AABB-46B6D5149976}"/>
    <cellStyle name="Separador de milhares 13 2 5 2 2 2" xfId="23528" xr:uid="{298057CD-68DE-461D-BE36-60708135DFF8}"/>
    <cellStyle name="Separador de milhares 13 2 5 3" xfId="8806" xr:uid="{00000000-0005-0000-0000-0000592E0000}"/>
    <cellStyle name="Separador de milhares 13 2 5 3 2" xfId="17614" xr:uid="{C2EC14C0-526F-4A95-A0BD-1A487395D30A}"/>
    <cellStyle name="Separador de milhares 13 2 5 3 2 2" xfId="23280" xr:uid="{0D4BC3DA-9A51-4FF5-9584-34830108DA59}"/>
    <cellStyle name="Separador de milhares 13 2 5 4" xfId="12018" xr:uid="{00000000-0005-0000-0000-00005A2E0000}"/>
    <cellStyle name="Separador de milhares 13 2 5 4 2" xfId="20761" xr:uid="{2BE32DDF-CB61-4204-AB7E-D38945186A7B}"/>
    <cellStyle name="Separador de milhares 13 2 5 4 2 2" xfId="23657" xr:uid="{D0D84865-E55D-41B9-A4F0-F7809445E49D}"/>
    <cellStyle name="Separador de milhares 13 2 5 5" xfId="13624" xr:uid="{00000000-0005-0000-0000-00005B2E0000}"/>
    <cellStyle name="Separador de milhares 13 2 5 5 2" xfId="22360" xr:uid="{FD469B45-C98B-471C-82EC-340AF83626D8}"/>
    <cellStyle name="Separador de milhares 13 2 5 5 2 2" xfId="23928" xr:uid="{286A42C4-BA64-4671-A202-9CA02E85BA7A}"/>
    <cellStyle name="Separador de milhares 13 2 5 6" xfId="15886" xr:uid="{9968D956-2BC8-422B-A90A-1CD16F3B6B4F}"/>
    <cellStyle name="Separador de milhares 13 2 5 6 2" xfId="22996" xr:uid="{EFF4A140-B84F-424F-AA89-223884EE4792}"/>
    <cellStyle name="Separador de milhares 13 2 6" xfId="8802" xr:uid="{00000000-0005-0000-0000-00005C2E0000}"/>
    <cellStyle name="Separador de milhares 13 2 6 2" xfId="17610" xr:uid="{18970BBA-D42B-4BF6-BF14-CF518E4D2901}"/>
    <cellStyle name="Separador de milhares 13 2 6 2 2" xfId="23276" xr:uid="{8B9856D7-668F-4971-A189-D6E644F238D4}"/>
    <cellStyle name="Separador de milhares 13 2 7" xfId="12014" xr:uid="{00000000-0005-0000-0000-00005D2E0000}"/>
    <cellStyle name="Separador de milhares 13 2 7 2" xfId="20757" xr:uid="{8A35A08A-C133-4F2D-9CF3-3CB4EB043A07}"/>
    <cellStyle name="Separador de milhares 13 2 7 2 2" xfId="23653" xr:uid="{71479CE1-E881-4978-A11C-3DEF74F116F6}"/>
    <cellStyle name="Separador de milhares 13 2 8" xfId="13620" xr:uid="{00000000-0005-0000-0000-00005E2E0000}"/>
    <cellStyle name="Separador de milhares 13 2 8 2" xfId="22356" xr:uid="{C12C8826-6B5C-4759-B56B-BB19E6098709}"/>
    <cellStyle name="Separador de milhares 13 2 8 2 2" xfId="23924" xr:uid="{D528C880-47DC-431A-A9E8-32B4D26FB91C}"/>
    <cellStyle name="Separador de milhares 13 2 9" xfId="15882" xr:uid="{0556FA1E-88ED-42FA-ADCB-A77FFB0B2B3A}"/>
    <cellStyle name="Separador de milhares 13 2 9 2" xfId="22992" xr:uid="{5012D1D9-3E34-4102-8C66-84E327C927D6}"/>
    <cellStyle name="Separador de milhares 13 3" xfId="4176" xr:uid="{00000000-0005-0000-0000-00005F2E0000}"/>
    <cellStyle name="Separador de milhares 13 3 2" xfId="10393" xr:uid="{00000000-0005-0000-0000-0000602E0000}"/>
    <cellStyle name="Separador de milhares 13 3 2 2" xfId="19199" xr:uid="{A9FC98AC-0938-4C6A-80A1-6482CE090E45}"/>
    <cellStyle name="Separador de milhares 13 3 2 2 2" xfId="23529" xr:uid="{E98EE2FF-87D1-4702-9D20-26F4BA360BA0}"/>
    <cellStyle name="Separador de milhares 13 3 3" xfId="8807" xr:uid="{00000000-0005-0000-0000-0000612E0000}"/>
    <cellStyle name="Separador de milhares 13 3 3 2" xfId="17615" xr:uid="{920D86AF-A47A-49CE-8EBB-DB64F07F5030}"/>
    <cellStyle name="Separador de milhares 13 3 3 2 2" xfId="23281" xr:uid="{E282CEDF-E4CF-48AF-9635-53EFD076D666}"/>
    <cellStyle name="Separador de milhares 13 3 4" xfId="12019" xr:uid="{00000000-0005-0000-0000-0000622E0000}"/>
    <cellStyle name="Separador de milhares 13 3 4 2" xfId="20762" xr:uid="{ECEEAEE1-FD9F-4E05-8F14-09E7C994190A}"/>
    <cellStyle name="Separador de milhares 13 3 4 2 2" xfId="23658" xr:uid="{7DF68EBE-6E81-40D0-81FB-0EF03A7C9A43}"/>
    <cellStyle name="Separador de milhares 13 3 5" xfId="13625" xr:uid="{00000000-0005-0000-0000-0000632E0000}"/>
    <cellStyle name="Separador de milhares 13 3 5 2" xfId="22361" xr:uid="{83CBD117-F872-4765-A290-71BD9C07B751}"/>
    <cellStyle name="Separador de milhares 13 3 5 2 2" xfId="23929" xr:uid="{952846A1-E72D-4369-8877-BA9830250295}"/>
    <cellStyle name="Separador de milhares 13 3 6" xfId="15887" xr:uid="{7244A2D3-C2CE-4A84-8D0B-4AACCA4D1F8F}"/>
    <cellStyle name="Separador de milhares 13 3 6 2" xfId="22997" xr:uid="{D14295D9-C652-4598-9984-F52FC720D26A}"/>
    <cellStyle name="Separador de milhares 13 4" xfId="4177" xr:uid="{00000000-0005-0000-0000-0000642E0000}"/>
    <cellStyle name="Separador de milhares 13 4 2" xfId="10394" xr:uid="{00000000-0005-0000-0000-0000652E0000}"/>
    <cellStyle name="Separador de milhares 13 4 2 2" xfId="19200" xr:uid="{86E24716-A6E2-4B39-A36E-60E160DFCA40}"/>
    <cellStyle name="Separador de milhares 13 4 2 2 2" xfId="23530" xr:uid="{0B8DC34D-5D42-41EB-8733-A24CAE7147D7}"/>
    <cellStyle name="Separador de milhares 13 4 3" xfId="8808" xr:uid="{00000000-0005-0000-0000-0000662E0000}"/>
    <cellStyle name="Separador de milhares 13 4 3 2" xfId="17616" xr:uid="{298E6942-E572-4215-8E26-82C13129F830}"/>
    <cellStyle name="Separador de milhares 13 4 3 2 2" xfId="23282" xr:uid="{5E1A8EDD-2E8C-4C16-AC3E-03C00730B933}"/>
    <cellStyle name="Separador de milhares 13 4 4" xfId="12020" xr:uid="{00000000-0005-0000-0000-0000672E0000}"/>
    <cellStyle name="Separador de milhares 13 4 4 2" xfId="20763" xr:uid="{5839439D-8302-476E-82B9-14EE8768BD7D}"/>
    <cellStyle name="Separador de milhares 13 4 4 2 2" xfId="23659" xr:uid="{DE8B3A85-D690-46F3-A6E1-2B2B5584350B}"/>
    <cellStyle name="Separador de milhares 13 4 5" xfId="13626" xr:uid="{00000000-0005-0000-0000-0000682E0000}"/>
    <cellStyle name="Separador de milhares 13 4 5 2" xfId="22362" xr:uid="{FB78D91F-5DBC-4956-81A8-D5148961A582}"/>
    <cellStyle name="Separador de milhares 13 4 5 2 2" xfId="23930" xr:uid="{6965ACA9-A410-4020-97E9-7899C046E6F9}"/>
    <cellStyle name="Separador de milhares 13 4 6" xfId="15888" xr:uid="{BA5D982C-2766-499F-AB59-5323CF9B090D}"/>
    <cellStyle name="Separador de milhares 13 4 6 2" xfId="22998" xr:uid="{CF12C302-7686-4130-B899-9130E4EDC289}"/>
    <cellStyle name="Separador de milhares 13 5" xfId="4178" xr:uid="{00000000-0005-0000-0000-0000692E0000}"/>
    <cellStyle name="Separador de milhares 13 5 2" xfId="10395" xr:uid="{00000000-0005-0000-0000-00006A2E0000}"/>
    <cellStyle name="Separador de milhares 13 5 2 2" xfId="19201" xr:uid="{39684866-5569-437F-95EA-30361366CE71}"/>
    <cellStyle name="Separador de milhares 13 5 2 2 2" xfId="23531" xr:uid="{B7D583E0-2247-4A93-B3BF-9EBEEF80DF65}"/>
    <cellStyle name="Separador de milhares 13 5 3" xfId="8809" xr:uid="{00000000-0005-0000-0000-00006B2E0000}"/>
    <cellStyle name="Separador de milhares 13 5 3 2" xfId="17617" xr:uid="{3A23AE70-8CC2-4575-B63D-C00DBFAB7760}"/>
    <cellStyle name="Separador de milhares 13 5 3 2 2" xfId="23283" xr:uid="{B6A65C18-6F5E-43E3-AAD7-4E8EC7B951C3}"/>
    <cellStyle name="Separador de milhares 13 5 4" xfId="12021" xr:uid="{00000000-0005-0000-0000-00006C2E0000}"/>
    <cellStyle name="Separador de milhares 13 5 4 2" xfId="20764" xr:uid="{D20D6EE0-F094-4952-9693-25F3D088BE22}"/>
    <cellStyle name="Separador de milhares 13 5 4 2 2" xfId="23660" xr:uid="{FA2EBE4C-F815-47E1-B250-32A28137C99B}"/>
    <cellStyle name="Separador de milhares 13 5 5" xfId="13627" xr:uid="{00000000-0005-0000-0000-00006D2E0000}"/>
    <cellStyle name="Separador de milhares 13 5 5 2" xfId="22363" xr:uid="{A0E835F0-4937-4FE7-97F6-783FEB8B5CC3}"/>
    <cellStyle name="Separador de milhares 13 5 5 2 2" xfId="23931" xr:uid="{C5125C7B-2FA6-4C6D-9883-7D940DBF4F15}"/>
    <cellStyle name="Separador de milhares 13 5 6" xfId="15889" xr:uid="{0756F65C-A94D-4CF8-B65B-71299E96DD0D}"/>
    <cellStyle name="Separador de milhares 13 5 6 2" xfId="22999" xr:uid="{FF368084-929A-47DB-934E-A85A9ABF048B}"/>
    <cellStyle name="Separador de milhares 13 6" xfId="10388" xr:uid="{00000000-0005-0000-0000-00006E2E0000}"/>
    <cellStyle name="Separador de milhares 13 6 2" xfId="19194" xr:uid="{F959A3E3-C546-4531-BA7C-1BF58E83B49D}"/>
    <cellStyle name="Separador de milhares 13 6 2 2" xfId="23524" xr:uid="{07646DB2-7DF7-4724-B09A-37A755CB4CFC}"/>
    <cellStyle name="Separador de milhares 13 7" xfId="8801" xr:uid="{00000000-0005-0000-0000-00006F2E0000}"/>
    <cellStyle name="Separador de milhares 13 7 2" xfId="17609" xr:uid="{3408B5D6-7AB9-4C58-8361-DFEEA7410B6A}"/>
    <cellStyle name="Separador de milhares 13 7 2 2" xfId="23275" xr:uid="{0EE11297-FB46-4F11-A17A-1379CDD13B9A}"/>
    <cellStyle name="Separador de milhares 13 8" xfId="12013" xr:uid="{00000000-0005-0000-0000-0000702E0000}"/>
    <cellStyle name="Separador de milhares 13 8 2" xfId="20756" xr:uid="{09781FB5-50E7-4BEA-B893-D12C739DE635}"/>
    <cellStyle name="Separador de milhares 13 8 2 2" xfId="23652" xr:uid="{9F87DCFA-2D0F-498F-B6B7-146AE04E72F8}"/>
    <cellStyle name="Separador de milhares 13 9" xfId="13619" xr:uid="{00000000-0005-0000-0000-0000712E0000}"/>
    <cellStyle name="Separador de milhares 13 9 2" xfId="22355" xr:uid="{32B65743-C7C0-4715-846A-54B72F1943BB}"/>
    <cellStyle name="Separador de milhares 13 9 2 2" xfId="23923" xr:uid="{326B9D4A-CF04-4936-ACD2-8D7763B99D3D}"/>
    <cellStyle name="Separador de milhares 14" xfId="4179" xr:uid="{00000000-0005-0000-0000-0000722E0000}"/>
    <cellStyle name="Separador de milhares 14 10" xfId="13628" xr:uid="{00000000-0005-0000-0000-0000732E0000}"/>
    <cellStyle name="Separador de milhares 14 10 2" xfId="22364" xr:uid="{5794D627-1088-4855-ADA3-EE3C81F34475}"/>
    <cellStyle name="Separador de milhares 14 10 2 2" xfId="23932" xr:uid="{1BAE866C-19B9-4B40-8983-60869B410241}"/>
    <cellStyle name="Separador de milhares 14 11" xfId="15890" xr:uid="{ACB5FEE6-7D6E-4351-86DF-E6E9DC83F9BB}"/>
    <cellStyle name="Separador de milhares 14 11 2" xfId="23000" xr:uid="{B19CDC92-79CE-4ACF-B4B1-2F04660BC341}"/>
    <cellStyle name="Separador de milhares 14 2" xfId="4180" xr:uid="{00000000-0005-0000-0000-0000742E0000}"/>
    <cellStyle name="Separador de milhares 14 2 2" xfId="4181" xr:uid="{00000000-0005-0000-0000-0000752E0000}"/>
    <cellStyle name="Separador de milhares 14 2 2 2" xfId="8812" xr:uid="{00000000-0005-0000-0000-0000762E0000}"/>
    <cellStyle name="Separador de milhares 14 2 2 2 2" xfId="17620" xr:uid="{197532C0-3202-4B18-86A3-D87D3159CACA}"/>
    <cellStyle name="Separador de milhares 14 2 2 2 2 2" xfId="23286" xr:uid="{6166F3E4-834C-468D-89F6-6EAF78666F27}"/>
    <cellStyle name="Separador de milhares 14 2 2 3" xfId="12024" xr:uid="{00000000-0005-0000-0000-0000772E0000}"/>
    <cellStyle name="Separador de milhares 14 2 2 3 2" xfId="20767" xr:uid="{DB360A5C-D495-4512-8FE9-853AFE86105D}"/>
    <cellStyle name="Separador de milhares 14 2 2 3 2 2" xfId="23663" xr:uid="{61E84C6B-5583-4141-A771-48C3D0E21007}"/>
    <cellStyle name="Separador de milhares 14 2 2 4" xfId="13630" xr:uid="{00000000-0005-0000-0000-0000782E0000}"/>
    <cellStyle name="Separador de milhares 14 2 2 4 2" xfId="22366" xr:uid="{A2EA0999-D76F-4918-A8F7-0E22BD639128}"/>
    <cellStyle name="Separador de milhares 14 2 2 4 2 2" xfId="23934" xr:uid="{A0E92512-73CD-48A9-9490-A62AAD0A0A4B}"/>
    <cellStyle name="Separador de milhares 14 2 2 5" xfId="15892" xr:uid="{C1015E71-906D-4C71-805D-46F56AF54C78}"/>
    <cellStyle name="Separador de milhares 14 2 2 5 2" xfId="23002" xr:uid="{0A7E805D-78FF-401B-9A12-D13D25A887C9}"/>
    <cellStyle name="Separador de milhares 14 2 3" xfId="4182" xr:uid="{00000000-0005-0000-0000-0000792E0000}"/>
    <cellStyle name="Separador de milhares 14 2 3 2" xfId="8813" xr:uid="{00000000-0005-0000-0000-00007A2E0000}"/>
    <cellStyle name="Separador de milhares 14 2 3 2 2" xfId="17621" xr:uid="{562A793A-8387-431C-B8D5-B7B5D8648398}"/>
    <cellStyle name="Separador de milhares 14 2 3 2 2 2" xfId="23287" xr:uid="{35695E1B-02A6-44D6-B254-D06953C96E78}"/>
    <cellStyle name="Separador de milhares 14 2 3 3" xfId="12025" xr:uid="{00000000-0005-0000-0000-00007B2E0000}"/>
    <cellStyle name="Separador de milhares 14 2 3 3 2" xfId="20768" xr:uid="{143382F6-C927-4ED7-AF28-743310669981}"/>
    <cellStyle name="Separador de milhares 14 2 3 3 2 2" xfId="23664" xr:uid="{E09F21C9-0D78-406E-9C07-7F74F5F1029C}"/>
    <cellStyle name="Separador de milhares 14 2 3 4" xfId="13631" xr:uid="{00000000-0005-0000-0000-00007C2E0000}"/>
    <cellStyle name="Separador de milhares 14 2 3 4 2" xfId="22367" xr:uid="{1AA3D7D2-E7C6-400D-9392-414A6096A004}"/>
    <cellStyle name="Separador de milhares 14 2 3 4 2 2" xfId="23935" xr:uid="{2A003C14-BC01-4E0B-8A26-5F4FD83DC5DC}"/>
    <cellStyle name="Separador de milhares 14 2 3 5" xfId="15893" xr:uid="{4547C125-F035-4EF8-AE73-FBB5B5A4FD59}"/>
    <cellStyle name="Separador de milhares 14 2 3 5 2" xfId="23003" xr:uid="{0DECA38B-3E33-4DF4-AB24-F475D4A411FC}"/>
    <cellStyle name="Separador de milhares 14 2 4" xfId="8811" xr:uid="{00000000-0005-0000-0000-00007D2E0000}"/>
    <cellStyle name="Separador de milhares 14 2 4 2" xfId="17619" xr:uid="{84E8CCC5-005E-4910-8362-2C59BB3FDD03}"/>
    <cellStyle name="Separador de milhares 14 2 4 2 2" xfId="23285" xr:uid="{54F238A4-97E9-4567-8283-7DD180F1858A}"/>
    <cellStyle name="Separador de milhares 14 2 5" xfId="12023" xr:uid="{00000000-0005-0000-0000-00007E2E0000}"/>
    <cellStyle name="Separador de milhares 14 2 5 2" xfId="20766" xr:uid="{6FE4A305-8810-483E-90DC-804F73327E72}"/>
    <cellStyle name="Separador de milhares 14 2 5 2 2" xfId="23662" xr:uid="{59AEC549-009E-420F-A3D5-F2EB45D822C9}"/>
    <cellStyle name="Separador de milhares 14 2 6" xfId="13629" xr:uid="{00000000-0005-0000-0000-00007F2E0000}"/>
    <cellStyle name="Separador de milhares 14 2 6 2" xfId="22365" xr:uid="{49BD3204-182F-4F0C-88A1-C18D6FDD86EC}"/>
    <cellStyle name="Separador de milhares 14 2 6 2 2" xfId="23933" xr:uid="{BF7D43F4-2599-42C0-ACA8-74FDD467260C}"/>
    <cellStyle name="Separador de milhares 14 2 7" xfId="15891" xr:uid="{18877C30-9245-414A-A132-6B139A8DB587}"/>
    <cellStyle name="Separador de milhares 14 2 7 2" xfId="23001" xr:uid="{A52B9E9F-BB88-4202-BD54-FFC85AB462B4}"/>
    <cellStyle name="Separador de milhares 14 3" xfId="4183" xr:uid="{00000000-0005-0000-0000-0000802E0000}"/>
    <cellStyle name="Separador de milhares 14 3 2" xfId="4184" xr:uid="{00000000-0005-0000-0000-0000812E0000}"/>
    <cellStyle name="Separador de milhares 14 3 2 2" xfId="10398" xr:uid="{00000000-0005-0000-0000-0000822E0000}"/>
    <cellStyle name="Separador de milhares 14 3 2 2 2" xfId="19204" xr:uid="{3A8598E1-F947-42D6-B972-D85680304F9F}"/>
    <cellStyle name="Separador de milhares 14 3 2 2 2 2" xfId="23534" xr:uid="{53FFABDC-29D6-4650-B524-D6AF1AA91109}"/>
    <cellStyle name="Separador de milhares 14 3 2 3" xfId="8815" xr:uid="{00000000-0005-0000-0000-0000832E0000}"/>
    <cellStyle name="Separador de milhares 14 3 2 3 2" xfId="17623" xr:uid="{FB7F0B9B-E0B3-4131-B2EB-CEA6BBB87B6B}"/>
    <cellStyle name="Separador de milhares 14 3 2 3 2 2" xfId="23289" xr:uid="{A1D60BDC-330E-4468-A1BB-22BCC30D6182}"/>
    <cellStyle name="Separador de milhares 14 3 2 4" xfId="12027" xr:uid="{00000000-0005-0000-0000-0000842E0000}"/>
    <cellStyle name="Separador de milhares 14 3 2 4 2" xfId="20770" xr:uid="{DF2834C0-5F20-4C50-A833-CB480C048697}"/>
    <cellStyle name="Separador de milhares 14 3 2 4 2 2" xfId="23666" xr:uid="{BAB8327F-65E8-41B3-B266-A84DD2E746EA}"/>
    <cellStyle name="Separador de milhares 14 3 2 5" xfId="13633" xr:uid="{00000000-0005-0000-0000-0000852E0000}"/>
    <cellStyle name="Separador de milhares 14 3 2 5 2" xfId="22369" xr:uid="{2BC7B027-F73C-4CED-9CBC-4B364B3D649C}"/>
    <cellStyle name="Separador de milhares 14 3 2 5 2 2" xfId="23937" xr:uid="{06F47977-C43C-4DB5-B23A-7C1626977CF3}"/>
    <cellStyle name="Separador de milhares 14 3 2 6" xfId="15895" xr:uid="{9FB753AC-985F-4A7E-BFB1-95E10D3E850B}"/>
    <cellStyle name="Separador de milhares 14 3 2 6 2" xfId="23005" xr:uid="{D029465A-E651-4898-9A54-115197A116DB}"/>
    <cellStyle name="Separador de milhares 14 3 3" xfId="4185" xr:uid="{00000000-0005-0000-0000-0000862E0000}"/>
    <cellStyle name="Separador de milhares 14 3 3 2" xfId="10399" xr:uid="{00000000-0005-0000-0000-0000872E0000}"/>
    <cellStyle name="Separador de milhares 14 3 3 2 2" xfId="19205" xr:uid="{72EC6BA0-E94A-4472-96F0-416C7AEC2485}"/>
    <cellStyle name="Separador de milhares 14 3 3 2 2 2" xfId="23535" xr:uid="{5F3F449B-64A1-48F0-B9C8-AFD4545E4CD9}"/>
    <cellStyle name="Separador de milhares 14 3 3 3" xfId="8816" xr:uid="{00000000-0005-0000-0000-0000882E0000}"/>
    <cellStyle name="Separador de milhares 14 3 3 3 2" xfId="17624" xr:uid="{45E01F82-A6AF-43D5-96E1-790251A3C13E}"/>
    <cellStyle name="Separador de milhares 14 3 3 3 2 2" xfId="23290" xr:uid="{A356F790-497E-48A6-A434-417891E942EC}"/>
    <cellStyle name="Separador de milhares 14 3 3 4" xfId="12028" xr:uid="{00000000-0005-0000-0000-0000892E0000}"/>
    <cellStyle name="Separador de milhares 14 3 3 4 2" xfId="20771" xr:uid="{D6B81723-8AB5-4F68-8457-3FE3FEFC3B9B}"/>
    <cellStyle name="Separador de milhares 14 3 3 4 2 2" xfId="23667" xr:uid="{F22F3DA3-D836-4A7B-B273-A3F740DD5CD6}"/>
    <cellStyle name="Separador de milhares 14 3 3 5" xfId="13634" xr:uid="{00000000-0005-0000-0000-00008A2E0000}"/>
    <cellStyle name="Separador de milhares 14 3 3 5 2" xfId="22370" xr:uid="{BB16839F-7A5C-4B5B-B6B5-68FC0A073179}"/>
    <cellStyle name="Separador de milhares 14 3 3 5 2 2" xfId="23938" xr:uid="{5058BF08-EFEE-4179-9D01-F3F158A121EA}"/>
    <cellStyle name="Separador de milhares 14 3 3 6" xfId="15896" xr:uid="{BE0A3146-E6A2-4F38-98DD-504AA8229553}"/>
    <cellStyle name="Separador de milhares 14 3 3 6 2" xfId="23006" xr:uid="{AD923212-0318-436D-BBB3-39ADC8171AEE}"/>
    <cellStyle name="Separador de milhares 14 3 4" xfId="4186" xr:uid="{00000000-0005-0000-0000-00008B2E0000}"/>
    <cellStyle name="Separador de milhares 14 3 4 2" xfId="10400" xr:uid="{00000000-0005-0000-0000-00008C2E0000}"/>
    <cellStyle name="Separador de milhares 14 3 4 2 2" xfId="19206" xr:uid="{B45A693E-A60D-4A5A-AA1D-BAA78129EA4C}"/>
    <cellStyle name="Separador de milhares 14 3 4 2 2 2" xfId="23536" xr:uid="{B15F90A2-4A3B-4006-B89F-93A76658BEE1}"/>
    <cellStyle name="Separador de milhares 14 3 4 3" xfId="8817" xr:uid="{00000000-0005-0000-0000-00008D2E0000}"/>
    <cellStyle name="Separador de milhares 14 3 4 3 2" xfId="17625" xr:uid="{3C6997AE-38E8-4E94-9C0C-B38B31D7017C}"/>
    <cellStyle name="Separador de milhares 14 3 4 3 2 2" xfId="23291" xr:uid="{45D6EF50-747F-4DF8-B0EF-9620D751AA06}"/>
    <cellStyle name="Separador de milhares 14 3 4 4" xfId="12029" xr:uid="{00000000-0005-0000-0000-00008E2E0000}"/>
    <cellStyle name="Separador de milhares 14 3 4 4 2" xfId="20772" xr:uid="{0D3A08F9-8E29-494C-A244-E3CF1667B667}"/>
    <cellStyle name="Separador de milhares 14 3 4 4 2 2" xfId="23668" xr:uid="{60435271-0F57-4392-9F90-E8AC3E659E6E}"/>
    <cellStyle name="Separador de milhares 14 3 4 5" xfId="13635" xr:uid="{00000000-0005-0000-0000-00008F2E0000}"/>
    <cellStyle name="Separador de milhares 14 3 4 5 2" xfId="22371" xr:uid="{EA8DE45C-718F-4048-9551-EF3103C82946}"/>
    <cellStyle name="Separador de milhares 14 3 4 5 2 2" xfId="23939" xr:uid="{724A80C9-F36A-4C8B-A868-64B982EE96CB}"/>
    <cellStyle name="Separador de milhares 14 3 4 6" xfId="15897" xr:uid="{2054A16D-5A2D-4EAA-AD7B-0A71CDB27585}"/>
    <cellStyle name="Separador de milhares 14 3 4 6 2" xfId="23007" xr:uid="{A921C521-43C0-4C84-8759-F6EE94169AEF}"/>
    <cellStyle name="Separador de milhares 14 3 5" xfId="10397" xr:uid="{00000000-0005-0000-0000-0000902E0000}"/>
    <cellStyle name="Separador de milhares 14 3 5 2" xfId="19203" xr:uid="{FC0BF9F8-29D0-4083-BBBC-5E6ECE2853DA}"/>
    <cellStyle name="Separador de milhares 14 3 5 2 2" xfId="23533" xr:uid="{36771071-D6DC-4903-83FD-4768F0291B18}"/>
    <cellStyle name="Separador de milhares 14 3 6" xfId="8814" xr:uid="{00000000-0005-0000-0000-0000912E0000}"/>
    <cellStyle name="Separador de milhares 14 3 6 2" xfId="17622" xr:uid="{3F63490C-C2F4-4D92-A091-6AD78AD47E1F}"/>
    <cellStyle name="Separador de milhares 14 3 6 2 2" xfId="23288" xr:uid="{9BF92525-7417-4A40-AC91-3228D2BCCA81}"/>
    <cellStyle name="Separador de milhares 14 3 7" xfId="12026" xr:uid="{00000000-0005-0000-0000-0000922E0000}"/>
    <cellStyle name="Separador de milhares 14 3 7 2" xfId="20769" xr:uid="{09287D3C-1D0E-466B-87C3-CCF9047195EB}"/>
    <cellStyle name="Separador de milhares 14 3 7 2 2" xfId="23665" xr:uid="{800E69D3-69DA-477E-8B2B-B52702B5C68B}"/>
    <cellStyle name="Separador de milhares 14 3 8" xfId="13632" xr:uid="{00000000-0005-0000-0000-0000932E0000}"/>
    <cellStyle name="Separador de milhares 14 3 8 2" xfId="22368" xr:uid="{46875287-183F-4DBC-8693-6ED4C056F8C9}"/>
    <cellStyle name="Separador de milhares 14 3 8 2 2" xfId="23936" xr:uid="{831659FA-7426-4EA5-9B90-91CDD4FED757}"/>
    <cellStyle name="Separador de milhares 14 3 9" xfId="15894" xr:uid="{DA6FFA0B-305A-4F34-9339-23887F6C58BE}"/>
    <cellStyle name="Separador de milhares 14 3 9 2" xfId="23004" xr:uid="{E0F3746E-BE5C-4591-AD0D-2D82E1A1289C}"/>
    <cellStyle name="Separador de milhares 14 4" xfId="4187" xr:uid="{00000000-0005-0000-0000-0000942E0000}"/>
    <cellStyle name="Separador de milhares 14 4 2" xfId="10401" xr:uid="{00000000-0005-0000-0000-0000952E0000}"/>
    <cellStyle name="Separador de milhares 14 4 2 2" xfId="19207" xr:uid="{AA4EF511-AB62-4134-BD31-A2EF857795F6}"/>
    <cellStyle name="Separador de milhares 14 4 2 2 2" xfId="23537" xr:uid="{5388B2CA-EFAB-4CD6-9583-AE2CB0187DEF}"/>
    <cellStyle name="Separador de milhares 14 4 3" xfId="8818" xr:uid="{00000000-0005-0000-0000-0000962E0000}"/>
    <cellStyle name="Separador de milhares 14 4 3 2" xfId="17626" xr:uid="{752C25A7-57A4-4168-909A-C4D6014FAEA1}"/>
    <cellStyle name="Separador de milhares 14 4 3 2 2" xfId="23292" xr:uid="{3FF99FF9-31B9-4F9D-8D88-3C7649991857}"/>
    <cellStyle name="Separador de milhares 14 4 4" xfId="12030" xr:uid="{00000000-0005-0000-0000-0000972E0000}"/>
    <cellStyle name="Separador de milhares 14 4 4 2" xfId="20773" xr:uid="{B1B74926-31E6-40E2-AE85-EA0C4DEAA00B}"/>
    <cellStyle name="Separador de milhares 14 4 4 2 2" xfId="23669" xr:uid="{2E778DD9-9D53-4FB3-A7EC-A04121FF596F}"/>
    <cellStyle name="Separador de milhares 14 4 5" xfId="13636" xr:uid="{00000000-0005-0000-0000-0000982E0000}"/>
    <cellStyle name="Separador de milhares 14 4 5 2" xfId="22372" xr:uid="{D5FCADA3-428A-4E2D-9521-EE3E6F799643}"/>
    <cellStyle name="Separador de milhares 14 4 5 2 2" xfId="23940" xr:uid="{D6D1FB97-9377-4F8B-B4CD-AD277158A862}"/>
    <cellStyle name="Separador de milhares 14 4 6" xfId="15898" xr:uid="{17ADB359-E87C-4AB6-AECB-839E76F5F20F}"/>
    <cellStyle name="Separador de milhares 14 4 6 2" xfId="23008" xr:uid="{97202FBD-D5AE-4314-B265-1B7406778CEF}"/>
    <cellStyle name="Separador de milhares 14 5" xfId="4188" xr:uid="{00000000-0005-0000-0000-0000992E0000}"/>
    <cellStyle name="Separador de milhares 14 5 2" xfId="10402" xr:uid="{00000000-0005-0000-0000-00009A2E0000}"/>
    <cellStyle name="Separador de milhares 14 5 2 2" xfId="19208" xr:uid="{FC9D53C4-6C64-4AF7-8163-720194B829CF}"/>
    <cellStyle name="Separador de milhares 14 5 2 2 2" xfId="23538" xr:uid="{546008C1-3428-4E34-B642-8EE3ED905EB8}"/>
    <cellStyle name="Separador de milhares 14 5 3" xfId="8819" xr:uid="{00000000-0005-0000-0000-00009B2E0000}"/>
    <cellStyle name="Separador de milhares 14 5 3 2" xfId="17627" xr:uid="{47E8F882-B124-4CB8-B888-B0D81A5354F4}"/>
    <cellStyle name="Separador de milhares 14 5 3 2 2" xfId="23293" xr:uid="{4F2F51BF-ED62-4CEF-BE57-B19A34976A73}"/>
    <cellStyle name="Separador de milhares 14 5 4" xfId="12031" xr:uid="{00000000-0005-0000-0000-00009C2E0000}"/>
    <cellStyle name="Separador de milhares 14 5 4 2" xfId="20774" xr:uid="{C88C5FCE-C0DA-4200-98E6-B6BC639D5500}"/>
    <cellStyle name="Separador de milhares 14 5 4 2 2" xfId="23670" xr:uid="{33228A71-13B4-4F66-82DA-AF022540BE20}"/>
    <cellStyle name="Separador de milhares 14 5 5" xfId="13637" xr:uid="{00000000-0005-0000-0000-00009D2E0000}"/>
    <cellStyle name="Separador de milhares 14 5 5 2" xfId="22373" xr:uid="{79CF54AA-0D6A-4C22-965D-884D9E7B096A}"/>
    <cellStyle name="Separador de milhares 14 5 5 2 2" xfId="23941" xr:uid="{DEFF47E6-9058-497B-A0E2-6536842DDFC3}"/>
    <cellStyle name="Separador de milhares 14 5 6" xfId="15899" xr:uid="{F1F4D00F-D9F7-4D73-8D88-5BB55AE4D87E}"/>
    <cellStyle name="Separador de milhares 14 5 6 2" xfId="23009" xr:uid="{FFB68DB3-891E-4262-9EFA-8B7DBA9DF645}"/>
    <cellStyle name="Separador de milhares 14 6" xfId="4189" xr:uid="{00000000-0005-0000-0000-00009E2E0000}"/>
    <cellStyle name="Separador de milhares 14 6 2" xfId="10403" xr:uid="{00000000-0005-0000-0000-00009F2E0000}"/>
    <cellStyle name="Separador de milhares 14 6 2 2" xfId="19209" xr:uid="{B025AC86-1082-44AA-88AA-D5B5C3F45E7D}"/>
    <cellStyle name="Separador de milhares 14 6 2 2 2" xfId="23539" xr:uid="{27812C3C-3375-4757-B560-CCF1F8FD3DD1}"/>
    <cellStyle name="Separador de milhares 14 6 3" xfId="8820" xr:uid="{00000000-0005-0000-0000-0000A02E0000}"/>
    <cellStyle name="Separador de milhares 14 6 3 2" xfId="17628" xr:uid="{AF3AE2CC-099D-486C-B555-D79FD1405704}"/>
    <cellStyle name="Separador de milhares 14 6 3 2 2" xfId="23294" xr:uid="{6A415F2A-31B4-41E3-894D-F2DB787F554F}"/>
    <cellStyle name="Separador de milhares 14 6 4" xfId="12032" xr:uid="{00000000-0005-0000-0000-0000A12E0000}"/>
    <cellStyle name="Separador de milhares 14 6 4 2" xfId="20775" xr:uid="{DB2AC030-C216-4995-ACA4-9CC8F46D0901}"/>
    <cellStyle name="Separador de milhares 14 6 4 2 2" xfId="23671" xr:uid="{04C7ADF6-8F10-4BA7-8D34-0B8E152F71E6}"/>
    <cellStyle name="Separador de milhares 14 6 5" xfId="13638" xr:uid="{00000000-0005-0000-0000-0000A22E0000}"/>
    <cellStyle name="Separador de milhares 14 6 5 2" xfId="22374" xr:uid="{A33E6540-850F-4759-8194-2AAA896EE570}"/>
    <cellStyle name="Separador de milhares 14 6 5 2 2" xfId="23942" xr:uid="{B7C9442E-EB88-4A4E-84D9-EF9915D77A73}"/>
    <cellStyle name="Separador de milhares 14 6 6" xfId="15900" xr:uid="{68B735BE-1FC3-4664-8A42-212F65A70C1E}"/>
    <cellStyle name="Separador de milhares 14 6 6 2" xfId="23010" xr:uid="{0CB66807-A60F-4D36-9F14-BDD6F1E45AD7}"/>
    <cellStyle name="Separador de milhares 14 7" xfId="10396" xr:uid="{00000000-0005-0000-0000-0000A32E0000}"/>
    <cellStyle name="Separador de milhares 14 7 2" xfId="19202" xr:uid="{FE9EC415-A72E-4C33-A72A-AF7024329B66}"/>
    <cellStyle name="Separador de milhares 14 7 2 2" xfId="23532" xr:uid="{AFD9B24F-3BBF-4F4A-834F-C3E79CF7D92E}"/>
    <cellStyle name="Separador de milhares 14 8" xfId="8810" xr:uid="{00000000-0005-0000-0000-0000A42E0000}"/>
    <cellStyle name="Separador de milhares 14 8 2" xfId="17618" xr:uid="{8F790FD2-6F84-431A-913F-A434671CE47C}"/>
    <cellStyle name="Separador de milhares 14 8 2 2" xfId="23284" xr:uid="{1B85FB28-1EC0-4D78-B9A7-E57A70A4C1C5}"/>
    <cellStyle name="Separador de milhares 14 9" xfId="12022" xr:uid="{00000000-0005-0000-0000-0000A52E0000}"/>
    <cellStyle name="Separador de milhares 14 9 2" xfId="20765" xr:uid="{42714903-CB85-420B-A527-FCE6675DE3AF}"/>
    <cellStyle name="Separador de milhares 14 9 2 2" xfId="23661" xr:uid="{2CF98806-6C31-4148-848A-90355F0F1CE5}"/>
    <cellStyle name="Separador de milhares 15" xfId="4190" xr:uid="{00000000-0005-0000-0000-0000A62E0000}"/>
    <cellStyle name="Separador de milhares 15 2" xfId="4191" xr:uid="{00000000-0005-0000-0000-0000A72E0000}"/>
    <cellStyle name="Separador de milhares 15 2 2" xfId="10405" xr:uid="{00000000-0005-0000-0000-0000A82E0000}"/>
    <cellStyle name="Separador de milhares 15 2 2 2" xfId="19211" xr:uid="{5A5E1B31-28E1-4812-A1BE-AD98F4B46FD2}"/>
    <cellStyle name="Separador de milhares 15 2 2 2 2" xfId="23541" xr:uid="{A77FFE2E-0EB3-4DCF-8E88-43FF88DC22D8}"/>
    <cellStyle name="Separador de milhares 15 2 3" xfId="8822" xr:uid="{00000000-0005-0000-0000-0000A92E0000}"/>
    <cellStyle name="Separador de milhares 15 2 3 2" xfId="17630" xr:uid="{F56922E7-3C0B-434D-B9B3-13AAD299AB56}"/>
    <cellStyle name="Separador de milhares 15 2 3 2 2" xfId="23296" xr:uid="{F55B3628-9DAE-4935-8902-F28BDF8E8CE2}"/>
    <cellStyle name="Separador de milhares 15 2 4" xfId="12034" xr:uid="{00000000-0005-0000-0000-0000AA2E0000}"/>
    <cellStyle name="Separador de milhares 15 2 4 2" xfId="20777" xr:uid="{224272EB-EB74-4553-9D5C-B96AF8017A6B}"/>
    <cellStyle name="Separador de milhares 15 2 4 2 2" xfId="23673" xr:uid="{71CEF9A0-4D98-4F32-9EB7-0503F36F91D1}"/>
    <cellStyle name="Separador de milhares 15 2 5" xfId="13640" xr:uid="{00000000-0005-0000-0000-0000AB2E0000}"/>
    <cellStyle name="Separador de milhares 15 2 5 2" xfId="22376" xr:uid="{ADFF7F49-5DE0-45D2-BB91-C1D4814F9166}"/>
    <cellStyle name="Separador de milhares 15 2 5 2 2" xfId="23944" xr:uid="{C3FE9353-9030-4D10-B45D-DADBB2B0765D}"/>
    <cellStyle name="Separador de milhares 15 2 6" xfId="15902" xr:uid="{70874292-578D-483C-A586-3DB8D99AF55B}"/>
    <cellStyle name="Separador de milhares 15 2 6 2" xfId="23012" xr:uid="{CAF96760-E43E-4141-8B6E-DC798E76638A}"/>
    <cellStyle name="Separador de milhares 15 3" xfId="10404" xr:uid="{00000000-0005-0000-0000-0000AC2E0000}"/>
    <cellStyle name="Separador de milhares 15 3 2" xfId="19210" xr:uid="{7E734DBE-6E9F-4247-B0E2-EB92D8050A21}"/>
    <cellStyle name="Separador de milhares 15 3 2 2" xfId="23540" xr:uid="{17BF87A1-FA3C-4611-9479-EB0B2DB2177F}"/>
    <cellStyle name="Separador de milhares 15 4" xfId="8821" xr:uid="{00000000-0005-0000-0000-0000AD2E0000}"/>
    <cellStyle name="Separador de milhares 15 4 2" xfId="17629" xr:uid="{5859CD30-CEE5-493B-8AA7-22F12BF72A52}"/>
    <cellStyle name="Separador de milhares 15 4 2 2" xfId="23295" xr:uid="{4EE9E300-ACBC-416C-B183-87621AEB8F0D}"/>
    <cellStyle name="Separador de milhares 15 5" xfId="12033" xr:uid="{00000000-0005-0000-0000-0000AE2E0000}"/>
    <cellStyle name="Separador de milhares 15 5 2" xfId="20776" xr:uid="{EDEBB91B-1F7E-4FFE-9A29-736C5B871188}"/>
    <cellStyle name="Separador de milhares 15 5 2 2" xfId="23672" xr:uid="{4272FCFF-E238-4084-97D9-DBD60F3926D2}"/>
    <cellStyle name="Separador de milhares 15 6" xfId="13639" xr:uid="{00000000-0005-0000-0000-0000AF2E0000}"/>
    <cellStyle name="Separador de milhares 15 6 2" xfId="22375" xr:uid="{916E5C84-EB7F-46A7-AABD-E0D8CF704491}"/>
    <cellStyle name="Separador de milhares 15 6 2 2" xfId="23943" xr:uid="{0911D2C4-7922-4FDD-B14F-47046B2FE57D}"/>
    <cellStyle name="Separador de milhares 15 7" xfId="15901" xr:uid="{E9AF3FBB-B2D6-470D-AEA7-061B1E59247A}"/>
    <cellStyle name="Separador de milhares 15 7 2" xfId="23011" xr:uid="{76047BAF-4181-4E2D-B6BC-3A7815BAF18F}"/>
    <cellStyle name="Separador de milhares 16" xfId="4192" xr:uid="{00000000-0005-0000-0000-0000B02E0000}"/>
    <cellStyle name="Separador de milhares 16 2" xfId="4193" xr:uid="{00000000-0005-0000-0000-0000B12E0000}"/>
    <cellStyle name="Separador de milhares 16 2 2" xfId="4194" xr:uid="{00000000-0005-0000-0000-0000B22E0000}"/>
    <cellStyle name="Separador de milhares 16 2 2 2" xfId="8824" xr:uid="{00000000-0005-0000-0000-0000B32E0000}"/>
    <cellStyle name="Separador de milhares 16 2 2 2 2" xfId="17632" xr:uid="{8E7701D8-F0C4-4304-A4E2-F2BEEAB79D79}"/>
    <cellStyle name="Separador de milhares 16 2 2 2 2 2" xfId="23298" xr:uid="{9E4946AD-6E14-4C95-9881-9DA661D7978F}"/>
    <cellStyle name="Separador de milhares 16 2 2 3" xfId="12036" xr:uid="{00000000-0005-0000-0000-0000B42E0000}"/>
    <cellStyle name="Separador de milhares 16 2 2 3 2" xfId="20779" xr:uid="{937C627C-EC6B-43EE-8688-D4CB752E3136}"/>
    <cellStyle name="Separador de milhares 16 2 2 3 2 2" xfId="23675" xr:uid="{F12D07A2-1447-458E-8F26-58892C21483B}"/>
    <cellStyle name="Separador de milhares 16 2 2 4" xfId="13642" xr:uid="{00000000-0005-0000-0000-0000B52E0000}"/>
    <cellStyle name="Separador de milhares 16 2 2 4 2" xfId="22378" xr:uid="{817DB052-B811-4AC8-8FB7-0DEB9F18A32C}"/>
    <cellStyle name="Separador de milhares 16 2 2 4 2 2" xfId="23946" xr:uid="{D66C29F4-D7C6-4550-A35A-92A4AD65CFB2}"/>
    <cellStyle name="Separador de milhares 16 2 2 5" xfId="15904" xr:uid="{5FB05983-3CE0-4A91-8200-0C36F64AC0EC}"/>
    <cellStyle name="Separador de milhares 16 2 2 5 2" xfId="23014" xr:uid="{6BEFE165-AA91-4F79-B0ED-797A77519350}"/>
    <cellStyle name="Separador de milhares 16 2 3" xfId="4195" xr:uid="{00000000-0005-0000-0000-0000B62E0000}"/>
    <cellStyle name="Separador de milhares 16 2 3 2" xfId="8825" xr:uid="{00000000-0005-0000-0000-0000B72E0000}"/>
    <cellStyle name="Separador de milhares 16 2 3 2 2" xfId="17633" xr:uid="{6AA9BA77-8B74-47BE-A9ED-BC7A779E9FAA}"/>
    <cellStyle name="Separador de milhares 16 2 3 2 2 2" xfId="23299" xr:uid="{8F38817E-C0B4-422F-BBA4-B48312F4FFC4}"/>
    <cellStyle name="Separador de milhares 16 2 3 3" xfId="12037" xr:uid="{00000000-0005-0000-0000-0000B82E0000}"/>
    <cellStyle name="Separador de milhares 16 2 3 3 2" xfId="20780" xr:uid="{35D2ABD7-C5AE-4CD5-9EB4-2E6ADB23BB40}"/>
    <cellStyle name="Separador de milhares 16 2 3 3 2 2" xfId="23676" xr:uid="{63688CBB-99A2-48E6-92A0-67B0E091A156}"/>
    <cellStyle name="Separador de milhares 16 2 3 4" xfId="13643" xr:uid="{00000000-0005-0000-0000-0000B92E0000}"/>
    <cellStyle name="Separador de milhares 16 2 3 4 2" xfId="22379" xr:uid="{8FCA91EF-427E-4BF9-9E35-DF034BB3AB32}"/>
    <cellStyle name="Separador de milhares 16 2 3 4 2 2" xfId="23947" xr:uid="{6E073495-3853-4882-BADC-BA3D0DAB958D}"/>
    <cellStyle name="Separador de milhares 16 2 3 5" xfId="15905" xr:uid="{6100BD21-C702-481D-AEED-D94B51CDE2EE}"/>
    <cellStyle name="Separador de milhares 16 2 3 5 2" xfId="23015" xr:uid="{BFA24535-07F3-418A-B1B5-899064B15A0E}"/>
    <cellStyle name="Separador de milhares 16 2 4" xfId="8823" xr:uid="{00000000-0005-0000-0000-0000BA2E0000}"/>
    <cellStyle name="Separador de milhares 16 2 4 2" xfId="17631" xr:uid="{39C7D0E0-6AA4-4F25-8C73-78857119624D}"/>
    <cellStyle name="Separador de milhares 16 2 4 2 2" xfId="23297" xr:uid="{CC0B4C64-0503-435F-BB56-F9237B91E44D}"/>
    <cellStyle name="Separador de milhares 16 2 5" xfId="12035" xr:uid="{00000000-0005-0000-0000-0000BB2E0000}"/>
    <cellStyle name="Separador de milhares 16 2 5 2" xfId="20778" xr:uid="{3679371F-8DFD-422F-B835-3BF9BCDA22E9}"/>
    <cellStyle name="Separador de milhares 16 2 5 2 2" xfId="23674" xr:uid="{B9E9F4A3-D091-4308-9DEA-D72F7C029E24}"/>
    <cellStyle name="Separador de milhares 16 2 6" xfId="13641" xr:uid="{00000000-0005-0000-0000-0000BC2E0000}"/>
    <cellStyle name="Separador de milhares 16 2 6 2" xfId="22377" xr:uid="{4A2A29CA-BEC9-41B9-B86B-B2EDDC593363}"/>
    <cellStyle name="Separador de milhares 16 2 6 2 2" xfId="23945" xr:uid="{7299B646-C582-495A-8F41-E012D8DB8F78}"/>
    <cellStyle name="Separador de milhares 16 2 7" xfId="15903" xr:uid="{D68FE3DC-89D2-4168-B060-10FBDD4C0B24}"/>
    <cellStyle name="Separador de milhares 16 2 7 2" xfId="23013" xr:uid="{6F1C44DC-D6A7-4C5A-86F3-6238B199635B}"/>
    <cellStyle name="Separador de milhares 16 3" xfId="4196" xr:uid="{00000000-0005-0000-0000-0000BD2E0000}"/>
    <cellStyle name="Separador de milhares 16 3 2" xfId="10406" xr:uid="{00000000-0005-0000-0000-0000BE2E0000}"/>
    <cellStyle name="Separador de milhares 16 3 2 2" xfId="19212" xr:uid="{6D8B33EF-FCE0-4CAE-B9CB-A322E44E1357}"/>
    <cellStyle name="Separador de milhares 16 3 2 2 2" xfId="23542" xr:uid="{B54633A5-8758-4D3F-BBB4-0F9324604186}"/>
    <cellStyle name="Separador de milhares 16 3 3" xfId="8826" xr:uid="{00000000-0005-0000-0000-0000BF2E0000}"/>
    <cellStyle name="Separador de milhares 16 3 3 2" xfId="17634" xr:uid="{7644B526-A4C1-42ED-A64F-1233ED503D95}"/>
    <cellStyle name="Separador de milhares 16 3 3 2 2" xfId="23300" xr:uid="{24F47055-9AC3-4369-8D1D-D2231A912DF3}"/>
    <cellStyle name="Separador de milhares 16 3 4" xfId="12038" xr:uid="{00000000-0005-0000-0000-0000C02E0000}"/>
    <cellStyle name="Separador de milhares 16 3 4 2" xfId="20781" xr:uid="{5D191413-99BD-45D8-BDAA-B521DDE77BF2}"/>
    <cellStyle name="Separador de milhares 16 3 4 2 2" xfId="23677" xr:uid="{B55393AE-0A2D-44C6-88F8-7EC8DB85130A}"/>
    <cellStyle name="Separador de milhares 16 3 5" xfId="13644" xr:uid="{00000000-0005-0000-0000-0000C12E0000}"/>
    <cellStyle name="Separador de milhares 16 3 5 2" xfId="22380" xr:uid="{BA6D9964-5103-4D81-89FF-08E80D019CD5}"/>
    <cellStyle name="Separador de milhares 16 3 5 2 2" xfId="23948" xr:uid="{E6AD6F77-0138-4CA3-9307-47ADAEA1010E}"/>
    <cellStyle name="Separador de milhares 16 3 6" xfId="15906" xr:uid="{C8937C41-9E1D-440D-9684-38D46E9FDBD5}"/>
    <cellStyle name="Separador de milhares 16 3 6 2" xfId="23016" xr:uid="{E2FE9D60-E1D2-42B7-9735-D54426F64E4F}"/>
    <cellStyle name="Separador de milhares 17" xfId="4197" xr:uid="{00000000-0005-0000-0000-0000C22E0000}"/>
    <cellStyle name="Separador de milhares 17 2" xfId="10407" xr:uid="{00000000-0005-0000-0000-0000C32E0000}"/>
    <cellStyle name="Separador de milhares 17 2 2" xfId="19213" xr:uid="{BF060913-52FC-4940-84B3-7AC321696B65}"/>
    <cellStyle name="Separador de milhares 17 2 2 2" xfId="23543" xr:uid="{79FDFC03-BEB8-49B4-AD25-40A72A28C859}"/>
    <cellStyle name="Separador de milhares 17 3" xfId="8827" xr:uid="{00000000-0005-0000-0000-0000C42E0000}"/>
    <cellStyle name="Separador de milhares 17 3 2" xfId="17635" xr:uid="{D57369F1-41FC-46C8-8C90-4F54E9F394BE}"/>
    <cellStyle name="Separador de milhares 17 3 2 2" xfId="23301" xr:uid="{96F1F540-0398-44B3-A71E-80AC88AAB734}"/>
    <cellStyle name="Separador de milhares 17 4" xfId="12039" xr:uid="{00000000-0005-0000-0000-0000C52E0000}"/>
    <cellStyle name="Separador de milhares 17 4 2" xfId="20782" xr:uid="{C5E02CED-ED2B-4411-99CF-533F9E84DABA}"/>
    <cellStyle name="Separador de milhares 17 4 2 2" xfId="23678" xr:uid="{1F18BCBE-777C-4820-A081-A7FAD054CD95}"/>
    <cellStyle name="Separador de milhares 17 5" xfId="13645" xr:uid="{00000000-0005-0000-0000-0000C62E0000}"/>
    <cellStyle name="Separador de milhares 17 5 2" xfId="22381" xr:uid="{A888D92D-66E8-418E-9D51-516D6BF4EA49}"/>
    <cellStyle name="Separador de milhares 17 5 2 2" xfId="23949" xr:uid="{84EEF048-2D7B-4590-85EC-8EF9C4150038}"/>
    <cellStyle name="Separador de milhares 17 6" xfId="15907" xr:uid="{9B05AC62-4547-4417-83DD-645C88C86EAB}"/>
    <cellStyle name="Separador de milhares 17 6 2" xfId="23017" xr:uid="{AD28B96B-92E1-433E-A41E-4B7618BDEDC4}"/>
    <cellStyle name="Separador de milhares 18" xfId="4891" xr:uid="{00000000-0005-0000-0000-0000C72E0000}"/>
    <cellStyle name="Separador de milhares 18 2" xfId="4198" xr:uid="{00000000-0005-0000-0000-0000C82E0000}"/>
    <cellStyle name="Separador de milhares 18 2 2" xfId="4199" xr:uid="{00000000-0005-0000-0000-0000C92E0000}"/>
    <cellStyle name="Separador de milhares 18 2 2 2" xfId="8829" xr:uid="{00000000-0005-0000-0000-0000CA2E0000}"/>
    <cellStyle name="Separador de milhares 18 2 2 2 2" xfId="17637" xr:uid="{093DE805-A552-466B-A1A8-CA717DEFC308}"/>
    <cellStyle name="Separador de milhares 18 2 2 2 2 2" xfId="23303" xr:uid="{0D2FA16C-4650-42F1-B285-D28E5FE63457}"/>
    <cellStyle name="Separador de milhares 18 2 2 3" xfId="12041" xr:uid="{00000000-0005-0000-0000-0000CB2E0000}"/>
    <cellStyle name="Separador de milhares 18 2 2 3 2" xfId="20784" xr:uid="{A2821A3A-60C2-417A-A997-3B92B4C1C504}"/>
    <cellStyle name="Separador de milhares 18 2 2 3 2 2" xfId="23680" xr:uid="{CF2C1AFC-547F-48AE-8D65-50E3A380FD32}"/>
    <cellStyle name="Separador de milhares 18 2 2 4" xfId="13647" xr:uid="{00000000-0005-0000-0000-0000CC2E0000}"/>
    <cellStyle name="Separador de milhares 18 2 2 4 2" xfId="22383" xr:uid="{01EA8AE7-077D-41B4-AB1F-9D882C96ADB5}"/>
    <cellStyle name="Separador de milhares 18 2 2 4 2 2" xfId="23951" xr:uid="{949FDE7F-41BB-4E15-9FA7-40DCF0364E75}"/>
    <cellStyle name="Separador de milhares 18 2 2 5" xfId="15909" xr:uid="{25341E54-19F2-4D29-B4FC-89DDCD5B33AF}"/>
    <cellStyle name="Separador de milhares 18 2 2 5 2" xfId="23019" xr:uid="{3D8088D5-0A93-4901-8A66-B429CF3E36FA}"/>
    <cellStyle name="Separador de milhares 18 2 3" xfId="4200" xr:uid="{00000000-0005-0000-0000-0000CD2E0000}"/>
    <cellStyle name="Separador de milhares 18 2 3 2" xfId="8830" xr:uid="{00000000-0005-0000-0000-0000CE2E0000}"/>
    <cellStyle name="Separador de milhares 18 2 3 2 2" xfId="17638" xr:uid="{B0ABEE3F-8BFA-434A-8ADA-B8E05DF6CA39}"/>
    <cellStyle name="Separador de milhares 18 2 3 2 2 2" xfId="23304" xr:uid="{52F26C00-867C-4A01-8138-0CC380310DF2}"/>
    <cellStyle name="Separador de milhares 18 2 3 3" xfId="12042" xr:uid="{00000000-0005-0000-0000-0000CF2E0000}"/>
    <cellStyle name="Separador de milhares 18 2 3 3 2" xfId="20785" xr:uid="{9852F844-B49D-4321-9904-5DC6EDB10BDE}"/>
    <cellStyle name="Separador de milhares 18 2 3 3 2 2" xfId="23681" xr:uid="{D577A80D-61EB-4DA8-BF07-9FCA884C1BCC}"/>
    <cellStyle name="Separador de milhares 18 2 3 4" xfId="13648" xr:uid="{00000000-0005-0000-0000-0000D02E0000}"/>
    <cellStyle name="Separador de milhares 18 2 3 4 2" xfId="22384" xr:uid="{AA693764-A6CD-497B-B439-1E86EDF5A1B1}"/>
    <cellStyle name="Separador de milhares 18 2 3 4 2 2" xfId="23952" xr:uid="{88A16699-1FF0-452F-AD02-E8E24FCA6794}"/>
    <cellStyle name="Separador de milhares 18 2 3 5" xfId="15910" xr:uid="{61CFE3A6-0234-480B-88A1-B28C2BE87A52}"/>
    <cellStyle name="Separador de milhares 18 2 3 5 2" xfId="23020" xr:uid="{8D4B60B3-6D80-4049-8824-F64F6283BEEA}"/>
    <cellStyle name="Separador de milhares 18 2 4" xfId="8828" xr:uid="{00000000-0005-0000-0000-0000D12E0000}"/>
    <cellStyle name="Separador de milhares 18 2 4 2" xfId="17636" xr:uid="{E9C5A2F9-59DB-48E6-825D-85B1D1AE9F02}"/>
    <cellStyle name="Separador de milhares 18 2 4 2 2" xfId="23302" xr:uid="{F4B71914-463A-41E8-83D8-B1900AE0E4ED}"/>
    <cellStyle name="Separador de milhares 18 2 5" xfId="12040" xr:uid="{00000000-0005-0000-0000-0000D22E0000}"/>
    <cellStyle name="Separador de milhares 18 2 5 2" xfId="20783" xr:uid="{4B03239B-87CE-47ED-88B2-67AAE067A89D}"/>
    <cellStyle name="Separador de milhares 18 2 5 2 2" xfId="23679" xr:uid="{077FFA1B-DCE6-419F-98E5-D222E629F602}"/>
    <cellStyle name="Separador de milhares 18 2 6" xfId="13646" xr:uid="{00000000-0005-0000-0000-0000D32E0000}"/>
    <cellStyle name="Separador de milhares 18 2 6 2" xfId="22382" xr:uid="{8B678B91-D219-40A7-A04C-3B3801803FF7}"/>
    <cellStyle name="Separador de milhares 18 2 6 2 2" xfId="23950" xr:uid="{9E54DBD8-2B29-4EC5-B974-E1E198262FE6}"/>
    <cellStyle name="Separador de milhares 18 2 7" xfId="15908" xr:uid="{2C96353E-D531-4AFC-9186-FF91086C3062}"/>
    <cellStyle name="Separador de milhares 18 2 7 2" xfId="23018" xr:uid="{EA88AC86-ED60-48C5-B96B-3CC0A0A8D075}"/>
    <cellStyle name="Separador de milhares 19" xfId="4201" xr:uid="{00000000-0005-0000-0000-0000D42E0000}"/>
    <cellStyle name="Separador de milhares 19 10" xfId="8831" xr:uid="{00000000-0005-0000-0000-0000D52E0000}"/>
    <cellStyle name="Separador de milhares 19 10 2" xfId="17639" xr:uid="{2AEAE022-39B4-4512-B1BA-1E4AB6A6FFE7}"/>
    <cellStyle name="Separador de milhares 19 10 2 2" xfId="23305" xr:uid="{0BDB06C1-940D-4F13-B041-7FA1A4FDCD9D}"/>
    <cellStyle name="Separador de milhares 19 11" xfId="12043" xr:uid="{00000000-0005-0000-0000-0000D62E0000}"/>
    <cellStyle name="Separador de milhares 19 11 2" xfId="20786" xr:uid="{32E2FEAF-41EB-479C-A86D-2CDC28BF7902}"/>
    <cellStyle name="Separador de milhares 19 11 2 2" xfId="23682" xr:uid="{95CF4510-D3C6-43AE-960D-586DC1C4C0C6}"/>
    <cellStyle name="Separador de milhares 19 12" xfId="13649" xr:uid="{00000000-0005-0000-0000-0000D72E0000}"/>
    <cellStyle name="Separador de milhares 19 12 2" xfId="22385" xr:uid="{4EEC06BE-07C0-4C3C-BF8E-74FAE7681ED6}"/>
    <cellStyle name="Separador de milhares 19 12 2 2" xfId="23953" xr:uid="{EF8A85D4-58AA-4A6F-A28D-56221B632AF6}"/>
    <cellStyle name="Separador de milhares 19 13" xfId="15911" xr:uid="{33278645-3F7C-46CC-950A-EF0774C29DC7}"/>
    <cellStyle name="Separador de milhares 19 13 2" xfId="23021" xr:uid="{89CBB53E-250C-4D5E-8DAB-6D38EC19C409}"/>
    <cellStyle name="Separador de milhares 19 2" xfId="4202" xr:uid="{00000000-0005-0000-0000-0000D82E0000}"/>
    <cellStyle name="Separador de milhares 19 2 2" xfId="4203" xr:uid="{00000000-0005-0000-0000-0000D92E0000}"/>
    <cellStyle name="Separador de milhares 19 2 2 2" xfId="8833" xr:uid="{00000000-0005-0000-0000-0000DA2E0000}"/>
    <cellStyle name="Separador de milhares 19 2 2 2 2" xfId="17641" xr:uid="{E06ACFC0-96EC-4C11-9254-4C95F3BA6CDF}"/>
    <cellStyle name="Separador de milhares 19 2 2 2 2 2" xfId="23307" xr:uid="{BEA6727A-042D-4350-A18A-9102EA2F24A3}"/>
    <cellStyle name="Separador de milhares 19 2 2 3" xfId="12045" xr:uid="{00000000-0005-0000-0000-0000DB2E0000}"/>
    <cellStyle name="Separador de milhares 19 2 2 3 2" xfId="20788" xr:uid="{1616DF17-5976-469B-9B71-C39AC6AE57DE}"/>
    <cellStyle name="Separador de milhares 19 2 2 3 2 2" xfId="23684" xr:uid="{17DF536C-8271-4573-B1AD-B5007627D643}"/>
    <cellStyle name="Separador de milhares 19 2 2 4" xfId="13651" xr:uid="{00000000-0005-0000-0000-0000DC2E0000}"/>
    <cellStyle name="Separador de milhares 19 2 2 4 2" xfId="22387" xr:uid="{40B2FB05-77D4-4A35-91CF-2706D3BC916C}"/>
    <cellStyle name="Separador de milhares 19 2 2 4 2 2" xfId="23955" xr:uid="{CB6F7B68-95A1-458F-8B8E-F055B44A8878}"/>
    <cellStyle name="Separador de milhares 19 2 2 5" xfId="15913" xr:uid="{EBDA0786-55D0-455E-856E-46CAFD1D96E7}"/>
    <cellStyle name="Separador de milhares 19 2 2 5 2" xfId="23023" xr:uid="{F24C763D-A264-4A12-B9AA-C3AF88EA8F3D}"/>
    <cellStyle name="Separador de milhares 19 2 3" xfId="4204" xr:uid="{00000000-0005-0000-0000-0000DD2E0000}"/>
    <cellStyle name="Separador de milhares 19 2 3 2" xfId="8834" xr:uid="{00000000-0005-0000-0000-0000DE2E0000}"/>
    <cellStyle name="Separador de milhares 19 2 3 2 2" xfId="17642" xr:uid="{A94BCDEC-1E2D-4C53-8ABE-F53A0E9D31B0}"/>
    <cellStyle name="Separador de milhares 19 2 3 2 2 2" xfId="23308" xr:uid="{DC6B0276-8E7C-42F4-9DB5-DD75C287CF2E}"/>
    <cellStyle name="Separador de milhares 19 2 3 3" xfId="12046" xr:uid="{00000000-0005-0000-0000-0000DF2E0000}"/>
    <cellStyle name="Separador de milhares 19 2 3 3 2" xfId="20789" xr:uid="{BC991D2D-BFA0-4E22-BCA1-6D9623C06607}"/>
    <cellStyle name="Separador de milhares 19 2 3 3 2 2" xfId="23685" xr:uid="{84345AD9-D51E-4D12-89B5-7C31B86404A6}"/>
    <cellStyle name="Separador de milhares 19 2 3 4" xfId="13652" xr:uid="{00000000-0005-0000-0000-0000E02E0000}"/>
    <cellStyle name="Separador de milhares 19 2 3 4 2" xfId="22388" xr:uid="{0408ED64-51CE-490F-877E-1D39C993A47A}"/>
    <cellStyle name="Separador de milhares 19 2 3 4 2 2" xfId="23956" xr:uid="{2FB9597D-65D3-42A0-A79B-B73876B4E991}"/>
    <cellStyle name="Separador de milhares 19 2 3 5" xfId="15914" xr:uid="{14AB721D-96E3-46D2-ABAC-E2BCBB37B065}"/>
    <cellStyle name="Separador de milhares 19 2 3 5 2" xfId="23024" xr:uid="{8B060CF6-13E5-430D-89A1-37A2796A440B}"/>
    <cellStyle name="Separador de milhares 19 2 4" xfId="8832" xr:uid="{00000000-0005-0000-0000-0000E12E0000}"/>
    <cellStyle name="Separador de milhares 19 2 4 2" xfId="17640" xr:uid="{2CB1648B-67B7-4CC4-82BC-EB2B2DD24A49}"/>
    <cellStyle name="Separador de milhares 19 2 4 2 2" xfId="23306" xr:uid="{1471B880-6BEA-4C51-802B-93AD2923D1DA}"/>
    <cellStyle name="Separador de milhares 19 2 5" xfId="12044" xr:uid="{00000000-0005-0000-0000-0000E22E0000}"/>
    <cellStyle name="Separador de milhares 19 2 5 2" xfId="20787" xr:uid="{616FE7DD-DF6A-4A44-9423-E36711ACD6AF}"/>
    <cellStyle name="Separador de milhares 19 2 5 2 2" xfId="23683" xr:uid="{B743E95A-6AB1-47FA-84B3-C49306BEA4D7}"/>
    <cellStyle name="Separador de milhares 19 2 6" xfId="13650" xr:uid="{00000000-0005-0000-0000-0000E32E0000}"/>
    <cellStyle name="Separador de milhares 19 2 6 2" xfId="22386" xr:uid="{A8386556-CC79-4B18-BA77-BE06A1298E72}"/>
    <cellStyle name="Separador de milhares 19 2 6 2 2" xfId="23954" xr:uid="{E3F90060-EFD5-4DF9-9AB3-9BEC75475E8D}"/>
    <cellStyle name="Separador de milhares 19 2 7" xfId="15912" xr:uid="{8AA9A55B-F342-43A6-9AB4-2CF61EF856F9}"/>
    <cellStyle name="Separador de milhares 19 2 7 2" xfId="23022" xr:uid="{19CE5128-8FD5-42D5-A311-E7A0FC5F7001}"/>
    <cellStyle name="Separador de milhares 19 3" xfId="4205" xr:uid="{00000000-0005-0000-0000-0000E42E0000}"/>
    <cellStyle name="Separador de milhares 19 3 2" xfId="4206" xr:uid="{00000000-0005-0000-0000-0000E52E0000}"/>
    <cellStyle name="Separador de milhares 19 3 2 2" xfId="8836" xr:uid="{00000000-0005-0000-0000-0000E62E0000}"/>
    <cellStyle name="Separador de milhares 19 3 2 2 2" xfId="17644" xr:uid="{54780F94-AC06-461D-AE94-D47C0D3D5A04}"/>
    <cellStyle name="Separador de milhares 19 3 2 2 2 2" xfId="23310" xr:uid="{2A54984A-84EA-484F-9E2A-56F25C749451}"/>
    <cellStyle name="Separador de milhares 19 3 2 3" xfId="12048" xr:uid="{00000000-0005-0000-0000-0000E72E0000}"/>
    <cellStyle name="Separador de milhares 19 3 2 3 2" xfId="20791" xr:uid="{507457DB-E6D9-4EDE-8E83-1BDA6EA6552A}"/>
    <cellStyle name="Separador de milhares 19 3 2 3 2 2" xfId="23687" xr:uid="{1A72A854-E7EE-4DF6-A449-AFA938C533F6}"/>
    <cellStyle name="Separador de milhares 19 3 2 4" xfId="13654" xr:uid="{00000000-0005-0000-0000-0000E82E0000}"/>
    <cellStyle name="Separador de milhares 19 3 2 4 2" xfId="22390" xr:uid="{6D52ADBB-0207-41F0-81DA-2B3D099536C0}"/>
    <cellStyle name="Separador de milhares 19 3 2 4 2 2" xfId="23958" xr:uid="{719D16DC-6F9A-4B32-9604-DC966025AAE9}"/>
    <cellStyle name="Separador de milhares 19 3 2 5" xfId="15916" xr:uid="{62603890-FD4B-49FE-BFA6-E6185ED6EC9B}"/>
    <cellStyle name="Separador de milhares 19 3 2 5 2" xfId="23026" xr:uid="{C9DD26AD-BC26-41FD-902A-28DCEF41DEED}"/>
    <cellStyle name="Separador de milhares 19 3 3" xfId="4207" xr:uid="{00000000-0005-0000-0000-0000E92E0000}"/>
    <cellStyle name="Separador de milhares 19 3 3 2" xfId="8837" xr:uid="{00000000-0005-0000-0000-0000EA2E0000}"/>
    <cellStyle name="Separador de milhares 19 3 3 2 2" xfId="17645" xr:uid="{5F2A4267-D961-407B-B78F-AAAB46B05A6F}"/>
    <cellStyle name="Separador de milhares 19 3 3 2 2 2" xfId="23311" xr:uid="{0D644370-185C-4A37-98E4-3545D7F31AB9}"/>
    <cellStyle name="Separador de milhares 19 3 3 3" xfId="12049" xr:uid="{00000000-0005-0000-0000-0000EB2E0000}"/>
    <cellStyle name="Separador de milhares 19 3 3 3 2" xfId="20792" xr:uid="{90FC68F4-0684-41B9-B286-8E47FACCCFBB}"/>
    <cellStyle name="Separador de milhares 19 3 3 3 2 2" xfId="23688" xr:uid="{D355B4FD-32BD-4E94-BD4A-9038AB1C59DC}"/>
    <cellStyle name="Separador de milhares 19 3 3 4" xfId="13655" xr:uid="{00000000-0005-0000-0000-0000EC2E0000}"/>
    <cellStyle name="Separador de milhares 19 3 3 4 2" xfId="22391" xr:uid="{8C3CBDDE-35DE-4C8A-8E9E-DA166505D169}"/>
    <cellStyle name="Separador de milhares 19 3 3 4 2 2" xfId="23959" xr:uid="{8A91B396-9116-42B6-9E90-F19259E4E88B}"/>
    <cellStyle name="Separador de milhares 19 3 3 5" xfId="15917" xr:uid="{8ACA7F1A-81B5-4F8F-85BA-C162A81C0301}"/>
    <cellStyle name="Separador de milhares 19 3 3 5 2" xfId="23027" xr:uid="{3C8C69D7-F75C-4EBD-8F67-FF64365EB96A}"/>
    <cellStyle name="Separador de milhares 19 3 4" xfId="8835" xr:uid="{00000000-0005-0000-0000-0000ED2E0000}"/>
    <cellStyle name="Separador de milhares 19 3 4 2" xfId="17643" xr:uid="{4EF87AF2-A196-4428-8358-437C6E046D46}"/>
    <cellStyle name="Separador de milhares 19 3 4 2 2" xfId="23309" xr:uid="{B3F2D748-C714-4A8F-9B53-A4AD165D7376}"/>
    <cellStyle name="Separador de milhares 19 3 5" xfId="12047" xr:uid="{00000000-0005-0000-0000-0000EE2E0000}"/>
    <cellStyle name="Separador de milhares 19 3 5 2" xfId="20790" xr:uid="{83621F60-7FDF-429C-BE8E-BC360A44BBF2}"/>
    <cellStyle name="Separador de milhares 19 3 5 2 2" xfId="23686" xr:uid="{19E0AA40-A2E0-4968-95C5-58E94985E94E}"/>
    <cellStyle name="Separador de milhares 19 3 6" xfId="13653" xr:uid="{00000000-0005-0000-0000-0000EF2E0000}"/>
    <cellStyle name="Separador de milhares 19 3 6 2" xfId="22389" xr:uid="{B4123880-E36A-4793-85C2-B10F19635EFE}"/>
    <cellStyle name="Separador de milhares 19 3 6 2 2" xfId="23957" xr:uid="{C524E491-A647-4334-A58B-9FE12DCF1092}"/>
    <cellStyle name="Separador de milhares 19 3 7" xfId="15915" xr:uid="{F2E94F76-EC29-4031-A612-D9B281051158}"/>
    <cellStyle name="Separador de milhares 19 3 7 2" xfId="23025" xr:uid="{6AA9FA0F-ED37-4CF0-9F71-26EE861D28B3}"/>
    <cellStyle name="Separador de milhares 19 4" xfId="4208" xr:uid="{00000000-0005-0000-0000-0000F02E0000}"/>
    <cellStyle name="Separador de milhares 19 4 2" xfId="4209" xr:uid="{00000000-0005-0000-0000-0000F12E0000}"/>
    <cellStyle name="Separador de milhares 19 4 2 2" xfId="8839" xr:uid="{00000000-0005-0000-0000-0000F22E0000}"/>
    <cellStyle name="Separador de milhares 19 4 2 2 2" xfId="17647" xr:uid="{EE1A03DB-2D36-45AC-9F51-269798ABF0F6}"/>
    <cellStyle name="Separador de milhares 19 4 2 2 2 2" xfId="23313" xr:uid="{B4871E76-476A-4B29-9999-806AC96811C0}"/>
    <cellStyle name="Separador de milhares 19 4 2 3" xfId="12051" xr:uid="{00000000-0005-0000-0000-0000F32E0000}"/>
    <cellStyle name="Separador de milhares 19 4 2 3 2" xfId="20794" xr:uid="{076F2617-92E1-4FF7-B8E3-EE9930042317}"/>
    <cellStyle name="Separador de milhares 19 4 2 3 2 2" xfId="23690" xr:uid="{2E76DCDD-6A5C-45A5-B9BA-6C7D3E7C1AA3}"/>
    <cellStyle name="Separador de milhares 19 4 2 4" xfId="13657" xr:uid="{00000000-0005-0000-0000-0000F42E0000}"/>
    <cellStyle name="Separador de milhares 19 4 2 4 2" xfId="22393" xr:uid="{D45229C2-4359-4082-8C87-E8B1F5668B5B}"/>
    <cellStyle name="Separador de milhares 19 4 2 4 2 2" xfId="23961" xr:uid="{704B1896-9D6C-4592-8FB8-F0CAE0BC9FED}"/>
    <cellStyle name="Separador de milhares 19 4 2 5" xfId="15919" xr:uid="{48B2C9A7-DB9B-4576-B9D0-821F6F9A232D}"/>
    <cellStyle name="Separador de milhares 19 4 2 5 2" xfId="23029" xr:uid="{6BC52D1B-8938-4CDE-8B3D-5D0853CD219A}"/>
    <cellStyle name="Separador de milhares 19 4 3" xfId="4210" xr:uid="{00000000-0005-0000-0000-0000F52E0000}"/>
    <cellStyle name="Separador de milhares 19 4 3 2" xfId="8840" xr:uid="{00000000-0005-0000-0000-0000F62E0000}"/>
    <cellStyle name="Separador de milhares 19 4 3 2 2" xfId="17648" xr:uid="{8B02D5EA-0FA4-4B6C-A58A-035F756756EF}"/>
    <cellStyle name="Separador de milhares 19 4 3 2 2 2" xfId="23314" xr:uid="{CE5DB82F-E969-448C-A425-161C4253D31B}"/>
    <cellStyle name="Separador de milhares 19 4 3 3" xfId="12052" xr:uid="{00000000-0005-0000-0000-0000F72E0000}"/>
    <cellStyle name="Separador de milhares 19 4 3 3 2" xfId="20795" xr:uid="{46A046B8-CD03-485A-A09E-070AA73736E1}"/>
    <cellStyle name="Separador de milhares 19 4 3 3 2 2" xfId="23691" xr:uid="{0E26C493-1507-4355-A6B4-12EE3C30BA23}"/>
    <cellStyle name="Separador de milhares 19 4 3 4" xfId="13658" xr:uid="{00000000-0005-0000-0000-0000F82E0000}"/>
    <cellStyle name="Separador de milhares 19 4 3 4 2" xfId="22394" xr:uid="{7A39821D-40BF-4DF6-9A6C-41690C1202D3}"/>
    <cellStyle name="Separador de milhares 19 4 3 4 2 2" xfId="23962" xr:uid="{9370991B-C126-43AA-86AF-746953EA5255}"/>
    <cellStyle name="Separador de milhares 19 4 3 5" xfId="15920" xr:uid="{F52C2E1F-093D-4E54-B36B-219C16E9243E}"/>
    <cellStyle name="Separador de milhares 19 4 3 5 2" xfId="23030" xr:uid="{5C0434D6-B0D3-4846-9F06-79C830DAC742}"/>
    <cellStyle name="Separador de milhares 19 4 4" xfId="8838" xr:uid="{00000000-0005-0000-0000-0000F92E0000}"/>
    <cellStyle name="Separador de milhares 19 4 4 2" xfId="17646" xr:uid="{401BCC31-46DD-4315-9FF4-25FE755CE7F4}"/>
    <cellStyle name="Separador de milhares 19 4 4 2 2" xfId="23312" xr:uid="{C478A4FC-271C-4802-9C6B-0EDC4B79D3C4}"/>
    <cellStyle name="Separador de milhares 19 4 5" xfId="12050" xr:uid="{00000000-0005-0000-0000-0000FA2E0000}"/>
    <cellStyle name="Separador de milhares 19 4 5 2" xfId="20793" xr:uid="{8C8BFA28-7DBD-4BD9-9A30-FCCE16D1BF21}"/>
    <cellStyle name="Separador de milhares 19 4 5 2 2" xfId="23689" xr:uid="{623E6317-2734-4C71-A2F1-D16D930C044F}"/>
    <cellStyle name="Separador de milhares 19 4 6" xfId="13656" xr:uid="{00000000-0005-0000-0000-0000FB2E0000}"/>
    <cellStyle name="Separador de milhares 19 4 6 2" xfId="22392" xr:uid="{080636AA-C4FC-4475-B1F2-4CADD9F73CBE}"/>
    <cellStyle name="Separador de milhares 19 4 6 2 2" xfId="23960" xr:uid="{3F4532BB-50FD-4552-994B-B3B52AB25694}"/>
    <cellStyle name="Separador de milhares 19 4 7" xfId="15918" xr:uid="{403643A2-4EBC-4781-AA71-9ADF0B28FAD0}"/>
    <cellStyle name="Separador de milhares 19 4 7 2" xfId="23028" xr:uid="{88413743-3B66-4935-B0D5-54A44A754455}"/>
    <cellStyle name="Separador de milhares 19 5" xfId="4211" xr:uid="{00000000-0005-0000-0000-0000FC2E0000}"/>
    <cellStyle name="Separador de milhares 19 5 2" xfId="4212" xr:uid="{00000000-0005-0000-0000-0000FD2E0000}"/>
    <cellStyle name="Separador de milhares 19 5 2 2" xfId="8842" xr:uid="{00000000-0005-0000-0000-0000FE2E0000}"/>
    <cellStyle name="Separador de milhares 19 5 2 2 2" xfId="17650" xr:uid="{35E37CD4-7072-4382-ADDE-18C9793B1918}"/>
    <cellStyle name="Separador de milhares 19 5 2 2 2 2" xfId="23316" xr:uid="{FEC338A6-9E2D-44F2-BC20-FD7DFD19DFF8}"/>
    <cellStyle name="Separador de milhares 19 5 2 3" xfId="12054" xr:uid="{00000000-0005-0000-0000-0000FF2E0000}"/>
    <cellStyle name="Separador de milhares 19 5 2 3 2" xfId="20797" xr:uid="{33B6E889-74C1-40A7-94E5-7121DF64E85C}"/>
    <cellStyle name="Separador de milhares 19 5 2 3 2 2" xfId="23693" xr:uid="{EEB531BA-F3F2-4E48-824F-8B94644FCA9E}"/>
    <cellStyle name="Separador de milhares 19 5 2 4" xfId="13660" xr:uid="{00000000-0005-0000-0000-0000002F0000}"/>
    <cellStyle name="Separador de milhares 19 5 2 4 2" xfId="22396" xr:uid="{4BF8D99F-1857-4B6C-8608-7B07AB7C3FED}"/>
    <cellStyle name="Separador de milhares 19 5 2 4 2 2" xfId="23964" xr:uid="{C2FCCB2B-3C89-4DBB-98B9-64887246C720}"/>
    <cellStyle name="Separador de milhares 19 5 2 5" xfId="15922" xr:uid="{4F3E1974-7E79-4322-93AA-BB9B98FF2C7E}"/>
    <cellStyle name="Separador de milhares 19 5 2 5 2" xfId="23032" xr:uid="{AF058389-E505-4027-9AEC-1AE59C3FB960}"/>
    <cellStyle name="Separador de milhares 19 5 3" xfId="4213" xr:uid="{00000000-0005-0000-0000-0000012F0000}"/>
    <cellStyle name="Separador de milhares 19 5 3 2" xfId="8843" xr:uid="{00000000-0005-0000-0000-0000022F0000}"/>
    <cellStyle name="Separador de milhares 19 5 3 2 2" xfId="17651" xr:uid="{BD3317FC-A3AA-462B-9FF6-B8593954C992}"/>
    <cellStyle name="Separador de milhares 19 5 3 2 2 2" xfId="23317" xr:uid="{18232251-9356-41F7-B49F-F49A7F50CE1A}"/>
    <cellStyle name="Separador de milhares 19 5 3 3" xfId="12055" xr:uid="{00000000-0005-0000-0000-0000032F0000}"/>
    <cellStyle name="Separador de milhares 19 5 3 3 2" xfId="20798" xr:uid="{2A6A1460-FC8E-4EBB-953F-FCA3B4BFD4A4}"/>
    <cellStyle name="Separador de milhares 19 5 3 3 2 2" xfId="23694" xr:uid="{F5DF44F6-DD22-404C-AD0D-7E3E4F3A88DC}"/>
    <cellStyle name="Separador de milhares 19 5 3 4" xfId="13661" xr:uid="{00000000-0005-0000-0000-0000042F0000}"/>
    <cellStyle name="Separador de milhares 19 5 3 4 2" xfId="22397" xr:uid="{377669D3-6036-4D43-8A54-70436E9D0366}"/>
    <cellStyle name="Separador de milhares 19 5 3 4 2 2" xfId="23965" xr:uid="{6E204D1B-00FE-41EF-A9A4-AD95B9E743AF}"/>
    <cellStyle name="Separador de milhares 19 5 3 5" xfId="15923" xr:uid="{147CED16-34AC-42E6-94F3-308BBE65572F}"/>
    <cellStyle name="Separador de milhares 19 5 3 5 2" xfId="23033" xr:uid="{86A8F8A8-8595-4C0D-9025-DFBDF123779A}"/>
    <cellStyle name="Separador de milhares 19 5 4" xfId="8841" xr:uid="{00000000-0005-0000-0000-0000052F0000}"/>
    <cellStyle name="Separador de milhares 19 5 4 2" xfId="17649" xr:uid="{2197C972-D97B-4F99-88D4-01AC413352C8}"/>
    <cellStyle name="Separador de milhares 19 5 4 2 2" xfId="23315" xr:uid="{4BA5A7E2-F3A2-4D10-B030-309052E7FB31}"/>
    <cellStyle name="Separador de milhares 19 5 5" xfId="12053" xr:uid="{00000000-0005-0000-0000-0000062F0000}"/>
    <cellStyle name="Separador de milhares 19 5 5 2" xfId="20796" xr:uid="{3A1BE21F-2746-4431-8BDA-F3702A5897DB}"/>
    <cellStyle name="Separador de milhares 19 5 5 2 2" xfId="23692" xr:uid="{92715A2F-ADAE-4D3A-AE88-D174A7283132}"/>
    <cellStyle name="Separador de milhares 19 5 6" xfId="13659" xr:uid="{00000000-0005-0000-0000-0000072F0000}"/>
    <cellStyle name="Separador de milhares 19 5 6 2" xfId="22395" xr:uid="{A439FF65-D535-40DC-9B6A-9F842C279D9A}"/>
    <cellStyle name="Separador de milhares 19 5 6 2 2" xfId="23963" xr:uid="{074B2ECA-F3AF-4781-B434-05793384FB5C}"/>
    <cellStyle name="Separador de milhares 19 5 7" xfId="15921" xr:uid="{FCBED3AA-528D-4232-BACC-CF05E1B670FD}"/>
    <cellStyle name="Separador de milhares 19 5 7 2" xfId="23031" xr:uid="{629F2455-542F-4184-A0D4-38F36EE4AD96}"/>
    <cellStyle name="Separador de milhares 19 6" xfId="4214" xr:uid="{00000000-0005-0000-0000-0000082F0000}"/>
    <cellStyle name="Separador de milhares 19 6 2" xfId="4215" xr:uid="{00000000-0005-0000-0000-0000092F0000}"/>
    <cellStyle name="Separador de milhares 19 6 2 2" xfId="8845" xr:uid="{00000000-0005-0000-0000-00000A2F0000}"/>
    <cellStyle name="Separador de milhares 19 6 2 2 2" xfId="17653" xr:uid="{49C99EEA-1B37-4F75-BD6E-919B8EC9A4C1}"/>
    <cellStyle name="Separador de milhares 19 6 2 2 2 2" xfId="23319" xr:uid="{E197ACDA-192E-4C22-A9AE-9CC8796671DA}"/>
    <cellStyle name="Separador de milhares 19 6 2 3" xfId="12057" xr:uid="{00000000-0005-0000-0000-00000B2F0000}"/>
    <cellStyle name="Separador de milhares 19 6 2 3 2" xfId="20800" xr:uid="{8BD04B42-BE14-4BF2-9A2C-7E92FD9A9607}"/>
    <cellStyle name="Separador de milhares 19 6 2 3 2 2" xfId="23696" xr:uid="{4DC9E177-5261-44F7-B4EB-20014FB5B6CD}"/>
    <cellStyle name="Separador de milhares 19 6 2 4" xfId="13663" xr:uid="{00000000-0005-0000-0000-00000C2F0000}"/>
    <cellStyle name="Separador de milhares 19 6 2 4 2" xfId="22399" xr:uid="{EBE7E44C-89EA-4A74-9D70-B65ED7A01C91}"/>
    <cellStyle name="Separador de milhares 19 6 2 4 2 2" xfId="23967" xr:uid="{3114F8D4-22BA-441F-AFA1-848496FEF8CF}"/>
    <cellStyle name="Separador de milhares 19 6 2 5" xfId="15925" xr:uid="{39294FF8-3593-4161-BF6F-052253D62856}"/>
    <cellStyle name="Separador de milhares 19 6 2 5 2" xfId="23035" xr:uid="{52A0D6DE-D5BA-4CEB-9BD2-FD2CEFFF410F}"/>
    <cellStyle name="Separador de milhares 19 6 3" xfId="4216" xr:uid="{00000000-0005-0000-0000-00000D2F0000}"/>
    <cellStyle name="Separador de milhares 19 6 3 2" xfId="8846" xr:uid="{00000000-0005-0000-0000-00000E2F0000}"/>
    <cellStyle name="Separador de milhares 19 6 3 2 2" xfId="17654" xr:uid="{410F8CF9-B4F0-4D95-8052-6280A2FFC1BB}"/>
    <cellStyle name="Separador de milhares 19 6 3 2 2 2" xfId="23320" xr:uid="{39EAB13E-3E8F-494E-AFE6-E59611EA79FA}"/>
    <cellStyle name="Separador de milhares 19 6 3 3" xfId="12058" xr:uid="{00000000-0005-0000-0000-00000F2F0000}"/>
    <cellStyle name="Separador de milhares 19 6 3 3 2" xfId="20801" xr:uid="{DE7ED090-867E-4722-B8BC-04F00773A205}"/>
    <cellStyle name="Separador de milhares 19 6 3 3 2 2" xfId="23697" xr:uid="{16AE4B6C-CB97-4129-8EB2-F20A5AC9D9C4}"/>
    <cellStyle name="Separador de milhares 19 6 3 4" xfId="13664" xr:uid="{00000000-0005-0000-0000-0000102F0000}"/>
    <cellStyle name="Separador de milhares 19 6 3 4 2" xfId="22400" xr:uid="{62D77411-A5D8-42A4-9F51-720CB18B73C7}"/>
    <cellStyle name="Separador de milhares 19 6 3 4 2 2" xfId="23968" xr:uid="{BAF14C73-9C4D-4963-A30B-C90B0E938174}"/>
    <cellStyle name="Separador de milhares 19 6 3 5" xfId="15926" xr:uid="{D2002C96-79D6-48D9-8F90-0DD9F3EF0E02}"/>
    <cellStyle name="Separador de milhares 19 6 3 5 2" xfId="23036" xr:uid="{EC86F4A4-9F88-41F0-95CD-82A304FB45B1}"/>
    <cellStyle name="Separador de milhares 19 6 4" xfId="8844" xr:uid="{00000000-0005-0000-0000-0000112F0000}"/>
    <cellStyle name="Separador de milhares 19 6 4 2" xfId="17652" xr:uid="{BF7CBF37-2147-4089-9107-E8A669615071}"/>
    <cellStyle name="Separador de milhares 19 6 4 2 2" xfId="23318" xr:uid="{F428E63C-328D-4FCA-BE8A-E08C5FBB047B}"/>
    <cellStyle name="Separador de milhares 19 6 5" xfId="12056" xr:uid="{00000000-0005-0000-0000-0000122F0000}"/>
    <cellStyle name="Separador de milhares 19 6 5 2" xfId="20799" xr:uid="{0E957027-C14B-44CE-A37F-76BB7D096968}"/>
    <cellStyle name="Separador de milhares 19 6 5 2 2" xfId="23695" xr:uid="{6D1A0F60-5DC0-4E80-9D5E-D71C1885100C}"/>
    <cellStyle name="Separador de milhares 19 6 6" xfId="13662" xr:uid="{00000000-0005-0000-0000-0000132F0000}"/>
    <cellStyle name="Separador de milhares 19 6 6 2" xfId="22398" xr:uid="{5A4FA428-2445-492A-82FE-3FB42441D7F9}"/>
    <cellStyle name="Separador de milhares 19 6 6 2 2" xfId="23966" xr:uid="{ACEC8FEA-EDC5-4BC1-B8DD-FEEA0602BA15}"/>
    <cellStyle name="Separador de milhares 19 6 7" xfId="15924" xr:uid="{1B04F211-1660-44C5-828F-B345F3DBA1F2}"/>
    <cellStyle name="Separador de milhares 19 6 7 2" xfId="23034" xr:uid="{C1016DA3-EB13-4D1D-A111-7B746F2E77F9}"/>
    <cellStyle name="Separador de milhares 19 7" xfId="4217" xr:uid="{00000000-0005-0000-0000-0000142F0000}"/>
    <cellStyle name="Separador de milhares 19 7 2" xfId="8847" xr:uid="{00000000-0005-0000-0000-0000152F0000}"/>
    <cellStyle name="Separador de milhares 19 7 2 2" xfId="17655" xr:uid="{7339E3E8-EBEE-47D2-A09F-9C7337AE4033}"/>
    <cellStyle name="Separador de milhares 19 7 2 2 2" xfId="23321" xr:uid="{B2FDDC29-4607-4E6E-8021-D0FCBEB3EF0E}"/>
    <cellStyle name="Separador de milhares 19 7 3" xfId="12059" xr:uid="{00000000-0005-0000-0000-0000162F0000}"/>
    <cellStyle name="Separador de milhares 19 7 3 2" xfId="20802" xr:uid="{54D65D7B-17E4-4D5C-9CB9-CAED2620516F}"/>
    <cellStyle name="Separador de milhares 19 7 3 2 2" xfId="23698" xr:uid="{07B9F97F-BC00-4416-9EEA-E45C376E4FC4}"/>
    <cellStyle name="Separador de milhares 19 7 4" xfId="13665" xr:uid="{00000000-0005-0000-0000-0000172F0000}"/>
    <cellStyle name="Separador de milhares 19 7 4 2" xfId="22401" xr:uid="{5FBD6CCA-C61D-441B-81BC-6A5EF70BF938}"/>
    <cellStyle name="Separador de milhares 19 7 4 2 2" xfId="23969" xr:uid="{2BDFBD54-254C-452F-9250-00A77248C0E9}"/>
    <cellStyle name="Separador de milhares 19 7 5" xfId="15927" xr:uid="{67D06586-6A54-4131-9154-D814AE6F2B6B}"/>
    <cellStyle name="Separador de milhares 19 7 5 2" xfId="23037" xr:uid="{8A2FEB2C-4665-40FC-B77A-2671E5BCA719}"/>
    <cellStyle name="Separador de milhares 19 8" xfId="4218" xr:uid="{00000000-0005-0000-0000-0000182F0000}"/>
    <cellStyle name="Separador de milhares 19 8 2" xfId="8848" xr:uid="{00000000-0005-0000-0000-0000192F0000}"/>
    <cellStyle name="Separador de milhares 19 8 2 2" xfId="17656" xr:uid="{464B7D77-D9EE-4C0A-988A-ECD3B7A4D8A3}"/>
    <cellStyle name="Separador de milhares 19 8 2 2 2" xfId="23322" xr:uid="{C57FD90B-21DF-445F-BFAD-B6A64FAD386D}"/>
    <cellStyle name="Separador de milhares 19 8 3" xfId="12060" xr:uid="{00000000-0005-0000-0000-00001A2F0000}"/>
    <cellStyle name="Separador de milhares 19 8 3 2" xfId="20803" xr:uid="{4C1E48AB-4002-43DD-A556-3FC451946802}"/>
    <cellStyle name="Separador de milhares 19 8 3 2 2" xfId="23699" xr:uid="{7A584804-F68B-4ADE-9256-45AC36136BB5}"/>
    <cellStyle name="Separador de milhares 19 8 4" xfId="13666" xr:uid="{00000000-0005-0000-0000-00001B2F0000}"/>
    <cellStyle name="Separador de milhares 19 8 4 2" xfId="22402" xr:uid="{E93EE45B-7888-4DAB-B7F6-DC74CF0E6E2F}"/>
    <cellStyle name="Separador de milhares 19 8 4 2 2" xfId="23970" xr:uid="{61CEB87E-950E-4817-91A7-60FB692E9F55}"/>
    <cellStyle name="Separador de milhares 19 8 5" xfId="15928" xr:uid="{10FEA62F-B52F-4639-9C8A-03A13C4BF19B}"/>
    <cellStyle name="Separador de milhares 19 8 5 2" xfId="23038" xr:uid="{6A0E15CF-D9B4-4836-A185-29A8BD1E739E}"/>
    <cellStyle name="Separador de milhares 19 9" xfId="4219" xr:uid="{00000000-0005-0000-0000-00001C2F0000}"/>
    <cellStyle name="Separador de milhares 19 9 2" xfId="8849" xr:uid="{00000000-0005-0000-0000-00001D2F0000}"/>
    <cellStyle name="Separador de milhares 19 9 2 2" xfId="17657" xr:uid="{1D48C716-55EB-4773-82F3-0C4C67A55B02}"/>
    <cellStyle name="Separador de milhares 19 9 2 2 2" xfId="23323" xr:uid="{68A4CD8C-7432-4A9C-9976-694C876FF925}"/>
    <cellStyle name="Separador de milhares 19 9 3" xfId="12061" xr:uid="{00000000-0005-0000-0000-00001E2F0000}"/>
    <cellStyle name="Separador de milhares 19 9 3 2" xfId="20804" xr:uid="{4298A194-FA24-4D75-A3D0-7EAD2720C147}"/>
    <cellStyle name="Separador de milhares 19 9 3 2 2" xfId="23700" xr:uid="{67B8D633-17AE-4D09-A720-EC753A7A7228}"/>
    <cellStyle name="Separador de milhares 19 9 4" xfId="13667" xr:uid="{00000000-0005-0000-0000-00001F2F0000}"/>
    <cellStyle name="Separador de milhares 19 9 4 2" xfId="22403" xr:uid="{1B769F52-9467-45C3-97E0-A0294D435CA2}"/>
    <cellStyle name="Separador de milhares 19 9 4 2 2" xfId="23971" xr:uid="{55D6520F-9381-4B34-8B4D-EE02B051560C}"/>
    <cellStyle name="Separador de milhares 19 9 5" xfId="15929" xr:uid="{F391B284-B8B0-4479-A23F-83293F547A8A}"/>
    <cellStyle name="Separador de milhares 19 9 5 2" xfId="23039" xr:uid="{CDC2A026-E712-42A3-A14E-16A186CAC4F3}"/>
    <cellStyle name="Separador de milhares 2" xfId="88" xr:uid="{00000000-0005-0000-0000-0000202F0000}"/>
    <cellStyle name="Separador de milhares 2 10" xfId="4221" xr:uid="{00000000-0005-0000-0000-0000212F0000}"/>
    <cellStyle name="Separador de milhares 2 10 2" xfId="5579" xr:uid="{00000000-0005-0000-0000-0000222F0000}"/>
    <cellStyle name="Separador de milhares 2 10 2 2" xfId="16140" xr:uid="{5AD7C9B5-766C-4166-B86D-65B43E07A40C}"/>
    <cellStyle name="Separador de milhares 2 10 2 2 2" xfId="23195" xr:uid="{69ECBAAA-93A3-4F71-9F1D-6AEB3B907A8B}"/>
    <cellStyle name="Separador de milhares 2 10 3" xfId="8851" xr:uid="{00000000-0005-0000-0000-0000232F0000}"/>
    <cellStyle name="Separador de milhares 2 10 3 2" xfId="17659" xr:uid="{2C556272-9FB3-491A-BA99-4FB9A948A33C}"/>
    <cellStyle name="Separador de milhares 2 10 3 2 2" xfId="23325" xr:uid="{BF5AE8AC-A0CD-4589-8BD3-B1DFF2798F83}"/>
    <cellStyle name="Separador de milhares 2 10 4" xfId="12063" xr:uid="{00000000-0005-0000-0000-0000242F0000}"/>
    <cellStyle name="Separador de milhares 2 10 4 2" xfId="20806" xr:uid="{CD2B6258-23B4-4BBA-B6A0-5B7785C8525C}"/>
    <cellStyle name="Separador de milhares 2 10 4 2 2" xfId="23702" xr:uid="{21E5CAAF-D60E-4078-A2F6-FD93BF208537}"/>
    <cellStyle name="Separador de milhares 2 10 5" xfId="13669" xr:uid="{00000000-0005-0000-0000-0000252F0000}"/>
    <cellStyle name="Separador de milhares 2 10 5 2" xfId="22405" xr:uid="{7F7B4A12-F3BC-4E6F-9868-D0EA73D24128}"/>
    <cellStyle name="Separador de milhares 2 10 5 2 2" xfId="23973" xr:uid="{9252298F-CE5D-435F-B5A3-D495DC390B4D}"/>
    <cellStyle name="Separador de milhares 2 10 6" xfId="14125" xr:uid="{9B4AE0A6-A37D-4F3A-8FB2-9718AC8A8BF3}"/>
    <cellStyle name="Separador de milhares 2 10 6 2" xfId="22901" xr:uid="{DE63F60E-31C1-4F4D-9B95-CA9AB1533E0D}"/>
    <cellStyle name="Separador de milhares 2 10 7" xfId="15931" xr:uid="{DB67B9D4-9C06-4104-8802-B07040C2EF14}"/>
    <cellStyle name="Separador de milhares 2 10 7 2" xfId="23041" xr:uid="{D132BB7B-E4AE-4117-ACDB-596FC29C5E0D}"/>
    <cellStyle name="Separador de milhares 2 11" xfId="4222" xr:uid="{00000000-0005-0000-0000-0000262F0000}"/>
    <cellStyle name="Separador de milhares 2 11 2" xfId="8852" xr:uid="{00000000-0005-0000-0000-0000272F0000}"/>
    <cellStyle name="Separador de milhares 2 11 2 2" xfId="17660" xr:uid="{EC2E0349-D087-4DA9-8149-7FA5C618CA94}"/>
    <cellStyle name="Separador de milhares 2 11 2 2 2" xfId="23326" xr:uid="{2F8680BA-83F7-4641-B921-6F719112B0D9}"/>
    <cellStyle name="Separador de milhares 2 11 3" xfId="12064" xr:uid="{00000000-0005-0000-0000-0000282F0000}"/>
    <cellStyle name="Separador de milhares 2 11 3 2" xfId="20807" xr:uid="{30DFA712-063C-40CE-A18C-594C0E38E344}"/>
    <cellStyle name="Separador de milhares 2 11 3 2 2" xfId="23703" xr:uid="{EAE4F738-7087-4E04-BB5C-AA4F8D00BCCF}"/>
    <cellStyle name="Separador de milhares 2 11 4" xfId="13670" xr:uid="{00000000-0005-0000-0000-0000292F0000}"/>
    <cellStyle name="Separador de milhares 2 11 4 2" xfId="22406" xr:uid="{D42413FA-47C1-4E7E-9E77-CB5CD4A1DE90}"/>
    <cellStyle name="Separador de milhares 2 11 4 2 2" xfId="23974" xr:uid="{E842051A-4286-4CDF-BC6E-63D390C52603}"/>
    <cellStyle name="Separador de milhares 2 11 5" xfId="14097" xr:uid="{7345F5EB-FE50-45D7-84F7-711ACFCA7D9E}"/>
    <cellStyle name="Separador de milhares 2 11 5 2" xfId="22898" xr:uid="{3C10C7F6-2B5D-4B6D-87F6-52AB0880C30B}"/>
    <cellStyle name="Separador de milhares 2 12" xfId="4223" xr:uid="{00000000-0005-0000-0000-00002A2F0000}"/>
    <cellStyle name="Separador de milhares 2 12 2" xfId="5595" xr:uid="{00000000-0005-0000-0000-00002B2F0000}"/>
    <cellStyle name="Separador de milhares 2 12 2 2" xfId="10409" xr:uid="{00000000-0005-0000-0000-00002C2F0000}"/>
    <cellStyle name="Separador de milhares 2 12 2 2 2" xfId="19215" xr:uid="{D6E31A1E-3FF1-4434-BFC7-19F16ADBA9E3}"/>
    <cellStyle name="Separador de milhares 2 12 2 2 2 2" xfId="23545" xr:uid="{8E3D1C7E-20D7-4DDB-8877-20820755E961}"/>
    <cellStyle name="Separador de milhares 2 12 2 3" xfId="16141" xr:uid="{557C057B-C6DE-4E28-B0D5-BA6A37602199}"/>
    <cellStyle name="Separador de milhares 2 12 2 3 2" xfId="23196" xr:uid="{95A513BD-D4DF-44FC-9D74-515F7015ECDD}"/>
    <cellStyle name="Separador de milhares 2 12 3" xfId="8853" xr:uid="{00000000-0005-0000-0000-00002D2F0000}"/>
    <cellStyle name="Separador de milhares 2 12 3 2" xfId="17661" xr:uid="{0A83EC5E-2C6D-4662-84F9-975E3735782E}"/>
    <cellStyle name="Separador de milhares 2 12 3 2 2" xfId="23327" xr:uid="{C1D9A555-0FE3-4726-91AC-9E5013C155DD}"/>
    <cellStyle name="Separador de milhares 2 12 4" xfId="12065" xr:uid="{00000000-0005-0000-0000-00002E2F0000}"/>
    <cellStyle name="Separador de milhares 2 12 4 2" xfId="20808" xr:uid="{58D53069-AE0D-4373-B090-41543CD1618D}"/>
    <cellStyle name="Separador de milhares 2 12 4 2 2" xfId="23704" xr:uid="{5110D687-F9AE-4E61-B343-D6B31B01BA05}"/>
    <cellStyle name="Separador de milhares 2 12 5" xfId="13671" xr:uid="{00000000-0005-0000-0000-00002F2F0000}"/>
    <cellStyle name="Separador de milhares 2 12 5 2" xfId="22407" xr:uid="{CC1A3ACD-98CE-481E-81DE-0DC3734D2BBF}"/>
    <cellStyle name="Separador de milhares 2 12 5 2 2" xfId="23975" xr:uid="{9BD20FAB-A42E-48DC-94CC-2E2CFBB47E99}"/>
    <cellStyle name="Separador de milhares 2 12 6" xfId="14131" xr:uid="{975BFC5A-523F-42CB-92B1-199370D5A461}"/>
    <cellStyle name="Separador de milhares 2 12 6 2" xfId="22902" xr:uid="{78B21D0E-EB62-44D7-AF26-85870C03040D}"/>
    <cellStyle name="Separador de milhares 2 12 7" xfId="15932" xr:uid="{0CF46033-E9BA-4387-A413-5B0736DA1BA9}"/>
    <cellStyle name="Separador de milhares 2 12 7 2" xfId="23042" xr:uid="{01505014-C4D7-45D0-B4CD-FD67C815A265}"/>
    <cellStyle name="Separador de milhares 2 13" xfId="4893" xr:uid="{00000000-0005-0000-0000-0000302F0000}"/>
    <cellStyle name="Separador de milhares 2 13 2" xfId="5624" xr:uid="{00000000-0005-0000-0000-0000312F0000}"/>
    <cellStyle name="Separador de milhares 2 13 2 2" xfId="16145" xr:uid="{5CF3F133-226E-4C54-9134-ED2476743D2D}"/>
    <cellStyle name="Separador de milhares 2 13 2 2 2" xfId="23198" xr:uid="{983B2A65-8A5B-44FA-ADE3-6620EF0FC88B}"/>
    <cellStyle name="Separador de milhares 2 13 3" xfId="14141" xr:uid="{D4AC8E5C-E820-4DF3-AAD3-244219E65159}"/>
    <cellStyle name="Separador de milhares 2 13 3 2" xfId="22904" xr:uid="{498896E8-101A-4D72-8161-6D0090ABB623}"/>
    <cellStyle name="Separador de milhares 2 14" xfId="4220" xr:uid="{00000000-0005-0000-0000-0000322F0000}"/>
    <cellStyle name="Separador de milhares 2 14 2" xfId="5622" xr:uid="{00000000-0005-0000-0000-0000332F0000}"/>
    <cellStyle name="Separador de milhares 2 14 2 2" xfId="16144" xr:uid="{FD8E93BC-ABD0-448A-8C79-9830A4BD556C}"/>
    <cellStyle name="Separador de milhares 2 14 2 2 2" xfId="23197" xr:uid="{483AD1AA-C26F-4E59-8B9D-2E0902FCE19D}"/>
    <cellStyle name="Separador de milhares 2 14 3" xfId="10408" xr:uid="{00000000-0005-0000-0000-0000342F0000}"/>
    <cellStyle name="Separador de milhares 2 14 3 2" xfId="19214" xr:uid="{43285A0C-7129-45D3-931E-1EC0F5900314}"/>
    <cellStyle name="Separador de milhares 2 14 3 2 2" xfId="23544" xr:uid="{DB1539AB-B30F-4DBB-B6AD-49B2FDEAF602}"/>
    <cellStyle name="Separador de milhares 2 14 4" xfId="12062" xr:uid="{00000000-0005-0000-0000-0000352F0000}"/>
    <cellStyle name="Separador de milhares 2 14 4 2" xfId="20805" xr:uid="{129F8C2B-82C1-4364-82A3-C3BE026C7804}"/>
    <cellStyle name="Separador de milhares 2 14 4 2 2" xfId="23701" xr:uid="{29265AF1-DBE3-4D8F-A5D0-4CAC4D2BB95F}"/>
    <cellStyle name="Separador de milhares 2 14 5" xfId="14139" xr:uid="{BE3A2266-55E5-4961-A8B2-CDB723994C64}"/>
    <cellStyle name="Separador de milhares 2 14 5 2" xfId="22903" xr:uid="{5889A792-4792-4548-A6DC-8538E105FA17}"/>
    <cellStyle name="Separador de milhares 2 14 6" xfId="15930" xr:uid="{855CA833-14FD-489E-AE53-FBA753D7A32E}"/>
    <cellStyle name="Separador de milhares 2 14 6 2" xfId="23040" xr:uid="{DDFE8AC4-6B93-43A8-A378-BD7E09BE3184}"/>
    <cellStyle name="Separador de milhares 2 15" xfId="5733" xr:uid="{00000000-0005-0000-0000-0000362F0000}"/>
    <cellStyle name="Separador de milhares 2 15 2" xfId="14172" xr:uid="{F487A544-8313-4C1F-BAD6-888CDCB16305}"/>
    <cellStyle name="Separador de milhares 2 15 2 2" xfId="22907" xr:uid="{492EBEEE-A651-4D97-B27A-C220D16FD4C6}"/>
    <cellStyle name="Separador de milhares 2 16" xfId="5689" xr:uid="{00000000-0005-0000-0000-0000372F0000}"/>
    <cellStyle name="Separador de milhares 2 16 2" xfId="14159" xr:uid="{7D2E9E48-6311-4BE0-B648-53F4D8EC5690}"/>
    <cellStyle name="Separador de milhares 2 16 2 2" xfId="22905" xr:uid="{402FD407-324A-4565-9D0F-4B08684D2125}"/>
    <cellStyle name="Separador de milhares 2 17" xfId="7012" xr:uid="{00000000-0005-0000-0000-0000382F0000}"/>
    <cellStyle name="Separador de milhares 2 17 2" xfId="14674" xr:uid="{68E9AE64-E1AA-4A4A-9073-51171094B60B}"/>
    <cellStyle name="Separador de milhares 2 17 2 2" xfId="22934" xr:uid="{B5783F8E-6DE4-4EC5-918E-468CA11BC932}"/>
    <cellStyle name="Separador de milhares 2 17 3" xfId="16212" xr:uid="{0AE333C7-1CB5-4DE1-AFE8-1123163F1464}"/>
    <cellStyle name="Separador de milhares 2 17 3 2" xfId="23203" xr:uid="{337AA8FC-311B-44D3-B805-B255665527BA}"/>
    <cellStyle name="Separador de milhares 2 18" xfId="8850" xr:uid="{00000000-0005-0000-0000-0000392F0000}"/>
    <cellStyle name="Separador de milhares 2 18 2" xfId="17658" xr:uid="{94D0980F-5530-47ED-BC9C-8CD4C3A1824C}"/>
    <cellStyle name="Separador de milhares 2 18 2 2" xfId="23324" xr:uid="{AD0DC6D0-D5A5-49FF-A8E8-E47DB5AA8526}"/>
    <cellStyle name="Separador de milhares 2 19" xfId="10497" xr:uid="{00000000-0005-0000-0000-00003A2F0000}"/>
    <cellStyle name="Separador de milhares 2 19 2" xfId="19280" xr:uid="{0D56B433-8A44-425B-9DA4-1941033D5D06}"/>
    <cellStyle name="Separador de milhares 2 19 2 2" xfId="23570" xr:uid="{1E1C0286-B68A-49AB-BDBA-9A8ED5DE589E}"/>
    <cellStyle name="Separador de milhares 2 2" xfId="103" xr:uid="{00000000-0005-0000-0000-00003B2F0000}"/>
    <cellStyle name="Separador de milhares 2 2 2" xfId="136" xr:uid="{00000000-0005-0000-0000-00003C2F0000}"/>
    <cellStyle name="Separador de milhares 2 2 2 2" xfId="4226" xr:uid="{00000000-0005-0000-0000-00003D2F0000}"/>
    <cellStyle name="Separador de milhares 2 2 2 2 2" xfId="8854" xr:uid="{00000000-0005-0000-0000-00003E2F0000}"/>
    <cellStyle name="Separador de milhares 2 2 2 2 2 2" xfId="17662" xr:uid="{45D73B40-7033-4210-BDA5-DECD5823BF7E}"/>
    <cellStyle name="Separador de milhares 2 2 2 2 2 2 2" xfId="23328" xr:uid="{D04189FF-37FF-4B60-B811-FBA7AB58EC5E}"/>
    <cellStyle name="Separador de milhares 2 2 2 2 3" xfId="12066" xr:uid="{00000000-0005-0000-0000-00003F2F0000}"/>
    <cellStyle name="Separador de milhares 2 2 2 2 3 2" xfId="20809" xr:uid="{2C05072D-2ED1-4B6E-922D-D7E825898D1D}"/>
    <cellStyle name="Separador de milhares 2 2 2 2 3 2 2" xfId="23705" xr:uid="{43B9D30D-48F2-4A0C-8CD3-8C4AA1C36222}"/>
    <cellStyle name="Separador de milhares 2 2 2 2 4" xfId="13672" xr:uid="{00000000-0005-0000-0000-0000402F0000}"/>
    <cellStyle name="Separador de milhares 2 2 2 2 4 2" xfId="22408" xr:uid="{51BD95DF-47BB-42DB-96EA-921EF113683F}"/>
    <cellStyle name="Separador de milhares 2 2 2 2 4 2 2" xfId="23976" xr:uid="{F17293CE-DF40-4DEB-A8E4-F86567BDF833}"/>
    <cellStyle name="Separador de milhares 2 2 2 2 5" xfId="15933" xr:uid="{5580919B-9DD6-49F7-8B62-AFEBF54476D4}"/>
    <cellStyle name="Separador de milhares 2 2 2 2 5 2" xfId="23043" xr:uid="{91D24CA6-DADC-4D5B-92C9-31E2C478AB20}"/>
    <cellStyle name="Separador de milhares 2 2 2 3" xfId="4227" xr:uid="{00000000-0005-0000-0000-0000412F0000}"/>
    <cellStyle name="Separador de milhares 2 2 2 3 2" xfId="8855" xr:uid="{00000000-0005-0000-0000-0000422F0000}"/>
    <cellStyle name="Separador de milhares 2 2 2 3 2 2" xfId="17663" xr:uid="{C60A2A43-2702-4A75-BB13-077E735B4CED}"/>
    <cellStyle name="Separador de milhares 2 2 2 3 2 2 2" xfId="23329" xr:uid="{51F217B1-7B33-46A9-A6BC-700A1AC0086B}"/>
    <cellStyle name="Separador de milhares 2 2 2 3 3" xfId="12067" xr:uid="{00000000-0005-0000-0000-0000432F0000}"/>
    <cellStyle name="Separador de milhares 2 2 2 3 3 2" xfId="20810" xr:uid="{98E49F64-6D12-4C8D-9015-1B451B5ACFBB}"/>
    <cellStyle name="Separador de milhares 2 2 2 3 3 2 2" xfId="23706" xr:uid="{24083E4A-D7CF-470D-B220-9D5D59ADC985}"/>
    <cellStyle name="Separador de milhares 2 2 2 3 4" xfId="13673" xr:uid="{00000000-0005-0000-0000-0000442F0000}"/>
    <cellStyle name="Separador de milhares 2 2 2 3 4 2" xfId="22409" xr:uid="{F1C5331E-E619-4B66-820E-DCE36DAE58F7}"/>
    <cellStyle name="Separador de milhares 2 2 2 3 4 2 2" xfId="23977" xr:uid="{8F31F8A3-A658-42CF-9219-C5D8CB44ADAC}"/>
    <cellStyle name="Separador de milhares 2 2 2 3 5" xfId="15934" xr:uid="{52F00B7A-8A73-4ECD-8767-5E8D316DFCD0}"/>
    <cellStyle name="Separador de milhares 2 2 2 3 5 2" xfId="23044" xr:uid="{7BCE0097-FFF8-4AEE-811B-6D4AA463301E}"/>
    <cellStyle name="Separador de milhares 2 2 2 4" xfId="4225" xr:uid="{00000000-0005-0000-0000-0000452F0000}"/>
    <cellStyle name="Separador de milhares 2 2 2 5" xfId="7373" xr:uid="{00000000-0005-0000-0000-0000462F0000}"/>
    <cellStyle name="Separador de milhares 2 2 2 5 2" xfId="16219" xr:uid="{65557D28-5ACC-4EAB-B512-6928BF9AA9CC}"/>
    <cellStyle name="Separador de milhares 2 2 2 5 2 2" xfId="23205" xr:uid="{F4F8C2E8-6C5C-49AF-B483-B4DF8EDFF632}"/>
    <cellStyle name="Separador de milhares 2 2 2 6" xfId="10613" xr:uid="{00000000-0005-0000-0000-0000472F0000}"/>
    <cellStyle name="Separador de milhares 2 2 2 6 2" xfId="19372" xr:uid="{0081C306-2891-417B-9206-396F78279636}"/>
    <cellStyle name="Separador de milhares 2 2 2 6 2 2" xfId="23583" xr:uid="{786C8A0E-8C31-4E7B-A56F-B83295F8418A}"/>
    <cellStyle name="Separador de milhares 2 2 2 7" xfId="14781" xr:uid="{7BDDCBD6-4083-4C3C-8408-CB7B163AEC7F}"/>
    <cellStyle name="Separador de milhares 2 2 2 7 2" xfId="22937" xr:uid="{100E47BE-9D46-40A7-B0BF-ACD33545074C}"/>
    <cellStyle name="Separador de milhares 2 2 2 8" xfId="14848" xr:uid="{F29E446C-BC73-4824-904C-13EB73C39769}"/>
    <cellStyle name="Separador de milhares 2 2 2 8 2" xfId="22940" xr:uid="{B0C47E50-8811-4E35-890B-B89F90DDFB5A}"/>
    <cellStyle name="Separador de milhares 2 2 3" xfId="4228" xr:uid="{00000000-0005-0000-0000-0000482F0000}"/>
    <cellStyle name="Separador de milhares 2 2 3 2" xfId="4229" xr:uid="{00000000-0005-0000-0000-0000492F0000}"/>
    <cellStyle name="Separador de milhares 2 2 3 2 2" xfId="8856" xr:uid="{00000000-0005-0000-0000-00004A2F0000}"/>
    <cellStyle name="Separador de milhares 2 2 3 2 2 2" xfId="17664" xr:uid="{DCFAAEAC-5AEC-4257-80D8-75C814425F59}"/>
    <cellStyle name="Separador de milhares 2 2 3 2 2 2 2" xfId="23330" xr:uid="{76ECB328-506F-4E13-9275-3FF414E3B79D}"/>
    <cellStyle name="Separador de milhares 2 2 3 2 3" xfId="12068" xr:uid="{00000000-0005-0000-0000-00004B2F0000}"/>
    <cellStyle name="Separador de milhares 2 2 3 2 3 2" xfId="20811" xr:uid="{B98BAC03-5C5B-41E1-9C0D-DECFD0329342}"/>
    <cellStyle name="Separador de milhares 2 2 3 2 3 2 2" xfId="23707" xr:uid="{A7980009-E10C-4D50-B28A-06D94B8B25CE}"/>
    <cellStyle name="Separador de milhares 2 2 3 2 4" xfId="13674" xr:uid="{00000000-0005-0000-0000-00004C2F0000}"/>
    <cellStyle name="Separador de milhares 2 2 3 2 4 2" xfId="22410" xr:uid="{E9D592EF-E3E2-4D99-AB44-5C3AA2AB50C5}"/>
    <cellStyle name="Separador de milhares 2 2 3 2 4 2 2" xfId="23978" xr:uid="{A3667396-5639-4D72-AF66-32C51DB99D4D}"/>
    <cellStyle name="Separador de milhares 2 2 3 2 5" xfId="15935" xr:uid="{938688C1-149C-4831-AFFB-145D3A62C76A}"/>
    <cellStyle name="Separador de milhares 2 2 3 2 5 2" xfId="23045" xr:uid="{60210A2D-9549-4556-91E0-86C1F1234BA8}"/>
    <cellStyle name="Separador de milhares 2 2 4" xfId="4230" xr:uid="{00000000-0005-0000-0000-00004D2F0000}"/>
    <cellStyle name="Separador de milhares 2 2 4 2" xfId="8857" xr:uid="{00000000-0005-0000-0000-00004E2F0000}"/>
    <cellStyle name="Separador de milhares 2 2 4 2 2" xfId="17665" xr:uid="{EF275761-CF39-4F99-B440-59E718D5FB9D}"/>
    <cellStyle name="Separador de milhares 2 2 4 2 2 2" xfId="23331" xr:uid="{95D4A62F-BCF5-4EE0-891C-1184B508C338}"/>
    <cellStyle name="Separador de milhares 2 2 4 3" xfId="12069" xr:uid="{00000000-0005-0000-0000-00004F2F0000}"/>
    <cellStyle name="Separador de milhares 2 2 4 3 2" xfId="20812" xr:uid="{AA1D6202-A864-4D1D-BE18-BF48390AED32}"/>
    <cellStyle name="Separador de milhares 2 2 4 3 2 2" xfId="23708" xr:uid="{7D09F8FD-1202-4144-B13C-A407FD47EEC6}"/>
    <cellStyle name="Separador de milhares 2 2 4 4" xfId="13675" xr:uid="{00000000-0005-0000-0000-0000502F0000}"/>
    <cellStyle name="Separador de milhares 2 2 4 4 2" xfId="22411" xr:uid="{7EBCF670-9350-4A83-8813-C0942A2238F7}"/>
    <cellStyle name="Separador de milhares 2 2 4 4 2 2" xfId="23979" xr:uid="{6E8FC409-6C5F-435B-B6F3-C6BCA034966E}"/>
    <cellStyle name="Separador de milhares 2 2 4 5" xfId="15936" xr:uid="{8CA79A99-E3CE-4D8F-A14D-D9169BB2FBBE}"/>
    <cellStyle name="Separador de milhares 2 2 4 5 2" xfId="23046" xr:uid="{5A4F020F-EE1A-4CBF-8813-388BDC55046D}"/>
    <cellStyle name="Separador de milhares 2 2 5" xfId="4231" xr:uid="{00000000-0005-0000-0000-0000512F0000}"/>
    <cellStyle name="Separador de milhares 2 2 5 2" xfId="8858" xr:uid="{00000000-0005-0000-0000-0000522F0000}"/>
    <cellStyle name="Separador de milhares 2 2 5 2 2" xfId="17666" xr:uid="{30465A37-CE25-446C-8FD1-CBEFCC5A0F2F}"/>
    <cellStyle name="Separador de milhares 2 2 5 2 2 2" xfId="23332" xr:uid="{E81725DE-F18E-4F4F-8808-32233B95F5E3}"/>
    <cellStyle name="Separador de milhares 2 2 5 3" xfId="12070" xr:uid="{00000000-0005-0000-0000-0000532F0000}"/>
    <cellStyle name="Separador de milhares 2 2 5 3 2" xfId="20813" xr:uid="{4B053C37-740B-408D-B85C-AB3AC889A9F7}"/>
    <cellStyle name="Separador de milhares 2 2 5 3 2 2" xfId="23709" xr:uid="{0C1B24BD-4FDB-40FF-9125-19B143172A70}"/>
    <cellStyle name="Separador de milhares 2 2 5 4" xfId="13676" xr:uid="{00000000-0005-0000-0000-0000542F0000}"/>
    <cellStyle name="Separador de milhares 2 2 5 4 2" xfId="22412" xr:uid="{89A2FB44-87CE-4D5F-A1F7-AAFB41709933}"/>
    <cellStyle name="Separador de milhares 2 2 5 4 2 2" xfId="23980" xr:uid="{97679494-6A05-4EC3-A623-A11B985EF1BC}"/>
    <cellStyle name="Separador de milhares 2 2 5 5" xfId="15937" xr:uid="{5BAC32C5-34AE-4CC0-BD6A-2AC27D50D034}"/>
    <cellStyle name="Separador de milhares 2 2 5 5 2" xfId="23047" xr:uid="{49F2B16E-D717-4FBA-A274-8291AB1E089A}"/>
    <cellStyle name="Separador de milhares 2 2 6" xfId="4224" xr:uid="{00000000-0005-0000-0000-0000552F0000}"/>
    <cellStyle name="Separador de milhares 2 2 7" xfId="10603" xr:uid="{00000000-0005-0000-0000-0000562F0000}"/>
    <cellStyle name="Separador de milhares 2 2 7 2" xfId="19362" xr:uid="{BF4AA3DD-12DA-4E57-80F5-2877BDB8DAE3}"/>
    <cellStyle name="Separador de milhares 2 2 7 2 2" xfId="23575" xr:uid="{44FC423A-6955-4A2F-B18D-D295177F2975}"/>
    <cellStyle name="Separador de milhares 2 2 8" xfId="13969" xr:uid="{D530EC2D-6381-4DD4-B790-78F54740E17D}"/>
    <cellStyle name="Separador de milhares 2 2 8 2" xfId="22874" xr:uid="{B9C6934D-6927-4729-B08C-64AAEE7ABE0B}"/>
    <cellStyle name="Separador de milhares 2 2 9" xfId="14550" xr:uid="{E5A0822A-02B9-4A93-88E2-B4758189602C}"/>
    <cellStyle name="Separador de milhares 2 2 9 2" xfId="22929" xr:uid="{21D8B6C2-9F63-4A16-93F1-63557D25BFAC}"/>
    <cellStyle name="Separador de milhares 2 20" xfId="10598" xr:uid="{00000000-0005-0000-0000-0000572F0000}"/>
    <cellStyle name="Separador de milhares 2 20 2" xfId="19359" xr:uid="{D9589FBE-5C37-4167-9AFC-47B9A1FBA0FD}"/>
    <cellStyle name="Separador de milhares 2 20 2 2" xfId="23573" xr:uid="{E33A94B2-50D3-46F0-9C18-2C6BA43EE626}"/>
    <cellStyle name="Separador de milhares 2 21" xfId="13668" xr:uid="{00000000-0005-0000-0000-0000582F0000}"/>
    <cellStyle name="Separador de milhares 2 21 2" xfId="22404" xr:uid="{792FE977-9866-459E-93F6-857DD7AEB415}"/>
    <cellStyle name="Separador de milhares 2 21 2 2" xfId="23972" xr:uid="{F0C5A8B1-00E1-4D03-9A2B-5630331B17F3}"/>
    <cellStyle name="Separador de milhares 2 22" xfId="14181" xr:uid="{92938348-561A-4013-9B22-F979B29B3106}"/>
    <cellStyle name="Separador de milhares 2 22 2" xfId="22909" xr:uid="{A20FF647-F644-4B7A-954F-0A92B2D919C1}"/>
    <cellStyle name="Separador de milhares 2 3" xfId="122" xr:uid="{00000000-0005-0000-0000-0000592F0000}"/>
    <cellStyle name="Separador de milhares 2 3 2" xfId="4233" xr:uid="{00000000-0005-0000-0000-00005A2F0000}"/>
    <cellStyle name="Separador de milhares 2 3 2 2" xfId="8859" xr:uid="{00000000-0005-0000-0000-00005B2F0000}"/>
    <cellStyle name="Separador de milhares 2 3 2 2 2" xfId="17667" xr:uid="{9E674865-9926-4622-AE79-20E3A4E2473A}"/>
    <cellStyle name="Separador de milhares 2 3 2 2 2 2" xfId="23333" xr:uid="{497779F8-77CC-4FEF-AA53-1ED685CB6F62}"/>
    <cellStyle name="Separador de milhares 2 3 2 3" xfId="12071" xr:uid="{00000000-0005-0000-0000-00005C2F0000}"/>
    <cellStyle name="Separador de milhares 2 3 2 3 2" xfId="20814" xr:uid="{4D039F23-CB03-4B38-B5EA-98BB4FF49C34}"/>
    <cellStyle name="Separador de milhares 2 3 2 3 2 2" xfId="23710" xr:uid="{BC5702F2-4731-48C1-8A17-AD26453E8604}"/>
    <cellStyle name="Separador de milhares 2 3 2 4" xfId="13677" xr:uid="{00000000-0005-0000-0000-00005D2F0000}"/>
    <cellStyle name="Separador de milhares 2 3 2 4 2" xfId="22413" xr:uid="{D08EA84F-67F3-4B7B-8D62-3F82DE9773B0}"/>
    <cellStyle name="Separador de milhares 2 3 2 4 2 2" xfId="23981" xr:uid="{7B26C16A-58AC-43BC-B143-1869D343B8DD}"/>
    <cellStyle name="Separador de milhares 2 3 2 5" xfId="15938" xr:uid="{631EAF1E-15D8-40C7-8011-8FFD58B056F6}"/>
    <cellStyle name="Separador de milhares 2 3 2 5 2" xfId="23048" xr:uid="{F06C35E8-2C93-4C50-8372-A2A6887E9BC0}"/>
    <cellStyle name="Separador de milhares 2 3 3" xfId="4234" xr:uid="{00000000-0005-0000-0000-00005E2F0000}"/>
    <cellStyle name="Separador de milhares 2 3 3 2" xfId="8860" xr:uid="{00000000-0005-0000-0000-00005F2F0000}"/>
    <cellStyle name="Separador de milhares 2 3 3 2 2" xfId="17668" xr:uid="{8EA52630-BE52-48D3-AFB8-3CAD18A6051C}"/>
    <cellStyle name="Separador de milhares 2 3 3 2 2 2" xfId="23334" xr:uid="{9CDE0C20-4249-4914-AFE0-769BD8A2DDB5}"/>
    <cellStyle name="Separador de milhares 2 3 3 3" xfId="12072" xr:uid="{00000000-0005-0000-0000-0000602F0000}"/>
    <cellStyle name="Separador de milhares 2 3 3 3 2" xfId="20815" xr:uid="{7F726299-AD8E-4D2A-9EC8-A45A6987C30F}"/>
    <cellStyle name="Separador de milhares 2 3 3 3 2 2" xfId="23711" xr:uid="{4A521367-035B-49BD-94C2-1AC96B5C6BC3}"/>
    <cellStyle name="Separador de milhares 2 3 3 4" xfId="13678" xr:uid="{00000000-0005-0000-0000-0000612F0000}"/>
    <cellStyle name="Separador de milhares 2 3 3 4 2" xfId="22414" xr:uid="{D881BA7B-5E1A-48B9-8705-81C010FFC69A}"/>
    <cellStyle name="Separador de milhares 2 3 3 4 2 2" xfId="23982" xr:uid="{38A4155F-3299-4FA2-8BE0-DA50821A649A}"/>
    <cellStyle name="Separador de milhares 2 3 3 5" xfId="15939" xr:uid="{2C4DF955-0DFF-470D-BA12-D6EF89922624}"/>
    <cellStyle name="Separador de milhares 2 3 3 5 2" xfId="23049" xr:uid="{C182A0F7-1E91-4AD2-ABB4-D956B17CB3F4}"/>
    <cellStyle name="Separador de milhares 2 3 4" xfId="4900" xr:uid="{00000000-0005-0000-0000-0000622F0000}"/>
    <cellStyle name="Separador de milhares 2 3 4 2" xfId="10443" xr:uid="{00000000-0005-0000-0000-0000632F0000}"/>
    <cellStyle name="Separador de milhares 2 3 4 2 2" xfId="19249" xr:uid="{08716E54-357C-485F-A3EB-ED18EA72273F}"/>
    <cellStyle name="Separador de milhares 2 3 4 2 2 2" xfId="23565" xr:uid="{D53CB215-0677-4703-9BCB-45DD5DBA6D75}"/>
    <cellStyle name="Separador de milhares 2 3 4 3" xfId="9029" xr:uid="{00000000-0005-0000-0000-0000642F0000}"/>
    <cellStyle name="Separador de milhares 2 3 4 3 2" xfId="17835" xr:uid="{107CD7D2-3FBC-4C0F-8DB4-75D91DA102B8}"/>
    <cellStyle name="Separador de milhares 2 3 4 3 2 2" xfId="23482" xr:uid="{B669E6B3-C20C-488F-A3FC-E9D74740839E}"/>
    <cellStyle name="Separador de milhares 2 3 4 4" xfId="12234" xr:uid="{00000000-0005-0000-0000-0000652F0000}"/>
    <cellStyle name="Separador de milhares 2 3 4 4 2" xfId="20975" xr:uid="{075B8B51-CF2E-41D7-8D2D-0D41D6CD7DD9}"/>
    <cellStyle name="Separador de milhares 2 3 4 4 2 2" xfId="23856" xr:uid="{8EA2D99B-4076-43EC-94A3-785A4F7647A3}"/>
    <cellStyle name="Separador de milhares 2 3 4 5" xfId="13843" xr:uid="{00000000-0005-0000-0000-0000662F0000}"/>
    <cellStyle name="Separador de milhares 2 3 4 5 2" xfId="22576" xr:uid="{4C804A05-111D-49AE-BA5B-08350CD1643A}"/>
    <cellStyle name="Separador de milhares 2 3 4 5 2 2" xfId="24130" xr:uid="{4522CD70-777A-450A-AB77-B14763E622E0}"/>
    <cellStyle name="Separador de milhares 2 3 4 6" xfId="16092" xr:uid="{6A5E24FF-061B-44B7-BD12-7696076D4240}"/>
    <cellStyle name="Separador de milhares 2 3 4 6 2" xfId="23187" xr:uid="{1580185C-7DF9-4E47-9BE2-77B3588A6A28}"/>
    <cellStyle name="Separador de milhares 2 3 5" xfId="4232" xr:uid="{00000000-0005-0000-0000-0000672F0000}"/>
    <cellStyle name="Separador de milhares 2 3 6" xfId="10608" xr:uid="{00000000-0005-0000-0000-0000682F0000}"/>
    <cellStyle name="Separador de milhares 2 3 6 2" xfId="19367" xr:uid="{E1B27D4A-6AC9-4815-BA2D-D2EC31235CF9}"/>
    <cellStyle name="Separador de milhares 2 3 6 2 2" xfId="23580" xr:uid="{8487648E-7214-401C-8F2B-9F906C53EC5A}"/>
    <cellStyle name="Separador de milhares 2 3 7" xfId="14037" xr:uid="{4C52A3A1-F837-407D-A411-11D70341F21A}"/>
    <cellStyle name="Separador de milhares 2 3 7 2" xfId="22891" xr:uid="{C6C79B43-9DE0-46C1-9284-E59284A4E1CF}"/>
    <cellStyle name="Separador de milhares 2 4" xfId="105" xr:uid="{00000000-0005-0000-0000-0000692F0000}"/>
    <cellStyle name="Separador de milhares 2 4 2" xfId="4236" xr:uid="{00000000-0005-0000-0000-00006A2F0000}"/>
    <cellStyle name="Separador de milhares 2 4 2 2" xfId="8862" xr:uid="{00000000-0005-0000-0000-00006B2F0000}"/>
    <cellStyle name="Separador de milhares 2 4 2 2 2" xfId="17670" xr:uid="{209DBD08-3440-40CC-B4D4-29CDE9745876}"/>
    <cellStyle name="Separador de milhares 2 4 2 2 2 2" xfId="23336" xr:uid="{9FB2A76D-0B6E-492B-9A34-7E3697270326}"/>
    <cellStyle name="Separador de milhares 2 4 2 3" xfId="12074" xr:uid="{00000000-0005-0000-0000-00006C2F0000}"/>
    <cellStyle name="Separador de milhares 2 4 2 3 2" xfId="20817" xr:uid="{7A79EE05-EEDD-4DE4-83F0-170E394854B3}"/>
    <cellStyle name="Separador de milhares 2 4 2 3 2 2" xfId="23713" xr:uid="{DC7AA092-672E-40C0-B4F5-5672D39CBD1A}"/>
    <cellStyle name="Separador de milhares 2 4 2 4" xfId="13680" xr:uid="{00000000-0005-0000-0000-00006D2F0000}"/>
    <cellStyle name="Separador de milhares 2 4 2 4 2" xfId="22416" xr:uid="{6D35157F-A759-440F-A3D6-2C8C63AB619B}"/>
    <cellStyle name="Separador de milhares 2 4 2 4 2 2" xfId="23984" xr:uid="{6F609D83-FC67-4B82-9AEE-BB9A679C5C61}"/>
    <cellStyle name="Separador de milhares 2 4 2 5" xfId="15941" xr:uid="{B97ED322-97E8-4B8D-B37C-D4B8BFA1C15E}"/>
    <cellStyle name="Separador de milhares 2 4 2 5 2" xfId="23051" xr:uid="{FDEC77B1-5717-4472-BC5A-CCE37D7C08CB}"/>
    <cellStyle name="Separador de milhares 2 4 3" xfId="4237" xr:uid="{00000000-0005-0000-0000-00006E2F0000}"/>
    <cellStyle name="Separador de milhares 2 4 3 2" xfId="8863" xr:uid="{00000000-0005-0000-0000-00006F2F0000}"/>
    <cellStyle name="Separador de milhares 2 4 3 2 2" xfId="17671" xr:uid="{F36AB9A7-ADE4-44B4-B8B1-E0B45F55B431}"/>
    <cellStyle name="Separador de milhares 2 4 3 2 2 2" xfId="23337" xr:uid="{64E95B4B-12D7-4971-AB8A-5A1BA04F1FD8}"/>
    <cellStyle name="Separador de milhares 2 4 3 3" xfId="12075" xr:uid="{00000000-0005-0000-0000-0000702F0000}"/>
    <cellStyle name="Separador de milhares 2 4 3 3 2" xfId="20818" xr:uid="{AADB9A9A-52A1-4D39-8DF1-69D0F2C9D88F}"/>
    <cellStyle name="Separador de milhares 2 4 3 3 2 2" xfId="23714" xr:uid="{8665C2BB-EE11-4637-86B6-84E1B6860EA5}"/>
    <cellStyle name="Separador de milhares 2 4 3 4" xfId="13681" xr:uid="{00000000-0005-0000-0000-0000712F0000}"/>
    <cellStyle name="Separador de milhares 2 4 3 4 2" xfId="22417" xr:uid="{03D831B1-7220-41E1-910B-8B20D9D2C93B}"/>
    <cellStyle name="Separador de milhares 2 4 3 4 2 2" xfId="23985" xr:uid="{E3A960FF-C455-4665-ACB2-4DD1410E3C95}"/>
    <cellStyle name="Separador de milhares 2 4 3 5" xfId="15942" xr:uid="{81C626F8-71B2-4D7F-A21C-40616D7A13E1}"/>
    <cellStyle name="Separador de milhares 2 4 3 5 2" xfId="23052" xr:uid="{84967556-0EBF-4F01-AF0C-34FD22F7FBA3}"/>
    <cellStyle name="Separador de milhares 2 4 4" xfId="4235" xr:uid="{00000000-0005-0000-0000-0000722F0000}"/>
    <cellStyle name="Separador de milhares 2 4 4 2" xfId="10410" xr:uid="{00000000-0005-0000-0000-0000732F0000}"/>
    <cellStyle name="Separador de milhares 2 4 4 2 2" xfId="19216" xr:uid="{0E37C763-2855-4AEB-A3E6-ED4481A3D773}"/>
    <cellStyle name="Separador de milhares 2 4 4 2 2 2" xfId="23546" xr:uid="{FE1DF2DF-176A-4759-9658-B80D24F6F604}"/>
    <cellStyle name="Separador de milhares 2 4 4 3" xfId="12073" xr:uid="{00000000-0005-0000-0000-0000742F0000}"/>
    <cellStyle name="Separador de milhares 2 4 4 3 2" xfId="20816" xr:uid="{2BA88510-2CD6-41C4-84AD-FBF928CDAFC0}"/>
    <cellStyle name="Separador de milhares 2 4 4 3 2 2" xfId="23712" xr:uid="{4AF9053F-4567-4F75-967E-D1260CE0DCAB}"/>
    <cellStyle name="Separador de milhares 2 4 4 4" xfId="15940" xr:uid="{29CE8DC9-A10B-412E-9F56-16101910702B}"/>
    <cellStyle name="Separador de milhares 2 4 4 4 2" xfId="23050" xr:uid="{FE068782-C621-4E3F-8F4B-9A8A296AB1D0}"/>
    <cellStyle name="Separador de milhares 2 4 5" xfId="8861" xr:uid="{00000000-0005-0000-0000-0000752F0000}"/>
    <cellStyle name="Separador de milhares 2 4 5 2" xfId="17669" xr:uid="{2204A9A9-5D23-4675-BC6D-9F5984391136}"/>
    <cellStyle name="Separador de milhares 2 4 5 2 2" xfId="23335" xr:uid="{4799654B-35AD-4520-BB57-414B23961498}"/>
    <cellStyle name="Separador de milhares 2 4 6" xfId="10605" xr:uid="{00000000-0005-0000-0000-0000762F0000}"/>
    <cellStyle name="Separador de milhares 2 4 6 2" xfId="19364" xr:uid="{474DBDE5-3729-4E69-884F-8819F233BEEE}"/>
    <cellStyle name="Separador de milhares 2 4 6 2 2" xfId="23577" xr:uid="{3774ECBB-60FF-4522-A06E-79A72DDDFC39}"/>
    <cellStyle name="Separador de milhares 2 4 7" xfId="13679" xr:uid="{00000000-0005-0000-0000-0000772F0000}"/>
    <cellStyle name="Separador de milhares 2 4 7 2" xfId="22415" xr:uid="{4D6221AC-C9AD-44B9-9174-0FB9CDA52561}"/>
    <cellStyle name="Separador de milhares 2 4 7 2 2" xfId="23983" xr:uid="{E4BD3113-D85B-48DE-A446-A5F04E6BFA20}"/>
    <cellStyle name="Separador de milhares 2 4 8" xfId="14006" xr:uid="{A16E7E45-81E7-43E4-B805-4549192BB30D}"/>
    <cellStyle name="Separador de milhares 2 4 8 2" xfId="22887" xr:uid="{99BBD56E-8101-4389-8A26-EA592E9333AE}"/>
    <cellStyle name="Separador de milhares 2 5" xfId="4238" xr:uid="{00000000-0005-0000-0000-0000782F0000}"/>
    <cellStyle name="Separador de milhares 2 5 2" xfId="4239" xr:uid="{00000000-0005-0000-0000-0000792F0000}"/>
    <cellStyle name="Separador de milhares 2 5 2 2" xfId="8865" xr:uid="{00000000-0005-0000-0000-00007A2F0000}"/>
    <cellStyle name="Separador de milhares 2 5 2 2 2" xfId="17673" xr:uid="{540AEDB1-7911-4437-B1C6-2A20E316DF70}"/>
    <cellStyle name="Separador de milhares 2 5 2 2 2 2" xfId="23339" xr:uid="{1A59C31C-D376-456B-8393-F286D97381E4}"/>
    <cellStyle name="Separador de milhares 2 5 2 3" xfId="12077" xr:uid="{00000000-0005-0000-0000-00007B2F0000}"/>
    <cellStyle name="Separador de milhares 2 5 2 3 2" xfId="20820" xr:uid="{8CCB2562-7BCD-4E99-87AE-9D767FF85CBE}"/>
    <cellStyle name="Separador de milhares 2 5 2 3 2 2" xfId="23716" xr:uid="{D1EB9B28-51A6-4E38-A3EC-B4596E8B1F37}"/>
    <cellStyle name="Separador de milhares 2 5 2 4" xfId="13683" xr:uid="{00000000-0005-0000-0000-00007C2F0000}"/>
    <cellStyle name="Separador de milhares 2 5 2 4 2" xfId="22419" xr:uid="{053A5BD0-F183-4078-8BED-43C2F2158750}"/>
    <cellStyle name="Separador de milhares 2 5 2 4 2 2" xfId="23987" xr:uid="{FCC8359F-4B43-4615-A99F-84024F55BA7C}"/>
    <cellStyle name="Separador de milhares 2 5 2 5" xfId="15943" xr:uid="{AE47E547-BC13-40B5-A375-6C9A1F442F0B}"/>
    <cellStyle name="Separador de milhares 2 5 2 5 2" xfId="23053" xr:uid="{68727E9B-919A-44CC-AD89-DD1D6390BAE7}"/>
    <cellStyle name="Separador de milhares 2 5 3" xfId="8864" xr:uid="{00000000-0005-0000-0000-00007D2F0000}"/>
    <cellStyle name="Separador de milhares 2 5 3 2" xfId="17672" xr:uid="{C8A641E3-347A-424C-97FB-142053E6B1D5}"/>
    <cellStyle name="Separador de milhares 2 5 3 2 2" xfId="23338" xr:uid="{2AF54EE8-9287-489A-8322-ABA395079A5B}"/>
    <cellStyle name="Separador de milhares 2 5 4" xfId="12076" xr:uid="{00000000-0005-0000-0000-00007E2F0000}"/>
    <cellStyle name="Separador de milhares 2 5 4 2" xfId="20819" xr:uid="{FB3B5E0B-50AA-498B-BE8B-7B26EEDA7F95}"/>
    <cellStyle name="Separador de milhares 2 5 4 2 2" xfId="23715" xr:uid="{2E5EFF15-8DE6-49C2-9094-8FF3A50528F1}"/>
    <cellStyle name="Separador de milhares 2 5 5" xfId="13682" xr:uid="{00000000-0005-0000-0000-00007F2F0000}"/>
    <cellStyle name="Separador de milhares 2 5 5 2" xfId="22418" xr:uid="{14D42880-926B-45E2-A36A-EA864913CA8D}"/>
    <cellStyle name="Separador de milhares 2 5 5 2 2" xfId="23986" xr:uid="{59ACD9BA-0BE5-4143-A575-667A6E0A7472}"/>
    <cellStyle name="Separador de milhares 2 5 6" xfId="14045" xr:uid="{3926DDD6-0540-4E6F-95A6-3965A27AC5C0}"/>
    <cellStyle name="Separador de milhares 2 5 6 2" xfId="22893" xr:uid="{E58C8D7B-E923-491B-BF4A-08FC32129C36}"/>
    <cellStyle name="Separador de milhares 2 6" xfId="4240" xr:uid="{00000000-0005-0000-0000-0000802F0000}"/>
    <cellStyle name="Separador de milhares 2 6 2" xfId="4241" xr:uid="{00000000-0005-0000-0000-0000812F0000}"/>
    <cellStyle name="Separador de milhares 2 6 2 2" xfId="8867" xr:uid="{00000000-0005-0000-0000-0000822F0000}"/>
    <cellStyle name="Separador de milhares 2 6 2 2 2" xfId="17675" xr:uid="{FA24A752-C5FA-4FC3-9F84-087C85FC9FBC}"/>
    <cellStyle name="Separador de milhares 2 6 2 2 2 2" xfId="23341" xr:uid="{3F1006B1-0E7E-4440-9D52-FA001A68E949}"/>
    <cellStyle name="Separador de milhares 2 6 2 3" xfId="12079" xr:uid="{00000000-0005-0000-0000-0000832F0000}"/>
    <cellStyle name="Separador de milhares 2 6 2 3 2" xfId="20822" xr:uid="{6A78F6D3-317F-4FC6-9C88-A92EDD44E4B8}"/>
    <cellStyle name="Separador de milhares 2 6 2 3 2 2" xfId="23718" xr:uid="{7EE4BEBA-8350-4160-99CA-83560EFAD28E}"/>
    <cellStyle name="Separador de milhares 2 6 2 4" xfId="13685" xr:uid="{00000000-0005-0000-0000-0000842F0000}"/>
    <cellStyle name="Separador de milhares 2 6 2 4 2" xfId="22421" xr:uid="{6B939E6E-F6E8-45A8-9A33-9C63DD89C5F9}"/>
    <cellStyle name="Separador de milhares 2 6 2 4 2 2" xfId="23989" xr:uid="{613FF57E-3900-41C2-AE90-E25A84DD9D25}"/>
    <cellStyle name="Separador de milhares 2 6 2 5" xfId="15944" xr:uid="{74B747E3-10A2-40D5-90D4-E497F973F57A}"/>
    <cellStyle name="Separador de milhares 2 6 2 5 2" xfId="23054" xr:uid="{6443FB51-E2BB-4FBF-8EB9-369A7C69FCEA}"/>
    <cellStyle name="Separador de milhares 2 6 3" xfId="8866" xr:uid="{00000000-0005-0000-0000-0000852F0000}"/>
    <cellStyle name="Separador de milhares 2 6 3 2" xfId="17674" xr:uid="{62970C3C-D450-49E4-A5EE-DBB1EA5AED6C}"/>
    <cellStyle name="Separador de milhares 2 6 3 2 2" xfId="23340" xr:uid="{847D2B82-2A62-4902-A1CA-C5E1A7FC92FB}"/>
    <cellStyle name="Separador de milhares 2 6 4" xfId="12078" xr:uid="{00000000-0005-0000-0000-0000862F0000}"/>
    <cellStyle name="Separador de milhares 2 6 4 2" xfId="20821" xr:uid="{F349A4A7-FC38-48F5-86CE-A9DBC75102CE}"/>
    <cellStyle name="Separador de milhares 2 6 4 2 2" xfId="23717" xr:uid="{693DD90E-57EB-4B87-A8F6-BC9ECA551EBD}"/>
    <cellStyle name="Separador de milhares 2 6 5" xfId="13684" xr:uid="{00000000-0005-0000-0000-0000872F0000}"/>
    <cellStyle name="Separador de milhares 2 6 5 2" xfId="22420" xr:uid="{E15BAE6C-2F97-497D-9334-688A8DDAA091}"/>
    <cellStyle name="Separador de milhares 2 6 5 2 2" xfId="23988" xr:uid="{4C1C0527-CC11-4254-B84A-95EDCD47E046}"/>
    <cellStyle name="Separador de milhares 2 6 6" xfId="13913" xr:uid="{F83FD2A2-62F6-451D-8AB5-23631E16C9D9}"/>
    <cellStyle name="Separador de milhares 2 6 6 2" xfId="22871" xr:uid="{4B388489-CB6E-40A9-9E04-2FCA81D241FC}"/>
    <cellStyle name="Separador de milhares 2 7" xfId="4242" xr:uid="{00000000-0005-0000-0000-0000882F0000}"/>
    <cellStyle name="Separador de milhares 2 7 2" xfId="4243" xr:uid="{00000000-0005-0000-0000-0000892F0000}"/>
    <cellStyle name="Separador de milhares 2 7 2 2" xfId="8869" xr:uid="{00000000-0005-0000-0000-00008A2F0000}"/>
    <cellStyle name="Separador de milhares 2 7 2 2 2" xfId="17677" xr:uid="{845FB573-49BB-4DD3-A7B5-A084AA767D9B}"/>
    <cellStyle name="Separador de milhares 2 7 2 2 2 2" xfId="23343" xr:uid="{94ADA2EB-BA96-4B07-B07B-DAA7920CA53A}"/>
    <cellStyle name="Separador de milhares 2 7 2 3" xfId="12081" xr:uid="{00000000-0005-0000-0000-00008B2F0000}"/>
    <cellStyle name="Separador de milhares 2 7 2 3 2" xfId="20824" xr:uid="{6E0A8624-B291-48CB-8F7C-CCDCCB7A9B50}"/>
    <cellStyle name="Separador de milhares 2 7 2 3 2 2" xfId="23720" xr:uid="{E092D1F8-E96F-45AE-8D85-7535B086EB72}"/>
    <cellStyle name="Separador de milhares 2 7 2 4" xfId="13687" xr:uid="{00000000-0005-0000-0000-00008C2F0000}"/>
    <cellStyle name="Separador de milhares 2 7 2 4 2" xfId="22423" xr:uid="{41470A8F-5CDF-4E10-A323-B67295166086}"/>
    <cellStyle name="Separador de milhares 2 7 2 4 2 2" xfId="23991" xr:uid="{1F2F7833-09E2-4A82-B856-A4C8F56CA19B}"/>
    <cellStyle name="Separador de milhares 2 7 2 5" xfId="15945" xr:uid="{01ADAB9C-6519-4E1C-AA66-CF0705DEBFB2}"/>
    <cellStyle name="Separador de milhares 2 7 2 5 2" xfId="23055" xr:uid="{45277E46-DA08-4479-9BD7-F55B826CF172}"/>
    <cellStyle name="Separador de milhares 2 7 3" xfId="8868" xr:uid="{00000000-0005-0000-0000-00008D2F0000}"/>
    <cellStyle name="Separador de milhares 2 7 3 2" xfId="17676" xr:uid="{F3BB99E9-EF0A-4696-A56C-6DE1BBDE6D7C}"/>
    <cellStyle name="Separador de milhares 2 7 3 2 2" xfId="23342" xr:uid="{2116F3E2-3193-46CC-8C35-75533B9AFEBE}"/>
    <cellStyle name="Separador de milhares 2 7 4" xfId="12080" xr:uid="{00000000-0005-0000-0000-00008E2F0000}"/>
    <cellStyle name="Separador de milhares 2 7 4 2" xfId="20823" xr:uid="{B339EB73-3D7C-4B74-B1FD-ABABB3243DE1}"/>
    <cellStyle name="Separador de milhares 2 7 4 2 2" xfId="23719" xr:uid="{98F3524D-360B-426A-ACE4-399A7A9DC179}"/>
    <cellStyle name="Separador de milhares 2 7 5" xfId="13686" xr:uid="{00000000-0005-0000-0000-00008F2F0000}"/>
    <cellStyle name="Separador de milhares 2 7 5 2" xfId="22422" xr:uid="{C70D2C3A-F01B-4F7A-A3CE-3FA924874DDC}"/>
    <cellStyle name="Separador de milhares 2 7 5 2 2" xfId="23990" xr:uid="{BEDE01A8-339B-42B1-B731-AE6851ADE148}"/>
    <cellStyle name="Separador de milhares 2 7 6" xfId="14056" xr:uid="{738B9D78-0720-4F3D-A022-4E9950915BD6}"/>
    <cellStyle name="Separador de milhares 2 7 6 2" xfId="22894" xr:uid="{703B8AE2-7D94-4AE9-A89A-AAAD0A39F852}"/>
    <cellStyle name="Separador de milhares 2 8" xfId="4244" xr:uid="{00000000-0005-0000-0000-0000902F0000}"/>
    <cellStyle name="Separador de milhares 2 8 2" xfId="4245" xr:uid="{00000000-0005-0000-0000-0000912F0000}"/>
    <cellStyle name="Separador de milhares 2 8 2 2" xfId="8871" xr:uid="{00000000-0005-0000-0000-0000922F0000}"/>
    <cellStyle name="Separador de milhares 2 8 2 2 2" xfId="17679" xr:uid="{BBBC9897-43D2-42D1-85F8-9DAAEA8F06AA}"/>
    <cellStyle name="Separador de milhares 2 8 2 2 2 2" xfId="23345" xr:uid="{D97DFC01-F5E9-42F9-8A8E-05AB1AFAF24E}"/>
    <cellStyle name="Separador de milhares 2 8 2 3" xfId="12083" xr:uid="{00000000-0005-0000-0000-0000932F0000}"/>
    <cellStyle name="Separador de milhares 2 8 2 3 2" xfId="20826" xr:uid="{D88BE137-0CAE-4CAB-B5D0-A8C80CE8E4AB}"/>
    <cellStyle name="Separador de milhares 2 8 2 3 2 2" xfId="23722" xr:uid="{9859581D-62B9-493F-B939-0D1559B91580}"/>
    <cellStyle name="Separador de milhares 2 8 2 4" xfId="13689" xr:uid="{00000000-0005-0000-0000-0000942F0000}"/>
    <cellStyle name="Separador de milhares 2 8 2 4 2" xfId="22425" xr:uid="{E3EC5226-BF96-4F03-ACAA-69E74786D588}"/>
    <cellStyle name="Separador de milhares 2 8 2 4 2 2" xfId="23993" xr:uid="{567E5FBB-C850-406D-AFD6-6581748BDBE1}"/>
    <cellStyle name="Separador de milhares 2 8 2 5" xfId="15946" xr:uid="{53F740D7-C261-494C-8211-249E85D2427E}"/>
    <cellStyle name="Separador de milhares 2 8 2 5 2" xfId="23056" xr:uid="{70B82A67-E639-464C-9F7E-21C28DFD2794}"/>
    <cellStyle name="Separador de milhares 2 8 3" xfId="8870" xr:uid="{00000000-0005-0000-0000-0000952F0000}"/>
    <cellStyle name="Separador de milhares 2 8 3 2" xfId="17678" xr:uid="{289B2F18-9023-4BD5-91EA-064307AF0EFF}"/>
    <cellStyle name="Separador de milhares 2 8 3 2 2" xfId="23344" xr:uid="{B85E7ADF-36E5-45E7-B111-27276EDA4553}"/>
    <cellStyle name="Separador de milhares 2 8 4" xfId="12082" xr:uid="{00000000-0005-0000-0000-0000962F0000}"/>
    <cellStyle name="Separador de milhares 2 8 4 2" xfId="20825" xr:uid="{EE2A0136-89A5-4D9A-82A4-9CD63483E590}"/>
    <cellStyle name="Separador de milhares 2 8 4 2 2" xfId="23721" xr:uid="{5C600F4D-53C0-4040-86FD-FE472E93D9FF}"/>
    <cellStyle name="Separador de milhares 2 8 5" xfId="13688" xr:uid="{00000000-0005-0000-0000-0000972F0000}"/>
    <cellStyle name="Separador de milhares 2 8 5 2" xfId="22424" xr:uid="{E048806C-1987-481A-AEAC-F53CF00FCE74}"/>
    <cellStyle name="Separador de milhares 2 8 5 2 2" xfId="23992" xr:uid="{41E3516B-C5A3-411A-8AC6-173B633DBAA5}"/>
    <cellStyle name="Separador de milhares 2 8 6" xfId="14066" xr:uid="{9B52CB90-EC7B-4FED-B643-93701E2D1C1D}"/>
    <cellStyle name="Separador de milhares 2 8 6 2" xfId="22895" xr:uid="{6FC7F96B-6405-41F4-B693-C47C76EC2D39}"/>
    <cellStyle name="Separador de milhares 2 9" xfId="4246" xr:uid="{00000000-0005-0000-0000-0000982F0000}"/>
    <cellStyle name="Separador de milhares 2 9 2" xfId="4247" xr:uid="{00000000-0005-0000-0000-0000992F0000}"/>
    <cellStyle name="Separador de milhares 2 9 2 2" xfId="8873" xr:uid="{00000000-0005-0000-0000-00009A2F0000}"/>
    <cellStyle name="Separador de milhares 2 9 2 2 2" xfId="17681" xr:uid="{13790A55-1CAF-4F1C-AF26-1653803C5847}"/>
    <cellStyle name="Separador de milhares 2 9 2 2 2 2" xfId="23347" xr:uid="{D512542E-02F5-4DE5-80D3-B55C69357ABE}"/>
    <cellStyle name="Separador de milhares 2 9 2 3" xfId="12085" xr:uid="{00000000-0005-0000-0000-00009B2F0000}"/>
    <cellStyle name="Separador de milhares 2 9 2 3 2" xfId="20828" xr:uid="{13ADF6E8-6164-4C2B-AEEA-BD80D992064B}"/>
    <cellStyle name="Separador de milhares 2 9 2 3 2 2" xfId="23724" xr:uid="{67C70D1C-65F0-45AD-8B21-B2EB240DBAD6}"/>
    <cellStyle name="Separador de milhares 2 9 2 4" xfId="13691" xr:uid="{00000000-0005-0000-0000-00009C2F0000}"/>
    <cellStyle name="Separador de milhares 2 9 2 4 2" xfId="22427" xr:uid="{E38DE5C6-ECD7-4CCB-996C-4DD81FDB031B}"/>
    <cellStyle name="Separador de milhares 2 9 2 4 2 2" xfId="23995" xr:uid="{2492151F-3B6A-4809-9009-B65C722072E8}"/>
    <cellStyle name="Separador de milhares 2 9 2 5" xfId="15947" xr:uid="{BED24D4A-86F5-46B3-9BC1-25598684F2C6}"/>
    <cellStyle name="Separador de milhares 2 9 2 5 2" xfId="23057" xr:uid="{B2A52B5F-E28A-446A-A954-169456D6088E}"/>
    <cellStyle name="Separador de milhares 2 9 3" xfId="8872" xr:uid="{00000000-0005-0000-0000-00009D2F0000}"/>
    <cellStyle name="Separador de milhares 2 9 3 2" xfId="17680" xr:uid="{866734E3-44A5-4A10-A1B3-0EACFEC4AECF}"/>
    <cellStyle name="Separador de milhares 2 9 3 2 2" xfId="23346" xr:uid="{BA688EC3-D0DC-45D8-A26E-B13EB0A5926E}"/>
    <cellStyle name="Separador de milhares 2 9 4" xfId="12084" xr:uid="{00000000-0005-0000-0000-00009E2F0000}"/>
    <cellStyle name="Separador de milhares 2 9 4 2" xfId="20827" xr:uid="{B7799526-13B1-4E4D-972A-83F43AAE92C3}"/>
    <cellStyle name="Separador de milhares 2 9 4 2 2" xfId="23723" xr:uid="{DF1133F7-E6DB-4324-BDB0-420E1B5F4912}"/>
    <cellStyle name="Separador de milhares 2 9 5" xfId="13690" xr:uid="{00000000-0005-0000-0000-00009F2F0000}"/>
    <cellStyle name="Separador de milhares 2 9 5 2" xfId="22426" xr:uid="{07CDA4FC-2581-4218-974D-CE0DF445D0BE}"/>
    <cellStyle name="Separador de milhares 2 9 5 2 2" xfId="23994" xr:uid="{D85C911A-DE0F-4566-B89B-5CCFFB6DC39A}"/>
    <cellStyle name="Separador de milhares 2 9 6" xfId="14074" xr:uid="{417D6904-36B9-46EB-B4F2-0E858070A188}"/>
    <cellStyle name="Separador de milhares 2 9 6 2" xfId="22896" xr:uid="{8C5BC9AE-CB5B-4379-B29A-103065BCA765}"/>
    <cellStyle name="Separador de milhares 20" xfId="4248" xr:uid="{00000000-0005-0000-0000-0000A02F0000}"/>
    <cellStyle name="Separador de milhares 20 2" xfId="4249" xr:uid="{00000000-0005-0000-0000-0000A12F0000}"/>
    <cellStyle name="Separador de milhares 20 2 2" xfId="8875" xr:uid="{00000000-0005-0000-0000-0000A22F0000}"/>
    <cellStyle name="Separador de milhares 20 2 2 2" xfId="17683" xr:uid="{1E303452-A7CB-473A-ADF3-3DA0517A529B}"/>
    <cellStyle name="Separador de milhares 20 2 2 2 2" xfId="23349" xr:uid="{9B2B82A8-8D83-47BB-A3B9-25A6860A5572}"/>
    <cellStyle name="Separador de milhares 20 2 3" xfId="12087" xr:uid="{00000000-0005-0000-0000-0000A32F0000}"/>
    <cellStyle name="Separador de milhares 20 2 3 2" xfId="20830" xr:uid="{B7010DEB-C460-465E-B7C1-C573609E5CAA}"/>
    <cellStyle name="Separador de milhares 20 2 3 2 2" xfId="23726" xr:uid="{9185E575-12DF-45C8-B6FD-A4A11D003B0C}"/>
    <cellStyle name="Separador de milhares 20 2 4" xfId="13693" xr:uid="{00000000-0005-0000-0000-0000A42F0000}"/>
    <cellStyle name="Separador de milhares 20 2 4 2" xfId="22429" xr:uid="{6061F30A-B531-4101-8AB2-850196D45E2A}"/>
    <cellStyle name="Separador de milhares 20 2 4 2 2" xfId="23997" xr:uid="{4C45ED41-DB06-494D-8480-7F6630731760}"/>
    <cellStyle name="Separador de milhares 20 2 5" xfId="15949" xr:uid="{E6951E5F-669E-406E-AC4A-133ABB44D350}"/>
    <cellStyle name="Separador de milhares 20 2 5 2" xfId="23059" xr:uid="{D3C0C820-D050-4B77-9B6B-935795E47EC6}"/>
    <cellStyle name="Separador de milhares 20 3" xfId="4250" xr:uid="{00000000-0005-0000-0000-0000A52F0000}"/>
    <cellStyle name="Separador de milhares 20 3 2" xfId="8876" xr:uid="{00000000-0005-0000-0000-0000A62F0000}"/>
    <cellStyle name="Separador de milhares 20 3 2 2" xfId="17684" xr:uid="{9DBCCEE0-51CF-424A-9709-A45F777C02BD}"/>
    <cellStyle name="Separador de milhares 20 3 2 2 2" xfId="23350" xr:uid="{3FEB5C03-5EF7-4DD0-A4B3-F95BFD060408}"/>
    <cellStyle name="Separador de milhares 20 3 3" xfId="12088" xr:uid="{00000000-0005-0000-0000-0000A72F0000}"/>
    <cellStyle name="Separador de milhares 20 3 3 2" xfId="20831" xr:uid="{B3222A48-299E-4D9F-B4C7-39418DACC07B}"/>
    <cellStyle name="Separador de milhares 20 3 3 2 2" xfId="23727" xr:uid="{D2AB75FA-2DA0-406C-B43C-8A74131EA950}"/>
    <cellStyle name="Separador de milhares 20 3 4" xfId="13694" xr:uid="{00000000-0005-0000-0000-0000A82F0000}"/>
    <cellStyle name="Separador de milhares 20 3 4 2" xfId="22430" xr:uid="{8813A8EE-DAB3-4F4E-B97D-D5184A449685}"/>
    <cellStyle name="Separador de milhares 20 3 4 2 2" xfId="23998" xr:uid="{9D4E572C-FDE2-47C1-B8AE-7F011003D12D}"/>
    <cellStyle name="Separador de milhares 20 3 5" xfId="15950" xr:uid="{17B128EB-AF5B-4EFC-A114-604B7581BAF0}"/>
    <cellStyle name="Separador de milhares 20 3 5 2" xfId="23060" xr:uid="{6117F155-C5A5-4B26-8579-FDDF6E755891}"/>
    <cellStyle name="Separador de milhares 20 4" xfId="8874" xr:uid="{00000000-0005-0000-0000-0000A92F0000}"/>
    <cellStyle name="Separador de milhares 20 4 2" xfId="17682" xr:uid="{C583825F-3B97-4BB7-830E-BD9B89444B34}"/>
    <cellStyle name="Separador de milhares 20 4 2 2" xfId="23348" xr:uid="{1E2A0F5B-80E4-4410-A19E-25AAD12D5099}"/>
    <cellStyle name="Separador de milhares 20 5" xfId="12086" xr:uid="{00000000-0005-0000-0000-0000AA2F0000}"/>
    <cellStyle name="Separador de milhares 20 5 2" xfId="20829" xr:uid="{E74A9D2E-0788-400E-AC4E-C4A7CF78F556}"/>
    <cellStyle name="Separador de milhares 20 5 2 2" xfId="23725" xr:uid="{A5A33A7D-312C-4E8D-879D-E88F47AD8466}"/>
    <cellStyle name="Separador de milhares 20 6" xfId="13692" xr:uid="{00000000-0005-0000-0000-0000AB2F0000}"/>
    <cellStyle name="Separador de milhares 20 6 2" xfId="22428" xr:uid="{08402E6F-3648-4AAD-BB30-7574178FFC75}"/>
    <cellStyle name="Separador de milhares 20 6 2 2" xfId="23996" xr:uid="{42108452-68DF-4C2B-B6AA-D1ED0916671D}"/>
    <cellStyle name="Separador de milhares 20 7" xfId="15948" xr:uid="{8BE6DD5F-5B64-4651-B4C6-C3314B3C115D}"/>
    <cellStyle name="Separador de milhares 20 7 2" xfId="23058" xr:uid="{0D941B89-08F9-4EB2-90C7-08FE6097B7D6}"/>
    <cellStyle name="Separador de milhares 3" xfId="99" xr:uid="{00000000-0005-0000-0000-0000AC2F0000}"/>
    <cellStyle name="Separador de milhares 3 10" xfId="13970" xr:uid="{75363308-BD32-4C20-BC4A-2BFFAF07CAAE}"/>
    <cellStyle name="Separador de milhares 3 10 2" xfId="22875" xr:uid="{97B6200F-8CC9-46CC-BBEB-75371BD213B6}"/>
    <cellStyle name="Separador de milhares 3 2" xfId="102" xr:uid="{00000000-0005-0000-0000-0000AD2F0000}"/>
    <cellStyle name="Separador de milhares 3 2 2" xfId="4251" xr:uid="{00000000-0005-0000-0000-0000AE2F0000}"/>
    <cellStyle name="Separador de milhares 3 2 2 2" xfId="7013" xr:uid="{00000000-0005-0000-0000-0000AF2F0000}"/>
    <cellStyle name="Separador de milhares 3 2 2 2 2" xfId="16213" xr:uid="{48AF7044-ACB4-4427-9BA1-859467DDA75E}"/>
    <cellStyle name="Separador de milhares 3 2 2 2 2 2" xfId="23204" xr:uid="{3FA86D3C-F8B3-4B13-AA99-F53682D19812}"/>
    <cellStyle name="Separador de milhares 3 2 2 3" xfId="8879" xr:uid="{00000000-0005-0000-0000-0000B02F0000}"/>
    <cellStyle name="Separador de milhares 3 2 2 3 2" xfId="17687" xr:uid="{743DBFE1-4451-4984-96BC-7D6B5F2FF608}"/>
    <cellStyle name="Separador de milhares 3 2 2 3 2 2" xfId="23353" xr:uid="{33164E7E-904E-4CDA-90EA-5BC0EC8CB00E}"/>
    <cellStyle name="Separador de milhares 3 2 2 4" xfId="12089" xr:uid="{00000000-0005-0000-0000-0000B12F0000}"/>
    <cellStyle name="Separador de milhares 3 2 2 4 2" xfId="20832" xr:uid="{F1740E6C-4EA9-456D-88E8-12D18F885D49}"/>
    <cellStyle name="Separador de milhares 3 2 2 4 2 2" xfId="23728" xr:uid="{5B65552E-EB45-4561-AE05-D84C11170211}"/>
    <cellStyle name="Separador de milhares 3 2 2 5" xfId="13697" xr:uid="{00000000-0005-0000-0000-0000B22F0000}"/>
    <cellStyle name="Separador de milhares 3 2 2 5 2" xfId="22433" xr:uid="{CFDE3798-3E41-475E-B840-6E34206D2196}"/>
    <cellStyle name="Separador de milhares 3 2 2 5 2 2" xfId="24001" xr:uid="{33284E86-BE1C-4BBE-A907-A7F2B5A49DC9}"/>
    <cellStyle name="Separador de milhares 3 2 2 6" xfId="14675" xr:uid="{F2A55A48-1283-454E-B7A5-0D4F02A3D94F}"/>
    <cellStyle name="Separador de milhares 3 2 2 6 2" xfId="22935" xr:uid="{8D8FB89E-0D89-4C96-BC85-E3B99898AC95}"/>
    <cellStyle name="Separador de milhares 3 2 2 7" xfId="15951" xr:uid="{9DC07815-85B4-4A2A-A41E-36DF96B7C324}"/>
    <cellStyle name="Separador de milhares 3 2 2 7 2" xfId="23061" xr:uid="{4FC7DEF4-3B10-49C2-8616-130AB8E8C3BF}"/>
    <cellStyle name="Separador de milhares 3 2 3" xfId="4913" xr:uid="{00000000-0005-0000-0000-0000B32F0000}"/>
    <cellStyle name="Separador de milhares 3 2 3 2" xfId="10447" xr:uid="{00000000-0005-0000-0000-0000B42F0000}"/>
    <cellStyle name="Separador de milhares 3 2 3 2 2" xfId="19253" xr:uid="{438313B0-218D-4356-B3F6-21CFFE74BA98}"/>
    <cellStyle name="Separador de milhares 3 2 3 2 2 2" xfId="23566" xr:uid="{B5D5DA81-C639-47DC-85D6-12CFBDDB3108}"/>
    <cellStyle name="Separador de milhares 3 2 3 3" xfId="9035" xr:uid="{00000000-0005-0000-0000-0000B52F0000}"/>
    <cellStyle name="Separador de milhares 3 2 3 3 2" xfId="17841" xr:uid="{CA861B1D-DC1B-421F-97E9-6708C5BF7DED}"/>
    <cellStyle name="Separador de milhares 3 2 3 3 2 2" xfId="23485" xr:uid="{9EE8733C-6812-43A5-81A4-9F0A21BDCBFA}"/>
    <cellStyle name="Separador de milhares 3 2 3 4" xfId="12240" xr:uid="{00000000-0005-0000-0000-0000B62F0000}"/>
    <cellStyle name="Separador de milhares 3 2 3 4 2" xfId="20981" xr:uid="{F05E8BC0-5BFE-405B-A698-1669E35D2E02}"/>
    <cellStyle name="Separador de milhares 3 2 3 4 2 2" xfId="23859" xr:uid="{A9183708-EDF2-43C9-8862-15C1982BDA7B}"/>
    <cellStyle name="Separador de milhares 3 2 3 5" xfId="13849" xr:uid="{00000000-0005-0000-0000-0000B72F0000}"/>
    <cellStyle name="Separador de milhares 3 2 3 5 2" xfId="22582" xr:uid="{81983BD4-D9DC-48B9-AA06-7BA7CA9DD608}"/>
    <cellStyle name="Separador de milhares 3 2 3 5 2 2" xfId="24133" xr:uid="{9C4D1E56-5932-4D53-9916-47BB60FD4136}"/>
    <cellStyle name="Separador de milhares 3 2 3 6" xfId="16098" xr:uid="{3D720CD0-1961-4EAC-B944-3A70B6F4DFF4}"/>
    <cellStyle name="Separador de milhares 3 2 3 6 2" xfId="23190" xr:uid="{BA8AED97-CC63-47CA-8A5A-48ABE09D24AE}"/>
    <cellStyle name="Separador de milhares 3 2 4" xfId="8878" xr:uid="{00000000-0005-0000-0000-0000B82F0000}"/>
    <cellStyle name="Separador de milhares 3 2 4 2" xfId="17686" xr:uid="{3F4D3769-4941-480B-A250-B9D02F2DF6CA}"/>
    <cellStyle name="Separador de milhares 3 2 4 2 2" xfId="23352" xr:uid="{A2EF94A4-970A-44C1-8EAE-AD5B3FC0E8F3}"/>
    <cellStyle name="Separador de milhares 3 2 5" xfId="10602" xr:uid="{00000000-0005-0000-0000-0000B92F0000}"/>
    <cellStyle name="Separador de milhares 3 2 5 2" xfId="19361" xr:uid="{04213606-A237-4004-AA02-BC742D45CA0F}"/>
    <cellStyle name="Separador de milhares 3 2 5 2 2" xfId="23574" xr:uid="{F85D1B4A-C437-4875-8618-36F21DF27AF3}"/>
    <cellStyle name="Separador de milhares 3 2 6" xfId="13696" xr:uid="{00000000-0005-0000-0000-0000BA2F0000}"/>
    <cellStyle name="Separador de milhares 3 2 6 2" xfId="22432" xr:uid="{9C5D6A82-CA0B-4AE9-8D40-F5A14152503F}"/>
    <cellStyle name="Separador de milhares 3 2 6 2 2" xfId="24000" xr:uid="{8A135BF6-C9AF-4D61-B83F-1ABAF8F667F4}"/>
    <cellStyle name="Separador de milhares 3 2 7" xfId="13971" xr:uid="{D520C00D-D7B1-40B5-A05C-0E930E904019}"/>
    <cellStyle name="Separador de milhares 3 2 7 2" xfId="22876" xr:uid="{5ABB971E-4607-4B8D-83DD-597F4C9DB616}"/>
    <cellStyle name="Separador de milhares 3 3" xfId="4252" xr:uid="{00000000-0005-0000-0000-0000BB2F0000}"/>
    <cellStyle name="Separador de milhares 3 3 2" xfId="4253" xr:uid="{00000000-0005-0000-0000-0000BC2F0000}"/>
    <cellStyle name="Separador de milhares 3 3 2 2" xfId="8881" xr:uid="{00000000-0005-0000-0000-0000BD2F0000}"/>
    <cellStyle name="Separador de milhares 3 3 2 2 2" xfId="17689" xr:uid="{8952E6C2-834C-4BE9-9C3D-880DDA004241}"/>
    <cellStyle name="Separador de milhares 3 3 2 2 2 2" xfId="23355" xr:uid="{82CD3D6F-1DFD-4457-8065-1A7F87EA7F0D}"/>
    <cellStyle name="Separador de milhares 3 3 2 3" xfId="12091" xr:uid="{00000000-0005-0000-0000-0000BE2F0000}"/>
    <cellStyle name="Separador de milhares 3 3 2 3 2" xfId="20834" xr:uid="{8B4945EE-337A-4700-8E69-6592C1C3B670}"/>
    <cellStyle name="Separador de milhares 3 3 2 3 2 2" xfId="23730" xr:uid="{7F686AC9-D52C-48E9-94F5-39C2A470F6B5}"/>
    <cellStyle name="Separador de milhares 3 3 2 4" xfId="13699" xr:uid="{00000000-0005-0000-0000-0000BF2F0000}"/>
    <cellStyle name="Separador de milhares 3 3 2 4 2" xfId="22435" xr:uid="{E80CDC56-D6F6-4305-83AC-2A25233CCE07}"/>
    <cellStyle name="Separador de milhares 3 3 2 4 2 2" xfId="24003" xr:uid="{7D7E179E-38D0-4461-9D37-E7AD5474AA64}"/>
    <cellStyle name="Separador de milhares 3 3 2 5" xfId="15952" xr:uid="{A19C56DE-CDF6-4026-9476-C79C88D16E81}"/>
    <cellStyle name="Separador de milhares 3 3 2 5 2" xfId="23062" xr:uid="{447C00A1-B62B-4C13-B0A7-25C045D810E6}"/>
    <cellStyle name="Separador de milhares 3 3 3" xfId="4254" xr:uid="{00000000-0005-0000-0000-0000C02F0000}"/>
    <cellStyle name="Separador de milhares 3 3 3 2" xfId="8882" xr:uid="{00000000-0005-0000-0000-0000C12F0000}"/>
    <cellStyle name="Separador de milhares 3 3 3 2 2" xfId="17690" xr:uid="{DA8BC53E-0142-4801-BB5E-949A9133534B}"/>
    <cellStyle name="Separador de milhares 3 3 3 2 2 2" xfId="23356" xr:uid="{3CA36630-27A4-4A71-8AB6-E20DD3DDE68C}"/>
    <cellStyle name="Separador de milhares 3 3 3 3" xfId="12092" xr:uid="{00000000-0005-0000-0000-0000C22F0000}"/>
    <cellStyle name="Separador de milhares 3 3 3 3 2" xfId="20835" xr:uid="{85427E87-7855-4AEB-8448-A4132F6910E7}"/>
    <cellStyle name="Separador de milhares 3 3 3 3 2 2" xfId="23731" xr:uid="{4236F5F7-2D91-4B73-B6F5-19BEC7C34091}"/>
    <cellStyle name="Separador de milhares 3 3 3 4" xfId="13700" xr:uid="{00000000-0005-0000-0000-0000C32F0000}"/>
    <cellStyle name="Separador de milhares 3 3 3 4 2" xfId="22436" xr:uid="{0FE22804-0C04-4483-9C64-D1755E0E8F1E}"/>
    <cellStyle name="Separador de milhares 3 3 3 4 2 2" xfId="24004" xr:uid="{C0095912-97B0-4EB5-B18C-D5603F2459DD}"/>
    <cellStyle name="Separador de milhares 3 3 3 5" xfId="15953" xr:uid="{446E64AB-1BE5-46F2-BDD1-F47B88A3C7A5}"/>
    <cellStyle name="Separador de milhares 3 3 3 5 2" xfId="23063" xr:uid="{B5B1D710-FD1A-4C74-A8AD-35557082F3C8}"/>
    <cellStyle name="Separador de milhares 3 3 4" xfId="4255" xr:uid="{00000000-0005-0000-0000-0000C42F0000}"/>
    <cellStyle name="Separador de milhares 3 3 4 2" xfId="8883" xr:uid="{00000000-0005-0000-0000-0000C52F0000}"/>
    <cellStyle name="Separador de milhares 3 3 4 2 2" xfId="17691" xr:uid="{47EF4FFD-2687-4F5B-8735-7DE2455FCA43}"/>
    <cellStyle name="Separador de milhares 3 3 4 2 2 2" xfId="23357" xr:uid="{EACF2611-9429-46D1-9B30-34E1261F8AB5}"/>
    <cellStyle name="Separador de milhares 3 3 4 3" xfId="12093" xr:uid="{00000000-0005-0000-0000-0000C62F0000}"/>
    <cellStyle name="Separador de milhares 3 3 4 3 2" xfId="20836" xr:uid="{EE0AA260-D268-43A9-8210-743214DDE6C0}"/>
    <cellStyle name="Separador de milhares 3 3 4 3 2 2" xfId="23732" xr:uid="{26232968-DD5A-44C6-8E51-2AFB6051049E}"/>
    <cellStyle name="Separador de milhares 3 3 4 4" xfId="13701" xr:uid="{00000000-0005-0000-0000-0000C72F0000}"/>
    <cellStyle name="Separador de milhares 3 3 4 4 2" xfId="22437" xr:uid="{938C6F9D-8544-448C-9F90-6A3AB07EDA11}"/>
    <cellStyle name="Separador de milhares 3 3 4 4 2 2" xfId="24005" xr:uid="{4892D3AD-A6DA-4F4B-87F5-38E4B7B937D8}"/>
    <cellStyle name="Separador de milhares 3 3 4 5" xfId="15954" xr:uid="{13019146-EB92-49BB-91A1-9C6CD0401718}"/>
    <cellStyle name="Separador de milhares 3 3 4 5 2" xfId="23064" xr:uid="{51405763-5124-4A4C-A06B-82BCE30AD811}"/>
    <cellStyle name="Separador de milhares 3 3 5" xfId="8880" xr:uid="{00000000-0005-0000-0000-0000C82F0000}"/>
    <cellStyle name="Separador de milhares 3 3 5 2" xfId="17688" xr:uid="{03335C3E-1763-4B56-BC6C-BD3D9854C10D}"/>
    <cellStyle name="Separador de milhares 3 3 5 2 2" xfId="23354" xr:uid="{8F8885AC-2941-46C1-8382-0F1D5FF1F494}"/>
    <cellStyle name="Separador de milhares 3 3 6" xfId="12090" xr:uid="{00000000-0005-0000-0000-0000C92F0000}"/>
    <cellStyle name="Separador de milhares 3 3 6 2" xfId="20833" xr:uid="{B4C3E086-8A48-4C37-AF74-40F0514010BC}"/>
    <cellStyle name="Separador de milhares 3 3 6 2 2" xfId="23729" xr:uid="{3B9FFD59-415A-4C0F-B8C4-8E915ED2B957}"/>
    <cellStyle name="Separador de milhares 3 3 7" xfId="13698" xr:uid="{00000000-0005-0000-0000-0000CA2F0000}"/>
    <cellStyle name="Separador de milhares 3 3 7 2" xfId="22434" xr:uid="{D49CFD91-5DBB-4EB1-A9C2-C919E93FC102}"/>
    <cellStyle name="Separador de milhares 3 3 7 2 2" xfId="24002" xr:uid="{0AA5D406-43F4-4001-95A6-8B0662AD0A26}"/>
    <cellStyle name="Separador de milhares 3 3 8" xfId="13972" xr:uid="{F119732D-C4D9-4300-8BFC-7CFD0BD85362}"/>
    <cellStyle name="Separador de milhares 3 3 8 2" xfId="22877" xr:uid="{09BE83F2-DE6C-448C-B4F6-79C711E40CD2}"/>
    <cellStyle name="Separador de milhares 3 4" xfId="4256" xr:uid="{00000000-0005-0000-0000-0000CB2F0000}"/>
    <cellStyle name="Separador de milhares 3 4 2" xfId="4257" xr:uid="{00000000-0005-0000-0000-0000CC2F0000}"/>
    <cellStyle name="Separador de milhares 3 4 2 2" xfId="8884" xr:uid="{00000000-0005-0000-0000-0000CD2F0000}"/>
    <cellStyle name="Separador de milhares 3 4 2 2 2" xfId="17692" xr:uid="{A3CAED94-05E3-424A-AD6A-D3D2CD0DF0BA}"/>
    <cellStyle name="Separador de milhares 3 4 2 2 2 2" xfId="23358" xr:uid="{C9578F5D-C118-4789-8785-5F232982B865}"/>
    <cellStyle name="Separador de milhares 3 4 2 3" xfId="12094" xr:uid="{00000000-0005-0000-0000-0000CE2F0000}"/>
    <cellStyle name="Separador de milhares 3 4 2 3 2" xfId="20837" xr:uid="{50EC3344-7C2C-4393-82A0-B5D9791A7F3B}"/>
    <cellStyle name="Separador de milhares 3 4 2 3 2 2" xfId="23733" xr:uid="{D8A25E77-056C-41AD-B347-0A7277BE8DE9}"/>
    <cellStyle name="Separador de milhares 3 4 2 4" xfId="13702" xr:uid="{00000000-0005-0000-0000-0000CF2F0000}"/>
    <cellStyle name="Separador de milhares 3 4 2 4 2" xfId="22438" xr:uid="{A9FBEFA1-803F-4A0A-8DB9-5487FB3823C0}"/>
    <cellStyle name="Separador de milhares 3 4 2 4 2 2" xfId="24006" xr:uid="{0A762637-AD1D-4EEB-892B-1208FAA86185}"/>
    <cellStyle name="Separador de milhares 3 4 2 5" xfId="15955" xr:uid="{2231526E-B8BF-4D47-AD86-159785B39065}"/>
    <cellStyle name="Separador de milhares 3 4 2 5 2" xfId="23065" xr:uid="{9E2D16E2-F36A-4C91-8856-29641600925B}"/>
    <cellStyle name="Separador de milhares 3 4 3" xfId="5809" xr:uid="{00000000-0005-0000-0000-0000D02F0000}"/>
    <cellStyle name="Separador de milhares 3 4 3 2" xfId="16162" xr:uid="{BBC0F727-A157-4D68-A28D-FA56974E6E0C}"/>
    <cellStyle name="Separador de milhares 3 4 3 2 2" xfId="23201" xr:uid="{2F8478B3-B707-45AD-92A1-9AC14FF84ED4}"/>
    <cellStyle name="Separador de milhares 3 4 4" xfId="14198" xr:uid="{6246745D-053D-4A9D-9C94-BA994B0A817C}"/>
    <cellStyle name="Separador de milhares 3 4 4 2" xfId="22912" xr:uid="{ADE7E470-F844-4738-A5C7-187200157C5D}"/>
    <cellStyle name="Separador de milhares 3 5" xfId="4258" xr:uid="{00000000-0005-0000-0000-0000D12F0000}"/>
    <cellStyle name="Separador de milhares 3 5 2" xfId="8885" xr:uid="{00000000-0005-0000-0000-0000D22F0000}"/>
    <cellStyle name="Separador de milhares 3 5 2 2" xfId="17693" xr:uid="{EB8E1D3F-28EB-48A4-8A3E-51A1EB2B3C04}"/>
    <cellStyle name="Separador de milhares 3 5 2 2 2" xfId="23359" xr:uid="{6C50EC53-D519-4ED4-A151-BAC47E97354E}"/>
    <cellStyle name="Separador de milhares 3 5 3" xfId="12095" xr:uid="{00000000-0005-0000-0000-0000D32F0000}"/>
    <cellStyle name="Separador de milhares 3 5 3 2" xfId="20838" xr:uid="{0791ACE2-9339-4817-8A6E-6E206F9C4DE6}"/>
    <cellStyle name="Separador de milhares 3 5 3 2 2" xfId="23734" xr:uid="{D22AEEA2-EFB2-4D8A-A253-22B9AD2DC787}"/>
    <cellStyle name="Separador de milhares 3 5 4" xfId="13703" xr:uid="{00000000-0005-0000-0000-0000D42F0000}"/>
    <cellStyle name="Separador de milhares 3 5 4 2" xfId="22439" xr:uid="{24D630D4-11F5-4FA7-B33B-79556BC6A61E}"/>
    <cellStyle name="Separador de milhares 3 5 4 2 2" xfId="24007" xr:uid="{87A316C8-EBA1-4A15-BE93-C7171A5A85C0}"/>
    <cellStyle name="Separador de milhares 3 5 5" xfId="15956" xr:uid="{E5063805-F1F7-47CE-B451-97F183C5146B}"/>
    <cellStyle name="Separador de milhares 3 5 5 2" xfId="23066" xr:uid="{AB967F6F-8781-4F3C-BF93-0F78FFD908B1}"/>
    <cellStyle name="Separador de milhares 3 6" xfId="4259" xr:uid="{00000000-0005-0000-0000-0000D52F0000}"/>
    <cellStyle name="Separador de milhares 3 6 2" xfId="8886" xr:uid="{00000000-0005-0000-0000-0000D62F0000}"/>
    <cellStyle name="Separador de milhares 3 6 2 2" xfId="17694" xr:uid="{4440FA0F-A1CD-4C98-AA56-BD277F046FE9}"/>
    <cellStyle name="Separador de milhares 3 6 2 2 2" xfId="23360" xr:uid="{D44C3A11-BD7F-4270-BE49-5CF8686555AE}"/>
    <cellStyle name="Separador de milhares 3 6 3" xfId="12096" xr:uid="{00000000-0005-0000-0000-0000D72F0000}"/>
    <cellStyle name="Separador de milhares 3 6 3 2" xfId="20839" xr:uid="{033F294A-FF6D-4E06-8A29-4F126A9727F0}"/>
    <cellStyle name="Separador de milhares 3 6 3 2 2" xfId="23735" xr:uid="{0B3A5D1D-35D2-4EAC-A53B-3C3410B2B9E7}"/>
    <cellStyle name="Separador de milhares 3 6 4" xfId="13704" xr:uid="{00000000-0005-0000-0000-0000D82F0000}"/>
    <cellStyle name="Separador de milhares 3 6 4 2" xfId="22440" xr:uid="{E09EE9DE-DA61-4C75-9462-FD8F71993DFB}"/>
    <cellStyle name="Separador de milhares 3 6 4 2 2" xfId="24008" xr:uid="{7A1BA81D-DC68-43C0-A8B9-D56ADA9D1118}"/>
    <cellStyle name="Separador de milhares 3 6 5" xfId="15957" xr:uid="{AA5DED53-E498-4CD0-8BF5-2C5B1D63C83C}"/>
    <cellStyle name="Separador de milhares 3 6 5 2" xfId="23067" xr:uid="{9C2FAFEE-AF39-403E-9B81-98C19E9E8ED5}"/>
    <cellStyle name="Separador de milhares 3 7" xfId="4260" xr:uid="{00000000-0005-0000-0000-0000D92F0000}"/>
    <cellStyle name="Separador de milhares 3 7 2" xfId="8887" xr:uid="{00000000-0005-0000-0000-0000DA2F0000}"/>
    <cellStyle name="Separador de milhares 3 7 2 2" xfId="17695" xr:uid="{42F941F3-DC4C-4F13-987D-F3E23A056BDD}"/>
    <cellStyle name="Separador de milhares 3 7 2 2 2" xfId="23361" xr:uid="{1011A930-7255-43A5-936F-545CA0F73EF2}"/>
    <cellStyle name="Separador de milhares 3 7 3" xfId="12097" xr:uid="{00000000-0005-0000-0000-0000DB2F0000}"/>
    <cellStyle name="Separador de milhares 3 7 3 2" xfId="20840" xr:uid="{B770FAE1-CEA4-44A1-9061-BD11F703046D}"/>
    <cellStyle name="Separador de milhares 3 7 3 2 2" xfId="23736" xr:uid="{DA97685A-2A61-4525-BBA1-A86DEE5E4D40}"/>
    <cellStyle name="Separador de milhares 3 7 4" xfId="13705" xr:uid="{00000000-0005-0000-0000-0000DC2F0000}"/>
    <cellStyle name="Separador de milhares 3 7 4 2" xfId="22441" xr:uid="{A2AB6811-C5E3-48A1-81D5-274A86219433}"/>
    <cellStyle name="Separador de milhares 3 7 4 2 2" xfId="24009" xr:uid="{3A732CEB-C0F2-4365-B4CA-0B083EB322D9}"/>
    <cellStyle name="Separador de milhares 3 7 5" xfId="15958" xr:uid="{DC413C54-1D16-472A-8BCD-9BC5BC03D844}"/>
    <cellStyle name="Separador de milhares 3 7 5 2" xfId="23068" xr:uid="{AE59CF7D-448E-48FD-969B-5450928BCBC4}"/>
    <cellStyle name="Separador de milhares 3 8" xfId="8877" xr:uid="{00000000-0005-0000-0000-0000DD2F0000}"/>
    <cellStyle name="Separador de milhares 3 8 2" xfId="17685" xr:uid="{BF27493D-C279-4263-875B-F402F068A5DE}"/>
    <cellStyle name="Separador de milhares 3 8 2 2" xfId="23351" xr:uid="{4E881338-0453-4CEA-B67F-356997FD8D40}"/>
    <cellStyle name="Separador de milhares 3 9" xfId="13695" xr:uid="{00000000-0005-0000-0000-0000DE2F0000}"/>
    <cellStyle name="Separador de milhares 3 9 2" xfId="22431" xr:uid="{F18BE707-B6D5-4BAF-90F3-EDADDC05D72B}"/>
    <cellStyle name="Separador de milhares 3 9 2 2" xfId="23999" xr:uid="{69124DAF-659C-4F87-BA07-4554169456D3}"/>
    <cellStyle name="Separador de milhares 3_Anápolis" xfId="4261" xr:uid="{00000000-0005-0000-0000-0000DF2F0000}"/>
    <cellStyle name="Separador de milhares 32" xfId="4262" xr:uid="{00000000-0005-0000-0000-0000E02F0000}"/>
    <cellStyle name="Separador de milhares 32 2" xfId="8888" xr:uid="{00000000-0005-0000-0000-0000E12F0000}"/>
    <cellStyle name="Separador de milhares 32 2 2" xfId="17696" xr:uid="{50595140-93EE-4F88-9D5B-8CD1BF0B23C1}"/>
    <cellStyle name="Separador de milhares 32 2 2 2" xfId="23362" xr:uid="{32761D21-C119-4CD8-8314-1E4EF1BB915C}"/>
    <cellStyle name="Separador de milhares 32 3" xfId="12098" xr:uid="{00000000-0005-0000-0000-0000E22F0000}"/>
    <cellStyle name="Separador de milhares 32 3 2" xfId="20841" xr:uid="{6E53E344-4372-42D0-A0B3-747F6CFF0F56}"/>
    <cellStyle name="Separador de milhares 32 3 2 2" xfId="23737" xr:uid="{DD60BC0B-D8DE-406B-9B8D-10565B86DAE5}"/>
    <cellStyle name="Separador de milhares 32 4" xfId="13706" xr:uid="{00000000-0005-0000-0000-0000E32F0000}"/>
    <cellStyle name="Separador de milhares 32 4 2" xfId="22442" xr:uid="{3365EC55-20CE-4FDE-B6DC-B01B796C296D}"/>
    <cellStyle name="Separador de milhares 32 4 2 2" xfId="24010" xr:uid="{4E3FAA55-FAF2-4DB3-8A51-6B4424D2E630}"/>
    <cellStyle name="Separador de milhares 32 5" xfId="15959" xr:uid="{45F61B18-45BA-41C6-B2F4-E0D99DC1450B}"/>
    <cellStyle name="Separador de milhares 32 5 2" xfId="23069" xr:uid="{349C518E-79E9-4CF6-8907-029964A40878}"/>
    <cellStyle name="Separador de milhares 4" xfId="4263" xr:uid="{00000000-0005-0000-0000-0000E42F0000}"/>
    <cellStyle name="Separador de milhares 4 10" xfId="15960" xr:uid="{E2C69D91-D6E2-415F-929E-362A8B5B7179}"/>
    <cellStyle name="Separador de milhares 4 10 2" xfId="23070" xr:uid="{8D1689F4-2355-4963-9286-CA4CFB3C2683}"/>
    <cellStyle name="Separador de milhares 4 2" xfId="4264" xr:uid="{00000000-0005-0000-0000-0000E52F0000}"/>
    <cellStyle name="Separador de milhares 4 2 2" xfId="4265" xr:uid="{00000000-0005-0000-0000-0000E62F0000}"/>
    <cellStyle name="Separador de milhares 4 2 2 2" xfId="4266" xr:uid="{00000000-0005-0000-0000-0000E72F0000}"/>
    <cellStyle name="Separador de milhares 4 2 2 2 2" xfId="8892" xr:uid="{00000000-0005-0000-0000-0000E82F0000}"/>
    <cellStyle name="Separador de milhares 4 2 2 2 2 2" xfId="17700" xr:uid="{C1D06C68-2ACF-4D9D-9A71-B10CA8E0BC62}"/>
    <cellStyle name="Separador de milhares 4 2 2 2 2 2 2" xfId="23366" xr:uid="{06BF2760-EFD4-4B75-8B8D-6B63347AF522}"/>
    <cellStyle name="Separador de milhares 4 2 2 2 3" xfId="12102" xr:uid="{00000000-0005-0000-0000-0000E92F0000}"/>
    <cellStyle name="Separador de milhares 4 2 2 2 3 2" xfId="20845" xr:uid="{FF0310E4-7D9E-4755-8AE0-B3BD398F1004}"/>
    <cellStyle name="Separador de milhares 4 2 2 2 3 2 2" xfId="23741" xr:uid="{F158DDC4-4C41-4DD9-93B8-07E2B53DAEC3}"/>
    <cellStyle name="Separador de milhares 4 2 2 2 4" xfId="13710" xr:uid="{00000000-0005-0000-0000-0000EA2F0000}"/>
    <cellStyle name="Separador de milhares 4 2 2 2 4 2" xfId="22446" xr:uid="{554931BF-84BF-4199-9039-53817DB8F595}"/>
    <cellStyle name="Separador de milhares 4 2 2 2 4 2 2" xfId="24014" xr:uid="{EAA3F069-1EDB-4A69-9358-D51A8840DD72}"/>
    <cellStyle name="Separador de milhares 4 2 2 2 5" xfId="15963" xr:uid="{14C4A420-C658-495E-A01C-8C1DF3F6BA1B}"/>
    <cellStyle name="Separador de milhares 4 2 2 2 5 2" xfId="23073" xr:uid="{FE7C03C2-86AD-4270-A175-49B73BBD5197}"/>
    <cellStyle name="Separador de milhares 4 2 2 3" xfId="8891" xr:uid="{00000000-0005-0000-0000-0000EB2F0000}"/>
    <cellStyle name="Separador de milhares 4 2 2 3 2" xfId="17699" xr:uid="{96A08895-50EE-4EF8-BFF4-2BE1DEE4CD9F}"/>
    <cellStyle name="Separador de milhares 4 2 2 3 2 2" xfId="23365" xr:uid="{5CC90A8D-B9B0-4DB3-BEC9-44FBE30DE272}"/>
    <cellStyle name="Separador de milhares 4 2 2 4" xfId="12101" xr:uid="{00000000-0005-0000-0000-0000EC2F0000}"/>
    <cellStyle name="Separador de milhares 4 2 2 4 2" xfId="20844" xr:uid="{7DD2EC6B-A438-470F-93FB-FB47191415A3}"/>
    <cellStyle name="Separador de milhares 4 2 2 4 2 2" xfId="23740" xr:uid="{E6D69454-873A-47D4-AF4E-5D051676D62F}"/>
    <cellStyle name="Separador de milhares 4 2 2 5" xfId="13709" xr:uid="{00000000-0005-0000-0000-0000ED2F0000}"/>
    <cellStyle name="Separador de milhares 4 2 2 5 2" xfId="22445" xr:uid="{F35B4404-BA1D-4335-ADB3-B6684B53E2DD}"/>
    <cellStyle name="Separador de milhares 4 2 2 5 2 2" xfId="24013" xr:uid="{0CA7105C-37AD-4563-AE49-C2211FD58F79}"/>
    <cellStyle name="Separador de milhares 4 2 2 6" xfId="15962" xr:uid="{6E87C2C0-71C4-4B51-8DCA-1C27B7B83F92}"/>
    <cellStyle name="Separador de milhares 4 2 2 6 2" xfId="23072" xr:uid="{CF37A6B0-EDD1-47E8-BCF9-12F6864536EA}"/>
    <cellStyle name="Separador de milhares 4 2 3" xfId="4267" xr:uid="{00000000-0005-0000-0000-0000EE2F0000}"/>
    <cellStyle name="Separador de milhares 4 2 3 2" xfId="8893" xr:uid="{00000000-0005-0000-0000-0000EF2F0000}"/>
    <cellStyle name="Separador de milhares 4 2 3 2 2" xfId="17701" xr:uid="{B17EC438-6106-44C1-B64F-0F962D2F122E}"/>
    <cellStyle name="Separador de milhares 4 2 3 2 2 2" xfId="23367" xr:uid="{92B91ED8-D8DA-42BC-979F-001A989985D0}"/>
    <cellStyle name="Separador de milhares 4 2 3 3" xfId="12103" xr:uid="{00000000-0005-0000-0000-0000F02F0000}"/>
    <cellStyle name="Separador de milhares 4 2 3 3 2" xfId="20846" xr:uid="{E2BBEF14-986A-4AD2-9151-6D40F1E8DF5F}"/>
    <cellStyle name="Separador de milhares 4 2 3 3 2 2" xfId="23742" xr:uid="{4F99A778-0A1A-4962-8204-BE9B54752510}"/>
    <cellStyle name="Separador de milhares 4 2 3 4" xfId="13711" xr:uid="{00000000-0005-0000-0000-0000F12F0000}"/>
    <cellStyle name="Separador de milhares 4 2 3 4 2" xfId="22447" xr:uid="{A3DD1F53-C98C-48F9-BBFA-35F59928B525}"/>
    <cellStyle name="Separador de milhares 4 2 3 4 2 2" xfId="24015" xr:uid="{A5B0B0E7-BFE0-4A32-A493-B8A6A790EB32}"/>
    <cellStyle name="Separador de milhares 4 2 3 5" xfId="15964" xr:uid="{61F023D6-A74C-4205-9674-041790281299}"/>
    <cellStyle name="Separador de milhares 4 2 3 5 2" xfId="23074" xr:uid="{DE2FFA5F-C958-4D8D-8E43-551581A5E3D1}"/>
    <cellStyle name="Separador de milhares 4 2 4" xfId="7393" xr:uid="{00000000-0005-0000-0000-0000F22F0000}"/>
    <cellStyle name="Separador de milhares 4 2 4 2" xfId="16221" xr:uid="{FF4D82F9-6F1A-4D78-B9DC-A50A0595A09A}"/>
    <cellStyle name="Separador de milhares 4 2 4 2 2" xfId="23206" xr:uid="{DEDD1EF4-B089-40E5-8D8B-D300EB8CBED7}"/>
    <cellStyle name="Separador de milhares 4 2 5" xfId="8890" xr:uid="{00000000-0005-0000-0000-0000F32F0000}"/>
    <cellStyle name="Separador de milhares 4 2 5 2" xfId="17698" xr:uid="{E5A6A106-8238-4F0A-8601-6C6A9450F30D}"/>
    <cellStyle name="Separador de milhares 4 2 5 2 2" xfId="23364" xr:uid="{E4CABA79-0460-4A1F-A25C-8E06330FF9BB}"/>
    <cellStyle name="Separador de milhares 4 2 6" xfId="12100" xr:uid="{00000000-0005-0000-0000-0000F42F0000}"/>
    <cellStyle name="Separador de milhares 4 2 6 2" xfId="20843" xr:uid="{2910FE02-4600-4BB7-861E-A60E9626E662}"/>
    <cellStyle name="Separador de milhares 4 2 6 2 2" xfId="23739" xr:uid="{E6AEE0AE-9503-482E-962B-9712DADF692F}"/>
    <cellStyle name="Separador de milhares 4 2 7" xfId="13708" xr:uid="{00000000-0005-0000-0000-0000F52F0000}"/>
    <cellStyle name="Separador de milhares 4 2 7 2" xfId="22444" xr:uid="{494A12E0-08DC-440E-B030-6D330758F751}"/>
    <cellStyle name="Separador de milhares 4 2 7 2 2" xfId="24012" xr:uid="{00603A75-E82D-432D-A376-6C56338F935A}"/>
    <cellStyle name="Separador de milhares 4 2 8" xfId="14785" xr:uid="{AEB47F77-E85D-4550-B4C4-5E8A465E7037}"/>
    <cellStyle name="Separador de milhares 4 2 8 2" xfId="22938" xr:uid="{6727134E-BBF1-444B-AA3A-31305F74A6CB}"/>
    <cellStyle name="Separador de milhares 4 2 9" xfId="15961" xr:uid="{8ACF5A26-F1FC-4BC5-B1CE-ECC65F9F331B}"/>
    <cellStyle name="Separador de milhares 4 2 9 2" xfId="23071" xr:uid="{8D9E6F00-92F0-45C7-9CA4-F109F7EEC497}"/>
    <cellStyle name="Separador de milhares 4 3" xfId="4268" xr:uid="{00000000-0005-0000-0000-0000F62F0000}"/>
    <cellStyle name="Separador de milhares 4 3 2" xfId="8894" xr:uid="{00000000-0005-0000-0000-0000F72F0000}"/>
    <cellStyle name="Separador de milhares 4 3 2 2" xfId="17702" xr:uid="{1A4B55D3-E82B-43EC-91CD-A6C2C004C711}"/>
    <cellStyle name="Separador de milhares 4 3 2 2 2" xfId="23368" xr:uid="{ED27C2B8-70BA-45FC-8D4C-C4CA978CC69F}"/>
    <cellStyle name="Separador de milhares 4 3 3" xfId="12104" xr:uid="{00000000-0005-0000-0000-0000F82F0000}"/>
    <cellStyle name="Separador de milhares 4 3 3 2" xfId="20847" xr:uid="{B83BF3BE-40A7-4382-8805-C48139583A6E}"/>
    <cellStyle name="Separador de milhares 4 3 3 2 2" xfId="23743" xr:uid="{66C1F5AC-6598-4AD8-8A15-7090206266EB}"/>
    <cellStyle name="Separador de milhares 4 3 4" xfId="13712" xr:uid="{00000000-0005-0000-0000-0000F92F0000}"/>
    <cellStyle name="Separador de milhares 4 3 4 2" xfId="22448" xr:uid="{C237407E-7C26-4398-9555-5524B59CA355}"/>
    <cellStyle name="Separador de milhares 4 3 4 2 2" xfId="24016" xr:uid="{14148597-ABF4-4EA3-8F56-E4AE2563E9BF}"/>
    <cellStyle name="Separador de milhares 4 3 5" xfId="15965" xr:uid="{F6E49D60-99F8-4524-906A-A9FD975FF81B}"/>
    <cellStyle name="Separador de milhares 4 3 5 2" xfId="23075" xr:uid="{685956A6-AD73-4365-A822-C13718E7E5AF}"/>
    <cellStyle name="Separador de milhares 4 4" xfId="4269" xr:uid="{00000000-0005-0000-0000-0000FA2F0000}"/>
    <cellStyle name="Separador de milhares 4 4 2" xfId="8895" xr:uid="{00000000-0005-0000-0000-0000FB2F0000}"/>
    <cellStyle name="Separador de milhares 4 4 2 2" xfId="17703" xr:uid="{B8F73815-0C8B-4F62-AA6D-2865ED148D3D}"/>
    <cellStyle name="Separador de milhares 4 4 2 2 2" xfId="23369" xr:uid="{0FC13013-51E1-43BD-B146-37E9FCF8E3A5}"/>
    <cellStyle name="Separador de milhares 4 4 3" xfId="12105" xr:uid="{00000000-0005-0000-0000-0000FC2F0000}"/>
    <cellStyle name="Separador de milhares 4 4 3 2" xfId="20848" xr:uid="{45D4E1C9-A712-49F1-B6FA-672185C6E5BE}"/>
    <cellStyle name="Separador de milhares 4 4 3 2 2" xfId="23744" xr:uid="{76D49A48-FDBA-4C71-87D1-2D8C00355263}"/>
    <cellStyle name="Separador de milhares 4 4 4" xfId="13713" xr:uid="{00000000-0005-0000-0000-0000FD2F0000}"/>
    <cellStyle name="Separador de milhares 4 4 4 2" xfId="22449" xr:uid="{31148968-D71A-4192-A060-BFB95827F2F7}"/>
    <cellStyle name="Separador de milhares 4 4 4 2 2" xfId="24017" xr:uid="{FC1CD222-CF8C-498C-9BB1-5022917BF48D}"/>
    <cellStyle name="Separador de milhares 4 4 5" xfId="15966" xr:uid="{9C227870-2FC1-4A95-8D69-24979D3FCFB7}"/>
    <cellStyle name="Separador de milhares 4 4 5 2" xfId="23076" xr:uid="{FDA403C9-7A99-4A69-8465-E58E8DEBCB60}"/>
    <cellStyle name="Separador de milhares 4 5" xfId="4270" xr:uid="{00000000-0005-0000-0000-0000FE2F0000}"/>
    <cellStyle name="Separador de milhares 4 5 2" xfId="8896" xr:uid="{00000000-0005-0000-0000-0000FF2F0000}"/>
    <cellStyle name="Separador de milhares 4 5 2 2" xfId="17704" xr:uid="{2F24001F-8EEB-4E14-AEA7-6A5F8D16F171}"/>
    <cellStyle name="Separador de milhares 4 5 2 2 2" xfId="23370" xr:uid="{084BB4A1-2DF6-4057-BA8B-E2FD5F0838B7}"/>
    <cellStyle name="Separador de milhares 4 5 3" xfId="12106" xr:uid="{00000000-0005-0000-0000-000000300000}"/>
    <cellStyle name="Separador de milhares 4 5 3 2" xfId="20849" xr:uid="{1B452E01-14DB-4E18-BC46-0B72FA13CB04}"/>
    <cellStyle name="Separador de milhares 4 5 3 2 2" xfId="23745" xr:uid="{742C0B39-752F-460C-9D30-69205541EBCE}"/>
    <cellStyle name="Separador de milhares 4 5 4" xfId="13714" xr:uid="{00000000-0005-0000-0000-000001300000}"/>
    <cellStyle name="Separador de milhares 4 5 4 2" xfId="22450" xr:uid="{9CDA06ED-ABBA-4A78-9812-11C66851C733}"/>
    <cellStyle name="Separador de milhares 4 5 4 2 2" xfId="24018" xr:uid="{A5F28A42-DC80-4E38-BC1D-AEAA5C794DBC}"/>
    <cellStyle name="Separador de milhares 4 5 5" xfId="15967" xr:uid="{1EC80861-65A0-4904-BEEE-31C3D06BBC5A}"/>
    <cellStyle name="Separador de milhares 4 5 5 2" xfId="23077" xr:uid="{A954664D-9936-441C-AF39-0F186BCA6EA0}"/>
    <cellStyle name="Separador de milhares 4 6" xfId="8889" xr:uid="{00000000-0005-0000-0000-000002300000}"/>
    <cellStyle name="Separador de milhares 4 6 2" xfId="17697" xr:uid="{70C72E35-D04C-41FF-A2B8-84FBACAA9446}"/>
    <cellStyle name="Separador de milhares 4 6 2 2" xfId="23363" xr:uid="{4B68C13D-492E-4F09-9A0E-B2A7BE956BF1}"/>
    <cellStyle name="Separador de milhares 4 7" xfId="12099" xr:uid="{00000000-0005-0000-0000-000003300000}"/>
    <cellStyle name="Separador de milhares 4 7 2" xfId="20842" xr:uid="{6FD584C4-D704-4798-9B58-C809D7DE629A}"/>
    <cellStyle name="Separador de milhares 4 7 2 2" xfId="23738" xr:uid="{D04F35F2-CB6E-49B9-97E3-323D5CAACD63}"/>
    <cellStyle name="Separador de milhares 4 8" xfId="13707" xr:uid="{00000000-0005-0000-0000-000004300000}"/>
    <cellStyle name="Separador de milhares 4 8 2" xfId="22443" xr:uid="{5D568060-DA6D-4465-B65F-1061D3918654}"/>
    <cellStyle name="Separador de milhares 4 8 2 2" xfId="24011" xr:uid="{04B68956-4169-4504-96A6-7ECD49D4635D}"/>
    <cellStyle name="Separador de milhares 4 9" xfId="13973" xr:uid="{97E94DDA-4ABE-410F-8BEB-2D9508129A0A}"/>
    <cellStyle name="Separador de milhares 4 9 2" xfId="22878" xr:uid="{BA673037-B179-489B-A954-381F80A58A82}"/>
    <cellStyle name="Separador de milhares 5" xfId="4271" xr:uid="{00000000-0005-0000-0000-000005300000}"/>
    <cellStyle name="Separador de milhares 5 10" xfId="4272" xr:uid="{00000000-0005-0000-0000-000006300000}"/>
    <cellStyle name="Separador de milhares 5 10 2" xfId="8898" xr:uid="{00000000-0005-0000-0000-000007300000}"/>
    <cellStyle name="Separador de milhares 5 10 2 2" xfId="17706" xr:uid="{C20E2332-B52A-416E-B277-A6DECA45DFCC}"/>
    <cellStyle name="Separador de milhares 5 10 2 2 2" xfId="23372" xr:uid="{5A21CCC1-3D6E-4574-8C40-B650FF016C2A}"/>
    <cellStyle name="Separador de milhares 5 10 3" xfId="12108" xr:uid="{00000000-0005-0000-0000-000008300000}"/>
    <cellStyle name="Separador de milhares 5 10 3 2" xfId="20851" xr:uid="{F53AF595-25E3-454B-898F-84F4148A7FAF}"/>
    <cellStyle name="Separador de milhares 5 10 3 2 2" xfId="23747" xr:uid="{B9CF6062-49A9-4485-B45D-441EF1D68760}"/>
    <cellStyle name="Separador de milhares 5 10 4" xfId="13716" xr:uid="{00000000-0005-0000-0000-000009300000}"/>
    <cellStyle name="Separador de milhares 5 10 4 2" xfId="22452" xr:uid="{DF03916C-237F-4AFA-ADEB-E20BC149B877}"/>
    <cellStyle name="Separador de milhares 5 10 4 2 2" xfId="24020" xr:uid="{A1DA577B-4E3B-47B9-9128-D05BEA98803B}"/>
    <cellStyle name="Separador de milhares 5 10 5" xfId="15969" xr:uid="{6365016F-699B-4829-AC68-46A6BF791255}"/>
    <cellStyle name="Separador de milhares 5 10 5 2" xfId="23079" xr:uid="{284FFA44-FD40-49A9-893F-E383698F1F50}"/>
    <cellStyle name="Separador de milhares 5 11" xfId="4273" xr:uid="{00000000-0005-0000-0000-00000A300000}"/>
    <cellStyle name="Separador de milhares 5 11 2" xfId="8899" xr:uid="{00000000-0005-0000-0000-00000B300000}"/>
    <cellStyle name="Separador de milhares 5 11 2 2" xfId="17707" xr:uid="{2687D566-7A90-41CA-87F5-3568520FCE58}"/>
    <cellStyle name="Separador de milhares 5 11 2 2 2" xfId="23373" xr:uid="{E1520FA5-84A5-4640-B734-DB736DE7F2E6}"/>
    <cellStyle name="Separador de milhares 5 11 3" xfId="12109" xr:uid="{00000000-0005-0000-0000-00000C300000}"/>
    <cellStyle name="Separador de milhares 5 11 3 2" xfId="20852" xr:uid="{01F9F890-868F-4F12-B88E-B203F1928597}"/>
    <cellStyle name="Separador de milhares 5 11 3 2 2" xfId="23748" xr:uid="{F070D789-E539-466B-959E-801D0F11AA72}"/>
    <cellStyle name="Separador de milhares 5 11 4" xfId="13717" xr:uid="{00000000-0005-0000-0000-00000D300000}"/>
    <cellStyle name="Separador de milhares 5 11 4 2" xfId="22453" xr:uid="{369F912A-3C69-4785-8945-52EC256FBE05}"/>
    <cellStyle name="Separador de milhares 5 11 4 2 2" xfId="24021" xr:uid="{E50AC9F2-6B6B-4601-B1E6-FCF5A1908D3B}"/>
    <cellStyle name="Separador de milhares 5 11 5" xfId="15970" xr:uid="{EB4D4E62-58B2-4AB6-8F23-5208E192CD57}"/>
    <cellStyle name="Separador de milhares 5 11 5 2" xfId="23080" xr:uid="{484F8E2C-5BFA-4875-BA6B-FCFDF4FF603D}"/>
    <cellStyle name="Separador de milhares 5 12" xfId="4274" xr:uid="{00000000-0005-0000-0000-00000E300000}"/>
    <cellStyle name="Separador de milhares 5 12 2" xfId="8900" xr:uid="{00000000-0005-0000-0000-00000F300000}"/>
    <cellStyle name="Separador de milhares 5 12 2 2" xfId="17708" xr:uid="{E27B179A-DF1B-45F9-8B4F-5D9710B5C1D6}"/>
    <cellStyle name="Separador de milhares 5 12 2 2 2" xfId="23374" xr:uid="{C5D0ABC3-05B6-4A11-984B-D612E78EE8E2}"/>
    <cellStyle name="Separador de milhares 5 12 3" xfId="12110" xr:uid="{00000000-0005-0000-0000-000010300000}"/>
    <cellStyle name="Separador de milhares 5 12 3 2" xfId="20853" xr:uid="{630AF311-C11D-468B-BEA9-C8F18B58AA2B}"/>
    <cellStyle name="Separador de milhares 5 12 3 2 2" xfId="23749" xr:uid="{B74AE24B-6614-4431-9718-CF5C8A6744DB}"/>
    <cellStyle name="Separador de milhares 5 12 4" xfId="13718" xr:uid="{00000000-0005-0000-0000-000011300000}"/>
    <cellStyle name="Separador de milhares 5 12 4 2" xfId="22454" xr:uid="{69D48388-76B1-47E5-A3DA-9F01A090A428}"/>
    <cellStyle name="Separador de milhares 5 12 4 2 2" xfId="24022" xr:uid="{3E328554-E1A6-4B07-93C0-04C320FF5C0F}"/>
    <cellStyle name="Separador de milhares 5 12 5" xfId="15971" xr:uid="{94A11401-2A5C-4154-A928-690E12FF9900}"/>
    <cellStyle name="Separador de milhares 5 12 5 2" xfId="23081" xr:uid="{336E9944-8BEA-4A1E-B75C-AE5B591FB36D}"/>
    <cellStyle name="Separador de milhares 5 13" xfId="4275" xr:uid="{00000000-0005-0000-0000-000012300000}"/>
    <cellStyle name="Separador de milhares 5 13 2" xfId="8901" xr:uid="{00000000-0005-0000-0000-000013300000}"/>
    <cellStyle name="Separador de milhares 5 13 2 2" xfId="17709" xr:uid="{18AED3F5-C9E5-4B21-8226-A130543845B3}"/>
    <cellStyle name="Separador de milhares 5 13 2 2 2" xfId="23375" xr:uid="{E9002D04-67CF-48E1-92B1-873C16E2A086}"/>
    <cellStyle name="Separador de milhares 5 13 3" xfId="12111" xr:uid="{00000000-0005-0000-0000-000014300000}"/>
    <cellStyle name="Separador de milhares 5 13 3 2" xfId="20854" xr:uid="{9D4DCB79-1C69-43B7-8869-77BAFED60F44}"/>
    <cellStyle name="Separador de milhares 5 13 3 2 2" xfId="23750" xr:uid="{A887A96B-000B-4170-B6A8-C736A50DF164}"/>
    <cellStyle name="Separador de milhares 5 13 4" xfId="13719" xr:uid="{00000000-0005-0000-0000-000015300000}"/>
    <cellStyle name="Separador de milhares 5 13 4 2" xfId="22455" xr:uid="{701674A9-575F-4B11-ABA7-DAC906D6B9CD}"/>
    <cellStyle name="Separador de milhares 5 13 4 2 2" xfId="24023" xr:uid="{58B1D012-D02D-4E75-8B74-7491871DF1BE}"/>
    <cellStyle name="Separador de milhares 5 13 5" xfId="15972" xr:uid="{45B57CF0-F66F-41A5-A613-4D0F279B23FA}"/>
    <cellStyle name="Separador de milhares 5 13 5 2" xfId="23082" xr:uid="{E6A75624-EEEB-4849-99DB-1503523AE826}"/>
    <cellStyle name="Separador de milhares 5 14" xfId="8897" xr:uid="{00000000-0005-0000-0000-000016300000}"/>
    <cellStyle name="Separador de milhares 5 14 2" xfId="17705" xr:uid="{38A392D7-0C68-4390-8B71-31BB4D5B6EE3}"/>
    <cellStyle name="Separador de milhares 5 14 2 2" xfId="23371" xr:uid="{677D454B-EB21-43DA-8DE7-869A14CE27CC}"/>
    <cellStyle name="Separador de milhares 5 15" xfId="12107" xr:uid="{00000000-0005-0000-0000-000017300000}"/>
    <cellStyle name="Separador de milhares 5 15 2" xfId="20850" xr:uid="{3EA3D495-9E96-4850-8893-9F2CF83B1D85}"/>
    <cellStyle name="Separador de milhares 5 15 2 2" xfId="23746" xr:uid="{D7382A77-F4D8-4962-A47F-A897F263B090}"/>
    <cellStyle name="Separador de milhares 5 16" xfId="13715" xr:uid="{00000000-0005-0000-0000-000018300000}"/>
    <cellStyle name="Separador de milhares 5 16 2" xfId="22451" xr:uid="{F2F7437D-2565-49E9-A4C2-00D6872262DB}"/>
    <cellStyle name="Separador de milhares 5 16 2 2" xfId="24019" xr:uid="{344D72A4-7986-4C5A-A63D-48A616FDDE9C}"/>
    <cellStyle name="Separador de milhares 5 17" xfId="13974" xr:uid="{3354C10B-048A-4F2F-980D-CC3190EA06F1}"/>
    <cellStyle name="Separador de milhares 5 17 2" xfId="22879" xr:uid="{A8CA26B7-0A3E-4A04-A508-CDBD0F8D0CF4}"/>
    <cellStyle name="Separador de milhares 5 18" xfId="15968" xr:uid="{F2472BC3-5164-420C-9BE7-0A2B74A26D1D}"/>
    <cellStyle name="Separador de milhares 5 18 2" xfId="23078" xr:uid="{268C4D44-4F4B-485A-BA73-DB440054035C}"/>
    <cellStyle name="Separador de milhares 5 2" xfId="4276" xr:uid="{00000000-0005-0000-0000-000019300000}"/>
    <cellStyle name="Separador de milhares 5 2 10" xfId="15973" xr:uid="{C9274FDF-9C3E-4F6F-B50A-1DAE2694E066}"/>
    <cellStyle name="Separador de milhares 5 2 10 2" xfId="23083" xr:uid="{6E006F1F-18E0-48DB-B934-D38406C6126A}"/>
    <cellStyle name="Separador de milhares 5 2 2" xfId="4277" xr:uid="{00000000-0005-0000-0000-00001A300000}"/>
    <cellStyle name="Separador de milhares 5 2 2 2" xfId="8903" xr:uid="{00000000-0005-0000-0000-00001B300000}"/>
    <cellStyle name="Separador de milhares 5 2 2 2 2" xfId="17711" xr:uid="{5FFAFA9E-D137-4BF3-8D4A-6298ADA7293B}"/>
    <cellStyle name="Separador de milhares 5 2 2 2 2 2" xfId="23377" xr:uid="{2DD81720-2B9E-4BE9-A2CC-660D3E6A0F4F}"/>
    <cellStyle name="Separador de milhares 5 2 2 3" xfId="12113" xr:uid="{00000000-0005-0000-0000-00001C300000}"/>
    <cellStyle name="Separador de milhares 5 2 2 3 2" xfId="20856" xr:uid="{5EE1D4B9-EFF6-4C16-8A5D-1DA3F46F3FFB}"/>
    <cellStyle name="Separador de milhares 5 2 2 3 2 2" xfId="23752" xr:uid="{29A5DE27-BC7B-4099-A771-7D0402F6212D}"/>
    <cellStyle name="Separador de milhares 5 2 2 4" xfId="13721" xr:uid="{00000000-0005-0000-0000-00001D300000}"/>
    <cellStyle name="Separador de milhares 5 2 2 4 2" xfId="22457" xr:uid="{0AED1E2C-A8D4-435C-BE86-356B561D09C2}"/>
    <cellStyle name="Separador de milhares 5 2 2 4 2 2" xfId="24025" xr:uid="{D108C8ED-A8F1-4573-ADB1-4D498646E203}"/>
    <cellStyle name="Separador de milhares 5 2 2 5" xfId="15974" xr:uid="{8A89113D-32C8-4516-9A9F-EC87AEE5AB35}"/>
    <cellStyle name="Separador de milhares 5 2 2 5 2" xfId="23084" xr:uid="{BA5D773F-32D0-4C81-985A-FFFBD0F3EAF0}"/>
    <cellStyle name="Separador de milhares 5 2 3" xfId="4278" xr:uid="{00000000-0005-0000-0000-00001E300000}"/>
    <cellStyle name="Separador de milhares 5 2 3 2" xfId="8904" xr:uid="{00000000-0005-0000-0000-00001F300000}"/>
    <cellStyle name="Separador de milhares 5 2 3 2 2" xfId="17712" xr:uid="{D4111961-453B-4D4D-B2AA-AB63DE2713D7}"/>
    <cellStyle name="Separador de milhares 5 2 3 2 2 2" xfId="23378" xr:uid="{5CDDF770-2D55-4FB9-87D6-4D382C268422}"/>
    <cellStyle name="Separador de milhares 5 2 3 3" xfId="12114" xr:uid="{00000000-0005-0000-0000-000020300000}"/>
    <cellStyle name="Separador de milhares 5 2 3 3 2" xfId="20857" xr:uid="{37307F6B-A471-4FA0-A13A-DB6FCEB6FC78}"/>
    <cellStyle name="Separador de milhares 5 2 3 3 2 2" xfId="23753" xr:uid="{08F42838-373B-4B5B-8B5A-43AE55D0C6FB}"/>
    <cellStyle name="Separador de milhares 5 2 3 4" xfId="13722" xr:uid="{00000000-0005-0000-0000-000021300000}"/>
    <cellStyle name="Separador de milhares 5 2 3 4 2" xfId="22458" xr:uid="{9EF8F494-B20C-42C5-AE08-0CD2BACD20E4}"/>
    <cellStyle name="Separador de milhares 5 2 3 4 2 2" xfId="24026" xr:uid="{136394F4-B09E-4AAF-ACD5-3689C5192357}"/>
    <cellStyle name="Separador de milhares 5 2 3 5" xfId="15975" xr:uid="{DCF3AF76-DD73-4B91-B267-E450EE6527ED}"/>
    <cellStyle name="Separador de milhares 5 2 3 5 2" xfId="23085" xr:uid="{3668D910-D39B-4DFE-89EA-6C94FA778F78}"/>
    <cellStyle name="Separador de milhares 5 2 4" xfId="4279" xr:uid="{00000000-0005-0000-0000-000022300000}"/>
    <cellStyle name="Separador de milhares 5 2 4 2" xfId="4280" xr:uid="{00000000-0005-0000-0000-000023300000}"/>
    <cellStyle name="Separador de milhares 5 2 4 2 2" xfId="8906" xr:uid="{00000000-0005-0000-0000-000024300000}"/>
    <cellStyle name="Separador de milhares 5 2 4 2 2 2" xfId="17714" xr:uid="{879A97A5-7799-441B-AB3A-DC8D65F43C8E}"/>
    <cellStyle name="Separador de milhares 5 2 4 2 2 2 2" xfId="23380" xr:uid="{354E5F30-F554-4812-B085-746F0D5A6AB0}"/>
    <cellStyle name="Separador de milhares 5 2 4 2 3" xfId="12116" xr:uid="{00000000-0005-0000-0000-000025300000}"/>
    <cellStyle name="Separador de milhares 5 2 4 2 3 2" xfId="20859" xr:uid="{B03410E5-B39D-4BB8-A131-487CAE07B901}"/>
    <cellStyle name="Separador de milhares 5 2 4 2 3 2 2" xfId="23755" xr:uid="{4FB86E43-E1BE-4C78-9513-EFEE4575BA16}"/>
    <cellStyle name="Separador de milhares 5 2 4 2 4" xfId="13724" xr:uid="{00000000-0005-0000-0000-000026300000}"/>
    <cellStyle name="Separador de milhares 5 2 4 2 4 2" xfId="22460" xr:uid="{2E111E18-9500-4C71-91DD-CB00BA18234F}"/>
    <cellStyle name="Separador de milhares 5 2 4 2 4 2 2" xfId="24028" xr:uid="{E856728D-447A-4E26-8287-5A0CED4034B1}"/>
    <cellStyle name="Separador de milhares 5 2 4 2 5" xfId="15977" xr:uid="{BB25D5BC-E04A-4146-A50C-56E7D695B4A0}"/>
    <cellStyle name="Separador de milhares 5 2 4 2 5 2" xfId="23087" xr:uid="{AADF5928-86A0-4796-A78A-DFDF31F3A79E}"/>
    <cellStyle name="Separador de milhares 5 2 4 3" xfId="4281" xr:uid="{00000000-0005-0000-0000-000027300000}"/>
    <cellStyle name="Separador de milhares 5 2 4 3 2" xfId="8907" xr:uid="{00000000-0005-0000-0000-000028300000}"/>
    <cellStyle name="Separador de milhares 5 2 4 3 2 2" xfId="17715" xr:uid="{173876D4-04F0-4FCF-995A-EFED593F55D5}"/>
    <cellStyle name="Separador de milhares 5 2 4 3 2 2 2" xfId="23381" xr:uid="{9A0BBCAA-F0E4-4003-B762-7A775FF8EAC2}"/>
    <cellStyle name="Separador de milhares 5 2 4 3 3" xfId="12117" xr:uid="{00000000-0005-0000-0000-000029300000}"/>
    <cellStyle name="Separador de milhares 5 2 4 3 3 2" xfId="20860" xr:uid="{03F598D7-5373-4038-BBB4-EE4C34E39FA4}"/>
    <cellStyle name="Separador de milhares 5 2 4 3 3 2 2" xfId="23756" xr:uid="{445EA022-E3AB-4230-8AB8-012472A20603}"/>
    <cellStyle name="Separador de milhares 5 2 4 3 4" xfId="13725" xr:uid="{00000000-0005-0000-0000-00002A300000}"/>
    <cellStyle name="Separador de milhares 5 2 4 3 4 2" xfId="22461" xr:uid="{4CEE86CF-202A-4F03-9FD7-01027CF7F101}"/>
    <cellStyle name="Separador de milhares 5 2 4 3 4 2 2" xfId="24029" xr:uid="{12BB7805-D429-4646-AD44-BA80ABF0BE7F}"/>
    <cellStyle name="Separador de milhares 5 2 4 3 5" xfId="15978" xr:uid="{591CA94F-EF0D-4D8A-9EA7-367115F805F1}"/>
    <cellStyle name="Separador de milhares 5 2 4 3 5 2" xfId="23088" xr:uid="{E14ECC21-9C89-4C70-BBB4-556B8CB20533}"/>
    <cellStyle name="Separador de milhares 5 2 4 4" xfId="4282" xr:uid="{00000000-0005-0000-0000-00002B300000}"/>
    <cellStyle name="Separador de milhares 5 2 4 4 2" xfId="8908" xr:uid="{00000000-0005-0000-0000-00002C300000}"/>
    <cellStyle name="Separador de milhares 5 2 4 4 2 2" xfId="17716" xr:uid="{ED893FF4-1C7A-4B13-B5A4-3904A678EE3D}"/>
    <cellStyle name="Separador de milhares 5 2 4 4 2 2 2" xfId="23382" xr:uid="{B86ABEC4-CE15-48E7-8249-A08BB295E6C8}"/>
    <cellStyle name="Separador de milhares 5 2 4 4 3" xfId="12118" xr:uid="{00000000-0005-0000-0000-00002D300000}"/>
    <cellStyle name="Separador de milhares 5 2 4 4 3 2" xfId="20861" xr:uid="{CB7D919C-6564-4FED-9592-4A4C45CE2E56}"/>
    <cellStyle name="Separador de milhares 5 2 4 4 3 2 2" xfId="23757" xr:uid="{64BF8349-49BE-4A1B-8F96-CF13C28B7E9D}"/>
    <cellStyle name="Separador de milhares 5 2 4 4 4" xfId="13726" xr:uid="{00000000-0005-0000-0000-00002E300000}"/>
    <cellStyle name="Separador de milhares 5 2 4 4 4 2" xfId="22462" xr:uid="{83B13393-E085-43EE-9825-C8F958E247CC}"/>
    <cellStyle name="Separador de milhares 5 2 4 4 4 2 2" xfId="24030" xr:uid="{2AE8E459-0320-49A1-9799-BECF6207EF4E}"/>
    <cellStyle name="Separador de milhares 5 2 4 4 5" xfId="15979" xr:uid="{6946E998-2469-4979-AD07-305FCD78FBE5}"/>
    <cellStyle name="Separador de milhares 5 2 4 4 5 2" xfId="23089" xr:uid="{8A5BED34-DF49-4D60-B67D-B38727117D9C}"/>
    <cellStyle name="Separador de milhares 5 2 4 5" xfId="8905" xr:uid="{00000000-0005-0000-0000-00002F300000}"/>
    <cellStyle name="Separador de milhares 5 2 4 5 2" xfId="17713" xr:uid="{BF40B9E9-7B20-45DE-87DA-2B32BC8024A0}"/>
    <cellStyle name="Separador de milhares 5 2 4 5 2 2" xfId="23379" xr:uid="{6ACE041C-2F96-4897-AE32-6DC2FB121B28}"/>
    <cellStyle name="Separador de milhares 5 2 4 6" xfId="12115" xr:uid="{00000000-0005-0000-0000-000030300000}"/>
    <cellStyle name="Separador de milhares 5 2 4 6 2" xfId="20858" xr:uid="{95621F54-CFDF-4EDB-8E88-1084F167F9B4}"/>
    <cellStyle name="Separador de milhares 5 2 4 6 2 2" xfId="23754" xr:uid="{02F8EFB4-1FCB-4C0C-8304-A14CB32B3AE6}"/>
    <cellStyle name="Separador de milhares 5 2 4 7" xfId="13723" xr:uid="{00000000-0005-0000-0000-000031300000}"/>
    <cellStyle name="Separador de milhares 5 2 4 7 2" xfId="22459" xr:uid="{10D764DE-2A35-41E6-9EB4-55B2A1D50F5F}"/>
    <cellStyle name="Separador de milhares 5 2 4 7 2 2" xfId="24027" xr:uid="{49EF5ED5-CCF1-4841-9110-EE0045A71E8C}"/>
    <cellStyle name="Separador de milhares 5 2 4 8" xfId="15976" xr:uid="{E9D8F8F9-EAF4-45D9-9792-FE8F1BCB7797}"/>
    <cellStyle name="Separador de milhares 5 2 4 8 2" xfId="23086" xr:uid="{6B67B71A-7E79-4D9C-AE07-BE5DD59FB367}"/>
    <cellStyle name="Separador de milhares 5 2 5" xfId="4283" xr:uid="{00000000-0005-0000-0000-000032300000}"/>
    <cellStyle name="Separador de milhares 5 2 5 2" xfId="8909" xr:uid="{00000000-0005-0000-0000-000033300000}"/>
    <cellStyle name="Separador de milhares 5 2 5 2 2" xfId="17717" xr:uid="{CF92DB8A-1457-436A-812C-6ECDC7A61D7E}"/>
    <cellStyle name="Separador de milhares 5 2 5 2 2 2" xfId="23383" xr:uid="{5CC3A1C0-EDB2-4CA9-AA7C-73F4FBAA5A98}"/>
    <cellStyle name="Separador de milhares 5 2 5 3" xfId="12119" xr:uid="{00000000-0005-0000-0000-000034300000}"/>
    <cellStyle name="Separador de milhares 5 2 5 3 2" xfId="20862" xr:uid="{C2C4DFBF-A223-40F6-ACD7-B616065959B6}"/>
    <cellStyle name="Separador de milhares 5 2 5 3 2 2" xfId="23758" xr:uid="{57E58508-CF09-4E2E-AE39-8B53A5929A97}"/>
    <cellStyle name="Separador de milhares 5 2 5 4" xfId="13727" xr:uid="{00000000-0005-0000-0000-000035300000}"/>
    <cellStyle name="Separador de milhares 5 2 5 4 2" xfId="22463" xr:uid="{AF08B05E-B6C7-441C-B9E5-6F88F91713B9}"/>
    <cellStyle name="Separador de milhares 5 2 5 4 2 2" xfId="24031" xr:uid="{CFC5A770-6213-4467-9BD8-FC09140425E8}"/>
    <cellStyle name="Separador de milhares 5 2 5 5" xfId="15980" xr:uid="{6E1165B6-F3F8-4CD5-8C35-B7DDB6F97F87}"/>
    <cellStyle name="Separador de milhares 5 2 5 5 2" xfId="23090" xr:uid="{00019327-4651-4FFE-8495-E35974F4D120}"/>
    <cellStyle name="Separador de milhares 5 2 6" xfId="4284" xr:uid="{00000000-0005-0000-0000-000036300000}"/>
    <cellStyle name="Separador de milhares 5 2 6 2" xfId="8910" xr:uid="{00000000-0005-0000-0000-000037300000}"/>
    <cellStyle name="Separador de milhares 5 2 6 2 2" xfId="17718" xr:uid="{86AB7151-1A94-4DE3-8CC5-D83BA0952727}"/>
    <cellStyle name="Separador de milhares 5 2 6 2 2 2" xfId="23384" xr:uid="{982DFA45-7F57-4136-A728-93E1EADF6263}"/>
    <cellStyle name="Separador de milhares 5 2 6 3" xfId="12120" xr:uid="{00000000-0005-0000-0000-000038300000}"/>
    <cellStyle name="Separador de milhares 5 2 6 3 2" xfId="20863" xr:uid="{F4406C57-04BD-40E7-B215-6D6DFE61DE26}"/>
    <cellStyle name="Separador de milhares 5 2 6 3 2 2" xfId="23759" xr:uid="{DACFE2F1-A486-43EC-8A5E-0ACD6BBEE9D1}"/>
    <cellStyle name="Separador de milhares 5 2 6 4" xfId="13728" xr:uid="{00000000-0005-0000-0000-000039300000}"/>
    <cellStyle name="Separador de milhares 5 2 6 4 2" xfId="22464" xr:uid="{4115B02C-9E65-48A4-820A-E30FF4402D49}"/>
    <cellStyle name="Separador de milhares 5 2 6 4 2 2" xfId="24032" xr:uid="{A96DC08B-ABB2-4268-9348-A3E042FEB1CD}"/>
    <cellStyle name="Separador de milhares 5 2 6 5" xfId="15981" xr:uid="{D67151F6-23E5-4AEB-A298-605B0290FB27}"/>
    <cellStyle name="Separador de milhares 5 2 6 5 2" xfId="23091" xr:uid="{5B0FB026-4D9F-4965-BEAA-9B376C6E6DDA}"/>
    <cellStyle name="Separador de milhares 5 2 7" xfId="8902" xr:uid="{00000000-0005-0000-0000-00003A300000}"/>
    <cellStyle name="Separador de milhares 5 2 7 2" xfId="17710" xr:uid="{605AC410-D866-4F56-B8D7-E3E4608DDC08}"/>
    <cellStyle name="Separador de milhares 5 2 7 2 2" xfId="23376" xr:uid="{1DD6718E-858C-44E9-ADA7-5653DC76CF3C}"/>
    <cellStyle name="Separador de milhares 5 2 8" xfId="12112" xr:uid="{00000000-0005-0000-0000-00003B300000}"/>
    <cellStyle name="Separador de milhares 5 2 8 2" xfId="20855" xr:uid="{BBEA2824-7F24-4930-8585-155E19789D08}"/>
    <cellStyle name="Separador de milhares 5 2 8 2 2" xfId="23751" xr:uid="{2712EBF6-73BA-4AB9-9D8B-6A1284F82423}"/>
    <cellStyle name="Separador de milhares 5 2 9" xfId="13720" xr:uid="{00000000-0005-0000-0000-00003C300000}"/>
    <cellStyle name="Separador de milhares 5 2 9 2" xfId="22456" xr:uid="{943789DC-80EE-45A6-9F81-D0BCBA76BD52}"/>
    <cellStyle name="Separador de milhares 5 2 9 2 2" xfId="24024" xr:uid="{34D1BC77-0336-4142-B706-EBAB4A1561AB}"/>
    <cellStyle name="Separador de milhares 5 3" xfId="4285" xr:uid="{00000000-0005-0000-0000-00003D300000}"/>
    <cellStyle name="Separador de milhares 5 3 2" xfId="4286" xr:uid="{00000000-0005-0000-0000-00003E300000}"/>
    <cellStyle name="Separador de milhares 5 3 2 2" xfId="8912" xr:uid="{00000000-0005-0000-0000-00003F300000}"/>
    <cellStyle name="Separador de milhares 5 3 2 2 2" xfId="17720" xr:uid="{E1465AF9-D0B8-489F-9A06-03B8C50E310F}"/>
    <cellStyle name="Separador de milhares 5 3 2 2 2 2" xfId="23386" xr:uid="{C6A31153-747B-43C1-AA4B-3FD3C208BD94}"/>
    <cellStyle name="Separador de milhares 5 3 2 3" xfId="12122" xr:uid="{00000000-0005-0000-0000-000040300000}"/>
    <cellStyle name="Separador de milhares 5 3 2 3 2" xfId="20865" xr:uid="{92479757-802F-4BA3-BBD4-6C0962459D1B}"/>
    <cellStyle name="Separador de milhares 5 3 2 3 2 2" xfId="23761" xr:uid="{27C7A493-910E-4A14-81C4-F1D0091AD504}"/>
    <cellStyle name="Separador de milhares 5 3 2 4" xfId="13730" xr:uid="{00000000-0005-0000-0000-000041300000}"/>
    <cellStyle name="Separador de milhares 5 3 2 4 2" xfId="22466" xr:uid="{F1F5974B-E38F-4D73-A51F-2D10584108F9}"/>
    <cellStyle name="Separador de milhares 5 3 2 4 2 2" xfId="24034" xr:uid="{B164B552-3F92-4173-BAB1-3A8F1AE0805B}"/>
    <cellStyle name="Separador de milhares 5 3 2 5" xfId="15983" xr:uid="{651D209D-9318-49A7-99D8-78DB23BA7FE6}"/>
    <cellStyle name="Separador de milhares 5 3 2 5 2" xfId="23093" xr:uid="{B6BFF980-73D5-406C-9278-646E74F11194}"/>
    <cellStyle name="Separador de milhares 5 3 3" xfId="8911" xr:uid="{00000000-0005-0000-0000-000042300000}"/>
    <cellStyle name="Separador de milhares 5 3 3 2" xfId="17719" xr:uid="{D6ED2082-B8E6-42B4-B3EE-5855C49A9D80}"/>
    <cellStyle name="Separador de milhares 5 3 3 2 2" xfId="23385" xr:uid="{768A8C3D-0DCE-4F0A-AF41-E5EEA3BC8CF3}"/>
    <cellStyle name="Separador de milhares 5 3 4" xfId="12121" xr:uid="{00000000-0005-0000-0000-000043300000}"/>
    <cellStyle name="Separador de milhares 5 3 4 2" xfId="20864" xr:uid="{6021775B-6E80-4EB4-A554-E18DF4248B10}"/>
    <cellStyle name="Separador de milhares 5 3 4 2 2" xfId="23760" xr:uid="{2ABC62AE-19AD-4FDA-8CB7-D4A0C38AF8C4}"/>
    <cellStyle name="Separador de milhares 5 3 5" xfId="13729" xr:uid="{00000000-0005-0000-0000-000044300000}"/>
    <cellStyle name="Separador de milhares 5 3 5 2" xfId="22465" xr:uid="{4FAB870A-3BD4-4A94-86A2-8A02115BBC54}"/>
    <cellStyle name="Separador de milhares 5 3 5 2 2" xfId="24033" xr:uid="{DF8397BB-60E8-4AD4-B446-82394C0E8F98}"/>
    <cellStyle name="Separador de milhares 5 3 6" xfId="15982" xr:uid="{87E4D539-CA35-4785-BFAE-3085A8D0AF67}"/>
    <cellStyle name="Separador de milhares 5 3 6 2" xfId="23092" xr:uid="{ACB7DF35-47C4-4DE7-9B16-21F9A2D8D535}"/>
    <cellStyle name="Separador de milhares 5 4" xfId="4287" xr:uid="{00000000-0005-0000-0000-000045300000}"/>
    <cellStyle name="Separador de milhares 5 4 2" xfId="4288" xr:uid="{00000000-0005-0000-0000-000046300000}"/>
    <cellStyle name="Separador de milhares 5 4 2 2" xfId="8914" xr:uid="{00000000-0005-0000-0000-000047300000}"/>
    <cellStyle name="Separador de milhares 5 4 2 2 2" xfId="17722" xr:uid="{4B04496B-22D2-44DF-A3ED-7F822746998C}"/>
    <cellStyle name="Separador de milhares 5 4 2 2 2 2" xfId="23388" xr:uid="{03B4EB24-F63F-4CF5-878F-5FDE3CC3ED80}"/>
    <cellStyle name="Separador de milhares 5 4 2 3" xfId="12124" xr:uid="{00000000-0005-0000-0000-000048300000}"/>
    <cellStyle name="Separador de milhares 5 4 2 3 2" xfId="20867" xr:uid="{C7B6D551-FF9D-4986-B2B0-37E3EC0D6587}"/>
    <cellStyle name="Separador de milhares 5 4 2 3 2 2" xfId="23763" xr:uid="{3C095F1B-6357-4E69-9B73-13F0118154A7}"/>
    <cellStyle name="Separador de milhares 5 4 2 4" xfId="13732" xr:uid="{00000000-0005-0000-0000-000049300000}"/>
    <cellStyle name="Separador de milhares 5 4 2 4 2" xfId="22468" xr:uid="{0737C4FD-E6E8-4181-87B8-D945C5BC75A4}"/>
    <cellStyle name="Separador de milhares 5 4 2 4 2 2" xfId="24036" xr:uid="{A31C7811-719B-4430-8820-CC4B87E39927}"/>
    <cellStyle name="Separador de milhares 5 4 2 5" xfId="15985" xr:uid="{D3BFF895-57E8-486C-9526-B12231976714}"/>
    <cellStyle name="Separador de milhares 5 4 2 5 2" xfId="23095" xr:uid="{836B2DF4-C2E6-4B53-97EB-8BFED776A4C2}"/>
    <cellStyle name="Separador de milhares 5 4 3" xfId="8913" xr:uid="{00000000-0005-0000-0000-00004A300000}"/>
    <cellStyle name="Separador de milhares 5 4 3 2" xfId="17721" xr:uid="{3509AE65-DCFD-4A9B-9C75-EDE5F4EC872C}"/>
    <cellStyle name="Separador de milhares 5 4 3 2 2" xfId="23387" xr:uid="{4D0158DD-F3D4-494B-A88D-6E79E8AA25B2}"/>
    <cellStyle name="Separador de milhares 5 4 4" xfId="12123" xr:uid="{00000000-0005-0000-0000-00004B300000}"/>
    <cellStyle name="Separador de milhares 5 4 4 2" xfId="20866" xr:uid="{18C6EE50-F722-4866-B820-F7504D5087AF}"/>
    <cellStyle name="Separador de milhares 5 4 4 2 2" xfId="23762" xr:uid="{A2780A98-65E5-4632-A7A9-E4EEF3DC3152}"/>
    <cellStyle name="Separador de milhares 5 4 5" xfId="13731" xr:uid="{00000000-0005-0000-0000-00004C300000}"/>
    <cellStyle name="Separador de milhares 5 4 5 2" xfId="22467" xr:uid="{CD1316CF-6C8A-4FB7-9130-7A145DF09F27}"/>
    <cellStyle name="Separador de milhares 5 4 5 2 2" xfId="24035" xr:uid="{DA84FF0E-F3E8-43C4-B5F9-3A506967E92A}"/>
    <cellStyle name="Separador de milhares 5 4 6" xfId="15984" xr:uid="{55E57877-F5D4-491E-A771-712B9CE2D0BC}"/>
    <cellStyle name="Separador de milhares 5 4 6 2" xfId="23094" xr:uid="{BAF46D8C-7F48-49C1-B65A-7652E916150B}"/>
    <cellStyle name="Separador de milhares 5 5" xfId="4289" xr:uid="{00000000-0005-0000-0000-00004D300000}"/>
    <cellStyle name="Separador de milhares 5 5 2" xfId="4290" xr:uid="{00000000-0005-0000-0000-00004E300000}"/>
    <cellStyle name="Separador de milhares 5 5 2 2" xfId="8916" xr:uid="{00000000-0005-0000-0000-00004F300000}"/>
    <cellStyle name="Separador de milhares 5 5 2 2 2" xfId="17724" xr:uid="{64B5A13F-8198-42D5-BFA8-393923E99BD5}"/>
    <cellStyle name="Separador de milhares 5 5 2 2 2 2" xfId="23390" xr:uid="{181149FA-CCE3-44C0-AA4B-02CE93E5CAFD}"/>
    <cellStyle name="Separador de milhares 5 5 2 3" xfId="12126" xr:uid="{00000000-0005-0000-0000-000050300000}"/>
    <cellStyle name="Separador de milhares 5 5 2 3 2" xfId="20869" xr:uid="{4A525986-5591-4D87-8E2E-BEBD2A7D253F}"/>
    <cellStyle name="Separador de milhares 5 5 2 3 2 2" xfId="23765" xr:uid="{99300389-FF88-4BAC-82D9-15657D0EB6A4}"/>
    <cellStyle name="Separador de milhares 5 5 2 4" xfId="13734" xr:uid="{00000000-0005-0000-0000-000051300000}"/>
    <cellStyle name="Separador de milhares 5 5 2 4 2" xfId="22470" xr:uid="{AB4F2B7F-1FB2-4ABB-8B11-B86CF6A8F0D7}"/>
    <cellStyle name="Separador de milhares 5 5 2 4 2 2" xfId="24038" xr:uid="{F15CA253-87C6-4596-AC2A-727C90826249}"/>
    <cellStyle name="Separador de milhares 5 5 2 5" xfId="15987" xr:uid="{B941D465-A302-4011-9365-9F081508CD5C}"/>
    <cellStyle name="Separador de milhares 5 5 2 5 2" xfId="23097" xr:uid="{946B6E18-2FCE-41D9-A12C-CEA58D2F5A27}"/>
    <cellStyle name="Separador de milhares 5 5 3" xfId="8915" xr:uid="{00000000-0005-0000-0000-000052300000}"/>
    <cellStyle name="Separador de milhares 5 5 3 2" xfId="17723" xr:uid="{418908DA-8EBF-4237-83A3-A902FBCB6BB3}"/>
    <cellStyle name="Separador de milhares 5 5 3 2 2" xfId="23389" xr:uid="{ADFF7758-6DCF-46A5-8E1B-715884423672}"/>
    <cellStyle name="Separador de milhares 5 5 4" xfId="12125" xr:uid="{00000000-0005-0000-0000-000053300000}"/>
    <cellStyle name="Separador de milhares 5 5 4 2" xfId="20868" xr:uid="{63E9337D-A601-450F-8236-06D5B3E87FFF}"/>
    <cellStyle name="Separador de milhares 5 5 4 2 2" xfId="23764" xr:uid="{6820D419-A20B-43EE-BB59-0E08E30499CE}"/>
    <cellStyle name="Separador de milhares 5 5 5" xfId="13733" xr:uid="{00000000-0005-0000-0000-000054300000}"/>
    <cellStyle name="Separador de milhares 5 5 5 2" xfId="22469" xr:uid="{6746CEF3-D879-403F-8D31-200025A4436F}"/>
    <cellStyle name="Separador de milhares 5 5 5 2 2" xfId="24037" xr:uid="{780A4365-43CB-4CA0-ADD6-3A1C478E048E}"/>
    <cellStyle name="Separador de milhares 5 5 6" xfId="15986" xr:uid="{38C53D65-4F40-412E-86C3-F34304A822DE}"/>
    <cellStyle name="Separador de milhares 5 5 6 2" xfId="23096" xr:uid="{2E189F2C-ABF8-4AB8-B57D-9C7360BFB164}"/>
    <cellStyle name="Separador de milhares 5 6" xfId="4291" xr:uid="{00000000-0005-0000-0000-000055300000}"/>
    <cellStyle name="Separador de milhares 5 6 2" xfId="4292" xr:uid="{00000000-0005-0000-0000-000056300000}"/>
    <cellStyle name="Separador de milhares 5 6 2 2" xfId="8918" xr:uid="{00000000-0005-0000-0000-000057300000}"/>
    <cellStyle name="Separador de milhares 5 6 2 2 2" xfId="17726" xr:uid="{B7A22600-60BA-47BF-82E0-3B36E69AC1CC}"/>
    <cellStyle name="Separador de milhares 5 6 2 2 2 2" xfId="23392" xr:uid="{7C968F49-A1E0-4E1B-875D-41D781199D54}"/>
    <cellStyle name="Separador de milhares 5 6 2 3" xfId="12128" xr:uid="{00000000-0005-0000-0000-000058300000}"/>
    <cellStyle name="Separador de milhares 5 6 2 3 2" xfId="20871" xr:uid="{C46249E0-B4B2-4B47-9192-194E9AC384BA}"/>
    <cellStyle name="Separador de milhares 5 6 2 3 2 2" xfId="23767" xr:uid="{C2AD4726-3397-4F82-8E9A-21532A77CE7A}"/>
    <cellStyle name="Separador de milhares 5 6 2 4" xfId="13736" xr:uid="{00000000-0005-0000-0000-000059300000}"/>
    <cellStyle name="Separador de milhares 5 6 2 4 2" xfId="22472" xr:uid="{8BAF8383-8592-49B9-9935-2B226530D8FB}"/>
    <cellStyle name="Separador de milhares 5 6 2 4 2 2" xfId="24040" xr:uid="{C90141EE-8374-400B-A1C6-77FBD3137069}"/>
    <cellStyle name="Separador de milhares 5 6 2 5" xfId="15989" xr:uid="{45F8CC26-7EFB-4EFF-8945-6378E7356E51}"/>
    <cellStyle name="Separador de milhares 5 6 2 5 2" xfId="23099" xr:uid="{45A40595-7097-4F3E-A5CC-1528DD23248C}"/>
    <cellStyle name="Separador de milhares 5 6 3" xfId="8917" xr:uid="{00000000-0005-0000-0000-00005A300000}"/>
    <cellStyle name="Separador de milhares 5 6 3 2" xfId="17725" xr:uid="{F4827C17-C9DD-4C75-9545-6E4D5A26046A}"/>
    <cellStyle name="Separador de milhares 5 6 3 2 2" xfId="23391" xr:uid="{E26EE91A-BB9A-4E75-996D-8EAF7662F9A8}"/>
    <cellStyle name="Separador de milhares 5 6 4" xfId="12127" xr:uid="{00000000-0005-0000-0000-00005B300000}"/>
    <cellStyle name="Separador de milhares 5 6 4 2" xfId="20870" xr:uid="{025809A7-021C-420E-AF7D-69560A03375C}"/>
    <cellStyle name="Separador de milhares 5 6 4 2 2" xfId="23766" xr:uid="{6016A890-A1F9-42E2-B52E-885B3B951F39}"/>
    <cellStyle name="Separador de milhares 5 6 5" xfId="13735" xr:uid="{00000000-0005-0000-0000-00005C300000}"/>
    <cellStyle name="Separador de milhares 5 6 5 2" xfId="22471" xr:uid="{982912C0-8965-48E6-9F3A-F812C796B33A}"/>
    <cellStyle name="Separador de milhares 5 6 5 2 2" xfId="24039" xr:uid="{47A0E149-44E1-4491-A272-3F72C057B8EA}"/>
    <cellStyle name="Separador de milhares 5 6 6" xfId="15988" xr:uid="{45F1AD5B-F6A8-4BF3-8A6A-7B2F549EE7DB}"/>
    <cellStyle name="Separador de milhares 5 6 6 2" xfId="23098" xr:uid="{174DA576-241B-4100-BC90-2111517167B2}"/>
    <cellStyle name="Separador de milhares 5 7" xfId="4293" xr:uid="{00000000-0005-0000-0000-00005D300000}"/>
    <cellStyle name="Separador de milhares 5 7 2" xfId="4294" xr:uid="{00000000-0005-0000-0000-00005E300000}"/>
    <cellStyle name="Separador de milhares 5 7 2 2" xfId="8920" xr:uid="{00000000-0005-0000-0000-00005F300000}"/>
    <cellStyle name="Separador de milhares 5 7 2 2 2" xfId="17728" xr:uid="{6152C7FD-29F1-41E9-B1ED-67FDC5B79F32}"/>
    <cellStyle name="Separador de milhares 5 7 2 2 2 2" xfId="23394" xr:uid="{63764DB8-D2E1-46A8-A4D0-FE4E0B563CEB}"/>
    <cellStyle name="Separador de milhares 5 7 2 3" xfId="12130" xr:uid="{00000000-0005-0000-0000-000060300000}"/>
    <cellStyle name="Separador de milhares 5 7 2 3 2" xfId="20873" xr:uid="{6419099E-0476-49C8-A983-9F987B8FDC82}"/>
    <cellStyle name="Separador de milhares 5 7 2 3 2 2" xfId="23769" xr:uid="{BE1D6FC9-F8DA-420E-9BE1-0EABBF8453DF}"/>
    <cellStyle name="Separador de milhares 5 7 2 4" xfId="13738" xr:uid="{00000000-0005-0000-0000-000061300000}"/>
    <cellStyle name="Separador de milhares 5 7 2 4 2" xfId="22474" xr:uid="{11C97EE7-205A-45ED-B460-145B0FC6D7B2}"/>
    <cellStyle name="Separador de milhares 5 7 2 4 2 2" xfId="24042" xr:uid="{5D2EC9C6-F4F6-433E-957F-6347671F765F}"/>
    <cellStyle name="Separador de milhares 5 7 2 5" xfId="15991" xr:uid="{3C0000DC-57AF-4DFB-89B4-E5A8C57D9DC1}"/>
    <cellStyle name="Separador de milhares 5 7 2 5 2" xfId="23101" xr:uid="{F8B6669F-4156-4B63-AA2F-F5E30FA3D67F}"/>
    <cellStyle name="Separador de milhares 5 7 3" xfId="4295" xr:uid="{00000000-0005-0000-0000-000062300000}"/>
    <cellStyle name="Separador de milhares 5 7 3 2" xfId="8921" xr:uid="{00000000-0005-0000-0000-000063300000}"/>
    <cellStyle name="Separador de milhares 5 7 3 2 2" xfId="17729" xr:uid="{40366D85-B672-4458-97D8-7A3B9BEE95C7}"/>
    <cellStyle name="Separador de milhares 5 7 3 2 2 2" xfId="23395" xr:uid="{1AA7C1FC-14CE-45C6-B2A3-13CE3C51D44F}"/>
    <cellStyle name="Separador de milhares 5 7 3 3" xfId="12131" xr:uid="{00000000-0005-0000-0000-000064300000}"/>
    <cellStyle name="Separador de milhares 5 7 3 3 2" xfId="20874" xr:uid="{A052B3AB-A4E9-41D4-8326-89B5F8A0D426}"/>
    <cellStyle name="Separador de milhares 5 7 3 3 2 2" xfId="23770" xr:uid="{36F75BEB-750F-4C33-8BCC-501DF3AB3390}"/>
    <cellStyle name="Separador de milhares 5 7 3 4" xfId="13739" xr:uid="{00000000-0005-0000-0000-000065300000}"/>
    <cellStyle name="Separador de milhares 5 7 3 4 2" xfId="22475" xr:uid="{DCC0735A-6C1A-43B5-9A09-266A31034CA6}"/>
    <cellStyle name="Separador de milhares 5 7 3 4 2 2" xfId="24043" xr:uid="{09F94940-3D95-4452-91F3-2264574F31F0}"/>
    <cellStyle name="Separador de milhares 5 7 3 5" xfId="15992" xr:uid="{F9E39593-942B-4F7F-AD32-6406149026C7}"/>
    <cellStyle name="Separador de milhares 5 7 3 5 2" xfId="23102" xr:uid="{090AEBD5-5D40-4173-A7BC-408BBF4FC4F3}"/>
    <cellStyle name="Separador de milhares 5 7 4" xfId="8919" xr:uid="{00000000-0005-0000-0000-000066300000}"/>
    <cellStyle name="Separador de milhares 5 7 4 2" xfId="17727" xr:uid="{7794E985-2EC1-413C-8D27-AC7B7D502FCD}"/>
    <cellStyle name="Separador de milhares 5 7 4 2 2" xfId="23393" xr:uid="{5D79F59F-E1C7-46AF-BBBA-93F014F3FD08}"/>
    <cellStyle name="Separador de milhares 5 7 5" xfId="12129" xr:uid="{00000000-0005-0000-0000-000067300000}"/>
    <cellStyle name="Separador de milhares 5 7 5 2" xfId="20872" xr:uid="{DD56A928-B59F-45D9-BD63-067B53470EF3}"/>
    <cellStyle name="Separador de milhares 5 7 5 2 2" xfId="23768" xr:uid="{CD833CDC-E476-4383-B575-9C610E4DC266}"/>
    <cellStyle name="Separador de milhares 5 7 6" xfId="13737" xr:uid="{00000000-0005-0000-0000-000068300000}"/>
    <cellStyle name="Separador de milhares 5 7 6 2" xfId="22473" xr:uid="{9CA54024-C99A-4722-B41D-53B0E5BA063B}"/>
    <cellStyle name="Separador de milhares 5 7 6 2 2" xfId="24041" xr:uid="{D7407C7D-2E4E-4D7A-A4BF-68970B710F96}"/>
    <cellStyle name="Separador de milhares 5 7 7" xfId="15990" xr:uid="{731C25AC-D2B1-4C12-A176-6FBA5258302C}"/>
    <cellStyle name="Separador de milhares 5 7 7 2" xfId="23100" xr:uid="{E2CCBEC0-BCCE-4F39-9D6B-CF9DCC7A2018}"/>
    <cellStyle name="Separador de milhares 5 8" xfId="4296" xr:uid="{00000000-0005-0000-0000-000069300000}"/>
    <cellStyle name="Separador de milhares 5 8 2" xfId="8922" xr:uid="{00000000-0005-0000-0000-00006A300000}"/>
    <cellStyle name="Separador de milhares 5 8 2 2" xfId="17730" xr:uid="{CA3912BA-4838-4B0E-8A1F-38A1FF167CA1}"/>
    <cellStyle name="Separador de milhares 5 8 2 2 2" xfId="23396" xr:uid="{5AF1D504-A99E-488B-BF95-1A96371E7ABF}"/>
    <cellStyle name="Separador de milhares 5 8 3" xfId="12132" xr:uid="{00000000-0005-0000-0000-00006B300000}"/>
    <cellStyle name="Separador de milhares 5 8 3 2" xfId="20875" xr:uid="{E3FEB11E-D756-4E56-8AB9-EEAE769879F6}"/>
    <cellStyle name="Separador de milhares 5 8 3 2 2" xfId="23771" xr:uid="{63B3FAA3-90CF-4D56-8067-6E171DBD59E7}"/>
    <cellStyle name="Separador de milhares 5 8 4" xfId="13740" xr:uid="{00000000-0005-0000-0000-00006C300000}"/>
    <cellStyle name="Separador de milhares 5 8 4 2" xfId="22476" xr:uid="{242C1F86-6237-4C8D-A0D7-8415B5A0F3EE}"/>
    <cellStyle name="Separador de milhares 5 8 4 2 2" xfId="24044" xr:uid="{73E9FAEB-1CEF-4D6A-9897-FB38C3C1F585}"/>
    <cellStyle name="Separador de milhares 5 8 5" xfId="15993" xr:uid="{7FAD5D8B-0344-492C-B2E9-C1C005E246B2}"/>
    <cellStyle name="Separador de milhares 5 8 5 2" xfId="23103" xr:uid="{33CDE313-DB59-4D60-8742-3E7C7BA4117E}"/>
    <cellStyle name="Separador de milhares 5 9" xfId="4297" xr:uid="{00000000-0005-0000-0000-00006D300000}"/>
    <cellStyle name="Separador de milhares 5 9 2" xfId="8923" xr:uid="{00000000-0005-0000-0000-00006E300000}"/>
    <cellStyle name="Separador de milhares 5 9 2 2" xfId="17731" xr:uid="{D760A9D9-277C-4157-935B-A0738732B971}"/>
    <cellStyle name="Separador de milhares 5 9 2 2 2" xfId="23397" xr:uid="{24A4CF51-9F9E-470F-95DA-624B48A951A2}"/>
    <cellStyle name="Separador de milhares 5 9 3" xfId="12133" xr:uid="{00000000-0005-0000-0000-00006F300000}"/>
    <cellStyle name="Separador de milhares 5 9 3 2" xfId="20876" xr:uid="{94865C28-9FD7-4233-8BCD-C1B8DA871F16}"/>
    <cellStyle name="Separador de milhares 5 9 3 2 2" xfId="23772" xr:uid="{A90265BB-2FDD-4D96-A934-473EE1137AFA}"/>
    <cellStyle name="Separador de milhares 5 9 4" xfId="13741" xr:uid="{00000000-0005-0000-0000-000070300000}"/>
    <cellStyle name="Separador de milhares 5 9 4 2" xfId="22477" xr:uid="{322B0AF9-1F8E-4EC4-8F82-A70AE05A82EA}"/>
    <cellStyle name="Separador de milhares 5 9 4 2 2" xfId="24045" xr:uid="{A79D5670-0269-4E4A-8D15-6DA196FC4422}"/>
    <cellStyle name="Separador de milhares 5 9 5" xfId="15994" xr:uid="{B2257EFE-4C14-4872-B236-928F381A0302}"/>
    <cellStyle name="Separador de milhares 5 9 5 2" xfId="23104" xr:uid="{7F185FEB-DC9D-45A3-828F-799997113AB5}"/>
    <cellStyle name="Separador de milhares 6" xfId="4298" xr:uid="{00000000-0005-0000-0000-000071300000}"/>
    <cellStyle name="Separador de milhares 6 10" xfId="4299" xr:uid="{00000000-0005-0000-0000-000072300000}"/>
    <cellStyle name="Separador de milhares 6 10 2" xfId="8925" xr:uid="{00000000-0005-0000-0000-000073300000}"/>
    <cellStyle name="Separador de milhares 6 10 2 2" xfId="17733" xr:uid="{33432D76-7D3E-422B-9686-FD7A6EB4DDCF}"/>
    <cellStyle name="Separador de milhares 6 10 2 2 2" xfId="23399" xr:uid="{50EA10D2-CD4A-4FA4-92C6-03BE7138AED8}"/>
    <cellStyle name="Separador de milhares 6 10 3" xfId="12135" xr:uid="{00000000-0005-0000-0000-000074300000}"/>
    <cellStyle name="Separador de milhares 6 10 3 2" xfId="20878" xr:uid="{0D0BD4A3-CC1D-45C5-BB73-0CFD42284F39}"/>
    <cellStyle name="Separador de milhares 6 10 3 2 2" xfId="23774" xr:uid="{99E75F16-6C4C-4231-A7CA-3EFB04D0C4E7}"/>
    <cellStyle name="Separador de milhares 6 10 4" xfId="13743" xr:uid="{00000000-0005-0000-0000-000075300000}"/>
    <cellStyle name="Separador de milhares 6 10 4 2" xfId="22479" xr:uid="{81A4559E-7637-44E9-AACE-FBCFDD0D484F}"/>
    <cellStyle name="Separador de milhares 6 10 4 2 2" xfId="24047" xr:uid="{7703ECBF-F5DC-4B59-8EBD-E994EF02786B}"/>
    <cellStyle name="Separador de milhares 6 10 5" xfId="15996" xr:uid="{3A3ED3D5-21AC-423A-8932-AA858477B781}"/>
    <cellStyle name="Separador de milhares 6 10 5 2" xfId="23106" xr:uid="{E3716475-54C0-44F0-B1FB-478B1563B010}"/>
    <cellStyle name="Separador de milhares 6 11" xfId="4300" xr:uid="{00000000-0005-0000-0000-000076300000}"/>
    <cellStyle name="Separador de milhares 6 11 2" xfId="8926" xr:uid="{00000000-0005-0000-0000-000077300000}"/>
    <cellStyle name="Separador de milhares 6 11 2 2" xfId="17734" xr:uid="{225DA0F4-8783-43C4-8A71-A3837CAA8AD2}"/>
    <cellStyle name="Separador de milhares 6 11 2 2 2" xfId="23400" xr:uid="{C9C86A84-5BAC-4232-802C-DDFFA514ECE2}"/>
    <cellStyle name="Separador de milhares 6 11 3" xfId="12136" xr:uid="{00000000-0005-0000-0000-000078300000}"/>
    <cellStyle name="Separador de milhares 6 11 3 2" xfId="20879" xr:uid="{7F738008-443D-46FF-AD83-68AD5957003C}"/>
    <cellStyle name="Separador de milhares 6 11 3 2 2" xfId="23775" xr:uid="{026DAC07-3C82-406C-B952-7E10DEE40BEF}"/>
    <cellStyle name="Separador de milhares 6 11 4" xfId="13744" xr:uid="{00000000-0005-0000-0000-000079300000}"/>
    <cellStyle name="Separador de milhares 6 11 4 2" xfId="22480" xr:uid="{BBC8DA59-6093-4ED8-B003-632D0F366EB8}"/>
    <cellStyle name="Separador de milhares 6 11 4 2 2" xfId="24048" xr:uid="{627BAD54-402B-4019-8A0D-FD2E6C4E6301}"/>
    <cellStyle name="Separador de milhares 6 11 5" xfId="15997" xr:uid="{98683D42-3B32-4BD7-88B8-91CF48FAF548}"/>
    <cellStyle name="Separador de milhares 6 11 5 2" xfId="23107" xr:uid="{51142CD2-C87A-418C-B16F-4E0339B7D26C}"/>
    <cellStyle name="Separador de milhares 6 12" xfId="5120" xr:uid="{00000000-0005-0000-0000-00007A300000}"/>
    <cellStyle name="Separador de milhares 6 12 2" xfId="16125" xr:uid="{90A442BC-3755-43A1-A51A-9022C02E565D}"/>
    <cellStyle name="Separador de milhares 6 12 2 2" xfId="23193" xr:uid="{E4EA2A42-FFDB-4B19-A17F-9706667DE217}"/>
    <cellStyle name="Separador de milhares 6 13" xfId="8924" xr:uid="{00000000-0005-0000-0000-00007B300000}"/>
    <cellStyle name="Separador de milhares 6 13 2" xfId="17732" xr:uid="{5284E104-A7B6-47CE-BB91-A2312F3EB86E}"/>
    <cellStyle name="Separador de milhares 6 13 2 2" xfId="23398" xr:uid="{B0ED95B7-B319-475A-B9DD-74CC495FCA51}"/>
    <cellStyle name="Separador de milhares 6 14" xfId="12134" xr:uid="{00000000-0005-0000-0000-00007C300000}"/>
    <cellStyle name="Separador de milhares 6 14 2" xfId="20877" xr:uid="{18FA00F0-9286-4A7F-9C21-5094EBFD7119}"/>
    <cellStyle name="Separador de milhares 6 14 2 2" xfId="23773" xr:uid="{CA038B7F-33EB-45AA-868E-D81B9EBEA214}"/>
    <cellStyle name="Separador de milhares 6 15" xfId="13742" xr:uid="{00000000-0005-0000-0000-00007D300000}"/>
    <cellStyle name="Separador de milhares 6 15 2" xfId="22478" xr:uid="{82D0C28E-1C2B-4A2D-B434-4F3772CC75BD}"/>
    <cellStyle name="Separador de milhares 6 15 2 2" xfId="24046" xr:uid="{22C29B7B-6372-470F-B4F2-21B2A0BEEF0B}"/>
    <cellStyle name="Separador de milhares 6 16" xfId="13975" xr:uid="{1C5E9F2C-7D45-4F4D-957D-F488CAF10EA3}"/>
    <cellStyle name="Separador de milhares 6 16 2" xfId="22880" xr:uid="{0BA73EAD-1204-464E-83BE-E6CF38344D22}"/>
    <cellStyle name="Separador de milhares 6 17" xfId="15995" xr:uid="{0DE803B8-373E-4801-AEE3-B69D62ACE3F3}"/>
    <cellStyle name="Separador de milhares 6 17 2" xfId="23105" xr:uid="{4D11751A-F20F-4227-B629-46C80242B337}"/>
    <cellStyle name="Separador de milhares 6 2" xfId="4301" xr:uid="{00000000-0005-0000-0000-00007E300000}"/>
    <cellStyle name="Separador de milhares 6 2 10" xfId="13745" xr:uid="{00000000-0005-0000-0000-00007F300000}"/>
    <cellStyle name="Separador de milhares 6 2 10 2" xfId="22481" xr:uid="{9D0752C4-6B0A-44B5-A4CD-9D16CBCE9B22}"/>
    <cellStyle name="Separador de milhares 6 2 11" xfId="15998" xr:uid="{0CD6226E-725E-4CE5-98DF-BBA65C17F886}"/>
    <cellStyle name="Separador de milhares 6 2 2" xfId="4302" xr:uid="{00000000-0005-0000-0000-000080300000}"/>
    <cellStyle name="Separador de milhares 6 2 2 2" xfId="4303" xr:uid="{00000000-0005-0000-0000-000081300000}"/>
    <cellStyle name="Separador de milhares 6 2 2 2 2" xfId="8928" xr:uid="{00000000-0005-0000-0000-000082300000}"/>
    <cellStyle name="Separador de milhares 6 2 2 2 2 2" xfId="17736" xr:uid="{FCA51E6B-B18B-4FF2-BBAB-9B80538DCA87}"/>
    <cellStyle name="Separador de milhares 6 2 2 2 2 2 2" xfId="23401" xr:uid="{43592F5B-7E73-4BAE-9A62-F0DE6134D4DA}"/>
    <cellStyle name="Separador de milhares 6 2 2 2 3" xfId="12138" xr:uid="{00000000-0005-0000-0000-000083300000}"/>
    <cellStyle name="Separador de milhares 6 2 2 2 3 2" xfId="20881" xr:uid="{D6CB7130-D4DA-4F7F-A1FA-B54860F011F4}"/>
    <cellStyle name="Separador de milhares 6 2 2 2 3 2 2" xfId="23776" xr:uid="{F93166A2-C38D-4B52-B055-305AAB767F89}"/>
    <cellStyle name="Separador de milhares 6 2 2 2 4" xfId="13746" xr:uid="{00000000-0005-0000-0000-000084300000}"/>
    <cellStyle name="Separador de milhares 6 2 2 2 4 2" xfId="22482" xr:uid="{59323139-B499-4D4B-AFF2-8A5C83C227E8}"/>
    <cellStyle name="Separador de milhares 6 2 2 2 4 2 2" xfId="24049" xr:uid="{FD8BA6BB-6765-41AD-A1CD-6B59031A0FAA}"/>
    <cellStyle name="Separador de milhares 6 2 2 2 5" xfId="15999" xr:uid="{2B917E74-C842-4019-8A7D-B2C7A6AB4067}"/>
    <cellStyle name="Separador de milhares 6 2 2 2 5 2" xfId="23108" xr:uid="{C776A8F3-CA8C-49AB-8DA0-FC52F366033E}"/>
    <cellStyle name="Separador de milhares 6 2 2 3" xfId="4304" xr:uid="{00000000-0005-0000-0000-000085300000}"/>
    <cellStyle name="Separador de milhares 6 2 2 3 2" xfId="8929" xr:uid="{00000000-0005-0000-0000-000086300000}"/>
    <cellStyle name="Separador de milhares 6 2 2 3 2 2" xfId="17737" xr:uid="{41E5B07C-41BF-474C-8FE0-D7A2FCEBD554}"/>
    <cellStyle name="Separador de milhares 6 2 2 3 2 2 2" xfId="23402" xr:uid="{67316F69-754D-481C-817A-46E432CC099D}"/>
    <cellStyle name="Separador de milhares 6 2 2 3 3" xfId="12139" xr:uid="{00000000-0005-0000-0000-000087300000}"/>
    <cellStyle name="Separador de milhares 6 2 2 3 3 2" xfId="20882" xr:uid="{680F9DD0-0FD6-41F1-86D5-37DBD44FFEBE}"/>
    <cellStyle name="Separador de milhares 6 2 2 3 3 2 2" xfId="23777" xr:uid="{EB9FD239-EFB2-4A35-983E-C7DD62F8A874}"/>
    <cellStyle name="Separador de milhares 6 2 2 3 4" xfId="13747" xr:uid="{00000000-0005-0000-0000-000088300000}"/>
    <cellStyle name="Separador de milhares 6 2 2 3 4 2" xfId="22483" xr:uid="{5401586C-31E3-41E0-85AE-B3135057FE78}"/>
    <cellStyle name="Separador de milhares 6 2 2 3 4 2 2" xfId="24050" xr:uid="{5A7353BC-37FD-48AB-97A0-DD14ADA437DA}"/>
    <cellStyle name="Separador de milhares 6 2 2 3 5" xfId="16000" xr:uid="{DAE86F5E-BC06-46F4-83B2-1D2CB3DFD61C}"/>
    <cellStyle name="Separador de milhares 6 2 2 3 5 2" xfId="23109" xr:uid="{545746DB-EBB8-42E2-B80F-152984CD1AAF}"/>
    <cellStyle name="Separador de milhares 6 2 2 4" xfId="4305" xr:uid="{00000000-0005-0000-0000-000089300000}"/>
    <cellStyle name="Separador de milhares 6 2 2 4 2" xfId="8930" xr:uid="{00000000-0005-0000-0000-00008A300000}"/>
    <cellStyle name="Separador de milhares 6 2 2 4 2 2" xfId="17738" xr:uid="{4A19C1A8-8529-490F-925B-330E06F49AD8}"/>
    <cellStyle name="Separador de milhares 6 2 2 4 2 2 2" xfId="23403" xr:uid="{4236F062-65F1-4D42-8BBB-2EC0E0989209}"/>
    <cellStyle name="Separador de milhares 6 2 2 4 3" xfId="12140" xr:uid="{00000000-0005-0000-0000-00008B300000}"/>
    <cellStyle name="Separador de milhares 6 2 2 4 3 2" xfId="20883" xr:uid="{E75FBD36-5DFE-48F0-90C9-784C1EDFA8C7}"/>
    <cellStyle name="Separador de milhares 6 2 2 4 3 2 2" xfId="23778" xr:uid="{EC175F5A-B372-44C4-921C-E410EC893F08}"/>
    <cellStyle name="Separador de milhares 6 2 2 4 4" xfId="13748" xr:uid="{00000000-0005-0000-0000-00008C300000}"/>
    <cellStyle name="Separador de milhares 6 2 2 4 4 2" xfId="22484" xr:uid="{B85EC31A-2121-4E74-AC07-C52DABFE0B3C}"/>
    <cellStyle name="Separador de milhares 6 2 2 4 4 2 2" xfId="24051" xr:uid="{5D5768C2-7093-46B6-9887-2483F1D7852D}"/>
    <cellStyle name="Separador de milhares 6 2 2 4 5" xfId="16001" xr:uid="{D7C85D28-42FA-4BBA-A561-3DBEFCE25D40}"/>
    <cellStyle name="Separador de milhares 6 2 2 4 5 2" xfId="23110" xr:uid="{F64B0E74-BE75-474E-92E4-652A6F0314AF}"/>
    <cellStyle name="Separador de milhares 6 2 2 5" xfId="4306" xr:uid="{00000000-0005-0000-0000-00008D300000}"/>
    <cellStyle name="Separador de milhares 6 2 2 5 2" xfId="8931" xr:uid="{00000000-0005-0000-0000-00008E300000}"/>
    <cellStyle name="Separador de milhares 6 2 2 5 2 2" xfId="17739" xr:uid="{F7B516C9-3C84-4828-8C33-8EEED0B19913}"/>
    <cellStyle name="Separador de milhares 6 2 2 5 2 2 2" xfId="23404" xr:uid="{61BAA336-8E25-428B-8766-4060D2227604}"/>
    <cellStyle name="Separador de milhares 6 2 2 5 3" xfId="12141" xr:uid="{00000000-0005-0000-0000-00008F300000}"/>
    <cellStyle name="Separador de milhares 6 2 2 5 3 2" xfId="20884" xr:uid="{9259C031-E7B6-431F-9C4C-D78230A522A8}"/>
    <cellStyle name="Separador de milhares 6 2 2 5 3 2 2" xfId="23779" xr:uid="{1EE9FE2F-FDEB-4C24-BDE6-A19A08774D25}"/>
    <cellStyle name="Separador de milhares 6 2 2 5 4" xfId="13749" xr:uid="{00000000-0005-0000-0000-000090300000}"/>
    <cellStyle name="Separador de milhares 6 2 2 5 4 2" xfId="22485" xr:uid="{0946771C-0575-4398-8D72-551CFEF1D38B}"/>
    <cellStyle name="Separador de milhares 6 2 2 5 4 2 2" xfId="24052" xr:uid="{9EAF7716-64B6-47CF-BD16-162688FF5C24}"/>
    <cellStyle name="Separador de milhares 6 2 2 5 5" xfId="16002" xr:uid="{E89D435B-2D0B-46DA-8A38-17D27AEF66CD}"/>
    <cellStyle name="Separador de milhares 6 2 2 5 5 2" xfId="23111" xr:uid="{3F32B86F-129A-49AA-9D08-5ADF55780C04}"/>
    <cellStyle name="Separador de milhares 6 2 2 6" xfId="4307" xr:uid="{00000000-0005-0000-0000-000091300000}"/>
    <cellStyle name="Separador de milhares 6 2 2 6 2" xfId="8932" xr:uid="{00000000-0005-0000-0000-000092300000}"/>
    <cellStyle name="Separador de milhares 6 2 2 6 2 2" xfId="17740" xr:uid="{A1702A8F-8916-40E0-9EFC-E2A9E0D04D6F}"/>
    <cellStyle name="Separador de milhares 6 2 2 6 2 2 2" xfId="23405" xr:uid="{B82077B6-9877-4D97-9453-9C16016B3140}"/>
    <cellStyle name="Separador de milhares 6 2 2 6 3" xfId="12142" xr:uid="{00000000-0005-0000-0000-000093300000}"/>
    <cellStyle name="Separador de milhares 6 2 2 6 3 2" xfId="20885" xr:uid="{9757D8CB-FABB-4E76-A084-76613C76CC0D}"/>
    <cellStyle name="Separador de milhares 6 2 2 6 3 2 2" xfId="23780" xr:uid="{CD449B9D-1D81-49B3-B0AC-B0C63A5A52FA}"/>
    <cellStyle name="Separador de milhares 6 2 2 6 4" xfId="13750" xr:uid="{00000000-0005-0000-0000-000094300000}"/>
    <cellStyle name="Separador de milhares 6 2 2 6 4 2" xfId="22486" xr:uid="{F1C8E213-37DD-4DF5-85B7-8AC55588D720}"/>
    <cellStyle name="Separador de milhares 6 2 2 6 4 2 2" xfId="24053" xr:uid="{B85DDA1B-59F1-4E20-B871-3A83FB2067D6}"/>
    <cellStyle name="Separador de milhares 6 2 2 6 5" xfId="16003" xr:uid="{B7D764C9-61A6-4A85-A85D-DCE35BE6D816}"/>
    <cellStyle name="Separador de milhares 6 2 2 6 5 2" xfId="23112" xr:uid="{B0B2C5CC-E962-40F7-BD22-69250D21341E}"/>
    <cellStyle name="Separador de milhares 6 2 2 7" xfId="4308" xr:uid="{00000000-0005-0000-0000-000095300000}"/>
    <cellStyle name="Separador de milhares 6 2 2 7 2" xfId="8933" xr:uid="{00000000-0005-0000-0000-000096300000}"/>
    <cellStyle name="Separador de milhares 6 2 2 7 2 2" xfId="17741" xr:uid="{1506CC8B-91B2-4F7E-87DD-77A4587B56B4}"/>
    <cellStyle name="Separador de milhares 6 2 2 7 2 2 2" xfId="23406" xr:uid="{D9203582-5B26-48CB-8048-87996A0757F4}"/>
    <cellStyle name="Separador de milhares 6 2 2 7 3" xfId="12143" xr:uid="{00000000-0005-0000-0000-000097300000}"/>
    <cellStyle name="Separador de milhares 6 2 2 7 3 2" xfId="20886" xr:uid="{178125BB-AB99-4F60-A6E8-80D5AB0EECE0}"/>
    <cellStyle name="Separador de milhares 6 2 2 7 3 2 2" xfId="23781" xr:uid="{DDF3F3F5-1636-4F77-ADCA-B8DF8DE35317}"/>
    <cellStyle name="Separador de milhares 6 2 2 7 4" xfId="13751" xr:uid="{00000000-0005-0000-0000-000098300000}"/>
    <cellStyle name="Separador de milhares 6 2 2 7 4 2" xfId="22487" xr:uid="{24A8B67C-45CF-4366-913C-DFB7E91FA53E}"/>
    <cellStyle name="Separador de milhares 6 2 2 7 4 2 2" xfId="24054" xr:uid="{07CC23EE-7116-4E8F-B7AB-29E2A906E76E}"/>
    <cellStyle name="Separador de milhares 6 2 2 7 5" xfId="16004" xr:uid="{511FC232-C4CD-411F-987F-8003CED3E400}"/>
    <cellStyle name="Separador de milhares 6 2 2 7 5 2" xfId="23113" xr:uid="{2AA62181-60A9-42AF-A049-4BBCE91B0B24}"/>
    <cellStyle name="Separador de milhares 6 2 2 8" xfId="4309" xr:uid="{00000000-0005-0000-0000-000099300000}"/>
    <cellStyle name="Separador de milhares 6 2 2 8 2" xfId="8934" xr:uid="{00000000-0005-0000-0000-00009A300000}"/>
    <cellStyle name="Separador de milhares 6 2 2 8 2 2" xfId="17742" xr:uid="{F2BD32F3-3629-49CF-8681-0A11D65E8ECD}"/>
    <cellStyle name="Separador de milhares 6 2 2 8 2 2 2" xfId="23407" xr:uid="{28443E07-4F8F-45A8-9743-A596686F5B48}"/>
    <cellStyle name="Separador de milhares 6 2 2 8 3" xfId="12144" xr:uid="{00000000-0005-0000-0000-00009B300000}"/>
    <cellStyle name="Separador de milhares 6 2 2 8 3 2" xfId="20887" xr:uid="{6DC476B5-AF1B-4BA9-91DA-61CDF6F51F33}"/>
    <cellStyle name="Separador de milhares 6 2 2 8 3 2 2" xfId="23782" xr:uid="{51618C25-C3AA-4A65-8D1D-EA11FA82E5AE}"/>
    <cellStyle name="Separador de milhares 6 2 2 8 4" xfId="13752" xr:uid="{00000000-0005-0000-0000-00009C300000}"/>
    <cellStyle name="Separador de milhares 6 2 2 8 4 2" xfId="22488" xr:uid="{665DF94C-DA17-49F4-90A4-A79C5E67895F}"/>
    <cellStyle name="Separador de milhares 6 2 2 8 4 2 2" xfId="24055" xr:uid="{D7CF2A49-D99D-45F0-9B0D-4E62442BA668}"/>
    <cellStyle name="Separador de milhares 6 2 2 8 5" xfId="16005" xr:uid="{22455505-8BFE-45A2-B373-862C6037C733}"/>
    <cellStyle name="Separador de milhares 6 2 2 8 5 2" xfId="23114" xr:uid="{D7AE31B8-2704-4487-BF6D-97B36647E32E}"/>
    <cellStyle name="Separador de milhares 6 2 3" xfId="4310" xr:uid="{00000000-0005-0000-0000-00009D300000}"/>
    <cellStyle name="Separador de milhares 6 2 3 2" xfId="8935" xr:uid="{00000000-0005-0000-0000-00009E300000}"/>
    <cellStyle name="Separador de milhares 6 2 3 2 2" xfId="17743" xr:uid="{5DF83C9B-5BE6-47BC-ABC6-2D983435E130}"/>
    <cellStyle name="Separador de milhares 6 2 3 2 2 2" xfId="23408" xr:uid="{5092A9AA-D082-43A8-9C09-6495BE1D84D0}"/>
    <cellStyle name="Separador de milhares 6 2 3 3" xfId="12145" xr:uid="{00000000-0005-0000-0000-00009F300000}"/>
    <cellStyle name="Separador de milhares 6 2 3 3 2" xfId="20888" xr:uid="{DB6747E0-319F-4580-AEB6-D448E2993F5E}"/>
    <cellStyle name="Separador de milhares 6 2 3 3 2 2" xfId="23783" xr:uid="{985EA3FC-10D1-49E8-A824-F06287C9E51E}"/>
    <cellStyle name="Separador de milhares 6 2 3 4" xfId="13753" xr:uid="{00000000-0005-0000-0000-0000A0300000}"/>
    <cellStyle name="Separador de milhares 6 2 3 4 2" xfId="22489" xr:uid="{DDD9E52D-1129-4065-9DF2-5D8A4B8E1F8A}"/>
    <cellStyle name="Separador de milhares 6 2 3 4 2 2" xfId="24056" xr:uid="{991804CD-938E-4D0A-A1BA-D3AC194B07A7}"/>
    <cellStyle name="Separador de milhares 6 2 3 5" xfId="16006" xr:uid="{96734556-04C1-4B42-92DC-1AAC821AE9E9}"/>
    <cellStyle name="Separador de milhares 6 2 3 5 2" xfId="23115" xr:uid="{30E5628A-A127-43E9-B951-B896B81AF2C5}"/>
    <cellStyle name="Separador de milhares 6 2 4" xfId="4311" xr:uid="{00000000-0005-0000-0000-0000A1300000}"/>
    <cellStyle name="Separador de milhares 6 2 4 2" xfId="4312" xr:uid="{00000000-0005-0000-0000-0000A2300000}"/>
    <cellStyle name="Separador de milhares 6 2 4 2 2" xfId="8937" xr:uid="{00000000-0005-0000-0000-0000A3300000}"/>
    <cellStyle name="Separador de milhares 6 2 4 2 2 2" xfId="17745" xr:uid="{32CBC82F-AEF0-4CDC-B504-95C8FB46486F}"/>
    <cellStyle name="Separador de milhares 6 2 4 2 2 2 2" xfId="23410" xr:uid="{680C5A91-EE7B-4DBC-9E49-43E9BA4CCD3F}"/>
    <cellStyle name="Separador de milhares 6 2 4 2 3" xfId="12147" xr:uid="{00000000-0005-0000-0000-0000A4300000}"/>
    <cellStyle name="Separador de milhares 6 2 4 2 3 2" xfId="20890" xr:uid="{13A09BD8-9B79-4BF6-82D6-A2355D97F6A1}"/>
    <cellStyle name="Separador de milhares 6 2 4 2 3 2 2" xfId="23785" xr:uid="{B80EC247-B5AD-4FA6-956B-94375DCE011D}"/>
    <cellStyle name="Separador de milhares 6 2 4 2 4" xfId="13755" xr:uid="{00000000-0005-0000-0000-0000A5300000}"/>
    <cellStyle name="Separador de milhares 6 2 4 2 4 2" xfId="22491" xr:uid="{06A4E5E2-3E58-4EC4-BA18-8F55E352B0AC}"/>
    <cellStyle name="Separador de milhares 6 2 4 2 4 2 2" xfId="24058" xr:uid="{0C890FAD-9634-46A8-BE18-82B5AD2A156D}"/>
    <cellStyle name="Separador de milhares 6 2 4 2 5" xfId="16008" xr:uid="{D02972E4-8775-4D8C-8EAA-4BC094C45E14}"/>
    <cellStyle name="Separador de milhares 6 2 4 2 5 2" xfId="23117" xr:uid="{83422EDB-47D2-47B4-8ED1-522B8593A3EB}"/>
    <cellStyle name="Separador de milhares 6 2 4 3" xfId="4313" xr:uid="{00000000-0005-0000-0000-0000A6300000}"/>
    <cellStyle name="Separador de milhares 6 2 4 3 2" xfId="8938" xr:uid="{00000000-0005-0000-0000-0000A7300000}"/>
    <cellStyle name="Separador de milhares 6 2 4 3 2 2" xfId="17746" xr:uid="{3BA1FC39-A5AC-4E87-91D0-52020AD963B3}"/>
    <cellStyle name="Separador de milhares 6 2 4 3 2 2 2" xfId="23411" xr:uid="{F73F0610-7B02-47DC-A7FE-028C89697913}"/>
    <cellStyle name="Separador de milhares 6 2 4 3 3" xfId="12148" xr:uid="{00000000-0005-0000-0000-0000A8300000}"/>
    <cellStyle name="Separador de milhares 6 2 4 3 3 2" xfId="20891" xr:uid="{407D53EF-F0B3-44EB-9C1A-B1AC3CFCE5C0}"/>
    <cellStyle name="Separador de milhares 6 2 4 3 3 2 2" xfId="23786" xr:uid="{24E944EF-0CE7-4EEE-9CCA-4811BD6A656E}"/>
    <cellStyle name="Separador de milhares 6 2 4 3 4" xfId="13756" xr:uid="{00000000-0005-0000-0000-0000A9300000}"/>
    <cellStyle name="Separador de milhares 6 2 4 3 4 2" xfId="22492" xr:uid="{F0E0625D-6F1A-43AF-8BFD-D96B1CD4A646}"/>
    <cellStyle name="Separador de milhares 6 2 4 3 4 2 2" xfId="24059" xr:uid="{D4F4ADAF-5637-4411-92ED-90A7AC174EC9}"/>
    <cellStyle name="Separador de milhares 6 2 4 3 5" xfId="16009" xr:uid="{0D9103F4-4D63-4005-A58E-6A27A51851A8}"/>
    <cellStyle name="Separador de milhares 6 2 4 3 5 2" xfId="23118" xr:uid="{A737CBCD-9DF3-4B7C-BAD0-F5ED3C65D20D}"/>
    <cellStyle name="Separador de milhares 6 2 4 4" xfId="4314" xr:uid="{00000000-0005-0000-0000-0000AA300000}"/>
    <cellStyle name="Separador de milhares 6 2 4 4 2" xfId="8939" xr:uid="{00000000-0005-0000-0000-0000AB300000}"/>
    <cellStyle name="Separador de milhares 6 2 4 4 2 2" xfId="17747" xr:uid="{9BF66112-4E53-482B-901E-DFF4A9589A6E}"/>
    <cellStyle name="Separador de milhares 6 2 4 4 2 2 2" xfId="23412" xr:uid="{76FFD565-4322-466E-A097-FC6DFB503C1D}"/>
    <cellStyle name="Separador de milhares 6 2 4 4 3" xfId="12149" xr:uid="{00000000-0005-0000-0000-0000AC300000}"/>
    <cellStyle name="Separador de milhares 6 2 4 4 3 2" xfId="20892" xr:uid="{6DA9C2F6-E19C-4A84-B379-5A3E1562D960}"/>
    <cellStyle name="Separador de milhares 6 2 4 4 3 2 2" xfId="23787" xr:uid="{DBD177ED-0F38-4985-8C01-30D2FDAC1F59}"/>
    <cellStyle name="Separador de milhares 6 2 4 4 4" xfId="13757" xr:uid="{00000000-0005-0000-0000-0000AD300000}"/>
    <cellStyle name="Separador de milhares 6 2 4 4 4 2" xfId="22493" xr:uid="{850F80DF-5A48-469D-AAAF-9D3CAF39D6B5}"/>
    <cellStyle name="Separador de milhares 6 2 4 4 4 2 2" xfId="24060" xr:uid="{A731C56B-631A-4A09-922A-6E52B530F614}"/>
    <cellStyle name="Separador de milhares 6 2 4 4 5" xfId="16010" xr:uid="{7873A8E1-BCD3-48FA-8CFA-163D948ACEBE}"/>
    <cellStyle name="Separador de milhares 6 2 4 4 5 2" xfId="23119" xr:uid="{BBBA8358-8155-4B15-91B5-48686509AB03}"/>
    <cellStyle name="Separador de milhares 6 2 4 5" xfId="8936" xr:uid="{00000000-0005-0000-0000-0000AE300000}"/>
    <cellStyle name="Separador de milhares 6 2 4 5 2" xfId="17744" xr:uid="{C30FAB03-3A25-4532-8B38-C7FFCA079F63}"/>
    <cellStyle name="Separador de milhares 6 2 4 5 2 2" xfId="23409" xr:uid="{B2D3B7E0-5142-4B08-AAF3-EDE9668554C7}"/>
    <cellStyle name="Separador de milhares 6 2 4 6" xfId="12146" xr:uid="{00000000-0005-0000-0000-0000AF300000}"/>
    <cellStyle name="Separador de milhares 6 2 4 6 2" xfId="20889" xr:uid="{6CCC7EA1-EEC4-4626-B493-7D4366C34F40}"/>
    <cellStyle name="Separador de milhares 6 2 4 6 2 2" xfId="23784" xr:uid="{851E0F98-9C48-45DA-9A76-AD4E0273C6AF}"/>
    <cellStyle name="Separador de milhares 6 2 4 7" xfId="13754" xr:uid="{00000000-0005-0000-0000-0000B0300000}"/>
    <cellStyle name="Separador de milhares 6 2 4 7 2" xfId="22490" xr:uid="{70CB1E55-DF39-42CA-B90C-04B4B818E0BA}"/>
    <cellStyle name="Separador de milhares 6 2 4 7 2 2" xfId="24057" xr:uid="{7AD02E98-E394-44EE-AC29-39A88AD76FEE}"/>
    <cellStyle name="Separador de milhares 6 2 4 8" xfId="16007" xr:uid="{2E198902-70FC-4F99-8B62-1B2BB10A59C0}"/>
    <cellStyle name="Separador de milhares 6 2 4 8 2" xfId="23116" xr:uid="{6B588DA5-E30E-4AB9-A003-2FA046598BF6}"/>
    <cellStyle name="Separador de milhares 6 2 5" xfId="4315" xr:uid="{00000000-0005-0000-0000-0000B1300000}"/>
    <cellStyle name="Separador de milhares 6 2 5 2" xfId="4316" xr:uid="{00000000-0005-0000-0000-0000B2300000}"/>
    <cellStyle name="Separador de milhares 6 2 5 2 2" xfId="8941" xr:uid="{00000000-0005-0000-0000-0000B3300000}"/>
    <cellStyle name="Separador de milhares 6 2 5 2 2 2" xfId="17749" xr:uid="{176E48DF-1DB2-454F-ACF5-F07FBF0DF580}"/>
    <cellStyle name="Separador de milhares 6 2 5 2 2 2 2" xfId="23414" xr:uid="{3378A783-6925-4D45-A42D-118E33909171}"/>
    <cellStyle name="Separador de milhares 6 2 5 2 3" xfId="12151" xr:uid="{00000000-0005-0000-0000-0000B4300000}"/>
    <cellStyle name="Separador de milhares 6 2 5 2 3 2" xfId="20894" xr:uid="{7CD1317E-B01F-43CB-9CEE-D323B7BCE364}"/>
    <cellStyle name="Separador de milhares 6 2 5 2 3 2 2" xfId="23789" xr:uid="{DF48AAD6-0636-481A-AC1D-FBC19BDEAB44}"/>
    <cellStyle name="Separador de milhares 6 2 5 2 4" xfId="13759" xr:uid="{00000000-0005-0000-0000-0000B5300000}"/>
    <cellStyle name="Separador de milhares 6 2 5 2 4 2" xfId="22495" xr:uid="{8B2E5794-2D2B-49BA-987F-4C966BB04226}"/>
    <cellStyle name="Separador de milhares 6 2 5 2 4 2 2" xfId="24062" xr:uid="{B16027CB-1FC7-4A26-8E15-6A9D8FF66DCF}"/>
    <cellStyle name="Separador de milhares 6 2 5 2 5" xfId="16012" xr:uid="{190C0DEE-898D-4E9D-BEB5-5A85ED361609}"/>
    <cellStyle name="Separador de milhares 6 2 5 2 5 2" xfId="23121" xr:uid="{DA85BA2F-26EA-4ED5-B51A-D5E7FC07304C}"/>
    <cellStyle name="Separador de milhares 6 2 5 3" xfId="4317" xr:uid="{00000000-0005-0000-0000-0000B6300000}"/>
    <cellStyle name="Separador de milhares 6 2 5 3 2" xfId="8942" xr:uid="{00000000-0005-0000-0000-0000B7300000}"/>
    <cellStyle name="Separador de milhares 6 2 5 3 2 2" xfId="17750" xr:uid="{7A89D776-6BC2-4A25-986B-3B6562D9BB87}"/>
    <cellStyle name="Separador de milhares 6 2 5 3 2 2 2" xfId="23415" xr:uid="{172A401D-2A3E-4A70-911A-5A464CFFD271}"/>
    <cellStyle name="Separador de milhares 6 2 5 3 3" xfId="12152" xr:uid="{00000000-0005-0000-0000-0000B8300000}"/>
    <cellStyle name="Separador de milhares 6 2 5 3 3 2" xfId="20895" xr:uid="{BB8955B8-7140-441C-9DD5-9A53228C3A9C}"/>
    <cellStyle name="Separador de milhares 6 2 5 3 3 2 2" xfId="23790" xr:uid="{491EBC15-A356-4E59-A101-CFD978E9CB42}"/>
    <cellStyle name="Separador de milhares 6 2 5 3 4" xfId="13760" xr:uid="{00000000-0005-0000-0000-0000B9300000}"/>
    <cellStyle name="Separador de milhares 6 2 5 3 4 2" xfId="22496" xr:uid="{998E1FFC-F95F-43C8-B2FC-50F347753547}"/>
    <cellStyle name="Separador de milhares 6 2 5 3 4 2 2" xfId="24063" xr:uid="{54173DD5-D7D2-4181-A150-0C53B75CB416}"/>
    <cellStyle name="Separador de milhares 6 2 5 3 5" xfId="16013" xr:uid="{C423E7FA-3E44-49DF-BB30-4C715E162B35}"/>
    <cellStyle name="Separador de milhares 6 2 5 3 5 2" xfId="23122" xr:uid="{100671C6-7478-46AC-B82B-0767A9E3DAA7}"/>
    <cellStyle name="Separador de milhares 6 2 5 4" xfId="4318" xr:uid="{00000000-0005-0000-0000-0000BA300000}"/>
    <cellStyle name="Separador de milhares 6 2 5 4 2" xfId="8943" xr:uid="{00000000-0005-0000-0000-0000BB300000}"/>
    <cellStyle name="Separador de milhares 6 2 5 4 2 2" xfId="17751" xr:uid="{BAF449DB-D6EA-4A32-8317-A2B4CB88AEFE}"/>
    <cellStyle name="Separador de milhares 6 2 5 4 2 2 2" xfId="23416" xr:uid="{9F32202F-B6C8-408F-85EB-B4A6E2D77A1B}"/>
    <cellStyle name="Separador de milhares 6 2 5 4 3" xfId="12153" xr:uid="{00000000-0005-0000-0000-0000BC300000}"/>
    <cellStyle name="Separador de milhares 6 2 5 4 3 2" xfId="20896" xr:uid="{08C53010-CBA1-49DF-B494-5FC424138D02}"/>
    <cellStyle name="Separador de milhares 6 2 5 4 3 2 2" xfId="23791" xr:uid="{BD27BFF7-47DA-45A4-88FD-422900206541}"/>
    <cellStyle name="Separador de milhares 6 2 5 4 4" xfId="13761" xr:uid="{00000000-0005-0000-0000-0000BD300000}"/>
    <cellStyle name="Separador de milhares 6 2 5 4 4 2" xfId="22497" xr:uid="{2CE2F270-4275-4A0A-8D4F-825B15B317E9}"/>
    <cellStyle name="Separador de milhares 6 2 5 4 4 2 2" xfId="24064" xr:uid="{8706D2AF-5A37-44D6-8C0A-3F4BABE9037C}"/>
    <cellStyle name="Separador de milhares 6 2 5 4 5" xfId="16014" xr:uid="{F90A9AE9-DFA2-4C32-B266-779799B0BDD2}"/>
    <cellStyle name="Separador de milhares 6 2 5 4 5 2" xfId="23123" xr:uid="{3EE93911-6DB3-4DB1-A5B6-2EBEFD54BAD4}"/>
    <cellStyle name="Separador de milhares 6 2 5 5" xfId="8940" xr:uid="{00000000-0005-0000-0000-0000BE300000}"/>
    <cellStyle name="Separador de milhares 6 2 5 5 2" xfId="17748" xr:uid="{AD25F169-5E32-4BCF-BF4A-B85A1D2AC39D}"/>
    <cellStyle name="Separador de milhares 6 2 5 5 2 2" xfId="23413" xr:uid="{879FA99B-961C-432C-9E67-AECE78F6A4C6}"/>
    <cellStyle name="Separador de milhares 6 2 5 6" xfId="12150" xr:uid="{00000000-0005-0000-0000-0000BF300000}"/>
    <cellStyle name="Separador de milhares 6 2 5 6 2" xfId="20893" xr:uid="{19A03535-8022-4954-B17C-BDD7F86F18FC}"/>
    <cellStyle name="Separador de milhares 6 2 5 6 2 2" xfId="23788" xr:uid="{4BFF5E7C-A656-4429-ACBC-F9832621FB00}"/>
    <cellStyle name="Separador de milhares 6 2 5 7" xfId="13758" xr:uid="{00000000-0005-0000-0000-0000C0300000}"/>
    <cellStyle name="Separador de milhares 6 2 5 7 2" xfId="22494" xr:uid="{7100FD30-940F-41E4-BBF2-9637E857A00A}"/>
    <cellStyle name="Separador de milhares 6 2 5 7 2 2" xfId="24061" xr:uid="{95B18467-1B20-4EBA-AEC6-FA06CAA05FAE}"/>
    <cellStyle name="Separador de milhares 6 2 5 8" xfId="16011" xr:uid="{674C2BB4-FE8E-4E80-8A9B-F69CC4916B85}"/>
    <cellStyle name="Separador de milhares 6 2 5 8 2" xfId="23120" xr:uid="{FA271A6F-9123-4AB9-8A24-991F5D9F4AF9}"/>
    <cellStyle name="Separador de milhares 6 2 6" xfId="4319" xr:uid="{00000000-0005-0000-0000-0000C1300000}"/>
    <cellStyle name="Separador de milhares 6 2 6 2" xfId="8944" xr:uid="{00000000-0005-0000-0000-0000C2300000}"/>
    <cellStyle name="Separador de milhares 6 2 6 2 2" xfId="17752" xr:uid="{F59B32F4-8F39-4247-97C4-01FD0069C129}"/>
    <cellStyle name="Separador de milhares 6 2 6 2 2 2" xfId="23417" xr:uid="{1691D146-2DC9-486B-82A2-CE539F2E6BD7}"/>
    <cellStyle name="Separador de milhares 6 2 6 3" xfId="12154" xr:uid="{00000000-0005-0000-0000-0000C3300000}"/>
    <cellStyle name="Separador de milhares 6 2 6 3 2" xfId="20897" xr:uid="{369ED18F-F19E-485F-B09A-46E054E684CD}"/>
    <cellStyle name="Separador de milhares 6 2 6 3 2 2" xfId="23792" xr:uid="{0D5CBE32-DF3B-4A4D-BEB6-923C98AAE9F9}"/>
    <cellStyle name="Separador de milhares 6 2 6 4" xfId="13762" xr:uid="{00000000-0005-0000-0000-0000C4300000}"/>
    <cellStyle name="Separador de milhares 6 2 6 4 2" xfId="22498" xr:uid="{1048D639-9C9D-4BFF-B510-34449E1B22B8}"/>
    <cellStyle name="Separador de milhares 6 2 6 4 2 2" xfId="24065" xr:uid="{879C4C49-031E-49B1-93AE-555AA0D63474}"/>
    <cellStyle name="Separador de milhares 6 2 6 5" xfId="16015" xr:uid="{5BF046B2-611A-4851-B4E0-442FAD01A37F}"/>
    <cellStyle name="Separador de milhares 6 2 6 5 2" xfId="23124" xr:uid="{48C8C1AC-AD7C-47FD-918E-7B24959CB06B}"/>
    <cellStyle name="Separador de milhares 6 2 7" xfId="10411" xr:uid="{00000000-0005-0000-0000-0000C5300000}"/>
    <cellStyle name="Separador de milhares 6 2 7 2" xfId="19217" xr:uid="{4F3AB941-6983-40EF-97A1-442B0C4F9EA4}"/>
    <cellStyle name="Separador de milhares 6 2 8" xfId="8927" xr:uid="{00000000-0005-0000-0000-0000C6300000}"/>
    <cellStyle name="Separador de milhares 6 2 8 2" xfId="17735" xr:uid="{06021A60-5FC1-42FD-B446-D06AE9A34367}"/>
    <cellStyle name="Separador de milhares 6 2 9" xfId="12137" xr:uid="{00000000-0005-0000-0000-0000C7300000}"/>
    <cellStyle name="Separador de milhares 6 2 9 2" xfId="20880" xr:uid="{648733AF-22D5-4C03-80F9-476E5346379D}"/>
    <cellStyle name="Separador de milhares 6 3" xfId="4320" xr:uid="{00000000-0005-0000-0000-0000C8300000}"/>
    <cellStyle name="Separador de milhares 6 3 2" xfId="4321" xr:uid="{00000000-0005-0000-0000-0000C9300000}"/>
    <cellStyle name="Separador de milhares 6 3 2 2" xfId="8945" xr:uid="{00000000-0005-0000-0000-0000CA300000}"/>
    <cellStyle name="Separador de milhares 6 3 2 2 2" xfId="17753" xr:uid="{E5291DA6-D507-4A28-8A10-26765942C7E3}"/>
    <cellStyle name="Separador de milhares 6 3 2 2 2 2" xfId="23418" xr:uid="{AA9DBDF4-89E2-4D43-939D-409FF1173004}"/>
    <cellStyle name="Separador de milhares 6 3 2 3" xfId="12155" xr:uid="{00000000-0005-0000-0000-0000CB300000}"/>
    <cellStyle name="Separador de milhares 6 3 2 3 2" xfId="20898" xr:uid="{48FD40C3-36F4-467C-8CAA-FC9F0963E69E}"/>
    <cellStyle name="Separador de milhares 6 3 2 3 2 2" xfId="23793" xr:uid="{209E7B09-BF70-400D-A985-C455C65B43FD}"/>
    <cellStyle name="Separador de milhares 6 3 2 4" xfId="13763" xr:uid="{00000000-0005-0000-0000-0000CC300000}"/>
    <cellStyle name="Separador de milhares 6 3 2 4 2" xfId="22499" xr:uid="{4F53F486-9184-422A-822A-236E4F922412}"/>
    <cellStyle name="Separador de milhares 6 3 2 4 2 2" xfId="24066" xr:uid="{7D3018F3-26C2-4C20-B3FD-EBE7B36285F4}"/>
    <cellStyle name="Separador de milhares 6 3 2 5" xfId="16016" xr:uid="{7F4BB2D5-6D5A-480E-BF85-760F58F5BCB3}"/>
    <cellStyle name="Separador de milhares 6 3 2 5 2" xfId="23125" xr:uid="{04AA667D-102C-49D3-A905-A0B6CE0D3E9A}"/>
    <cellStyle name="Separador de milhares 6 3 3" xfId="4322" xr:uid="{00000000-0005-0000-0000-0000CD300000}"/>
    <cellStyle name="Separador de milhares 6 3 3 2" xfId="8946" xr:uid="{00000000-0005-0000-0000-0000CE300000}"/>
    <cellStyle name="Separador de milhares 6 3 3 2 2" xfId="17754" xr:uid="{9483258E-55D9-429C-8CE7-B433E20FE856}"/>
    <cellStyle name="Separador de milhares 6 3 3 2 2 2" xfId="23419" xr:uid="{9594A7C6-DE29-4BB3-BD85-AE09BD2551C4}"/>
    <cellStyle name="Separador de milhares 6 3 3 3" xfId="12156" xr:uid="{00000000-0005-0000-0000-0000CF300000}"/>
    <cellStyle name="Separador de milhares 6 3 3 3 2" xfId="20899" xr:uid="{92C4536E-A1A4-43E3-847D-13C3F60CBBD8}"/>
    <cellStyle name="Separador de milhares 6 3 3 3 2 2" xfId="23794" xr:uid="{C14D4C1E-655F-4073-AD53-FE57084127E1}"/>
    <cellStyle name="Separador de milhares 6 3 3 4" xfId="13764" xr:uid="{00000000-0005-0000-0000-0000D0300000}"/>
    <cellStyle name="Separador de milhares 6 3 3 4 2" xfId="22500" xr:uid="{FFEB9968-2AAE-48E2-A1DE-1AA6AF98921C}"/>
    <cellStyle name="Separador de milhares 6 3 3 4 2 2" xfId="24067" xr:uid="{EBBD60EF-23DE-474A-9878-14569548D1F7}"/>
    <cellStyle name="Separador de milhares 6 3 3 5" xfId="16017" xr:uid="{CDB9B03B-2554-478B-B8A1-704071A3EA91}"/>
    <cellStyle name="Separador de milhares 6 3 3 5 2" xfId="23126" xr:uid="{E449808E-E949-4889-8ABF-D7300369F538}"/>
    <cellStyle name="Separador de milhares 6 4" xfId="4323" xr:uid="{00000000-0005-0000-0000-0000D1300000}"/>
    <cellStyle name="Separador de milhares 6 4 2" xfId="4324" xr:uid="{00000000-0005-0000-0000-0000D2300000}"/>
    <cellStyle name="Separador de milhares 6 4 2 2" xfId="8947" xr:uid="{00000000-0005-0000-0000-0000D3300000}"/>
    <cellStyle name="Separador de milhares 6 4 2 2 2" xfId="17755" xr:uid="{0D7F8CF2-6564-4D2D-B984-5EBBCB92CDBC}"/>
    <cellStyle name="Separador de milhares 6 4 2 2 2 2" xfId="23420" xr:uid="{F510CE22-BD69-445B-9E7C-7CA78B5021AC}"/>
    <cellStyle name="Separador de milhares 6 4 2 3" xfId="12157" xr:uid="{00000000-0005-0000-0000-0000D4300000}"/>
    <cellStyle name="Separador de milhares 6 4 2 3 2" xfId="20900" xr:uid="{9BE4AE84-BC6F-4661-95DE-538CE0DAF7F3}"/>
    <cellStyle name="Separador de milhares 6 4 2 3 2 2" xfId="23795" xr:uid="{82308C7E-3BD4-4EA2-A5C8-3FB8687B6A1D}"/>
    <cellStyle name="Separador de milhares 6 4 2 4" xfId="13765" xr:uid="{00000000-0005-0000-0000-0000D5300000}"/>
    <cellStyle name="Separador de milhares 6 4 2 4 2" xfId="22501" xr:uid="{378F4C2B-A1FE-42C9-8B8E-772E9E338271}"/>
    <cellStyle name="Separador de milhares 6 4 2 4 2 2" xfId="24068" xr:uid="{B7B4969E-84DE-4760-B65C-2151FECBA067}"/>
    <cellStyle name="Separador de milhares 6 4 2 5" xfId="16018" xr:uid="{CA2E334E-D124-4918-B889-8605F33F6713}"/>
    <cellStyle name="Separador de milhares 6 4 2 5 2" xfId="23127" xr:uid="{E036AA66-CE0F-4FFD-B0E3-8F7C5DC7B25A}"/>
    <cellStyle name="Separador de milhares 6 4 3" xfId="4325" xr:uid="{00000000-0005-0000-0000-0000D6300000}"/>
    <cellStyle name="Separador de milhares 6 4 3 2" xfId="8948" xr:uid="{00000000-0005-0000-0000-0000D7300000}"/>
    <cellStyle name="Separador de milhares 6 4 3 2 2" xfId="17756" xr:uid="{9C817A5C-0B10-43CF-8224-D2DB5516C056}"/>
    <cellStyle name="Separador de milhares 6 4 3 2 2 2" xfId="23421" xr:uid="{0FD7D7B7-2BC0-4179-8AB3-78225C79A196}"/>
    <cellStyle name="Separador de milhares 6 4 3 3" xfId="12158" xr:uid="{00000000-0005-0000-0000-0000D8300000}"/>
    <cellStyle name="Separador de milhares 6 4 3 3 2" xfId="20901" xr:uid="{2F3D69BF-1330-4E90-8FA6-18BB3351438F}"/>
    <cellStyle name="Separador de milhares 6 4 3 3 2 2" xfId="23796" xr:uid="{5AE0DA05-E10E-4795-B212-395C99834DC7}"/>
    <cellStyle name="Separador de milhares 6 4 3 4" xfId="13766" xr:uid="{00000000-0005-0000-0000-0000D9300000}"/>
    <cellStyle name="Separador de milhares 6 4 3 4 2" xfId="22502" xr:uid="{14A4E3D8-1FB5-43B5-B2E4-2D80CBC1B29F}"/>
    <cellStyle name="Separador de milhares 6 4 3 4 2 2" xfId="24069" xr:uid="{B8BDFAF2-2B97-4EDD-90C5-4FAF08EE7166}"/>
    <cellStyle name="Separador de milhares 6 4 3 5" xfId="16019" xr:uid="{10232438-D286-4EAA-B07B-5228DD2490B6}"/>
    <cellStyle name="Separador de milhares 6 4 3 5 2" xfId="23128" xr:uid="{F9053A6B-7D14-4020-9721-0996F0B118AC}"/>
    <cellStyle name="Separador de milhares 6 5" xfId="4326" xr:uid="{00000000-0005-0000-0000-0000DA300000}"/>
    <cellStyle name="Separador de milhares 6 5 2" xfId="4327" xr:uid="{00000000-0005-0000-0000-0000DB300000}"/>
    <cellStyle name="Separador de milhares 6 5 2 2" xfId="8949" xr:uid="{00000000-0005-0000-0000-0000DC300000}"/>
    <cellStyle name="Separador de milhares 6 5 2 2 2" xfId="17757" xr:uid="{2394E6C2-A4A1-419A-BF95-0F560C440F06}"/>
    <cellStyle name="Separador de milhares 6 5 2 2 2 2" xfId="23422" xr:uid="{BBA7506C-9EF5-44B9-9555-B352B171F319}"/>
    <cellStyle name="Separador de milhares 6 5 2 3" xfId="12159" xr:uid="{00000000-0005-0000-0000-0000DD300000}"/>
    <cellStyle name="Separador de milhares 6 5 2 3 2" xfId="20902" xr:uid="{F7079AD0-F0AD-4D49-9D3D-C725C413F413}"/>
    <cellStyle name="Separador de milhares 6 5 2 3 2 2" xfId="23797" xr:uid="{9A5EE56F-07FB-438E-B258-45587C1B8565}"/>
    <cellStyle name="Separador de milhares 6 5 2 4" xfId="13767" xr:uid="{00000000-0005-0000-0000-0000DE300000}"/>
    <cellStyle name="Separador de milhares 6 5 2 4 2" xfId="22503" xr:uid="{CA5FEEE7-BA4D-427D-8756-B4D6BA269E67}"/>
    <cellStyle name="Separador de milhares 6 5 2 4 2 2" xfId="24070" xr:uid="{9204A2A4-BC0B-4C1B-9A24-8CDC940DC8DD}"/>
    <cellStyle name="Separador de milhares 6 5 2 5" xfId="16020" xr:uid="{1579189B-08B6-4616-85E6-82112CF8D014}"/>
    <cellStyle name="Separador de milhares 6 5 2 5 2" xfId="23129" xr:uid="{9BC27CC8-82B2-48AC-8E3B-ACB77F8C63D3}"/>
    <cellStyle name="Separador de milhares 6 5 3" xfId="4328" xr:uid="{00000000-0005-0000-0000-0000DF300000}"/>
    <cellStyle name="Separador de milhares 6 5 3 2" xfId="8950" xr:uid="{00000000-0005-0000-0000-0000E0300000}"/>
    <cellStyle name="Separador de milhares 6 5 3 2 2" xfId="17758" xr:uid="{890FAD6F-554E-4066-BEE0-0A69B1C390F2}"/>
    <cellStyle name="Separador de milhares 6 5 3 2 2 2" xfId="23423" xr:uid="{6E51302C-853D-41BA-8187-0DDDB3404E24}"/>
    <cellStyle name="Separador de milhares 6 5 3 3" xfId="12160" xr:uid="{00000000-0005-0000-0000-0000E1300000}"/>
    <cellStyle name="Separador de milhares 6 5 3 3 2" xfId="20903" xr:uid="{30DEE195-D367-48B9-B514-B998ECD0B26B}"/>
    <cellStyle name="Separador de milhares 6 5 3 3 2 2" xfId="23798" xr:uid="{B6BD22E9-6191-4F45-B0D2-1ADD5FAEFA72}"/>
    <cellStyle name="Separador de milhares 6 5 3 4" xfId="13768" xr:uid="{00000000-0005-0000-0000-0000E2300000}"/>
    <cellStyle name="Separador de milhares 6 5 3 4 2" xfId="22504" xr:uid="{F168616F-5BA5-44B8-BE62-503780284A32}"/>
    <cellStyle name="Separador de milhares 6 5 3 4 2 2" xfId="24071" xr:uid="{0D5B3486-A9C7-4E38-8E4A-1989997498EE}"/>
    <cellStyle name="Separador de milhares 6 5 3 5" xfId="16021" xr:uid="{98839F36-A53C-4116-885D-F4A270406C24}"/>
    <cellStyle name="Separador de milhares 6 5 3 5 2" xfId="23130" xr:uid="{74743CF2-C603-41E1-AF45-43BC425DD914}"/>
    <cellStyle name="Separador de milhares 6 6" xfId="4329" xr:uid="{00000000-0005-0000-0000-0000E3300000}"/>
    <cellStyle name="Separador de milhares 6 6 2" xfId="4330" xr:uid="{00000000-0005-0000-0000-0000E4300000}"/>
    <cellStyle name="Separador de milhares 6 6 2 2" xfId="8951" xr:uid="{00000000-0005-0000-0000-0000E5300000}"/>
    <cellStyle name="Separador de milhares 6 6 2 2 2" xfId="17759" xr:uid="{27201B0C-2770-498E-B76F-C87E728DDBF4}"/>
    <cellStyle name="Separador de milhares 6 6 2 2 2 2" xfId="23424" xr:uid="{CAEE929D-12E7-4B29-8380-B4EEF21A570D}"/>
    <cellStyle name="Separador de milhares 6 6 2 3" xfId="12161" xr:uid="{00000000-0005-0000-0000-0000E6300000}"/>
    <cellStyle name="Separador de milhares 6 6 2 3 2" xfId="20904" xr:uid="{D4CE0127-2D62-4252-A09D-4F5944DAC76E}"/>
    <cellStyle name="Separador de milhares 6 6 2 3 2 2" xfId="23799" xr:uid="{115021B3-0DF5-43F8-9001-3192557F62CD}"/>
    <cellStyle name="Separador de milhares 6 6 2 4" xfId="13769" xr:uid="{00000000-0005-0000-0000-0000E7300000}"/>
    <cellStyle name="Separador de milhares 6 6 2 4 2" xfId="22505" xr:uid="{11DEB5A5-38BA-4185-8B96-09187506DA84}"/>
    <cellStyle name="Separador de milhares 6 6 2 4 2 2" xfId="24072" xr:uid="{5CE2816F-E4FA-40C1-A4D2-D436BF1BD890}"/>
    <cellStyle name="Separador de milhares 6 6 2 5" xfId="16022" xr:uid="{E4E70285-EA87-4BBF-9ADA-678AC2D85463}"/>
    <cellStyle name="Separador de milhares 6 6 2 5 2" xfId="23131" xr:uid="{C7D199C4-29F7-46F6-9964-436C60E60FD9}"/>
    <cellStyle name="Separador de milhares 6 6 3" xfId="4331" xr:uid="{00000000-0005-0000-0000-0000E8300000}"/>
    <cellStyle name="Separador de milhares 6 6 3 2" xfId="8952" xr:uid="{00000000-0005-0000-0000-0000E9300000}"/>
    <cellStyle name="Separador de milhares 6 6 3 2 2" xfId="17760" xr:uid="{838168AC-61B5-458F-9DA9-3E3725375B76}"/>
    <cellStyle name="Separador de milhares 6 6 3 2 2 2" xfId="23425" xr:uid="{4F164A6C-FED4-417D-A1FC-C80CD8A71C96}"/>
    <cellStyle name="Separador de milhares 6 6 3 3" xfId="12162" xr:uid="{00000000-0005-0000-0000-0000EA300000}"/>
    <cellStyle name="Separador de milhares 6 6 3 3 2" xfId="20905" xr:uid="{97750AB4-EBA3-430E-8642-DFBE15E2389A}"/>
    <cellStyle name="Separador de milhares 6 6 3 3 2 2" xfId="23800" xr:uid="{DCC62F49-2337-43EB-9C67-EBFBDCE68444}"/>
    <cellStyle name="Separador de milhares 6 6 3 4" xfId="13770" xr:uid="{00000000-0005-0000-0000-0000EB300000}"/>
    <cellStyle name="Separador de milhares 6 6 3 4 2" xfId="22506" xr:uid="{25135FCE-2E1B-42D3-A46C-4D6560CED503}"/>
    <cellStyle name="Separador de milhares 6 6 3 4 2 2" xfId="24073" xr:uid="{4CA85482-1583-48B8-BD45-F672844D2A76}"/>
    <cellStyle name="Separador de milhares 6 6 3 5" xfId="16023" xr:uid="{6C1D0CEC-CA13-4A0E-889F-34F3D91A23D5}"/>
    <cellStyle name="Separador de milhares 6 6 3 5 2" xfId="23132" xr:uid="{3414CCCD-4B11-4471-99EA-4C4E3989D549}"/>
    <cellStyle name="Separador de milhares 6 7" xfId="4332" xr:uid="{00000000-0005-0000-0000-0000EC300000}"/>
    <cellStyle name="Separador de milhares 6 7 2" xfId="4333" xr:uid="{00000000-0005-0000-0000-0000ED300000}"/>
    <cellStyle name="Separador de milhares 6 7 2 2" xfId="8953" xr:uid="{00000000-0005-0000-0000-0000EE300000}"/>
    <cellStyle name="Separador de milhares 6 7 2 2 2" xfId="17761" xr:uid="{2892DDF3-37F9-4A6C-9562-F0499F7094D3}"/>
    <cellStyle name="Separador de milhares 6 7 2 2 2 2" xfId="23426" xr:uid="{8DDFFBF0-F9C0-4015-A6EB-AFADDF5B55F8}"/>
    <cellStyle name="Separador de milhares 6 7 2 3" xfId="12163" xr:uid="{00000000-0005-0000-0000-0000EF300000}"/>
    <cellStyle name="Separador de milhares 6 7 2 3 2" xfId="20906" xr:uid="{45BBD70D-3D0E-43D3-B909-6422814B67B4}"/>
    <cellStyle name="Separador de milhares 6 7 2 3 2 2" xfId="23801" xr:uid="{5F4FD946-474B-442C-825F-B6D543FB59D6}"/>
    <cellStyle name="Separador de milhares 6 7 2 4" xfId="13771" xr:uid="{00000000-0005-0000-0000-0000F0300000}"/>
    <cellStyle name="Separador de milhares 6 7 2 4 2" xfId="22507" xr:uid="{8049B553-E84D-435D-9151-9CBEEE915558}"/>
    <cellStyle name="Separador de milhares 6 7 2 4 2 2" xfId="24074" xr:uid="{DC77B86B-049C-4D97-A1BD-B197F6EC2EE6}"/>
    <cellStyle name="Separador de milhares 6 7 2 5" xfId="16024" xr:uid="{AD6B2863-8A23-4503-A62A-364C5360FB19}"/>
    <cellStyle name="Separador de milhares 6 7 2 5 2" xfId="23133" xr:uid="{3697E892-C08A-48E7-B785-A448BA45A7B7}"/>
    <cellStyle name="Separador de milhares 6 7 3" xfId="4334" xr:uid="{00000000-0005-0000-0000-0000F1300000}"/>
    <cellStyle name="Separador de milhares 6 7 3 2" xfId="8954" xr:uid="{00000000-0005-0000-0000-0000F2300000}"/>
    <cellStyle name="Separador de milhares 6 7 3 2 2" xfId="17762" xr:uid="{24CBD322-316B-4DF1-97F8-E7F273E23779}"/>
    <cellStyle name="Separador de milhares 6 7 3 2 2 2" xfId="23427" xr:uid="{F796FB70-7A89-459A-8870-1DCC424AC13E}"/>
    <cellStyle name="Separador de milhares 6 7 3 3" xfId="12164" xr:uid="{00000000-0005-0000-0000-0000F3300000}"/>
    <cellStyle name="Separador de milhares 6 7 3 3 2" xfId="20907" xr:uid="{E7B2C871-E360-49A6-BA17-C2DFB71133A6}"/>
    <cellStyle name="Separador de milhares 6 7 3 3 2 2" xfId="23802" xr:uid="{8BBB49F6-6978-4B04-974D-8683A3517C4B}"/>
    <cellStyle name="Separador de milhares 6 7 3 4" xfId="13772" xr:uid="{00000000-0005-0000-0000-0000F4300000}"/>
    <cellStyle name="Separador de milhares 6 7 3 4 2" xfId="22508" xr:uid="{E7F5C225-A3C4-45E3-BBF6-37E63492E555}"/>
    <cellStyle name="Separador de milhares 6 7 3 4 2 2" xfId="24075" xr:uid="{8B7F19C8-5BFF-43AA-B14F-D568F61F1B2A}"/>
    <cellStyle name="Separador de milhares 6 7 3 5" xfId="16025" xr:uid="{031AC5EA-C34B-404C-AE4D-1E9EDBC28C1B}"/>
    <cellStyle name="Separador de milhares 6 7 3 5 2" xfId="23134" xr:uid="{3345DC7E-6F92-454C-8A0D-12FA8BF031B8}"/>
    <cellStyle name="Separador de milhares 6 7 4" xfId="4335" xr:uid="{00000000-0005-0000-0000-0000F5300000}"/>
    <cellStyle name="Separador de milhares 6 7 4 2" xfId="8955" xr:uid="{00000000-0005-0000-0000-0000F6300000}"/>
    <cellStyle name="Separador de milhares 6 7 4 2 2" xfId="17763" xr:uid="{62E7B0CF-348E-43E2-BED6-564C6A2973CF}"/>
    <cellStyle name="Separador de milhares 6 7 4 2 2 2" xfId="23428" xr:uid="{68BA6916-F0B6-4040-9032-E867096AAB34}"/>
    <cellStyle name="Separador de milhares 6 7 4 3" xfId="12165" xr:uid="{00000000-0005-0000-0000-0000F7300000}"/>
    <cellStyle name="Separador de milhares 6 7 4 3 2" xfId="20908" xr:uid="{8F0D25EC-0DBE-4727-883C-DC6D5D331604}"/>
    <cellStyle name="Separador de milhares 6 7 4 3 2 2" xfId="23803" xr:uid="{ED8E2565-B7B5-45FA-A479-7EB8C443A83B}"/>
    <cellStyle name="Separador de milhares 6 7 4 4" xfId="13773" xr:uid="{00000000-0005-0000-0000-0000F8300000}"/>
    <cellStyle name="Separador de milhares 6 7 4 4 2" xfId="22509" xr:uid="{A4947A95-4616-443F-A273-0FC066EAEC5D}"/>
    <cellStyle name="Separador de milhares 6 7 4 4 2 2" xfId="24076" xr:uid="{6AD274E9-8EF3-4B5A-B563-59267FDF837B}"/>
    <cellStyle name="Separador de milhares 6 7 4 5" xfId="16026" xr:uid="{783A1F30-9E11-4882-9B41-1C0ACA8CF811}"/>
    <cellStyle name="Separador de milhares 6 7 4 5 2" xfId="23135" xr:uid="{9858A394-6AF0-47A9-8DB8-DC8B7E051C89}"/>
    <cellStyle name="Separador de milhares 6 7 5" xfId="4336" xr:uid="{00000000-0005-0000-0000-0000F9300000}"/>
    <cellStyle name="Separador de milhares 6 7 5 2" xfId="8956" xr:uid="{00000000-0005-0000-0000-0000FA300000}"/>
    <cellStyle name="Separador de milhares 6 7 5 2 2" xfId="17764" xr:uid="{A9024C0B-7679-4D9E-AEDA-3A3C5C5C921F}"/>
    <cellStyle name="Separador de milhares 6 7 5 2 2 2" xfId="23429" xr:uid="{E8F8270D-2B2E-41D9-87C8-93694960BFC9}"/>
    <cellStyle name="Separador de milhares 6 7 5 3" xfId="12166" xr:uid="{00000000-0005-0000-0000-0000FB300000}"/>
    <cellStyle name="Separador de milhares 6 7 5 3 2" xfId="20909" xr:uid="{F1730204-ACFC-430F-A638-BB43B2A519BA}"/>
    <cellStyle name="Separador de milhares 6 7 5 3 2 2" xfId="23804" xr:uid="{825621B4-EB50-4ACB-A03B-FD18B69B992B}"/>
    <cellStyle name="Separador de milhares 6 7 5 4" xfId="13774" xr:uid="{00000000-0005-0000-0000-0000FC300000}"/>
    <cellStyle name="Separador de milhares 6 7 5 4 2" xfId="22510" xr:uid="{FE6F65F7-9447-43C6-BCE3-AA4C176C368B}"/>
    <cellStyle name="Separador de milhares 6 7 5 4 2 2" xfId="24077" xr:uid="{69A46F06-24FE-432B-9684-2DEC799FC57E}"/>
    <cellStyle name="Separador de milhares 6 7 5 5" xfId="16027" xr:uid="{99B40418-18F7-4C6E-B285-4FB4D9763DB7}"/>
    <cellStyle name="Separador de milhares 6 7 5 5 2" xfId="23136" xr:uid="{8873E752-FF94-440C-9D9E-02223E6DFDE6}"/>
    <cellStyle name="Separador de milhares 6 8" xfId="4337" xr:uid="{00000000-0005-0000-0000-0000FD300000}"/>
    <cellStyle name="Separador de milhares 6 8 2" xfId="8957" xr:uid="{00000000-0005-0000-0000-0000FE300000}"/>
    <cellStyle name="Separador de milhares 6 8 2 2" xfId="17765" xr:uid="{11D0BA66-51A8-4CDA-8113-65C6F0F6F000}"/>
    <cellStyle name="Separador de milhares 6 8 2 2 2" xfId="23430" xr:uid="{3AF05B6A-16A6-4F84-A2EE-320261CDF5AB}"/>
    <cellStyle name="Separador de milhares 6 8 3" xfId="12167" xr:uid="{00000000-0005-0000-0000-0000FF300000}"/>
    <cellStyle name="Separador de milhares 6 8 3 2" xfId="20910" xr:uid="{A998EF55-7539-4B57-A787-22335549ADF7}"/>
    <cellStyle name="Separador de milhares 6 8 3 2 2" xfId="23805" xr:uid="{F36C48E7-7715-43B2-BA2B-4A1544A190C6}"/>
    <cellStyle name="Separador de milhares 6 8 4" xfId="13775" xr:uid="{00000000-0005-0000-0000-000000310000}"/>
    <cellStyle name="Separador de milhares 6 8 4 2" xfId="22511" xr:uid="{3DA7C60D-C3DA-488C-B846-077705747BA3}"/>
    <cellStyle name="Separador de milhares 6 8 4 2 2" xfId="24078" xr:uid="{EA71876A-FE46-439E-93D3-4E52DFC7AEAD}"/>
    <cellStyle name="Separador de milhares 6 8 5" xfId="16028" xr:uid="{FAFDC96B-BC0B-4519-9ADF-3FAC357C7167}"/>
    <cellStyle name="Separador de milhares 6 8 5 2" xfId="23137" xr:uid="{BE0B1E11-6364-4127-BF29-CCF82979A237}"/>
    <cellStyle name="Separador de milhares 6 9" xfId="4338" xr:uid="{00000000-0005-0000-0000-000001310000}"/>
    <cellStyle name="Separador de milhares 6 9 2" xfId="8958" xr:uid="{00000000-0005-0000-0000-000002310000}"/>
    <cellStyle name="Separador de milhares 6 9 2 2" xfId="17766" xr:uid="{E9FEF10C-75DB-495F-AD24-0C9193B167B3}"/>
    <cellStyle name="Separador de milhares 6 9 2 2 2" xfId="23431" xr:uid="{16CFC4E6-DB2C-415F-B5B0-5CAC334C5704}"/>
    <cellStyle name="Separador de milhares 6 9 3" xfId="12168" xr:uid="{00000000-0005-0000-0000-000003310000}"/>
    <cellStyle name="Separador de milhares 6 9 3 2" xfId="20911" xr:uid="{A23149EC-4054-456F-A4D1-B0F12A5810BF}"/>
    <cellStyle name="Separador de milhares 6 9 3 2 2" xfId="23806" xr:uid="{8CC1A04A-77E5-4AD2-9491-06BB41E22B9B}"/>
    <cellStyle name="Separador de milhares 6 9 4" xfId="13776" xr:uid="{00000000-0005-0000-0000-000004310000}"/>
    <cellStyle name="Separador de milhares 6 9 4 2" xfId="22512" xr:uid="{DA20C672-8D45-4554-8838-F677F56C9821}"/>
    <cellStyle name="Separador de milhares 6 9 4 2 2" xfId="24079" xr:uid="{180CCCA0-7692-4272-865E-D2871E11A665}"/>
    <cellStyle name="Separador de milhares 6 9 5" xfId="16029" xr:uid="{4AA1199E-1EE9-42C5-812C-DACCB7B59241}"/>
    <cellStyle name="Separador de milhares 6 9 5 2" xfId="23138" xr:uid="{6C061D0C-527F-4144-AE4C-5921817193AB}"/>
    <cellStyle name="Separador de milhares 7" xfId="4339" xr:uid="{00000000-0005-0000-0000-000005310000}"/>
    <cellStyle name="Separador de milhares 7 10" xfId="4340" xr:uid="{00000000-0005-0000-0000-000006310000}"/>
    <cellStyle name="Separador de milhares 7 10 2" xfId="4341" xr:uid="{00000000-0005-0000-0000-000007310000}"/>
    <cellStyle name="Separador de milhares 7 10 3" xfId="4342" xr:uid="{00000000-0005-0000-0000-000008310000}"/>
    <cellStyle name="Separador de milhares 7 10 4" xfId="4343" xr:uid="{00000000-0005-0000-0000-000009310000}"/>
    <cellStyle name="Separador de milhares 7 10 5" xfId="4344" xr:uid="{00000000-0005-0000-0000-00000A310000}"/>
    <cellStyle name="Separador de milhares 7 10 6" xfId="4345" xr:uid="{00000000-0005-0000-0000-00000B310000}"/>
    <cellStyle name="Separador de milhares 7 10 7" xfId="4346" xr:uid="{00000000-0005-0000-0000-00000C310000}"/>
    <cellStyle name="Separador de milhares 7 11" xfId="4347" xr:uid="{00000000-0005-0000-0000-00000D310000}"/>
    <cellStyle name="Separador de milhares 7 11 2" xfId="4348" xr:uid="{00000000-0005-0000-0000-00000E310000}"/>
    <cellStyle name="Separador de milhares 7 11 2 2" xfId="10412" xr:uid="{00000000-0005-0000-0000-00000F310000}"/>
    <cellStyle name="Separador de milhares 7 11 2 2 2" xfId="19218" xr:uid="{F524B681-668D-4E37-81CC-C6B4B81AF44E}"/>
    <cellStyle name="Separador de milhares 7 11 2 3" xfId="8960" xr:uid="{00000000-0005-0000-0000-000010310000}"/>
    <cellStyle name="Separador de milhares 7 11 2 3 2" xfId="17768" xr:uid="{72B66E94-BADE-4C7A-8A10-E142858CE5FF}"/>
    <cellStyle name="Separador de milhares 7 11 2 4" xfId="12170" xr:uid="{00000000-0005-0000-0000-000011310000}"/>
    <cellStyle name="Separador de milhares 7 11 2 4 2" xfId="20913" xr:uid="{262BB2C3-462F-430E-B196-29DDC915E79B}"/>
    <cellStyle name="Separador de milhares 7 11 2 5" xfId="13778" xr:uid="{00000000-0005-0000-0000-000012310000}"/>
    <cellStyle name="Separador de milhares 7 11 2 5 2" xfId="22514" xr:uid="{93E57637-4988-42D0-B6B9-735AB3D423C9}"/>
    <cellStyle name="Separador de milhares 7 11 2 6" xfId="16031" xr:uid="{D6FD689C-DAA8-4240-90B5-2EFA2A69D384}"/>
    <cellStyle name="Separador de milhares 7 11 3" xfId="4349" xr:uid="{00000000-0005-0000-0000-000013310000}"/>
    <cellStyle name="Separador de milhares 7 11 4" xfId="4350" xr:uid="{00000000-0005-0000-0000-000014310000}"/>
    <cellStyle name="Separador de milhares 7 11 5" xfId="4351" xr:uid="{00000000-0005-0000-0000-000015310000}"/>
    <cellStyle name="Separador de milhares 7 11 6" xfId="4352" xr:uid="{00000000-0005-0000-0000-000016310000}"/>
    <cellStyle name="Separador de milhares 7 11 7" xfId="4353" xr:uid="{00000000-0005-0000-0000-000017310000}"/>
    <cellStyle name="Separador de milhares 7 12" xfId="4354" xr:uid="{00000000-0005-0000-0000-000018310000}"/>
    <cellStyle name="Separador de milhares 7 13" xfId="4355" xr:uid="{00000000-0005-0000-0000-000019310000}"/>
    <cellStyle name="Separador de milhares 7 14" xfId="4356" xr:uid="{00000000-0005-0000-0000-00001A310000}"/>
    <cellStyle name="Separador de milhares 7 14 2" xfId="4357" xr:uid="{00000000-0005-0000-0000-00001B310000}"/>
    <cellStyle name="Separador de milhares 7 14 2 2" xfId="10413" xr:uid="{00000000-0005-0000-0000-00001C310000}"/>
    <cellStyle name="Separador de milhares 7 14 2 2 2" xfId="19219" xr:uid="{45B63087-4CFA-4EFF-8859-BB47E192A874}"/>
    <cellStyle name="Separador de milhares 7 14 2 3" xfId="8961" xr:uid="{00000000-0005-0000-0000-00001D310000}"/>
    <cellStyle name="Separador de milhares 7 14 2 3 2" xfId="17769" xr:uid="{E722A0E3-3176-41B1-B011-47FAEA82D2E7}"/>
    <cellStyle name="Separador de milhares 7 14 2 4" xfId="12171" xr:uid="{00000000-0005-0000-0000-00001E310000}"/>
    <cellStyle name="Separador de milhares 7 14 2 4 2" xfId="20914" xr:uid="{1C2928A2-DD3D-482D-BD4D-E717C6A3B58A}"/>
    <cellStyle name="Separador de milhares 7 14 2 5" xfId="13779" xr:uid="{00000000-0005-0000-0000-00001F310000}"/>
    <cellStyle name="Separador de milhares 7 14 2 5 2" xfId="22515" xr:uid="{D94BBB14-2A1B-4A4E-8CA1-107E083C1BBA}"/>
    <cellStyle name="Separador de milhares 7 14 2 6" xfId="16032" xr:uid="{CA57F8F2-CEAF-47E2-8229-CBA520FD80E6}"/>
    <cellStyle name="Separador de milhares 7 15" xfId="4358" xr:uid="{00000000-0005-0000-0000-000020310000}"/>
    <cellStyle name="Separador de milhares 7 15 2" xfId="10414" xr:uid="{00000000-0005-0000-0000-000021310000}"/>
    <cellStyle name="Separador de milhares 7 15 2 2" xfId="19220" xr:uid="{FFF97CB3-D0E5-4F2B-95E8-E2085CE6B21D}"/>
    <cellStyle name="Separador de milhares 7 15 3" xfId="8962" xr:uid="{00000000-0005-0000-0000-000022310000}"/>
    <cellStyle name="Separador de milhares 7 15 3 2" xfId="17770" xr:uid="{220BC8A1-9AC1-45E5-82C9-ABC46C239722}"/>
    <cellStyle name="Separador de milhares 7 15 4" xfId="12172" xr:uid="{00000000-0005-0000-0000-000023310000}"/>
    <cellStyle name="Separador de milhares 7 15 4 2" xfId="20915" xr:uid="{C0465616-8798-42D4-ACE2-48F691A2A60D}"/>
    <cellStyle name="Separador de milhares 7 15 5" xfId="13780" xr:uid="{00000000-0005-0000-0000-000024310000}"/>
    <cellStyle name="Separador de milhares 7 15 5 2" xfId="22516" xr:uid="{F55AAE94-A922-444E-B41A-BA3696379A10}"/>
    <cellStyle name="Separador de milhares 7 15 6" xfId="16033" xr:uid="{DE1692F1-C39A-4E39-8540-B01431F80904}"/>
    <cellStyle name="Separador de milhares 7 16" xfId="4359" xr:uid="{00000000-0005-0000-0000-000025310000}"/>
    <cellStyle name="Separador de milhares 7 17" xfId="4360" xr:uid="{00000000-0005-0000-0000-000026310000}"/>
    <cellStyle name="Separador de milhares 7 18" xfId="4361" xr:uid="{00000000-0005-0000-0000-000027310000}"/>
    <cellStyle name="Separador de milhares 7 18 2" xfId="10415" xr:uid="{00000000-0005-0000-0000-000028310000}"/>
    <cellStyle name="Separador de milhares 7 18 2 2" xfId="19221" xr:uid="{15A00D4B-7D6A-450E-80B6-FE830B27D5D3}"/>
    <cellStyle name="Separador de milhares 7 18 3" xfId="8963" xr:uid="{00000000-0005-0000-0000-000029310000}"/>
    <cellStyle name="Separador de milhares 7 18 3 2" xfId="17771" xr:uid="{16E163C2-8096-4A95-99B0-94E356B2560D}"/>
    <cellStyle name="Separador de milhares 7 18 4" xfId="12173" xr:uid="{00000000-0005-0000-0000-00002A310000}"/>
    <cellStyle name="Separador de milhares 7 18 4 2" xfId="20916" xr:uid="{9837C5E7-88E0-4AB9-9E3C-4D35AEF1900B}"/>
    <cellStyle name="Separador de milhares 7 18 5" xfId="13781" xr:uid="{00000000-0005-0000-0000-00002B310000}"/>
    <cellStyle name="Separador de milhares 7 18 5 2" xfId="22517" xr:uid="{37B5A467-77E1-4C2E-8E42-98F86FF806B1}"/>
    <cellStyle name="Separador de milhares 7 18 6" xfId="16034" xr:uid="{6EE4EF35-1765-4E44-B5B0-AE33E37E78CB}"/>
    <cellStyle name="Separador de milhares 7 19" xfId="8959" xr:uid="{00000000-0005-0000-0000-00002C310000}"/>
    <cellStyle name="Separador de milhares 7 19 2" xfId="17767" xr:uid="{C49F8271-2231-403E-A9F5-818A61155257}"/>
    <cellStyle name="Separador de milhares 7 19 2 2" xfId="23432" xr:uid="{5EBD7A01-D703-4FDF-A304-A6F6586839AF}"/>
    <cellStyle name="Separador de milhares 7 2" xfId="4362" xr:uid="{00000000-0005-0000-0000-00002D310000}"/>
    <cellStyle name="Separador de milhares 7 2 2" xfId="4363" xr:uid="{00000000-0005-0000-0000-00002E310000}"/>
    <cellStyle name="Separador de milhares 7 2 2 10" xfId="12174" xr:uid="{00000000-0005-0000-0000-00002F310000}"/>
    <cellStyle name="Separador de milhares 7 2 2 10 2" xfId="20917" xr:uid="{DBEE2D3A-4CFD-45D4-945F-01F7518007E1}"/>
    <cellStyle name="Separador de milhares 7 2 2 10 2 2" xfId="23808" xr:uid="{45AB5787-3462-4E14-BA28-2B66806F481F}"/>
    <cellStyle name="Separador de milhares 7 2 2 11" xfId="13782" xr:uid="{00000000-0005-0000-0000-000030310000}"/>
    <cellStyle name="Separador de milhares 7 2 2 11 2" xfId="22518" xr:uid="{8293BBA6-9294-4787-AB9E-E64E80E51AB6}"/>
    <cellStyle name="Separador de milhares 7 2 2 11 2 2" xfId="24081" xr:uid="{0D116CF0-90B8-4DCC-A9F6-F31680E629D1}"/>
    <cellStyle name="Separador de milhares 7 2 2 12" xfId="16035" xr:uid="{153CACC4-19DC-43F6-8BDC-0B8B5E6662BC}"/>
    <cellStyle name="Separador de milhares 7 2 2 12 2" xfId="23140" xr:uid="{34C7E007-0473-4DC4-9414-B663E55FCE38}"/>
    <cellStyle name="Separador de milhares 7 2 2 2" xfId="4364" xr:uid="{00000000-0005-0000-0000-000031310000}"/>
    <cellStyle name="Separador de milhares 7 2 2 2 2" xfId="8965" xr:uid="{00000000-0005-0000-0000-000032310000}"/>
    <cellStyle name="Separador de milhares 7 2 2 2 2 2" xfId="17773" xr:uid="{918BA9E9-16D7-4BB3-BBC5-1E6935B8B2CD}"/>
    <cellStyle name="Separador de milhares 7 2 2 2 2 2 2" xfId="23434" xr:uid="{9AF9F4BB-AECF-4EF1-863F-3A2B69118742}"/>
    <cellStyle name="Separador de milhares 7 2 2 2 3" xfId="12175" xr:uid="{00000000-0005-0000-0000-000033310000}"/>
    <cellStyle name="Separador de milhares 7 2 2 2 3 2" xfId="20918" xr:uid="{BEE9C440-3378-41CB-949C-21C072558C9E}"/>
    <cellStyle name="Separador de milhares 7 2 2 2 3 2 2" xfId="23809" xr:uid="{24599AA2-88D1-40CA-B596-3ECEA02E8C11}"/>
    <cellStyle name="Separador de milhares 7 2 2 2 4" xfId="13783" xr:uid="{00000000-0005-0000-0000-000034310000}"/>
    <cellStyle name="Separador de milhares 7 2 2 2 4 2" xfId="22519" xr:uid="{745E7873-5F40-467A-B91F-7A01E6BF2C81}"/>
    <cellStyle name="Separador de milhares 7 2 2 2 4 2 2" xfId="24082" xr:uid="{58BD4E87-E962-4E5D-8C20-B6FBA2C5B688}"/>
    <cellStyle name="Separador de milhares 7 2 2 2 5" xfId="16036" xr:uid="{AAB6730D-369D-4A3C-BACD-A9931E9F1D8C}"/>
    <cellStyle name="Separador de milhares 7 2 2 2 5 2" xfId="23141" xr:uid="{9B008386-D758-40DB-9C98-896B7354FDB1}"/>
    <cellStyle name="Separador de milhares 7 2 2 3" xfId="4365" xr:uid="{00000000-0005-0000-0000-000035310000}"/>
    <cellStyle name="Separador de milhares 7 2 2 3 2" xfId="8966" xr:uid="{00000000-0005-0000-0000-000036310000}"/>
    <cellStyle name="Separador de milhares 7 2 2 3 2 2" xfId="17774" xr:uid="{F8EF83C4-8E7E-4718-AEED-96266870F845}"/>
    <cellStyle name="Separador de milhares 7 2 2 3 2 2 2" xfId="23435" xr:uid="{03FCD100-3AED-4A03-B6AB-A766D34B026F}"/>
    <cellStyle name="Separador de milhares 7 2 2 3 3" xfId="12176" xr:uid="{00000000-0005-0000-0000-000037310000}"/>
    <cellStyle name="Separador de milhares 7 2 2 3 3 2" xfId="20919" xr:uid="{F2060E7D-BCEE-4A51-82D5-8DCBFCBF5029}"/>
    <cellStyle name="Separador de milhares 7 2 2 3 3 2 2" xfId="23810" xr:uid="{3AFD50A3-738C-41B4-BE1E-D8B019DEB53A}"/>
    <cellStyle name="Separador de milhares 7 2 2 3 4" xfId="13784" xr:uid="{00000000-0005-0000-0000-000038310000}"/>
    <cellStyle name="Separador de milhares 7 2 2 3 4 2" xfId="22520" xr:uid="{1F83A05F-A296-4549-99D6-61F35F5F545D}"/>
    <cellStyle name="Separador de milhares 7 2 2 3 4 2 2" xfId="24083" xr:uid="{51BE6F0C-C503-43AD-AF62-BCC34CBE3676}"/>
    <cellStyle name="Separador de milhares 7 2 2 3 5" xfId="16037" xr:uid="{A858927D-0D83-44BA-90E3-F46F59DFCC24}"/>
    <cellStyle name="Separador de milhares 7 2 2 3 5 2" xfId="23142" xr:uid="{8BC1C359-8891-455C-9B7F-61A315439011}"/>
    <cellStyle name="Separador de milhares 7 2 2 4" xfId="4366" xr:uid="{00000000-0005-0000-0000-000039310000}"/>
    <cellStyle name="Separador de milhares 7 2 2 4 2" xfId="8967" xr:uid="{00000000-0005-0000-0000-00003A310000}"/>
    <cellStyle name="Separador de milhares 7 2 2 4 2 2" xfId="17775" xr:uid="{BC54797E-9CD6-4ADB-9D30-EE8B89E8CBE4}"/>
    <cellStyle name="Separador de milhares 7 2 2 4 2 2 2" xfId="23436" xr:uid="{DCFBF17C-2109-4F19-8142-8A1639F971DE}"/>
    <cellStyle name="Separador de milhares 7 2 2 4 3" xfId="12177" xr:uid="{00000000-0005-0000-0000-00003B310000}"/>
    <cellStyle name="Separador de milhares 7 2 2 4 3 2" xfId="20920" xr:uid="{4FCD41EE-001D-48E6-AEA1-C13CD8E52D44}"/>
    <cellStyle name="Separador de milhares 7 2 2 4 3 2 2" xfId="23811" xr:uid="{9A48628A-D150-4FB2-9194-BB892DE24D78}"/>
    <cellStyle name="Separador de milhares 7 2 2 4 4" xfId="13785" xr:uid="{00000000-0005-0000-0000-00003C310000}"/>
    <cellStyle name="Separador de milhares 7 2 2 4 4 2" xfId="22521" xr:uid="{DF99079D-4BCD-4297-839A-E51DA7FC394A}"/>
    <cellStyle name="Separador de milhares 7 2 2 4 4 2 2" xfId="24084" xr:uid="{2FDD9DEB-8078-44EC-ADCE-1C3A348EA18D}"/>
    <cellStyle name="Separador de milhares 7 2 2 4 5" xfId="16038" xr:uid="{2C891699-4C17-4EB8-AEBB-9FED83498A80}"/>
    <cellStyle name="Separador de milhares 7 2 2 4 5 2" xfId="23143" xr:uid="{10FB0D76-C461-46D0-9E2A-2A35CBB01D46}"/>
    <cellStyle name="Separador de milhares 7 2 2 5" xfId="4367" xr:uid="{00000000-0005-0000-0000-00003D310000}"/>
    <cellStyle name="Separador de milhares 7 2 2 5 2" xfId="8968" xr:uid="{00000000-0005-0000-0000-00003E310000}"/>
    <cellStyle name="Separador de milhares 7 2 2 5 2 2" xfId="17776" xr:uid="{573FD34D-E55F-4474-A873-37E5A784B517}"/>
    <cellStyle name="Separador de milhares 7 2 2 5 2 2 2" xfId="23437" xr:uid="{53EB2BD6-867B-4583-85E1-CAA481D34E26}"/>
    <cellStyle name="Separador de milhares 7 2 2 5 3" xfId="12178" xr:uid="{00000000-0005-0000-0000-00003F310000}"/>
    <cellStyle name="Separador de milhares 7 2 2 5 3 2" xfId="20921" xr:uid="{FA8BF9C1-FC96-4615-ADA5-3345935EECD9}"/>
    <cellStyle name="Separador de milhares 7 2 2 5 3 2 2" xfId="23812" xr:uid="{262AE0BD-E542-477B-A9CA-82C25B90B9F8}"/>
    <cellStyle name="Separador de milhares 7 2 2 5 4" xfId="13786" xr:uid="{00000000-0005-0000-0000-000040310000}"/>
    <cellStyle name="Separador de milhares 7 2 2 5 4 2" xfId="22522" xr:uid="{0770C21E-AEAD-4969-85E9-844C8B3484DA}"/>
    <cellStyle name="Separador de milhares 7 2 2 5 4 2 2" xfId="24085" xr:uid="{6467204B-ABF1-452C-B91D-3AE9BFFB82CC}"/>
    <cellStyle name="Separador de milhares 7 2 2 5 5" xfId="16039" xr:uid="{B0E683C4-AA3B-4952-8171-6CC0728E2549}"/>
    <cellStyle name="Separador de milhares 7 2 2 5 5 2" xfId="23144" xr:uid="{D30D1BF2-7E78-4092-8E51-916A021DE1B3}"/>
    <cellStyle name="Separador de milhares 7 2 2 6" xfId="4368" xr:uid="{00000000-0005-0000-0000-000041310000}"/>
    <cellStyle name="Separador de milhares 7 2 2 6 2" xfId="8969" xr:uid="{00000000-0005-0000-0000-000042310000}"/>
    <cellStyle name="Separador de milhares 7 2 2 6 2 2" xfId="17777" xr:uid="{F794122E-B0B8-48E1-B484-B76DD0D5CB24}"/>
    <cellStyle name="Separador de milhares 7 2 2 6 2 2 2" xfId="23438" xr:uid="{22CBE2B3-4785-419A-A6DF-7BDE4D9C81A0}"/>
    <cellStyle name="Separador de milhares 7 2 2 6 3" xfId="12179" xr:uid="{00000000-0005-0000-0000-000043310000}"/>
    <cellStyle name="Separador de milhares 7 2 2 6 3 2" xfId="20922" xr:uid="{83441D90-ACCD-463D-A2DB-A548C1EE26F9}"/>
    <cellStyle name="Separador de milhares 7 2 2 6 3 2 2" xfId="23813" xr:uid="{DE8FC464-9956-4DFB-84BE-652187E7C20D}"/>
    <cellStyle name="Separador de milhares 7 2 2 6 4" xfId="13787" xr:uid="{00000000-0005-0000-0000-000044310000}"/>
    <cellStyle name="Separador de milhares 7 2 2 6 4 2" xfId="22523" xr:uid="{60D1F335-E6B8-4FD1-A30C-57D96237D2D7}"/>
    <cellStyle name="Separador de milhares 7 2 2 6 4 2 2" xfId="24086" xr:uid="{B375BDE5-4D9D-4EF8-A470-6F2B4DA205E4}"/>
    <cellStyle name="Separador de milhares 7 2 2 6 5" xfId="16040" xr:uid="{87307566-2784-48E8-A7B0-DB68964FF8D3}"/>
    <cellStyle name="Separador de milhares 7 2 2 6 5 2" xfId="23145" xr:uid="{54EE6A5A-9156-42C8-844B-0F30E1709C63}"/>
    <cellStyle name="Separador de milhares 7 2 2 7" xfId="4369" xr:uid="{00000000-0005-0000-0000-000045310000}"/>
    <cellStyle name="Separador de milhares 7 2 2 7 2" xfId="8970" xr:uid="{00000000-0005-0000-0000-000046310000}"/>
    <cellStyle name="Separador de milhares 7 2 2 7 2 2" xfId="17778" xr:uid="{5B2C603B-0E46-4914-83CE-17155377079E}"/>
    <cellStyle name="Separador de milhares 7 2 2 7 2 2 2" xfId="23439" xr:uid="{FE6D3C9C-B396-4F5F-9731-05DC1AF179EB}"/>
    <cellStyle name="Separador de milhares 7 2 2 7 3" xfId="12180" xr:uid="{00000000-0005-0000-0000-000047310000}"/>
    <cellStyle name="Separador de milhares 7 2 2 7 3 2" xfId="20923" xr:uid="{52D8ADB5-7E6C-4318-BDF9-2DF792B1E1CA}"/>
    <cellStyle name="Separador de milhares 7 2 2 7 3 2 2" xfId="23814" xr:uid="{646CF108-81D5-4424-8509-DDB9CD6C50D5}"/>
    <cellStyle name="Separador de milhares 7 2 2 7 4" xfId="13788" xr:uid="{00000000-0005-0000-0000-000048310000}"/>
    <cellStyle name="Separador de milhares 7 2 2 7 4 2" xfId="22524" xr:uid="{49E7383F-5102-4F66-AA85-07764D44C28F}"/>
    <cellStyle name="Separador de milhares 7 2 2 7 4 2 2" xfId="24087" xr:uid="{BEFAEF38-CBD2-4C6B-B72B-874B1F167D8C}"/>
    <cellStyle name="Separador de milhares 7 2 2 7 5" xfId="16041" xr:uid="{98277253-2A6F-4F4F-A74E-A4F21E264602}"/>
    <cellStyle name="Separador de milhares 7 2 2 7 5 2" xfId="23146" xr:uid="{3A0021A9-DDEA-4E41-9C00-38719DFA9B9B}"/>
    <cellStyle name="Separador de milhares 7 2 2 8" xfId="10416" xr:uid="{00000000-0005-0000-0000-000049310000}"/>
    <cellStyle name="Separador de milhares 7 2 2 8 2" xfId="19222" xr:uid="{70D908EA-4AD2-4DA1-BCB3-69DB5C1E4AD7}"/>
    <cellStyle name="Separador de milhares 7 2 2 8 2 2" xfId="23547" xr:uid="{0EC255F5-077A-4E75-AB04-DD24624B4373}"/>
    <cellStyle name="Separador de milhares 7 2 2 9" xfId="8964" xr:uid="{00000000-0005-0000-0000-00004A310000}"/>
    <cellStyle name="Separador de milhares 7 2 2 9 2" xfId="17772" xr:uid="{FE376FE4-4F40-4E34-A88F-15062AF722D5}"/>
    <cellStyle name="Separador de milhares 7 2 2 9 2 2" xfId="23433" xr:uid="{C09DC974-8E1F-436C-B9CA-97DFC1FBC6A5}"/>
    <cellStyle name="Separador de milhares 7 2 3" xfId="4370" xr:uid="{00000000-0005-0000-0000-00004B310000}"/>
    <cellStyle name="Separador de milhares 7 2 4" xfId="4371" xr:uid="{00000000-0005-0000-0000-00004C310000}"/>
    <cellStyle name="Separador de milhares 7 2 4 2" xfId="10417" xr:uid="{00000000-0005-0000-0000-00004D310000}"/>
    <cellStyle name="Separador de milhares 7 2 4 2 2" xfId="19223" xr:uid="{F1A35ECA-5726-4CF6-8F4C-F31CC2B81401}"/>
    <cellStyle name="Separador de milhares 7 2 4 3" xfId="8971" xr:uid="{00000000-0005-0000-0000-00004E310000}"/>
    <cellStyle name="Separador de milhares 7 2 4 3 2" xfId="17779" xr:uid="{50FFB494-54AA-41F0-862F-B950896B1CFF}"/>
    <cellStyle name="Separador de milhares 7 2 4 4" xfId="12181" xr:uid="{00000000-0005-0000-0000-00004F310000}"/>
    <cellStyle name="Separador de milhares 7 2 4 4 2" xfId="20924" xr:uid="{AD0FC931-F539-4A4F-A973-388CC2FE9CEB}"/>
    <cellStyle name="Separador de milhares 7 2 4 5" xfId="13789" xr:uid="{00000000-0005-0000-0000-000050310000}"/>
    <cellStyle name="Separador de milhares 7 2 4 5 2" xfId="22525" xr:uid="{ADBD48A2-D416-4FB8-8075-30EF8F36E888}"/>
    <cellStyle name="Separador de milhares 7 2 4 6" xfId="16042" xr:uid="{410862B2-932B-426A-A3D8-D37B03F68EF3}"/>
    <cellStyle name="Separador de milhares 7 2 5" xfId="4372" xr:uid="{00000000-0005-0000-0000-000051310000}"/>
    <cellStyle name="Separador de milhares 7 2 6" xfId="4373" xr:uid="{00000000-0005-0000-0000-000052310000}"/>
    <cellStyle name="Separador de milhares 7 2 7" xfId="4374" xr:uid="{00000000-0005-0000-0000-000053310000}"/>
    <cellStyle name="Separador de milhares 7 2 8" xfId="4375" xr:uid="{00000000-0005-0000-0000-000054310000}"/>
    <cellStyle name="Separador de milhares 7 2 9" xfId="4376" xr:uid="{00000000-0005-0000-0000-000055310000}"/>
    <cellStyle name="Separador de milhares 7 2 9 2" xfId="8972" xr:uid="{00000000-0005-0000-0000-000056310000}"/>
    <cellStyle name="Separador de milhares 7 2 9 2 2" xfId="17780" xr:uid="{9DD2ADC1-63DC-4994-BF08-95FB04C417C4}"/>
    <cellStyle name="Separador de milhares 7 2 9 2 2 2" xfId="23440" xr:uid="{63A0E7E6-33BE-4B14-941A-8CAA443E2F52}"/>
    <cellStyle name="Separador de milhares 7 2 9 3" xfId="12182" xr:uid="{00000000-0005-0000-0000-000057310000}"/>
    <cellStyle name="Separador de milhares 7 2 9 3 2" xfId="20925" xr:uid="{AA980546-AAA2-4FBE-A33C-FBDB9384218A}"/>
    <cellStyle name="Separador de milhares 7 2 9 3 2 2" xfId="23815" xr:uid="{5E4C2A56-0358-42A8-9667-0D17E1087418}"/>
    <cellStyle name="Separador de milhares 7 2 9 4" xfId="13790" xr:uid="{00000000-0005-0000-0000-000058310000}"/>
    <cellStyle name="Separador de milhares 7 2 9 4 2" xfId="22526" xr:uid="{1E3DF409-906F-4952-AAED-1647701DC859}"/>
    <cellStyle name="Separador de milhares 7 2 9 4 2 2" xfId="24088" xr:uid="{DE5D6F22-B067-4571-BFFC-B8E8D9D5F247}"/>
    <cellStyle name="Separador de milhares 7 2 9 5" xfId="16043" xr:uid="{08F66483-CF61-4214-8E6E-1018DCB269A6}"/>
    <cellStyle name="Separador de milhares 7 2 9 5 2" xfId="23147" xr:uid="{AF3857A0-448A-49F0-A525-5E899E2FAF65}"/>
    <cellStyle name="Separador de milhares 7 20" xfId="12169" xr:uid="{00000000-0005-0000-0000-000059310000}"/>
    <cellStyle name="Separador de milhares 7 20 2" xfId="20912" xr:uid="{C21398CF-6E6C-45EB-B64D-80200D5C9B16}"/>
    <cellStyle name="Separador de milhares 7 20 2 2" xfId="23807" xr:uid="{2CDA7088-FA63-4C5F-9E2E-270C151FED5C}"/>
    <cellStyle name="Separador de milhares 7 21" xfId="13777" xr:uid="{00000000-0005-0000-0000-00005A310000}"/>
    <cellStyle name="Separador de milhares 7 21 2" xfId="22513" xr:uid="{9B289072-B56B-48FD-9607-758362C0178D}"/>
    <cellStyle name="Separador de milhares 7 21 2 2" xfId="24080" xr:uid="{AFA010A6-C4E5-4100-880A-2A3F1112DF67}"/>
    <cellStyle name="Separador de milhares 7 22" xfId="13976" xr:uid="{9441845C-2524-44E1-AD98-3FA176AAD231}"/>
    <cellStyle name="Separador de milhares 7 22 2" xfId="22881" xr:uid="{C9CF1729-2A78-4D4F-BE0E-01DC2A516903}"/>
    <cellStyle name="Separador de milhares 7 23" xfId="16030" xr:uid="{C97EAF22-F379-4286-B37B-4EF0951932B7}"/>
    <cellStyle name="Separador de milhares 7 23 2" xfId="23139" xr:uid="{12A96777-E311-4B4E-8753-AF53030BCE62}"/>
    <cellStyle name="Separador de milhares 7 3" xfId="4377" xr:uid="{00000000-0005-0000-0000-00005B310000}"/>
    <cellStyle name="Separador de milhares 7 3 10" xfId="8973" xr:uid="{00000000-0005-0000-0000-00005C310000}"/>
    <cellStyle name="Separador de milhares 7 3 10 2" xfId="17781" xr:uid="{C73E0D98-4EE7-4112-A42C-2BDA38062043}"/>
    <cellStyle name="Separador de milhares 7 3 10 2 2" xfId="23441" xr:uid="{583673A0-3781-49D9-97CB-89E381953323}"/>
    <cellStyle name="Separador de milhares 7 3 11" xfId="12183" xr:uid="{00000000-0005-0000-0000-00005D310000}"/>
    <cellStyle name="Separador de milhares 7 3 11 2" xfId="20926" xr:uid="{B3D32626-75B3-4527-88AF-90B180F8485E}"/>
    <cellStyle name="Separador de milhares 7 3 11 2 2" xfId="23816" xr:uid="{84DEBBFD-8F63-4D1D-A872-8075A00A7AE4}"/>
    <cellStyle name="Separador de milhares 7 3 12" xfId="13791" xr:uid="{00000000-0005-0000-0000-00005E310000}"/>
    <cellStyle name="Separador de milhares 7 3 12 2" xfId="22527" xr:uid="{FB4FF743-D9E2-4204-A4D4-75BAAB17601C}"/>
    <cellStyle name="Separador de milhares 7 3 12 2 2" xfId="24089" xr:uid="{925DCC83-23D1-4BFF-B37D-4F3D051EF122}"/>
    <cellStyle name="Separador de milhares 7 3 13" xfId="16044" xr:uid="{2E47CA78-DB64-42D3-92EA-E61027E83F5A}"/>
    <cellStyle name="Separador de milhares 7 3 13 2" xfId="23148" xr:uid="{6E55DB07-B199-4996-AE80-A094944213BF}"/>
    <cellStyle name="Separador de milhares 7 3 2" xfId="4378" xr:uid="{00000000-0005-0000-0000-00005F310000}"/>
    <cellStyle name="Separador de milhares 7 3 3" xfId="4379" xr:uid="{00000000-0005-0000-0000-000060310000}"/>
    <cellStyle name="Separador de milhares 7 3 4" xfId="4380" xr:uid="{00000000-0005-0000-0000-000061310000}"/>
    <cellStyle name="Separador de milhares 7 3 5" xfId="4381" xr:uid="{00000000-0005-0000-0000-000062310000}"/>
    <cellStyle name="Separador de milhares 7 3 6" xfId="4382" xr:uid="{00000000-0005-0000-0000-000063310000}"/>
    <cellStyle name="Separador de milhares 7 3 7" xfId="4383" xr:uid="{00000000-0005-0000-0000-000064310000}"/>
    <cellStyle name="Separador de milhares 7 3 8" xfId="4384" xr:uid="{00000000-0005-0000-0000-000065310000}"/>
    <cellStyle name="Separador de milhares 7 3 8 2" xfId="8974" xr:uid="{00000000-0005-0000-0000-000066310000}"/>
    <cellStyle name="Separador de milhares 7 3 8 2 2" xfId="17782" xr:uid="{1FA283F4-584D-45E2-942C-70DC20EB8FE9}"/>
    <cellStyle name="Separador de milhares 7 3 8 2 2 2" xfId="23442" xr:uid="{182875ED-5E96-4586-98CC-5ACF7EBE045D}"/>
    <cellStyle name="Separador de milhares 7 3 8 3" xfId="12184" xr:uid="{00000000-0005-0000-0000-000067310000}"/>
    <cellStyle name="Separador de milhares 7 3 8 3 2" xfId="20927" xr:uid="{02BC84B5-C3C0-45DA-BF93-053348AB92FC}"/>
    <cellStyle name="Separador de milhares 7 3 8 3 2 2" xfId="23817" xr:uid="{F4BECB9F-F739-4EC9-B9BB-F5D190675F62}"/>
    <cellStyle name="Separador de milhares 7 3 8 4" xfId="13792" xr:uid="{00000000-0005-0000-0000-000068310000}"/>
    <cellStyle name="Separador de milhares 7 3 8 4 2" xfId="22528" xr:uid="{8DD1A4BC-7D94-4964-86B2-B0C9309FF195}"/>
    <cellStyle name="Separador de milhares 7 3 8 4 2 2" xfId="24090" xr:uid="{08301878-B704-47F8-AE29-8C40B62AE560}"/>
    <cellStyle name="Separador de milhares 7 3 8 5" xfId="16045" xr:uid="{B2FEC340-AD09-4722-BD99-4F47F815485C}"/>
    <cellStyle name="Separador de milhares 7 3 8 5 2" xfId="23149" xr:uid="{D121FF71-2DF5-4AA7-9EDF-195317384174}"/>
    <cellStyle name="Separador de milhares 7 3 9" xfId="10418" xr:uid="{00000000-0005-0000-0000-000069310000}"/>
    <cellStyle name="Separador de milhares 7 3 9 2" xfId="19224" xr:uid="{F69F08F2-1984-4EBF-A192-FF53D4DF091C}"/>
    <cellStyle name="Separador de milhares 7 3 9 2 2" xfId="23548" xr:uid="{7DD8C3BF-1491-4970-9CBD-D20E8611B34E}"/>
    <cellStyle name="Separador de milhares 7 4" xfId="4385" xr:uid="{00000000-0005-0000-0000-00006A310000}"/>
    <cellStyle name="Separador de milhares 7 4 10" xfId="8975" xr:uid="{00000000-0005-0000-0000-00006B310000}"/>
    <cellStyle name="Separador de milhares 7 4 10 2" xfId="17783" xr:uid="{A95E4038-FF5F-411F-9DCE-C59208472D1D}"/>
    <cellStyle name="Separador de milhares 7 4 10 2 2" xfId="23443" xr:uid="{64AAFFB3-17B1-4433-88E0-23889D6D9D8B}"/>
    <cellStyle name="Separador de milhares 7 4 11" xfId="12185" xr:uid="{00000000-0005-0000-0000-00006C310000}"/>
    <cellStyle name="Separador de milhares 7 4 11 2" xfId="20928" xr:uid="{9D2DB3DB-E4A2-46D5-B851-4C15BB699B2A}"/>
    <cellStyle name="Separador de milhares 7 4 11 2 2" xfId="23818" xr:uid="{AB849517-1F61-43E5-A50A-D2708C40A558}"/>
    <cellStyle name="Separador de milhares 7 4 12" xfId="13793" xr:uid="{00000000-0005-0000-0000-00006D310000}"/>
    <cellStyle name="Separador de milhares 7 4 12 2" xfId="22529" xr:uid="{43EDB5FC-5534-4E86-9101-FE2627ABF864}"/>
    <cellStyle name="Separador de milhares 7 4 12 2 2" xfId="24091" xr:uid="{D9442D88-8B0D-45CF-A051-A2CCCD366ABE}"/>
    <cellStyle name="Separador de milhares 7 4 13" xfId="16046" xr:uid="{B060CD53-E2CF-4A9E-8A25-6BF4CE76B00E}"/>
    <cellStyle name="Separador de milhares 7 4 13 2" xfId="23150" xr:uid="{17B158D0-39D9-4FD6-8153-04384C19618F}"/>
    <cellStyle name="Separador de milhares 7 4 2" xfId="4386" xr:uid="{00000000-0005-0000-0000-00006E310000}"/>
    <cellStyle name="Separador de milhares 7 4 3" xfId="4387" xr:uid="{00000000-0005-0000-0000-00006F310000}"/>
    <cellStyle name="Separador de milhares 7 4 4" xfId="4388" xr:uid="{00000000-0005-0000-0000-000070310000}"/>
    <cellStyle name="Separador de milhares 7 4 5" xfId="4389" xr:uid="{00000000-0005-0000-0000-000071310000}"/>
    <cellStyle name="Separador de milhares 7 4 6" xfId="4390" xr:uid="{00000000-0005-0000-0000-000072310000}"/>
    <cellStyle name="Separador de milhares 7 4 7" xfId="4391" xr:uid="{00000000-0005-0000-0000-000073310000}"/>
    <cellStyle name="Separador de milhares 7 4 8" xfId="4392" xr:uid="{00000000-0005-0000-0000-000074310000}"/>
    <cellStyle name="Separador de milhares 7 4 8 2" xfId="8976" xr:uid="{00000000-0005-0000-0000-000075310000}"/>
    <cellStyle name="Separador de milhares 7 4 8 2 2" xfId="17784" xr:uid="{69586658-B7CD-4AA5-893A-EBBD2F7E7B30}"/>
    <cellStyle name="Separador de milhares 7 4 8 2 2 2" xfId="23444" xr:uid="{38666005-A6DF-4003-912C-2A0C1450BC27}"/>
    <cellStyle name="Separador de milhares 7 4 8 3" xfId="12186" xr:uid="{00000000-0005-0000-0000-000076310000}"/>
    <cellStyle name="Separador de milhares 7 4 8 3 2" xfId="20929" xr:uid="{D52A40FF-BD29-4406-842C-BEC373ECDC79}"/>
    <cellStyle name="Separador de milhares 7 4 8 3 2 2" xfId="23819" xr:uid="{AD4E4290-8B87-49EC-ACC1-48D6A321B186}"/>
    <cellStyle name="Separador de milhares 7 4 8 4" xfId="13794" xr:uid="{00000000-0005-0000-0000-000077310000}"/>
    <cellStyle name="Separador de milhares 7 4 8 4 2" xfId="22530" xr:uid="{6F6DBDDE-7F7F-451E-819A-F8F33C300367}"/>
    <cellStyle name="Separador de milhares 7 4 8 4 2 2" xfId="24092" xr:uid="{59BCC0F7-660E-4ECD-93EB-EF7F707B2DE7}"/>
    <cellStyle name="Separador de milhares 7 4 8 5" xfId="16047" xr:uid="{F15D285D-BEC4-4E80-A692-4F680F3FAE2F}"/>
    <cellStyle name="Separador de milhares 7 4 8 5 2" xfId="23151" xr:uid="{DDCB9D9C-24B8-4132-9047-E8F3FC685FC5}"/>
    <cellStyle name="Separador de milhares 7 4 9" xfId="10419" xr:uid="{00000000-0005-0000-0000-000078310000}"/>
    <cellStyle name="Separador de milhares 7 4 9 2" xfId="19225" xr:uid="{30285C8E-17B1-4A05-823C-B013AB6569A3}"/>
    <cellStyle name="Separador de milhares 7 4 9 2 2" xfId="23549" xr:uid="{54FBBA1B-187D-46A9-85D8-23429FD2A12E}"/>
    <cellStyle name="Separador de milhares 7 5" xfId="4393" xr:uid="{00000000-0005-0000-0000-000079310000}"/>
    <cellStyle name="Separador de milhares 7 5 2" xfId="4394" xr:uid="{00000000-0005-0000-0000-00007A310000}"/>
    <cellStyle name="Separador de milhares 7 5 2 2" xfId="10420" xr:uid="{00000000-0005-0000-0000-00007B310000}"/>
    <cellStyle name="Separador de milhares 7 5 2 2 2" xfId="19226" xr:uid="{9B69722C-4FBA-4C4A-9E09-F07B7A853382}"/>
    <cellStyle name="Separador de milhares 7 5 2 3" xfId="8977" xr:uid="{00000000-0005-0000-0000-00007C310000}"/>
    <cellStyle name="Separador de milhares 7 5 2 3 2" xfId="17785" xr:uid="{2BF70645-44D7-4200-8671-10A47DABA454}"/>
    <cellStyle name="Separador de milhares 7 5 2 4" xfId="12187" xr:uid="{00000000-0005-0000-0000-00007D310000}"/>
    <cellStyle name="Separador de milhares 7 5 2 4 2" xfId="20930" xr:uid="{1FD73C87-E8FE-4736-937C-B98630D5B9F4}"/>
    <cellStyle name="Separador de milhares 7 5 2 5" xfId="13795" xr:uid="{00000000-0005-0000-0000-00007E310000}"/>
    <cellStyle name="Separador de milhares 7 5 2 5 2" xfId="22531" xr:uid="{D06DF886-509F-42C1-82DD-EDF142C27C3E}"/>
    <cellStyle name="Separador de milhares 7 5 2 6" xfId="16048" xr:uid="{6E9300C1-B75B-4DD9-8247-D29B59BB4068}"/>
    <cellStyle name="Separador de milhares 7 5 3" xfId="4395" xr:uid="{00000000-0005-0000-0000-00007F310000}"/>
    <cellStyle name="Separador de milhares 7 5 3 2" xfId="10421" xr:uid="{00000000-0005-0000-0000-000080310000}"/>
    <cellStyle name="Separador de milhares 7 5 3 2 2" xfId="19227" xr:uid="{86C7353F-3B47-48E7-BFCB-5D177963D666}"/>
    <cellStyle name="Separador de milhares 7 5 3 3" xfId="8978" xr:uid="{00000000-0005-0000-0000-000081310000}"/>
    <cellStyle name="Separador de milhares 7 5 3 3 2" xfId="17786" xr:uid="{D0478B2D-A36B-4643-AF30-FD9B0489E0C5}"/>
    <cellStyle name="Separador de milhares 7 5 3 4" xfId="12188" xr:uid="{00000000-0005-0000-0000-000082310000}"/>
    <cellStyle name="Separador de milhares 7 5 3 4 2" xfId="20931" xr:uid="{D5386082-04F0-40AF-9754-AE8475C2C6A2}"/>
    <cellStyle name="Separador de milhares 7 5 3 5" xfId="13796" xr:uid="{00000000-0005-0000-0000-000083310000}"/>
    <cellStyle name="Separador de milhares 7 5 3 5 2" xfId="22532" xr:uid="{477B69F9-3B0A-46C7-BB2A-00DDC7C4068B}"/>
    <cellStyle name="Separador de milhares 7 5 3 6" xfId="16049" xr:uid="{73E422F2-7360-4CD6-B434-632392B6EE4B}"/>
    <cellStyle name="Separador de milhares 7 5 4" xfId="4396" xr:uid="{00000000-0005-0000-0000-000084310000}"/>
    <cellStyle name="Separador de milhares 7 5 5" xfId="4397" xr:uid="{00000000-0005-0000-0000-000085310000}"/>
    <cellStyle name="Separador de milhares 7 5 6" xfId="4398" xr:uid="{00000000-0005-0000-0000-000086310000}"/>
    <cellStyle name="Separador de milhares 7 5 7" xfId="4399" xr:uid="{00000000-0005-0000-0000-000087310000}"/>
    <cellStyle name="Separador de milhares 7 5 8" xfId="4400" xr:uid="{00000000-0005-0000-0000-000088310000}"/>
    <cellStyle name="Separador de milhares 7 5 8 2" xfId="8979" xr:uid="{00000000-0005-0000-0000-000089310000}"/>
    <cellStyle name="Separador de milhares 7 5 8 2 2" xfId="17787" xr:uid="{3B1ED47D-16BF-4760-B1A7-943BAC225A8F}"/>
    <cellStyle name="Separador de milhares 7 5 8 2 2 2" xfId="23445" xr:uid="{E01275BA-F960-4DFD-AEF6-603AA5925914}"/>
    <cellStyle name="Separador de milhares 7 5 8 3" xfId="12189" xr:uid="{00000000-0005-0000-0000-00008A310000}"/>
    <cellStyle name="Separador de milhares 7 5 8 3 2" xfId="20932" xr:uid="{54FAA97B-D489-404D-BB3B-1C678C090908}"/>
    <cellStyle name="Separador de milhares 7 5 8 3 2 2" xfId="23820" xr:uid="{B754A646-8DB2-4279-9115-35ED3D3B55C8}"/>
    <cellStyle name="Separador de milhares 7 5 8 4" xfId="13797" xr:uid="{00000000-0005-0000-0000-00008B310000}"/>
    <cellStyle name="Separador de milhares 7 5 8 4 2" xfId="22533" xr:uid="{25D542E1-1A27-44D3-964A-09D7CD62FFA9}"/>
    <cellStyle name="Separador de milhares 7 5 8 4 2 2" xfId="24093" xr:uid="{FAC743F0-EDB0-4C5D-A190-2F5120E641E0}"/>
    <cellStyle name="Separador de milhares 7 5 8 5" xfId="16050" xr:uid="{0013EA08-096D-4241-B8C3-83D268E550B8}"/>
    <cellStyle name="Separador de milhares 7 5 8 5 2" xfId="23152" xr:uid="{406CC187-0FB3-47AB-B8AD-5D240CF1DE93}"/>
    <cellStyle name="Separador de milhares 7 6" xfId="4401" xr:uid="{00000000-0005-0000-0000-00008C310000}"/>
    <cellStyle name="Separador de milhares 7 6 10" xfId="8980" xr:uid="{00000000-0005-0000-0000-00008D310000}"/>
    <cellStyle name="Separador de milhares 7 6 10 2" xfId="17788" xr:uid="{3C8183BC-3AE6-4D47-AF93-01F77A71ADB3}"/>
    <cellStyle name="Separador de milhares 7 6 11" xfId="12190" xr:uid="{00000000-0005-0000-0000-00008E310000}"/>
    <cellStyle name="Separador de milhares 7 6 11 2" xfId="20933" xr:uid="{F7A8C5EA-B44C-4BFF-9137-5515B3A95E8B}"/>
    <cellStyle name="Separador de milhares 7 6 12" xfId="13798" xr:uid="{00000000-0005-0000-0000-00008F310000}"/>
    <cellStyle name="Separador de milhares 7 6 12 2" xfId="22534" xr:uid="{F0463A76-8BDB-4210-8CBC-03F50974B320}"/>
    <cellStyle name="Separador de milhares 7 6 13" xfId="16051" xr:uid="{756A1B5A-8EA8-4AA3-9EC9-75DE9C06C071}"/>
    <cellStyle name="Separador de milhares 7 6 2" xfId="4402" xr:uid="{00000000-0005-0000-0000-000090310000}"/>
    <cellStyle name="Separador de milhares 7 6 2 2" xfId="10423" xr:uid="{00000000-0005-0000-0000-000091310000}"/>
    <cellStyle name="Separador de milhares 7 6 2 2 2" xfId="19229" xr:uid="{1CFCDCE2-F2BD-44F8-A12C-0A58F8E2FDA6}"/>
    <cellStyle name="Separador de milhares 7 6 2 3" xfId="8981" xr:uid="{00000000-0005-0000-0000-000092310000}"/>
    <cellStyle name="Separador de milhares 7 6 2 3 2" xfId="17789" xr:uid="{F8438607-4500-4F26-BEE4-FE1478DFA8FE}"/>
    <cellStyle name="Separador de milhares 7 6 2 4" xfId="12191" xr:uid="{00000000-0005-0000-0000-000093310000}"/>
    <cellStyle name="Separador de milhares 7 6 2 4 2" xfId="20934" xr:uid="{AC271E5F-701F-4023-B893-14A3E11FDDB7}"/>
    <cellStyle name="Separador de milhares 7 6 2 5" xfId="13799" xr:uid="{00000000-0005-0000-0000-000094310000}"/>
    <cellStyle name="Separador de milhares 7 6 2 5 2" xfId="22535" xr:uid="{D53158FF-FB98-41BF-AF64-63B3500ED19A}"/>
    <cellStyle name="Separador de milhares 7 6 2 6" xfId="16052" xr:uid="{19AC12F6-9D4D-4DD2-A2D7-FC71EBF8C406}"/>
    <cellStyle name="Separador de milhares 7 6 3" xfId="4403" xr:uid="{00000000-0005-0000-0000-000095310000}"/>
    <cellStyle name="Separador de milhares 7 6 4" xfId="4404" xr:uid="{00000000-0005-0000-0000-000096310000}"/>
    <cellStyle name="Separador de milhares 7 6 5" xfId="4405" xr:uid="{00000000-0005-0000-0000-000097310000}"/>
    <cellStyle name="Separador de milhares 7 6 6" xfId="4406" xr:uid="{00000000-0005-0000-0000-000098310000}"/>
    <cellStyle name="Separador de milhares 7 6 7" xfId="4407" xr:uid="{00000000-0005-0000-0000-000099310000}"/>
    <cellStyle name="Separador de milhares 7 6 8" xfId="4408" xr:uid="{00000000-0005-0000-0000-00009A310000}"/>
    <cellStyle name="Separador de milhares 7 6 8 2" xfId="8982" xr:uid="{00000000-0005-0000-0000-00009B310000}"/>
    <cellStyle name="Separador de milhares 7 6 8 2 2" xfId="17790" xr:uid="{51A9485B-35D2-4B15-8DB7-DFDE647F582B}"/>
    <cellStyle name="Separador de milhares 7 6 8 2 2 2" xfId="23446" xr:uid="{91251421-1CCA-4FE9-9FFC-DDE2B802CCE8}"/>
    <cellStyle name="Separador de milhares 7 6 8 3" xfId="12192" xr:uid="{00000000-0005-0000-0000-00009C310000}"/>
    <cellStyle name="Separador de milhares 7 6 8 3 2" xfId="20935" xr:uid="{AD69E7E2-C330-4448-BBCD-822FDCC45E44}"/>
    <cellStyle name="Separador de milhares 7 6 8 3 2 2" xfId="23821" xr:uid="{70CBC955-5C98-4094-A902-D645572BE952}"/>
    <cellStyle name="Separador de milhares 7 6 8 4" xfId="13800" xr:uid="{00000000-0005-0000-0000-00009D310000}"/>
    <cellStyle name="Separador de milhares 7 6 8 4 2" xfId="22536" xr:uid="{4D671B29-B33B-4F69-B7E9-EF8BAD2EC31B}"/>
    <cellStyle name="Separador de milhares 7 6 8 4 2 2" xfId="24094" xr:uid="{D6F24395-E645-45BD-B68E-86B60E430585}"/>
    <cellStyle name="Separador de milhares 7 6 8 5" xfId="16053" xr:uid="{18287E33-0CF3-4101-AD40-8FF5DF0438E1}"/>
    <cellStyle name="Separador de milhares 7 6 8 5 2" xfId="23153" xr:uid="{52252B8F-082D-406A-A8B6-6287963D4EFA}"/>
    <cellStyle name="Separador de milhares 7 6 9" xfId="10422" xr:uid="{00000000-0005-0000-0000-00009E310000}"/>
    <cellStyle name="Separador de milhares 7 6 9 2" xfId="19228" xr:uid="{3FD52CF5-F9D9-4736-AE40-0E8869C9B3D8}"/>
    <cellStyle name="Separador de milhares 7 7" xfId="4409" xr:uid="{00000000-0005-0000-0000-00009F310000}"/>
    <cellStyle name="Separador de milhares 7 7 10" xfId="12193" xr:uid="{00000000-0005-0000-0000-0000A0310000}"/>
    <cellStyle name="Separador de milhares 7 7 10 2" xfId="20936" xr:uid="{9A63980A-C34B-45B8-827B-6146BB10F3D5}"/>
    <cellStyle name="Separador de milhares 7 7 11" xfId="13801" xr:uid="{00000000-0005-0000-0000-0000A1310000}"/>
    <cellStyle name="Separador de milhares 7 7 11 2" xfId="22537" xr:uid="{40C2D2D4-DB44-468E-A854-283E7AEF446E}"/>
    <cellStyle name="Separador de milhares 7 7 12" xfId="16054" xr:uid="{8E8D6272-7FC1-4B7A-8281-D18BB761B4C9}"/>
    <cellStyle name="Separador de milhares 7 7 2" xfId="4410" xr:uid="{00000000-0005-0000-0000-0000A2310000}"/>
    <cellStyle name="Separador de milhares 7 7 3" xfId="4411" xr:uid="{00000000-0005-0000-0000-0000A3310000}"/>
    <cellStyle name="Separador de milhares 7 7 4" xfId="4412" xr:uid="{00000000-0005-0000-0000-0000A4310000}"/>
    <cellStyle name="Separador de milhares 7 7 5" xfId="4413" xr:uid="{00000000-0005-0000-0000-0000A5310000}"/>
    <cellStyle name="Separador de milhares 7 7 6" xfId="4414" xr:uid="{00000000-0005-0000-0000-0000A6310000}"/>
    <cellStyle name="Separador de milhares 7 7 7" xfId="4415" xr:uid="{00000000-0005-0000-0000-0000A7310000}"/>
    <cellStyle name="Separador de milhares 7 7 8" xfId="10424" xr:uid="{00000000-0005-0000-0000-0000A8310000}"/>
    <cellStyle name="Separador de milhares 7 7 8 2" xfId="19230" xr:uid="{45165E95-1219-401B-99A9-C23ED72514E8}"/>
    <cellStyle name="Separador de milhares 7 7 9" xfId="8983" xr:uid="{00000000-0005-0000-0000-0000A9310000}"/>
    <cellStyle name="Separador de milhares 7 7 9 2" xfId="17791" xr:uid="{4EA1AE6C-B31F-46DF-9B3F-7993D924C542}"/>
    <cellStyle name="Separador de milhares 7 8" xfId="4416" xr:uid="{00000000-0005-0000-0000-0000AA310000}"/>
    <cellStyle name="Separador de milhares 7 8 10" xfId="12194" xr:uid="{00000000-0005-0000-0000-0000AB310000}"/>
    <cellStyle name="Separador de milhares 7 8 10 2" xfId="20937" xr:uid="{02EE0633-462E-4BDC-811F-F5E4043A69B3}"/>
    <cellStyle name="Separador de milhares 7 8 10 2 2" xfId="23822" xr:uid="{977BFE19-070E-4D18-9BBE-D022F033DF17}"/>
    <cellStyle name="Separador de milhares 7 8 11" xfId="13802" xr:uid="{00000000-0005-0000-0000-0000AC310000}"/>
    <cellStyle name="Separador de milhares 7 8 11 2" xfId="22538" xr:uid="{73546EA5-25CA-4BB8-8C43-0BD96417AA63}"/>
    <cellStyle name="Separador de milhares 7 8 11 2 2" xfId="24095" xr:uid="{8315F70D-1F87-4C64-8B9A-F30E05E30915}"/>
    <cellStyle name="Separador de milhares 7 8 12" xfId="16055" xr:uid="{137DF74B-7079-4CD4-883C-405A31A7B445}"/>
    <cellStyle name="Separador de milhares 7 8 12 2" xfId="23154" xr:uid="{DF6F5060-1478-4E1F-8269-6B96AD4E80C6}"/>
    <cellStyle name="Separador de milhares 7 8 2" xfId="4417" xr:uid="{00000000-0005-0000-0000-0000AD310000}"/>
    <cellStyle name="Separador de milhares 7 8 2 2" xfId="8985" xr:uid="{00000000-0005-0000-0000-0000AE310000}"/>
    <cellStyle name="Separador de milhares 7 8 2 2 2" xfId="17793" xr:uid="{4685BC7A-6F3C-4063-9D35-8412B9B5DAF1}"/>
    <cellStyle name="Separador de milhares 7 8 2 2 2 2" xfId="23448" xr:uid="{550CEBD6-47D5-452E-857A-0714EF9AF8B1}"/>
    <cellStyle name="Separador de milhares 7 8 2 3" xfId="12195" xr:uid="{00000000-0005-0000-0000-0000AF310000}"/>
    <cellStyle name="Separador de milhares 7 8 2 3 2" xfId="20938" xr:uid="{D1431A9C-CFF8-4CCB-98C8-7E76E02116FA}"/>
    <cellStyle name="Separador de milhares 7 8 2 3 2 2" xfId="23823" xr:uid="{737C6CDC-BD4B-44B9-A488-4E8C0B6D18B3}"/>
    <cellStyle name="Separador de milhares 7 8 2 4" xfId="13803" xr:uid="{00000000-0005-0000-0000-0000B0310000}"/>
    <cellStyle name="Separador de milhares 7 8 2 4 2" xfId="22539" xr:uid="{49735901-FD36-4F6F-B9EE-DC6F1647AF9E}"/>
    <cellStyle name="Separador de milhares 7 8 2 4 2 2" xfId="24096" xr:uid="{47D1A1E1-65D8-407F-B959-C45A9A11D639}"/>
    <cellStyle name="Separador de milhares 7 8 2 5" xfId="16056" xr:uid="{19D10F25-65DD-4358-8232-0195133CAD0E}"/>
    <cellStyle name="Separador de milhares 7 8 2 5 2" xfId="23155" xr:uid="{39684307-7DC7-48D0-8018-456A6961C2BE}"/>
    <cellStyle name="Separador de milhares 7 8 3" xfId="4418" xr:uid="{00000000-0005-0000-0000-0000B1310000}"/>
    <cellStyle name="Separador de milhares 7 8 3 2" xfId="8986" xr:uid="{00000000-0005-0000-0000-0000B2310000}"/>
    <cellStyle name="Separador de milhares 7 8 3 2 2" xfId="17794" xr:uid="{735692D2-3102-497F-8ECB-B1EB073DBB2D}"/>
    <cellStyle name="Separador de milhares 7 8 3 2 2 2" xfId="23449" xr:uid="{E23C9970-3257-4C5B-BDD2-4799BD46C407}"/>
    <cellStyle name="Separador de milhares 7 8 3 3" xfId="12196" xr:uid="{00000000-0005-0000-0000-0000B3310000}"/>
    <cellStyle name="Separador de milhares 7 8 3 3 2" xfId="20939" xr:uid="{16C74365-04F5-4624-AA9D-A1E20FE56289}"/>
    <cellStyle name="Separador de milhares 7 8 3 3 2 2" xfId="23824" xr:uid="{243E4D6E-4722-491C-A7D8-9912C4BE4A35}"/>
    <cellStyle name="Separador de milhares 7 8 3 4" xfId="13804" xr:uid="{00000000-0005-0000-0000-0000B4310000}"/>
    <cellStyle name="Separador de milhares 7 8 3 4 2" xfId="22540" xr:uid="{AFD86530-A28C-4334-B142-8C17E0F5E7A3}"/>
    <cellStyle name="Separador de milhares 7 8 3 4 2 2" xfId="24097" xr:uid="{6BE1F0E9-F6ED-4D3E-BF71-16960A695B63}"/>
    <cellStyle name="Separador de milhares 7 8 3 5" xfId="16057" xr:uid="{3DFA8BED-9C0B-49F9-A3E8-1FB21821D56B}"/>
    <cellStyle name="Separador de milhares 7 8 3 5 2" xfId="23156" xr:uid="{65A67100-41AC-477B-AD9B-0E5BA6203E85}"/>
    <cellStyle name="Separador de milhares 7 8 4" xfId="4419" xr:uid="{00000000-0005-0000-0000-0000B5310000}"/>
    <cellStyle name="Separador de milhares 7 8 4 2" xfId="8987" xr:uid="{00000000-0005-0000-0000-0000B6310000}"/>
    <cellStyle name="Separador de milhares 7 8 4 2 2" xfId="17795" xr:uid="{BA059663-5076-4150-80BF-C69A00F99314}"/>
    <cellStyle name="Separador de milhares 7 8 4 2 2 2" xfId="23450" xr:uid="{820DBEBA-BB47-4B3F-A980-AC34CA278EDF}"/>
    <cellStyle name="Separador de milhares 7 8 4 3" xfId="12197" xr:uid="{00000000-0005-0000-0000-0000B7310000}"/>
    <cellStyle name="Separador de milhares 7 8 4 3 2" xfId="20940" xr:uid="{FD9560C2-489E-4ABC-9219-CE39ABA17B4D}"/>
    <cellStyle name="Separador de milhares 7 8 4 3 2 2" xfId="23825" xr:uid="{F8C8B2D2-715A-4CE0-9665-157B393D81A4}"/>
    <cellStyle name="Separador de milhares 7 8 4 4" xfId="13805" xr:uid="{00000000-0005-0000-0000-0000B8310000}"/>
    <cellStyle name="Separador de milhares 7 8 4 4 2" xfId="22541" xr:uid="{55342A0F-B1A8-4917-987E-4BDE26AEEA15}"/>
    <cellStyle name="Separador de milhares 7 8 4 4 2 2" xfId="24098" xr:uid="{62714F2E-7288-4EBE-9CAF-D5F50ADF7248}"/>
    <cellStyle name="Separador de milhares 7 8 4 5" xfId="16058" xr:uid="{D234DF10-BD58-46E4-8DF6-2ED6E51A4A46}"/>
    <cellStyle name="Separador de milhares 7 8 4 5 2" xfId="23157" xr:uid="{1FFFFDF6-3798-43AF-964E-903F138B04F6}"/>
    <cellStyle name="Separador de milhares 7 8 5" xfId="4420" xr:uid="{00000000-0005-0000-0000-0000B9310000}"/>
    <cellStyle name="Separador de milhares 7 8 5 2" xfId="8988" xr:uid="{00000000-0005-0000-0000-0000BA310000}"/>
    <cellStyle name="Separador de milhares 7 8 5 2 2" xfId="17796" xr:uid="{2810B7A4-1219-40C0-9E02-2614C32784B5}"/>
    <cellStyle name="Separador de milhares 7 8 5 2 2 2" xfId="23451" xr:uid="{BE9CD65D-42F9-410C-ABC0-340D9BCAEF7E}"/>
    <cellStyle name="Separador de milhares 7 8 5 3" xfId="12198" xr:uid="{00000000-0005-0000-0000-0000BB310000}"/>
    <cellStyle name="Separador de milhares 7 8 5 3 2" xfId="20941" xr:uid="{9DE5C39C-0A1F-40CB-A7A5-909B7B34680E}"/>
    <cellStyle name="Separador de milhares 7 8 5 3 2 2" xfId="23826" xr:uid="{1E94D4F1-43F2-4B43-B4AF-51679E79DA70}"/>
    <cellStyle name="Separador de milhares 7 8 5 4" xfId="13806" xr:uid="{00000000-0005-0000-0000-0000BC310000}"/>
    <cellStyle name="Separador de milhares 7 8 5 4 2" xfId="22542" xr:uid="{15CA290E-6639-41EF-8C89-A730B1D0EC61}"/>
    <cellStyle name="Separador de milhares 7 8 5 4 2 2" xfId="24099" xr:uid="{2F80CC67-BC25-4F84-A8BD-2DA10923E224}"/>
    <cellStyle name="Separador de milhares 7 8 5 5" xfId="16059" xr:uid="{DB12283D-6522-4F38-9DB7-CC2D8B22016B}"/>
    <cellStyle name="Separador de milhares 7 8 5 5 2" xfId="23158" xr:uid="{4F7C35F9-AD75-4F89-8B66-09EEA868C5BA}"/>
    <cellStyle name="Separador de milhares 7 8 6" xfId="4421" xr:uid="{00000000-0005-0000-0000-0000BD310000}"/>
    <cellStyle name="Separador de milhares 7 8 6 2" xfId="8989" xr:uid="{00000000-0005-0000-0000-0000BE310000}"/>
    <cellStyle name="Separador de milhares 7 8 6 2 2" xfId="17797" xr:uid="{7EEAAEF2-AFDD-4521-87BF-246480B14E3A}"/>
    <cellStyle name="Separador de milhares 7 8 6 2 2 2" xfId="23452" xr:uid="{EDD4BEB8-B769-4ECD-AB50-170E9C797482}"/>
    <cellStyle name="Separador de milhares 7 8 6 3" xfId="12199" xr:uid="{00000000-0005-0000-0000-0000BF310000}"/>
    <cellStyle name="Separador de milhares 7 8 6 3 2" xfId="20942" xr:uid="{B5CB5153-F2E9-440A-B62D-781A19E97B2D}"/>
    <cellStyle name="Separador de milhares 7 8 6 3 2 2" xfId="23827" xr:uid="{9C9621C7-6348-4357-98EF-AF8A95225D60}"/>
    <cellStyle name="Separador de milhares 7 8 6 4" xfId="13807" xr:uid="{00000000-0005-0000-0000-0000C0310000}"/>
    <cellStyle name="Separador de milhares 7 8 6 4 2" xfId="22543" xr:uid="{8DDCCEA2-0F96-4A14-812D-ABB874258D37}"/>
    <cellStyle name="Separador de milhares 7 8 6 4 2 2" xfId="24100" xr:uid="{BE95F274-0615-438D-B356-4921116CA9F5}"/>
    <cellStyle name="Separador de milhares 7 8 6 5" xfId="16060" xr:uid="{5A2687C9-95C0-4999-8342-DAB3AB97F766}"/>
    <cellStyle name="Separador de milhares 7 8 6 5 2" xfId="23159" xr:uid="{F9B8954B-4CB9-4148-972A-59AA3F5CE881}"/>
    <cellStyle name="Separador de milhares 7 8 7" xfId="4422" xr:uid="{00000000-0005-0000-0000-0000C1310000}"/>
    <cellStyle name="Separador de milhares 7 8 7 2" xfId="8990" xr:uid="{00000000-0005-0000-0000-0000C2310000}"/>
    <cellStyle name="Separador de milhares 7 8 7 2 2" xfId="17798" xr:uid="{20451725-93A6-46CF-8439-8DA58ECE4587}"/>
    <cellStyle name="Separador de milhares 7 8 7 2 2 2" xfId="23453" xr:uid="{C7C228F7-CA8D-4735-98B9-9A62FBC1EAE4}"/>
    <cellStyle name="Separador de milhares 7 8 7 3" xfId="12200" xr:uid="{00000000-0005-0000-0000-0000C3310000}"/>
    <cellStyle name="Separador de milhares 7 8 7 3 2" xfId="20943" xr:uid="{39C18810-6738-4B4E-8147-C033FC2260BE}"/>
    <cellStyle name="Separador de milhares 7 8 7 3 2 2" xfId="23828" xr:uid="{2C3BEBEC-DE2D-4B73-A2E7-6A3EC12A6792}"/>
    <cellStyle name="Separador de milhares 7 8 7 4" xfId="13808" xr:uid="{00000000-0005-0000-0000-0000C4310000}"/>
    <cellStyle name="Separador de milhares 7 8 7 4 2" xfId="22544" xr:uid="{EE30BBCB-1BC7-4FAA-9AC6-A23DB68C4AA0}"/>
    <cellStyle name="Separador de milhares 7 8 7 4 2 2" xfId="24101" xr:uid="{2B41F2D1-483D-40C3-974B-55E74AC442FA}"/>
    <cellStyle name="Separador de milhares 7 8 7 5" xfId="16061" xr:uid="{9D7BB671-5840-4433-B52E-26ACF6992F1E}"/>
    <cellStyle name="Separador de milhares 7 8 7 5 2" xfId="23160" xr:uid="{AA3C0FE1-7993-43B2-9EE1-04DC5797F631}"/>
    <cellStyle name="Separador de milhares 7 8 8" xfId="10425" xr:uid="{00000000-0005-0000-0000-0000C5310000}"/>
    <cellStyle name="Separador de milhares 7 8 8 2" xfId="19231" xr:uid="{1C7AC595-3A2C-4DD0-BE0E-60207D028D86}"/>
    <cellStyle name="Separador de milhares 7 8 8 2 2" xfId="23550" xr:uid="{7EA0285A-05BC-4725-A100-B3E13E1D506D}"/>
    <cellStyle name="Separador de milhares 7 8 9" xfId="8984" xr:uid="{00000000-0005-0000-0000-0000C6310000}"/>
    <cellStyle name="Separador de milhares 7 8 9 2" xfId="17792" xr:uid="{224057C9-858C-4EE1-95CB-740FC1A162DE}"/>
    <cellStyle name="Separador de milhares 7 8 9 2 2" xfId="23447" xr:uid="{887443AC-6E91-41FF-AF70-ACD57CD44542}"/>
    <cellStyle name="Separador de milhares 7 9" xfId="4423" xr:uid="{00000000-0005-0000-0000-0000C7310000}"/>
    <cellStyle name="Separador de milhares 7 9 2" xfId="4424" xr:uid="{00000000-0005-0000-0000-0000C8310000}"/>
    <cellStyle name="Separador de milhares 7 9 2 2" xfId="10426" xr:uid="{00000000-0005-0000-0000-0000C9310000}"/>
    <cellStyle name="Separador de milhares 7 9 2 2 2" xfId="19232" xr:uid="{C9B8C6DE-DEE2-422E-9057-2722DF5916D0}"/>
    <cellStyle name="Separador de milhares 7 9 2 3" xfId="8991" xr:uid="{00000000-0005-0000-0000-0000CA310000}"/>
    <cellStyle name="Separador de milhares 7 9 2 3 2" xfId="17799" xr:uid="{310226E8-CD24-4C1D-9BD4-0462991234E3}"/>
    <cellStyle name="Separador de milhares 7 9 2 4" xfId="12201" xr:uid="{00000000-0005-0000-0000-0000CB310000}"/>
    <cellStyle name="Separador de milhares 7 9 2 4 2" xfId="20944" xr:uid="{906D2090-DF57-4D64-B5B1-B427AF237760}"/>
    <cellStyle name="Separador de milhares 7 9 2 5" xfId="13809" xr:uid="{00000000-0005-0000-0000-0000CC310000}"/>
    <cellStyle name="Separador de milhares 7 9 2 5 2" xfId="22545" xr:uid="{7C397058-9997-4FAF-AAB4-9A0532B42BB9}"/>
    <cellStyle name="Separador de milhares 7 9 2 6" xfId="16062" xr:uid="{53F5368D-A6C6-4B9D-AA7B-9D1679273B22}"/>
    <cellStyle name="Separador de milhares 7 9 3" xfId="4425" xr:uid="{00000000-0005-0000-0000-0000CD310000}"/>
    <cellStyle name="Separador de milhares 7 9 4" xfId="4426" xr:uid="{00000000-0005-0000-0000-0000CE310000}"/>
    <cellStyle name="Separador de milhares 7 9 5" xfId="4427" xr:uid="{00000000-0005-0000-0000-0000CF310000}"/>
    <cellStyle name="Separador de milhares 7 9 6" xfId="4428" xr:uid="{00000000-0005-0000-0000-0000D0310000}"/>
    <cellStyle name="Separador de milhares 7 9 7" xfId="4429" xr:uid="{00000000-0005-0000-0000-0000D1310000}"/>
    <cellStyle name="Separador de milhares 8" xfId="4430" xr:uid="{00000000-0005-0000-0000-0000D2310000}"/>
    <cellStyle name="Separador de milhares 8 10" xfId="13997" xr:uid="{14139B94-0EDE-4AB0-8FB1-FFFC52501BD8}"/>
    <cellStyle name="Separador de milhares 8 10 2" xfId="22885" xr:uid="{CA45E563-4390-4D85-BDB0-A6E6C26E76A6}"/>
    <cellStyle name="Separador de milhares 8 2" xfId="4431" xr:uid="{00000000-0005-0000-0000-0000D3310000}"/>
    <cellStyle name="Separador de milhares 8 2 10" xfId="13811" xr:uid="{00000000-0005-0000-0000-0000D4310000}"/>
    <cellStyle name="Separador de milhares 8 2 10 2" xfId="22547" xr:uid="{610A6604-0CBA-49F7-9CB7-013EB9A61FDA}"/>
    <cellStyle name="Separador de milhares 8 2 10 2 2" xfId="24103" xr:uid="{01955A0B-D285-4D1E-8C0B-1739063EAEEC}"/>
    <cellStyle name="Separador de milhares 8 2 11" xfId="16063" xr:uid="{F588915F-EB2B-4A2B-AC5A-EEA6EB430B42}"/>
    <cellStyle name="Separador de milhares 8 2 11 2" xfId="23161" xr:uid="{58E9E407-73B1-41AA-8553-5E43E8BD3C21}"/>
    <cellStyle name="Separador de milhares 8 2 2" xfId="4432" xr:uid="{00000000-0005-0000-0000-0000D5310000}"/>
    <cellStyle name="Separador de milhares 8 2 2 2" xfId="4433" xr:uid="{00000000-0005-0000-0000-0000D6310000}"/>
    <cellStyle name="Separador de milhares 8 2 2 2 2" xfId="10429" xr:uid="{00000000-0005-0000-0000-0000D7310000}"/>
    <cellStyle name="Separador de milhares 8 2 2 2 2 2" xfId="19235" xr:uid="{900D973A-0E17-465D-B49C-5112DF2FD8EA}"/>
    <cellStyle name="Separador de milhares 8 2 2 2 2 2 2" xfId="23553" xr:uid="{92C86ACE-BD29-4A86-B04D-4D9782FBDB5A}"/>
    <cellStyle name="Separador de milhares 8 2 2 2 3" xfId="8995" xr:uid="{00000000-0005-0000-0000-0000D8310000}"/>
    <cellStyle name="Separador de milhares 8 2 2 2 3 2" xfId="17803" xr:uid="{3EF895F9-A643-48F9-A4C3-CCC460AF4B21}"/>
    <cellStyle name="Separador de milhares 8 2 2 2 3 2 2" xfId="23457" xr:uid="{B66F49F3-D0E3-4737-B995-9B7B13723C51}"/>
    <cellStyle name="Separador de milhares 8 2 2 2 4" xfId="12205" xr:uid="{00000000-0005-0000-0000-0000D9310000}"/>
    <cellStyle name="Separador de milhares 8 2 2 2 4 2" xfId="20948" xr:uid="{328A4F2D-3A07-4A10-9B47-7E2DFBE08F23}"/>
    <cellStyle name="Separador de milhares 8 2 2 2 4 2 2" xfId="23832" xr:uid="{FC4B907E-B6B4-489E-BC7A-D3D483ED57AC}"/>
    <cellStyle name="Separador de milhares 8 2 2 2 5" xfId="13813" xr:uid="{00000000-0005-0000-0000-0000DA310000}"/>
    <cellStyle name="Separador de milhares 8 2 2 2 5 2" xfId="22549" xr:uid="{9F37F7F2-11B0-4817-8232-88F0F26FBB01}"/>
    <cellStyle name="Separador de milhares 8 2 2 2 5 2 2" xfId="24105" xr:uid="{EA3C4F8A-6704-4D88-B203-A779E32D3131}"/>
    <cellStyle name="Separador de milhares 8 2 2 2 6" xfId="16065" xr:uid="{FA3DFC54-46FD-456D-95F6-8156B409B7DE}"/>
    <cellStyle name="Separador de milhares 8 2 2 2 6 2" xfId="23163" xr:uid="{76C6A629-F9C4-4801-A193-748D9BE90B81}"/>
    <cellStyle name="Separador de milhares 8 2 2 3" xfId="4434" xr:uid="{00000000-0005-0000-0000-0000DB310000}"/>
    <cellStyle name="Separador de milhares 8 2 2 3 2" xfId="10430" xr:uid="{00000000-0005-0000-0000-0000DC310000}"/>
    <cellStyle name="Separador de milhares 8 2 2 3 2 2" xfId="19236" xr:uid="{19C090C6-4948-4119-8571-18B228D8ADC3}"/>
    <cellStyle name="Separador de milhares 8 2 2 3 2 2 2" xfId="23554" xr:uid="{5FEEBD14-6AB6-467B-9B29-C828216041DF}"/>
    <cellStyle name="Separador de milhares 8 2 2 3 3" xfId="8996" xr:uid="{00000000-0005-0000-0000-0000DD310000}"/>
    <cellStyle name="Separador de milhares 8 2 2 3 3 2" xfId="17804" xr:uid="{C04C0520-54DD-426E-A128-33B7CE8D33E6}"/>
    <cellStyle name="Separador de milhares 8 2 2 3 3 2 2" xfId="23458" xr:uid="{AC2451E3-E7A2-492C-B862-AC3346591061}"/>
    <cellStyle name="Separador de milhares 8 2 2 3 4" xfId="12206" xr:uid="{00000000-0005-0000-0000-0000DE310000}"/>
    <cellStyle name="Separador de milhares 8 2 2 3 4 2" xfId="20949" xr:uid="{14740EF6-F807-4E3B-B274-89EB3E7ACC4C}"/>
    <cellStyle name="Separador de milhares 8 2 2 3 4 2 2" xfId="23833" xr:uid="{C0C18A2C-0964-432E-8146-6C00A25971CB}"/>
    <cellStyle name="Separador de milhares 8 2 2 3 5" xfId="13814" xr:uid="{00000000-0005-0000-0000-0000DF310000}"/>
    <cellStyle name="Separador de milhares 8 2 2 3 5 2" xfId="22550" xr:uid="{4CFAE869-6DBF-47A2-B5C7-C6F25004D936}"/>
    <cellStyle name="Separador de milhares 8 2 2 3 5 2 2" xfId="24106" xr:uid="{FDDE8606-26F2-4B9F-B30F-4A0FBA79B665}"/>
    <cellStyle name="Separador de milhares 8 2 2 3 6" xfId="16066" xr:uid="{AA46F69A-54C1-49C9-88B3-06D32B71062C}"/>
    <cellStyle name="Separador de milhares 8 2 2 3 6 2" xfId="23164" xr:uid="{58A084E6-BCBE-4790-A1BE-ED2D73987080}"/>
    <cellStyle name="Separador de milhares 8 2 2 4" xfId="4435" xr:uid="{00000000-0005-0000-0000-0000E0310000}"/>
    <cellStyle name="Separador de milhares 8 2 2 4 2" xfId="10431" xr:uid="{00000000-0005-0000-0000-0000E1310000}"/>
    <cellStyle name="Separador de milhares 8 2 2 4 2 2" xfId="19237" xr:uid="{2B580D72-BA88-489C-B861-34858207FD1A}"/>
    <cellStyle name="Separador de milhares 8 2 2 4 2 2 2" xfId="23555" xr:uid="{7FD67798-D1E8-41CA-8C12-6E85A7BF28FF}"/>
    <cellStyle name="Separador de milhares 8 2 2 4 3" xfId="8997" xr:uid="{00000000-0005-0000-0000-0000E2310000}"/>
    <cellStyle name="Separador de milhares 8 2 2 4 3 2" xfId="17805" xr:uid="{7DF8FDC5-867E-4DFB-9C05-99B4DA32FBE4}"/>
    <cellStyle name="Separador de milhares 8 2 2 4 3 2 2" xfId="23459" xr:uid="{27FFAF29-D292-4E39-A5AD-251B99605C6D}"/>
    <cellStyle name="Separador de milhares 8 2 2 4 4" xfId="12207" xr:uid="{00000000-0005-0000-0000-0000E3310000}"/>
    <cellStyle name="Separador de milhares 8 2 2 4 4 2" xfId="20950" xr:uid="{521CF90E-4293-4D98-856C-E93374722FA0}"/>
    <cellStyle name="Separador de milhares 8 2 2 4 4 2 2" xfId="23834" xr:uid="{33D89F6E-3F8B-4449-ABCE-6F812A502CF1}"/>
    <cellStyle name="Separador de milhares 8 2 2 4 5" xfId="13815" xr:uid="{00000000-0005-0000-0000-0000E4310000}"/>
    <cellStyle name="Separador de milhares 8 2 2 4 5 2" xfId="22551" xr:uid="{9D3BB4D4-9ADA-42B7-8195-A31A9317E70E}"/>
    <cellStyle name="Separador de milhares 8 2 2 4 5 2 2" xfId="24107" xr:uid="{F11A9C36-94C8-4DEE-9782-27934F18B426}"/>
    <cellStyle name="Separador de milhares 8 2 2 4 6" xfId="16067" xr:uid="{D849003C-D874-488A-92D8-16205146B04C}"/>
    <cellStyle name="Separador de milhares 8 2 2 4 6 2" xfId="23165" xr:uid="{C0CE60E1-E9BC-4383-8346-492DE51EC922}"/>
    <cellStyle name="Separador de milhares 8 2 2 5" xfId="8994" xr:uid="{00000000-0005-0000-0000-0000E5310000}"/>
    <cellStyle name="Separador de milhares 8 2 2 5 2" xfId="17802" xr:uid="{7EEFCDB3-4DD0-4364-A77E-9CD1E8C838A3}"/>
    <cellStyle name="Separador de milhares 8 2 2 5 2 2" xfId="23456" xr:uid="{99FBF45D-C945-43E6-A447-86520C3066C9}"/>
    <cellStyle name="Separador de milhares 8 2 2 6" xfId="12204" xr:uid="{00000000-0005-0000-0000-0000E6310000}"/>
    <cellStyle name="Separador de milhares 8 2 2 6 2" xfId="20947" xr:uid="{5762BB83-83F5-4987-9471-558361F48D54}"/>
    <cellStyle name="Separador de milhares 8 2 2 6 2 2" xfId="23831" xr:uid="{0A508C86-CAED-427D-8A30-0992B1CD026D}"/>
    <cellStyle name="Separador de milhares 8 2 2 7" xfId="13812" xr:uid="{00000000-0005-0000-0000-0000E7310000}"/>
    <cellStyle name="Separador de milhares 8 2 2 7 2" xfId="22548" xr:uid="{97A10C98-C103-4A4C-84F3-5EECA8DE37EB}"/>
    <cellStyle name="Separador de milhares 8 2 2 7 2 2" xfId="24104" xr:uid="{B4E14282-7DBC-40B6-98B8-9401A6FC6012}"/>
    <cellStyle name="Separador de milhares 8 2 2 8" xfId="16064" xr:uid="{8D8147A3-1A70-4841-B6C5-A8056E4E30B5}"/>
    <cellStyle name="Separador de milhares 8 2 2 8 2" xfId="23162" xr:uid="{BECE8C9C-A9F9-4DA5-A358-775490FD86AE}"/>
    <cellStyle name="Separador de milhares 8 2 3" xfId="4436" xr:uid="{00000000-0005-0000-0000-0000E8310000}"/>
    <cellStyle name="Separador de milhares 8 2 3 2" xfId="10432" xr:uid="{00000000-0005-0000-0000-0000E9310000}"/>
    <cellStyle name="Separador de milhares 8 2 3 2 2" xfId="19238" xr:uid="{A684FAA2-8905-49B2-A5D6-55266E413BB7}"/>
    <cellStyle name="Separador de milhares 8 2 3 2 2 2" xfId="23556" xr:uid="{31E16A1E-2E54-4589-8A53-55F2E174CE28}"/>
    <cellStyle name="Separador de milhares 8 2 3 3" xfId="8998" xr:uid="{00000000-0005-0000-0000-0000EA310000}"/>
    <cellStyle name="Separador de milhares 8 2 3 3 2" xfId="17806" xr:uid="{AC4C6A39-C6C3-4A8C-BB62-D8D0216FAF72}"/>
    <cellStyle name="Separador de milhares 8 2 3 3 2 2" xfId="23460" xr:uid="{2D9F8E9B-2E2C-4921-A597-E18D7F22CCAE}"/>
    <cellStyle name="Separador de milhares 8 2 3 4" xfId="12208" xr:uid="{00000000-0005-0000-0000-0000EB310000}"/>
    <cellStyle name="Separador de milhares 8 2 3 4 2" xfId="20951" xr:uid="{E805A1B0-8394-45C0-AB2A-6070C3E6A407}"/>
    <cellStyle name="Separador de milhares 8 2 3 4 2 2" xfId="23835" xr:uid="{74682D50-6959-46D9-A435-1A8313B98C13}"/>
    <cellStyle name="Separador de milhares 8 2 3 5" xfId="13816" xr:uid="{00000000-0005-0000-0000-0000EC310000}"/>
    <cellStyle name="Separador de milhares 8 2 3 5 2" xfId="22552" xr:uid="{F5D14BCB-9A0F-4705-BF5B-B5BDC165CA98}"/>
    <cellStyle name="Separador de milhares 8 2 3 5 2 2" xfId="24108" xr:uid="{2757FD60-0444-4331-B469-EA1EAECB804C}"/>
    <cellStyle name="Separador de milhares 8 2 3 6" xfId="16068" xr:uid="{CF6EDBF6-FEF5-4224-9762-F0D79CBD213A}"/>
    <cellStyle name="Separador de milhares 8 2 3 6 2" xfId="23166" xr:uid="{ABD97730-97CC-46D0-8F58-4E68A19D2688}"/>
    <cellStyle name="Separador de milhares 8 2 4" xfId="4437" xr:uid="{00000000-0005-0000-0000-0000ED310000}"/>
    <cellStyle name="Separador de milhares 8 2 4 2" xfId="8999" xr:uid="{00000000-0005-0000-0000-0000EE310000}"/>
    <cellStyle name="Separador de milhares 8 2 4 2 2" xfId="17807" xr:uid="{1CDF9853-5A70-49CF-8C3E-AB8B9AD8C94B}"/>
    <cellStyle name="Separador de milhares 8 2 4 2 2 2" xfId="23461" xr:uid="{1AC7D5C5-8692-4374-BB05-732ED424265A}"/>
    <cellStyle name="Separador de milhares 8 2 4 3" xfId="12209" xr:uid="{00000000-0005-0000-0000-0000EF310000}"/>
    <cellStyle name="Separador de milhares 8 2 4 3 2" xfId="20952" xr:uid="{DFF1CEDE-F597-42B9-8633-F6319091AE23}"/>
    <cellStyle name="Separador de milhares 8 2 4 3 2 2" xfId="23836" xr:uid="{0BE4730C-2B4D-4F5D-A618-F1AB7031685E}"/>
    <cellStyle name="Separador de milhares 8 2 4 4" xfId="13817" xr:uid="{00000000-0005-0000-0000-0000F0310000}"/>
    <cellStyle name="Separador de milhares 8 2 4 4 2" xfId="22553" xr:uid="{F8F9D0EB-C3CA-4DFC-999F-54556664A48B}"/>
    <cellStyle name="Separador de milhares 8 2 4 4 2 2" xfId="24109" xr:uid="{82123397-F643-4B75-B887-9E99DA41F9D5}"/>
    <cellStyle name="Separador de milhares 8 2 4 5" xfId="16069" xr:uid="{3D699F11-003A-4072-84C7-1DE842E717D1}"/>
    <cellStyle name="Separador de milhares 8 2 4 5 2" xfId="23167" xr:uid="{8DF8C2D3-F9E7-4583-8A8E-8E68DED93599}"/>
    <cellStyle name="Separador de milhares 8 2 5" xfId="4438" xr:uid="{00000000-0005-0000-0000-0000F1310000}"/>
    <cellStyle name="Separador de milhares 8 2 5 2" xfId="9000" xr:uid="{00000000-0005-0000-0000-0000F2310000}"/>
    <cellStyle name="Separador de milhares 8 2 5 2 2" xfId="17808" xr:uid="{6FAF5538-636D-4F99-8D8D-1AC0F221AF16}"/>
    <cellStyle name="Separador de milhares 8 2 5 2 2 2" xfId="23462" xr:uid="{9EBDE3A5-20F4-4D0F-B045-6C51165042CC}"/>
    <cellStyle name="Separador de milhares 8 2 5 3" xfId="12210" xr:uid="{00000000-0005-0000-0000-0000F3310000}"/>
    <cellStyle name="Separador de milhares 8 2 5 3 2" xfId="20953" xr:uid="{E1E3EEF2-622C-48C8-975C-820752A58D41}"/>
    <cellStyle name="Separador de milhares 8 2 5 3 2 2" xfId="23837" xr:uid="{4ABCA6C9-4B7D-4A5B-8222-7A07A7DD1471}"/>
    <cellStyle name="Separador de milhares 8 2 5 4" xfId="13818" xr:uid="{00000000-0005-0000-0000-0000F4310000}"/>
    <cellStyle name="Separador de milhares 8 2 5 4 2" xfId="22554" xr:uid="{D771F801-A36D-4AB8-8DBF-97D9C12B2CAF}"/>
    <cellStyle name="Separador de milhares 8 2 5 4 2 2" xfId="24110" xr:uid="{6AC8D5C9-B48C-4E4F-8C17-EE50F3818B68}"/>
    <cellStyle name="Separador de milhares 8 2 5 5" xfId="16070" xr:uid="{EEDFF2CB-1ADA-48CA-9B91-785F1FD0A349}"/>
    <cellStyle name="Separador de milhares 8 2 5 5 2" xfId="23168" xr:uid="{3F7B7D0D-2DB7-4E27-82C6-184EE757C4BC}"/>
    <cellStyle name="Separador de milhares 8 2 6" xfId="4439" xr:uid="{00000000-0005-0000-0000-0000F5310000}"/>
    <cellStyle name="Separador de milhares 8 2 6 2" xfId="10433" xr:uid="{00000000-0005-0000-0000-0000F6310000}"/>
    <cellStyle name="Separador de milhares 8 2 6 2 2" xfId="19239" xr:uid="{5D94C40C-5ADC-41AC-829A-418C50FD9991}"/>
    <cellStyle name="Separador de milhares 8 2 6 2 2 2" xfId="23557" xr:uid="{F5662DD1-FB16-400E-B999-BCCD34BE7319}"/>
    <cellStyle name="Separador de milhares 8 2 6 3" xfId="9001" xr:uid="{00000000-0005-0000-0000-0000F7310000}"/>
    <cellStyle name="Separador de milhares 8 2 6 3 2" xfId="17809" xr:uid="{20DE8415-8F73-4D40-A8AC-4A69293CF534}"/>
    <cellStyle name="Separador de milhares 8 2 6 3 2 2" xfId="23463" xr:uid="{87DD0D41-F4E0-483D-8597-93A19CC93AB6}"/>
    <cellStyle name="Separador de milhares 8 2 6 4" xfId="12211" xr:uid="{00000000-0005-0000-0000-0000F8310000}"/>
    <cellStyle name="Separador de milhares 8 2 6 4 2" xfId="20954" xr:uid="{F97506B3-C62F-4D71-ACAA-F1CBC504071E}"/>
    <cellStyle name="Separador de milhares 8 2 6 4 2 2" xfId="23838" xr:uid="{53688DAA-3383-41B1-8D2E-E5B92BA5F7B8}"/>
    <cellStyle name="Separador de milhares 8 2 6 5" xfId="13819" xr:uid="{00000000-0005-0000-0000-0000F9310000}"/>
    <cellStyle name="Separador de milhares 8 2 6 5 2" xfId="22555" xr:uid="{3739F3AC-952B-4A02-B7FD-52F7157AA109}"/>
    <cellStyle name="Separador de milhares 8 2 6 5 2 2" xfId="24111" xr:uid="{CC7484F8-F51A-4E2E-BE2B-2F68B5123895}"/>
    <cellStyle name="Separador de milhares 8 2 6 6" xfId="16071" xr:uid="{A299433E-2244-4C0D-AAEA-0C784CB8A0EA}"/>
    <cellStyle name="Separador de milhares 8 2 6 6 2" xfId="23169" xr:uid="{D90866F2-64B6-417C-82EB-7DD0E671AC32}"/>
    <cellStyle name="Separador de milhares 8 2 7" xfId="10428" xr:uid="{00000000-0005-0000-0000-0000FA310000}"/>
    <cellStyle name="Separador de milhares 8 2 7 2" xfId="19234" xr:uid="{25075266-1FED-4FB6-8712-93F39910BBE5}"/>
    <cellStyle name="Separador de milhares 8 2 7 2 2" xfId="23552" xr:uid="{7E3D2F5B-504C-4849-AFFA-D0AA0D338848}"/>
    <cellStyle name="Separador de milhares 8 2 8" xfId="8993" xr:uid="{00000000-0005-0000-0000-0000FB310000}"/>
    <cellStyle name="Separador de milhares 8 2 8 2" xfId="17801" xr:uid="{832F723B-1CFB-4C7A-B84B-2E63EE6A97F4}"/>
    <cellStyle name="Separador de milhares 8 2 8 2 2" xfId="23455" xr:uid="{4F74CA1F-2F9C-4EDC-9BAE-881ABB3D6B64}"/>
    <cellStyle name="Separador de milhares 8 2 9" xfId="12203" xr:uid="{00000000-0005-0000-0000-0000FC310000}"/>
    <cellStyle name="Separador de milhares 8 2 9 2" xfId="20946" xr:uid="{EAD6C307-3A3C-4E94-8752-6EC03A7E1D0E}"/>
    <cellStyle name="Separador de milhares 8 2 9 2 2" xfId="23830" xr:uid="{C91C5FAC-ABDB-431B-BFE3-494E53C4DD39}"/>
    <cellStyle name="Separador de milhares 8 3" xfId="4440" xr:uid="{00000000-0005-0000-0000-0000FD310000}"/>
    <cellStyle name="Separador de milhares 8 3 2" xfId="4441" xr:uid="{00000000-0005-0000-0000-0000FE310000}"/>
    <cellStyle name="Separador de milhares 8 3 2 2" xfId="10435" xr:uid="{00000000-0005-0000-0000-0000FF310000}"/>
    <cellStyle name="Separador de milhares 8 3 2 2 2" xfId="19241" xr:uid="{B6F4883C-5AD3-4EB3-B3F4-F3C4ACF0E2FF}"/>
    <cellStyle name="Separador de milhares 8 3 2 2 2 2" xfId="23559" xr:uid="{291EBB7B-CB35-4A53-B399-2AE57C47CD69}"/>
    <cellStyle name="Separador de milhares 8 3 2 3" xfId="9003" xr:uid="{00000000-0005-0000-0000-000000320000}"/>
    <cellStyle name="Separador de milhares 8 3 2 3 2" xfId="17811" xr:uid="{7CF7D383-E002-4535-880B-A9FFB975B69B}"/>
    <cellStyle name="Separador de milhares 8 3 2 3 2 2" xfId="23465" xr:uid="{5374748C-92F2-4435-A561-DD4C609F5140}"/>
    <cellStyle name="Separador de milhares 8 3 2 4" xfId="12213" xr:uid="{00000000-0005-0000-0000-000001320000}"/>
    <cellStyle name="Separador de milhares 8 3 2 4 2" xfId="20956" xr:uid="{D7C45A3E-C7A1-43D4-8A46-445A2E99591A}"/>
    <cellStyle name="Separador de milhares 8 3 2 4 2 2" xfId="23840" xr:uid="{55CA6D00-E52E-4A89-A9EC-2A35ED8D3A7A}"/>
    <cellStyle name="Separador de milhares 8 3 2 5" xfId="13821" xr:uid="{00000000-0005-0000-0000-000002320000}"/>
    <cellStyle name="Separador de milhares 8 3 2 5 2" xfId="22557" xr:uid="{47204A0F-74A8-4F73-A53A-7561632DFD3E}"/>
    <cellStyle name="Separador de milhares 8 3 2 5 2 2" xfId="24113" xr:uid="{A1B20535-3C3C-4C47-99F3-552E28C3D3E2}"/>
    <cellStyle name="Separador de milhares 8 3 2 6" xfId="16073" xr:uid="{8D90F49E-A8C1-4361-B1BF-39C754E79F01}"/>
    <cellStyle name="Separador de milhares 8 3 2 6 2" xfId="23171" xr:uid="{D714CCDE-8941-4954-8EB2-3F428B8F0739}"/>
    <cellStyle name="Separador de milhares 8 3 3" xfId="4442" xr:uid="{00000000-0005-0000-0000-000003320000}"/>
    <cellStyle name="Separador de milhares 8 3 3 2" xfId="10436" xr:uid="{00000000-0005-0000-0000-000004320000}"/>
    <cellStyle name="Separador de milhares 8 3 3 2 2" xfId="19242" xr:uid="{982ECEA8-8D1F-43D4-896A-9405C67E469B}"/>
    <cellStyle name="Separador de milhares 8 3 3 2 2 2" xfId="23560" xr:uid="{BC4E0685-F770-477D-81FB-5F3139204F50}"/>
    <cellStyle name="Separador de milhares 8 3 3 3" xfId="9004" xr:uid="{00000000-0005-0000-0000-000005320000}"/>
    <cellStyle name="Separador de milhares 8 3 3 3 2" xfId="17812" xr:uid="{DFBE191E-C700-4B43-95B6-BE5F8A92108E}"/>
    <cellStyle name="Separador de milhares 8 3 3 3 2 2" xfId="23466" xr:uid="{616FF81B-F8E7-4C0C-BCD4-6D67FE756F7C}"/>
    <cellStyle name="Separador de milhares 8 3 3 4" xfId="12214" xr:uid="{00000000-0005-0000-0000-000006320000}"/>
    <cellStyle name="Separador de milhares 8 3 3 4 2" xfId="20957" xr:uid="{6DD721E3-2AD2-4CE2-8FB2-45D69BEC5980}"/>
    <cellStyle name="Separador de milhares 8 3 3 4 2 2" xfId="23841" xr:uid="{DF7FBE6A-6B82-4F7D-ACCA-CD541C70C025}"/>
    <cellStyle name="Separador de milhares 8 3 3 5" xfId="13822" xr:uid="{00000000-0005-0000-0000-000007320000}"/>
    <cellStyle name="Separador de milhares 8 3 3 5 2" xfId="22558" xr:uid="{7F663BEA-AA30-405D-8FDF-141E4A1DA29E}"/>
    <cellStyle name="Separador de milhares 8 3 3 5 2 2" xfId="24114" xr:uid="{79351D7E-3BEC-4D8C-A624-C4406CD203EF}"/>
    <cellStyle name="Separador de milhares 8 3 3 6" xfId="16074" xr:uid="{02D7DB4F-8F59-43E6-9893-BEBAF6D98767}"/>
    <cellStyle name="Separador de milhares 8 3 3 6 2" xfId="23172" xr:uid="{2BAC8256-515B-4F5E-A4E2-CF4944287CBD}"/>
    <cellStyle name="Separador de milhares 8 3 4" xfId="4443" xr:uid="{00000000-0005-0000-0000-000008320000}"/>
    <cellStyle name="Separador de milhares 8 3 4 2" xfId="10437" xr:uid="{00000000-0005-0000-0000-000009320000}"/>
    <cellStyle name="Separador de milhares 8 3 4 2 2" xfId="19243" xr:uid="{FFC26320-D296-48CA-950A-5FDB8A9E212E}"/>
    <cellStyle name="Separador de milhares 8 3 4 2 2 2" xfId="23561" xr:uid="{4DF565B2-1C0D-4F24-B516-8BD7B4EEC8FB}"/>
    <cellStyle name="Separador de milhares 8 3 4 3" xfId="9005" xr:uid="{00000000-0005-0000-0000-00000A320000}"/>
    <cellStyle name="Separador de milhares 8 3 4 3 2" xfId="17813" xr:uid="{5835F5C6-55DE-411F-8107-00FA2AF33EDD}"/>
    <cellStyle name="Separador de milhares 8 3 4 3 2 2" xfId="23467" xr:uid="{97C94316-8BB7-4078-9450-6A5032A578C4}"/>
    <cellStyle name="Separador de milhares 8 3 4 4" xfId="12215" xr:uid="{00000000-0005-0000-0000-00000B320000}"/>
    <cellStyle name="Separador de milhares 8 3 4 4 2" xfId="20958" xr:uid="{F736C637-86EB-4FD3-9E5B-55A52ADAC54F}"/>
    <cellStyle name="Separador de milhares 8 3 4 4 2 2" xfId="23842" xr:uid="{32748BA1-CF13-48CB-8DD6-CD79A6FECC54}"/>
    <cellStyle name="Separador de milhares 8 3 4 5" xfId="13823" xr:uid="{00000000-0005-0000-0000-00000C320000}"/>
    <cellStyle name="Separador de milhares 8 3 4 5 2" xfId="22559" xr:uid="{1380BDD2-0DCF-44FE-8A34-0F7E52C08363}"/>
    <cellStyle name="Separador de milhares 8 3 4 5 2 2" xfId="24115" xr:uid="{54DF3BF0-1DEB-4A4F-83BA-1D56D5E4F0E6}"/>
    <cellStyle name="Separador de milhares 8 3 4 6" xfId="16075" xr:uid="{FDED2147-DF91-42CE-8E7D-BFF45B3BC6AB}"/>
    <cellStyle name="Separador de milhares 8 3 4 6 2" xfId="23173" xr:uid="{D752767A-BE2B-4E7A-A3BC-E2EA857240DF}"/>
    <cellStyle name="Separador de milhares 8 3 5" xfId="10434" xr:uid="{00000000-0005-0000-0000-00000D320000}"/>
    <cellStyle name="Separador de milhares 8 3 5 2" xfId="19240" xr:uid="{37E8E056-072E-45C5-BB43-6708C08EDF93}"/>
    <cellStyle name="Separador de milhares 8 3 5 2 2" xfId="23558" xr:uid="{4D615236-EC29-4302-9071-423429320F76}"/>
    <cellStyle name="Separador de milhares 8 3 6" xfId="9002" xr:uid="{00000000-0005-0000-0000-00000E320000}"/>
    <cellStyle name="Separador de milhares 8 3 6 2" xfId="17810" xr:uid="{E66F8BAE-57D3-4A77-90D6-FF5D1513CB54}"/>
    <cellStyle name="Separador de milhares 8 3 6 2 2" xfId="23464" xr:uid="{A14B10DE-DDBB-48A3-8AE0-2B4C491C01F2}"/>
    <cellStyle name="Separador de milhares 8 3 7" xfId="12212" xr:uid="{00000000-0005-0000-0000-00000F320000}"/>
    <cellStyle name="Separador de milhares 8 3 7 2" xfId="20955" xr:uid="{5CC21367-26A3-4778-A0CD-4E1CE58A7177}"/>
    <cellStyle name="Separador de milhares 8 3 7 2 2" xfId="23839" xr:uid="{B53F8FD8-8C1B-4CA1-ADAC-40A65CDFA68F}"/>
    <cellStyle name="Separador de milhares 8 3 8" xfId="13820" xr:uid="{00000000-0005-0000-0000-000010320000}"/>
    <cellStyle name="Separador de milhares 8 3 8 2" xfId="22556" xr:uid="{49C16AC9-887A-41BB-ACE0-864F15DD46A4}"/>
    <cellStyle name="Separador de milhares 8 3 8 2 2" xfId="24112" xr:uid="{BFCC5A69-8E81-4736-ADCD-95CE1D6BDACC}"/>
    <cellStyle name="Separador de milhares 8 3 9" xfId="16072" xr:uid="{A91D4E8B-269F-4966-8C9E-939306B3CF4D}"/>
    <cellStyle name="Separador de milhares 8 3 9 2" xfId="23170" xr:uid="{14AF3EB1-B8FE-42EB-AFFD-9B828219005E}"/>
    <cellStyle name="Separador de milhares 8 4" xfId="4444" xr:uid="{00000000-0005-0000-0000-000011320000}"/>
    <cellStyle name="Separador de milhares 8 4 2" xfId="9006" xr:uid="{00000000-0005-0000-0000-000012320000}"/>
    <cellStyle name="Separador de milhares 8 4 2 2" xfId="17814" xr:uid="{98E2AE09-DDC9-4E69-B096-8AA76C1954E4}"/>
    <cellStyle name="Separador de milhares 8 4 2 2 2" xfId="23468" xr:uid="{927F3DC1-D140-480F-958D-E12E6FD70A1E}"/>
    <cellStyle name="Separador de milhares 8 4 3" xfId="12216" xr:uid="{00000000-0005-0000-0000-000013320000}"/>
    <cellStyle name="Separador de milhares 8 4 3 2" xfId="20959" xr:uid="{BA75F842-E2BF-4830-A1BA-DB531F4557F3}"/>
    <cellStyle name="Separador de milhares 8 4 3 2 2" xfId="23843" xr:uid="{E0B9E848-1B8F-49A9-8ADF-6163489A2442}"/>
    <cellStyle name="Separador de milhares 8 4 4" xfId="13824" xr:uid="{00000000-0005-0000-0000-000014320000}"/>
    <cellStyle name="Separador de milhares 8 4 4 2" xfId="22560" xr:uid="{015CEC05-8175-4B5E-8862-B402318C6BC1}"/>
    <cellStyle name="Separador de milhares 8 4 4 2 2" xfId="24116" xr:uid="{7290CA43-228C-4804-A1E1-61C1342EB16B}"/>
    <cellStyle name="Separador de milhares 8 4 5" xfId="16076" xr:uid="{805EB3CF-5C63-40C5-9406-D49028EC7391}"/>
    <cellStyle name="Separador de milhares 8 4 5 2" xfId="23174" xr:uid="{5FDCD89F-F4BD-477A-9BCD-C563E002251A}"/>
    <cellStyle name="Separador de milhares 8 5" xfId="4445" xr:uid="{00000000-0005-0000-0000-000015320000}"/>
    <cellStyle name="Separador de milhares 8 5 2" xfId="9007" xr:uid="{00000000-0005-0000-0000-000016320000}"/>
    <cellStyle name="Separador de milhares 8 5 2 2" xfId="17815" xr:uid="{80C8E1BC-63C9-4377-9F98-C03FE14523EC}"/>
    <cellStyle name="Separador de milhares 8 5 2 2 2" xfId="23469" xr:uid="{8184DF50-E0CF-41FA-8363-810E60F4BAC7}"/>
    <cellStyle name="Separador de milhares 8 5 3" xfId="12217" xr:uid="{00000000-0005-0000-0000-000017320000}"/>
    <cellStyle name="Separador de milhares 8 5 3 2" xfId="20960" xr:uid="{1CC4605A-B4D3-4D69-B750-46850BB0A0AE}"/>
    <cellStyle name="Separador de milhares 8 5 3 2 2" xfId="23844" xr:uid="{42BD12F7-5412-4D52-B6AC-05FDB7E462F9}"/>
    <cellStyle name="Separador de milhares 8 5 4" xfId="13825" xr:uid="{00000000-0005-0000-0000-000018320000}"/>
    <cellStyle name="Separador de milhares 8 5 4 2" xfId="22561" xr:uid="{6E18190F-36F9-4229-96D7-420012070356}"/>
    <cellStyle name="Separador de milhares 8 5 4 2 2" xfId="24117" xr:uid="{3FF3781A-B917-4C24-AD8C-C5B5C20E5B96}"/>
    <cellStyle name="Separador de milhares 8 5 5" xfId="16077" xr:uid="{D348D3AA-85D3-4979-944D-23EE1BD6E1EA}"/>
    <cellStyle name="Separador de milhares 8 5 5 2" xfId="23175" xr:uid="{A65A4393-0417-4E66-ADCB-A705A9895F95}"/>
    <cellStyle name="Separador de milhares 8 6" xfId="5187" xr:uid="{00000000-0005-0000-0000-000019320000}"/>
    <cellStyle name="Separador de milhares 8 6 2" xfId="10427" xr:uid="{00000000-0005-0000-0000-00001A320000}"/>
    <cellStyle name="Separador de milhares 8 6 2 2" xfId="19233" xr:uid="{ECF2E7D9-D34E-4629-A51D-AA30F25EC78B}"/>
    <cellStyle name="Separador de milhares 8 6 2 2 2" xfId="23551" xr:uid="{CAD93FC6-638B-4DA8-82AC-0589F40C4871}"/>
    <cellStyle name="Separador de milhares 8 6 3" xfId="16128" xr:uid="{4C62BF49-452F-40BA-8011-495538D84D1A}"/>
    <cellStyle name="Separador de milhares 8 6 3 2" xfId="23194" xr:uid="{243E3751-183E-4D75-BA79-61791B8F7B14}"/>
    <cellStyle name="Separador de milhares 8 7" xfId="8992" xr:uid="{00000000-0005-0000-0000-00001B320000}"/>
    <cellStyle name="Separador de milhares 8 7 2" xfId="17800" xr:uid="{E53CE713-59F2-4162-9017-6408A773C9E3}"/>
    <cellStyle name="Separador de milhares 8 7 2 2" xfId="23454" xr:uid="{73C2DD19-201F-4481-BBA8-04707CB54AB7}"/>
    <cellStyle name="Separador de milhares 8 8" xfId="12202" xr:uid="{00000000-0005-0000-0000-00001C320000}"/>
    <cellStyle name="Separador de milhares 8 8 2" xfId="20945" xr:uid="{79B79F97-9A5A-4A21-B4F7-07B6FA62A130}"/>
    <cellStyle name="Separador de milhares 8 8 2 2" xfId="23829" xr:uid="{153F0767-E379-4E7B-8637-2DA524A2D0A2}"/>
    <cellStyle name="Separador de milhares 8 9" xfId="13810" xr:uid="{00000000-0005-0000-0000-00001D320000}"/>
    <cellStyle name="Separador de milhares 8 9 2" xfId="22546" xr:uid="{7006BE9B-9737-4D63-85B7-23D66D461BBB}"/>
    <cellStyle name="Separador de milhares 8 9 2 2" xfId="24102" xr:uid="{5AE48F10-F52F-48FB-8BAA-13129DB57980}"/>
    <cellStyle name="Separador de milhares 9" xfId="137" xr:uid="{00000000-0005-0000-0000-00001E320000}"/>
    <cellStyle name="Separador de milhares 9 10" xfId="4446" xr:uid="{00000000-0005-0000-0000-00001F320000}"/>
    <cellStyle name="Separador de milhares 9 10 2" xfId="10438" xr:uid="{00000000-0005-0000-0000-000020320000}"/>
    <cellStyle name="Separador de milhares 9 10 2 2" xfId="19244" xr:uid="{AD60BC57-1BAA-47BB-AAA3-BA04D2CC9BB7}"/>
    <cellStyle name="Separador de milhares 9 10 3" xfId="12218" xr:uid="{00000000-0005-0000-0000-000021320000}"/>
    <cellStyle name="Separador de milhares 9 10 3 2" xfId="20961" xr:uid="{BD6C3557-3D20-47EC-B66C-C7D8FA4B3CCD}"/>
    <cellStyle name="Separador de milhares 9 10 4" xfId="16078" xr:uid="{2F719160-721E-4545-92A0-75370991C7F6}"/>
    <cellStyle name="Separador de milhares 9 11" xfId="10454" xr:uid="{00000000-0005-0000-0000-000022320000}"/>
    <cellStyle name="Separador de milhares 9 11 2" xfId="19255" xr:uid="{DCC5C5D0-AED0-4B88-B1D8-BAF686C6D642}"/>
    <cellStyle name="Separador de milhares 9 11 2 2" xfId="23567" xr:uid="{342E36D4-AC2F-480C-97C1-FAAFA6263367}"/>
    <cellStyle name="Separador de milhares 9 12" xfId="9008" xr:uid="{00000000-0005-0000-0000-000023320000}"/>
    <cellStyle name="Separador de milhares 9 12 2" xfId="17816" xr:uid="{18C1C645-2CBE-44CF-8E3B-2C4CC8A1B108}"/>
    <cellStyle name="Separador de milhares 9 13" xfId="10490" xr:uid="{00000000-0005-0000-0000-000024320000}"/>
    <cellStyle name="Separador de milhares 9 13 2" xfId="19274" xr:uid="{CBC0B9F6-31B9-4336-AC27-DF958862EAF0}"/>
    <cellStyle name="Separador de milhares 9 13 2 2" xfId="23569" xr:uid="{1F362789-9330-4798-9A64-A92A8E2F01DC}"/>
    <cellStyle name="Separador de milhares 9 14" xfId="10614" xr:uid="{00000000-0005-0000-0000-000025320000}"/>
    <cellStyle name="Separador de milhares 9 14 2" xfId="19373" xr:uid="{35A6DBB1-9DAF-40C7-B652-3D80251344DD}"/>
    <cellStyle name="Separador de milhares 9 14 2 2" xfId="23584" xr:uid="{D91C81CE-614A-4B5C-99FE-5BC0458866E8}"/>
    <cellStyle name="Separador de milhares 9 15" xfId="13826" xr:uid="{00000000-0005-0000-0000-000026320000}"/>
    <cellStyle name="Separador de milhares 9 15 2" xfId="22562" xr:uid="{C5C5E926-C41B-44EA-8A0D-6C220FDC065E}"/>
    <cellStyle name="Separador de milhares 9 16" xfId="14180" xr:uid="{7C554F6D-AA30-46EE-B436-5BD1A49F29E4}"/>
    <cellStyle name="Separador de milhares 9 16 2" xfId="22908" xr:uid="{FB35594D-076A-4095-8D8F-0EB6B2F9A1CA}"/>
    <cellStyle name="Separador de milhares 9 17" xfId="14107" xr:uid="{F8DBFDDA-017D-41B5-9D97-A0BEA5FD79D7}"/>
    <cellStyle name="Separador de milhares 9 17 2" xfId="22900" xr:uid="{D2DDBA6E-A6ED-4A1C-9339-19D927DFD44E}"/>
    <cellStyle name="Separador de milhares 9 2" xfId="4447" xr:uid="{00000000-0005-0000-0000-000027320000}"/>
    <cellStyle name="Separador de milhares 9 2 2" xfId="4448" xr:uid="{00000000-0005-0000-0000-000028320000}"/>
    <cellStyle name="Separador de milhares 9 2 2 2" xfId="9009" xr:uid="{00000000-0005-0000-0000-000029320000}"/>
    <cellStyle name="Separador de milhares 9 2 2 2 2" xfId="17817" xr:uid="{66419137-76C2-45D6-8D33-EE89AD3B2341}"/>
    <cellStyle name="Separador de milhares 9 2 2 2 2 2" xfId="23470" xr:uid="{188419B8-81E4-4FE5-A274-6D81AB8F4878}"/>
    <cellStyle name="Separador de milhares 9 2 2 3" xfId="12219" xr:uid="{00000000-0005-0000-0000-00002A320000}"/>
    <cellStyle name="Separador de milhares 9 2 2 3 2" xfId="20962" xr:uid="{F7AC93FD-4FB2-4333-8E4B-93045873D24D}"/>
    <cellStyle name="Separador de milhares 9 2 2 3 2 2" xfId="23845" xr:uid="{61ADDD14-7A08-4146-9978-962E4B57E615}"/>
    <cellStyle name="Separador de milhares 9 2 2 4" xfId="13827" xr:uid="{00000000-0005-0000-0000-00002B320000}"/>
    <cellStyle name="Separador de milhares 9 2 2 4 2" xfId="22563" xr:uid="{203AF7DC-C2F5-4F80-A6CD-D05FD8A6E587}"/>
    <cellStyle name="Separador de milhares 9 2 2 4 2 2" xfId="24118" xr:uid="{1185A8E4-56FE-4953-B77B-D4449C914DCA}"/>
    <cellStyle name="Separador de milhares 9 2 2 5" xfId="16079" xr:uid="{A8073980-8773-4A32-A7FA-6668A6D593A9}"/>
    <cellStyle name="Separador de milhares 9 2 2 5 2" xfId="23176" xr:uid="{BE105F8A-F159-4DAC-BF65-7347FC6D8127}"/>
    <cellStyle name="Separador de milhares 9 3" xfId="4449" xr:uid="{00000000-0005-0000-0000-00002C320000}"/>
    <cellStyle name="Separador de milhares 9 3 2" xfId="4450" xr:uid="{00000000-0005-0000-0000-00002D320000}"/>
    <cellStyle name="Separador de milhares 9 3 2 2" xfId="4451" xr:uid="{00000000-0005-0000-0000-00002E320000}"/>
    <cellStyle name="Separador de milhares 9 3 3" xfId="4452" xr:uid="{00000000-0005-0000-0000-00002F320000}"/>
    <cellStyle name="Separador de milhares 9 3 4" xfId="4453" xr:uid="{00000000-0005-0000-0000-000030320000}"/>
    <cellStyle name="Separador de milhares 9 3 4 2" xfId="9010" xr:uid="{00000000-0005-0000-0000-000031320000}"/>
    <cellStyle name="Separador de milhares 9 3 4 2 2" xfId="17818" xr:uid="{1487D77C-B402-42EA-A62F-41471905C628}"/>
    <cellStyle name="Separador de milhares 9 3 4 2 2 2" xfId="23471" xr:uid="{349BE6C2-D561-4635-9AB0-2E934AC974AD}"/>
    <cellStyle name="Separador de milhares 9 3 4 3" xfId="12220" xr:uid="{00000000-0005-0000-0000-000032320000}"/>
    <cellStyle name="Separador de milhares 9 3 4 3 2" xfId="20963" xr:uid="{97385EA9-FDF2-48B1-B276-375FB5FBEAE3}"/>
    <cellStyle name="Separador de milhares 9 3 4 3 2 2" xfId="23846" xr:uid="{BA410E03-E6BA-450C-8297-97CE81789212}"/>
    <cellStyle name="Separador de milhares 9 3 4 4" xfId="13828" xr:uid="{00000000-0005-0000-0000-000033320000}"/>
    <cellStyle name="Separador de milhares 9 3 4 4 2" xfId="22564" xr:uid="{F8FE9A5D-49D5-479C-8DD9-0E6143ECEB2D}"/>
    <cellStyle name="Separador de milhares 9 3 4 4 2 2" xfId="24119" xr:uid="{ED35F5DB-1BF7-4B8B-9524-6B99DCCA1517}"/>
    <cellStyle name="Separador de milhares 9 3 4 5" xfId="16080" xr:uid="{1DE75DC3-8FC1-4104-9232-DD236513A031}"/>
    <cellStyle name="Separador de milhares 9 3 4 5 2" xfId="23177" xr:uid="{0E83FB1D-A1A0-4124-9C61-B192C3314EA3}"/>
    <cellStyle name="Separador de milhares 9 4" xfId="4454" xr:uid="{00000000-0005-0000-0000-000034320000}"/>
    <cellStyle name="Separador de milhares 9 4 2" xfId="4455" xr:uid="{00000000-0005-0000-0000-000035320000}"/>
    <cellStyle name="Separador de milhares 9 4 2 2" xfId="4456" xr:uid="{00000000-0005-0000-0000-000036320000}"/>
    <cellStyle name="Separador de milhares 9 4 2 2 2" xfId="13831" xr:uid="{00000000-0005-0000-0000-000037320000}"/>
    <cellStyle name="Separador de milhares 9 4 2 3" xfId="13830" xr:uid="{00000000-0005-0000-0000-000038320000}"/>
    <cellStyle name="Separador de milhares 9 4 3" xfId="4457" xr:uid="{00000000-0005-0000-0000-000039320000}"/>
    <cellStyle name="Separador de milhares 9 4 3 2" xfId="9011" xr:uid="{00000000-0005-0000-0000-00003A320000}"/>
    <cellStyle name="Separador de milhares 9 4 3 2 2" xfId="17819" xr:uid="{4DD52D85-12E9-4E0F-A5D8-0AEA712680EE}"/>
    <cellStyle name="Separador de milhares 9 4 3 2 2 2" xfId="23472" xr:uid="{B070536D-33D9-4EFA-89DF-676D8B2DA1B1}"/>
    <cellStyle name="Separador de milhares 9 4 3 3" xfId="12221" xr:uid="{00000000-0005-0000-0000-00003B320000}"/>
    <cellStyle name="Separador de milhares 9 4 3 3 2" xfId="20964" xr:uid="{8CF7962B-505D-48F5-90DC-CF5A29A489A9}"/>
    <cellStyle name="Separador de milhares 9 4 3 3 2 2" xfId="23847" xr:uid="{29D6B5D6-115B-4642-A350-E0D391E4B4BC}"/>
    <cellStyle name="Separador de milhares 9 4 3 4" xfId="13832" xr:uid="{00000000-0005-0000-0000-00003C320000}"/>
    <cellStyle name="Separador de milhares 9 4 3 4 2" xfId="22565" xr:uid="{24EE3918-F14E-4F11-9805-F69452258834}"/>
    <cellStyle name="Separador de milhares 9 4 3 4 2 2" xfId="24120" xr:uid="{E65C8479-1D3E-4E3D-A6D7-0C333ACDC4D4}"/>
    <cellStyle name="Separador de milhares 9 4 3 5" xfId="16081" xr:uid="{6F1938DB-40CB-4671-A2AC-C3158D477F0E}"/>
    <cellStyle name="Separador de milhares 9 4 3 5 2" xfId="23178" xr:uid="{DC12C9CC-BF62-45D6-91BD-22D4435F2A80}"/>
    <cellStyle name="Separador de milhares 9 4 4" xfId="13829" xr:uid="{00000000-0005-0000-0000-00003D320000}"/>
    <cellStyle name="Separador de milhares 9 5" xfId="4458" xr:uid="{00000000-0005-0000-0000-00003E320000}"/>
    <cellStyle name="Separador de milhares 9 5 2" xfId="9012" xr:uid="{00000000-0005-0000-0000-00003F320000}"/>
    <cellStyle name="Separador de milhares 9 5 2 2" xfId="17820" xr:uid="{5C62635D-07E7-405E-A83C-E9FB7EDC1138}"/>
    <cellStyle name="Separador de milhares 9 5 2 2 2" xfId="23473" xr:uid="{1F60A7B3-447B-470A-AF03-947E8A55904A}"/>
    <cellStyle name="Separador de milhares 9 5 3" xfId="12222" xr:uid="{00000000-0005-0000-0000-000040320000}"/>
    <cellStyle name="Separador de milhares 9 5 3 2" xfId="20965" xr:uid="{4595D1F6-72D4-4984-893E-ABBCA850F58D}"/>
    <cellStyle name="Separador de milhares 9 5 3 2 2" xfId="23848" xr:uid="{81F0071F-A6C4-463D-8668-90C16B92A9E5}"/>
    <cellStyle name="Separador de milhares 9 5 4" xfId="13833" xr:uid="{00000000-0005-0000-0000-000041320000}"/>
    <cellStyle name="Separador de milhares 9 5 4 2" xfId="22566" xr:uid="{8D670F8C-4351-4B4D-8F0A-4F409B1D86E8}"/>
    <cellStyle name="Separador de milhares 9 5 4 2 2" xfId="24121" xr:uid="{4E733713-2166-416C-BE22-1A5793315E8E}"/>
    <cellStyle name="Separador de milhares 9 5 5" xfId="16082" xr:uid="{AE0BAF19-9064-4A40-926E-CF0DDBDDD2BF}"/>
    <cellStyle name="Separador de milhares 9 5 5 2" xfId="23179" xr:uid="{323D0AA5-AFE9-4C69-A9D0-61CE4875E03A}"/>
    <cellStyle name="Separador de milhares 9 6" xfId="4459" xr:uid="{00000000-0005-0000-0000-000042320000}"/>
    <cellStyle name="Separador de milhares 9 6 2" xfId="9013" xr:uid="{00000000-0005-0000-0000-000043320000}"/>
    <cellStyle name="Separador de milhares 9 6 2 2" xfId="17821" xr:uid="{1DE2A8FC-A898-4116-9F7C-5E5710CD7CBB}"/>
    <cellStyle name="Separador de milhares 9 6 2 2 2" xfId="23474" xr:uid="{1D9DB101-96EF-48EC-AC3A-8AF7AEE5AF57}"/>
    <cellStyle name="Separador de milhares 9 6 3" xfId="12223" xr:uid="{00000000-0005-0000-0000-000044320000}"/>
    <cellStyle name="Separador de milhares 9 6 3 2" xfId="20966" xr:uid="{E8BFC880-7E80-49A2-9C87-5C1F555B2E59}"/>
    <cellStyle name="Separador de milhares 9 6 3 2 2" xfId="23849" xr:uid="{D63023A8-B58C-4332-91C8-D0FB45974A7E}"/>
    <cellStyle name="Separador de milhares 9 6 4" xfId="13834" xr:uid="{00000000-0005-0000-0000-000045320000}"/>
    <cellStyle name="Separador de milhares 9 6 4 2" xfId="22567" xr:uid="{AB54B594-1D5F-4424-ACA3-E2CA1F39DEB3}"/>
    <cellStyle name="Separador de milhares 9 6 4 2 2" xfId="24122" xr:uid="{00333AF2-DE57-4BDA-9679-3EACC7936B73}"/>
    <cellStyle name="Separador de milhares 9 6 5" xfId="16083" xr:uid="{337308AC-F80E-4150-A745-FB727BFD35B8}"/>
    <cellStyle name="Separador de milhares 9 6 5 2" xfId="23180" xr:uid="{21FC7C5C-274A-45E1-8F4A-9D7F9580FA53}"/>
    <cellStyle name="Separador de milhares 9 7" xfId="4460" xr:uid="{00000000-0005-0000-0000-000046320000}"/>
    <cellStyle name="Separador de milhares 9 7 2" xfId="9014" xr:uid="{00000000-0005-0000-0000-000047320000}"/>
    <cellStyle name="Separador de milhares 9 7 2 2" xfId="17822" xr:uid="{E543EF0A-315F-4B77-849C-20C228783BEB}"/>
    <cellStyle name="Separador de milhares 9 7 2 2 2" xfId="23475" xr:uid="{43973C71-9086-4C3A-AC73-B4A88AE3E953}"/>
    <cellStyle name="Separador de milhares 9 7 3" xfId="12224" xr:uid="{00000000-0005-0000-0000-000048320000}"/>
    <cellStyle name="Separador de milhares 9 7 3 2" xfId="20967" xr:uid="{9EC10071-0B7C-46D0-ADEE-57E5B5969BC8}"/>
    <cellStyle name="Separador de milhares 9 7 3 2 2" xfId="23850" xr:uid="{7C4C3A6B-6B36-4721-9A04-9A6995C11778}"/>
    <cellStyle name="Separador de milhares 9 7 4" xfId="13835" xr:uid="{00000000-0005-0000-0000-000049320000}"/>
    <cellStyle name="Separador de milhares 9 7 4 2" xfId="22568" xr:uid="{13B3F3C6-CDBD-433B-9BAA-DEF620E524AC}"/>
    <cellStyle name="Separador de milhares 9 7 4 2 2" xfId="24123" xr:uid="{E4642170-FC52-4ED6-8020-BF4DDA7AAAF9}"/>
    <cellStyle name="Separador de milhares 9 7 5" xfId="16084" xr:uid="{4823D3C0-DD74-4824-8B69-EEBE938F69E0}"/>
    <cellStyle name="Separador de milhares 9 7 5 2" xfId="23181" xr:uid="{4359C9CF-9164-4262-A241-E4F25F34AB34}"/>
    <cellStyle name="Separador de milhares 9 8" xfId="4461" xr:uid="{00000000-0005-0000-0000-00004A320000}"/>
    <cellStyle name="Separador de milhares 9 8 2" xfId="9015" xr:uid="{00000000-0005-0000-0000-00004B320000}"/>
    <cellStyle name="Separador de milhares 9 8 2 2" xfId="17823" xr:uid="{E089F441-F8D4-4E14-8734-BC8A545471C9}"/>
    <cellStyle name="Separador de milhares 9 8 2 2 2" xfId="23476" xr:uid="{012A3095-4779-41F5-AC77-152FF6306F30}"/>
    <cellStyle name="Separador de milhares 9 8 3" xfId="12225" xr:uid="{00000000-0005-0000-0000-00004C320000}"/>
    <cellStyle name="Separador de milhares 9 8 3 2" xfId="20968" xr:uid="{4678189F-71D1-4D62-AC08-F94FA9054EF2}"/>
    <cellStyle name="Separador de milhares 9 8 3 2 2" xfId="23851" xr:uid="{1B7A0752-579C-432E-A907-05EC6BF12CB2}"/>
    <cellStyle name="Separador de milhares 9 8 4" xfId="13836" xr:uid="{00000000-0005-0000-0000-00004D320000}"/>
    <cellStyle name="Separador de milhares 9 8 4 2" xfId="22569" xr:uid="{375CDDA5-42A6-4A00-9A2B-EA3AECA317C9}"/>
    <cellStyle name="Separador de milhares 9 8 4 2 2" xfId="24124" xr:uid="{749F40D5-1F50-4A7B-9DB8-EB1D8CBF81A5}"/>
    <cellStyle name="Separador de milhares 9 8 5" xfId="16085" xr:uid="{B52EA381-85EE-408F-982B-1AAD4CE18470}"/>
    <cellStyle name="Separador de milhares 9 8 5 2" xfId="23182" xr:uid="{3AA38A1D-5740-47CE-A36B-145DB87FC866}"/>
    <cellStyle name="Separador de milhares 9 9" xfId="4462" xr:uid="{00000000-0005-0000-0000-00004E320000}"/>
    <cellStyle name="Separador de milhares 9 9 2" xfId="9016" xr:uid="{00000000-0005-0000-0000-00004F320000}"/>
    <cellStyle name="Separador de milhares 9 9 2 2" xfId="17824" xr:uid="{9377D2B3-AB59-4FDE-98DA-4B7018008096}"/>
    <cellStyle name="Separador de milhares 9 9 2 2 2" xfId="23477" xr:uid="{1C69D493-2DC4-4022-B42B-180EA9D05823}"/>
    <cellStyle name="Separador de milhares 9 9 3" xfId="12226" xr:uid="{00000000-0005-0000-0000-000050320000}"/>
    <cellStyle name="Separador de milhares 9 9 3 2" xfId="20969" xr:uid="{E6AD4CDF-31E7-47E5-BB96-5C50A9EB4FB7}"/>
    <cellStyle name="Separador de milhares 9 9 3 2 2" xfId="23852" xr:uid="{6B86C452-C08E-4491-9BFC-CB038B615718}"/>
    <cellStyle name="Separador de milhares 9 9 4" xfId="13837" xr:uid="{00000000-0005-0000-0000-000051320000}"/>
    <cellStyle name="Separador de milhares 9 9 4 2" xfId="22570" xr:uid="{5502B9C8-0C11-4899-8F17-7996E747A221}"/>
    <cellStyle name="Separador de milhares 9 9 4 2 2" xfId="24125" xr:uid="{4AEA2408-0099-4BDC-B29F-C6D4AFB0D086}"/>
    <cellStyle name="Separador de milhares 9 9 5" xfId="16086" xr:uid="{4868ED14-5A13-4AF4-A067-ECE6DDA0BC60}"/>
    <cellStyle name="Separador de milhares 9 9 5 2" xfId="23183" xr:uid="{26E787CA-170F-49C6-AD7F-066337F64628}"/>
    <cellStyle name="Shading" xfId="5121" xr:uid="{00000000-0005-0000-0000-000052320000}"/>
    <cellStyle name="Shading 2" xfId="16126" xr:uid="{00450D99-2986-4FE1-B7D7-0D16322EB037}"/>
    <cellStyle name="SHEET2!Normal" xfId="5122" xr:uid="{00000000-0005-0000-0000-000053320000}"/>
    <cellStyle name="Sombra" xfId="4463" xr:uid="{00000000-0005-0000-0000-000054320000}"/>
    <cellStyle name="Sombra 10" xfId="4464" xr:uid="{00000000-0005-0000-0000-000055320000}"/>
    <cellStyle name="Sombra 11" xfId="4465" xr:uid="{00000000-0005-0000-0000-000056320000}"/>
    <cellStyle name="Sombra 12" xfId="4466" xr:uid="{00000000-0005-0000-0000-000057320000}"/>
    <cellStyle name="Sombra 13" xfId="4467" xr:uid="{00000000-0005-0000-0000-000058320000}"/>
    <cellStyle name="Sombra 14" xfId="4468" xr:uid="{00000000-0005-0000-0000-000059320000}"/>
    <cellStyle name="Sombra 15" xfId="4469" xr:uid="{00000000-0005-0000-0000-00005A320000}"/>
    <cellStyle name="Sombra 16" xfId="4470" xr:uid="{00000000-0005-0000-0000-00005B320000}"/>
    <cellStyle name="Sombra 17" xfId="4471" xr:uid="{00000000-0005-0000-0000-00005C320000}"/>
    <cellStyle name="Sombra 18" xfId="4472" xr:uid="{00000000-0005-0000-0000-00005D320000}"/>
    <cellStyle name="Sombra 19" xfId="4473" xr:uid="{00000000-0005-0000-0000-00005E320000}"/>
    <cellStyle name="Sombra 2" xfId="4474" xr:uid="{00000000-0005-0000-0000-00005F320000}"/>
    <cellStyle name="Sombra 20" xfId="4475" xr:uid="{00000000-0005-0000-0000-000060320000}"/>
    <cellStyle name="Sombra 21" xfId="4476" xr:uid="{00000000-0005-0000-0000-000061320000}"/>
    <cellStyle name="Sombra 22" xfId="4477" xr:uid="{00000000-0005-0000-0000-000062320000}"/>
    <cellStyle name="Sombra 23" xfId="4478" xr:uid="{00000000-0005-0000-0000-000063320000}"/>
    <cellStyle name="Sombra 24" xfId="4479" xr:uid="{00000000-0005-0000-0000-000064320000}"/>
    <cellStyle name="Sombra 25" xfId="4480" xr:uid="{00000000-0005-0000-0000-000065320000}"/>
    <cellStyle name="Sombra 26" xfId="4481" xr:uid="{00000000-0005-0000-0000-000066320000}"/>
    <cellStyle name="Sombra 27" xfId="4482" xr:uid="{00000000-0005-0000-0000-000067320000}"/>
    <cellStyle name="Sombra 28" xfId="4483" xr:uid="{00000000-0005-0000-0000-000068320000}"/>
    <cellStyle name="Sombra 29" xfId="4484" xr:uid="{00000000-0005-0000-0000-000069320000}"/>
    <cellStyle name="Sombra 3" xfId="4485" xr:uid="{00000000-0005-0000-0000-00006A320000}"/>
    <cellStyle name="Sombra 30" xfId="4486" xr:uid="{00000000-0005-0000-0000-00006B320000}"/>
    <cellStyle name="Sombra 31" xfId="4487" xr:uid="{00000000-0005-0000-0000-00006C320000}"/>
    <cellStyle name="Sombra 32" xfId="4488" xr:uid="{00000000-0005-0000-0000-00006D320000}"/>
    <cellStyle name="Sombra 33" xfId="4489" xr:uid="{00000000-0005-0000-0000-00006E320000}"/>
    <cellStyle name="Sombra 34" xfId="4490" xr:uid="{00000000-0005-0000-0000-00006F320000}"/>
    <cellStyle name="Sombra 35" xfId="4491" xr:uid="{00000000-0005-0000-0000-000070320000}"/>
    <cellStyle name="Sombra 36" xfId="4492" xr:uid="{00000000-0005-0000-0000-000071320000}"/>
    <cellStyle name="Sombra 37" xfId="4493" xr:uid="{00000000-0005-0000-0000-000072320000}"/>
    <cellStyle name="Sombra 38" xfId="4494" xr:uid="{00000000-0005-0000-0000-000073320000}"/>
    <cellStyle name="Sombra 39" xfId="4495" xr:uid="{00000000-0005-0000-0000-000074320000}"/>
    <cellStyle name="Sombra 4" xfId="4496" xr:uid="{00000000-0005-0000-0000-000075320000}"/>
    <cellStyle name="Sombra 40" xfId="4497" xr:uid="{00000000-0005-0000-0000-000076320000}"/>
    <cellStyle name="Sombra 5" xfId="4498" xr:uid="{00000000-0005-0000-0000-000077320000}"/>
    <cellStyle name="Sombra 6" xfId="4499" xr:uid="{00000000-0005-0000-0000-000078320000}"/>
    <cellStyle name="Sombra 7" xfId="4500" xr:uid="{00000000-0005-0000-0000-000079320000}"/>
    <cellStyle name="Sombra 8" xfId="4501" xr:uid="{00000000-0005-0000-0000-00007A320000}"/>
    <cellStyle name="Sombra 9" xfId="4502" xr:uid="{00000000-0005-0000-0000-00007B320000}"/>
    <cellStyle name="ssubtitulo" xfId="4503" xr:uid="{00000000-0005-0000-0000-00007C320000}"/>
    <cellStyle name="Standaard_Blad1" xfId="4504" xr:uid="{00000000-0005-0000-0000-00007D320000}"/>
    <cellStyle name="Standard_Anlagenbuchhaltung" xfId="4505" xr:uid="{00000000-0005-0000-0000-00007E320000}"/>
    <cellStyle name="Style 1" xfId="5123" xr:uid="{00000000-0005-0000-0000-00007F320000}"/>
    <cellStyle name="Style 100" xfId="4506" xr:uid="{00000000-0005-0000-0000-000080320000}"/>
    <cellStyle name="Style 101" xfId="4507" xr:uid="{00000000-0005-0000-0000-000081320000}"/>
    <cellStyle name="Style 102" xfId="4508" xr:uid="{00000000-0005-0000-0000-000082320000}"/>
    <cellStyle name="Style 103" xfId="4509" xr:uid="{00000000-0005-0000-0000-000083320000}"/>
    <cellStyle name="Style 104" xfId="4510" xr:uid="{00000000-0005-0000-0000-000084320000}"/>
    <cellStyle name="Style 105" xfId="4511" xr:uid="{00000000-0005-0000-0000-000085320000}"/>
    <cellStyle name="Style 106" xfId="4512" xr:uid="{00000000-0005-0000-0000-000086320000}"/>
    <cellStyle name="Style 107" xfId="4513" xr:uid="{00000000-0005-0000-0000-000087320000}"/>
    <cellStyle name="Style 108" xfId="4514" xr:uid="{00000000-0005-0000-0000-000088320000}"/>
    <cellStyle name="Style 109" xfId="4515" xr:uid="{00000000-0005-0000-0000-000089320000}"/>
    <cellStyle name="Style 110" xfId="4516" xr:uid="{00000000-0005-0000-0000-00008A320000}"/>
    <cellStyle name="Style 111" xfId="4517" xr:uid="{00000000-0005-0000-0000-00008B320000}"/>
    <cellStyle name="Style 112" xfId="4518" xr:uid="{00000000-0005-0000-0000-00008C320000}"/>
    <cellStyle name="Style 113" xfId="4519" xr:uid="{00000000-0005-0000-0000-00008D320000}"/>
    <cellStyle name="Style 114" xfId="4520" xr:uid="{00000000-0005-0000-0000-00008E320000}"/>
    <cellStyle name="Style 115" xfId="4521" xr:uid="{00000000-0005-0000-0000-00008F320000}"/>
    <cellStyle name="Style 116" xfId="4522" xr:uid="{00000000-0005-0000-0000-000090320000}"/>
    <cellStyle name="Style 117" xfId="4523" xr:uid="{00000000-0005-0000-0000-000091320000}"/>
    <cellStyle name="Style 118" xfId="4524" xr:uid="{00000000-0005-0000-0000-000092320000}"/>
    <cellStyle name="Style 119" xfId="4525" xr:uid="{00000000-0005-0000-0000-000093320000}"/>
    <cellStyle name="Style 120" xfId="4526" xr:uid="{00000000-0005-0000-0000-000094320000}"/>
    <cellStyle name="Style 121" xfId="4527" xr:uid="{00000000-0005-0000-0000-000095320000}"/>
    <cellStyle name="Style 122" xfId="4528" xr:uid="{00000000-0005-0000-0000-000096320000}"/>
    <cellStyle name="Style 123" xfId="4529" xr:uid="{00000000-0005-0000-0000-000097320000}"/>
    <cellStyle name="Style 124" xfId="4530" xr:uid="{00000000-0005-0000-0000-000098320000}"/>
    <cellStyle name="Style 125" xfId="4531" xr:uid="{00000000-0005-0000-0000-000099320000}"/>
    <cellStyle name="Style 126" xfId="4532" xr:uid="{00000000-0005-0000-0000-00009A320000}"/>
    <cellStyle name="Style 127" xfId="4533" xr:uid="{00000000-0005-0000-0000-00009B320000}"/>
    <cellStyle name="Style 128" xfId="4534" xr:uid="{00000000-0005-0000-0000-00009C320000}"/>
    <cellStyle name="Style 129" xfId="4535" xr:uid="{00000000-0005-0000-0000-00009D320000}"/>
    <cellStyle name="Style 130" xfId="4536" xr:uid="{00000000-0005-0000-0000-00009E320000}"/>
    <cellStyle name="Style 131" xfId="4537" xr:uid="{00000000-0005-0000-0000-00009F320000}"/>
    <cellStyle name="Style 132" xfId="4538" xr:uid="{00000000-0005-0000-0000-0000A0320000}"/>
    <cellStyle name="Style 133" xfId="4539" xr:uid="{00000000-0005-0000-0000-0000A1320000}"/>
    <cellStyle name="Style 134" xfId="4540" xr:uid="{00000000-0005-0000-0000-0000A2320000}"/>
    <cellStyle name="Style 135" xfId="4541" xr:uid="{00000000-0005-0000-0000-0000A3320000}"/>
    <cellStyle name="Style 136" xfId="4542" xr:uid="{00000000-0005-0000-0000-0000A4320000}"/>
    <cellStyle name="Style 137" xfId="4543" xr:uid="{00000000-0005-0000-0000-0000A5320000}"/>
    <cellStyle name="Style 138" xfId="4544" xr:uid="{00000000-0005-0000-0000-0000A6320000}"/>
    <cellStyle name="Style 139" xfId="4545" xr:uid="{00000000-0005-0000-0000-0000A7320000}"/>
    <cellStyle name="Style 140" xfId="4546" xr:uid="{00000000-0005-0000-0000-0000A8320000}"/>
    <cellStyle name="Style 141" xfId="4547" xr:uid="{00000000-0005-0000-0000-0000A9320000}"/>
    <cellStyle name="Style 142" xfId="4548" xr:uid="{00000000-0005-0000-0000-0000AA320000}"/>
    <cellStyle name="Style 143" xfId="4549" xr:uid="{00000000-0005-0000-0000-0000AB320000}"/>
    <cellStyle name="Style 144" xfId="4550" xr:uid="{00000000-0005-0000-0000-0000AC320000}"/>
    <cellStyle name="Style 145" xfId="4551" xr:uid="{00000000-0005-0000-0000-0000AD320000}"/>
    <cellStyle name="Style 146" xfId="4552" xr:uid="{00000000-0005-0000-0000-0000AE320000}"/>
    <cellStyle name="Style 147" xfId="4553" xr:uid="{00000000-0005-0000-0000-0000AF320000}"/>
    <cellStyle name="Style 149" xfId="4554" xr:uid="{00000000-0005-0000-0000-0000B0320000}"/>
    <cellStyle name="Style 151" xfId="4555" xr:uid="{00000000-0005-0000-0000-0000B1320000}"/>
    <cellStyle name="Style 153" xfId="4556" xr:uid="{00000000-0005-0000-0000-0000B2320000}"/>
    <cellStyle name="Style 155" xfId="4557" xr:uid="{00000000-0005-0000-0000-0000B3320000}"/>
    <cellStyle name="Style 157" xfId="4558" xr:uid="{00000000-0005-0000-0000-0000B4320000}"/>
    <cellStyle name="Style 159" xfId="4559" xr:uid="{00000000-0005-0000-0000-0000B5320000}"/>
    <cellStyle name="Style 161" xfId="4560" xr:uid="{00000000-0005-0000-0000-0000B6320000}"/>
    <cellStyle name="Style 2" xfId="5124" xr:uid="{00000000-0005-0000-0000-0000B7320000}"/>
    <cellStyle name="Style 21" xfId="4561" xr:uid="{00000000-0005-0000-0000-0000B8320000}"/>
    <cellStyle name="Style 22" xfId="4562" xr:uid="{00000000-0005-0000-0000-0000B9320000}"/>
    <cellStyle name="Style 23" xfId="4563" xr:uid="{00000000-0005-0000-0000-0000BA320000}"/>
    <cellStyle name="Style 24" xfId="4564" xr:uid="{00000000-0005-0000-0000-0000BB320000}"/>
    <cellStyle name="Style 25" xfId="4565" xr:uid="{00000000-0005-0000-0000-0000BC320000}"/>
    <cellStyle name="Style 26" xfId="4566" xr:uid="{00000000-0005-0000-0000-0000BD320000}"/>
    <cellStyle name="Style 27" xfId="4567" xr:uid="{00000000-0005-0000-0000-0000BE320000}"/>
    <cellStyle name="Style 27 2" xfId="5125" xr:uid="{00000000-0005-0000-0000-0000BF320000}"/>
    <cellStyle name="Style 28" xfId="4568" xr:uid="{00000000-0005-0000-0000-0000C0320000}"/>
    <cellStyle name="Style 29" xfId="4569" xr:uid="{00000000-0005-0000-0000-0000C1320000}"/>
    <cellStyle name="Style 30" xfId="4570" xr:uid="{00000000-0005-0000-0000-0000C2320000}"/>
    <cellStyle name="Style 31" xfId="4571" xr:uid="{00000000-0005-0000-0000-0000C3320000}"/>
    <cellStyle name="Style 32" xfId="4572" xr:uid="{00000000-0005-0000-0000-0000C4320000}"/>
    <cellStyle name="Style 32 2" xfId="4914" xr:uid="{00000000-0005-0000-0000-0000C5320000}"/>
    <cellStyle name="Style 32 2 2" xfId="14568" xr:uid="{8B441BD2-653E-421A-8D47-6824FEEFEACA}"/>
    <cellStyle name="Style 32 2 3" xfId="13882" xr:uid="{FD0BD59A-2546-438A-A990-B3DAD8568704}"/>
    <cellStyle name="Style 32 3" xfId="12227" xr:uid="{00000000-0005-0000-0000-0000C6320000}"/>
    <cellStyle name="Style 33" xfId="4573" xr:uid="{00000000-0005-0000-0000-0000C7320000}"/>
    <cellStyle name="Style 34" xfId="4574" xr:uid="{00000000-0005-0000-0000-0000C8320000}"/>
    <cellStyle name="Style 34 2" xfId="4915" xr:uid="{00000000-0005-0000-0000-0000C9320000}"/>
    <cellStyle name="Style 34 2 2" xfId="14573" xr:uid="{0D5B89A4-82D9-4EF5-AF36-3D5DA8E4943A}"/>
    <cellStyle name="Style 34 2 3" xfId="13883" xr:uid="{093B1E1E-F114-4061-B504-8D89CE5682AD}"/>
    <cellStyle name="Style 34 3" xfId="12228" xr:uid="{00000000-0005-0000-0000-0000CA320000}"/>
    <cellStyle name="Style 35" xfId="4575" xr:uid="{00000000-0005-0000-0000-0000CB320000}"/>
    <cellStyle name="Style 36" xfId="4576" xr:uid="{00000000-0005-0000-0000-0000CC320000}"/>
    <cellStyle name="Style 37" xfId="4577" xr:uid="{00000000-0005-0000-0000-0000CD320000}"/>
    <cellStyle name="Style 38" xfId="4578" xr:uid="{00000000-0005-0000-0000-0000CE320000}"/>
    <cellStyle name="Style 39" xfId="4579" xr:uid="{00000000-0005-0000-0000-0000CF320000}"/>
    <cellStyle name="Style 39 2" xfId="5126" xr:uid="{00000000-0005-0000-0000-0000D0320000}"/>
    <cellStyle name="Style 40" xfId="4580" xr:uid="{00000000-0005-0000-0000-0000D1320000}"/>
    <cellStyle name="Style 40 2" xfId="5127" xr:uid="{00000000-0005-0000-0000-0000D2320000}"/>
    <cellStyle name="Style 41" xfId="4581" xr:uid="{00000000-0005-0000-0000-0000D3320000}"/>
    <cellStyle name="Style 41 2" xfId="5128" xr:uid="{00000000-0005-0000-0000-0000D4320000}"/>
    <cellStyle name="Style 42" xfId="4582" xr:uid="{00000000-0005-0000-0000-0000D5320000}"/>
    <cellStyle name="Style 42 2" xfId="5129" xr:uid="{00000000-0005-0000-0000-0000D6320000}"/>
    <cellStyle name="Style 43" xfId="4583" xr:uid="{00000000-0005-0000-0000-0000D7320000}"/>
    <cellStyle name="Style 43 2" xfId="5130" xr:uid="{00000000-0005-0000-0000-0000D8320000}"/>
    <cellStyle name="Style 43 2 2" xfId="16131" xr:uid="{C2D3E135-13A1-4CA9-B469-73F3B3AD6289}"/>
    <cellStyle name="Style 43 2 3" xfId="13890" xr:uid="{AB00D067-6F2B-419B-9AF3-CA23AEB5F959}"/>
    <cellStyle name="Style 44" xfId="4584" xr:uid="{00000000-0005-0000-0000-0000D9320000}"/>
    <cellStyle name="Style 44 2" xfId="5131" xr:uid="{00000000-0005-0000-0000-0000DA320000}"/>
    <cellStyle name="Style 45" xfId="4585" xr:uid="{00000000-0005-0000-0000-0000DB320000}"/>
    <cellStyle name="Style 45 2" xfId="5132" xr:uid="{00000000-0005-0000-0000-0000DC320000}"/>
    <cellStyle name="Style 46" xfId="4586" xr:uid="{00000000-0005-0000-0000-0000DD320000}"/>
    <cellStyle name="Style 46 2" xfId="5133" xr:uid="{00000000-0005-0000-0000-0000DE320000}"/>
    <cellStyle name="Style 47" xfId="4587" xr:uid="{00000000-0005-0000-0000-0000DF320000}"/>
    <cellStyle name="Style 47 2" xfId="5134" xr:uid="{00000000-0005-0000-0000-0000E0320000}"/>
    <cellStyle name="Style 48" xfId="4588" xr:uid="{00000000-0005-0000-0000-0000E1320000}"/>
    <cellStyle name="Style 48 2" xfId="5135" xr:uid="{00000000-0005-0000-0000-0000E2320000}"/>
    <cellStyle name="Style 49" xfId="4589" xr:uid="{00000000-0005-0000-0000-0000E3320000}"/>
    <cellStyle name="Style 49 2" xfId="5136" xr:uid="{00000000-0005-0000-0000-0000E4320000}"/>
    <cellStyle name="Style 50" xfId="4590" xr:uid="{00000000-0005-0000-0000-0000E5320000}"/>
    <cellStyle name="Style 50 2" xfId="5137" xr:uid="{00000000-0005-0000-0000-0000E6320000}"/>
    <cellStyle name="Style 50 3" xfId="13981" xr:uid="{D4637BE0-FC47-4715-AF67-BB6BBF7F5B5F}"/>
    <cellStyle name="Style 50 3 2" xfId="22882" xr:uid="{0ECA2C63-15BB-49C2-A216-FA2175AC122A}"/>
    <cellStyle name="Style 51" xfId="4591" xr:uid="{00000000-0005-0000-0000-0000E7320000}"/>
    <cellStyle name="Style 51 2" xfId="5138" xr:uid="{00000000-0005-0000-0000-0000E8320000}"/>
    <cellStyle name="Style 51 3" xfId="13982" xr:uid="{B056235B-CE3A-4EAF-9AC2-E4A17D1AA332}"/>
    <cellStyle name="Style 51 3 2" xfId="22883" xr:uid="{86F003ED-BA6A-4463-97D0-01819B614E68}"/>
    <cellStyle name="Style 52" xfId="4592" xr:uid="{00000000-0005-0000-0000-0000E9320000}"/>
    <cellStyle name="Style 52 2" xfId="5139" xr:uid="{00000000-0005-0000-0000-0000EA320000}"/>
    <cellStyle name="Style 52 3" xfId="13983" xr:uid="{7D4AF852-95F0-4E22-A1B8-68BF13C8DF6D}"/>
    <cellStyle name="Style 53" xfId="4593" xr:uid="{00000000-0005-0000-0000-0000EB320000}"/>
    <cellStyle name="Style 53 2" xfId="5140" xr:uid="{00000000-0005-0000-0000-0000EC320000}"/>
    <cellStyle name="Style 53 3" xfId="13984" xr:uid="{972855D4-B7F6-498E-AAC7-B3933897AF83}"/>
    <cellStyle name="Style 54" xfId="4594" xr:uid="{00000000-0005-0000-0000-0000ED320000}"/>
    <cellStyle name="Style 54 2" xfId="5141" xr:uid="{00000000-0005-0000-0000-0000EE320000}"/>
    <cellStyle name="Style 54 3" xfId="13985" xr:uid="{7E937CC2-7B6A-410C-B82F-517B433C3789}"/>
    <cellStyle name="Style 54 3 2" xfId="22884" xr:uid="{09BEAAD8-8E60-4E79-9373-A895B9167742}"/>
    <cellStyle name="Style 55" xfId="4595" xr:uid="{00000000-0005-0000-0000-0000EF320000}"/>
    <cellStyle name="Style 55 2" xfId="5142" xr:uid="{00000000-0005-0000-0000-0000F0320000}"/>
    <cellStyle name="Style 56" xfId="4596" xr:uid="{00000000-0005-0000-0000-0000F1320000}"/>
    <cellStyle name="Style 57" xfId="4597" xr:uid="{00000000-0005-0000-0000-0000F2320000}"/>
    <cellStyle name="Style 58" xfId="4598" xr:uid="{00000000-0005-0000-0000-0000F3320000}"/>
    <cellStyle name="Style 58 2" xfId="4599" xr:uid="{00000000-0005-0000-0000-0000F4320000}"/>
    <cellStyle name="Style 58 2 2" xfId="4600" xr:uid="{00000000-0005-0000-0000-0000F5320000}"/>
    <cellStyle name="Style 58 2 2 2" xfId="10585" xr:uid="{00000000-0005-0000-0000-0000F6320000}"/>
    <cellStyle name="Style 58 2 3" xfId="10584" xr:uid="{00000000-0005-0000-0000-0000F7320000}"/>
    <cellStyle name="Style 58 3" xfId="4601" xr:uid="{00000000-0005-0000-0000-0000F8320000}"/>
    <cellStyle name="Style 58 3 2" xfId="4602" xr:uid="{00000000-0005-0000-0000-0000F9320000}"/>
    <cellStyle name="Style 58 3 2 2" xfId="10587" xr:uid="{00000000-0005-0000-0000-0000FA320000}"/>
    <cellStyle name="Style 58 3 3" xfId="10586" xr:uid="{00000000-0005-0000-0000-0000FB320000}"/>
    <cellStyle name="Style 58 4" xfId="4603" xr:uid="{00000000-0005-0000-0000-0000FC320000}"/>
    <cellStyle name="Style 58 4 2" xfId="10588" xr:uid="{00000000-0005-0000-0000-0000FD320000}"/>
    <cellStyle name="Style 58 5" xfId="10583" xr:uid="{00000000-0005-0000-0000-0000FE320000}"/>
    <cellStyle name="Style 59" xfId="4604" xr:uid="{00000000-0005-0000-0000-0000FF320000}"/>
    <cellStyle name="Style 60" xfId="4605" xr:uid="{00000000-0005-0000-0000-000000330000}"/>
    <cellStyle name="Style 61" xfId="4606" xr:uid="{00000000-0005-0000-0000-000001330000}"/>
    <cellStyle name="Style 62" xfId="4607" xr:uid="{00000000-0005-0000-0000-000002330000}"/>
    <cellStyle name="Style 63" xfId="4608" xr:uid="{00000000-0005-0000-0000-000003330000}"/>
    <cellStyle name="Style 64" xfId="4609" xr:uid="{00000000-0005-0000-0000-000004330000}"/>
    <cellStyle name="Style 65" xfId="4610" xr:uid="{00000000-0005-0000-0000-000005330000}"/>
    <cellStyle name="Style 66" xfId="4611" xr:uid="{00000000-0005-0000-0000-000006330000}"/>
    <cellStyle name="Style 67" xfId="4612" xr:uid="{00000000-0005-0000-0000-000007330000}"/>
    <cellStyle name="Style 68" xfId="4613" xr:uid="{00000000-0005-0000-0000-000008330000}"/>
    <cellStyle name="Style 69" xfId="4614" xr:uid="{00000000-0005-0000-0000-000009330000}"/>
    <cellStyle name="Style 70" xfId="4615" xr:uid="{00000000-0005-0000-0000-00000A330000}"/>
    <cellStyle name="Style 71" xfId="4616" xr:uid="{00000000-0005-0000-0000-00000B330000}"/>
    <cellStyle name="Style 72" xfId="4617" xr:uid="{00000000-0005-0000-0000-00000C330000}"/>
    <cellStyle name="Style 73" xfId="4618" xr:uid="{00000000-0005-0000-0000-00000D330000}"/>
    <cellStyle name="Style 74" xfId="4619" xr:uid="{00000000-0005-0000-0000-00000E330000}"/>
    <cellStyle name="Style 83" xfId="4620" xr:uid="{00000000-0005-0000-0000-00000F330000}"/>
    <cellStyle name="Style 84" xfId="4621" xr:uid="{00000000-0005-0000-0000-000010330000}"/>
    <cellStyle name="Style 85" xfId="4622" xr:uid="{00000000-0005-0000-0000-000011330000}"/>
    <cellStyle name="Style 86" xfId="4623" xr:uid="{00000000-0005-0000-0000-000012330000}"/>
    <cellStyle name="Style 87" xfId="4624" xr:uid="{00000000-0005-0000-0000-000013330000}"/>
    <cellStyle name="Style 88" xfId="4625" xr:uid="{00000000-0005-0000-0000-000014330000}"/>
    <cellStyle name="Style 89" xfId="4626" xr:uid="{00000000-0005-0000-0000-000015330000}"/>
    <cellStyle name="Style 90" xfId="4627" xr:uid="{00000000-0005-0000-0000-000016330000}"/>
    <cellStyle name="Style 91" xfId="4628" xr:uid="{00000000-0005-0000-0000-000017330000}"/>
    <cellStyle name="Style 92" xfId="4629" xr:uid="{00000000-0005-0000-0000-000018330000}"/>
    <cellStyle name="Style 93" xfId="4630" xr:uid="{00000000-0005-0000-0000-000019330000}"/>
    <cellStyle name="Style 94" xfId="4631" xr:uid="{00000000-0005-0000-0000-00001A330000}"/>
    <cellStyle name="Style 95" xfId="4632" xr:uid="{00000000-0005-0000-0000-00001B330000}"/>
    <cellStyle name="Style 96" xfId="4633" xr:uid="{00000000-0005-0000-0000-00001C330000}"/>
    <cellStyle name="Style 97" xfId="4634" xr:uid="{00000000-0005-0000-0000-00001D330000}"/>
    <cellStyle name="Style 98" xfId="4635" xr:uid="{00000000-0005-0000-0000-00001E330000}"/>
    <cellStyle name="Style 99" xfId="4636" xr:uid="{00000000-0005-0000-0000-00001F330000}"/>
    <cellStyle name="subtitulo" xfId="4637" xr:uid="{00000000-0005-0000-0000-000020330000}"/>
    <cellStyle name="Subtotal" xfId="4638" xr:uid="{00000000-0005-0000-0000-000021330000}"/>
    <cellStyle name="Subtotal 2" xfId="5143" xr:uid="{00000000-0005-0000-0000-000022330000}"/>
    <cellStyle name="Table Col Head" xfId="4639" xr:uid="{00000000-0005-0000-0000-000023330000}"/>
    <cellStyle name="Table Head" xfId="4640" xr:uid="{00000000-0005-0000-0000-000024330000}"/>
    <cellStyle name="Table Head 2" xfId="5144" xr:uid="{00000000-0005-0000-0000-000025330000}"/>
    <cellStyle name="Table Head Aligned" xfId="5145" xr:uid="{00000000-0005-0000-0000-000026330000}"/>
    <cellStyle name="Table Head Blue" xfId="5146" xr:uid="{00000000-0005-0000-0000-000027330000}"/>
    <cellStyle name="Table Head Green" xfId="5147" xr:uid="{00000000-0005-0000-0000-000028330000}"/>
    <cellStyle name="Table Head_pldt" xfId="5148" xr:uid="{00000000-0005-0000-0000-000029330000}"/>
    <cellStyle name="Table Heading" xfId="4641" xr:uid="{00000000-0005-0000-0000-00002A330000}"/>
    <cellStyle name="Table Source" xfId="5149" xr:uid="{00000000-0005-0000-0000-00002B330000}"/>
    <cellStyle name="Table Text" xfId="5150" xr:uid="{00000000-0005-0000-0000-00002C330000}"/>
    <cellStyle name="Table Title" xfId="4642" xr:uid="{00000000-0005-0000-0000-00002D330000}"/>
    <cellStyle name="Table Title 2" xfId="5151" xr:uid="{00000000-0005-0000-0000-00002E330000}"/>
    <cellStyle name="Table Units" xfId="4643" xr:uid="{00000000-0005-0000-0000-00002F330000}"/>
    <cellStyle name="Table Units 2" xfId="4644" xr:uid="{00000000-0005-0000-0000-000030330000}"/>
    <cellStyle name="Table Units 3" xfId="4645" xr:uid="{00000000-0005-0000-0000-000031330000}"/>
    <cellStyle name="Table Units 4" xfId="5152" xr:uid="{00000000-0005-0000-0000-000032330000}"/>
    <cellStyle name="Table_Header" xfId="5153" xr:uid="{00000000-0005-0000-0000-000033330000}"/>
    <cellStyle name="TEXT" xfId="4646" xr:uid="{00000000-0005-0000-0000-000034330000}"/>
    <cellStyle name="Text 1" xfId="5154" xr:uid="{00000000-0005-0000-0000-000035330000}"/>
    <cellStyle name="Text 2" xfId="5155" xr:uid="{00000000-0005-0000-0000-000036330000}"/>
    <cellStyle name="Text Head 1" xfId="5156" xr:uid="{00000000-0005-0000-0000-000037330000}"/>
    <cellStyle name="Text Head 2" xfId="5157" xr:uid="{00000000-0005-0000-0000-000038330000}"/>
    <cellStyle name="Text Indent 1" xfId="5158" xr:uid="{00000000-0005-0000-0000-000039330000}"/>
    <cellStyle name="Text Indent 2" xfId="5159" xr:uid="{00000000-0005-0000-0000-00003A330000}"/>
    <cellStyle name="Text Indent A" xfId="5160" xr:uid="{00000000-0005-0000-0000-00003B330000}"/>
    <cellStyle name="Text Indent B" xfId="5161" xr:uid="{00000000-0005-0000-0000-00003C330000}"/>
    <cellStyle name="Text Indent C" xfId="5162" xr:uid="{00000000-0005-0000-0000-00003D330000}"/>
    <cellStyle name="TEXTO" xfId="4647" xr:uid="{00000000-0005-0000-0000-00003E330000}"/>
    <cellStyle name="TEXTO 10" xfId="4648" xr:uid="{00000000-0005-0000-0000-00003F330000}"/>
    <cellStyle name="TEXTO 11" xfId="4649" xr:uid="{00000000-0005-0000-0000-000040330000}"/>
    <cellStyle name="TEXTO 12" xfId="4650" xr:uid="{00000000-0005-0000-0000-000041330000}"/>
    <cellStyle name="TEXTO 13" xfId="4651" xr:uid="{00000000-0005-0000-0000-000042330000}"/>
    <cellStyle name="TEXTO 14" xfId="4652" xr:uid="{00000000-0005-0000-0000-000043330000}"/>
    <cellStyle name="TEXTO 15" xfId="4653" xr:uid="{00000000-0005-0000-0000-000044330000}"/>
    <cellStyle name="TEXTO 16" xfId="4654" xr:uid="{00000000-0005-0000-0000-000045330000}"/>
    <cellStyle name="TEXTO 17" xfId="4655" xr:uid="{00000000-0005-0000-0000-000046330000}"/>
    <cellStyle name="TEXTO 18" xfId="4656" xr:uid="{00000000-0005-0000-0000-000047330000}"/>
    <cellStyle name="TEXTO 19" xfId="4657" xr:uid="{00000000-0005-0000-0000-000048330000}"/>
    <cellStyle name="TEXTO 2" xfId="4658" xr:uid="{00000000-0005-0000-0000-000049330000}"/>
    <cellStyle name="TEXTO 20" xfId="4659" xr:uid="{00000000-0005-0000-0000-00004A330000}"/>
    <cellStyle name="TEXTO 21" xfId="4660" xr:uid="{00000000-0005-0000-0000-00004B330000}"/>
    <cellStyle name="TEXTO 22" xfId="4661" xr:uid="{00000000-0005-0000-0000-00004C330000}"/>
    <cellStyle name="TEXTO 23" xfId="4662" xr:uid="{00000000-0005-0000-0000-00004D330000}"/>
    <cellStyle name="TEXTO 24" xfId="4663" xr:uid="{00000000-0005-0000-0000-00004E330000}"/>
    <cellStyle name="TEXTO 25" xfId="4664" xr:uid="{00000000-0005-0000-0000-00004F330000}"/>
    <cellStyle name="TEXTO 26" xfId="4665" xr:uid="{00000000-0005-0000-0000-000050330000}"/>
    <cellStyle name="TEXTO 27" xfId="4666" xr:uid="{00000000-0005-0000-0000-000051330000}"/>
    <cellStyle name="TEXTO 28" xfId="4667" xr:uid="{00000000-0005-0000-0000-000052330000}"/>
    <cellStyle name="TEXTO 29" xfId="4668" xr:uid="{00000000-0005-0000-0000-000053330000}"/>
    <cellStyle name="TEXTO 3" xfId="4669" xr:uid="{00000000-0005-0000-0000-000054330000}"/>
    <cellStyle name="TEXTO 30" xfId="4670" xr:uid="{00000000-0005-0000-0000-000055330000}"/>
    <cellStyle name="TEXTO 31" xfId="4671" xr:uid="{00000000-0005-0000-0000-000056330000}"/>
    <cellStyle name="TEXTO 32" xfId="4672" xr:uid="{00000000-0005-0000-0000-000057330000}"/>
    <cellStyle name="TEXTO 33" xfId="4673" xr:uid="{00000000-0005-0000-0000-000058330000}"/>
    <cellStyle name="TEXTO 34" xfId="4674" xr:uid="{00000000-0005-0000-0000-000059330000}"/>
    <cellStyle name="TEXTO 35" xfId="4675" xr:uid="{00000000-0005-0000-0000-00005A330000}"/>
    <cellStyle name="TEXTO 36" xfId="4676" xr:uid="{00000000-0005-0000-0000-00005B330000}"/>
    <cellStyle name="TEXTO 37" xfId="4677" xr:uid="{00000000-0005-0000-0000-00005C330000}"/>
    <cellStyle name="TEXTO 38" xfId="4678" xr:uid="{00000000-0005-0000-0000-00005D330000}"/>
    <cellStyle name="TEXTO 39" xfId="4679" xr:uid="{00000000-0005-0000-0000-00005E330000}"/>
    <cellStyle name="TEXTO 4" xfId="4680" xr:uid="{00000000-0005-0000-0000-00005F330000}"/>
    <cellStyle name="TEXTO 40" xfId="4681" xr:uid="{00000000-0005-0000-0000-000060330000}"/>
    <cellStyle name="TEXTO 5" xfId="4682" xr:uid="{00000000-0005-0000-0000-000061330000}"/>
    <cellStyle name="TEXTO 6" xfId="4683" xr:uid="{00000000-0005-0000-0000-000062330000}"/>
    <cellStyle name="TEXTO 7" xfId="4684" xr:uid="{00000000-0005-0000-0000-000063330000}"/>
    <cellStyle name="TEXTO 8" xfId="4685" xr:uid="{00000000-0005-0000-0000-000064330000}"/>
    <cellStyle name="TEXTO 9" xfId="4686" xr:uid="{00000000-0005-0000-0000-000065330000}"/>
    <cellStyle name="Texto de advertencia" xfId="4687" xr:uid="{00000000-0005-0000-0000-000066330000}"/>
    <cellStyle name="Texto de Aviso" xfId="89" xr:uid="{00000000-0005-0000-0000-000067330000}"/>
    <cellStyle name="Texto de Aviso 10" xfId="5607" xr:uid="{00000000-0005-0000-0000-000068330000}"/>
    <cellStyle name="Texto de Aviso 11" xfId="5636" xr:uid="{00000000-0005-0000-0000-000069330000}"/>
    <cellStyle name="Texto de Aviso 12" xfId="5656" xr:uid="{00000000-0005-0000-0000-00006A330000}"/>
    <cellStyle name="Texto de Aviso 13" xfId="5669" xr:uid="{00000000-0005-0000-0000-00006B330000}"/>
    <cellStyle name="Texto de Aviso 14" xfId="5676" xr:uid="{00000000-0005-0000-0000-00006C330000}"/>
    <cellStyle name="Texto de Aviso 15" xfId="5752" xr:uid="{00000000-0005-0000-0000-00006D330000}"/>
    <cellStyle name="Texto de Aviso 16" xfId="5759" xr:uid="{00000000-0005-0000-0000-00006E330000}"/>
    <cellStyle name="Texto de Aviso 17" xfId="5780" xr:uid="{00000000-0005-0000-0000-00006F330000}"/>
    <cellStyle name="Texto de Aviso 2" xfId="5163" xr:uid="{00000000-0005-0000-0000-000070330000}"/>
    <cellStyle name="Texto de Aviso 2 2" xfId="7015" xr:uid="{00000000-0005-0000-0000-000071330000}"/>
    <cellStyle name="Texto de Aviso 2 2 2" xfId="7016" xr:uid="{00000000-0005-0000-0000-000072330000}"/>
    <cellStyle name="Texto de Aviso 2 2 2 2" xfId="7017" xr:uid="{00000000-0005-0000-0000-000073330000}"/>
    <cellStyle name="Texto de Aviso 2 2 2 2 2" xfId="7018" xr:uid="{00000000-0005-0000-0000-000074330000}"/>
    <cellStyle name="Texto de Aviso 2 2 2 2 2 2" xfId="7019" xr:uid="{00000000-0005-0000-0000-000075330000}"/>
    <cellStyle name="Texto de Aviso 2 2 2 2 2 2 2" xfId="7020" xr:uid="{00000000-0005-0000-0000-000076330000}"/>
    <cellStyle name="Texto de Aviso 2 2 2 2 2 2 2 2" xfId="7021" xr:uid="{00000000-0005-0000-0000-000077330000}"/>
    <cellStyle name="Texto de Aviso 2 2 2 2 2 2 3" xfId="7022" xr:uid="{00000000-0005-0000-0000-000078330000}"/>
    <cellStyle name="Texto de Aviso 2 2 2 2 2 3" xfId="7023" xr:uid="{00000000-0005-0000-0000-000079330000}"/>
    <cellStyle name="Texto de Aviso 2 2 2 2 2 3 2" xfId="7024" xr:uid="{00000000-0005-0000-0000-00007A330000}"/>
    <cellStyle name="Texto de Aviso 2 2 2 2 3" xfId="7025" xr:uid="{00000000-0005-0000-0000-00007B330000}"/>
    <cellStyle name="Texto de Aviso 2 2 2 2 3 2" xfId="7026" xr:uid="{00000000-0005-0000-0000-00007C330000}"/>
    <cellStyle name="Texto de Aviso 2 2 2 3" xfId="7027" xr:uid="{00000000-0005-0000-0000-00007D330000}"/>
    <cellStyle name="Texto de Aviso 2 2 2 4" xfId="7028" xr:uid="{00000000-0005-0000-0000-00007E330000}"/>
    <cellStyle name="Texto de Aviso 2 2 2 4 2" xfId="7029" xr:uid="{00000000-0005-0000-0000-00007F330000}"/>
    <cellStyle name="Texto de Aviso 2 2 3" xfId="7030" xr:uid="{00000000-0005-0000-0000-000080330000}"/>
    <cellStyle name="Texto de Aviso 2 2 4" xfId="7031" xr:uid="{00000000-0005-0000-0000-000081330000}"/>
    <cellStyle name="Texto de Aviso 2 2 4 2" xfId="7032" xr:uid="{00000000-0005-0000-0000-000082330000}"/>
    <cellStyle name="Texto de Aviso 2 3" xfId="7033" xr:uid="{00000000-0005-0000-0000-000083330000}"/>
    <cellStyle name="Texto de Aviso 2 4" xfId="7034" xr:uid="{00000000-0005-0000-0000-000084330000}"/>
    <cellStyle name="Texto de Aviso 2 5" xfId="7035" xr:uid="{00000000-0005-0000-0000-000085330000}"/>
    <cellStyle name="Texto de Aviso 2 6" xfId="7036" xr:uid="{00000000-0005-0000-0000-000086330000}"/>
    <cellStyle name="Texto de Aviso 2 6 2" xfId="7037" xr:uid="{00000000-0005-0000-0000-000087330000}"/>
    <cellStyle name="Texto de Aviso 2 7" xfId="7014" xr:uid="{00000000-0005-0000-0000-000088330000}"/>
    <cellStyle name="Texto de Aviso 3" xfId="5343" xr:uid="{00000000-0005-0000-0000-000089330000}"/>
    <cellStyle name="Texto de Aviso 3 2" xfId="7039" xr:uid="{00000000-0005-0000-0000-00008A330000}"/>
    <cellStyle name="Texto de Aviso 3 3" xfId="7040" xr:uid="{00000000-0005-0000-0000-00008B330000}"/>
    <cellStyle name="Texto de Aviso 3 4" xfId="7041" xr:uid="{00000000-0005-0000-0000-00008C330000}"/>
    <cellStyle name="Texto de Aviso 3 5" xfId="7038" xr:uid="{00000000-0005-0000-0000-00008D330000}"/>
    <cellStyle name="Texto de Aviso 4" xfId="5372" xr:uid="{00000000-0005-0000-0000-00008E330000}"/>
    <cellStyle name="Texto de Aviso 4 2" xfId="7043" xr:uid="{00000000-0005-0000-0000-00008F330000}"/>
    <cellStyle name="Texto de Aviso 4 3" xfId="7044" xr:uid="{00000000-0005-0000-0000-000090330000}"/>
    <cellStyle name="Texto de Aviso 4 4" xfId="7042" xr:uid="{00000000-0005-0000-0000-000091330000}"/>
    <cellStyle name="Texto de Aviso 5" xfId="5400" xr:uid="{00000000-0005-0000-0000-000092330000}"/>
    <cellStyle name="Texto de Aviso 5 2" xfId="7046" xr:uid="{00000000-0005-0000-0000-000093330000}"/>
    <cellStyle name="Texto de Aviso 5 3" xfId="7045" xr:uid="{00000000-0005-0000-0000-000094330000}"/>
    <cellStyle name="Texto de Aviso 6" xfId="5427" xr:uid="{00000000-0005-0000-0000-000095330000}"/>
    <cellStyle name="Texto de Aviso 6 2" xfId="7048" xr:uid="{00000000-0005-0000-0000-000096330000}"/>
    <cellStyle name="Texto de Aviso 6 3" xfId="7374" xr:uid="{00000000-0005-0000-0000-000097330000}"/>
    <cellStyle name="Texto de Aviso 6 4" xfId="7047" xr:uid="{00000000-0005-0000-0000-000098330000}"/>
    <cellStyle name="Texto de Aviso 7" xfId="5447" xr:uid="{00000000-0005-0000-0000-000099330000}"/>
    <cellStyle name="Texto de Aviso 7 2" xfId="7375" xr:uid="{00000000-0005-0000-0000-00009A330000}"/>
    <cellStyle name="Texto de Aviso 7 3" xfId="7049" xr:uid="{00000000-0005-0000-0000-00009B330000}"/>
    <cellStyle name="Texto de Aviso 8" xfId="5460" xr:uid="{00000000-0005-0000-0000-00009C330000}"/>
    <cellStyle name="Texto de Aviso 9" xfId="5467" xr:uid="{00000000-0005-0000-0000-00009D330000}"/>
    <cellStyle name="Texto Explicativo" xfId="90" xr:uid="{00000000-0005-0000-0000-00009E330000}"/>
    <cellStyle name="Texto Explicativo 10" xfId="5608" xr:uid="{00000000-0005-0000-0000-00009F330000}"/>
    <cellStyle name="Texto Explicativo 11" xfId="5637" xr:uid="{00000000-0005-0000-0000-0000A0330000}"/>
    <cellStyle name="Texto Explicativo 12" xfId="5657" xr:uid="{00000000-0005-0000-0000-0000A1330000}"/>
    <cellStyle name="Texto Explicativo 13" xfId="5670" xr:uid="{00000000-0005-0000-0000-0000A2330000}"/>
    <cellStyle name="Texto Explicativo 14" xfId="5677" xr:uid="{00000000-0005-0000-0000-0000A3330000}"/>
    <cellStyle name="Texto Explicativo 15" xfId="5753" xr:uid="{00000000-0005-0000-0000-0000A4330000}"/>
    <cellStyle name="Texto Explicativo 16" xfId="5760" xr:uid="{00000000-0005-0000-0000-0000A5330000}"/>
    <cellStyle name="Texto Explicativo 17" xfId="5781" xr:uid="{00000000-0005-0000-0000-0000A6330000}"/>
    <cellStyle name="Texto Explicativo 2" xfId="5164" xr:uid="{00000000-0005-0000-0000-0000A7330000}"/>
    <cellStyle name="Texto Explicativo 2 2" xfId="7051" xr:uid="{00000000-0005-0000-0000-0000A8330000}"/>
    <cellStyle name="Texto Explicativo 2 2 2" xfId="7052" xr:uid="{00000000-0005-0000-0000-0000A9330000}"/>
    <cellStyle name="Texto Explicativo 2 2 2 2" xfId="7053" xr:uid="{00000000-0005-0000-0000-0000AA330000}"/>
    <cellStyle name="Texto Explicativo 2 2 2 2 2" xfId="7054" xr:uid="{00000000-0005-0000-0000-0000AB330000}"/>
    <cellStyle name="Texto Explicativo 2 2 2 2 2 2" xfId="7055" xr:uid="{00000000-0005-0000-0000-0000AC330000}"/>
    <cellStyle name="Texto Explicativo 2 2 2 2 2 2 2" xfId="7056" xr:uid="{00000000-0005-0000-0000-0000AD330000}"/>
    <cellStyle name="Texto Explicativo 2 2 2 2 2 2 2 2" xfId="7057" xr:uid="{00000000-0005-0000-0000-0000AE330000}"/>
    <cellStyle name="Texto Explicativo 2 2 2 2 2 2 3" xfId="7058" xr:uid="{00000000-0005-0000-0000-0000AF330000}"/>
    <cellStyle name="Texto Explicativo 2 2 2 2 2 3" xfId="7059" xr:uid="{00000000-0005-0000-0000-0000B0330000}"/>
    <cellStyle name="Texto Explicativo 2 2 2 2 2 3 2" xfId="7060" xr:uid="{00000000-0005-0000-0000-0000B1330000}"/>
    <cellStyle name="Texto Explicativo 2 2 2 2 3" xfId="7061" xr:uid="{00000000-0005-0000-0000-0000B2330000}"/>
    <cellStyle name="Texto Explicativo 2 2 2 2 3 2" xfId="7062" xr:uid="{00000000-0005-0000-0000-0000B3330000}"/>
    <cellStyle name="Texto Explicativo 2 2 2 3" xfId="7063" xr:uid="{00000000-0005-0000-0000-0000B4330000}"/>
    <cellStyle name="Texto Explicativo 2 2 2 4" xfId="7064" xr:uid="{00000000-0005-0000-0000-0000B5330000}"/>
    <cellStyle name="Texto Explicativo 2 2 2 4 2" xfId="7065" xr:uid="{00000000-0005-0000-0000-0000B6330000}"/>
    <cellStyle name="Texto Explicativo 2 2 3" xfId="7066" xr:uid="{00000000-0005-0000-0000-0000B7330000}"/>
    <cellStyle name="Texto Explicativo 2 2 4" xfId="7067" xr:uid="{00000000-0005-0000-0000-0000B8330000}"/>
    <cellStyle name="Texto Explicativo 2 2 4 2" xfId="7068" xr:uid="{00000000-0005-0000-0000-0000B9330000}"/>
    <cellStyle name="Texto Explicativo 2 3" xfId="7069" xr:uid="{00000000-0005-0000-0000-0000BA330000}"/>
    <cellStyle name="Texto Explicativo 2 4" xfId="7070" xr:uid="{00000000-0005-0000-0000-0000BB330000}"/>
    <cellStyle name="Texto Explicativo 2 5" xfId="7071" xr:uid="{00000000-0005-0000-0000-0000BC330000}"/>
    <cellStyle name="Texto Explicativo 2 6" xfId="7072" xr:uid="{00000000-0005-0000-0000-0000BD330000}"/>
    <cellStyle name="Texto Explicativo 2 6 2" xfId="7073" xr:uid="{00000000-0005-0000-0000-0000BE330000}"/>
    <cellStyle name="Texto Explicativo 2 7" xfId="7050" xr:uid="{00000000-0005-0000-0000-0000BF330000}"/>
    <cellStyle name="Texto Explicativo 3" xfId="5344" xr:uid="{00000000-0005-0000-0000-0000C0330000}"/>
    <cellStyle name="Texto Explicativo 3 2" xfId="7075" xr:uid="{00000000-0005-0000-0000-0000C1330000}"/>
    <cellStyle name="Texto Explicativo 3 3" xfId="7076" xr:uid="{00000000-0005-0000-0000-0000C2330000}"/>
    <cellStyle name="Texto Explicativo 3 4" xfId="7077" xr:uid="{00000000-0005-0000-0000-0000C3330000}"/>
    <cellStyle name="Texto Explicativo 3 5" xfId="7074" xr:uid="{00000000-0005-0000-0000-0000C4330000}"/>
    <cellStyle name="Texto Explicativo 4" xfId="5373" xr:uid="{00000000-0005-0000-0000-0000C5330000}"/>
    <cellStyle name="Texto Explicativo 4 2" xfId="7079" xr:uid="{00000000-0005-0000-0000-0000C6330000}"/>
    <cellStyle name="Texto Explicativo 4 3" xfId="7080" xr:uid="{00000000-0005-0000-0000-0000C7330000}"/>
    <cellStyle name="Texto Explicativo 4 4" xfId="7078" xr:uid="{00000000-0005-0000-0000-0000C8330000}"/>
    <cellStyle name="Texto Explicativo 5" xfId="5401" xr:uid="{00000000-0005-0000-0000-0000C9330000}"/>
    <cellStyle name="Texto Explicativo 5 2" xfId="7082" xr:uid="{00000000-0005-0000-0000-0000CA330000}"/>
    <cellStyle name="Texto Explicativo 5 3" xfId="7081" xr:uid="{00000000-0005-0000-0000-0000CB330000}"/>
    <cellStyle name="Texto Explicativo 6" xfId="5428" xr:uid="{00000000-0005-0000-0000-0000CC330000}"/>
    <cellStyle name="Texto Explicativo 6 2" xfId="7084" xr:uid="{00000000-0005-0000-0000-0000CD330000}"/>
    <cellStyle name="Texto Explicativo 6 3" xfId="7376" xr:uid="{00000000-0005-0000-0000-0000CE330000}"/>
    <cellStyle name="Texto Explicativo 6 4" xfId="7083" xr:uid="{00000000-0005-0000-0000-0000CF330000}"/>
    <cellStyle name="Texto Explicativo 7" xfId="5448" xr:uid="{00000000-0005-0000-0000-0000D0330000}"/>
    <cellStyle name="Texto Explicativo 7 2" xfId="7377" xr:uid="{00000000-0005-0000-0000-0000D1330000}"/>
    <cellStyle name="Texto Explicativo 7 3" xfId="7085" xr:uid="{00000000-0005-0000-0000-0000D2330000}"/>
    <cellStyle name="Texto Explicativo 8" xfId="5461" xr:uid="{00000000-0005-0000-0000-0000D3330000}"/>
    <cellStyle name="Texto Explicativo 9" xfId="5468" xr:uid="{00000000-0005-0000-0000-0000D4330000}"/>
    <cellStyle name="texto2" xfId="4688" xr:uid="{00000000-0005-0000-0000-0000D5330000}"/>
    <cellStyle name="texto2 10" xfId="4689" xr:uid="{00000000-0005-0000-0000-0000D6330000}"/>
    <cellStyle name="texto2 11" xfId="4690" xr:uid="{00000000-0005-0000-0000-0000D7330000}"/>
    <cellStyle name="texto2 12" xfId="4691" xr:uid="{00000000-0005-0000-0000-0000D8330000}"/>
    <cellStyle name="texto2 13" xfId="4692" xr:uid="{00000000-0005-0000-0000-0000D9330000}"/>
    <cellStyle name="texto2 14" xfId="4693" xr:uid="{00000000-0005-0000-0000-0000DA330000}"/>
    <cellStyle name="texto2 15" xfId="4694" xr:uid="{00000000-0005-0000-0000-0000DB330000}"/>
    <cellStyle name="texto2 16" xfId="4695" xr:uid="{00000000-0005-0000-0000-0000DC330000}"/>
    <cellStyle name="texto2 17" xfId="4696" xr:uid="{00000000-0005-0000-0000-0000DD330000}"/>
    <cellStyle name="texto2 18" xfId="4697" xr:uid="{00000000-0005-0000-0000-0000DE330000}"/>
    <cellStyle name="texto2 19" xfId="4698" xr:uid="{00000000-0005-0000-0000-0000DF330000}"/>
    <cellStyle name="texto2 2" xfId="4699" xr:uid="{00000000-0005-0000-0000-0000E0330000}"/>
    <cellStyle name="texto2 20" xfId="4700" xr:uid="{00000000-0005-0000-0000-0000E1330000}"/>
    <cellStyle name="texto2 21" xfId="4701" xr:uid="{00000000-0005-0000-0000-0000E2330000}"/>
    <cellStyle name="texto2 22" xfId="4702" xr:uid="{00000000-0005-0000-0000-0000E3330000}"/>
    <cellStyle name="texto2 23" xfId="4703" xr:uid="{00000000-0005-0000-0000-0000E4330000}"/>
    <cellStyle name="texto2 24" xfId="4704" xr:uid="{00000000-0005-0000-0000-0000E5330000}"/>
    <cellStyle name="texto2 25" xfId="4705" xr:uid="{00000000-0005-0000-0000-0000E6330000}"/>
    <cellStyle name="texto2 26" xfId="4706" xr:uid="{00000000-0005-0000-0000-0000E7330000}"/>
    <cellStyle name="texto2 27" xfId="4707" xr:uid="{00000000-0005-0000-0000-0000E8330000}"/>
    <cellStyle name="texto2 28" xfId="4708" xr:uid="{00000000-0005-0000-0000-0000E9330000}"/>
    <cellStyle name="texto2 29" xfId="4709" xr:uid="{00000000-0005-0000-0000-0000EA330000}"/>
    <cellStyle name="texto2 3" xfId="4710" xr:uid="{00000000-0005-0000-0000-0000EB330000}"/>
    <cellStyle name="texto2 30" xfId="4711" xr:uid="{00000000-0005-0000-0000-0000EC330000}"/>
    <cellStyle name="texto2 31" xfId="4712" xr:uid="{00000000-0005-0000-0000-0000ED330000}"/>
    <cellStyle name="texto2 32" xfId="4713" xr:uid="{00000000-0005-0000-0000-0000EE330000}"/>
    <cellStyle name="texto2 33" xfId="4714" xr:uid="{00000000-0005-0000-0000-0000EF330000}"/>
    <cellStyle name="texto2 34" xfId="4715" xr:uid="{00000000-0005-0000-0000-0000F0330000}"/>
    <cellStyle name="texto2 35" xfId="4716" xr:uid="{00000000-0005-0000-0000-0000F1330000}"/>
    <cellStyle name="texto2 36" xfId="4717" xr:uid="{00000000-0005-0000-0000-0000F2330000}"/>
    <cellStyle name="texto2 37" xfId="4718" xr:uid="{00000000-0005-0000-0000-0000F3330000}"/>
    <cellStyle name="texto2 38" xfId="4719" xr:uid="{00000000-0005-0000-0000-0000F4330000}"/>
    <cellStyle name="texto2 39" xfId="4720" xr:uid="{00000000-0005-0000-0000-0000F5330000}"/>
    <cellStyle name="texto2 4" xfId="4721" xr:uid="{00000000-0005-0000-0000-0000F6330000}"/>
    <cellStyle name="texto2 40" xfId="4722" xr:uid="{00000000-0005-0000-0000-0000F7330000}"/>
    <cellStyle name="texto2 5" xfId="4723" xr:uid="{00000000-0005-0000-0000-0000F8330000}"/>
    <cellStyle name="texto2 6" xfId="4724" xr:uid="{00000000-0005-0000-0000-0000F9330000}"/>
    <cellStyle name="texto2 7" xfId="4725" xr:uid="{00000000-0005-0000-0000-0000FA330000}"/>
    <cellStyle name="texto2 8" xfId="4726" xr:uid="{00000000-0005-0000-0000-0000FB330000}"/>
    <cellStyle name="texto2 9" xfId="4727" xr:uid="{00000000-0005-0000-0000-0000FC330000}"/>
    <cellStyle name="TFCF" xfId="4728" xr:uid="{00000000-0005-0000-0000-0000FD330000}"/>
    <cellStyle name="Times12" xfId="4729" xr:uid="{00000000-0005-0000-0000-0000FE330000}"/>
    <cellStyle name="Times12 10" xfId="4730" xr:uid="{00000000-0005-0000-0000-0000FF330000}"/>
    <cellStyle name="Times12 11" xfId="4731" xr:uid="{00000000-0005-0000-0000-000000340000}"/>
    <cellStyle name="Times12 12" xfId="4732" xr:uid="{00000000-0005-0000-0000-000001340000}"/>
    <cellStyle name="Times12 13" xfId="4733" xr:uid="{00000000-0005-0000-0000-000002340000}"/>
    <cellStyle name="Times12 14" xfId="4734" xr:uid="{00000000-0005-0000-0000-000003340000}"/>
    <cellStyle name="Times12 15" xfId="4735" xr:uid="{00000000-0005-0000-0000-000004340000}"/>
    <cellStyle name="Times12 16" xfId="4736" xr:uid="{00000000-0005-0000-0000-000005340000}"/>
    <cellStyle name="Times12 17" xfId="4737" xr:uid="{00000000-0005-0000-0000-000006340000}"/>
    <cellStyle name="Times12 18" xfId="4738" xr:uid="{00000000-0005-0000-0000-000007340000}"/>
    <cellStyle name="Times12 19" xfId="4739" xr:uid="{00000000-0005-0000-0000-000008340000}"/>
    <cellStyle name="Times12 2" xfId="4740" xr:uid="{00000000-0005-0000-0000-000009340000}"/>
    <cellStyle name="Times12 20" xfId="4741" xr:uid="{00000000-0005-0000-0000-00000A340000}"/>
    <cellStyle name="Times12 21" xfId="4742" xr:uid="{00000000-0005-0000-0000-00000B340000}"/>
    <cellStyle name="Times12 22" xfId="4743" xr:uid="{00000000-0005-0000-0000-00000C340000}"/>
    <cellStyle name="Times12 23" xfId="4744" xr:uid="{00000000-0005-0000-0000-00000D340000}"/>
    <cellStyle name="Times12 24" xfId="4745" xr:uid="{00000000-0005-0000-0000-00000E340000}"/>
    <cellStyle name="Times12 25" xfId="4746" xr:uid="{00000000-0005-0000-0000-00000F340000}"/>
    <cellStyle name="Times12 26" xfId="4747" xr:uid="{00000000-0005-0000-0000-000010340000}"/>
    <cellStyle name="Times12 27" xfId="4748" xr:uid="{00000000-0005-0000-0000-000011340000}"/>
    <cellStyle name="Times12 28" xfId="4749" xr:uid="{00000000-0005-0000-0000-000012340000}"/>
    <cellStyle name="Times12 29" xfId="4750" xr:uid="{00000000-0005-0000-0000-000013340000}"/>
    <cellStyle name="Times12 3" xfId="4751" xr:uid="{00000000-0005-0000-0000-000014340000}"/>
    <cellStyle name="Times12 30" xfId="4752" xr:uid="{00000000-0005-0000-0000-000015340000}"/>
    <cellStyle name="Times12 31" xfId="4753" xr:uid="{00000000-0005-0000-0000-000016340000}"/>
    <cellStyle name="Times12 32" xfId="4754" xr:uid="{00000000-0005-0000-0000-000017340000}"/>
    <cellStyle name="Times12 33" xfId="4755" xr:uid="{00000000-0005-0000-0000-000018340000}"/>
    <cellStyle name="Times12 34" xfId="4756" xr:uid="{00000000-0005-0000-0000-000019340000}"/>
    <cellStyle name="Times12 35" xfId="4757" xr:uid="{00000000-0005-0000-0000-00001A340000}"/>
    <cellStyle name="Times12 36" xfId="4758" xr:uid="{00000000-0005-0000-0000-00001B340000}"/>
    <cellStyle name="Times12 37" xfId="4759" xr:uid="{00000000-0005-0000-0000-00001C340000}"/>
    <cellStyle name="Times12 38" xfId="4760" xr:uid="{00000000-0005-0000-0000-00001D340000}"/>
    <cellStyle name="Times12 39" xfId="4761" xr:uid="{00000000-0005-0000-0000-00001E340000}"/>
    <cellStyle name="Times12 4" xfId="4762" xr:uid="{00000000-0005-0000-0000-00001F340000}"/>
    <cellStyle name="Times12 40" xfId="4763" xr:uid="{00000000-0005-0000-0000-000020340000}"/>
    <cellStyle name="Times12 5" xfId="4764" xr:uid="{00000000-0005-0000-0000-000021340000}"/>
    <cellStyle name="Times12 6" xfId="4765" xr:uid="{00000000-0005-0000-0000-000022340000}"/>
    <cellStyle name="Times12 7" xfId="4766" xr:uid="{00000000-0005-0000-0000-000023340000}"/>
    <cellStyle name="Times12 8" xfId="4767" xr:uid="{00000000-0005-0000-0000-000024340000}"/>
    <cellStyle name="Times12 9" xfId="4768" xr:uid="{00000000-0005-0000-0000-000025340000}"/>
    <cellStyle name="Times20" xfId="4769" xr:uid="{00000000-0005-0000-0000-000026340000}"/>
    <cellStyle name="Times20 10" xfId="4770" xr:uid="{00000000-0005-0000-0000-000027340000}"/>
    <cellStyle name="Times20 11" xfId="4771" xr:uid="{00000000-0005-0000-0000-000028340000}"/>
    <cellStyle name="Times20 12" xfId="4772" xr:uid="{00000000-0005-0000-0000-000029340000}"/>
    <cellStyle name="Times20 13" xfId="4773" xr:uid="{00000000-0005-0000-0000-00002A340000}"/>
    <cellStyle name="Times20 14" xfId="4774" xr:uid="{00000000-0005-0000-0000-00002B340000}"/>
    <cellStyle name="Times20 15" xfId="4775" xr:uid="{00000000-0005-0000-0000-00002C340000}"/>
    <cellStyle name="Times20 16" xfId="4776" xr:uid="{00000000-0005-0000-0000-00002D340000}"/>
    <cellStyle name="Times20 17" xfId="4777" xr:uid="{00000000-0005-0000-0000-00002E340000}"/>
    <cellStyle name="Times20 18" xfId="4778" xr:uid="{00000000-0005-0000-0000-00002F340000}"/>
    <cellStyle name="Times20 19" xfId="4779" xr:uid="{00000000-0005-0000-0000-000030340000}"/>
    <cellStyle name="Times20 2" xfId="4780" xr:uid="{00000000-0005-0000-0000-000031340000}"/>
    <cellStyle name="Times20 20" xfId="4781" xr:uid="{00000000-0005-0000-0000-000032340000}"/>
    <cellStyle name="Times20 21" xfId="4782" xr:uid="{00000000-0005-0000-0000-000033340000}"/>
    <cellStyle name="Times20 22" xfId="4783" xr:uid="{00000000-0005-0000-0000-000034340000}"/>
    <cellStyle name="Times20 23" xfId="4784" xr:uid="{00000000-0005-0000-0000-000035340000}"/>
    <cellStyle name="Times20 24" xfId="4785" xr:uid="{00000000-0005-0000-0000-000036340000}"/>
    <cellStyle name="Times20 25" xfId="4786" xr:uid="{00000000-0005-0000-0000-000037340000}"/>
    <cellStyle name="Times20 26" xfId="4787" xr:uid="{00000000-0005-0000-0000-000038340000}"/>
    <cellStyle name="Times20 27" xfId="4788" xr:uid="{00000000-0005-0000-0000-000039340000}"/>
    <cellStyle name="Times20 28" xfId="4789" xr:uid="{00000000-0005-0000-0000-00003A340000}"/>
    <cellStyle name="Times20 29" xfId="4790" xr:uid="{00000000-0005-0000-0000-00003B340000}"/>
    <cellStyle name="Times20 3" xfId="4791" xr:uid="{00000000-0005-0000-0000-00003C340000}"/>
    <cellStyle name="Times20 30" xfId="4792" xr:uid="{00000000-0005-0000-0000-00003D340000}"/>
    <cellStyle name="Times20 31" xfId="4793" xr:uid="{00000000-0005-0000-0000-00003E340000}"/>
    <cellStyle name="Times20 32" xfId="4794" xr:uid="{00000000-0005-0000-0000-00003F340000}"/>
    <cellStyle name="Times20 33" xfId="4795" xr:uid="{00000000-0005-0000-0000-000040340000}"/>
    <cellStyle name="Times20 34" xfId="4796" xr:uid="{00000000-0005-0000-0000-000041340000}"/>
    <cellStyle name="Times20 35" xfId="4797" xr:uid="{00000000-0005-0000-0000-000042340000}"/>
    <cellStyle name="Times20 36" xfId="4798" xr:uid="{00000000-0005-0000-0000-000043340000}"/>
    <cellStyle name="Times20 37" xfId="4799" xr:uid="{00000000-0005-0000-0000-000044340000}"/>
    <cellStyle name="Times20 38" xfId="4800" xr:uid="{00000000-0005-0000-0000-000045340000}"/>
    <cellStyle name="Times20 39" xfId="4801" xr:uid="{00000000-0005-0000-0000-000046340000}"/>
    <cellStyle name="Times20 4" xfId="4802" xr:uid="{00000000-0005-0000-0000-000047340000}"/>
    <cellStyle name="Times20 40" xfId="4803" xr:uid="{00000000-0005-0000-0000-000048340000}"/>
    <cellStyle name="Times20 5" xfId="4804" xr:uid="{00000000-0005-0000-0000-000049340000}"/>
    <cellStyle name="Times20 6" xfId="4805" xr:uid="{00000000-0005-0000-0000-00004A340000}"/>
    <cellStyle name="Times20 7" xfId="4806" xr:uid="{00000000-0005-0000-0000-00004B340000}"/>
    <cellStyle name="Times20 8" xfId="4807" xr:uid="{00000000-0005-0000-0000-00004C340000}"/>
    <cellStyle name="Times20 9" xfId="4808" xr:uid="{00000000-0005-0000-0000-00004D340000}"/>
    <cellStyle name="Title 2" xfId="91" xr:uid="{00000000-0005-0000-0000-00004E340000}"/>
    <cellStyle name="Titulo" xfId="4809" xr:uid="{00000000-0005-0000-0000-00004F340000}"/>
    <cellStyle name="Título" xfId="92" xr:uid="{00000000-0005-0000-0000-000050340000}"/>
    <cellStyle name="Título 1" xfId="93" xr:uid="{00000000-0005-0000-0000-000051340000}"/>
    <cellStyle name="Título 1 10" xfId="5611" xr:uid="{00000000-0005-0000-0000-000052340000}"/>
    <cellStyle name="Título 1 11" xfId="5640" xr:uid="{00000000-0005-0000-0000-000053340000}"/>
    <cellStyle name="Título 1 12" xfId="5659" xr:uid="{00000000-0005-0000-0000-000054340000}"/>
    <cellStyle name="Título 1 13" xfId="5672" xr:uid="{00000000-0005-0000-0000-000055340000}"/>
    <cellStyle name="Título 1 14" xfId="5679" xr:uid="{00000000-0005-0000-0000-000056340000}"/>
    <cellStyle name="Título 1 15" xfId="5755" xr:uid="{00000000-0005-0000-0000-000057340000}"/>
    <cellStyle name="Título 1 16" xfId="5762" xr:uid="{00000000-0005-0000-0000-000058340000}"/>
    <cellStyle name="Título 1 17" xfId="5769" xr:uid="{00000000-0005-0000-0000-000059340000}"/>
    <cellStyle name="Título 1 18" xfId="10599" xr:uid="{00000000-0005-0000-0000-00005A340000}"/>
    <cellStyle name="Título 1 2" xfId="5166" xr:uid="{00000000-0005-0000-0000-00005B340000}"/>
    <cellStyle name="Título 1 2 2" xfId="7087" xr:uid="{00000000-0005-0000-0000-00005C340000}"/>
    <cellStyle name="Título 1 2 2 2" xfId="7088" xr:uid="{00000000-0005-0000-0000-00005D340000}"/>
    <cellStyle name="Título 1 2 2 2 2" xfId="7089" xr:uid="{00000000-0005-0000-0000-00005E340000}"/>
    <cellStyle name="Título 1 2 2 2 2 2" xfId="7090" xr:uid="{00000000-0005-0000-0000-00005F340000}"/>
    <cellStyle name="Título 1 2 2 2 2 2 2" xfId="7091" xr:uid="{00000000-0005-0000-0000-000060340000}"/>
    <cellStyle name="Título 1 2 2 2 2 2 2 2" xfId="7092" xr:uid="{00000000-0005-0000-0000-000061340000}"/>
    <cellStyle name="Título 1 2 2 2 2 2 2 2 2" xfId="7093" xr:uid="{00000000-0005-0000-0000-000062340000}"/>
    <cellStyle name="Título 1 2 2 2 2 2 2 3" xfId="7094" xr:uid="{00000000-0005-0000-0000-000063340000}"/>
    <cellStyle name="Título 1 2 2 2 2 2 3" xfId="7095" xr:uid="{00000000-0005-0000-0000-000064340000}"/>
    <cellStyle name="Título 1 2 2 2 2 2 3 2" xfId="7096" xr:uid="{00000000-0005-0000-0000-000065340000}"/>
    <cellStyle name="Título 1 2 2 2 2 3" xfId="7097" xr:uid="{00000000-0005-0000-0000-000066340000}"/>
    <cellStyle name="Título 1 2 2 2 2 3 2" xfId="7098" xr:uid="{00000000-0005-0000-0000-000067340000}"/>
    <cellStyle name="Título 1 2 2 2 3" xfId="7099" xr:uid="{00000000-0005-0000-0000-000068340000}"/>
    <cellStyle name="Título 1 2 2 2 4" xfId="7100" xr:uid="{00000000-0005-0000-0000-000069340000}"/>
    <cellStyle name="Título 1 2 2 2 4 2" xfId="7101" xr:uid="{00000000-0005-0000-0000-00006A340000}"/>
    <cellStyle name="Título 1 2 2 3" xfId="7102" xr:uid="{00000000-0005-0000-0000-00006B340000}"/>
    <cellStyle name="Título 1 2 2 4" xfId="7103" xr:uid="{00000000-0005-0000-0000-00006C340000}"/>
    <cellStyle name="Título 1 2 2 4 2" xfId="7104" xr:uid="{00000000-0005-0000-0000-00006D340000}"/>
    <cellStyle name="Título 1 2 3" xfId="7105" xr:uid="{00000000-0005-0000-0000-00006E340000}"/>
    <cellStyle name="Título 1 2 4" xfId="7106" xr:uid="{00000000-0005-0000-0000-00006F340000}"/>
    <cellStyle name="Título 1 2 5" xfId="7107" xr:uid="{00000000-0005-0000-0000-000070340000}"/>
    <cellStyle name="Título 1 2 6" xfId="7108" xr:uid="{00000000-0005-0000-0000-000071340000}"/>
    <cellStyle name="Título 1 2 6 2" xfId="7109" xr:uid="{00000000-0005-0000-0000-000072340000}"/>
    <cellStyle name="Título 1 2 7" xfId="7086" xr:uid="{00000000-0005-0000-0000-000073340000}"/>
    <cellStyle name="Título 1 3" xfId="5347" xr:uid="{00000000-0005-0000-0000-000074340000}"/>
    <cellStyle name="Título 1 3 2" xfId="7111" xr:uid="{00000000-0005-0000-0000-000075340000}"/>
    <cellStyle name="Título 1 3 3" xfId="7112" xr:uid="{00000000-0005-0000-0000-000076340000}"/>
    <cellStyle name="Título 1 3 4" xfId="7113" xr:uid="{00000000-0005-0000-0000-000077340000}"/>
    <cellStyle name="Título 1 3 5" xfId="7110" xr:uid="{00000000-0005-0000-0000-000078340000}"/>
    <cellStyle name="Título 1 4" xfId="5376" xr:uid="{00000000-0005-0000-0000-000079340000}"/>
    <cellStyle name="Título 1 4 2" xfId="7115" xr:uid="{00000000-0005-0000-0000-00007A340000}"/>
    <cellStyle name="Título 1 4 3" xfId="7116" xr:uid="{00000000-0005-0000-0000-00007B340000}"/>
    <cellStyle name="Título 1 4 4" xfId="7114" xr:uid="{00000000-0005-0000-0000-00007C340000}"/>
    <cellStyle name="Título 1 5" xfId="5404" xr:uid="{00000000-0005-0000-0000-00007D340000}"/>
    <cellStyle name="Título 1 5 2" xfId="7118" xr:uid="{00000000-0005-0000-0000-00007E340000}"/>
    <cellStyle name="Título 1 5 3" xfId="7117" xr:uid="{00000000-0005-0000-0000-00007F340000}"/>
    <cellStyle name="Título 1 6" xfId="5431" xr:uid="{00000000-0005-0000-0000-000080340000}"/>
    <cellStyle name="Título 1 6 2" xfId="7120" xr:uid="{00000000-0005-0000-0000-000081340000}"/>
    <cellStyle name="Título 1 6 3" xfId="7378" xr:uid="{00000000-0005-0000-0000-000082340000}"/>
    <cellStyle name="Título 1 6 4" xfId="7119" xr:uid="{00000000-0005-0000-0000-000083340000}"/>
    <cellStyle name="Título 1 7" xfId="5450" xr:uid="{00000000-0005-0000-0000-000084340000}"/>
    <cellStyle name="Título 1 7 2" xfId="7379" xr:uid="{00000000-0005-0000-0000-000085340000}"/>
    <cellStyle name="Título 1 7 3" xfId="7121" xr:uid="{00000000-0005-0000-0000-000086340000}"/>
    <cellStyle name="Título 1 8" xfId="5463" xr:uid="{00000000-0005-0000-0000-000087340000}"/>
    <cellStyle name="Título 1 9" xfId="5470" xr:uid="{00000000-0005-0000-0000-000088340000}"/>
    <cellStyle name="TITULO 10" xfId="4810" xr:uid="{00000000-0005-0000-0000-000089340000}"/>
    <cellStyle name="Título 10" xfId="5449" xr:uid="{00000000-0005-0000-0000-00008A340000}"/>
    <cellStyle name="Título 10 2" xfId="7380" xr:uid="{00000000-0005-0000-0000-00008B340000}"/>
    <cellStyle name="Título 10 3" xfId="7122" xr:uid="{00000000-0005-0000-0000-00008C340000}"/>
    <cellStyle name="TITULO 11" xfId="4811" xr:uid="{00000000-0005-0000-0000-00008D340000}"/>
    <cellStyle name="Título 11" xfId="5462" xr:uid="{00000000-0005-0000-0000-00008E340000}"/>
    <cellStyle name="TITULO 12" xfId="4812" xr:uid="{00000000-0005-0000-0000-00008F340000}"/>
    <cellStyle name="Título 12" xfId="5469" xr:uid="{00000000-0005-0000-0000-000090340000}"/>
    <cellStyle name="TITULO 13" xfId="4813" xr:uid="{00000000-0005-0000-0000-000091340000}"/>
    <cellStyle name="Título 13" xfId="5610" xr:uid="{00000000-0005-0000-0000-000092340000}"/>
    <cellStyle name="TITULO 14" xfId="4814" xr:uid="{00000000-0005-0000-0000-000093340000}"/>
    <cellStyle name="Título 14" xfId="5639" xr:uid="{00000000-0005-0000-0000-000094340000}"/>
    <cellStyle name="TITULO 15" xfId="4815" xr:uid="{00000000-0005-0000-0000-000095340000}"/>
    <cellStyle name="Título 15" xfId="5658" xr:uid="{00000000-0005-0000-0000-000096340000}"/>
    <cellStyle name="TITULO 16" xfId="4816" xr:uid="{00000000-0005-0000-0000-000097340000}"/>
    <cellStyle name="Título 16" xfId="5671" xr:uid="{00000000-0005-0000-0000-000098340000}"/>
    <cellStyle name="TITULO 17" xfId="4817" xr:uid="{00000000-0005-0000-0000-000099340000}"/>
    <cellStyle name="Título 17" xfId="5678" xr:uid="{00000000-0005-0000-0000-00009A340000}"/>
    <cellStyle name="TITULO 18" xfId="4818" xr:uid="{00000000-0005-0000-0000-00009B340000}"/>
    <cellStyle name="Título 18" xfId="5754" xr:uid="{00000000-0005-0000-0000-00009C340000}"/>
    <cellStyle name="TITULO 19" xfId="4819" xr:uid="{00000000-0005-0000-0000-00009D340000}"/>
    <cellStyle name="Título 19" xfId="5761" xr:uid="{00000000-0005-0000-0000-00009E340000}"/>
    <cellStyle name="titulo 2" xfId="4820" xr:uid="{00000000-0005-0000-0000-00009F340000}"/>
    <cellStyle name="Título 2" xfId="94" xr:uid="{00000000-0005-0000-0000-0000A0340000}"/>
    <cellStyle name="Título 2 10" xfId="5612" xr:uid="{00000000-0005-0000-0000-0000A1340000}"/>
    <cellStyle name="Título 2 11" xfId="5641" xr:uid="{00000000-0005-0000-0000-0000A2340000}"/>
    <cellStyle name="Título 2 12" xfId="5660" xr:uid="{00000000-0005-0000-0000-0000A3340000}"/>
    <cellStyle name="Título 2 13" xfId="5673" xr:uid="{00000000-0005-0000-0000-0000A4340000}"/>
    <cellStyle name="Título 2 14" xfId="5680" xr:uid="{00000000-0005-0000-0000-0000A5340000}"/>
    <cellStyle name="Título 2 15" xfId="5756" xr:uid="{00000000-0005-0000-0000-0000A6340000}"/>
    <cellStyle name="Título 2 16" xfId="5763" xr:uid="{00000000-0005-0000-0000-0000A7340000}"/>
    <cellStyle name="Título 2 17" xfId="5770" xr:uid="{00000000-0005-0000-0000-0000A8340000}"/>
    <cellStyle name="Título 2 18" xfId="10600" xr:uid="{00000000-0005-0000-0000-0000A9340000}"/>
    <cellStyle name="TITULO 2 2" xfId="4821" xr:uid="{00000000-0005-0000-0000-0000AA340000}"/>
    <cellStyle name="Título 2 2" xfId="5167" xr:uid="{00000000-0005-0000-0000-0000AB340000}"/>
    <cellStyle name="Título 2 2 2" xfId="7124" xr:uid="{00000000-0005-0000-0000-0000AC340000}"/>
    <cellStyle name="Título 2 2 2 2" xfId="7125" xr:uid="{00000000-0005-0000-0000-0000AD340000}"/>
    <cellStyle name="Título 2 2 2 2 2" xfId="7126" xr:uid="{00000000-0005-0000-0000-0000AE340000}"/>
    <cellStyle name="Título 2 2 2 2 2 2" xfId="7127" xr:uid="{00000000-0005-0000-0000-0000AF340000}"/>
    <cellStyle name="Título 2 2 2 2 2 2 2" xfId="7128" xr:uid="{00000000-0005-0000-0000-0000B0340000}"/>
    <cellStyle name="Título 2 2 2 2 2 2 2 2" xfId="7129" xr:uid="{00000000-0005-0000-0000-0000B1340000}"/>
    <cellStyle name="Título 2 2 2 2 2 2 2 2 2" xfId="7130" xr:uid="{00000000-0005-0000-0000-0000B2340000}"/>
    <cellStyle name="Título 2 2 2 2 2 2 2 3" xfId="7131" xr:uid="{00000000-0005-0000-0000-0000B3340000}"/>
    <cellStyle name="Título 2 2 2 2 2 2 3" xfId="7132" xr:uid="{00000000-0005-0000-0000-0000B4340000}"/>
    <cellStyle name="Título 2 2 2 2 2 2 3 2" xfId="7133" xr:uid="{00000000-0005-0000-0000-0000B5340000}"/>
    <cellStyle name="Título 2 2 2 2 2 3" xfId="7134" xr:uid="{00000000-0005-0000-0000-0000B6340000}"/>
    <cellStyle name="Título 2 2 2 2 2 3 2" xfId="7135" xr:uid="{00000000-0005-0000-0000-0000B7340000}"/>
    <cellStyle name="Título 2 2 2 2 3" xfId="7136" xr:uid="{00000000-0005-0000-0000-0000B8340000}"/>
    <cellStyle name="Título 2 2 2 2 4" xfId="7137" xr:uid="{00000000-0005-0000-0000-0000B9340000}"/>
    <cellStyle name="Título 2 2 2 2 4 2" xfId="7138" xr:uid="{00000000-0005-0000-0000-0000BA340000}"/>
    <cellStyle name="Título 2 2 2 3" xfId="7139" xr:uid="{00000000-0005-0000-0000-0000BB340000}"/>
    <cellStyle name="Título 2 2 2 4" xfId="7140" xr:uid="{00000000-0005-0000-0000-0000BC340000}"/>
    <cellStyle name="Título 2 2 2 4 2" xfId="7141" xr:uid="{00000000-0005-0000-0000-0000BD340000}"/>
    <cellStyle name="Título 2 2 3" xfId="7142" xr:uid="{00000000-0005-0000-0000-0000BE340000}"/>
    <cellStyle name="Título 2 2 4" xfId="7143" xr:uid="{00000000-0005-0000-0000-0000BF340000}"/>
    <cellStyle name="Título 2 2 5" xfId="7144" xr:uid="{00000000-0005-0000-0000-0000C0340000}"/>
    <cellStyle name="Título 2 2 6" xfId="7145" xr:uid="{00000000-0005-0000-0000-0000C1340000}"/>
    <cellStyle name="Título 2 2 6 2" xfId="7146" xr:uid="{00000000-0005-0000-0000-0000C2340000}"/>
    <cellStyle name="Título 2 2 7" xfId="7123" xr:uid="{00000000-0005-0000-0000-0000C3340000}"/>
    <cellStyle name="Título 2 3" xfId="5348" xr:uid="{00000000-0005-0000-0000-0000C4340000}"/>
    <cellStyle name="Título 2 3 2" xfId="7148" xr:uid="{00000000-0005-0000-0000-0000C5340000}"/>
    <cellStyle name="Título 2 3 3" xfId="7149" xr:uid="{00000000-0005-0000-0000-0000C6340000}"/>
    <cellStyle name="Título 2 3 4" xfId="7150" xr:uid="{00000000-0005-0000-0000-0000C7340000}"/>
    <cellStyle name="Título 2 3 5" xfId="7147" xr:uid="{00000000-0005-0000-0000-0000C8340000}"/>
    <cellStyle name="Título 2 4" xfId="5377" xr:uid="{00000000-0005-0000-0000-0000C9340000}"/>
    <cellStyle name="Título 2 4 2" xfId="7152" xr:uid="{00000000-0005-0000-0000-0000CA340000}"/>
    <cellStyle name="Título 2 4 3" xfId="7153" xr:uid="{00000000-0005-0000-0000-0000CB340000}"/>
    <cellStyle name="Título 2 4 4" xfId="7151" xr:uid="{00000000-0005-0000-0000-0000CC340000}"/>
    <cellStyle name="Título 2 5" xfId="5405" xr:uid="{00000000-0005-0000-0000-0000CD340000}"/>
    <cellStyle name="Título 2 5 2" xfId="7155" xr:uid="{00000000-0005-0000-0000-0000CE340000}"/>
    <cellStyle name="Título 2 5 3" xfId="7154" xr:uid="{00000000-0005-0000-0000-0000CF340000}"/>
    <cellStyle name="Título 2 6" xfId="5432" xr:uid="{00000000-0005-0000-0000-0000D0340000}"/>
    <cellStyle name="Título 2 6 2" xfId="7157" xr:uid="{00000000-0005-0000-0000-0000D1340000}"/>
    <cellStyle name="Título 2 6 3" xfId="7381" xr:uid="{00000000-0005-0000-0000-0000D2340000}"/>
    <cellStyle name="Título 2 6 4" xfId="7156" xr:uid="{00000000-0005-0000-0000-0000D3340000}"/>
    <cellStyle name="Título 2 7" xfId="5451" xr:uid="{00000000-0005-0000-0000-0000D4340000}"/>
    <cellStyle name="Título 2 7 2" xfId="7382" xr:uid="{00000000-0005-0000-0000-0000D5340000}"/>
    <cellStyle name="Título 2 7 3" xfId="7158" xr:uid="{00000000-0005-0000-0000-0000D6340000}"/>
    <cellStyle name="Título 2 8" xfId="5464" xr:uid="{00000000-0005-0000-0000-0000D7340000}"/>
    <cellStyle name="Título 2 9" xfId="5471" xr:uid="{00000000-0005-0000-0000-0000D8340000}"/>
    <cellStyle name="TITULO 20" xfId="4822" xr:uid="{00000000-0005-0000-0000-0000D9340000}"/>
    <cellStyle name="Título 20" xfId="7391" xr:uid="{00000000-0005-0000-0000-0000DA340000}"/>
    <cellStyle name="TITULO 21" xfId="4823" xr:uid="{00000000-0005-0000-0000-0000DB340000}"/>
    <cellStyle name="TITULO 22" xfId="4824" xr:uid="{00000000-0005-0000-0000-0000DC340000}"/>
    <cellStyle name="TITULO 23" xfId="4825" xr:uid="{00000000-0005-0000-0000-0000DD340000}"/>
    <cellStyle name="TITULO 24" xfId="4826" xr:uid="{00000000-0005-0000-0000-0000DE340000}"/>
    <cellStyle name="TITULO 25" xfId="4827" xr:uid="{00000000-0005-0000-0000-0000DF340000}"/>
    <cellStyle name="TITULO 26" xfId="4828" xr:uid="{00000000-0005-0000-0000-0000E0340000}"/>
    <cellStyle name="TITULO 27" xfId="4829" xr:uid="{00000000-0005-0000-0000-0000E1340000}"/>
    <cellStyle name="TITULO 28" xfId="4830" xr:uid="{00000000-0005-0000-0000-0000E2340000}"/>
    <cellStyle name="TITULO 29" xfId="4831" xr:uid="{00000000-0005-0000-0000-0000E3340000}"/>
    <cellStyle name="TITULO 3" xfId="4832" xr:uid="{00000000-0005-0000-0000-0000E4340000}"/>
    <cellStyle name="Título 3" xfId="95" xr:uid="{00000000-0005-0000-0000-0000E5340000}"/>
    <cellStyle name="Título 3 10" xfId="5613" xr:uid="{00000000-0005-0000-0000-0000E6340000}"/>
    <cellStyle name="Título 3 11" xfId="5642" xr:uid="{00000000-0005-0000-0000-0000E7340000}"/>
    <cellStyle name="Título 3 12" xfId="5661" xr:uid="{00000000-0005-0000-0000-0000E8340000}"/>
    <cellStyle name="Título 3 13" xfId="5674" xr:uid="{00000000-0005-0000-0000-0000E9340000}"/>
    <cellStyle name="Título 3 14" xfId="5681" xr:uid="{00000000-0005-0000-0000-0000EA340000}"/>
    <cellStyle name="Título 3 15" xfId="5757" xr:uid="{00000000-0005-0000-0000-0000EB340000}"/>
    <cellStyle name="Título 3 16" xfId="5764" xr:uid="{00000000-0005-0000-0000-0000EC340000}"/>
    <cellStyle name="Título 3 17" xfId="5771" xr:uid="{00000000-0005-0000-0000-0000ED340000}"/>
    <cellStyle name="Título 3 2" xfId="5168" xr:uid="{00000000-0005-0000-0000-0000EE340000}"/>
    <cellStyle name="Título 3 2 2" xfId="7160" xr:uid="{00000000-0005-0000-0000-0000EF340000}"/>
    <cellStyle name="Título 3 2 2 2" xfId="7161" xr:uid="{00000000-0005-0000-0000-0000F0340000}"/>
    <cellStyle name="Título 3 2 2 2 2" xfId="7162" xr:uid="{00000000-0005-0000-0000-0000F1340000}"/>
    <cellStyle name="Título 3 2 2 2 2 2" xfId="7163" xr:uid="{00000000-0005-0000-0000-0000F2340000}"/>
    <cellStyle name="Título 3 2 2 2 2 2 2" xfId="7164" xr:uid="{00000000-0005-0000-0000-0000F3340000}"/>
    <cellStyle name="Título 3 2 2 2 2 2 2 2" xfId="7165" xr:uid="{00000000-0005-0000-0000-0000F4340000}"/>
    <cellStyle name="Título 3 2 2 2 2 2 2 2 2" xfId="7166" xr:uid="{00000000-0005-0000-0000-0000F5340000}"/>
    <cellStyle name="Título 3 2 2 2 2 2 2 3" xfId="7167" xr:uid="{00000000-0005-0000-0000-0000F6340000}"/>
    <cellStyle name="Título 3 2 2 2 2 2 3" xfId="7168" xr:uid="{00000000-0005-0000-0000-0000F7340000}"/>
    <cellStyle name="Título 3 2 2 2 2 2 3 2" xfId="7169" xr:uid="{00000000-0005-0000-0000-0000F8340000}"/>
    <cellStyle name="Título 3 2 2 2 2 3" xfId="7170" xr:uid="{00000000-0005-0000-0000-0000F9340000}"/>
    <cellStyle name="Título 3 2 2 2 2 3 2" xfId="7171" xr:uid="{00000000-0005-0000-0000-0000FA340000}"/>
    <cellStyle name="Título 3 2 2 2 3" xfId="7172" xr:uid="{00000000-0005-0000-0000-0000FB340000}"/>
    <cellStyle name="Título 3 2 2 2 4" xfId="7173" xr:uid="{00000000-0005-0000-0000-0000FC340000}"/>
    <cellStyle name="Título 3 2 2 2 4 2" xfId="7174" xr:uid="{00000000-0005-0000-0000-0000FD340000}"/>
    <cellStyle name="Título 3 2 2 3" xfId="7175" xr:uid="{00000000-0005-0000-0000-0000FE340000}"/>
    <cellStyle name="Título 3 2 2 4" xfId="7176" xr:uid="{00000000-0005-0000-0000-0000FF340000}"/>
    <cellStyle name="Título 3 2 2 4 2" xfId="7177" xr:uid="{00000000-0005-0000-0000-000000350000}"/>
    <cellStyle name="Título 3 2 3" xfId="7178" xr:uid="{00000000-0005-0000-0000-000001350000}"/>
    <cellStyle name="Título 3 2 4" xfId="7179" xr:uid="{00000000-0005-0000-0000-000002350000}"/>
    <cellStyle name="Título 3 2 5" xfId="7180" xr:uid="{00000000-0005-0000-0000-000003350000}"/>
    <cellStyle name="Título 3 2 6" xfId="7181" xr:uid="{00000000-0005-0000-0000-000004350000}"/>
    <cellStyle name="Título 3 2 6 2" xfId="7182" xr:uid="{00000000-0005-0000-0000-000005350000}"/>
    <cellStyle name="Título 3 2 7" xfId="7159" xr:uid="{00000000-0005-0000-0000-000006350000}"/>
    <cellStyle name="Título 3 3" xfId="5349" xr:uid="{00000000-0005-0000-0000-000007350000}"/>
    <cellStyle name="Título 3 3 2" xfId="7184" xr:uid="{00000000-0005-0000-0000-000008350000}"/>
    <cellStyle name="Título 3 3 3" xfId="7185" xr:uid="{00000000-0005-0000-0000-000009350000}"/>
    <cellStyle name="Título 3 3 4" xfId="7186" xr:uid="{00000000-0005-0000-0000-00000A350000}"/>
    <cellStyle name="Título 3 3 5" xfId="7183" xr:uid="{00000000-0005-0000-0000-00000B350000}"/>
    <cellStyle name="Título 3 4" xfId="5378" xr:uid="{00000000-0005-0000-0000-00000C350000}"/>
    <cellStyle name="Título 3 4 2" xfId="7188" xr:uid="{00000000-0005-0000-0000-00000D350000}"/>
    <cellStyle name="Título 3 4 3" xfId="7189" xr:uid="{00000000-0005-0000-0000-00000E350000}"/>
    <cellStyle name="Título 3 4 4" xfId="7187" xr:uid="{00000000-0005-0000-0000-00000F350000}"/>
    <cellStyle name="Título 3 5" xfId="5406" xr:uid="{00000000-0005-0000-0000-000010350000}"/>
    <cellStyle name="Título 3 5 2" xfId="7191" xr:uid="{00000000-0005-0000-0000-000011350000}"/>
    <cellStyle name="Título 3 5 3" xfId="7190" xr:uid="{00000000-0005-0000-0000-000012350000}"/>
    <cellStyle name="Título 3 6" xfId="5433" xr:uid="{00000000-0005-0000-0000-000013350000}"/>
    <cellStyle name="Título 3 6 2" xfId="7193" xr:uid="{00000000-0005-0000-0000-000014350000}"/>
    <cellStyle name="Título 3 6 3" xfId="7383" xr:uid="{00000000-0005-0000-0000-000015350000}"/>
    <cellStyle name="Título 3 6 4" xfId="7192" xr:uid="{00000000-0005-0000-0000-000016350000}"/>
    <cellStyle name="Título 3 7" xfId="5452" xr:uid="{00000000-0005-0000-0000-000017350000}"/>
    <cellStyle name="Título 3 7 2" xfId="7384" xr:uid="{00000000-0005-0000-0000-000018350000}"/>
    <cellStyle name="Título 3 7 3" xfId="7194" xr:uid="{00000000-0005-0000-0000-000019350000}"/>
    <cellStyle name="Título 3 8" xfId="5465" xr:uid="{00000000-0005-0000-0000-00001A350000}"/>
    <cellStyle name="Título 3 9" xfId="5472" xr:uid="{00000000-0005-0000-0000-00001B350000}"/>
    <cellStyle name="TITULO 30" xfId="4833" xr:uid="{00000000-0005-0000-0000-00001C350000}"/>
    <cellStyle name="TITULO 31" xfId="4834" xr:uid="{00000000-0005-0000-0000-00001D350000}"/>
    <cellStyle name="TITULO 32" xfId="4835" xr:uid="{00000000-0005-0000-0000-00001E350000}"/>
    <cellStyle name="TITULO 33" xfId="4836" xr:uid="{00000000-0005-0000-0000-00001F350000}"/>
    <cellStyle name="TITULO 34" xfId="4837" xr:uid="{00000000-0005-0000-0000-000020350000}"/>
    <cellStyle name="TITULO 35" xfId="4838" xr:uid="{00000000-0005-0000-0000-000021350000}"/>
    <cellStyle name="TITULO 36" xfId="4839" xr:uid="{00000000-0005-0000-0000-000022350000}"/>
    <cellStyle name="TITULO 37" xfId="4840" xr:uid="{00000000-0005-0000-0000-000023350000}"/>
    <cellStyle name="TITULO 38" xfId="4841" xr:uid="{00000000-0005-0000-0000-000024350000}"/>
    <cellStyle name="TITULO 39" xfId="4842" xr:uid="{00000000-0005-0000-0000-000025350000}"/>
    <cellStyle name="TITULO 4" xfId="4843" xr:uid="{00000000-0005-0000-0000-000026350000}"/>
    <cellStyle name="Título 4" xfId="96" xr:uid="{00000000-0005-0000-0000-000027350000}"/>
    <cellStyle name="Título 4 10" xfId="5614" xr:uid="{00000000-0005-0000-0000-000028350000}"/>
    <cellStyle name="Título 4 11" xfId="5643" xr:uid="{00000000-0005-0000-0000-000029350000}"/>
    <cellStyle name="Título 4 12" xfId="5662" xr:uid="{00000000-0005-0000-0000-00002A350000}"/>
    <cellStyle name="Título 4 13" xfId="5675" xr:uid="{00000000-0005-0000-0000-00002B350000}"/>
    <cellStyle name="Título 4 14" xfId="5682" xr:uid="{00000000-0005-0000-0000-00002C350000}"/>
    <cellStyle name="Título 4 15" xfId="5758" xr:uid="{00000000-0005-0000-0000-00002D350000}"/>
    <cellStyle name="Título 4 16" xfId="5765" xr:uid="{00000000-0005-0000-0000-00002E350000}"/>
    <cellStyle name="Título 4 17" xfId="5772" xr:uid="{00000000-0005-0000-0000-00002F350000}"/>
    <cellStyle name="Título 4 2" xfId="5169" xr:uid="{00000000-0005-0000-0000-000030350000}"/>
    <cellStyle name="Título 4 2 2" xfId="7196" xr:uid="{00000000-0005-0000-0000-000031350000}"/>
    <cellStyle name="Título 4 2 2 2" xfId="7197" xr:uid="{00000000-0005-0000-0000-000032350000}"/>
    <cellStyle name="Título 4 2 2 2 2" xfId="7198" xr:uid="{00000000-0005-0000-0000-000033350000}"/>
    <cellStyle name="Título 4 2 2 2 2 2" xfId="7199" xr:uid="{00000000-0005-0000-0000-000034350000}"/>
    <cellStyle name="Título 4 2 2 2 2 2 2" xfId="7200" xr:uid="{00000000-0005-0000-0000-000035350000}"/>
    <cellStyle name="Título 4 2 2 2 2 2 2 2" xfId="7201" xr:uid="{00000000-0005-0000-0000-000036350000}"/>
    <cellStyle name="Título 4 2 2 2 2 2 2 2 2" xfId="7202" xr:uid="{00000000-0005-0000-0000-000037350000}"/>
    <cellStyle name="Título 4 2 2 2 2 2 2 3" xfId="7203" xr:uid="{00000000-0005-0000-0000-000038350000}"/>
    <cellStyle name="Título 4 2 2 2 2 2 3" xfId="7204" xr:uid="{00000000-0005-0000-0000-000039350000}"/>
    <cellStyle name="Título 4 2 2 2 2 2 3 2" xfId="7205" xr:uid="{00000000-0005-0000-0000-00003A350000}"/>
    <cellStyle name="Título 4 2 2 2 2 3" xfId="7206" xr:uid="{00000000-0005-0000-0000-00003B350000}"/>
    <cellStyle name="Título 4 2 2 2 2 3 2" xfId="7207" xr:uid="{00000000-0005-0000-0000-00003C350000}"/>
    <cellStyle name="Título 4 2 2 2 3" xfId="7208" xr:uid="{00000000-0005-0000-0000-00003D350000}"/>
    <cellStyle name="Título 4 2 2 2 4" xfId="7209" xr:uid="{00000000-0005-0000-0000-00003E350000}"/>
    <cellStyle name="Título 4 2 2 2 4 2" xfId="7210" xr:uid="{00000000-0005-0000-0000-00003F350000}"/>
    <cellStyle name="Título 4 2 2 3" xfId="7211" xr:uid="{00000000-0005-0000-0000-000040350000}"/>
    <cellStyle name="Título 4 2 2 4" xfId="7212" xr:uid="{00000000-0005-0000-0000-000041350000}"/>
    <cellStyle name="Título 4 2 2 4 2" xfId="7213" xr:uid="{00000000-0005-0000-0000-000042350000}"/>
    <cellStyle name="Título 4 2 3" xfId="7214" xr:uid="{00000000-0005-0000-0000-000043350000}"/>
    <cellStyle name="Título 4 2 4" xfId="7215" xr:uid="{00000000-0005-0000-0000-000044350000}"/>
    <cellStyle name="Título 4 2 5" xfId="7216" xr:uid="{00000000-0005-0000-0000-000045350000}"/>
    <cellStyle name="Título 4 2 6" xfId="7217" xr:uid="{00000000-0005-0000-0000-000046350000}"/>
    <cellStyle name="Título 4 2 6 2" xfId="7218" xr:uid="{00000000-0005-0000-0000-000047350000}"/>
    <cellStyle name="Título 4 2 7" xfId="7195" xr:uid="{00000000-0005-0000-0000-000048350000}"/>
    <cellStyle name="Título 4 3" xfId="5350" xr:uid="{00000000-0005-0000-0000-000049350000}"/>
    <cellStyle name="Título 4 3 2" xfId="7220" xr:uid="{00000000-0005-0000-0000-00004A350000}"/>
    <cellStyle name="Título 4 3 3" xfId="7221" xr:uid="{00000000-0005-0000-0000-00004B350000}"/>
    <cellStyle name="Título 4 3 4" xfId="7222" xr:uid="{00000000-0005-0000-0000-00004C350000}"/>
    <cellStyle name="Título 4 3 5" xfId="7219" xr:uid="{00000000-0005-0000-0000-00004D350000}"/>
    <cellStyle name="Título 4 4" xfId="5379" xr:uid="{00000000-0005-0000-0000-00004E350000}"/>
    <cellStyle name="Título 4 4 2" xfId="7224" xr:uid="{00000000-0005-0000-0000-00004F350000}"/>
    <cellStyle name="Título 4 4 3" xfId="7225" xr:uid="{00000000-0005-0000-0000-000050350000}"/>
    <cellStyle name="Título 4 4 4" xfId="7223" xr:uid="{00000000-0005-0000-0000-000051350000}"/>
    <cellStyle name="Título 4 5" xfId="5407" xr:uid="{00000000-0005-0000-0000-000052350000}"/>
    <cellStyle name="Título 4 5 2" xfId="7227" xr:uid="{00000000-0005-0000-0000-000053350000}"/>
    <cellStyle name="Título 4 5 3" xfId="7226" xr:uid="{00000000-0005-0000-0000-000054350000}"/>
    <cellStyle name="Título 4 6" xfId="5434" xr:uid="{00000000-0005-0000-0000-000055350000}"/>
    <cellStyle name="Título 4 6 2" xfId="7229" xr:uid="{00000000-0005-0000-0000-000056350000}"/>
    <cellStyle name="Título 4 6 3" xfId="7385" xr:uid="{00000000-0005-0000-0000-000057350000}"/>
    <cellStyle name="Título 4 6 4" xfId="7228" xr:uid="{00000000-0005-0000-0000-000058350000}"/>
    <cellStyle name="Título 4 7" xfId="5453" xr:uid="{00000000-0005-0000-0000-000059350000}"/>
    <cellStyle name="Título 4 7 2" xfId="7386" xr:uid="{00000000-0005-0000-0000-00005A350000}"/>
    <cellStyle name="Título 4 7 3" xfId="7230" xr:uid="{00000000-0005-0000-0000-00005B350000}"/>
    <cellStyle name="Título 4 8" xfId="5466" xr:uid="{00000000-0005-0000-0000-00005C350000}"/>
    <cellStyle name="Título 4 9" xfId="5473" xr:uid="{00000000-0005-0000-0000-00005D350000}"/>
    <cellStyle name="TITULO 40" xfId="4844" xr:uid="{00000000-0005-0000-0000-00005E350000}"/>
    <cellStyle name="TITULO 41" xfId="4845" xr:uid="{00000000-0005-0000-0000-00005F350000}"/>
    <cellStyle name="TITULO 42" xfId="4846" xr:uid="{00000000-0005-0000-0000-000060350000}"/>
    <cellStyle name="TITULO 43" xfId="4847" xr:uid="{00000000-0005-0000-0000-000061350000}"/>
    <cellStyle name="TITULO 44" xfId="4848" xr:uid="{00000000-0005-0000-0000-000062350000}"/>
    <cellStyle name="TITULO 45" xfId="4849" xr:uid="{00000000-0005-0000-0000-000063350000}"/>
    <cellStyle name="TITULO 46" xfId="4850" xr:uid="{00000000-0005-0000-0000-000064350000}"/>
    <cellStyle name="TITULO 47" xfId="4851" xr:uid="{00000000-0005-0000-0000-000065350000}"/>
    <cellStyle name="TITULO 48" xfId="4852" xr:uid="{00000000-0005-0000-0000-000066350000}"/>
    <cellStyle name="TITULO 49" xfId="4853" xr:uid="{00000000-0005-0000-0000-000067350000}"/>
    <cellStyle name="TITULO 5" xfId="4854" xr:uid="{00000000-0005-0000-0000-000068350000}"/>
    <cellStyle name="Título 5" xfId="5165" xr:uid="{00000000-0005-0000-0000-000069350000}"/>
    <cellStyle name="Título 5 2" xfId="7232" xr:uid="{00000000-0005-0000-0000-00006A350000}"/>
    <cellStyle name="Título 5 2 2" xfId="7233" xr:uid="{00000000-0005-0000-0000-00006B350000}"/>
    <cellStyle name="Título 5 2 2 2" xfId="7234" xr:uid="{00000000-0005-0000-0000-00006C350000}"/>
    <cellStyle name="Título 5 2 2 2 2" xfId="7235" xr:uid="{00000000-0005-0000-0000-00006D350000}"/>
    <cellStyle name="Título 5 2 2 2 2 2" xfId="7236" xr:uid="{00000000-0005-0000-0000-00006E350000}"/>
    <cellStyle name="Título 5 2 2 2 2 2 2" xfId="7237" xr:uid="{00000000-0005-0000-0000-00006F350000}"/>
    <cellStyle name="Título 5 2 2 2 2 2 2 2" xfId="7238" xr:uid="{00000000-0005-0000-0000-000070350000}"/>
    <cellStyle name="Título 5 2 2 2 2 2 3" xfId="7239" xr:uid="{00000000-0005-0000-0000-000071350000}"/>
    <cellStyle name="Título 5 2 2 2 2 3" xfId="7240" xr:uid="{00000000-0005-0000-0000-000072350000}"/>
    <cellStyle name="Título 5 2 2 2 2 3 2" xfId="7241" xr:uid="{00000000-0005-0000-0000-000073350000}"/>
    <cellStyle name="Título 5 2 2 2 3" xfId="7242" xr:uid="{00000000-0005-0000-0000-000074350000}"/>
    <cellStyle name="Título 5 2 2 2 3 2" xfId="7243" xr:uid="{00000000-0005-0000-0000-000075350000}"/>
    <cellStyle name="Título 5 2 2 3" xfId="7244" xr:uid="{00000000-0005-0000-0000-000076350000}"/>
    <cellStyle name="Título 5 2 2 4" xfId="7245" xr:uid="{00000000-0005-0000-0000-000077350000}"/>
    <cellStyle name="Título 5 2 2 4 2" xfId="7246" xr:uid="{00000000-0005-0000-0000-000078350000}"/>
    <cellStyle name="Título 5 2 3" xfId="7247" xr:uid="{00000000-0005-0000-0000-000079350000}"/>
    <cellStyle name="Título 5 2 4" xfId="7248" xr:uid="{00000000-0005-0000-0000-00007A350000}"/>
    <cellStyle name="Título 5 2 4 2" xfId="7249" xr:uid="{00000000-0005-0000-0000-00007B350000}"/>
    <cellStyle name="Título 5 3" xfId="7250" xr:uid="{00000000-0005-0000-0000-00007C350000}"/>
    <cellStyle name="Título 5 4" xfId="7251" xr:uid="{00000000-0005-0000-0000-00007D350000}"/>
    <cellStyle name="Título 5 5" xfId="7252" xr:uid="{00000000-0005-0000-0000-00007E350000}"/>
    <cellStyle name="Título 5 6" xfId="7253" xr:uid="{00000000-0005-0000-0000-00007F350000}"/>
    <cellStyle name="Título 5 6 2" xfId="7254" xr:uid="{00000000-0005-0000-0000-000080350000}"/>
    <cellStyle name="Título 5 7" xfId="7231" xr:uid="{00000000-0005-0000-0000-000081350000}"/>
    <cellStyle name="TITULO 50" xfId="4855" xr:uid="{00000000-0005-0000-0000-000082350000}"/>
    <cellStyle name="TITULO 51" xfId="4856" xr:uid="{00000000-0005-0000-0000-000083350000}"/>
    <cellStyle name="TITULO 52" xfId="4857" xr:uid="{00000000-0005-0000-0000-000084350000}"/>
    <cellStyle name="TITULO 53" xfId="4858" xr:uid="{00000000-0005-0000-0000-000085350000}"/>
    <cellStyle name="TITULO 54" xfId="4859" xr:uid="{00000000-0005-0000-0000-000086350000}"/>
    <cellStyle name="TITULO 55" xfId="4860" xr:uid="{00000000-0005-0000-0000-000087350000}"/>
    <cellStyle name="TITULO 56" xfId="4861" xr:uid="{00000000-0005-0000-0000-000088350000}"/>
    <cellStyle name="TITULO 6" xfId="4862" xr:uid="{00000000-0005-0000-0000-000089350000}"/>
    <cellStyle name="Título 6" xfId="5346" xr:uid="{00000000-0005-0000-0000-00008A350000}"/>
    <cellStyle name="Título 6 2" xfId="7256" xr:uid="{00000000-0005-0000-0000-00008B350000}"/>
    <cellStyle name="Título 6 3" xfId="7257" xr:uid="{00000000-0005-0000-0000-00008C350000}"/>
    <cellStyle name="Título 6 4" xfId="7258" xr:uid="{00000000-0005-0000-0000-00008D350000}"/>
    <cellStyle name="Título 6 5" xfId="7255" xr:uid="{00000000-0005-0000-0000-00008E350000}"/>
    <cellStyle name="TITULO 7" xfId="4863" xr:uid="{00000000-0005-0000-0000-00008F350000}"/>
    <cellStyle name="Título 7" xfId="5375" xr:uid="{00000000-0005-0000-0000-000090350000}"/>
    <cellStyle name="Título 7 2" xfId="7260" xr:uid="{00000000-0005-0000-0000-000091350000}"/>
    <cellStyle name="Título 7 3" xfId="7261" xr:uid="{00000000-0005-0000-0000-000092350000}"/>
    <cellStyle name="Título 7 4" xfId="7259" xr:uid="{00000000-0005-0000-0000-000093350000}"/>
    <cellStyle name="TITULO 8" xfId="4864" xr:uid="{00000000-0005-0000-0000-000094350000}"/>
    <cellStyle name="Título 8" xfId="5403" xr:uid="{00000000-0005-0000-0000-000095350000}"/>
    <cellStyle name="Título 8 2" xfId="7263" xr:uid="{00000000-0005-0000-0000-000096350000}"/>
    <cellStyle name="Título 8 3" xfId="7262" xr:uid="{00000000-0005-0000-0000-000097350000}"/>
    <cellStyle name="TITULO 9" xfId="4865" xr:uid="{00000000-0005-0000-0000-000098350000}"/>
    <cellStyle name="Título 9" xfId="5430" xr:uid="{00000000-0005-0000-0000-000099350000}"/>
    <cellStyle name="Título 9 2" xfId="7265" xr:uid="{00000000-0005-0000-0000-00009A350000}"/>
    <cellStyle name="Título 9 3" xfId="7387" xr:uid="{00000000-0005-0000-0000-00009B350000}"/>
    <cellStyle name="Título 9 4" xfId="7264" xr:uid="{00000000-0005-0000-0000-00009C350000}"/>
    <cellStyle name="Titulo de conta" xfId="4866" xr:uid="{00000000-0005-0000-0000-00009D350000}"/>
    <cellStyle name="Titulo de conta 2" xfId="9019" xr:uid="{00000000-0005-0000-0000-00009E350000}"/>
    <cellStyle name="TITULO_Novos quadros - SBSA" xfId="4867" xr:uid="{00000000-0005-0000-0000-00009F350000}"/>
    <cellStyle name="Titulo1" xfId="5170" xr:uid="{00000000-0005-0000-0000-0000A0350000}"/>
    <cellStyle name="Titulo2" xfId="5171" xr:uid="{00000000-0005-0000-0000-0000A1350000}"/>
    <cellStyle name="titulomov" xfId="4868" xr:uid="{00000000-0005-0000-0000-0000A2350000}"/>
    <cellStyle name="titulomov 2" xfId="9020" xr:uid="{00000000-0005-0000-0000-0000A3350000}"/>
    <cellStyle name="TOC 1" xfId="5172" xr:uid="{00000000-0005-0000-0000-0000A4350000}"/>
    <cellStyle name="TOC 2" xfId="5173" xr:uid="{00000000-0005-0000-0000-0000A5350000}"/>
    <cellStyle name="Todos" xfId="4869" xr:uid="{00000000-0005-0000-0000-0000A6350000}"/>
    <cellStyle name="tons" xfId="4870" xr:uid="{00000000-0005-0000-0000-0000A7350000}"/>
    <cellStyle name="Total" xfId="12" builtinId="25" customBuiltin="1"/>
    <cellStyle name="Total 2" xfId="7267" xr:uid="{00000000-0005-0000-0000-0000A9350000}"/>
    <cellStyle name="Total 2 2" xfId="7268" xr:uid="{00000000-0005-0000-0000-0000AA350000}"/>
    <cellStyle name="Total 2 2 2" xfId="7269" xr:uid="{00000000-0005-0000-0000-0000AB350000}"/>
    <cellStyle name="Total 2 2 2 2" xfId="7270" xr:uid="{00000000-0005-0000-0000-0000AC350000}"/>
    <cellStyle name="Total 2 2 2 2 2" xfId="7271" xr:uid="{00000000-0005-0000-0000-0000AD350000}"/>
    <cellStyle name="Total 2 2 2 2 2 2" xfId="7272" xr:uid="{00000000-0005-0000-0000-0000AE350000}"/>
    <cellStyle name="Total 2 2 2 2 2 2 2" xfId="7273" xr:uid="{00000000-0005-0000-0000-0000AF350000}"/>
    <cellStyle name="Total 2 2 2 2 2 2 2 2" xfId="7274" xr:uid="{00000000-0005-0000-0000-0000B0350000}"/>
    <cellStyle name="Total 2 2 2 2 2 2 2 2 2" xfId="22661" xr:uid="{0B9D1497-14B9-4E6E-B523-4122B8A3E472}"/>
    <cellStyle name="Total 2 2 2 2 2 2 3" xfId="7275" xr:uid="{00000000-0005-0000-0000-0000B1350000}"/>
    <cellStyle name="Total 2 2 2 2 2 2 3 2" xfId="22643" xr:uid="{F375F6CB-55CA-4BED-A180-48987DFAE94F}"/>
    <cellStyle name="Total 2 2 2 2 2 2 4" xfId="22616" xr:uid="{5D55098E-C296-493A-87E2-4E4B78B4D4AC}"/>
    <cellStyle name="Total 2 2 2 2 2 3" xfId="7276" xr:uid="{00000000-0005-0000-0000-0000B2350000}"/>
    <cellStyle name="Total 2 2 2 2 2 3 2" xfId="7277" xr:uid="{00000000-0005-0000-0000-0000B3350000}"/>
    <cellStyle name="Total 2 2 2 2 2 3 3" xfId="22615" xr:uid="{E7A8C7EE-57C2-43F4-B357-8FF67468C637}"/>
    <cellStyle name="Total 2 2 2 2 3" xfId="7278" xr:uid="{00000000-0005-0000-0000-0000B4350000}"/>
    <cellStyle name="Total 2 2 2 2 3 2" xfId="7279" xr:uid="{00000000-0005-0000-0000-0000B5350000}"/>
    <cellStyle name="Total 2 2 2 2 3 2 2" xfId="22614" xr:uid="{C5E6053D-541E-4EEA-AE3E-81A969567425}"/>
    <cellStyle name="Total 2 2 2 2 4" xfId="22662" xr:uid="{BB81FC8A-64D7-4E33-AFBA-916AD55CED7C}"/>
    <cellStyle name="Total 2 2 2 3" xfId="7280" xr:uid="{00000000-0005-0000-0000-0000B6350000}"/>
    <cellStyle name="Total 2 2 2 3 2" xfId="22633" xr:uid="{4B0DA25D-2E11-4A1F-9173-7F705D326FAA}"/>
    <cellStyle name="Total 2 2 2 4" xfId="7281" xr:uid="{00000000-0005-0000-0000-0000B7350000}"/>
    <cellStyle name="Total 2 2 2 4 2" xfId="7282" xr:uid="{00000000-0005-0000-0000-0000B8350000}"/>
    <cellStyle name="Total 2 2 2 4 3" xfId="16188" xr:uid="{F3FA3D31-282A-483D-9CFE-3D241E6FDE91}"/>
    <cellStyle name="Total 2 2 3" xfId="7283" xr:uid="{00000000-0005-0000-0000-0000B9350000}"/>
    <cellStyle name="Total 2 2 4" xfId="7284" xr:uid="{00000000-0005-0000-0000-0000BA350000}"/>
    <cellStyle name="Total 2 2 4 2" xfId="7285" xr:uid="{00000000-0005-0000-0000-0000BB350000}"/>
    <cellStyle name="Total 2 2 4 2 2" xfId="16189" xr:uid="{281B66A4-090B-422A-94E2-3F1EC37AD010}"/>
    <cellStyle name="Total 2 2 5" xfId="22644" xr:uid="{E2F6460D-C168-4B6A-AEFF-75E00D17C473}"/>
    <cellStyle name="Total 2 3" xfId="7286" xr:uid="{00000000-0005-0000-0000-0000BC350000}"/>
    <cellStyle name="Total 2 3 2" xfId="16190" xr:uid="{B7289A0F-BD7B-4CBF-BC84-6946E09776ED}"/>
    <cellStyle name="Total 2 4" xfId="7287" xr:uid="{00000000-0005-0000-0000-0000BD350000}"/>
    <cellStyle name="Total 2 4 2" xfId="22660" xr:uid="{3E25D44F-66D5-4BC3-A11C-01DB9E9E4CC0}"/>
    <cellStyle name="Total 2 5" xfId="7288" xr:uid="{00000000-0005-0000-0000-0000BE350000}"/>
    <cellStyle name="Total 2 5 2" xfId="22642" xr:uid="{03CAE952-8202-4E32-833F-B7719E83C696}"/>
    <cellStyle name="Total 2 6" xfId="7289" xr:uid="{00000000-0005-0000-0000-0000BF350000}"/>
    <cellStyle name="Total 2 6 2" xfId="7290" xr:uid="{00000000-0005-0000-0000-0000C0350000}"/>
    <cellStyle name="Total 2 6 3" xfId="16191" xr:uid="{8B0FE227-5F58-4CA7-9A4C-DA3FF239F2A6}"/>
    <cellStyle name="Total 3" xfId="7291" xr:uid="{00000000-0005-0000-0000-0000C1350000}"/>
    <cellStyle name="Total 3 2" xfId="7292" xr:uid="{00000000-0005-0000-0000-0000C2350000}"/>
    <cellStyle name="Total 3 3" xfId="7293" xr:uid="{00000000-0005-0000-0000-0000C3350000}"/>
    <cellStyle name="Total 3 4" xfId="7294" xr:uid="{00000000-0005-0000-0000-0000C4350000}"/>
    <cellStyle name="Total 4" xfId="7295" xr:uid="{00000000-0005-0000-0000-0000C5350000}"/>
    <cellStyle name="Total 4 2" xfId="7296" xr:uid="{00000000-0005-0000-0000-0000C6350000}"/>
    <cellStyle name="Total 4 3" xfId="7297" xr:uid="{00000000-0005-0000-0000-0000C7350000}"/>
    <cellStyle name="Total 5" xfId="7298" xr:uid="{00000000-0005-0000-0000-0000C8350000}"/>
    <cellStyle name="Total 5 2" xfId="7299" xr:uid="{00000000-0005-0000-0000-0000C9350000}"/>
    <cellStyle name="Total 6" xfId="7300" xr:uid="{00000000-0005-0000-0000-0000CA350000}"/>
    <cellStyle name="Total 6 2" xfId="7301" xr:uid="{00000000-0005-0000-0000-0000CB350000}"/>
    <cellStyle name="Total 6 2 2" xfId="22613" xr:uid="{7A1C79C9-4F68-4C49-BF8F-F925F94B74E7}"/>
    <cellStyle name="Total 6 3" xfId="7389" xr:uid="{00000000-0005-0000-0000-0000CC350000}"/>
    <cellStyle name="Total 7" xfId="7302" xr:uid="{00000000-0005-0000-0000-0000CD350000}"/>
    <cellStyle name="Total 7 2" xfId="7390" xr:uid="{00000000-0005-0000-0000-0000CE350000}"/>
    <cellStyle name="Total 8" xfId="7388" xr:uid="{00000000-0005-0000-0000-0000CF350000}"/>
    <cellStyle name="Total 8 2" xfId="14031" xr:uid="{8B79A103-2C1C-4586-ACFC-F0585DA25EA0}"/>
    <cellStyle name="Total 9" xfId="7266" xr:uid="{00000000-0005-0000-0000-0000D0350000}"/>
    <cellStyle name="Total 9 2" xfId="16187" xr:uid="{17FB36A3-2A70-4D17-A17D-DDCCA7B8FCFE}"/>
    <cellStyle name="totalbalan" xfId="4871" xr:uid="{00000000-0005-0000-0000-0000D1350000}"/>
    <cellStyle name="Underline_Double" xfId="5174" xr:uid="{00000000-0005-0000-0000-0000D2350000}"/>
    <cellStyle name="Unprot" xfId="4872" xr:uid="{00000000-0005-0000-0000-0000D3350000}"/>
    <cellStyle name="Unprot$" xfId="4873" xr:uid="{00000000-0005-0000-0000-0000D4350000}"/>
    <cellStyle name="Unprotect" xfId="4874" xr:uid="{00000000-0005-0000-0000-0000D5350000}"/>
    <cellStyle name="UNPROTECTED" xfId="4875" xr:uid="{00000000-0005-0000-0000-0000D6350000}"/>
    <cellStyle name="Validation" xfId="5175" xr:uid="{00000000-0005-0000-0000-0000D7350000}"/>
    <cellStyle name="Valuta [0]_Blad1" xfId="4876" xr:uid="{00000000-0005-0000-0000-0000D8350000}"/>
    <cellStyle name="Valuta_Blad1" xfId="4877" xr:uid="{00000000-0005-0000-0000-0000D9350000}"/>
    <cellStyle name="Vírgula 10" xfId="13838" xr:uid="{00000000-0005-0000-0000-0000DA350000}"/>
    <cellStyle name="Vírgula 10 2" xfId="22571" xr:uid="{8E91E7DB-AD68-434E-95DA-B373FD1849EF}"/>
    <cellStyle name="Vírgula 10 2 2" xfId="24126" xr:uid="{4538F5CF-107D-4676-A819-8CD5EEBF7733}"/>
    <cellStyle name="Vírgula 11" xfId="13911" xr:uid="{89628260-4E31-4D97-94E8-6F42DC33FF15}"/>
    <cellStyle name="Vírgula 11 2" xfId="22870" xr:uid="{59385CFC-B81E-49B0-91BA-E4168E8D141E}"/>
    <cellStyle name="Vírgula 12" xfId="14566" xr:uid="{6AEEC51E-9692-4C77-853C-46E3C38567B1}"/>
    <cellStyle name="Vírgula 12 2" xfId="22931" xr:uid="{C6C026EE-13BE-4B57-873A-FB7839E1569B}"/>
    <cellStyle name="Vírgula 2" xfId="98" xr:uid="{00000000-0005-0000-0000-0000DB350000}"/>
    <cellStyle name="Vírgula 2 2" xfId="104" xr:uid="{00000000-0005-0000-0000-0000DC350000}"/>
    <cellStyle name="Vírgula 2 2 2" xfId="4911" xr:uid="{00000000-0005-0000-0000-0000DD350000}"/>
    <cellStyle name="Vírgula 2 2 2 2" xfId="9034" xr:uid="{00000000-0005-0000-0000-0000DE350000}"/>
    <cellStyle name="Vírgula 2 2 2 2 2" xfId="17840" xr:uid="{5501BF2C-790C-4688-951E-EC3D05308714}"/>
    <cellStyle name="Vírgula 2 2 2 2 2 2" xfId="23484" xr:uid="{04AAB87C-7D34-4A56-A6EC-8760BCED2070}"/>
    <cellStyle name="Vírgula 2 2 2 3" xfId="12239" xr:uid="{00000000-0005-0000-0000-0000DF350000}"/>
    <cellStyle name="Vírgula 2 2 2 3 2" xfId="20980" xr:uid="{2F17B246-1033-425D-A652-9CEF438638B3}"/>
    <cellStyle name="Vírgula 2 2 2 3 2 2" xfId="23858" xr:uid="{F21DD9AD-CCC4-457C-862D-EEDF84CFA18F}"/>
    <cellStyle name="Vírgula 2 2 2 4" xfId="13848" xr:uid="{00000000-0005-0000-0000-0000E0350000}"/>
    <cellStyle name="Vírgula 2 2 2 4 2" xfId="22581" xr:uid="{A520A418-C640-4367-8904-D6A54A0A4B82}"/>
    <cellStyle name="Vírgula 2 2 2 4 2 2" xfId="24132" xr:uid="{1F62C120-D39B-493D-8E26-DDC070DAED1D}"/>
    <cellStyle name="Vírgula 2 2 2 5" xfId="16097" xr:uid="{0E9B0AD0-DE15-4B3C-991A-0AAE672F0F8D}"/>
    <cellStyle name="Vírgula 2 2 2 5 2" xfId="23189" xr:uid="{1CE9A6DB-2B9F-4E02-A69F-D5D5C9A1A0FA}"/>
    <cellStyle name="Vírgula 2 2 3" xfId="4895" xr:uid="{00000000-0005-0000-0000-0000E1350000}"/>
    <cellStyle name="Vírgula 2 2 3 2" xfId="9027" xr:uid="{00000000-0005-0000-0000-0000E2350000}"/>
    <cellStyle name="Vírgula 2 2 3 2 2" xfId="17833" xr:uid="{2EBB000A-688F-41FE-9038-9BC04C30042A}"/>
    <cellStyle name="Vírgula 2 2 3 2 2 2" xfId="23480" xr:uid="{BCB4858A-6AB7-4918-9003-6B22D7656810}"/>
    <cellStyle name="Vírgula 2 2 3 3" xfId="12232" xr:uid="{00000000-0005-0000-0000-0000E3350000}"/>
    <cellStyle name="Vírgula 2 2 3 3 2" xfId="20973" xr:uid="{44C7DEAE-14B3-4DC1-885D-1E215D7AA7C8}"/>
    <cellStyle name="Vírgula 2 2 3 3 2 2" xfId="23854" xr:uid="{30969DE3-51C9-4029-8A01-05AC151CAD9D}"/>
    <cellStyle name="Vírgula 2 2 3 4" xfId="16090" xr:uid="{BC3A1F01-EA3D-4F89-9B2E-19F29521F0CC}"/>
    <cellStyle name="Vírgula 2 2 3 4 2" xfId="23185" xr:uid="{BEE206CF-44D5-46D1-B101-E290B6AAD320}"/>
    <cellStyle name="Vírgula 2 2 4" xfId="10441" xr:uid="{00000000-0005-0000-0000-0000E4350000}"/>
    <cellStyle name="Vírgula 2 2 4 2" xfId="19247" xr:uid="{3F8FCD19-3125-41CD-A988-5212A8ED6D6B}"/>
    <cellStyle name="Vírgula 2 2 4 2 2" xfId="23563" xr:uid="{53EF542C-EECF-4949-B362-BDEF5F2FF928}"/>
    <cellStyle name="Vírgula 2 2 5" xfId="10604" xr:uid="{00000000-0005-0000-0000-0000E5350000}"/>
    <cellStyle name="Vírgula 2 2 5 2" xfId="19363" xr:uid="{827C3A9D-7DF7-4417-85DB-2BECF1AF333F}"/>
    <cellStyle name="Vírgula 2 2 5 2 2" xfId="23576" xr:uid="{1E4483B9-6036-48D9-8943-8A65A092E178}"/>
    <cellStyle name="Vírgula 2 2 6" xfId="13841" xr:uid="{00000000-0005-0000-0000-0000E6350000}"/>
    <cellStyle name="Vírgula 2 2 6 2" xfId="22574" xr:uid="{E623BAB6-3005-4D1A-9BE1-993A075F6A66}"/>
    <cellStyle name="Vírgula 2 2 6 2 2" xfId="24128" xr:uid="{BD1216F1-1EFC-4197-B1D3-CBF99C41E246}"/>
    <cellStyle name="Vírgula 2 2 7" xfId="14549" xr:uid="{20639600-87E4-4B76-B9EC-BE3A277B2A72}"/>
    <cellStyle name="Vírgula 2 2 7 2" xfId="22928" xr:uid="{E15BA618-C892-4DA3-9BD9-5DAE7D0A4177}"/>
    <cellStyle name="Vírgula 2 3" xfId="123" xr:uid="{00000000-0005-0000-0000-0000E7350000}"/>
    <cellStyle name="Vírgula 2 3 2" xfId="4905" xr:uid="{00000000-0005-0000-0000-0000E8350000}"/>
    <cellStyle name="Vírgula 2 3 2 2" xfId="12237" xr:uid="{00000000-0005-0000-0000-0000E9350000}"/>
    <cellStyle name="Vírgula 2 3 2 2 2" xfId="20978" xr:uid="{7BEFED11-62EA-40BB-8978-0DC4167E1BCD}"/>
    <cellStyle name="Vírgula 2 3 2 2 2 2" xfId="23857" xr:uid="{70400FBF-24FF-40CD-BDD3-539540C0B773}"/>
    <cellStyle name="Vírgula 2 3 2 3" xfId="16095" xr:uid="{03B6428E-5CE1-44DF-8360-B1C27E11F298}"/>
    <cellStyle name="Vírgula 2 3 2 3 2" xfId="23188" xr:uid="{A79EEDED-F0F1-48E7-9C3E-E7C205FA7C33}"/>
    <cellStyle name="Vírgula 2 3 3" xfId="9032" xr:uid="{00000000-0005-0000-0000-0000EA350000}"/>
    <cellStyle name="Vírgula 2 3 3 2" xfId="17838" xr:uid="{568F48B1-0BAD-45D3-B586-A3097F8A4878}"/>
    <cellStyle name="Vírgula 2 3 3 2 2" xfId="23483" xr:uid="{F93BAE58-66E6-42AD-B505-4A1B791090C5}"/>
    <cellStyle name="Vírgula 2 3 4" xfId="10609" xr:uid="{00000000-0005-0000-0000-0000EB350000}"/>
    <cellStyle name="Vírgula 2 3 4 2" xfId="19368" xr:uid="{D52B9AAF-A6A1-49C2-8AAB-95B48932914D}"/>
    <cellStyle name="Vírgula 2 3 4 2 2" xfId="23581" xr:uid="{3264238D-A015-4F37-954A-91B39B86A215}"/>
    <cellStyle name="Vírgula 2 3 5" xfId="13846" xr:uid="{00000000-0005-0000-0000-0000EC350000}"/>
    <cellStyle name="Vírgula 2 3 5 2" xfId="22579" xr:uid="{7CD74BA0-DE46-4BA2-90FA-2FCFF5C021B7}"/>
    <cellStyle name="Vírgula 2 3 5 2 2" xfId="24131" xr:uid="{DF2ECBF8-B86E-4B63-BC24-A4F14AFFE826}"/>
    <cellStyle name="Vírgula 2 3 6" xfId="14546" xr:uid="{87EED5D3-4D6C-48A9-9FCB-53627D79B835}"/>
    <cellStyle name="Vírgula 2 3 6 2" xfId="22925" xr:uid="{80AC422E-69CE-4B53-A4BD-13749D378FC6}"/>
    <cellStyle name="Vírgula 2 4" xfId="145" xr:uid="{00000000-0005-0000-0000-0000ED350000}"/>
    <cellStyle name="Vírgula 2 4 2" xfId="9026" xr:uid="{00000000-0005-0000-0000-0000EE350000}"/>
    <cellStyle name="Vírgula 2 4 2 2" xfId="17832" xr:uid="{70CE4934-ABDC-41AE-8C62-596C24AFCD6C}"/>
    <cellStyle name="Vírgula 2 4 2 2 2" xfId="23479" xr:uid="{CA2EF61B-3DB8-4BC6-A75B-0AA1A6584F22}"/>
    <cellStyle name="Vírgula 2 4 3" xfId="10619" xr:uid="{00000000-0005-0000-0000-0000EF350000}"/>
    <cellStyle name="Vírgula 2 4 3 2" xfId="19378" xr:uid="{B6D756F3-6BB9-4707-90B7-1ACA5315A8B7}"/>
    <cellStyle name="Vírgula 2 4 3 2 2" xfId="23585" xr:uid="{9B4E2774-641D-4263-BAE6-A11BC6A4ACE9}"/>
    <cellStyle name="Vírgula 2 4 4" xfId="13850" xr:uid="{00000000-0005-0000-0000-0000F0350000}"/>
    <cellStyle name="Vírgula 2 4 4 2" xfId="22583" xr:uid="{172098FD-83EF-482B-9E26-D0580F26A97F}"/>
    <cellStyle name="Vírgula 2 4 4 2 2" xfId="24134" xr:uid="{27D56C66-121E-47CD-8CC0-FD9553A1CA0B}"/>
    <cellStyle name="Vírgula 2 4 5" xfId="13944" xr:uid="{0895E5BD-4162-4445-969B-187C500E3FE8}"/>
    <cellStyle name="Vírgula 2 4 5 2" xfId="22873" xr:uid="{E815F29A-ABCF-457C-B59A-14CEF8A50D07}"/>
    <cellStyle name="Vírgula 2 5" xfId="5767" xr:uid="{00000000-0005-0000-0000-0000F1350000}"/>
    <cellStyle name="Vírgula 2 5 2" xfId="10461" xr:uid="{00000000-0005-0000-0000-0000F2350000}"/>
    <cellStyle name="Vírgula 2 5 2 2" xfId="19260" xr:uid="{CECD0DE0-814E-403D-9F4C-C87FBFBA5549}"/>
    <cellStyle name="Vírgula 2 5 2 2 2" xfId="23568" xr:uid="{68C33805-3BE7-4303-B1A3-49E591F7DE6B}"/>
    <cellStyle name="Vírgula 2 5 3" xfId="16148" xr:uid="{428872A9-0750-4B9B-B6EC-51529B0F583A}"/>
    <cellStyle name="Vírgula 2 5 3 2" xfId="23199" xr:uid="{22E49569-67DD-44DD-90A8-1A8F6E5CD9A8}"/>
    <cellStyle name="Vírgula 2 6" xfId="13840" xr:uid="{00000000-0005-0000-0000-0000F3350000}"/>
    <cellStyle name="Vírgula 2 6 2" xfId="22573" xr:uid="{ED777ACE-2F53-437E-82DD-43E0178BD241}"/>
    <cellStyle name="Vírgula 2 6 2 2" xfId="24127" xr:uid="{9513251E-7671-46A4-9957-C8C6848DD0FF}"/>
    <cellStyle name="Vírgula 2 7" xfId="14182" xr:uid="{66D5072C-BEB9-4271-8BBE-AF77830534A7}"/>
    <cellStyle name="Vírgula 2 7 2" xfId="22910" xr:uid="{F00B121D-72CC-49A2-BF1A-98B5E98EB5DA}"/>
    <cellStyle name="Vírgula 2 8" xfId="14551" xr:uid="{3AB6EFC6-F70D-4ED5-9A85-64A5BE3AE852}"/>
    <cellStyle name="Vírgula 2 8 2" xfId="22930" xr:uid="{6299826C-0388-4C81-9749-26891039ECC0}"/>
    <cellStyle name="Vírgula 3" xfId="121" xr:uid="{00000000-0005-0000-0000-0000F4350000}"/>
    <cellStyle name="Vírgula 3 2" xfId="4897" xr:uid="{00000000-0005-0000-0000-0000F5350000}"/>
    <cellStyle name="Vírgula 3 2 2" xfId="9028" xr:uid="{00000000-0005-0000-0000-0000F6350000}"/>
    <cellStyle name="Vírgula 3 2 2 2" xfId="17834" xr:uid="{BF28E3BD-A3E6-4EAC-B99D-66B4D5E4F5D9}"/>
    <cellStyle name="Vírgula 3 2 2 2 2" xfId="23481" xr:uid="{B9C98759-39A9-4579-8D37-70E3F254B37A}"/>
    <cellStyle name="Vírgula 3 2 3" xfId="12233" xr:uid="{00000000-0005-0000-0000-0000F7350000}"/>
    <cellStyle name="Vírgula 3 2 3 2" xfId="20974" xr:uid="{51FB3DDC-D335-4064-8EFF-6497175F6D79}"/>
    <cellStyle name="Vírgula 3 2 3 2 2" xfId="23855" xr:uid="{F1975892-8C4E-484F-BBBF-8BC09897E52B}"/>
    <cellStyle name="Vírgula 3 2 4" xfId="16091" xr:uid="{B25B28D5-1757-4514-B9EB-894A29F4A916}"/>
    <cellStyle name="Vírgula 3 2 4 2" xfId="23186" xr:uid="{B9B3F2FB-11DB-4EC5-8EB2-D4EE7EF1E165}"/>
    <cellStyle name="Vírgula 3 3" xfId="5807" xr:uid="{00000000-0005-0000-0000-0000F8350000}"/>
    <cellStyle name="Vírgula 3 3 2" xfId="10442" xr:uid="{00000000-0005-0000-0000-0000F9350000}"/>
    <cellStyle name="Vírgula 3 3 2 2" xfId="19248" xr:uid="{E1057086-3D3D-488A-ABAA-0234A1923A14}"/>
    <cellStyle name="Vírgula 3 3 2 2 2" xfId="23564" xr:uid="{E963DB7D-B83A-4230-9608-A5ACD20D67E0}"/>
    <cellStyle name="Vírgula 3 3 3" xfId="16161" xr:uid="{7CB57A50-20B8-45F5-BD3C-2E3B89411CC1}"/>
    <cellStyle name="Vírgula 3 3 3 2" xfId="23200" xr:uid="{803327C7-EE0F-4834-B51B-ED178BDD9087}"/>
    <cellStyle name="Vírgula 3 4" xfId="7412" xr:uid="{00000000-0005-0000-0000-0000FA350000}"/>
    <cellStyle name="Vírgula 3 4 2" xfId="16229" xr:uid="{6383D01A-828C-4790-B913-0D313DFCF55D}"/>
    <cellStyle name="Vírgula 3 4 2 2" xfId="23208" xr:uid="{69FC6692-C65B-44D1-9127-C239F20CACFD}"/>
    <cellStyle name="Vírgula 3 5" xfId="10607" xr:uid="{00000000-0005-0000-0000-0000FB350000}"/>
    <cellStyle name="Vírgula 3 5 2" xfId="19366" xr:uid="{559012B1-08FC-4B98-8732-94FE68671F95}"/>
    <cellStyle name="Vírgula 3 5 2 2" xfId="23579" xr:uid="{961BD54A-ECCE-4FA2-981E-33B98C834CA5}"/>
    <cellStyle name="Vírgula 3 6" xfId="13842" xr:uid="{00000000-0005-0000-0000-0000FC350000}"/>
    <cellStyle name="Vírgula 3 6 2" xfId="22575" xr:uid="{18E3B455-E1B0-471E-A954-DEF4565B5768}"/>
    <cellStyle name="Vírgula 3 6 2 2" xfId="24129" xr:uid="{F7DCD794-94FF-44D4-990B-B7BA09C8B88F}"/>
    <cellStyle name="Vírgula 3 7" xfId="14197" xr:uid="{ADA5E1B1-CE4A-4E70-AE77-6CF48C66E5F6}"/>
    <cellStyle name="Vírgula 3 7 2" xfId="22911" xr:uid="{3B0E2D13-2A7D-4679-842F-920F287DDAC6}"/>
    <cellStyle name="Vírgula 3 8" xfId="14547" xr:uid="{0ABDDF8C-E141-4BFA-AE7A-00BC483E916C}"/>
    <cellStyle name="Vírgula 3 8 2" xfId="22926" xr:uid="{082280FC-A9ED-401E-99F2-4283039C6AC4}"/>
    <cellStyle name="Vírgula 4" xfId="107" xr:uid="{00000000-0005-0000-0000-0000FD350000}"/>
    <cellStyle name="Vírgula 4 2" xfId="7396" xr:uid="{00000000-0005-0000-0000-0000FE350000}"/>
    <cellStyle name="Vírgula 4 2 2" xfId="16222" xr:uid="{237D82E8-756B-4465-902E-4BF21597BF07}"/>
    <cellStyle name="Vírgula 4 2 2 2" xfId="23207" xr:uid="{050EDD28-969F-47A2-A43A-582DF65A6F16}"/>
    <cellStyle name="Vírgula 4 3" xfId="7414" xr:uid="{00000000-0005-0000-0000-0000FF350000}"/>
    <cellStyle name="Vírgula 4 3 2" xfId="16231" xr:uid="{F0F8DB5B-8927-4579-BB10-BC096D3794B8}"/>
    <cellStyle name="Vírgula 4 3 2 2" xfId="23209" xr:uid="{568FC332-A14F-4846-AE70-B89D4187F800}"/>
    <cellStyle name="Vírgula 4 4" xfId="10606" xr:uid="{00000000-0005-0000-0000-000000360000}"/>
    <cellStyle name="Vírgula 4 4 2" xfId="19365" xr:uid="{4C6BB7A9-D2E1-4CDF-B69D-80269FB3A935}"/>
    <cellStyle name="Vírgula 4 4 2 2" xfId="23578" xr:uid="{229E9210-8A07-4ECD-8FF6-7785F364D7FE}"/>
    <cellStyle name="Vírgula 4 5" xfId="14787" xr:uid="{E93E7CA3-12D9-4131-8319-D48AB9384B56}"/>
    <cellStyle name="Vírgula 4 5 2" xfId="22939" xr:uid="{2ACFA8A7-EFFE-4F59-B42A-00FFA5081D32}"/>
    <cellStyle name="Vírgula 4 6" xfId="14548" xr:uid="{E7291DFD-D701-43E0-823B-C78662D5A039}"/>
    <cellStyle name="Vírgula 4 6 2" xfId="22927" xr:uid="{F6AC71A8-05A4-48D8-8B7E-94D0DF78572D}"/>
    <cellStyle name="Vírgula 5" xfId="126" xr:uid="{00000000-0005-0000-0000-000001360000}"/>
    <cellStyle name="Vírgula 5 2" xfId="9023" xr:uid="{00000000-0005-0000-0000-000002360000}"/>
    <cellStyle name="Vírgula 5 2 2" xfId="17829" xr:uid="{5CF5D379-210C-47A9-9ACE-60AA550425DC}"/>
    <cellStyle name="Vírgula 5 2 2 2" xfId="23478" xr:uid="{AC14C6A7-796E-446E-A537-615D9A70BE72}"/>
    <cellStyle name="Vírgula 5 3" xfId="7415" xr:uid="{00000000-0005-0000-0000-000003360000}"/>
    <cellStyle name="Vírgula 5 4" xfId="10611" xr:uid="{00000000-0005-0000-0000-000004360000}"/>
    <cellStyle name="Vírgula 5 4 2" xfId="19370" xr:uid="{4320CDDE-516E-41EC-BE52-6B83F1F953E8}"/>
    <cellStyle name="Vírgula 5 4 2 2" xfId="23582" xr:uid="{7C330FB3-0049-4AB4-8BBD-9B7B329BBAB6}"/>
    <cellStyle name="Vírgula 5 5" xfId="14663" xr:uid="{3E719F3A-9C3D-4AB1-B04E-DDA6149BE2E9}"/>
    <cellStyle name="Vírgula 5 5 2" xfId="22933" xr:uid="{E11FFC58-2DD4-47C2-8A46-C744BCED50D4}"/>
    <cellStyle name="Vírgula 6" xfId="4888" xr:uid="{00000000-0005-0000-0000-000005360000}"/>
    <cellStyle name="Vírgula 6 2" xfId="10440" xr:uid="{00000000-0005-0000-0000-000006360000}"/>
    <cellStyle name="Vírgula 6 2 2" xfId="19246" xr:uid="{6FB88C68-FDCA-415E-8E60-D90D88A2006C}"/>
    <cellStyle name="Vírgula 6 2 2 2" xfId="23562" xr:uid="{ECFD77C3-B425-43E0-9C40-9E9DE902462F}"/>
    <cellStyle name="Vírgula 6 3" xfId="12230" xr:uid="{00000000-0005-0000-0000-000007360000}"/>
    <cellStyle name="Vírgula 6 3 2" xfId="20971" xr:uid="{40FA1648-0536-429A-AE2E-C42D0ABE9404}"/>
    <cellStyle name="Vírgula 6 3 2 2" xfId="23853" xr:uid="{292AFA2E-2F6F-4F75-A88D-ED58B444CB79}"/>
    <cellStyle name="Vírgula 6 4" xfId="16088" xr:uid="{8C946105-BA35-49FF-8413-919B936A42E0}"/>
    <cellStyle name="Vírgula 6 4 2" xfId="23184" xr:uid="{DDFCD1C9-553E-43AF-9D4C-21378AC1E299}"/>
    <cellStyle name="Vírgula 7" xfId="4919" xr:uid="{00000000-0005-0000-0000-000008360000}"/>
    <cellStyle name="Vírgula 7 2" xfId="16101" xr:uid="{DC385907-DB9D-4F45-942C-F1EDFCBBA8EB}"/>
    <cellStyle name="Vírgula 7 2 2" xfId="23191" xr:uid="{5D57B6BF-90AA-4C13-8A18-7976A9E15DCB}"/>
    <cellStyle name="Vírgula 8" xfId="7409" xr:uid="{00000000-0005-0000-0000-000009360000}"/>
    <cellStyle name="Vírgula 9" xfId="10597" xr:uid="{00000000-0005-0000-0000-00000A360000}"/>
    <cellStyle name="Vírgula 9 2" xfId="19358" xr:uid="{4D892B37-5BCB-47F5-B5B0-E70B955F23F6}"/>
    <cellStyle name="Vírgula 9 2 2" xfId="23572" xr:uid="{96D86EA4-F7E2-483C-AC40-A78B98CA795A}"/>
    <cellStyle name="Währung [0]_Anlagenbuchhaltung" xfId="4878" xr:uid="{00000000-0005-0000-0000-00000B360000}"/>
    <cellStyle name="Währung_Anlagenbuchhaltung" xfId="4879" xr:uid="{00000000-0005-0000-0000-00000C360000}"/>
    <cellStyle name="Warning Text 2" xfId="97" xr:uid="{00000000-0005-0000-0000-00000D360000}"/>
    <cellStyle name="WhiteCells" xfId="5177" xr:uid="{00000000-0005-0000-0000-00000E360000}"/>
    <cellStyle name="WingDing" xfId="5178" xr:uid="{00000000-0005-0000-0000-00000F360000}"/>
    <cellStyle name="wrap" xfId="4881" xr:uid="{00000000-0005-0000-0000-000010360000}"/>
    <cellStyle name="year" xfId="4882" xr:uid="{00000000-0005-0000-0000-000011360000}"/>
    <cellStyle name="YEARS" xfId="4883" xr:uid="{00000000-0005-0000-0000-000012360000}"/>
    <cellStyle name="Yellow" xfId="5179" xr:uid="{00000000-0005-0000-0000-000013360000}"/>
    <cellStyle name="백분율_Sheet13" xfId="5180" xr:uid="{00000000-0005-0000-0000-000014360000}"/>
    <cellStyle name="콤마 [0]_97MBO" xfId="5181" xr:uid="{00000000-0005-0000-0000-000015360000}"/>
    <cellStyle name="콤마_97MBO" xfId="5182" xr:uid="{00000000-0005-0000-0000-000016360000}"/>
    <cellStyle name="통화 [0]_97MBO" xfId="5183" xr:uid="{00000000-0005-0000-0000-000017360000}"/>
    <cellStyle name="통화_97MBO" xfId="5184" xr:uid="{00000000-0005-0000-0000-000018360000}"/>
    <cellStyle name="표준_9708" xfId="5185" xr:uid="{00000000-0005-0000-0000-000019360000}"/>
    <cellStyle name="千位分隔[0]_2000_Budgetnew" xfId="4884" xr:uid="{00000000-0005-0000-0000-00001A360000}"/>
    <cellStyle name="千位分隔_2000_Budgetnew" xfId="4885" xr:uid="{00000000-0005-0000-0000-00001B360000}"/>
    <cellStyle name="標準_（１）－②経営数値（製造子会社用）ＤＬＩＮＣ" xfId="5186" xr:uid="{00000000-0005-0000-0000-00001C360000}"/>
    <cellStyle name="货币[0]_Yangpu1" xfId="4886" xr:uid="{00000000-0005-0000-0000-00001D360000}"/>
    <cellStyle name="货币_Yangpu1" xfId="4887" xr:uid="{00000000-0005-0000-0000-00001E360000}"/>
  </cellStyles>
  <dxfs count="0"/>
  <tableStyles count="0" defaultTableStyle="TableStyleMedium2" defaultPivotStyle="PivotStyleLight16"/>
  <colors>
    <mruColors>
      <color rgb="FF0000FF"/>
      <color rgb="FF66CC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microsoft.com/office/2017/06/relationships/rdRichValue" Target="richData/rdrichvalue.xml"/><Relationship Id="rId26" Type="http://schemas.openxmlformats.org/officeDocument/2006/relationships/customXml" Target="../customXml/item2.xml"/><Relationship Id="rId3" Type="http://schemas.openxmlformats.org/officeDocument/2006/relationships/worksheet" Target="worksheets/sheet3.xml"/><Relationship Id="rId21" Type="http://schemas.microsoft.com/office/2017/06/relationships/rdSupportingPropertyBagStructure" Target="richData/rdsupportingpropertybag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ichStyles" Target="richData/rich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styles" Target="styles.xml"/><Relationship Id="rId23" Type="http://schemas.microsoft.com/office/2017/06/relationships/rdRichValueTypes" Target="richData/rdRichValueTypes.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17/06/relationships/rdSupportingPropertyBag" Target="richData/rdsupportingpropertybag.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Margem Ebitda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FAT!$A$172</c:f>
              <c:strCache>
                <c:ptCount val="1"/>
                <c:pt idx="0">
                  <c:v>Margem Retail Adj </c:v>
                </c:pt>
              </c:strCache>
            </c:strRef>
          </c:tx>
          <c:spPr>
            <a:ln w="28575" cap="rnd">
              <a:solidFill>
                <a:schemeClr val="accent1"/>
              </a:solidFill>
              <a:round/>
            </a:ln>
            <a:effectLst/>
          </c:spPr>
          <c:marker>
            <c:symbol val="none"/>
          </c:marker>
          <c:cat>
            <c:numRef>
              <c:f>FAT!$AT$1:$BV$1</c:f>
              <c:numCache>
                <c:formatCode>mmm\-yy</c:formatCode>
                <c:ptCount val="29"/>
                <c:pt idx="0">
                  <c:v>42004</c:v>
                </c:pt>
                <c:pt idx="1">
                  <c:v>42094</c:v>
                </c:pt>
                <c:pt idx="2">
                  <c:v>42185</c:v>
                </c:pt>
                <c:pt idx="3">
                  <c:v>42277</c:v>
                </c:pt>
                <c:pt idx="4">
                  <c:v>42369</c:v>
                </c:pt>
                <c:pt idx="5">
                  <c:v>42460</c:v>
                </c:pt>
                <c:pt idx="6">
                  <c:v>42551</c:v>
                </c:pt>
                <c:pt idx="7">
                  <c:v>42643</c:v>
                </c:pt>
                <c:pt idx="8">
                  <c:v>42735</c:v>
                </c:pt>
                <c:pt idx="9">
                  <c:v>42825</c:v>
                </c:pt>
                <c:pt idx="10">
                  <c:v>42916</c:v>
                </c:pt>
                <c:pt idx="11">
                  <c:v>43008</c:v>
                </c:pt>
                <c:pt idx="12">
                  <c:v>43100</c:v>
                </c:pt>
                <c:pt idx="13">
                  <c:v>43190</c:v>
                </c:pt>
                <c:pt idx="14">
                  <c:v>43281</c:v>
                </c:pt>
                <c:pt idx="15">
                  <c:v>43373</c:v>
                </c:pt>
                <c:pt idx="16">
                  <c:v>43465</c:v>
                </c:pt>
                <c:pt idx="17">
                  <c:v>43555</c:v>
                </c:pt>
                <c:pt idx="18">
                  <c:v>43646</c:v>
                </c:pt>
                <c:pt idx="19">
                  <c:v>43738</c:v>
                </c:pt>
                <c:pt idx="20">
                  <c:v>43830</c:v>
                </c:pt>
                <c:pt idx="21">
                  <c:v>43921</c:v>
                </c:pt>
                <c:pt idx="22">
                  <c:v>44012</c:v>
                </c:pt>
                <c:pt idx="23">
                  <c:v>44104</c:v>
                </c:pt>
                <c:pt idx="24">
                  <c:v>44196</c:v>
                </c:pt>
                <c:pt idx="25">
                  <c:v>44286</c:v>
                </c:pt>
                <c:pt idx="26">
                  <c:v>44377</c:v>
                </c:pt>
                <c:pt idx="27">
                  <c:v>44469</c:v>
                </c:pt>
                <c:pt idx="28">
                  <c:v>44561</c:v>
                </c:pt>
              </c:numCache>
            </c:numRef>
          </c:cat>
          <c:val>
            <c:numRef>
              <c:f>FAT!$AT$172:$BV$172</c:f>
              <c:numCache>
                <c:formatCode>0.0%</c:formatCode>
                <c:ptCount val="29"/>
                <c:pt idx="0">
                  <c:v>0.25363707662023216</c:v>
                </c:pt>
                <c:pt idx="1">
                  <c:v>0.12932355923216568</c:v>
                </c:pt>
                <c:pt idx="2">
                  <c:v>0.20095245433923137</c:v>
                </c:pt>
                <c:pt idx="3">
                  <c:v>0.146324993090963</c:v>
                </c:pt>
                <c:pt idx="4">
                  <c:v>0.24669445281996072</c:v>
                </c:pt>
                <c:pt idx="5">
                  <c:v>0.10873969007980314</c:v>
                </c:pt>
                <c:pt idx="6">
                  <c:v>0.20603159171099919</c:v>
                </c:pt>
                <c:pt idx="7">
                  <c:v>0.1302528208895779</c:v>
                </c:pt>
                <c:pt idx="8">
                  <c:v>0.26288620070564811</c:v>
                </c:pt>
                <c:pt idx="9">
                  <c:v>9.0211746487360342E-2</c:v>
                </c:pt>
                <c:pt idx="10">
                  <c:v>0.18629512234614121</c:v>
                </c:pt>
                <c:pt idx="11">
                  <c:v>0.1331607361736056</c:v>
                </c:pt>
                <c:pt idx="12">
                  <c:v>0.23744676255593727</c:v>
                </c:pt>
                <c:pt idx="13">
                  <c:v>0.1048913404807913</c:v>
                </c:pt>
                <c:pt idx="14">
                  <c:v>0.19824373845174603</c:v>
                </c:pt>
                <c:pt idx="15">
                  <c:v>0.15211719300644294</c:v>
                </c:pt>
                <c:pt idx="16">
                  <c:v>0.25584172361453511</c:v>
                </c:pt>
                <c:pt idx="17">
                  <c:v>0.19264839551558252</c:v>
                </c:pt>
                <c:pt idx="18">
                  <c:v>0.22437692520058194</c:v>
                </c:pt>
                <c:pt idx="19">
                  <c:v>0.18691366741134743</c:v>
                </c:pt>
                <c:pt idx="20">
                  <c:v>0.30114459754469636</c:v>
                </c:pt>
                <c:pt idx="21">
                  <c:v>0.12776322749616173</c:v>
                </c:pt>
                <c:pt idx="22">
                  <c:v>1.047480595901682</c:v>
                </c:pt>
                <c:pt idx="23">
                  <c:v>8.3882185911190496E-2</c:v>
                </c:pt>
                <c:pt idx="24">
                  <c:v>0.2320978038456506</c:v>
                </c:pt>
                <c:pt idx="25">
                  <c:v>-2.7570749997984489E-2</c:v>
                </c:pt>
                <c:pt idx="26">
                  <c:v>0.18845158082686544</c:v>
                </c:pt>
                <c:pt idx="27">
                  <c:v>0.15333927340285941</c:v>
                </c:pt>
                <c:pt idx="28">
                  <c:v>0.20334250112023872</c:v>
                </c:pt>
              </c:numCache>
            </c:numRef>
          </c:val>
          <c:smooth val="1"/>
          <c:extLst>
            <c:ext xmlns:c16="http://schemas.microsoft.com/office/drawing/2014/chart" uri="{C3380CC4-5D6E-409C-BE32-E72D297353CC}">
              <c16:uniqueId val="{00000000-7871-4108-89A4-317D4C89EE23}"/>
            </c:ext>
          </c:extLst>
        </c:ser>
        <c:ser>
          <c:idx val="1"/>
          <c:order val="1"/>
          <c:tx>
            <c:v>Retail</c:v>
          </c:tx>
          <c:spPr>
            <a:ln w="28575" cap="rnd">
              <a:solidFill>
                <a:schemeClr val="accent2"/>
              </a:solidFill>
              <a:round/>
            </a:ln>
            <a:effectLst/>
          </c:spPr>
          <c:marker>
            <c:symbol val="none"/>
          </c:marker>
          <c:val>
            <c:numRef>
              <c:f>FAT!$AU$172:$CD$172</c:f>
              <c:numCache>
                <c:formatCode>0.0%</c:formatCode>
                <c:ptCount val="36"/>
                <c:pt idx="0">
                  <c:v>0.12932355923216568</c:v>
                </c:pt>
                <c:pt idx="1">
                  <c:v>0.20095245433923137</c:v>
                </c:pt>
                <c:pt idx="2">
                  <c:v>0.146324993090963</c:v>
                </c:pt>
                <c:pt idx="3">
                  <c:v>0.24669445281996072</c:v>
                </c:pt>
                <c:pt idx="4">
                  <c:v>0.10873969007980314</c:v>
                </c:pt>
                <c:pt idx="5">
                  <c:v>0.20603159171099919</c:v>
                </c:pt>
                <c:pt idx="6">
                  <c:v>0.1302528208895779</c:v>
                </c:pt>
                <c:pt idx="7">
                  <c:v>0.26288620070564811</c:v>
                </c:pt>
                <c:pt idx="8">
                  <c:v>9.0211746487360342E-2</c:v>
                </c:pt>
                <c:pt idx="9">
                  <c:v>0.18629512234614121</c:v>
                </c:pt>
                <c:pt idx="10">
                  <c:v>0.1331607361736056</c:v>
                </c:pt>
                <c:pt idx="11">
                  <c:v>0.23744676255593727</c:v>
                </c:pt>
                <c:pt idx="12">
                  <c:v>0.1048913404807913</c:v>
                </c:pt>
                <c:pt idx="13">
                  <c:v>0.19824373845174603</c:v>
                </c:pt>
                <c:pt idx="14">
                  <c:v>0.15211719300644294</c:v>
                </c:pt>
                <c:pt idx="15">
                  <c:v>0.25584172361453511</c:v>
                </c:pt>
                <c:pt idx="16">
                  <c:v>0.19264839551558252</c:v>
                </c:pt>
                <c:pt idx="17">
                  <c:v>0.22437692520058194</c:v>
                </c:pt>
                <c:pt idx="18">
                  <c:v>0.18691366741134743</c:v>
                </c:pt>
                <c:pt idx="19">
                  <c:v>0.30114459754469636</c:v>
                </c:pt>
                <c:pt idx="20">
                  <c:v>0.12776322749616173</c:v>
                </c:pt>
                <c:pt idx="21">
                  <c:v>1.047480595901682</c:v>
                </c:pt>
                <c:pt idx="22">
                  <c:v>8.3882185911190496E-2</c:v>
                </c:pt>
                <c:pt idx="23">
                  <c:v>0.2320978038456506</c:v>
                </c:pt>
                <c:pt idx="24">
                  <c:v>-2.7570749997984489E-2</c:v>
                </c:pt>
                <c:pt idx="25">
                  <c:v>0.18845158082686544</c:v>
                </c:pt>
                <c:pt idx="26">
                  <c:v>0.15333927340285941</c:v>
                </c:pt>
                <c:pt idx="27">
                  <c:v>0.20334250112023872</c:v>
                </c:pt>
                <c:pt idx="28">
                  <c:v>0.13366800842278997</c:v>
                </c:pt>
                <c:pt idx="29">
                  <c:v>0.21717171876205427</c:v>
                </c:pt>
                <c:pt idx="30">
                  <c:v>0.16841881216017768</c:v>
                </c:pt>
                <c:pt idx="31">
                  <c:v>0.26816215753964151</c:v>
                </c:pt>
                <c:pt idx="32">
                  <c:v>0.11505758682949381</c:v>
                </c:pt>
                <c:pt idx="33">
                  <c:v>0.17930875093457821</c:v>
                </c:pt>
                <c:pt idx="34">
                  <c:v>0.15083980437053746</c:v>
                </c:pt>
                <c:pt idx="35">
                  <c:v>0.26385310513376786</c:v>
                </c:pt>
              </c:numCache>
            </c:numRef>
          </c:val>
          <c:smooth val="0"/>
          <c:extLst>
            <c:ext xmlns:c16="http://schemas.microsoft.com/office/drawing/2014/chart" uri="{C3380CC4-5D6E-409C-BE32-E72D297353CC}">
              <c16:uniqueId val="{00000001-991E-4650-B0A7-F7A32ED9E55E}"/>
            </c:ext>
          </c:extLst>
        </c:ser>
        <c:dLbls>
          <c:showLegendKey val="0"/>
          <c:showVal val="0"/>
          <c:showCatName val="0"/>
          <c:showSerName val="0"/>
          <c:showPercent val="0"/>
          <c:showBubbleSize val="0"/>
        </c:dLbls>
        <c:smooth val="0"/>
        <c:axId val="261350528"/>
        <c:axId val="261352064"/>
      </c:lineChart>
      <c:dateAx>
        <c:axId val="261350528"/>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352064"/>
        <c:crosses val="autoZero"/>
        <c:auto val="1"/>
        <c:lblOffset val="100"/>
        <c:baseTimeUnit val="months"/>
        <c:majorUnit val="3"/>
        <c:majorTimeUnit val="months"/>
      </c:dateAx>
      <c:valAx>
        <c:axId val="26135206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350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AR" b="1" baseline="0"/>
              <a:t>TOP LINE SERVICIOS FINANCIEROS - YOY</a:t>
            </a:r>
            <a:endParaRPr lang="es-AR"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spPr>
            <a:ln w="28575" cap="rnd">
              <a:solidFill>
                <a:schemeClr val="accent1"/>
              </a:solidFill>
              <a:round/>
            </a:ln>
            <a:effectLst/>
          </c:spPr>
          <c:marker>
            <c:symbol val="none"/>
          </c:marker>
          <c:cat>
            <c:numRef>
              <c:f>FAT!$AQ$1:$BO$1</c:f>
              <c:numCache>
                <c:formatCode>mmm\-yy</c:formatCode>
                <c:ptCount val="25"/>
                <c:pt idx="0">
                  <c:v>41699</c:v>
                </c:pt>
                <c:pt idx="1">
                  <c:v>41820</c:v>
                </c:pt>
                <c:pt idx="2">
                  <c:v>41912</c:v>
                </c:pt>
                <c:pt idx="3">
                  <c:v>42004</c:v>
                </c:pt>
                <c:pt idx="4">
                  <c:v>42094</c:v>
                </c:pt>
                <c:pt idx="5">
                  <c:v>42185</c:v>
                </c:pt>
                <c:pt idx="6">
                  <c:v>42277</c:v>
                </c:pt>
                <c:pt idx="7">
                  <c:v>42369</c:v>
                </c:pt>
                <c:pt idx="8">
                  <c:v>42460</c:v>
                </c:pt>
                <c:pt idx="9">
                  <c:v>42551</c:v>
                </c:pt>
                <c:pt idx="10">
                  <c:v>42643</c:v>
                </c:pt>
                <c:pt idx="11">
                  <c:v>42735</c:v>
                </c:pt>
                <c:pt idx="12">
                  <c:v>42825</c:v>
                </c:pt>
                <c:pt idx="13">
                  <c:v>42916</c:v>
                </c:pt>
                <c:pt idx="14">
                  <c:v>43008</c:v>
                </c:pt>
                <c:pt idx="15">
                  <c:v>43100</c:v>
                </c:pt>
                <c:pt idx="16">
                  <c:v>43190</c:v>
                </c:pt>
                <c:pt idx="17">
                  <c:v>43281</c:v>
                </c:pt>
                <c:pt idx="18">
                  <c:v>43373</c:v>
                </c:pt>
                <c:pt idx="19">
                  <c:v>43465</c:v>
                </c:pt>
                <c:pt idx="20">
                  <c:v>43555</c:v>
                </c:pt>
                <c:pt idx="21">
                  <c:v>43646</c:v>
                </c:pt>
                <c:pt idx="22">
                  <c:v>43738</c:v>
                </c:pt>
                <c:pt idx="23">
                  <c:v>43830</c:v>
                </c:pt>
                <c:pt idx="24">
                  <c:v>43921</c:v>
                </c:pt>
              </c:numCache>
            </c:numRef>
          </c:cat>
          <c:val>
            <c:numRef>
              <c:f>FAT!$AQ$36:$BO$36</c:f>
              <c:numCache>
                <c:formatCode>0.0%</c:formatCode>
                <c:ptCount val="25"/>
                <c:pt idx="0">
                  <c:v>0.15847351617781591</c:v>
                </c:pt>
                <c:pt idx="1">
                  <c:v>0.2723610632602762</c:v>
                </c:pt>
                <c:pt idx="2">
                  <c:v>0.36846057790546372</c:v>
                </c:pt>
                <c:pt idx="3">
                  <c:v>0.22058847689299976</c:v>
                </c:pt>
                <c:pt idx="4">
                  <c:v>0.3138970813389419</c:v>
                </c:pt>
                <c:pt idx="5">
                  <c:v>0.26484065819620906</c:v>
                </c:pt>
                <c:pt idx="6">
                  <c:v>9.9086221859206791E-2</c:v>
                </c:pt>
                <c:pt idx="7">
                  <c:v>0.19036691073543666</c:v>
                </c:pt>
                <c:pt idx="8">
                  <c:v>5.01005814096116E-2</c:v>
                </c:pt>
                <c:pt idx="9">
                  <c:v>3.9357760395224428E-3</c:v>
                </c:pt>
                <c:pt idx="10">
                  <c:v>7.6468880631676672E-2</c:v>
                </c:pt>
                <c:pt idx="11">
                  <c:v>7.5865422124729243E-2</c:v>
                </c:pt>
                <c:pt idx="12">
                  <c:v>5.5010775547391866E-2</c:v>
                </c:pt>
                <c:pt idx="13">
                  <c:v>9.7237714060757208E-2</c:v>
                </c:pt>
                <c:pt idx="14">
                  <c:v>0.26097696468925791</c:v>
                </c:pt>
                <c:pt idx="15">
                  <c:v>0.20399058319057484</c:v>
                </c:pt>
                <c:pt idx="16">
                  <c:v>0.27029450841452607</c:v>
                </c:pt>
                <c:pt idx="17">
                  <c:v>0.19628655145607854</c:v>
                </c:pt>
                <c:pt idx="18">
                  <c:v>-8.4345955286379004E-3</c:v>
                </c:pt>
                <c:pt idx="19">
                  <c:v>4.6404238882317816E-2</c:v>
                </c:pt>
                <c:pt idx="20">
                  <c:v>5.3663723601753643E-2</c:v>
                </c:pt>
                <c:pt idx="21">
                  <c:v>0.13564603067489767</c:v>
                </c:pt>
                <c:pt idx="22">
                  <c:v>0.267458061399233</c:v>
                </c:pt>
                <c:pt idx="23">
                  <c:v>0.27426183216614053</c:v>
                </c:pt>
                <c:pt idx="24">
                  <c:v>0.29696831830589798</c:v>
                </c:pt>
              </c:numCache>
            </c:numRef>
          </c:val>
          <c:smooth val="1"/>
          <c:extLst>
            <c:ext xmlns:c16="http://schemas.microsoft.com/office/drawing/2014/chart" uri="{C3380CC4-5D6E-409C-BE32-E72D297353CC}">
              <c16:uniqueId val="{00000000-B1F7-4D93-BD7D-05896FC59B4D}"/>
            </c:ext>
          </c:extLst>
        </c:ser>
        <c:dLbls>
          <c:showLegendKey val="0"/>
          <c:showVal val="0"/>
          <c:showCatName val="0"/>
          <c:showSerName val="0"/>
          <c:showPercent val="0"/>
          <c:showBubbleSize val="0"/>
        </c:dLbls>
        <c:smooth val="0"/>
        <c:axId val="260471808"/>
        <c:axId val="260473600"/>
      </c:lineChart>
      <c:dateAx>
        <c:axId val="26047180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473600"/>
        <c:crosses val="autoZero"/>
        <c:auto val="1"/>
        <c:lblOffset val="100"/>
        <c:baseTimeUnit val="months"/>
      </c:dateAx>
      <c:valAx>
        <c:axId val="2604736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47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SSS</a:t>
            </a:r>
            <a:r>
              <a:rPr lang="es-AR" baseline="0"/>
              <a:t>  LREN</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manualLayout>
          <c:layoutTarget val="inner"/>
          <c:xMode val="edge"/>
          <c:yMode val="edge"/>
          <c:x val="0.10912806855025475"/>
          <c:y val="0.14029316510015302"/>
          <c:w val="0.8639111471360198"/>
          <c:h val="0.83370165614216507"/>
        </c:manualLayout>
      </c:layout>
      <c:lineChart>
        <c:grouping val="standard"/>
        <c:varyColors val="0"/>
        <c:ser>
          <c:idx val="0"/>
          <c:order val="0"/>
          <c:tx>
            <c:strRef>
              <c:f>FAT!$A$300</c:f>
              <c:strCache>
                <c:ptCount val="1"/>
                <c:pt idx="0">
                  <c:v>SSS (nominal)</c:v>
                </c:pt>
              </c:strCache>
            </c:strRef>
          </c:tx>
          <c:spPr>
            <a:ln w="28575" cap="rnd">
              <a:solidFill>
                <a:schemeClr val="accent1"/>
              </a:solidFill>
              <a:round/>
            </a:ln>
            <a:effectLst/>
          </c:spPr>
          <c:marker>
            <c:symbol val="none"/>
          </c:marker>
          <c:val>
            <c:numRef>
              <c:f>FAT!$B$300:$BO$300</c:f>
              <c:numCache>
                <c:formatCode>0.00%</c:formatCode>
                <c:ptCount val="66"/>
                <c:pt idx="1">
                  <c:v>0.14000000000000001</c:v>
                </c:pt>
                <c:pt idx="2">
                  <c:v>0.11700000000000001</c:v>
                </c:pt>
                <c:pt idx="3">
                  <c:v>8.4000000000000005E-2</c:v>
                </c:pt>
                <c:pt idx="4">
                  <c:v>8.1000000000000003E-2</c:v>
                </c:pt>
                <c:pt idx="5">
                  <c:v>7.2999999999999995E-2</c:v>
                </c:pt>
                <c:pt idx="6">
                  <c:v>0.11700000000000001</c:v>
                </c:pt>
                <c:pt idx="7">
                  <c:v>0</c:v>
                </c:pt>
                <c:pt idx="8">
                  <c:v>0.185</c:v>
                </c:pt>
                <c:pt idx="9">
                  <c:v>0.22</c:v>
                </c:pt>
                <c:pt idx="10">
                  <c:v>0.20599999999999999</c:v>
                </c:pt>
                <c:pt idx="11">
                  <c:v>0.16300000000000001</c:v>
                </c:pt>
                <c:pt idx="12">
                  <c:v>0.11700000000000001</c:v>
                </c:pt>
                <c:pt idx="13">
                  <c:v>8.7999999999999995E-2</c:v>
                </c:pt>
                <c:pt idx="14">
                  <c:v>9.6000000000000002E-2</c:v>
                </c:pt>
                <c:pt idx="15">
                  <c:v>9.2999999999999999E-2</c:v>
                </c:pt>
                <c:pt idx="16">
                  <c:v>7.0999999999999994E-2</c:v>
                </c:pt>
                <c:pt idx="17">
                  <c:v>0.115</c:v>
                </c:pt>
                <c:pt idx="18">
                  <c:v>5.3999999999999999E-2</c:v>
                </c:pt>
                <c:pt idx="19">
                  <c:v>0.05</c:v>
                </c:pt>
                <c:pt idx="20">
                  <c:v>-5.3999999999999999E-2</c:v>
                </c:pt>
                <c:pt idx="21">
                  <c:v>-0.12</c:v>
                </c:pt>
                <c:pt idx="22">
                  <c:v>2.1000000000000001E-2</c:v>
                </c:pt>
                <c:pt idx="23">
                  <c:v>1.2999999999999999E-2</c:v>
                </c:pt>
                <c:pt idx="24">
                  <c:v>9.5000000000000001E-2</c:v>
                </c:pt>
                <c:pt idx="25">
                  <c:v>0.151</c:v>
                </c:pt>
                <c:pt idx="26">
                  <c:v>7.3999999999999996E-2</c:v>
                </c:pt>
                <c:pt idx="27">
                  <c:v>0.105</c:v>
                </c:pt>
                <c:pt idx="28">
                  <c:v>0.1</c:v>
                </c:pt>
                <c:pt idx="29">
                  <c:v>0.112</c:v>
                </c:pt>
                <c:pt idx="30">
                  <c:v>9.8000000000000004E-2</c:v>
                </c:pt>
                <c:pt idx="31">
                  <c:v>3.7999999999999999E-2</c:v>
                </c:pt>
                <c:pt idx="32">
                  <c:v>5.2999999999999999E-2</c:v>
                </c:pt>
                <c:pt idx="33">
                  <c:v>4.8000000000000001E-2</c:v>
                </c:pt>
                <c:pt idx="34">
                  <c:v>3.4000000000000002E-2</c:v>
                </c:pt>
                <c:pt idx="35">
                  <c:v>0.13200000000000001</c:v>
                </c:pt>
                <c:pt idx="36">
                  <c:v>0.124</c:v>
                </c:pt>
                <c:pt idx="37">
                  <c:v>9.4E-2</c:v>
                </c:pt>
                <c:pt idx="38">
                  <c:v>3.6999999999999998E-2</c:v>
                </c:pt>
                <c:pt idx="39">
                  <c:v>5.8000000000000003E-2</c:v>
                </c:pt>
                <c:pt idx="40">
                  <c:v>5.5E-2</c:v>
                </c:pt>
                <c:pt idx="41">
                  <c:v>5.3999999999999999E-2</c:v>
                </c:pt>
                <c:pt idx="42">
                  <c:v>0.1</c:v>
                </c:pt>
                <c:pt idx="43">
                  <c:v>7.4999999999999997E-2</c:v>
                </c:pt>
                <c:pt idx="44">
                  <c:v>0.17299999999999999</c:v>
                </c:pt>
                <c:pt idx="45">
                  <c:v>0.16500000000000001</c:v>
                </c:pt>
                <c:pt idx="46">
                  <c:v>0.14499999999999999</c:v>
                </c:pt>
                <c:pt idx="47">
                  <c:v>0.126</c:v>
                </c:pt>
                <c:pt idx="48">
                  <c:v>4.4999999999999998E-2</c:v>
                </c:pt>
                <c:pt idx="49">
                  <c:v>1.2999999999999999E-2</c:v>
                </c:pt>
                <c:pt idx="50">
                  <c:v>2.9000000000000001E-2</c:v>
                </c:pt>
                <c:pt idx="51">
                  <c:v>-3.9E-2</c:v>
                </c:pt>
                <c:pt idx="52">
                  <c:v>-8.0000000000000002E-3</c:v>
                </c:pt>
                <c:pt idx="53">
                  <c:v>9.0999999999999998E-2</c:v>
                </c:pt>
                <c:pt idx="54">
                  <c:v>6.4000000000000001E-2</c:v>
                </c:pt>
                <c:pt idx="55">
                  <c:v>0.13373011481447561</c:v>
                </c:pt>
                <c:pt idx="56">
                  <c:v>8.7064535020952905E-2</c:v>
                </c:pt>
                <c:pt idx="57">
                  <c:v>6.3E-2</c:v>
                </c:pt>
                <c:pt idx="58">
                  <c:v>2.5000000000000001E-2</c:v>
                </c:pt>
                <c:pt idx="59">
                  <c:v>6.9000000000000006E-2</c:v>
                </c:pt>
                <c:pt idx="60">
                  <c:v>0.12017282199557133</c:v>
                </c:pt>
                <c:pt idx="61">
                  <c:v>0.12736818547670059</c:v>
                </c:pt>
                <c:pt idx="62">
                  <c:v>9.2557820572214178E-2</c:v>
                </c:pt>
                <c:pt idx="63">
                  <c:v>8.3000000000000004E-2</c:v>
                </c:pt>
                <c:pt idx="64">
                  <c:v>6.2E-2</c:v>
                </c:pt>
                <c:pt idx="65">
                  <c:v>-0.107</c:v>
                </c:pt>
              </c:numCache>
            </c:numRef>
          </c:val>
          <c:smooth val="0"/>
          <c:extLst>
            <c:ext xmlns:c16="http://schemas.microsoft.com/office/drawing/2014/chart" uri="{C3380CC4-5D6E-409C-BE32-E72D297353CC}">
              <c16:uniqueId val="{00000000-A642-46B4-900C-3935C3F2B95D}"/>
            </c:ext>
          </c:extLst>
        </c:ser>
        <c:ser>
          <c:idx val="1"/>
          <c:order val="1"/>
          <c:tx>
            <c:strRef>
              <c:f>FAT!$A$301</c:f>
              <c:strCache>
                <c:ptCount val="1"/>
                <c:pt idx="0">
                  <c:v>SSS (real)</c:v>
                </c:pt>
              </c:strCache>
            </c:strRef>
          </c:tx>
          <c:spPr>
            <a:ln w="28575" cap="rnd">
              <a:solidFill>
                <a:schemeClr val="accent2"/>
              </a:solidFill>
              <a:round/>
            </a:ln>
            <a:effectLst/>
          </c:spPr>
          <c:marker>
            <c:symbol val="none"/>
          </c:marker>
          <c:val>
            <c:numRef>
              <c:f>FAT!$B$301:$BO$301</c:f>
              <c:numCache>
                <c:formatCode>0.00%</c:formatCode>
                <c:ptCount val="66"/>
                <c:pt idx="1">
                  <c:v>6.6100000000000006E-2</c:v>
                </c:pt>
                <c:pt idx="2">
                  <c:v>4.3099999999999999E-2</c:v>
                </c:pt>
                <c:pt idx="3">
                  <c:v>1.0099999999999998E-2</c:v>
                </c:pt>
                <c:pt idx="4">
                  <c:v>7.0999999999999952E-3</c:v>
                </c:pt>
                <c:pt idx="5">
                  <c:v>-3.0000000000000859E-4</c:v>
                </c:pt>
                <c:pt idx="6">
                  <c:v>4.623054221002057E-2</c:v>
                </c:pt>
                <c:pt idx="7">
                  <c:v>-5.9088396015925596E-2</c:v>
                </c:pt>
                <c:pt idx="8">
                  <c:v>0.12922339607434805</c:v>
                </c:pt>
                <c:pt idx="9">
                  <c:v>0.16775485462132303</c:v>
                </c:pt>
                <c:pt idx="10">
                  <c:v>0.16622891224877237</c:v>
                </c:pt>
                <c:pt idx="11">
                  <c:v>0.12647185047471854</c:v>
                </c:pt>
                <c:pt idx="12">
                  <c:v>8.5814839583796487E-2</c:v>
                </c:pt>
                <c:pt idx="13">
                  <c:v>5.8583381036821487E-2</c:v>
                </c:pt>
                <c:pt idx="14">
                  <c:v>5.9378781199351575E-2</c:v>
                </c:pt>
                <c:pt idx="15">
                  <c:v>5.1954781199351575E-2</c:v>
                </c:pt>
                <c:pt idx="16">
                  <c:v>2.6999999999999996E-2</c:v>
                </c:pt>
                <c:pt idx="17">
                  <c:v>6.8450313669083857E-2</c:v>
                </c:pt>
                <c:pt idx="18">
                  <c:v>-5.2473469341689574E-3</c:v>
                </c:pt>
                <c:pt idx="19">
                  <c:v>-1.104734693416895E-2</c:v>
                </c:pt>
                <c:pt idx="20">
                  <c:v>-0.11164734693416895</c:v>
                </c:pt>
                <c:pt idx="21">
                  <c:v>-0.17489766060325279</c:v>
                </c:pt>
                <c:pt idx="22">
                  <c:v>-2.6200000000000005E-2</c:v>
                </c:pt>
                <c:pt idx="23">
                  <c:v>-3.0100000000000009E-2</c:v>
                </c:pt>
                <c:pt idx="24">
                  <c:v>5.2600000000000001E-2</c:v>
                </c:pt>
                <c:pt idx="25">
                  <c:v>0.10039999999999999</c:v>
                </c:pt>
                <c:pt idx="26">
                  <c:v>2.6599999999999992E-2</c:v>
                </c:pt>
                <c:pt idx="27">
                  <c:v>5.9199999999999996E-2</c:v>
                </c:pt>
                <c:pt idx="28">
                  <c:v>4.2100000000000005E-2</c:v>
                </c:pt>
                <c:pt idx="29">
                  <c:v>5.0299999999999997E-2</c:v>
                </c:pt>
                <c:pt idx="30">
                  <c:v>3.2299999999999995E-2</c:v>
                </c:pt>
                <c:pt idx="31">
                  <c:v>-3.3300000000000003E-2</c:v>
                </c:pt>
                <c:pt idx="32">
                  <c:v>-1.04E-2</c:v>
                </c:pt>
                <c:pt idx="33">
                  <c:v>-3.2464629200000886E-3</c:v>
                </c:pt>
                <c:pt idx="34">
                  <c:v>-1.4077521352000029E-2</c:v>
                </c:pt>
                <c:pt idx="35">
                  <c:v>8.03568681569998E-2</c:v>
                </c:pt>
                <c:pt idx="36">
                  <c:v>6.6827178496999706E-2</c:v>
                </c:pt>
                <c:pt idx="37">
                  <c:v>2.9653178896999949E-2</c:v>
                </c:pt>
                <c:pt idx="38">
                  <c:v>-2.8360085581000151E-2</c:v>
                </c:pt>
                <c:pt idx="39">
                  <c:v>5.9535238999992163E-4</c:v>
                </c:pt>
                <c:pt idx="40">
                  <c:v>-2.9081411260000675E-3</c:v>
                </c:pt>
                <c:pt idx="41">
                  <c:v>-6.1876786060002173E-3</c:v>
                </c:pt>
                <c:pt idx="42">
                  <c:v>4.0256644303999826E-2</c:v>
                </c:pt>
                <c:pt idx="43">
                  <c:v>1.1066816823999931E-2</c:v>
                </c:pt>
                <c:pt idx="44">
                  <c:v>0.11279999999999998</c:v>
                </c:pt>
                <c:pt idx="45">
                  <c:v>0.11302482555875754</c:v>
                </c:pt>
                <c:pt idx="46">
                  <c:v>9.094965111751506E-2</c:v>
                </c:pt>
                <c:pt idx="47">
                  <c:v>6.8874476676272611E-2</c:v>
                </c:pt>
                <c:pt idx="48">
                  <c:v>-8.9006977649698643E-3</c:v>
                </c:pt>
                <c:pt idx="49">
                  <c:v>-5.3425523323727395E-2</c:v>
                </c:pt>
                <c:pt idx="50">
                  <c:v>-4.1446745412485053E-2</c:v>
                </c:pt>
                <c:pt idx="51">
                  <c:v>-0.10640214927524255</c:v>
                </c:pt>
                <c:pt idx="52">
                  <c:v>-6.9344868873999904E-2</c:v>
                </c:pt>
                <c:pt idx="53">
                  <c:v>4.6024809776000125E-2</c:v>
                </c:pt>
                <c:pt idx="54">
                  <c:v>3.4327226288000057E-2</c:v>
                </c:pt>
                <c:pt idx="55">
                  <c:v>0.10857647211047561</c:v>
                </c:pt>
                <c:pt idx="56">
                  <c:v>5.7886174612952868E-2</c:v>
                </c:pt>
                <c:pt idx="57">
                  <c:v>3.6437182590000117E-2</c:v>
                </c:pt>
                <c:pt idx="58">
                  <c:v>-1.0608681391999573E-2</c:v>
                </c:pt>
                <c:pt idx="59">
                  <c:v>3.1186925904000351E-2</c:v>
                </c:pt>
                <c:pt idx="60">
                  <c:v>8.9902359643571531E-2</c:v>
                </c:pt>
                <c:pt idx="61">
                  <c:v>8.9112501476700606E-2</c:v>
                </c:pt>
                <c:pt idx="62">
                  <c:v>5.8441980572214079E-2</c:v>
                </c:pt>
                <c:pt idx="63">
                  <c:v>5.4400000000000004E-2</c:v>
                </c:pt>
                <c:pt idx="64">
                  <c:v>1.9699999999999995E-2</c:v>
                </c:pt>
                <c:pt idx="65">
                  <c:v>-0.13969999999999999</c:v>
                </c:pt>
              </c:numCache>
            </c:numRef>
          </c:val>
          <c:smooth val="0"/>
          <c:extLst>
            <c:ext xmlns:c16="http://schemas.microsoft.com/office/drawing/2014/chart" uri="{C3380CC4-5D6E-409C-BE32-E72D297353CC}">
              <c16:uniqueId val="{00000001-A642-46B4-900C-3935C3F2B95D}"/>
            </c:ext>
          </c:extLst>
        </c:ser>
        <c:ser>
          <c:idx val="2"/>
          <c:order val="2"/>
          <c:tx>
            <c:v>AVERAGE REAL</c:v>
          </c:tx>
          <c:spPr>
            <a:ln w="28575" cap="rnd">
              <a:solidFill>
                <a:schemeClr val="accent3"/>
              </a:solidFill>
              <a:round/>
            </a:ln>
            <a:effectLst/>
          </c:spPr>
          <c:marker>
            <c:symbol val="none"/>
          </c:marker>
          <c:val>
            <c:numRef>
              <c:f>FAT!$AQ$302:$BN$302</c:f>
              <c:numCache>
                <c:formatCode>0.0%</c:formatCode>
                <c:ptCount val="24"/>
                <c:pt idx="0">
                  <c:v>3.1943820950251493E-2</c:v>
                </c:pt>
                <c:pt idx="1">
                  <c:v>3.1943820950251493E-2</c:v>
                </c:pt>
                <c:pt idx="2">
                  <c:v>3.1943820950251493E-2</c:v>
                </c:pt>
                <c:pt idx="3">
                  <c:v>3.1943820950251493E-2</c:v>
                </c:pt>
                <c:pt idx="4">
                  <c:v>3.1943820950251493E-2</c:v>
                </c:pt>
                <c:pt idx="5">
                  <c:v>3.1943820950251493E-2</c:v>
                </c:pt>
                <c:pt idx="6">
                  <c:v>3.1943820950251493E-2</c:v>
                </c:pt>
                <c:pt idx="7">
                  <c:v>3.1943820950251493E-2</c:v>
                </c:pt>
                <c:pt idx="8">
                  <c:v>3.1943820950251493E-2</c:v>
                </c:pt>
                <c:pt idx="9">
                  <c:v>3.1943820950251493E-2</c:v>
                </c:pt>
                <c:pt idx="10">
                  <c:v>3.1943820950251493E-2</c:v>
                </c:pt>
                <c:pt idx="11">
                  <c:v>3.1943820950251493E-2</c:v>
                </c:pt>
                <c:pt idx="12">
                  <c:v>3.1943820950251493E-2</c:v>
                </c:pt>
                <c:pt idx="13">
                  <c:v>3.1943820950251493E-2</c:v>
                </c:pt>
                <c:pt idx="14">
                  <c:v>3.1943820950251493E-2</c:v>
                </c:pt>
                <c:pt idx="15">
                  <c:v>3.1943820950251493E-2</c:v>
                </c:pt>
                <c:pt idx="16">
                  <c:v>3.1943820950251493E-2</c:v>
                </c:pt>
                <c:pt idx="17">
                  <c:v>3.1943820950251493E-2</c:v>
                </c:pt>
                <c:pt idx="18">
                  <c:v>3.1943820950251493E-2</c:v>
                </c:pt>
                <c:pt idx="19">
                  <c:v>3.1943820950251493E-2</c:v>
                </c:pt>
                <c:pt idx="20">
                  <c:v>3.1943820950251493E-2</c:v>
                </c:pt>
                <c:pt idx="21">
                  <c:v>3.1943820950251493E-2</c:v>
                </c:pt>
                <c:pt idx="22">
                  <c:v>3.1943820950251493E-2</c:v>
                </c:pt>
                <c:pt idx="23">
                  <c:v>3.1943820950251493E-2</c:v>
                </c:pt>
              </c:numCache>
            </c:numRef>
          </c:val>
          <c:smooth val="0"/>
          <c:extLst>
            <c:ext xmlns:c16="http://schemas.microsoft.com/office/drawing/2014/chart" uri="{C3380CC4-5D6E-409C-BE32-E72D297353CC}">
              <c16:uniqueId val="{00000002-A642-46B4-900C-3935C3F2B95D}"/>
            </c:ext>
          </c:extLst>
        </c:ser>
        <c:dLbls>
          <c:showLegendKey val="0"/>
          <c:showVal val="0"/>
          <c:showCatName val="0"/>
          <c:showSerName val="0"/>
          <c:showPercent val="0"/>
          <c:showBubbleSize val="0"/>
        </c:dLbls>
        <c:smooth val="0"/>
        <c:axId val="260624384"/>
        <c:axId val="260625920"/>
      </c:lineChart>
      <c:catAx>
        <c:axId val="26062438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625920"/>
        <c:crosses val="autoZero"/>
        <c:auto val="1"/>
        <c:lblAlgn val="ctr"/>
        <c:lblOffset val="100"/>
        <c:noMultiLvlLbl val="0"/>
      </c:catAx>
      <c:valAx>
        <c:axId val="260625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624384"/>
        <c:crosses val="autoZero"/>
        <c:crossBetween val="between"/>
        <c:majorUnit val="5.000000000000001E-2"/>
      </c:valAx>
      <c:spPr>
        <a:noFill/>
        <a:ln>
          <a:noFill/>
        </a:ln>
        <a:effectLst/>
      </c:spPr>
    </c:plotArea>
    <c:legend>
      <c:legendPos val="b"/>
      <c:layout>
        <c:manualLayout>
          <c:xMode val="edge"/>
          <c:yMode val="edge"/>
          <c:x val="0.26705380577427823"/>
          <c:y val="0.14122032593888068"/>
          <c:w val="0.70843639030415317"/>
          <c:h val="9.7872801753176863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EBITDA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Ajustado Consolidado</c:v>
          </c:tx>
          <c:spPr>
            <a:ln w="28575" cap="rnd">
              <a:solidFill>
                <a:schemeClr val="accent1"/>
              </a:solidFill>
              <a:round/>
            </a:ln>
            <a:effectLst/>
          </c:spPr>
          <c:marker>
            <c:symbol val="none"/>
          </c:marker>
          <c:cat>
            <c:numRef>
              <c:f>FAT!$DF$1:$DS$1</c:f>
              <c:numCache>
                <c:formatCode>General</c:formatCode>
                <c:ptCount val="7"/>
                <c:pt idx="0">
                  <c:v>2021</c:v>
                </c:pt>
                <c:pt idx="1">
                  <c:v>2022</c:v>
                </c:pt>
                <c:pt idx="2">
                  <c:v>2023</c:v>
                </c:pt>
                <c:pt idx="3">
                  <c:v>2024</c:v>
                </c:pt>
                <c:pt idx="4">
                  <c:v>2025</c:v>
                </c:pt>
                <c:pt idx="5">
                  <c:v>2026</c:v>
                </c:pt>
                <c:pt idx="6">
                  <c:v>2027</c:v>
                </c:pt>
              </c:numCache>
            </c:numRef>
          </c:cat>
          <c:val>
            <c:numRef>
              <c:f>FAT!$DF$161:$DS$161</c:f>
              <c:numCache>
                <c:formatCode>0.0%</c:formatCode>
                <c:ptCount val="7"/>
                <c:pt idx="0">
                  <c:v>0.16292266985953388</c:v>
                </c:pt>
                <c:pt idx="1">
                  <c:v>0.18559344237046155</c:v>
                </c:pt>
                <c:pt idx="2">
                  <c:v>0.15413571765045173</c:v>
                </c:pt>
                <c:pt idx="3">
                  <c:v>0.18336103421041003</c:v>
                </c:pt>
                <c:pt idx="4">
                  <c:v>0.19968298326526893</c:v>
                </c:pt>
                <c:pt idx="5">
                  <c:v>0.18923511821691238</c:v>
                </c:pt>
                <c:pt idx="6">
                  <c:v>0.21300775629281382</c:v>
                </c:pt>
              </c:numCache>
            </c:numRef>
          </c:val>
          <c:smooth val="0"/>
          <c:extLst>
            <c:ext xmlns:c16="http://schemas.microsoft.com/office/drawing/2014/chart" uri="{C3380CC4-5D6E-409C-BE32-E72D297353CC}">
              <c16:uniqueId val="{00000000-6451-4856-BE65-99B1983DB04C}"/>
            </c:ext>
          </c:extLst>
        </c:ser>
        <c:ser>
          <c:idx val="1"/>
          <c:order val="1"/>
          <c:tx>
            <c:v>Retail</c:v>
          </c:tx>
          <c:spPr>
            <a:ln w="28575" cap="rnd">
              <a:solidFill>
                <a:schemeClr val="accent2"/>
              </a:solidFill>
              <a:round/>
            </a:ln>
            <a:effectLst/>
          </c:spPr>
          <c:marker>
            <c:symbol val="none"/>
          </c:marker>
          <c:cat>
            <c:numRef>
              <c:f>FAT!$DF$1:$DS$1</c:f>
              <c:numCache>
                <c:formatCode>General</c:formatCode>
                <c:ptCount val="7"/>
                <c:pt idx="0">
                  <c:v>2021</c:v>
                </c:pt>
                <c:pt idx="1">
                  <c:v>2022</c:v>
                </c:pt>
                <c:pt idx="2">
                  <c:v>2023</c:v>
                </c:pt>
                <c:pt idx="3">
                  <c:v>2024</c:v>
                </c:pt>
                <c:pt idx="4">
                  <c:v>2025</c:v>
                </c:pt>
                <c:pt idx="5">
                  <c:v>2026</c:v>
                </c:pt>
                <c:pt idx="6">
                  <c:v>2027</c:v>
                </c:pt>
              </c:numCache>
            </c:numRef>
          </c:cat>
          <c:val>
            <c:numRef>
              <c:f>FAT!$DF$172:$DS$172</c:f>
              <c:numCache>
                <c:formatCode>0.0%</c:formatCode>
                <c:ptCount val="7"/>
                <c:pt idx="0">
                  <c:v>0.15443985529566115</c:v>
                </c:pt>
                <c:pt idx="1">
                  <c:v>0.20573099471785741</c:v>
                </c:pt>
                <c:pt idx="2">
                  <c:v>0.18788899671972623</c:v>
                </c:pt>
                <c:pt idx="3">
                  <c:v>0.19564557922577033</c:v>
                </c:pt>
                <c:pt idx="4">
                  <c:v>0.19441117726087162</c:v>
                </c:pt>
                <c:pt idx="5">
                  <c:v>0.20054795774725057</c:v>
                </c:pt>
                <c:pt idx="6">
                  <c:v>0.21521972926351468</c:v>
                </c:pt>
              </c:numCache>
            </c:numRef>
          </c:val>
          <c:smooth val="0"/>
          <c:extLst>
            <c:ext xmlns:c16="http://schemas.microsoft.com/office/drawing/2014/chart" uri="{C3380CC4-5D6E-409C-BE32-E72D297353CC}">
              <c16:uniqueId val="{00000001-6451-4856-BE65-99B1983DB04C}"/>
            </c:ext>
          </c:extLst>
        </c:ser>
        <c:ser>
          <c:idx val="2"/>
          <c:order val="2"/>
          <c:tx>
            <c:v>Financiero</c:v>
          </c:tx>
          <c:spPr>
            <a:ln w="28575" cap="rnd">
              <a:solidFill>
                <a:schemeClr val="accent3"/>
              </a:solidFill>
              <a:round/>
            </a:ln>
            <a:effectLst/>
          </c:spPr>
          <c:marker>
            <c:symbol val="none"/>
          </c:marker>
          <c:cat>
            <c:numRef>
              <c:f>FAT!$DF$1:$DS$1</c:f>
              <c:numCache>
                <c:formatCode>General</c:formatCode>
                <c:ptCount val="7"/>
                <c:pt idx="0">
                  <c:v>2021</c:v>
                </c:pt>
                <c:pt idx="1">
                  <c:v>2022</c:v>
                </c:pt>
                <c:pt idx="2">
                  <c:v>2023</c:v>
                </c:pt>
                <c:pt idx="3">
                  <c:v>2024</c:v>
                </c:pt>
                <c:pt idx="4">
                  <c:v>2025</c:v>
                </c:pt>
                <c:pt idx="5">
                  <c:v>2026</c:v>
                </c:pt>
                <c:pt idx="6">
                  <c:v>2027</c:v>
                </c:pt>
              </c:numCache>
            </c:numRef>
          </c:cat>
          <c:val>
            <c:numRef>
              <c:f>FAT!$DF$182:$DS$182</c:f>
              <c:numCache>
                <c:formatCode>0.0%</c:formatCode>
                <c:ptCount val="7"/>
                <c:pt idx="0">
                  <c:v>0.24271896953759364</c:v>
                </c:pt>
                <c:pt idx="1">
                  <c:v>4.8094237032999768E-2</c:v>
                </c:pt>
                <c:pt idx="2">
                  <c:v>-4.9379878156629774E-2</c:v>
                </c:pt>
                <c:pt idx="3">
                  <c:v>9.5134028670109477E-2</c:v>
                </c:pt>
                <c:pt idx="4">
                  <c:v>0.23697956638041262</c:v>
                </c:pt>
                <c:pt idx="5">
                  <c:v>0.10602484219459726</c:v>
                </c:pt>
                <c:pt idx="6">
                  <c:v>0.19651055373570384</c:v>
                </c:pt>
              </c:numCache>
            </c:numRef>
          </c:val>
          <c:smooth val="0"/>
          <c:extLst>
            <c:ext xmlns:c16="http://schemas.microsoft.com/office/drawing/2014/chart" uri="{C3380CC4-5D6E-409C-BE32-E72D297353CC}">
              <c16:uniqueId val="{00000002-6451-4856-BE65-99B1983DB04C}"/>
            </c:ext>
          </c:extLst>
        </c:ser>
        <c:dLbls>
          <c:showLegendKey val="0"/>
          <c:showVal val="0"/>
          <c:showCatName val="0"/>
          <c:showSerName val="0"/>
          <c:showPercent val="0"/>
          <c:showBubbleSize val="0"/>
        </c:dLbls>
        <c:smooth val="0"/>
        <c:axId val="260650112"/>
        <c:axId val="260651648"/>
      </c:lineChart>
      <c:catAx>
        <c:axId val="26065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651648"/>
        <c:crosses val="autoZero"/>
        <c:auto val="1"/>
        <c:lblAlgn val="ctr"/>
        <c:lblOffset val="100"/>
        <c:tickLblSkip val="1"/>
        <c:noMultiLvlLbl val="1"/>
      </c:catAx>
      <c:valAx>
        <c:axId val="260651648"/>
        <c:scaling>
          <c:orientation val="minMax"/>
          <c:max val="0.60000000000000009"/>
          <c:min val="5.000000000000001E-2"/>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650112"/>
        <c:crosses val="autoZero"/>
        <c:crossBetween val="between"/>
        <c:maj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EBITDA CONSOLIDADO</c:v>
          </c:tx>
          <c:spPr>
            <a:solidFill>
              <a:schemeClr val="accent1"/>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1-07B2-44FE-B50B-A60365423EAF}"/>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C-08A3-4484-B9AB-F0760F7494FE}"/>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1-08A3-4484-B9AB-F0760F7494FE}"/>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3-08A3-4484-B9AB-F0760F7494FE}"/>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D-D7F2-402B-98DB-2E4E60283716}"/>
              </c:ext>
            </c:extLst>
          </c:dPt>
          <c:dPt>
            <c:idx val="6"/>
            <c:invertIfNegative val="0"/>
            <c:bubble3D val="0"/>
            <c:spPr>
              <a:solidFill>
                <a:schemeClr val="accent6">
                  <a:lumMod val="75000"/>
                </a:schemeClr>
              </a:solidFill>
              <a:ln>
                <a:noFill/>
              </a:ln>
              <a:effectLst/>
            </c:spPr>
            <c:extLst>
              <c:ext xmlns:c16="http://schemas.microsoft.com/office/drawing/2014/chart" uri="{C3380CC4-5D6E-409C-BE32-E72D297353CC}">
                <c16:uniqueId val="{00000004-D7F2-402B-98DB-2E4E60283716}"/>
              </c:ext>
            </c:extLst>
          </c:dPt>
          <c:dLbls>
            <c:dLbl>
              <c:idx val="0"/>
              <c:layout>
                <c:manualLayout>
                  <c:x val="0"/>
                  <c:y val="0.16774674967954581"/>
                </c:manualLayout>
              </c:layout>
              <c:spPr>
                <a:noFill/>
                <a:ln>
                  <a:noFill/>
                </a:ln>
                <a:effectLst/>
              </c:spPr>
              <c:txPr>
                <a:bodyPr rot="-5400000" spcFirstLastPara="1" vertOverflow="ellipsis" vert="horz" wrap="square" lIns="38100" tIns="0" rIns="38100" bIns="19050" anchor="ctr" anchorCtr="0">
                  <a:spAutoFit/>
                </a:bodyPr>
                <a:lstStyle/>
                <a:p>
                  <a:pPr algn="ctr" rtl="0">
                    <a:defRPr lang="en-US"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C-07B2-44FE-B50B-A60365423EAF}"/>
                </c:ext>
              </c:extLst>
            </c:dLbl>
            <c:dLbl>
              <c:idx val="5"/>
              <c:tx>
                <c:rich>
                  <a:bodyPr/>
                  <a:lstStyle/>
                  <a:p>
                    <a:fld id="{D5E0F589-7D49-4CDE-9E6D-82E5B32F6A3D}" type="VALUE">
                      <a:rPr lang="en-US" sz="900" b="1" i="0" u="none" strike="noStrike" kern="1200" baseline="0">
                        <a:solidFill>
                          <a:schemeClr val="bg1"/>
                        </a:solidFill>
                        <a:latin typeface="+mn-lt"/>
                        <a:ea typeface="+mn-ea"/>
                        <a:cs typeface="+mn-cs"/>
                      </a:rPr>
                      <a:pPr/>
                      <a:t>[]</a:t>
                    </a:fld>
                    <a:endParaRPr/>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D7F2-402B-98DB-2E4E60283716}"/>
                </c:ext>
              </c:extLst>
            </c:dLbl>
            <c:spPr>
              <a:noFill/>
              <a:ln>
                <a:noFill/>
              </a:ln>
              <a:effectLst/>
            </c:spPr>
            <c:txPr>
              <a:bodyPr rot="-5400000" spcFirstLastPara="1" vertOverflow="ellipsis" vert="horz" wrap="square" lIns="38100" tIns="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numRef>
              <c:f>FAT!$DH$1:$DS$1</c:f>
              <c:numCache>
                <c:formatCode>General</c:formatCode>
                <c:ptCount val="7"/>
                <c:pt idx="0">
                  <c:v>2021</c:v>
                </c:pt>
                <c:pt idx="1">
                  <c:v>2022</c:v>
                </c:pt>
                <c:pt idx="2">
                  <c:v>2023</c:v>
                </c:pt>
                <c:pt idx="3">
                  <c:v>2024</c:v>
                </c:pt>
                <c:pt idx="4">
                  <c:v>2025</c:v>
                </c:pt>
                <c:pt idx="5">
                  <c:v>2026</c:v>
                </c:pt>
                <c:pt idx="6">
                  <c:v>2027</c:v>
                </c:pt>
              </c:numCache>
            </c:numRef>
          </c:cat>
          <c:val>
            <c:numRef>
              <c:f>FAT!$DH$195:$DS$195</c:f>
              <c:numCache>
                <c:formatCode>_(* #,##0_);_(* \(#,##0\);_(* "-"??_);_(@_)</c:formatCode>
                <c:ptCount val="7"/>
                <c:pt idx="0">
                  <c:v>1108237.2211100014</c:v>
                </c:pt>
                <c:pt idx="1">
                  <c:v>1752877.77</c:v>
                </c:pt>
                <c:pt idx="2">
                  <c:v>1429591.5963999999</c:v>
                </c:pt>
                <c:pt idx="3">
                  <c:v>1934588</c:v>
                </c:pt>
                <c:pt idx="4">
                  <c:v>2428584.2092499314</c:v>
                </c:pt>
                <c:pt idx="5">
                  <c:v>2341576.4815007485</c:v>
                </c:pt>
                <c:pt idx="6">
                  <c:v>2948329.7300652107</c:v>
                </c:pt>
              </c:numCache>
            </c:numRef>
          </c:val>
          <c:extLst>
            <c:ext xmlns:c16="http://schemas.microsoft.com/office/drawing/2014/chart" uri="{C3380CC4-5D6E-409C-BE32-E72D297353CC}">
              <c16:uniqueId val="{00000000-D7F2-402B-98DB-2E4E60283716}"/>
            </c:ext>
          </c:extLst>
        </c:ser>
        <c:dLbls>
          <c:showLegendKey val="0"/>
          <c:showVal val="0"/>
          <c:showCatName val="0"/>
          <c:showSerName val="0"/>
          <c:showPercent val="0"/>
          <c:showBubbleSize val="0"/>
        </c:dLbls>
        <c:gapWidth val="219"/>
        <c:axId val="704349208"/>
        <c:axId val="704348880"/>
      </c:barChart>
      <c:lineChart>
        <c:grouping val="standard"/>
        <c:varyColors val="0"/>
        <c:ser>
          <c:idx val="1"/>
          <c:order val="1"/>
          <c:tx>
            <c:v>Ebitda mrgn</c:v>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FAT!$DH$1:$DS$1</c:f>
              <c:numCache>
                <c:formatCode>General</c:formatCode>
                <c:ptCount val="7"/>
                <c:pt idx="0">
                  <c:v>2021</c:v>
                </c:pt>
                <c:pt idx="1">
                  <c:v>2022</c:v>
                </c:pt>
                <c:pt idx="2">
                  <c:v>2023</c:v>
                </c:pt>
                <c:pt idx="3">
                  <c:v>2024</c:v>
                </c:pt>
                <c:pt idx="4">
                  <c:v>2025</c:v>
                </c:pt>
                <c:pt idx="5">
                  <c:v>2026</c:v>
                </c:pt>
                <c:pt idx="6">
                  <c:v>2027</c:v>
                </c:pt>
              </c:numCache>
            </c:numRef>
          </c:cat>
          <c:val>
            <c:numRef>
              <c:f>FAT!$DH$196:$DS$196</c:f>
              <c:numCache>
                <c:formatCode>0.0%</c:formatCode>
                <c:ptCount val="7"/>
                <c:pt idx="0">
                  <c:v>0.1048319854776923</c:v>
                </c:pt>
                <c:pt idx="1">
                  <c:v>0.13208195876510054</c:v>
                </c:pt>
                <c:pt idx="2">
                  <c:v>0.10474849160479427</c:v>
                </c:pt>
                <c:pt idx="3">
                  <c:v>0.13400796294579953</c:v>
                </c:pt>
                <c:pt idx="4">
                  <c:v>0.15354817714493843</c:v>
                </c:pt>
                <c:pt idx="5">
                  <c:v>0.13870932467039188</c:v>
                </c:pt>
                <c:pt idx="6">
                  <c:v>0.16118247994738563</c:v>
                </c:pt>
              </c:numCache>
            </c:numRef>
          </c:val>
          <c:smooth val="0"/>
          <c:extLst>
            <c:ext xmlns:c16="http://schemas.microsoft.com/office/drawing/2014/chart" uri="{C3380CC4-5D6E-409C-BE32-E72D297353CC}">
              <c16:uniqueId val="{00000001-D7F2-402B-98DB-2E4E60283716}"/>
            </c:ext>
          </c:extLst>
        </c:ser>
        <c:dLbls>
          <c:showLegendKey val="0"/>
          <c:showVal val="0"/>
          <c:showCatName val="0"/>
          <c:showSerName val="0"/>
          <c:showPercent val="0"/>
          <c:showBubbleSize val="0"/>
        </c:dLbls>
        <c:marker val="1"/>
        <c:smooth val="0"/>
        <c:axId val="704351176"/>
        <c:axId val="704350520"/>
      </c:lineChart>
      <c:catAx>
        <c:axId val="704349208"/>
        <c:scaling>
          <c:orientation val="minMax"/>
          <c:max val="12"/>
          <c:min val="1"/>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348880"/>
        <c:crosses val="autoZero"/>
        <c:auto val="0"/>
        <c:lblAlgn val="ctr"/>
        <c:lblOffset val="100"/>
        <c:noMultiLvlLbl val="0"/>
      </c:catAx>
      <c:valAx>
        <c:axId val="70434888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349208"/>
        <c:crosses val="autoZero"/>
        <c:crossBetween val="between"/>
      </c:valAx>
      <c:valAx>
        <c:axId val="704350520"/>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351176"/>
        <c:crosses val="max"/>
        <c:crossBetween val="between"/>
      </c:valAx>
      <c:catAx>
        <c:axId val="704351176"/>
        <c:scaling>
          <c:orientation val="minMax"/>
        </c:scaling>
        <c:delete val="1"/>
        <c:axPos val="b"/>
        <c:numFmt formatCode="General" sourceLinked="1"/>
        <c:majorTickMark val="none"/>
        <c:minorTickMark val="none"/>
        <c:tickLblPos val="nextTo"/>
        <c:crossAx val="704350520"/>
        <c:crosses val="autoZero"/>
        <c:auto val="1"/>
        <c:lblAlgn val="ctr"/>
        <c:lblOffset val="100"/>
        <c:noMultiLvlLbl val="1"/>
      </c:catAx>
      <c:spPr>
        <a:noFill/>
        <a:ln>
          <a:noFill/>
        </a:ln>
        <a:effectLst>
          <a:outerShdw blurRad="50800" dist="38100" dir="5400000" algn="t" rotWithShape="0">
            <a:prstClr val="black">
              <a:alpha val="40000"/>
            </a:prstClr>
          </a:outerShdw>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Cartera de Credito</c:v>
          </c:tx>
          <c:spPr>
            <a:solidFill>
              <a:schemeClr val="accent1"/>
            </a:solidFill>
            <a:ln>
              <a:noFill/>
            </a:ln>
            <a:effectLst/>
          </c:spPr>
          <c:invertIfNegative val="0"/>
          <c:cat>
            <c:numRef>
              <c:f>FAT!$DH$1:$DS$1</c:f>
              <c:numCache>
                <c:formatCode>General</c:formatCode>
                <c:ptCount val="7"/>
                <c:pt idx="0">
                  <c:v>2021</c:v>
                </c:pt>
                <c:pt idx="1">
                  <c:v>2022</c:v>
                </c:pt>
                <c:pt idx="2">
                  <c:v>2023</c:v>
                </c:pt>
                <c:pt idx="3">
                  <c:v>2024</c:v>
                </c:pt>
                <c:pt idx="4">
                  <c:v>2025</c:v>
                </c:pt>
                <c:pt idx="5">
                  <c:v>2026</c:v>
                </c:pt>
                <c:pt idx="6">
                  <c:v>2027</c:v>
                </c:pt>
              </c:numCache>
            </c:numRef>
          </c:cat>
          <c:val>
            <c:numRef>
              <c:f>FAT!$DH$61:$DS$61</c:f>
              <c:numCache>
                <c:formatCode>_-* #,##0_-;\-* #,##0_-;_-* "-"??_-;_-@_-</c:formatCode>
                <c:ptCount val="7"/>
                <c:pt idx="0">
                  <c:v>6368525</c:v>
                </c:pt>
                <c:pt idx="1">
                  <c:v>6186858</c:v>
                </c:pt>
                <c:pt idx="2">
                  <c:v>6182188.4025662439</c:v>
                </c:pt>
                <c:pt idx="3">
                  <c:v>6568557.0239881864</c:v>
                </c:pt>
                <c:pt idx="4">
                  <c:v>6979342.7480768841</c:v>
                </c:pt>
                <c:pt idx="5">
                  <c:v>0</c:v>
                </c:pt>
                <c:pt idx="6">
                  <c:v>0</c:v>
                </c:pt>
              </c:numCache>
            </c:numRef>
          </c:val>
          <c:extLst>
            <c:ext xmlns:c16="http://schemas.microsoft.com/office/drawing/2014/chart" uri="{C3380CC4-5D6E-409C-BE32-E72D297353CC}">
              <c16:uniqueId val="{0000000F-3F98-43B4-81A3-99347D83B90E}"/>
            </c:ext>
          </c:extLst>
        </c:ser>
        <c:dLbls>
          <c:showLegendKey val="0"/>
          <c:showVal val="0"/>
          <c:showCatName val="0"/>
          <c:showSerName val="0"/>
          <c:showPercent val="0"/>
          <c:showBubbleSize val="0"/>
        </c:dLbls>
        <c:gapWidth val="219"/>
        <c:axId val="704349208"/>
        <c:axId val="704348880"/>
      </c:barChart>
      <c:lineChart>
        <c:grouping val="standard"/>
        <c:varyColors val="0"/>
        <c:ser>
          <c:idx val="1"/>
          <c:order val="1"/>
          <c:tx>
            <c:v>Yield</c:v>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FAT!$DH$1:$DS$1</c:f>
              <c:numCache>
                <c:formatCode>General</c:formatCode>
                <c:ptCount val="7"/>
                <c:pt idx="0">
                  <c:v>2021</c:v>
                </c:pt>
                <c:pt idx="1">
                  <c:v>2022</c:v>
                </c:pt>
                <c:pt idx="2">
                  <c:v>2023</c:v>
                </c:pt>
                <c:pt idx="3">
                  <c:v>2024</c:v>
                </c:pt>
                <c:pt idx="4">
                  <c:v>2025</c:v>
                </c:pt>
                <c:pt idx="5">
                  <c:v>2026</c:v>
                </c:pt>
                <c:pt idx="6">
                  <c:v>2027</c:v>
                </c:pt>
              </c:numCache>
            </c:numRef>
          </c:cat>
          <c:val>
            <c:numRef>
              <c:f>FAT!$DH$62:$DS$62</c:f>
              <c:numCache>
                <c:formatCode>0.0%</c:formatCode>
                <c:ptCount val="7"/>
                <c:pt idx="0">
                  <c:v>1.2978211194899917E-2</c:v>
                </c:pt>
                <c:pt idx="1">
                  <c:v>2.1352976475835284E-2</c:v>
                </c:pt>
                <c:pt idx="2">
                  <c:v>2.4746131958142101E-2</c:v>
                </c:pt>
                <c:pt idx="3">
                  <c:v>2.1899710921997884E-2</c:v>
                </c:pt>
                <c:pt idx="4">
                  <c:v>2.3578899720781001E-2</c:v>
                </c:pt>
                <c:pt idx="5">
                  <c:v>0</c:v>
                </c:pt>
                <c:pt idx="6">
                  <c:v>0</c:v>
                </c:pt>
              </c:numCache>
            </c:numRef>
          </c:val>
          <c:smooth val="0"/>
          <c:extLst>
            <c:ext xmlns:c16="http://schemas.microsoft.com/office/drawing/2014/chart" uri="{C3380CC4-5D6E-409C-BE32-E72D297353CC}">
              <c16:uniqueId val="{00000010-3F98-43B4-81A3-99347D83B90E}"/>
            </c:ext>
          </c:extLst>
        </c:ser>
        <c:dLbls>
          <c:showLegendKey val="0"/>
          <c:showVal val="0"/>
          <c:showCatName val="0"/>
          <c:showSerName val="0"/>
          <c:showPercent val="0"/>
          <c:showBubbleSize val="0"/>
        </c:dLbls>
        <c:marker val="1"/>
        <c:smooth val="0"/>
        <c:axId val="704351176"/>
        <c:axId val="704350520"/>
      </c:lineChart>
      <c:catAx>
        <c:axId val="704349208"/>
        <c:scaling>
          <c:orientation val="minMax"/>
          <c:max val="12"/>
          <c:min val="1"/>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348880"/>
        <c:crosses val="autoZero"/>
        <c:auto val="0"/>
        <c:lblAlgn val="ctr"/>
        <c:lblOffset val="100"/>
        <c:noMultiLvlLbl val="0"/>
      </c:catAx>
      <c:valAx>
        <c:axId val="704348880"/>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349208"/>
        <c:crosses val="autoZero"/>
        <c:crossBetween val="between"/>
      </c:valAx>
      <c:valAx>
        <c:axId val="704350520"/>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351176"/>
        <c:crosses val="max"/>
        <c:crossBetween val="between"/>
      </c:valAx>
      <c:catAx>
        <c:axId val="704351176"/>
        <c:scaling>
          <c:orientation val="minMax"/>
        </c:scaling>
        <c:delete val="1"/>
        <c:axPos val="b"/>
        <c:numFmt formatCode="General" sourceLinked="1"/>
        <c:majorTickMark val="none"/>
        <c:minorTickMark val="none"/>
        <c:tickLblPos val="nextTo"/>
        <c:crossAx val="704350520"/>
        <c:crosses val="autoZero"/>
        <c:auto val="1"/>
        <c:lblAlgn val="ctr"/>
        <c:lblOffset val="100"/>
        <c:noMultiLvlLbl val="1"/>
      </c:catAx>
      <c:spPr>
        <a:noFill/>
        <a:ln>
          <a:noFill/>
        </a:ln>
        <a:effectLst>
          <a:outerShdw blurRad="50800" dist="38100" dir="5400000" algn="t" rotWithShape="0">
            <a:prstClr val="black">
              <a:alpha val="40000"/>
            </a:prstClr>
          </a:outerShdw>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AR" sz="1400" b="1"/>
              <a:t>ROIC LTM</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PROJ!$AU$2:$BI$2</c:f>
              <c:numCache>
                <c:formatCode>mmm\-yy</c:formatCode>
                <c:ptCount val="15"/>
                <c:pt idx="0">
                  <c:v>42094</c:v>
                </c:pt>
                <c:pt idx="1">
                  <c:v>42185</c:v>
                </c:pt>
                <c:pt idx="2">
                  <c:v>42277</c:v>
                </c:pt>
                <c:pt idx="3">
                  <c:v>42369</c:v>
                </c:pt>
                <c:pt idx="4">
                  <c:v>42460</c:v>
                </c:pt>
                <c:pt idx="5">
                  <c:v>42551</c:v>
                </c:pt>
                <c:pt idx="6">
                  <c:v>42643</c:v>
                </c:pt>
                <c:pt idx="7">
                  <c:v>42735</c:v>
                </c:pt>
                <c:pt idx="8">
                  <c:v>42825</c:v>
                </c:pt>
                <c:pt idx="9">
                  <c:v>42916</c:v>
                </c:pt>
                <c:pt idx="10">
                  <c:v>43008</c:v>
                </c:pt>
                <c:pt idx="11">
                  <c:v>43100</c:v>
                </c:pt>
                <c:pt idx="12">
                  <c:v>43190</c:v>
                </c:pt>
                <c:pt idx="13">
                  <c:v>43281</c:v>
                </c:pt>
                <c:pt idx="14">
                  <c:v>43373</c:v>
                </c:pt>
              </c:numCache>
            </c:numRef>
          </c:cat>
          <c:val>
            <c:numRef>
              <c:f>PROJ!$AU$256:$BI$256</c:f>
              <c:numCache>
                <c:formatCode>0.00%</c:formatCode>
                <c:ptCount val="15"/>
                <c:pt idx="0">
                  <c:v>0.35755969199499432</c:v>
                </c:pt>
                <c:pt idx="1">
                  <c:v>0.34277908938870699</c:v>
                </c:pt>
                <c:pt idx="2">
                  <c:v>0.31813339971174015</c:v>
                </c:pt>
                <c:pt idx="3">
                  <c:v>0.27806617863256738</c:v>
                </c:pt>
                <c:pt idx="4">
                  <c:v>0.26658718273218418</c:v>
                </c:pt>
                <c:pt idx="5">
                  <c:v>0.26766845347284784</c:v>
                </c:pt>
                <c:pt idx="6">
                  <c:v>0.26007719899185999</c:v>
                </c:pt>
                <c:pt idx="7">
                  <c:v>0.28064186266051905</c:v>
                </c:pt>
                <c:pt idx="8">
                  <c:v>0.27828021038961243</c:v>
                </c:pt>
                <c:pt idx="9">
                  <c:v>0.27572540452224992</c:v>
                </c:pt>
                <c:pt idx="10">
                  <c:v>0.2914158195215209</c:v>
                </c:pt>
                <c:pt idx="11">
                  <c:v>0.28338428940982796</c:v>
                </c:pt>
                <c:pt idx="12">
                  <c:v>0.29749410094113343</c:v>
                </c:pt>
                <c:pt idx="13">
                  <c:v>0.30348193645806321</c:v>
                </c:pt>
                <c:pt idx="14">
                  <c:v>0.30890101725921598</c:v>
                </c:pt>
              </c:numCache>
            </c:numRef>
          </c:val>
          <c:smooth val="1"/>
          <c:extLst>
            <c:ext xmlns:c16="http://schemas.microsoft.com/office/drawing/2014/chart" uri="{C3380CC4-5D6E-409C-BE32-E72D297353CC}">
              <c16:uniqueId val="{00000000-F1BA-4D67-BBCB-3477963CCB56}"/>
            </c:ext>
          </c:extLst>
        </c:ser>
        <c:dLbls>
          <c:showLegendKey val="0"/>
          <c:showVal val="0"/>
          <c:showCatName val="0"/>
          <c:showSerName val="0"/>
          <c:showPercent val="0"/>
          <c:showBubbleSize val="0"/>
        </c:dLbls>
        <c:smooth val="0"/>
        <c:axId val="266292608"/>
        <c:axId val="266298496"/>
      </c:lineChart>
      <c:dateAx>
        <c:axId val="26629260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66298496"/>
        <c:crosses val="autoZero"/>
        <c:auto val="1"/>
        <c:lblOffset val="100"/>
        <c:baseTimeUnit val="months"/>
        <c:majorUnit val="3"/>
        <c:majorTimeUnit val="months"/>
      </c:dateAx>
      <c:valAx>
        <c:axId val="26629849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66292608"/>
        <c:crosses val="autoZero"/>
        <c:crossBetween val="between"/>
        <c:majorUnit val="1.0000000000000002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s-AR" sz="1600" b="1"/>
              <a:t>LTM</a:t>
            </a:r>
            <a:r>
              <a:rPr lang="es-AR" sz="1600" b="1" baseline="0"/>
              <a:t> ROIC</a:t>
            </a:r>
            <a:endParaRPr lang="es-AR"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manualLayout>
          <c:layoutTarget val="inner"/>
          <c:xMode val="edge"/>
          <c:yMode val="edge"/>
          <c:x val="9.1563702545050071E-2"/>
          <c:y val="0.18188800222719012"/>
          <c:w val="0.8843228257053406"/>
          <c:h val="0.67696544267426828"/>
        </c:manualLayout>
      </c:layout>
      <c:lineChart>
        <c:grouping val="standard"/>
        <c:varyColors val="0"/>
        <c:ser>
          <c:idx val="0"/>
          <c:order val="0"/>
          <c:spPr>
            <a:ln w="28575" cap="rnd">
              <a:solidFill>
                <a:schemeClr val="accent1"/>
              </a:solidFill>
              <a:round/>
            </a:ln>
            <a:effectLst/>
          </c:spPr>
          <c:marker>
            <c:symbol val="none"/>
          </c:marker>
          <c:dPt>
            <c:idx val="0"/>
            <c:marker>
              <c:symbol val="none"/>
            </c:marker>
            <c:bubble3D val="0"/>
            <c:spPr>
              <a:ln w="28575" cap="rnd">
                <a:solidFill>
                  <a:srgbClr val="FF0000"/>
                </a:solidFill>
                <a:round/>
              </a:ln>
              <a:effectLst/>
            </c:spPr>
            <c:extLst>
              <c:ext xmlns:c16="http://schemas.microsoft.com/office/drawing/2014/chart" uri="{C3380CC4-5D6E-409C-BE32-E72D297353CC}">
                <c16:uniqueId val="{00000001-C0A0-4E07-A2A3-6A144B759BA5}"/>
              </c:ext>
            </c:extLst>
          </c:dPt>
          <c:dPt>
            <c:idx val="1"/>
            <c:marker>
              <c:symbol val="none"/>
            </c:marker>
            <c:bubble3D val="0"/>
            <c:spPr>
              <a:ln w="28575" cap="rnd">
                <a:solidFill>
                  <a:srgbClr val="FF0000"/>
                </a:solidFill>
                <a:round/>
              </a:ln>
              <a:effectLst/>
            </c:spPr>
            <c:extLst>
              <c:ext xmlns:c16="http://schemas.microsoft.com/office/drawing/2014/chart" uri="{C3380CC4-5D6E-409C-BE32-E72D297353CC}">
                <c16:uniqueId val="{00000003-C0A0-4E07-A2A3-6A144B759BA5}"/>
              </c:ext>
            </c:extLst>
          </c:dPt>
          <c:dPt>
            <c:idx val="2"/>
            <c:marker>
              <c:symbol val="none"/>
            </c:marker>
            <c:bubble3D val="0"/>
            <c:spPr>
              <a:ln w="28575" cap="rnd">
                <a:solidFill>
                  <a:srgbClr val="FF0000"/>
                </a:solidFill>
                <a:round/>
              </a:ln>
              <a:effectLst/>
            </c:spPr>
            <c:extLst>
              <c:ext xmlns:c16="http://schemas.microsoft.com/office/drawing/2014/chart" uri="{C3380CC4-5D6E-409C-BE32-E72D297353CC}">
                <c16:uniqueId val="{00000005-C0A0-4E07-A2A3-6A144B759BA5}"/>
              </c:ext>
            </c:extLst>
          </c:dPt>
          <c:dPt>
            <c:idx val="3"/>
            <c:marker>
              <c:symbol val="none"/>
            </c:marker>
            <c:bubble3D val="0"/>
            <c:spPr>
              <a:ln w="28575" cap="rnd">
                <a:solidFill>
                  <a:srgbClr val="FF0000"/>
                </a:solidFill>
                <a:round/>
              </a:ln>
              <a:effectLst/>
            </c:spPr>
            <c:extLst>
              <c:ext xmlns:c16="http://schemas.microsoft.com/office/drawing/2014/chart" uri="{C3380CC4-5D6E-409C-BE32-E72D297353CC}">
                <c16:uniqueId val="{00000007-C0A0-4E07-A2A3-6A144B759BA5}"/>
              </c:ext>
            </c:extLst>
          </c:dPt>
          <c:dPt>
            <c:idx val="4"/>
            <c:marker>
              <c:symbol val="none"/>
            </c:marker>
            <c:bubble3D val="0"/>
            <c:spPr>
              <a:ln w="28575" cap="rnd">
                <a:solidFill>
                  <a:srgbClr val="FF0000"/>
                </a:solidFill>
                <a:round/>
              </a:ln>
              <a:effectLst/>
            </c:spPr>
            <c:extLst>
              <c:ext xmlns:c16="http://schemas.microsoft.com/office/drawing/2014/chart" uri="{C3380CC4-5D6E-409C-BE32-E72D297353CC}">
                <c16:uniqueId val="{00000009-C0A0-4E07-A2A3-6A144B759BA5}"/>
              </c:ext>
            </c:extLst>
          </c:dPt>
          <c:cat>
            <c:numRef>
              <c:f>PROJ!$DF$2:$DP$2</c:f>
              <c:numCache>
                <c:formatCode>General</c:formatCode>
                <c:ptCount val="5"/>
                <c:pt idx="0">
                  <c:v>2021</c:v>
                </c:pt>
                <c:pt idx="1">
                  <c:v>2022</c:v>
                </c:pt>
                <c:pt idx="2">
                  <c:v>2023</c:v>
                </c:pt>
                <c:pt idx="3">
                  <c:v>2024</c:v>
                </c:pt>
                <c:pt idx="4">
                  <c:v>2025</c:v>
                </c:pt>
              </c:numCache>
            </c:numRef>
          </c:cat>
          <c:val>
            <c:numRef>
              <c:f>PROJ!$DF$255:$DP$255</c:f>
              <c:numCache>
                <c:formatCode>0.00%</c:formatCode>
                <c:ptCount val="5"/>
                <c:pt idx="0">
                  <c:v>9.3444120397692856E-2</c:v>
                </c:pt>
                <c:pt idx="1">
                  <c:v>0.14251749246394063</c:v>
                </c:pt>
                <c:pt idx="2">
                  <c:v>8.9808936123816172E-2</c:v>
                </c:pt>
                <c:pt idx="3">
                  <c:v>0.1111552779433899</c:v>
                </c:pt>
                <c:pt idx="4">
                  <c:v>0.14750076606432247</c:v>
                </c:pt>
              </c:numCache>
            </c:numRef>
          </c:val>
          <c:smooth val="1"/>
          <c:extLst>
            <c:ext xmlns:c16="http://schemas.microsoft.com/office/drawing/2014/chart" uri="{C3380CC4-5D6E-409C-BE32-E72D297353CC}">
              <c16:uniqueId val="{00000000-7345-4351-B669-6B64B71AA927}"/>
            </c:ext>
          </c:extLst>
        </c:ser>
        <c:dLbls>
          <c:showLegendKey val="0"/>
          <c:showVal val="0"/>
          <c:showCatName val="0"/>
          <c:showSerName val="0"/>
          <c:showPercent val="0"/>
          <c:showBubbleSize val="0"/>
        </c:dLbls>
        <c:smooth val="0"/>
        <c:axId val="269973760"/>
        <c:axId val="269991936"/>
      </c:lineChart>
      <c:catAx>
        <c:axId val="269973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69991936"/>
        <c:crosses val="autoZero"/>
        <c:auto val="1"/>
        <c:lblAlgn val="ctr"/>
        <c:lblOffset val="100"/>
        <c:noMultiLvlLbl val="1"/>
      </c:catAx>
      <c:valAx>
        <c:axId val="2699919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97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pt-BR" sz="1200"/>
              <a:t>PD</a:t>
            </a:r>
            <a:r>
              <a:rPr lang="pt-BR" sz="1200" baseline="0"/>
              <a:t>D como % carteira</a:t>
            </a:r>
            <a:endParaRPr lang="pt-BR" sz="1200"/>
          </a:p>
        </c:rich>
      </c:tx>
      <c:layout>
        <c:manualLayout>
          <c:xMode val="edge"/>
          <c:yMode val="edge"/>
          <c:x val="0.36150000000000032"/>
          <c:y val="3.7037037037037056E-2"/>
        </c:manualLayout>
      </c:layout>
      <c:overlay val="1"/>
    </c:title>
    <c:autoTitleDeleted val="0"/>
    <c:plotArea>
      <c:layout>
        <c:manualLayout>
          <c:layoutTarget val="inner"/>
          <c:xMode val="edge"/>
          <c:yMode val="edge"/>
          <c:x val="0.11286351706036735"/>
          <c:y val="0.13010425780110821"/>
          <c:w val="0.85858092738407765"/>
          <c:h val="0.75391586468359495"/>
        </c:manualLayout>
      </c:layout>
      <c:lineChart>
        <c:grouping val="standard"/>
        <c:varyColors val="0"/>
        <c:ser>
          <c:idx val="0"/>
          <c:order val="0"/>
          <c:tx>
            <c:v>2011</c:v>
          </c:tx>
          <c:marker>
            <c:symbol val="none"/>
          </c:marker>
          <c:val>
            <c:numRef>
              <c:f>Cartao!#REF!</c:f>
              <c:numCache>
                <c:formatCode>General</c:formatCode>
                <c:ptCount val="1"/>
                <c:pt idx="0">
                  <c:v>1</c:v>
                </c:pt>
              </c:numCache>
            </c:numRef>
          </c:val>
          <c:smooth val="0"/>
          <c:extLst>
            <c:ext xmlns:c16="http://schemas.microsoft.com/office/drawing/2014/chart" uri="{C3380CC4-5D6E-409C-BE32-E72D297353CC}">
              <c16:uniqueId val="{00000000-CAEA-48FF-B750-AE90B38246D7}"/>
            </c:ext>
          </c:extLst>
        </c:ser>
        <c:ser>
          <c:idx val="1"/>
          <c:order val="1"/>
          <c:tx>
            <c:v>2012</c:v>
          </c:tx>
          <c:marker>
            <c:symbol val="none"/>
          </c:marker>
          <c:val>
            <c:numRef>
              <c:f>Cartao!#REF!</c:f>
              <c:numCache>
                <c:formatCode>General</c:formatCode>
                <c:ptCount val="1"/>
                <c:pt idx="0">
                  <c:v>1</c:v>
                </c:pt>
              </c:numCache>
            </c:numRef>
          </c:val>
          <c:smooth val="0"/>
          <c:extLst>
            <c:ext xmlns:c16="http://schemas.microsoft.com/office/drawing/2014/chart" uri="{C3380CC4-5D6E-409C-BE32-E72D297353CC}">
              <c16:uniqueId val="{00000001-CAEA-48FF-B750-AE90B38246D7}"/>
            </c:ext>
          </c:extLst>
        </c:ser>
        <c:ser>
          <c:idx val="2"/>
          <c:order val="2"/>
          <c:tx>
            <c:v>2012</c:v>
          </c:tx>
          <c:marker>
            <c:symbol val="none"/>
          </c:marker>
          <c:val>
            <c:numRef>
              <c:f>Cartao!#REF!</c:f>
              <c:numCache>
                <c:formatCode>General</c:formatCode>
                <c:ptCount val="1"/>
                <c:pt idx="0">
                  <c:v>1</c:v>
                </c:pt>
              </c:numCache>
            </c:numRef>
          </c:val>
          <c:smooth val="0"/>
          <c:extLst>
            <c:ext xmlns:c16="http://schemas.microsoft.com/office/drawing/2014/chart" uri="{C3380CC4-5D6E-409C-BE32-E72D297353CC}">
              <c16:uniqueId val="{00000002-CAEA-48FF-B750-AE90B38246D7}"/>
            </c:ext>
          </c:extLst>
        </c:ser>
        <c:dLbls>
          <c:showLegendKey val="0"/>
          <c:showVal val="0"/>
          <c:showCatName val="0"/>
          <c:showSerName val="0"/>
          <c:showPercent val="0"/>
          <c:showBubbleSize val="0"/>
        </c:dLbls>
        <c:marker val="1"/>
        <c:smooth val="0"/>
        <c:axId val="270152064"/>
        <c:axId val="270153600"/>
      </c:lineChart>
      <c:scatterChart>
        <c:scatterStyle val="lineMarker"/>
        <c:varyColors val="0"/>
        <c:ser>
          <c:idx val="3"/>
          <c:order val="3"/>
          <c:tx>
            <c:v>2014</c:v>
          </c:tx>
          <c:yVal>
            <c:numRef>
              <c:f>Cartao!#REF!</c:f>
              <c:numCache>
                <c:formatCode>General</c:formatCode>
                <c:ptCount val="1"/>
                <c:pt idx="0">
                  <c:v>1</c:v>
                </c:pt>
              </c:numCache>
            </c:numRef>
          </c:yVal>
          <c:smooth val="0"/>
          <c:extLst>
            <c:ext xmlns:c16="http://schemas.microsoft.com/office/drawing/2014/chart" uri="{C3380CC4-5D6E-409C-BE32-E72D297353CC}">
              <c16:uniqueId val="{00000003-CAEA-48FF-B750-AE90B38246D7}"/>
            </c:ext>
          </c:extLst>
        </c:ser>
        <c:dLbls>
          <c:showLegendKey val="0"/>
          <c:showVal val="0"/>
          <c:showCatName val="0"/>
          <c:showSerName val="0"/>
          <c:showPercent val="0"/>
          <c:showBubbleSize val="0"/>
        </c:dLbls>
        <c:axId val="270152064"/>
        <c:axId val="270153600"/>
      </c:scatterChart>
      <c:catAx>
        <c:axId val="270152064"/>
        <c:scaling>
          <c:orientation val="minMax"/>
        </c:scaling>
        <c:delete val="0"/>
        <c:axPos val="b"/>
        <c:majorTickMark val="out"/>
        <c:minorTickMark val="none"/>
        <c:tickLblPos val="nextTo"/>
        <c:crossAx val="270153600"/>
        <c:crosses val="autoZero"/>
        <c:auto val="1"/>
        <c:lblAlgn val="ctr"/>
        <c:lblOffset val="100"/>
        <c:noMultiLvlLbl val="0"/>
      </c:catAx>
      <c:valAx>
        <c:axId val="270153600"/>
        <c:scaling>
          <c:orientation val="minMax"/>
          <c:max val="8.0000000000000043E-2"/>
          <c:min val="4.0000000000000022E-2"/>
        </c:scaling>
        <c:delete val="0"/>
        <c:axPos val="l"/>
        <c:majorGridlines/>
        <c:numFmt formatCode="General" sourceLinked="1"/>
        <c:majorTickMark val="out"/>
        <c:minorTickMark val="none"/>
        <c:tickLblPos val="nextTo"/>
        <c:crossAx val="270152064"/>
        <c:crosses val="autoZero"/>
        <c:crossBetween val="between"/>
      </c:valAx>
    </c:plotArea>
    <c:legend>
      <c:legendPos val="r"/>
      <c:layout>
        <c:manualLayout>
          <c:xMode val="edge"/>
          <c:yMode val="edge"/>
          <c:x val="0.20477777777777778"/>
          <c:y val="0.75849154272383223"/>
          <c:w val="0.66744444444445505"/>
          <c:h val="0.12653543307086845"/>
        </c:manualLayout>
      </c:layout>
      <c:overlay val="0"/>
    </c:legend>
    <c:plotVisOnly val="1"/>
    <c:dispBlanksAs val="gap"/>
    <c:showDLblsOverMax val="0"/>
  </c:chart>
  <c:printSettings>
    <c:headerFooter/>
    <c:pageMargins b="0.75000000000000744" l="0.70000000000000062" r="0.70000000000000062" t="0.75000000000000744"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pt-BR" sz="1200"/>
              <a:t>Atrasados</a:t>
            </a:r>
            <a:r>
              <a:rPr lang="pt-BR" sz="1200" baseline="0"/>
              <a:t> &lt; 30 dias % carteira</a:t>
            </a:r>
            <a:endParaRPr lang="pt-BR" sz="1200"/>
          </a:p>
        </c:rich>
      </c:tx>
      <c:overlay val="1"/>
    </c:title>
    <c:autoTitleDeleted val="0"/>
    <c:plotArea>
      <c:layout>
        <c:manualLayout>
          <c:layoutTarget val="inner"/>
          <c:xMode val="edge"/>
          <c:yMode val="edge"/>
          <c:x val="0.11266885389326335"/>
          <c:y val="0.12298006918746435"/>
          <c:w val="0.85877559055119357"/>
          <c:h val="0.78169364246135964"/>
        </c:manualLayout>
      </c:layout>
      <c:lineChart>
        <c:grouping val="standard"/>
        <c:varyColors val="0"/>
        <c:ser>
          <c:idx val="1"/>
          <c:order val="5"/>
          <c:tx>
            <c:v>2010</c:v>
          </c:tx>
          <c:marker>
            <c:symbol val="none"/>
          </c:marker>
          <c:val>
            <c:numRef>
              <c:f>Cartao!$AA$197:$AD$197</c:f>
            </c:numRef>
          </c:val>
          <c:smooth val="0"/>
          <c:extLst>
            <c:ext xmlns:c16="http://schemas.microsoft.com/office/drawing/2014/chart" uri="{C3380CC4-5D6E-409C-BE32-E72D297353CC}">
              <c16:uniqueId val="{00000000-DD40-4DE3-AD42-EE4FA695D09F}"/>
            </c:ext>
          </c:extLst>
        </c:ser>
        <c:ser>
          <c:idx val="6"/>
          <c:order val="6"/>
          <c:tx>
            <c:v>2011</c:v>
          </c:tx>
          <c:marker>
            <c:symbol val="none"/>
          </c:marker>
          <c:val>
            <c:numRef>
              <c:f>Cartao!$AE$197:$AH$197</c:f>
            </c:numRef>
          </c:val>
          <c:smooth val="0"/>
          <c:extLst>
            <c:ext xmlns:c16="http://schemas.microsoft.com/office/drawing/2014/chart" uri="{C3380CC4-5D6E-409C-BE32-E72D297353CC}">
              <c16:uniqueId val="{00000001-DD40-4DE3-AD42-EE4FA695D09F}"/>
            </c:ext>
          </c:extLst>
        </c:ser>
        <c:ser>
          <c:idx val="7"/>
          <c:order val="7"/>
          <c:tx>
            <c:v>2012</c:v>
          </c:tx>
          <c:marker>
            <c:symbol val="none"/>
          </c:marker>
          <c:val>
            <c:numRef>
              <c:f>Cartao!$AI$197:$AL$197</c:f>
            </c:numRef>
          </c:val>
          <c:smooth val="0"/>
          <c:extLst>
            <c:ext xmlns:c16="http://schemas.microsoft.com/office/drawing/2014/chart" uri="{C3380CC4-5D6E-409C-BE32-E72D297353CC}">
              <c16:uniqueId val="{00000002-DD40-4DE3-AD42-EE4FA695D09F}"/>
            </c:ext>
          </c:extLst>
        </c:ser>
        <c:ser>
          <c:idx val="8"/>
          <c:order val="8"/>
          <c:tx>
            <c:v>2013</c:v>
          </c:tx>
          <c:marker>
            <c:symbol val="none"/>
          </c:marker>
          <c:val>
            <c:numRef>
              <c:f>Cartao!$AM$197:$AP$197</c:f>
            </c:numRef>
          </c:val>
          <c:smooth val="0"/>
          <c:extLst>
            <c:ext xmlns:c16="http://schemas.microsoft.com/office/drawing/2014/chart" uri="{C3380CC4-5D6E-409C-BE32-E72D297353CC}">
              <c16:uniqueId val="{00000003-DD40-4DE3-AD42-EE4FA695D09F}"/>
            </c:ext>
          </c:extLst>
        </c:ser>
        <c:ser>
          <c:idx val="9"/>
          <c:order val="9"/>
          <c:tx>
            <c:v>2014</c:v>
          </c:tx>
          <c:marker>
            <c:symbol val="none"/>
          </c:marker>
          <c:val>
            <c:numRef>
              <c:f>Cartao!$AQ$197:$AR$197</c:f>
              <c:numCache>
                <c:formatCode>0.0%</c:formatCode>
                <c:ptCount val="2"/>
                <c:pt idx="0">
                  <c:v>0.12084912868435746</c:v>
                </c:pt>
                <c:pt idx="1">
                  <c:v>0.15373287712113171</c:v>
                </c:pt>
              </c:numCache>
            </c:numRef>
          </c:val>
          <c:smooth val="0"/>
          <c:extLst>
            <c:ext xmlns:c16="http://schemas.microsoft.com/office/drawing/2014/chart" uri="{C3380CC4-5D6E-409C-BE32-E72D297353CC}">
              <c16:uniqueId val="{00000004-DD40-4DE3-AD42-EE4FA695D09F}"/>
            </c:ext>
          </c:extLst>
        </c:ser>
        <c:ser>
          <c:idx val="0"/>
          <c:order val="0"/>
          <c:tx>
            <c:v>2010</c:v>
          </c:tx>
          <c:marker>
            <c:symbol val="none"/>
          </c:marker>
          <c:val>
            <c:numRef>
              <c:f>Cartao!$AA$197:$AD$197</c:f>
            </c:numRef>
          </c:val>
          <c:smooth val="0"/>
          <c:extLst>
            <c:ext xmlns:c16="http://schemas.microsoft.com/office/drawing/2014/chart" uri="{C3380CC4-5D6E-409C-BE32-E72D297353CC}">
              <c16:uniqueId val="{00000005-DD40-4DE3-AD42-EE4FA695D09F}"/>
            </c:ext>
          </c:extLst>
        </c:ser>
        <c:ser>
          <c:idx val="2"/>
          <c:order val="1"/>
          <c:tx>
            <c:v>2011</c:v>
          </c:tx>
          <c:marker>
            <c:symbol val="none"/>
          </c:marker>
          <c:val>
            <c:numRef>
              <c:f>Cartao!$AE$197:$AH$197</c:f>
            </c:numRef>
          </c:val>
          <c:smooth val="0"/>
          <c:extLst>
            <c:ext xmlns:c16="http://schemas.microsoft.com/office/drawing/2014/chart" uri="{C3380CC4-5D6E-409C-BE32-E72D297353CC}">
              <c16:uniqueId val="{00000006-DD40-4DE3-AD42-EE4FA695D09F}"/>
            </c:ext>
          </c:extLst>
        </c:ser>
        <c:ser>
          <c:idx val="3"/>
          <c:order val="2"/>
          <c:tx>
            <c:v>2012</c:v>
          </c:tx>
          <c:marker>
            <c:symbol val="none"/>
          </c:marker>
          <c:val>
            <c:numRef>
              <c:f>Cartao!$AI$197:$AL$197</c:f>
            </c:numRef>
          </c:val>
          <c:smooth val="0"/>
          <c:extLst>
            <c:ext xmlns:c16="http://schemas.microsoft.com/office/drawing/2014/chart" uri="{C3380CC4-5D6E-409C-BE32-E72D297353CC}">
              <c16:uniqueId val="{00000007-DD40-4DE3-AD42-EE4FA695D09F}"/>
            </c:ext>
          </c:extLst>
        </c:ser>
        <c:ser>
          <c:idx val="4"/>
          <c:order val="3"/>
          <c:tx>
            <c:v>2013</c:v>
          </c:tx>
          <c:marker>
            <c:symbol val="none"/>
          </c:marker>
          <c:val>
            <c:numRef>
              <c:f>Cartao!$AM$197:$AP$197</c:f>
            </c:numRef>
          </c:val>
          <c:smooth val="0"/>
          <c:extLst>
            <c:ext xmlns:c16="http://schemas.microsoft.com/office/drawing/2014/chart" uri="{C3380CC4-5D6E-409C-BE32-E72D297353CC}">
              <c16:uniqueId val="{00000008-DD40-4DE3-AD42-EE4FA695D09F}"/>
            </c:ext>
          </c:extLst>
        </c:ser>
        <c:ser>
          <c:idx val="5"/>
          <c:order val="4"/>
          <c:tx>
            <c:v>2014</c:v>
          </c:tx>
          <c:marker>
            <c:symbol val="none"/>
          </c:marker>
          <c:val>
            <c:numRef>
              <c:f>Cartao!$AQ$197:$AR$197</c:f>
              <c:numCache>
                <c:formatCode>0.0%</c:formatCode>
                <c:ptCount val="2"/>
                <c:pt idx="0">
                  <c:v>0.12084912868435746</c:v>
                </c:pt>
                <c:pt idx="1">
                  <c:v>0.15373287712113171</c:v>
                </c:pt>
              </c:numCache>
            </c:numRef>
          </c:val>
          <c:smooth val="0"/>
          <c:extLst>
            <c:ext xmlns:c16="http://schemas.microsoft.com/office/drawing/2014/chart" uri="{C3380CC4-5D6E-409C-BE32-E72D297353CC}">
              <c16:uniqueId val="{00000009-DD40-4DE3-AD42-EE4FA695D09F}"/>
            </c:ext>
          </c:extLst>
        </c:ser>
        <c:dLbls>
          <c:showLegendKey val="0"/>
          <c:showVal val="0"/>
          <c:showCatName val="0"/>
          <c:showSerName val="0"/>
          <c:showPercent val="0"/>
          <c:showBubbleSize val="0"/>
        </c:dLbls>
        <c:smooth val="0"/>
        <c:axId val="270226560"/>
        <c:axId val="270228096"/>
      </c:lineChart>
      <c:catAx>
        <c:axId val="270226560"/>
        <c:scaling>
          <c:orientation val="minMax"/>
        </c:scaling>
        <c:delete val="0"/>
        <c:axPos val="b"/>
        <c:majorTickMark val="out"/>
        <c:minorTickMark val="none"/>
        <c:tickLblPos val="nextTo"/>
        <c:crossAx val="270228096"/>
        <c:crosses val="autoZero"/>
        <c:auto val="1"/>
        <c:lblAlgn val="ctr"/>
        <c:lblOffset val="100"/>
        <c:noMultiLvlLbl val="0"/>
      </c:catAx>
      <c:valAx>
        <c:axId val="270228096"/>
        <c:scaling>
          <c:orientation val="minMax"/>
          <c:min val="0.05"/>
        </c:scaling>
        <c:delete val="0"/>
        <c:axPos val="l"/>
        <c:majorGridlines/>
        <c:numFmt formatCode="0.0%" sourceLinked="1"/>
        <c:majorTickMark val="out"/>
        <c:minorTickMark val="none"/>
        <c:tickLblPos val="nextTo"/>
        <c:crossAx val="270226560"/>
        <c:crosses val="autoZero"/>
        <c:crossBetween val="between"/>
      </c:valAx>
    </c:plotArea>
    <c:legend>
      <c:legendPos val="r"/>
      <c:layout>
        <c:manualLayout>
          <c:xMode val="edge"/>
          <c:yMode val="edge"/>
          <c:x val="8.8111111111111112E-2"/>
          <c:y val="0.81687728963208261"/>
          <c:w val="0.88133333333333319"/>
          <c:h val="7.5609507144940233E-2"/>
        </c:manualLayout>
      </c:layout>
      <c:overlay val="0"/>
    </c:legend>
    <c:plotVisOnly val="1"/>
    <c:dispBlanksAs val="gap"/>
    <c:showDLblsOverMax val="0"/>
  </c:chart>
  <c:printSettings>
    <c:headerFooter/>
    <c:pageMargins b="0.75000000000000566" l="0.70000000000000062" r="0.70000000000000062" t="0.75000000000000566"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pt-BR" sz="1200"/>
              <a:t>Atrasados</a:t>
            </a:r>
            <a:r>
              <a:rPr lang="pt-BR" sz="1200" baseline="0"/>
              <a:t> &gt; 30 dias % carteira</a:t>
            </a:r>
            <a:endParaRPr lang="pt-BR" sz="1200"/>
          </a:p>
        </c:rich>
      </c:tx>
      <c:overlay val="1"/>
    </c:title>
    <c:autoTitleDeleted val="0"/>
    <c:plotArea>
      <c:layout>
        <c:manualLayout>
          <c:layoutTarget val="inner"/>
          <c:xMode val="edge"/>
          <c:yMode val="edge"/>
          <c:x val="0.11266885389326335"/>
          <c:y val="0.12298006918746435"/>
          <c:w val="0.85877559055119357"/>
          <c:h val="0.78169364246135964"/>
        </c:manualLayout>
      </c:layout>
      <c:lineChart>
        <c:grouping val="standard"/>
        <c:varyColors val="0"/>
        <c:ser>
          <c:idx val="0"/>
          <c:order val="0"/>
          <c:tx>
            <c:v>2010</c:v>
          </c:tx>
          <c:marker>
            <c:symbol val="none"/>
          </c:marker>
          <c:val>
            <c:numRef>
              <c:f>Cartao!$AA$200:$AD$200</c:f>
            </c:numRef>
          </c:val>
          <c:smooth val="0"/>
          <c:extLst>
            <c:ext xmlns:c16="http://schemas.microsoft.com/office/drawing/2014/chart" uri="{C3380CC4-5D6E-409C-BE32-E72D297353CC}">
              <c16:uniqueId val="{00000000-CC79-475C-A255-1BDC2E300600}"/>
            </c:ext>
          </c:extLst>
        </c:ser>
        <c:ser>
          <c:idx val="2"/>
          <c:order val="1"/>
          <c:tx>
            <c:v>2011</c:v>
          </c:tx>
          <c:marker>
            <c:symbol val="none"/>
          </c:marker>
          <c:val>
            <c:numRef>
              <c:f>Cartao!$AE$200:$AH$200</c:f>
            </c:numRef>
          </c:val>
          <c:smooth val="0"/>
          <c:extLst>
            <c:ext xmlns:c16="http://schemas.microsoft.com/office/drawing/2014/chart" uri="{C3380CC4-5D6E-409C-BE32-E72D297353CC}">
              <c16:uniqueId val="{00000001-CC79-475C-A255-1BDC2E300600}"/>
            </c:ext>
          </c:extLst>
        </c:ser>
        <c:ser>
          <c:idx val="3"/>
          <c:order val="2"/>
          <c:tx>
            <c:v>2012</c:v>
          </c:tx>
          <c:marker>
            <c:symbol val="none"/>
          </c:marker>
          <c:val>
            <c:numRef>
              <c:f>Cartao!$AI$200:$AL$200</c:f>
            </c:numRef>
          </c:val>
          <c:smooth val="0"/>
          <c:extLst>
            <c:ext xmlns:c16="http://schemas.microsoft.com/office/drawing/2014/chart" uri="{C3380CC4-5D6E-409C-BE32-E72D297353CC}">
              <c16:uniqueId val="{00000002-CC79-475C-A255-1BDC2E300600}"/>
            </c:ext>
          </c:extLst>
        </c:ser>
        <c:ser>
          <c:idx val="4"/>
          <c:order val="3"/>
          <c:tx>
            <c:v>2013</c:v>
          </c:tx>
          <c:marker>
            <c:symbol val="none"/>
          </c:marker>
          <c:val>
            <c:numRef>
              <c:f>Cartao!$AM$200:$AP$200</c:f>
            </c:numRef>
          </c:val>
          <c:smooth val="0"/>
          <c:extLst>
            <c:ext xmlns:c16="http://schemas.microsoft.com/office/drawing/2014/chart" uri="{C3380CC4-5D6E-409C-BE32-E72D297353CC}">
              <c16:uniqueId val="{00000003-CC79-475C-A255-1BDC2E300600}"/>
            </c:ext>
          </c:extLst>
        </c:ser>
        <c:ser>
          <c:idx val="5"/>
          <c:order val="4"/>
          <c:tx>
            <c:v>2014</c:v>
          </c:tx>
          <c:marker>
            <c:symbol val="none"/>
          </c:marker>
          <c:val>
            <c:numRef>
              <c:f>Cartao!$AQ$200:$AR$200</c:f>
              <c:numCache>
                <c:formatCode>0.0%</c:formatCode>
                <c:ptCount val="2"/>
                <c:pt idx="0">
                  <c:v>3.5327404566693116E-2</c:v>
                </c:pt>
                <c:pt idx="1">
                  <c:v>5.8321152120290702E-2</c:v>
                </c:pt>
              </c:numCache>
            </c:numRef>
          </c:val>
          <c:smooth val="0"/>
          <c:extLst>
            <c:ext xmlns:c16="http://schemas.microsoft.com/office/drawing/2014/chart" uri="{C3380CC4-5D6E-409C-BE32-E72D297353CC}">
              <c16:uniqueId val="{00000004-CC79-475C-A255-1BDC2E300600}"/>
            </c:ext>
          </c:extLst>
        </c:ser>
        <c:dLbls>
          <c:showLegendKey val="0"/>
          <c:showVal val="0"/>
          <c:showCatName val="0"/>
          <c:showSerName val="0"/>
          <c:showPercent val="0"/>
          <c:showBubbleSize val="0"/>
        </c:dLbls>
        <c:smooth val="0"/>
        <c:axId val="270110720"/>
        <c:axId val="270112256"/>
      </c:lineChart>
      <c:catAx>
        <c:axId val="270110720"/>
        <c:scaling>
          <c:orientation val="minMax"/>
        </c:scaling>
        <c:delete val="0"/>
        <c:axPos val="b"/>
        <c:majorTickMark val="out"/>
        <c:minorTickMark val="none"/>
        <c:tickLblPos val="nextTo"/>
        <c:crossAx val="270112256"/>
        <c:crosses val="autoZero"/>
        <c:auto val="1"/>
        <c:lblAlgn val="ctr"/>
        <c:lblOffset val="100"/>
        <c:noMultiLvlLbl val="0"/>
      </c:catAx>
      <c:valAx>
        <c:axId val="270112256"/>
        <c:scaling>
          <c:orientation val="minMax"/>
          <c:min val="0.05"/>
        </c:scaling>
        <c:delete val="0"/>
        <c:axPos val="l"/>
        <c:majorGridlines/>
        <c:numFmt formatCode="0.0%" sourceLinked="1"/>
        <c:majorTickMark val="out"/>
        <c:minorTickMark val="none"/>
        <c:tickLblPos val="nextTo"/>
        <c:crossAx val="270110720"/>
        <c:crosses val="autoZero"/>
        <c:crossBetween val="between"/>
      </c:valAx>
    </c:plotArea>
    <c:legend>
      <c:legendPos val="r"/>
      <c:layout>
        <c:manualLayout>
          <c:xMode val="edge"/>
          <c:yMode val="edge"/>
          <c:x val="0.15200000000000041"/>
          <c:y val="0.79332016360145796"/>
          <c:w val="0.77577777777778356"/>
          <c:h val="0.14071988351279754"/>
        </c:manualLayout>
      </c:layout>
      <c:overlay val="0"/>
    </c:legend>
    <c:plotVisOnly val="1"/>
    <c:dispBlanksAs val="gap"/>
    <c:showDLblsOverMax val="0"/>
  </c:chart>
  <c:printSettings>
    <c:headerFooter/>
    <c:pageMargins b="0.75000000000000566" l="0.70000000000000062" r="0.70000000000000062" t="0.75000000000000566"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Cartao!$A$96</c:f>
              <c:strCache>
                <c:ptCount val="1"/>
                <c:pt idx="0">
                  <c:v>SELIC</c:v>
                </c:pt>
              </c:strCache>
            </c:strRef>
          </c:tx>
          <c:spPr>
            <a:ln w="28575" cap="rnd">
              <a:solidFill>
                <a:schemeClr val="accent1"/>
              </a:solidFill>
              <a:round/>
            </a:ln>
            <a:effectLst/>
          </c:spPr>
          <c:marker>
            <c:symbol val="none"/>
          </c:marker>
          <c:cat>
            <c:numRef>
              <c:f>Cartao!$AQ$1:$CD$1</c:f>
              <c:numCache>
                <c:formatCode>mmm\-yy</c:formatCode>
                <c:ptCount val="40"/>
                <c:pt idx="0">
                  <c:v>41729</c:v>
                </c:pt>
                <c:pt idx="1">
                  <c:v>41820</c:v>
                </c:pt>
                <c:pt idx="2">
                  <c:v>41912</c:v>
                </c:pt>
                <c:pt idx="3">
                  <c:v>42004</c:v>
                </c:pt>
                <c:pt idx="4">
                  <c:v>42094</c:v>
                </c:pt>
                <c:pt idx="5">
                  <c:v>42185</c:v>
                </c:pt>
                <c:pt idx="6">
                  <c:v>42277</c:v>
                </c:pt>
                <c:pt idx="7">
                  <c:v>42369</c:v>
                </c:pt>
                <c:pt idx="8">
                  <c:v>42460</c:v>
                </c:pt>
                <c:pt idx="9">
                  <c:v>42551</c:v>
                </c:pt>
                <c:pt idx="10">
                  <c:v>42643</c:v>
                </c:pt>
                <c:pt idx="11">
                  <c:v>42735</c:v>
                </c:pt>
                <c:pt idx="12">
                  <c:v>42825</c:v>
                </c:pt>
                <c:pt idx="13">
                  <c:v>42916</c:v>
                </c:pt>
                <c:pt idx="14">
                  <c:v>43008</c:v>
                </c:pt>
                <c:pt idx="15">
                  <c:v>43100</c:v>
                </c:pt>
                <c:pt idx="16">
                  <c:v>43190</c:v>
                </c:pt>
                <c:pt idx="17">
                  <c:v>43281</c:v>
                </c:pt>
                <c:pt idx="18">
                  <c:v>43373</c:v>
                </c:pt>
                <c:pt idx="19">
                  <c:v>43465</c:v>
                </c:pt>
                <c:pt idx="20">
                  <c:v>43555</c:v>
                </c:pt>
                <c:pt idx="21">
                  <c:v>43646</c:v>
                </c:pt>
                <c:pt idx="22">
                  <c:v>43738</c:v>
                </c:pt>
                <c:pt idx="23">
                  <c:v>43830</c:v>
                </c:pt>
                <c:pt idx="24">
                  <c:v>43921</c:v>
                </c:pt>
                <c:pt idx="25">
                  <c:v>44012</c:v>
                </c:pt>
                <c:pt idx="26">
                  <c:v>44104</c:v>
                </c:pt>
                <c:pt idx="27">
                  <c:v>44196</c:v>
                </c:pt>
                <c:pt idx="28">
                  <c:v>44286</c:v>
                </c:pt>
                <c:pt idx="29">
                  <c:v>44377</c:v>
                </c:pt>
                <c:pt idx="30">
                  <c:v>44469</c:v>
                </c:pt>
                <c:pt idx="31">
                  <c:v>44561</c:v>
                </c:pt>
                <c:pt idx="32">
                  <c:v>44651</c:v>
                </c:pt>
                <c:pt idx="33">
                  <c:v>44742</c:v>
                </c:pt>
                <c:pt idx="34">
                  <c:v>44834</c:v>
                </c:pt>
                <c:pt idx="35">
                  <c:v>44926</c:v>
                </c:pt>
                <c:pt idx="36">
                  <c:v>45016</c:v>
                </c:pt>
                <c:pt idx="37">
                  <c:v>45107</c:v>
                </c:pt>
                <c:pt idx="38">
                  <c:v>45199</c:v>
                </c:pt>
                <c:pt idx="39">
                  <c:v>45291</c:v>
                </c:pt>
              </c:numCache>
            </c:numRef>
          </c:cat>
          <c:val>
            <c:numRef>
              <c:f>Cartao!$B$96:$CD$96</c:f>
              <c:numCache>
                <c:formatCode>0.0%</c:formatCode>
                <c:ptCount val="40"/>
                <c:pt idx="0">
                  <c:v>2.5298671682920659E-2</c:v>
                </c:pt>
                <c:pt idx="1">
                  <c:v>2.6433327247938676E-2</c:v>
                </c:pt>
                <c:pt idx="2">
                  <c:v>2.6433327247938676E-2</c:v>
                </c:pt>
                <c:pt idx="3">
                  <c:v>2.7195367836196249E-2</c:v>
                </c:pt>
                <c:pt idx="4">
                  <c:v>2.9379703664283552E-2</c:v>
                </c:pt>
                <c:pt idx="5">
                  <c:v>3.1595770003753909E-2</c:v>
                </c:pt>
                <c:pt idx="6">
                  <c:v>3.386552139124821E-2</c:v>
                </c:pt>
                <c:pt idx="7">
                  <c:v>3.386552139124821E-2</c:v>
                </c:pt>
                <c:pt idx="8">
                  <c:v>3.386552139124821E-2</c:v>
                </c:pt>
                <c:pt idx="9">
                  <c:v>3.386552139124821E-2</c:v>
                </c:pt>
                <c:pt idx="10">
                  <c:v>3.386552139124821E-2</c:v>
                </c:pt>
                <c:pt idx="11">
                  <c:v>3.3208832524481258E-2</c:v>
                </c:pt>
                <c:pt idx="12">
                  <c:v>3.0500946736911727E-2</c:v>
                </c:pt>
                <c:pt idx="13">
                  <c:v>2.6479559859692303E-2</c:v>
                </c:pt>
                <c:pt idx="14">
                  <c:v>2.2363559609957839E-2</c:v>
                </c:pt>
                <c:pt idx="15">
                  <c:v>1.8362980987926658E-2</c:v>
                </c:pt>
                <c:pt idx="16">
                  <c:v>1.6642416339083699E-2</c:v>
                </c:pt>
                <c:pt idx="17">
                  <c:v>1.586828478278357E-2</c:v>
                </c:pt>
                <c:pt idx="18">
                  <c:v>1.586828478278357E-2</c:v>
                </c:pt>
                <c:pt idx="19">
                  <c:v>1.586828478278357E-2</c:v>
                </c:pt>
                <c:pt idx="20">
                  <c:v>1.586828478278357E-2</c:v>
                </c:pt>
                <c:pt idx="21">
                  <c:v>1.586828478278357E-2</c:v>
                </c:pt>
                <c:pt idx="22">
                  <c:v>1.4913071423088509E-2</c:v>
                </c:pt>
                <c:pt idx="23">
                  <c:v>1.2392721514959071E-2</c:v>
                </c:pt>
                <c:pt idx="24">
                  <c:v>1.0508203112448822E-2</c:v>
                </c:pt>
                <c:pt idx="25">
                  <c:v>7.8324965478326902E-3</c:v>
                </c:pt>
                <c:pt idx="26">
                  <c:v>5.1845412595541429E-3</c:v>
                </c:pt>
                <c:pt idx="27">
                  <c:v>4.9629315732038215E-3</c:v>
                </c:pt>
                <c:pt idx="28">
                  <c:v>5.2829874231419272E-3</c:v>
                </c:pt>
                <c:pt idx="29">
                  <c:v>8.2717988664033903E-3</c:v>
                </c:pt>
                <c:pt idx="30">
                  <c:v>1.2248131848348498E-2</c:v>
                </c:pt>
                <c:pt idx="31">
                  <c:v>1.8670575645447718E-2</c:v>
                </c:pt>
                <c:pt idx="32">
                  <c:v>2.5089855568062536E-2</c:v>
                </c:pt>
                <c:pt idx="33">
                  <c:v>2.9860684889043698E-2</c:v>
                </c:pt>
                <c:pt idx="34">
                  <c:v>3.2391886619581145E-2</c:v>
                </c:pt>
                <c:pt idx="35">
                  <c:v>3.2732516378310317E-2</c:v>
                </c:pt>
                <c:pt idx="36">
                  <c:v>3.2732516378310317E-2</c:v>
                </c:pt>
                <c:pt idx="37">
                  <c:v>3.2732516378310317E-2</c:v>
                </c:pt>
                <c:pt idx="38">
                  <c:v>3.1846176683566041E-2</c:v>
                </c:pt>
                <c:pt idx="39">
                  <c:v>2.9494284160460849E-2</c:v>
                </c:pt>
              </c:numCache>
            </c:numRef>
          </c:val>
          <c:smooth val="0"/>
          <c:extLst>
            <c:ext xmlns:c16="http://schemas.microsoft.com/office/drawing/2014/chart" uri="{C3380CC4-5D6E-409C-BE32-E72D297353CC}">
              <c16:uniqueId val="{00000000-D9C5-4542-A5F1-1FFC73824CC6}"/>
            </c:ext>
          </c:extLst>
        </c:ser>
        <c:dLbls>
          <c:showLegendKey val="0"/>
          <c:showVal val="0"/>
          <c:showCatName val="0"/>
          <c:showSerName val="0"/>
          <c:showPercent val="0"/>
          <c:showBubbleSize val="0"/>
        </c:dLbls>
        <c:marker val="1"/>
        <c:smooth val="0"/>
        <c:axId val="271209216"/>
        <c:axId val="271210752"/>
      </c:lineChart>
      <c:lineChart>
        <c:grouping val="standard"/>
        <c:varyColors val="0"/>
        <c:ser>
          <c:idx val="1"/>
          <c:order val="1"/>
          <c:tx>
            <c:strRef>
              <c:f>Cartao!$A$90</c:f>
              <c:strCache>
                <c:ptCount val="1"/>
                <c:pt idx="0">
                  <c:v>RATE mensual</c:v>
                </c:pt>
              </c:strCache>
            </c:strRef>
          </c:tx>
          <c:spPr>
            <a:ln w="28575" cap="rnd">
              <a:solidFill>
                <a:schemeClr val="accent2"/>
              </a:solidFill>
              <a:round/>
            </a:ln>
            <a:effectLst/>
          </c:spPr>
          <c:marker>
            <c:symbol val="none"/>
          </c:marker>
          <c:cat>
            <c:numRef>
              <c:f>Cartao!$AQ$1:$CD$1</c:f>
              <c:numCache>
                <c:formatCode>mmm\-yy</c:formatCode>
                <c:ptCount val="40"/>
                <c:pt idx="0">
                  <c:v>41729</c:v>
                </c:pt>
                <c:pt idx="1">
                  <c:v>41820</c:v>
                </c:pt>
                <c:pt idx="2">
                  <c:v>41912</c:v>
                </c:pt>
                <c:pt idx="3">
                  <c:v>42004</c:v>
                </c:pt>
                <c:pt idx="4">
                  <c:v>42094</c:v>
                </c:pt>
                <c:pt idx="5">
                  <c:v>42185</c:v>
                </c:pt>
                <c:pt idx="6">
                  <c:v>42277</c:v>
                </c:pt>
                <c:pt idx="7">
                  <c:v>42369</c:v>
                </c:pt>
                <c:pt idx="8">
                  <c:v>42460</c:v>
                </c:pt>
                <c:pt idx="9">
                  <c:v>42551</c:v>
                </c:pt>
                <c:pt idx="10">
                  <c:v>42643</c:v>
                </c:pt>
                <c:pt idx="11">
                  <c:v>42735</c:v>
                </c:pt>
                <c:pt idx="12">
                  <c:v>42825</c:v>
                </c:pt>
                <c:pt idx="13">
                  <c:v>42916</c:v>
                </c:pt>
                <c:pt idx="14">
                  <c:v>43008</c:v>
                </c:pt>
                <c:pt idx="15">
                  <c:v>43100</c:v>
                </c:pt>
                <c:pt idx="16">
                  <c:v>43190</c:v>
                </c:pt>
                <c:pt idx="17">
                  <c:v>43281</c:v>
                </c:pt>
                <c:pt idx="18">
                  <c:v>43373</c:v>
                </c:pt>
                <c:pt idx="19">
                  <c:v>43465</c:v>
                </c:pt>
                <c:pt idx="20">
                  <c:v>43555</c:v>
                </c:pt>
                <c:pt idx="21">
                  <c:v>43646</c:v>
                </c:pt>
                <c:pt idx="22">
                  <c:v>43738</c:v>
                </c:pt>
                <c:pt idx="23">
                  <c:v>43830</c:v>
                </c:pt>
                <c:pt idx="24">
                  <c:v>43921</c:v>
                </c:pt>
                <c:pt idx="25">
                  <c:v>44012</c:v>
                </c:pt>
                <c:pt idx="26">
                  <c:v>44104</c:v>
                </c:pt>
                <c:pt idx="27">
                  <c:v>44196</c:v>
                </c:pt>
                <c:pt idx="28">
                  <c:v>44286</c:v>
                </c:pt>
                <c:pt idx="29">
                  <c:v>44377</c:v>
                </c:pt>
                <c:pt idx="30">
                  <c:v>44469</c:v>
                </c:pt>
                <c:pt idx="31">
                  <c:v>44561</c:v>
                </c:pt>
                <c:pt idx="32">
                  <c:v>44651</c:v>
                </c:pt>
                <c:pt idx="33">
                  <c:v>44742</c:v>
                </c:pt>
                <c:pt idx="34">
                  <c:v>44834</c:v>
                </c:pt>
                <c:pt idx="35">
                  <c:v>44926</c:v>
                </c:pt>
                <c:pt idx="36">
                  <c:v>45016</c:v>
                </c:pt>
                <c:pt idx="37">
                  <c:v>45107</c:v>
                </c:pt>
                <c:pt idx="38">
                  <c:v>45199</c:v>
                </c:pt>
                <c:pt idx="39">
                  <c:v>45291</c:v>
                </c:pt>
              </c:numCache>
            </c:numRef>
          </c:cat>
          <c:val>
            <c:numRef>
              <c:f>Cartao!$AQ$90:$CD$90</c:f>
              <c:numCache>
                <c:formatCode>0.0%</c:formatCode>
                <c:ptCount val="40"/>
                <c:pt idx="0">
                  <c:v>4.2270169002397918E-2</c:v>
                </c:pt>
                <c:pt idx="1">
                  <c:v>4.3894784202267167E-2</c:v>
                </c:pt>
                <c:pt idx="2">
                  <c:v>4.4933160359440248E-2</c:v>
                </c:pt>
                <c:pt idx="3">
                  <c:v>3.7562905827868788E-2</c:v>
                </c:pt>
                <c:pt idx="4">
                  <c:v>4.2306483493369511E-2</c:v>
                </c:pt>
                <c:pt idx="5">
                  <c:v>4.3577479080740826E-2</c:v>
                </c:pt>
                <c:pt idx="6">
                  <c:v>4.2725830264777311E-2</c:v>
                </c:pt>
                <c:pt idx="7">
                  <c:v>3.9465740204593709E-2</c:v>
                </c:pt>
                <c:pt idx="8">
                  <c:v>4.1146109120825482E-2</c:v>
                </c:pt>
                <c:pt idx="9">
                  <c:v>4.4554234523701552E-2</c:v>
                </c:pt>
                <c:pt idx="10">
                  <c:v>4.3873862644895921E-2</c:v>
                </c:pt>
                <c:pt idx="11">
                  <c:v>4.3139949826795414E-2</c:v>
                </c:pt>
                <c:pt idx="12">
                  <c:v>3.9259725879230357E-2</c:v>
                </c:pt>
                <c:pt idx="13">
                  <c:v>3.9829825559347741E-2</c:v>
                </c:pt>
                <c:pt idx="14">
                  <c:v>4.8943775979076308E-2</c:v>
                </c:pt>
                <c:pt idx="15">
                  <c:v>3.8358647478702122E-2</c:v>
                </c:pt>
                <c:pt idx="16">
                  <c:v>3.9353027147676606E-2</c:v>
                </c:pt>
                <c:pt idx="17">
                  <c:v>3.9140481558068922E-2</c:v>
                </c:pt>
                <c:pt idx="18">
                  <c:v>3.70246678672402E-2</c:v>
                </c:pt>
                <c:pt idx="19">
                  <c:v>3.4913546062278818E-2</c:v>
                </c:pt>
                <c:pt idx="20">
                  <c:v>3.311070321133916E-2</c:v>
                </c:pt>
                <c:pt idx="21">
                  <c:v>3.5330718238023077E-2</c:v>
                </c:pt>
                <c:pt idx="22">
                  <c:v>3.4693902191185559E-2</c:v>
                </c:pt>
                <c:pt idx="23">
                  <c:v>3.3561557200464484E-2</c:v>
                </c:pt>
                <c:pt idx="24">
                  <c:v>3.1243000754046291E-2</c:v>
                </c:pt>
                <c:pt idx="25">
                  <c:v>2.9749884601604725E-2</c:v>
                </c:pt>
                <c:pt idx="26">
                  <c:v>1.9689686365527283E-2</c:v>
                </c:pt>
                <c:pt idx="27">
                  <c:v>1.8635152308435755E-2</c:v>
                </c:pt>
                <c:pt idx="28">
                  <c:v>2.2911863332373356E-2</c:v>
                </c:pt>
                <c:pt idx="29">
                  <c:v>2.6150549270635776E-2</c:v>
                </c:pt>
                <c:pt idx="30">
                  <c:v>2.7304177544474086E-2</c:v>
                </c:pt>
                <c:pt idx="31">
                  <c:v>2.6534605953671599E-2</c:v>
                </c:pt>
                <c:pt idx="32">
                  <c:v>2.7369653973483107E-2</c:v>
                </c:pt>
                <c:pt idx="33">
                  <c:v>2.8582408920229854E-2</c:v>
                </c:pt>
                <c:pt idx="34">
                  <c:v>2.5803186917148627E-2</c:v>
                </c:pt>
                <c:pt idx="35">
                  <c:v>2.6393243811136616E-2</c:v>
                </c:pt>
                <c:pt idx="36">
                  <c:v>2.5371580590161286E-2</c:v>
                </c:pt>
                <c:pt idx="37">
                  <c:v>2.7498289709116702E-2</c:v>
                </c:pt>
                <c:pt idx="38">
                  <c:v>2.5438540882546799E-2</c:v>
                </c:pt>
                <c:pt idx="39">
                  <c:v>2.6870862480358068E-2</c:v>
                </c:pt>
              </c:numCache>
            </c:numRef>
          </c:val>
          <c:smooth val="0"/>
          <c:extLst>
            <c:ext xmlns:c16="http://schemas.microsoft.com/office/drawing/2014/chart" uri="{C3380CC4-5D6E-409C-BE32-E72D297353CC}">
              <c16:uniqueId val="{00000002-D9C5-4542-A5F1-1FFC73824CC6}"/>
            </c:ext>
          </c:extLst>
        </c:ser>
        <c:dLbls>
          <c:showLegendKey val="0"/>
          <c:showVal val="0"/>
          <c:showCatName val="0"/>
          <c:showSerName val="0"/>
          <c:showPercent val="0"/>
          <c:showBubbleSize val="0"/>
        </c:dLbls>
        <c:marker val="1"/>
        <c:smooth val="0"/>
        <c:axId val="271214080"/>
        <c:axId val="271212544"/>
      </c:lineChart>
      <c:dateAx>
        <c:axId val="27120921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210752"/>
        <c:crosses val="autoZero"/>
        <c:auto val="1"/>
        <c:lblOffset val="100"/>
        <c:baseTimeUnit val="months"/>
        <c:majorUnit val="6"/>
        <c:majorTimeUnit val="months"/>
      </c:dateAx>
      <c:valAx>
        <c:axId val="27121075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209216"/>
        <c:crosses val="autoZero"/>
        <c:crossBetween val="between"/>
      </c:valAx>
      <c:valAx>
        <c:axId val="271212544"/>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214080"/>
        <c:crosses val="max"/>
        <c:crossBetween val="between"/>
      </c:valAx>
      <c:dateAx>
        <c:axId val="271214080"/>
        <c:scaling>
          <c:orientation val="minMax"/>
        </c:scaling>
        <c:delete val="1"/>
        <c:axPos val="b"/>
        <c:numFmt formatCode="mmm\-yy" sourceLinked="1"/>
        <c:majorTickMark val="out"/>
        <c:minorTickMark val="none"/>
        <c:tickLblPos val="nextTo"/>
        <c:crossAx val="271212544"/>
        <c:crosses val="autoZero"/>
        <c:auto val="1"/>
        <c:lblOffset val="100"/>
        <c:baseTimeUnit val="months"/>
      </c:date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Cartao!$A$96</c:f>
              <c:strCache>
                <c:ptCount val="1"/>
                <c:pt idx="0">
                  <c:v>SELIC</c:v>
                </c:pt>
              </c:strCache>
            </c:strRef>
          </c:tx>
          <c:spPr>
            <a:ln w="28575" cap="rnd">
              <a:solidFill>
                <a:schemeClr val="accent1"/>
              </a:solidFill>
              <a:round/>
            </a:ln>
            <a:effectLst/>
          </c:spPr>
          <c:marker>
            <c:symbol val="none"/>
          </c:marker>
          <c:cat>
            <c:numRef>
              <c:f>Cartao!$DE$1:$DR$1</c:f>
              <c:numCache>
                <c:formatCode>General</c:formatCode>
                <c:ptCount val="9"/>
                <c:pt idx="0">
                  <c:v>2019</c:v>
                </c:pt>
                <c:pt idx="1">
                  <c:v>2020</c:v>
                </c:pt>
                <c:pt idx="2">
                  <c:v>2021</c:v>
                </c:pt>
                <c:pt idx="3">
                  <c:v>2022</c:v>
                </c:pt>
                <c:pt idx="4">
                  <c:v>2023</c:v>
                </c:pt>
                <c:pt idx="5">
                  <c:v>2024</c:v>
                </c:pt>
                <c:pt idx="6">
                  <c:v>2025</c:v>
                </c:pt>
                <c:pt idx="7">
                  <c:v>2026</c:v>
                </c:pt>
                <c:pt idx="8">
                  <c:v>2027</c:v>
                </c:pt>
              </c:numCache>
            </c:numRef>
          </c:cat>
          <c:val>
            <c:numRef>
              <c:f>Cartao!$DE$96:$DR$96</c:f>
              <c:numCache>
                <c:formatCode>0.0%</c:formatCode>
                <c:ptCount val="9"/>
                <c:pt idx="0">
                  <c:v>6.0374999999999998E-2</c:v>
                </c:pt>
                <c:pt idx="1">
                  <c:v>2.8825E-2</c:v>
                </c:pt>
                <c:pt idx="2">
                  <c:v>4.5374999999999999E-2</c:v>
                </c:pt>
                <c:pt idx="3">
                  <c:v>0.12564999999999998</c:v>
                </c:pt>
                <c:pt idx="4">
                  <c:v>0.13297500000000001</c:v>
                </c:pt>
                <c:pt idx="5">
                  <c:v>0.109375</c:v>
                </c:pt>
                <c:pt idx="6">
                  <c:v>0.14583333333333334</c:v>
                </c:pt>
                <c:pt idx="7">
                  <c:v>0.13250000000000001</c:v>
                </c:pt>
                <c:pt idx="8">
                  <c:v>0.115</c:v>
                </c:pt>
              </c:numCache>
            </c:numRef>
          </c:val>
          <c:smooth val="0"/>
          <c:extLst>
            <c:ext xmlns:c16="http://schemas.microsoft.com/office/drawing/2014/chart" uri="{C3380CC4-5D6E-409C-BE32-E72D297353CC}">
              <c16:uniqueId val="{00000000-2943-496E-B61E-8840E08BCF0E}"/>
            </c:ext>
          </c:extLst>
        </c:ser>
        <c:dLbls>
          <c:showLegendKey val="0"/>
          <c:showVal val="0"/>
          <c:showCatName val="0"/>
          <c:showSerName val="0"/>
          <c:showPercent val="0"/>
          <c:showBubbleSize val="0"/>
        </c:dLbls>
        <c:marker val="1"/>
        <c:smooth val="0"/>
        <c:axId val="271262080"/>
        <c:axId val="271263616"/>
      </c:lineChart>
      <c:lineChart>
        <c:grouping val="standard"/>
        <c:varyColors val="0"/>
        <c:ser>
          <c:idx val="1"/>
          <c:order val="1"/>
          <c:tx>
            <c:strRef>
              <c:f>Cartao!$A$90</c:f>
              <c:strCache>
                <c:ptCount val="1"/>
                <c:pt idx="0">
                  <c:v>RATE mensual</c:v>
                </c:pt>
              </c:strCache>
            </c:strRef>
          </c:tx>
          <c:spPr>
            <a:ln w="28575" cap="rnd">
              <a:solidFill>
                <a:schemeClr val="accent2"/>
              </a:solidFill>
              <a:round/>
            </a:ln>
            <a:effectLst/>
          </c:spPr>
          <c:marker>
            <c:symbol val="none"/>
          </c:marker>
          <c:cat>
            <c:numRef>
              <c:f>Cartao!$DE$1:$DR$1</c:f>
              <c:numCache>
                <c:formatCode>General</c:formatCode>
                <c:ptCount val="9"/>
                <c:pt idx="0">
                  <c:v>2019</c:v>
                </c:pt>
                <c:pt idx="1">
                  <c:v>2020</c:v>
                </c:pt>
                <c:pt idx="2">
                  <c:v>2021</c:v>
                </c:pt>
                <c:pt idx="3">
                  <c:v>2022</c:v>
                </c:pt>
                <c:pt idx="4">
                  <c:v>2023</c:v>
                </c:pt>
                <c:pt idx="5">
                  <c:v>2024</c:v>
                </c:pt>
                <c:pt idx="6">
                  <c:v>2025</c:v>
                </c:pt>
                <c:pt idx="7">
                  <c:v>2026</c:v>
                </c:pt>
                <c:pt idx="8">
                  <c:v>2027</c:v>
                </c:pt>
              </c:numCache>
            </c:numRef>
          </c:cat>
          <c:val>
            <c:numRef>
              <c:f>Cartao!$DE$90:$DR$90</c:f>
              <c:numCache>
                <c:formatCode>0.0%</c:formatCode>
                <c:ptCount val="9"/>
                <c:pt idx="0">
                  <c:v>3.1854207912685166E-2</c:v>
                </c:pt>
                <c:pt idx="1">
                  <c:v>2.2831874523040165E-2</c:v>
                </c:pt>
                <c:pt idx="2">
                  <c:v>2.2627797326521041E-2</c:v>
                </c:pt>
                <c:pt idx="3">
                  <c:v>2.6394383639533687E-2</c:v>
                </c:pt>
                <c:pt idx="4">
                  <c:v>2.5965571906879967E-2</c:v>
                </c:pt>
                <c:pt idx="5">
                  <c:v>2.5200086224611212E-2</c:v>
                </c:pt>
                <c:pt idx="6">
                  <c:v>2.747702041485257E-2</c:v>
                </c:pt>
                <c:pt idx="7">
                  <c:v>2.6952040031831177E-2</c:v>
                </c:pt>
                <c:pt idx="8">
                  <c:v>2.6952040031831177E-2</c:v>
                </c:pt>
              </c:numCache>
            </c:numRef>
          </c:val>
          <c:smooth val="0"/>
          <c:extLst>
            <c:ext xmlns:c16="http://schemas.microsoft.com/office/drawing/2014/chart" uri="{C3380CC4-5D6E-409C-BE32-E72D297353CC}">
              <c16:uniqueId val="{00000001-2943-496E-B61E-8840E08BCF0E}"/>
            </c:ext>
          </c:extLst>
        </c:ser>
        <c:dLbls>
          <c:showLegendKey val="0"/>
          <c:showVal val="0"/>
          <c:showCatName val="0"/>
          <c:showSerName val="0"/>
          <c:showPercent val="0"/>
          <c:showBubbleSize val="0"/>
        </c:dLbls>
        <c:marker val="1"/>
        <c:smooth val="0"/>
        <c:axId val="271266944"/>
        <c:axId val="271265152"/>
      </c:lineChart>
      <c:catAx>
        <c:axId val="27126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263616"/>
        <c:crosses val="autoZero"/>
        <c:auto val="1"/>
        <c:lblAlgn val="ctr"/>
        <c:lblOffset val="100"/>
        <c:noMultiLvlLbl val="0"/>
      </c:catAx>
      <c:valAx>
        <c:axId val="2712636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262080"/>
        <c:crosses val="autoZero"/>
        <c:crossBetween val="between"/>
      </c:valAx>
      <c:valAx>
        <c:axId val="271265152"/>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266944"/>
        <c:crosses val="max"/>
        <c:crossBetween val="between"/>
      </c:valAx>
      <c:catAx>
        <c:axId val="271266944"/>
        <c:scaling>
          <c:orientation val="minMax"/>
        </c:scaling>
        <c:delete val="1"/>
        <c:axPos val="b"/>
        <c:numFmt formatCode="General" sourceLinked="1"/>
        <c:majorTickMark val="out"/>
        <c:minorTickMark val="none"/>
        <c:tickLblPos val="nextTo"/>
        <c:crossAx val="27126515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NPLs - Cobranded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NPL / carteira</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Cartao!$BK$1:$CH$1</c:f>
              <c:numCache>
                <c:formatCode>mmm\-yy</c:formatCode>
                <c:ptCount val="24"/>
                <c:pt idx="0">
                  <c:v>43555</c:v>
                </c:pt>
                <c:pt idx="1">
                  <c:v>43646</c:v>
                </c:pt>
                <c:pt idx="2">
                  <c:v>43738</c:v>
                </c:pt>
                <c:pt idx="3">
                  <c:v>43830</c:v>
                </c:pt>
                <c:pt idx="4">
                  <c:v>43921</c:v>
                </c:pt>
                <c:pt idx="5">
                  <c:v>44012</c:v>
                </c:pt>
                <c:pt idx="6">
                  <c:v>44104</c:v>
                </c:pt>
                <c:pt idx="7">
                  <c:v>44196</c:v>
                </c:pt>
                <c:pt idx="8">
                  <c:v>44286</c:v>
                </c:pt>
                <c:pt idx="9">
                  <c:v>44377</c:v>
                </c:pt>
                <c:pt idx="10">
                  <c:v>44469</c:v>
                </c:pt>
                <c:pt idx="11">
                  <c:v>44561</c:v>
                </c:pt>
                <c:pt idx="12">
                  <c:v>44651</c:v>
                </c:pt>
                <c:pt idx="13">
                  <c:v>44742</c:v>
                </c:pt>
                <c:pt idx="14">
                  <c:v>44834</c:v>
                </c:pt>
                <c:pt idx="15">
                  <c:v>44926</c:v>
                </c:pt>
                <c:pt idx="16">
                  <c:v>45016</c:v>
                </c:pt>
                <c:pt idx="17">
                  <c:v>45107</c:v>
                </c:pt>
                <c:pt idx="18">
                  <c:v>45199</c:v>
                </c:pt>
                <c:pt idx="19">
                  <c:v>45291</c:v>
                </c:pt>
                <c:pt idx="20">
                  <c:v>45382</c:v>
                </c:pt>
                <c:pt idx="21">
                  <c:v>45473</c:v>
                </c:pt>
                <c:pt idx="22">
                  <c:v>45565</c:v>
                </c:pt>
                <c:pt idx="23">
                  <c:v>45657</c:v>
                </c:pt>
              </c:numCache>
            </c:numRef>
          </c:cat>
          <c:val>
            <c:numRef>
              <c:f>Cartao!$BK$274:$CH$274</c:f>
              <c:numCache>
                <c:formatCode>0.0%</c:formatCode>
                <c:ptCount val="24"/>
                <c:pt idx="0">
                  <c:v>4.1557378093222123E-2</c:v>
                </c:pt>
                <c:pt idx="1">
                  <c:v>6.7279959860302996E-2</c:v>
                </c:pt>
                <c:pt idx="2">
                  <c:v>6.1738271132710243E-2</c:v>
                </c:pt>
                <c:pt idx="3">
                  <c:v>5.5546806886325795E-2</c:v>
                </c:pt>
                <c:pt idx="4">
                  <c:v>5.3234593230648761E-2</c:v>
                </c:pt>
                <c:pt idx="5">
                  <c:v>0.10030568814639708</c:v>
                </c:pt>
                <c:pt idx="6">
                  <c:v>3.3712149577201866E-2</c:v>
                </c:pt>
                <c:pt idx="7">
                  <c:v>1.4811029354826647E-2</c:v>
                </c:pt>
                <c:pt idx="8">
                  <c:v>2.5521031125596554E-2</c:v>
                </c:pt>
                <c:pt idx="9">
                  <c:v>7.3319978866716998E-2</c:v>
                </c:pt>
                <c:pt idx="10">
                  <c:v>4.4553452263659171E-2</c:v>
                </c:pt>
                <c:pt idx="11">
                  <c:v>5.7126832205767496E-2</c:v>
                </c:pt>
                <c:pt idx="12">
                  <c:v>6.365586644309229E-2</c:v>
                </c:pt>
                <c:pt idx="13">
                  <c:v>9.1851909719079666E-2</c:v>
                </c:pt>
                <c:pt idx="14">
                  <c:v>8.6814085150971179E-2</c:v>
                </c:pt>
                <c:pt idx="15">
                  <c:v>9.1749146445321839E-2</c:v>
                </c:pt>
                <c:pt idx="16">
                  <c:v>7.6441868129333859E-2</c:v>
                </c:pt>
                <c:pt idx="17">
                  <c:v>9.8773971986057335E-2</c:v>
                </c:pt>
                <c:pt idx="18">
                  <c:v>7.9868705044271793E-2</c:v>
                </c:pt>
                <c:pt idx="19">
                  <c:v>7.6604548623748617E-2</c:v>
                </c:pt>
                <c:pt idx="20">
                  <c:v>6.3991851468625752E-2</c:v>
                </c:pt>
                <c:pt idx="21">
                  <c:v>7.5695276574651249E-2</c:v>
                </c:pt>
                <c:pt idx="22">
                  <c:v>5.8026916780235104E-2</c:v>
                </c:pt>
                <c:pt idx="23">
                  <c:v>5.4663776326070411E-2</c:v>
                </c:pt>
              </c:numCache>
            </c:numRef>
          </c:val>
          <c:smooth val="0"/>
          <c:extLst>
            <c:ext xmlns:c16="http://schemas.microsoft.com/office/drawing/2014/chart" uri="{C3380CC4-5D6E-409C-BE32-E72D297353CC}">
              <c16:uniqueId val="{00000000-0F55-4FC0-A6B6-B3F8580D9BBD}"/>
            </c:ext>
          </c:extLst>
        </c:ser>
        <c:ser>
          <c:idx val="1"/>
          <c:order val="1"/>
          <c:tx>
            <c:v>Vencidos +90 / carteira</c:v>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Cartao!$BK$1:$CH$1</c:f>
              <c:numCache>
                <c:formatCode>mmm\-yy</c:formatCode>
                <c:ptCount val="24"/>
                <c:pt idx="0">
                  <c:v>43555</c:v>
                </c:pt>
                <c:pt idx="1">
                  <c:v>43646</c:v>
                </c:pt>
                <c:pt idx="2">
                  <c:v>43738</c:v>
                </c:pt>
                <c:pt idx="3">
                  <c:v>43830</c:v>
                </c:pt>
                <c:pt idx="4">
                  <c:v>43921</c:v>
                </c:pt>
                <c:pt idx="5">
                  <c:v>44012</c:v>
                </c:pt>
                <c:pt idx="6">
                  <c:v>44104</c:v>
                </c:pt>
                <c:pt idx="7">
                  <c:v>44196</c:v>
                </c:pt>
                <c:pt idx="8">
                  <c:v>44286</c:v>
                </c:pt>
                <c:pt idx="9">
                  <c:v>44377</c:v>
                </c:pt>
                <c:pt idx="10">
                  <c:v>44469</c:v>
                </c:pt>
                <c:pt idx="11">
                  <c:v>44561</c:v>
                </c:pt>
                <c:pt idx="12">
                  <c:v>44651</c:v>
                </c:pt>
                <c:pt idx="13">
                  <c:v>44742</c:v>
                </c:pt>
                <c:pt idx="14">
                  <c:v>44834</c:v>
                </c:pt>
                <c:pt idx="15">
                  <c:v>44926</c:v>
                </c:pt>
                <c:pt idx="16">
                  <c:v>45016</c:v>
                </c:pt>
                <c:pt idx="17">
                  <c:v>45107</c:v>
                </c:pt>
                <c:pt idx="18">
                  <c:v>45199</c:v>
                </c:pt>
                <c:pt idx="19">
                  <c:v>45291</c:v>
                </c:pt>
                <c:pt idx="20">
                  <c:v>45382</c:v>
                </c:pt>
                <c:pt idx="21">
                  <c:v>45473</c:v>
                </c:pt>
                <c:pt idx="22">
                  <c:v>45565</c:v>
                </c:pt>
                <c:pt idx="23">
                  <c:v>45657</c:v>
                </c:pt>
              </c:numCache>
            </c:numRef>
          </c:cat>
          <c:val>
            <c:numRef>
              <c:f>Cartao!$BK$252:$CH$252</c:f>
              <c:numCache>
                <c:formatCode>0.0%</c:formatCode>
                <c:ptCount val="24"/>
                <c:pt idx="0">
                  <c:v>0.1151473152530557</c:v>
                </c:pt>
                <c:pt idx="1">
                  <c:v>0.12892551294992857</c:v>
                </c:pt>
                <c:pt idx="2">
                  <c:v>0.13164214936005281</c:v>
                </c:pt>
                <c:pt idx="3">
                  <c:v>0.13087807540113738</c:v>
                </c:pt>
                <c:pt idx="4">
                  <c:v>0.12073838847375148</c:v>
                </c:pt>
                <c:pt idx="5">
                  <c:v>0.16214291363947572</c:v>
                </c:pt>
                <c:pt idx="6">
                  <c:v>0.16174815007330731</c:v>
                </c:pt>
                <c:pt idx="7">
                  <c:v>0.11984924256706284</c:v>
                </c:pt>
                <c:pt idx="8">
                  <c:v>7.2106972118876525E-2</c:v>
                </c:pt>
                <c:pt idx="9">
                  <c:v>0.10450293659899804</c:v>
                </c:pt>
                <c:pt idx="10">
                  <c:v>0.10989181464635851</c:v>
                </c:pt>
                <c:pt idx="11">
                  <c:v>0.10890580922094087</c:v>
                </c:pt>
                <c:pt idx="12">
                  <c:v>0.11935169535316854</c:v>
                </c:pt>
                <c:pt idx="13">
                  <c:v>0.1538480425515891</c:v>
                </c:pt>
                <c:pt idx="14">
                  <c:v>0.17692457695713534</c:v>
                </c:pt>
                <c:pt idx="15">
                  <c:v>0.18941465573579813</c:v>
                </c:pt>
                <c:pt idx="16">
                  <c:v>0.18767343156679184</c:v>
                </c:pt>
                <c:pt idx="17">
                  <c:v>0.20486148152584099</c:v>
                </c:pt>
                <c:pt idx="18">
                  <c:v>0.20926268342948073</c:v>
                </c:pt>
                <c:pt idx="19">
                  <c:v>0.20137080840348021</c:v>
                </c:pt>
                <c:pt idx="20">
                  <c:v>0.18052291743138019</c:v>
                </c:pt>
                <c:pt idx="21">
                  <c:v>0.17499645435156114</c:v>
                </c:pt>
                <c:pt idx="22">
                  <c:v>0.16003556155076545</c:v>
                </c:pt>
                <c:pt idx="23">
                  <c:v>0.14684222446701387</c:v>
                </c:pt>
              </c:numCache>
            </c:numRef>
          </c:val>
          <c:smooth val="0"/>
          <c:extLst>
            <c:ext xmlns:c16="http://schemas.microsoft.com/office/drawing/2014/chart" uri="{C3380CC4-5D6E-409C-BE32-E72D297353CC}">
              <c16:uniqueId val="{00000001-BF68-4CF9-B296-797601A67FAC}"/>
            </c:ext>
          </c:extLst>
        </c:ser>
        <c:dLbls>
          <c:showLegendKey val="0"/>
          <c:showVal val="0"/>
          <c:showCatName val="0"/>
          <c:showSerName val="0"/>
          <c:showPercent val="0"/>
          <c:showBubbleSize val="0"/>
        </c:dLbls>
        <c:smooth val="0"/>
        <c:axId val="872003600"/>
        <c:axId val="872000320"/>
      </c:lineChart>
      <c:dateAx>
        <c:axId val="872003600"/>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000320"/>
        <c:crosses val="autoZero"/>
        <c:auto val="1"/>
        <c:lblOffset val="100"/>
        <c:baseTimeUnit val="months"/>
      </c:dateAx>
      <c:valAx>
        <c:axId val="87200032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003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NPLs - Private Label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Cartao!$BK$1:$CL$1</c:f>
              <c:numCache>
                <c:formatCode>mmm\-yy</c:formatCode>
                <c:ptCount val="28"/>
                <c:pt idx="0">
                  <c:v>43555</c:v>
                </c:pt>
                <c:pt idx="1">
                  <c:v>43646</c:v>
                </c:pt>
                <c:pt idx="2">
                  <c:v>43738</c:v>
                </c:pt>
                <c:pt idx="3">
                  <c:v>43830</c:v>
                </c:pt>
                <c:pt idx="4">
                  <c:v>43921</c:v>
                </c:pt>
                <c:pt idx="5">
                  <c:v>44012</c:v>
                </c:pt>
                <c:pt idx="6">
                  <c:v>44104</c:v>
                </c:pt>
                <c:pt idx="7">
                  <c:v>44196</c:v>
                </c:pt>
                <c:pt idx="8">
                  <c:v>44286</c:v>
                </c:pt>
                <c:pt idx="9">
                  <c:v>44377</c:v>
                </c:pt>
                <c:pt idx="10">
                  <c:v>44469</c:v>
                </c:pt>
                <c:pt idx="11">
                  <c:v>44561</c:v>
                </c:pt>
                <c:pt idx="12">
                  <c:v>44651</c:v>
                </c:pt>
                <c:pt idx="13">
                  <c:v>44742</c:v>
                </c:pt>
                <c:pt idx="14">
                  <c:v>44834</c:v>
                </c:pt>
                <c:pt idx="15">
                  <c:v>44926</c:v>
                </c:pt>
                <c:pt idx="16">
                  <c:v>45016</c:v>
                </c:pt>
                <c:pt idx="17">
                  <c:v>45107</c:v>
                </c:pt>
                <c:pt idx="18">
                  <c:v>45199</c:v>
                </c:pt>
                <c:pt idx="19">
                  <c:v>45291</c:v>
                </c:pt>
                <c:pt idx="20">
                  <c:v>45382</c:v>
                </c:pt>
                <c:pt idx="21">
                  <c:v>45473</c:v>
                </c:pt>
                <c:pt idx="22">
                  <c:v>45565</c:v>
                </c:pt>
                <c:pt idx="23">
                  <c:v>45657</c:v>
                </c:pt>
                <c:pt idx="24">
                  <c:v>45747</c:v>
                </c:pt>
                <c:pt idx="25">
                  <c:v>45837</c:v>
                </c:pt>
                <c:pt idx="26">
                  <c:v>45927</c:v>
                </c:pt>
                <c:pt idx="27">
                  <c:v>46017</c:v>
                </c:pt>
              </c:numCache>
            </c:numRef>
          </c:cat>
          <c:val>
            <c:numRef>
              <c:f>Cartao!$BK$222:$CL$222</c:f>
              <c:numCache>
                <c:formatCode>0.0%</c:formatCode>
                <c:ptCount val="28"/>
                <c:pt idx="0">
                  <c:v>3.2142293616864201E-2</c:v>
                </c:pt>
                <c:pt idx="1">
                  <c:v>5.5116973071034067E-2</c:v>
                </c:pt>
                <c:pt idx="2">
                  <c:v>7.982406344459346E-2</c:v>
                </c:pt>
                <c:pt idx="3">
                  <c:v>-9.2557267873406235E-2</c:v>
                </c:pt>
                <c:pt idx="4">
                  <c:v>3.3348951556770118E-2</c:v>
                </c:pt>
                <c:pt idx="5">
                  <c:v>0.16548121021902157</c:v>
                </c:pt>
                <c:pt idx="6">
                  <c:v>-1.9715192630828788E-2</c:v>
                </c:pt>
                <c:pt idx="7">
                  <c:v>-4.0046329708764037E-3</c:v>
                </c:pt>
                <c:pt idx="8">
                  <c:v>1.7225133039918742E-2</c:v>
                </c:pt>
                <c:pt idx="9">
                  <c:v>7.9108135517907852E-2</c:v>
                </c:pt>
                <c:pt idx="10">
                  <c:v>4.2607791891919281E-2</c:v>
                </c:pt>
                <c:pt idx="11">
                  <c:v>3.6440071493814209E-2</c:v>
                </c:pt>
                <c:pt idx="12">
                  <c:v>4.4124439404590057E-2</c:v>
                </c:pt>
                <c:pt idx="13">
                  <c:v>7.3339171520508326E-2</c:v>
                </c:pt>
                <c:pt idx="14">
                  <c:v>7.2533968227905254E-2</c:v>
                </c:pt>
                <c:pt idx="15">
                  <c:v>5.746705261074958E-2</c:v>
                </c:pt>
                <c:pt idx="16">
                  <c:v>4.5998017422316739E-2</c:v>
                </c:pt>
                <c:pt idx="17">
                  <c:v>6.1888814799574636E-2</c:v>
                </c:pt>
                <c:pt idx="18">
                  <c:v>5.3832627154125706E-2</c:v>
                </c:pt>
                <c:pt idx="19">
                  <c:v>3.2772580274503665E-2</c:v>
                </c:pt>
                <c:pt idx="20">
                  <c:v>3.1752003669617217E-2</c:v>
                </c:pt>
                <c:pt idx="21">
                  <c:v>5.9806714779140749E-2</c:v>
                </c:pt>
                <c:pt idx="22">
                  <c:v>3.0393035890334166E-2</c:v>
                </c:pt>
                <c:pt idx="23">
                  <c:v>2.873572749086397E-2</c:v>
                </c:pt>
                <c:pt idx="24">
                  <c:v>2.753018129900292E-2</c:v>
                </c:pt>
                <c:pt idx="25">
                  <c:v>7.2542242254686667E-2</c:v>
                </c:pt>
                <c:pt idx="26">
                  <c:v>2.8705904352101061E-2</c:v>
                </c:pt>
                <c:pt idx="27">
                  <c:v>0.04</c:v>
                </c:pt>
              </c:numCache>
            </c:numRef>
          </c:val>
          <c:smooth val="0"/>
          <c:extLst>
            <c:ext xmlns:c16="http://schemas.microsoft.com/office/drawing/2014/chart" uri="{C3380CC4-5D6E-409C-BE32-E72D297353CC}">
              <c16:uniqueId val="{00000000-42C5-4967-86D4-FAC977760CC1}"/>
            </c:ext>
          </c:extLst>
        </c:ser>
        <c:ser>
          <c:idx val="1"/>
          <c:order val="1"/>
          <c:spPr>
            <a:ln w="28575" cap="rnd">
              <a:solidFill>
                <a:schemeClr val="accent2"/>
              </a:solidFill>
              <a:round/>
            </a:ln>
            <a:effectLst/>
          </c:spPr>
          <c:marker>
            <c:symbol val="none"/>
          </c:marker>
          <c:cat>
            <c:numRef>
              <c:f>Cartao!$BK$1:$CL$1</c:f>
              <c:numCache>
                <c:formatCode>mmm\-yy</c:formatCode>
                <c:ptCount val="28"/>
                <c:pt idx="0">
                  <c:v>43555</c:v>
                </c:pt>
                <c:pt idx="1">
                  <c:v>43646</c:v>
                </c:pt>
                <c:pt idx="2">
                  <c:v>43738</c:v>
                </c:pt>
                <c:pt idx="3">
                  <c:v>43830</c:v>
                </c:pt>
                <c:pt idx="4">
                  <c:v>43921</c:v>
                </c:pt>
                <c:pt idx="5">
                  <c:v>44012</c:v>
                </c:pt>
                <c:pt idx="6">
                  <c:v>44104</c:v>
                </c:pt>
                <c:pt idx="7">
                  <c:v>44196</c:v>
                </c:pt>
                <c:pt idx="8">
                  <c:v>44286</c:v>
                </c:pt>
                <c:pt idx="9">
                  <c:v>44377</c:v>
                </c:pt>
                <c:pt idx="10">
                  <c:v>44469</c:v>
                </c:pt>
                <c:pt idx="11">
                  <c:v>44561</c:v>
                </c:pt>
                <c:pt idx="12">
                  <c:v>44651</c:v>
                </c:pt>
                <c:pt idx="13">
                  <c:v>44742</c:v>
                </c:pt>
                <c:pt idx="14">
                  <c:v>44834</c:v>
                </c:pt>
                <c:pt idx="15">
                  <c:v>44926</c:v>
                </c:pt>
                <c:pt idx="16">
                  <c:v>45016</c:v>
                </c:pt>
                <c:pt idx="17">
                  <c:v>45107</c:v>
                </c:pt>
                <c:pt idx="18">
                  <c:v>45199</c:v>
                </c:pt>
                <c:pt idx="19">
                  <c:v>45291</c:v>
                </c:pt>
                <c:pt idx="20">
                  <c:v>45382</c:v>
                </c:pt>
                <c:pt idx="21">
                  <c:v>45473</c:v>
                </c:pt>
                <c:pt idx="22">
                  <c:v>45565</c:v>
                </c:pt>
                <c:pt idx="23">
                  <c:v>45657</c:v>
                </c:pt>
                <c:pt idx="24">
                  <c:v>45747</c:v>
                </c:pt>
                <c:pt idx="25">
                  <c:v>45837</c:v>
                </c:pt>
                <c:pt idx="26">
                  <c:v>45927</c:v>
                </c:pt>
                <c:pt idx="27">
                  <c:v>46017</c:v>
                </c:pt>
              </c:numCache>
            </c:numRef>
          </c:cat>
          <c:val>
            <c:numRef>
              <c:f>Cartao!$BK$214:$CL$214</c:f>
              <c:numCache>
                <c:formatCode>0.0%</c:formatCode>
                <c:ptCount val="28"/>
                <c:pt idx="0">
                  <c:v>1.259074207690351E-2</c:v>
                </c:pt>
                <c:pt idx="1">
                  <c:v>3.1024235370159636E-2</c:v>
                </c:pt>
                <c:pt idx="2">
                  <c:v>3.972580801388622E-2</c:v>
                </c:pt>
                <c:pt idx="3">
                  <c:v>7.9799233320101887E-2</c:v>
                </c:pt>
                <c:pt idx="4">
                  <c:v>0.16592803411235621</c:v>
                </c:pt>
                <c:pt idx="5">
                  <c:v>0.31758459047554866</c:v>
                </c:pt>
                <c:pt idx="6">
                  <c:v>0.29164075655205657</c:v>
                </c:pt>
                <c:pt idx="7">
                  <c:v>0.1752017085904129</c:v>
                </c:pt>
                <c:pt idx="8">
                  <c:v>0.1674732686238736</c:v>
                </c:pt>
                <c:pt idx="9">
                  <c:v>0.17333527726220049</c:v>
                </c:pt>
                <c:pt idx="10">
                  <c:v>0.19029857917961671</c:v>
                </c:pt>
                <c:pt idx="11">
                  <c:v>0.15912469742969546</c:v>
                </c:pt>
                <c:pt idx="12">
                  <c:v>0.1647887706910183</c:v>
                </c:pt>
                <c:pt idx="13">
                  <c:v>0.18292673246893443</c:v>
                </c:pt>
                <c:pt idx="14">
                  <c:v>0.22762890988355802</c:v>
                </c:pt>
                <c:pt idx="15">
                  <c:v>0.21465957929681975</c:v>
                </c:pt>
                <c:pt idx="16">
                  <c:v>0.22574856919322056</c:v>
                </c:pt>
                <c:pt idx="17">
                  <c:v>0.21624705419521814</c:v>
                </c:pt>
                <c:pt idx="18">
                  <c:v>0.2213689259003993</c:v>
                </c:pt>
                <c:pt idx="19">
                  <c:v>0.17698504776529986</c:v>
                </c:pt>
                <c:pt idx="20">
                  <c:v>0.17948971222978516</c:v>
                </c:pt>
                <c:pt idx="21">
                  <c:v>0.15470264977843398</c:v>
                </c:pt>
                <c:pt idx="22">
                  <c:v>0.1480747620965632</c:v>
                </c:pt>
                <c:pt idx="23">
                  <c:v>0.12206006829372019</c:v>
                </c:pt>
                <c:pt idx="24">
                  <c:v>0.14997535996870462</c:v>
                </c:pt>
                <c:pt idx="25">
                  <c:v>0.1747069015505533</c:v>
                </c:pt>
                <c:pt idx="26">
                  <c:v>0.19229411472496713</c:v>
                </c:pt>
                <c:pt idx="27">
                  <c:v>0.18367427960607502</c:v>
                </c:pt>
              </c:numCache>
            </c:numRef>
          </c:val>
          <c:smooth val="0"/>
          <c:extLst>
            <c:ext xmlns:c16="http://schemas.microsoft.com/office/drawing/2014/chart" uri="{C3380CC4-5D6E-409C-BE32-E72D297353CC}">
              <c16:uniqueId val="{00000001-42C5-4967-86D4-FAC977760CC1}"/>
            </c:ext>
          </c:extLst>
        </c:ser>
        <c:dLbls>
          <c:showLegendKey val="0"/>
          <c:showVal val="0"/>
          <c:showCatName val="0"/>
          <c:showSerName val="0"/>
          <c:showPercent val="0"/>
          <c:showBubbleSize val="0"/>
        </c:dLbls>
        <c:smooth val="0"/>
        <c:axId val="872003600"/>
        <c:axId val="872000320"/>
      </c:lineChart>
      <c:dateAx>
        <c:axId val="872003600"/>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000320"/>
        <c:crosses val="autoZero"/>
        <c:auto val="1"/>
        <c:lblOffset val="100"/>
        <c:baseTimeUnit val="months"/>
      </c:dateAx>
      <c:valAx>
        <c:axId val="87200032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003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Originação de Crédito</c:v>
          </c:tx>
          <c:spPr>
            <a:ln w="28575" cap="rnd">
              <a:solidFill>
                <a:schemeClr val="accent1"/>
              </a:solidFill>
              <a:round/>
            </a:ln>
            <a:effectLst/>
          </c:spPr>
          <c:marker>
            <c:symbol val="none"/>
          </c:marker>
          <c:cat>
            <c:numRef>
              <c:f>Cartao!$BJ$1:$CL$1</c:f>
              <c:numCache>
                <c:formatCode>mmm\-yy</c:formatCode>
                <c:ptCount val="29"/>
                <c:pt idx="0">
                  <c:v>43465</c:v>
                </c:pt>
                <c:pt idx="1">
                  <c:v>43555</c:v>
                </c:pt>
                <c:pt idx="2">
                  <c:v>43646</c:v>
                </c:pt>
                <c:pt idx="3">
                  <c:v>43738</c:v>
                </c:pt>
                <c:pt idx="4">
                  <c:v>43830</c:v>
                </c:pt>
                <c:pt idx="5">
                  <c:v>43921</c:v>
                </c:pt>
                <c:pt idx="6">
                  <c:v>44012</c:v>
                </c:pt>
                <c:pt idx="7">
                  <c:v>44104</c:v>
                </c:pt>
                <c:pt idx="8">
                  <c:v>44196</c:v>
                </c:pt>
                <c:pt idx="9">
                  <c:v>44286</c:v>
                </c:pt>
                <c:pt idx="10">
                  <c:v>44377</c:v>
                </c:pt>
                <c:pt idx="11">
                  <c:v>44469</c:v>
                </c:pt>
                <c:pt idx="12">
                  <c:v>44561</c:v>
                </c:pt>
                <c:pt idx="13">
                  <c:v>44651</c:v>
                </c:pt>
                <c:pt idx="14">
                  <c:v>44742</c:v>
                </c:pt>
                <c:pt idx="15">
                  <c:v>44834</c:v>
                </c:pt>
                <c:pt idx="16">
                  <c:v>44926</c:v>
                </c:pt>
                <c:pt idx="17">
                  <c:v>45016</c:v>
                </c:pt>
                <c:pt idx="18">
                  <c:v>45107</c:v>
                </c:pt>
                <c:pt idx="19">
                  <c:v>45199</c:v>
                </c:pt>
                <c:pt idx="20">
                  <c:v>45291</c:v>
                </c:pt>
                <c:pt idx="21">
                  <c:v>45382</c:v>
                </c:pt>
                <c:pt idx="22">
                  <c:v>45473</c:v>
                </c:pt>
                <c:pt idx="23">
                  <c:v>45565</c:v>
                </c:pt>
                <c:pt idx="24">
                  <c:v>45657</c:v>
                </c:pt>
                <c:pt idx="25">
                  <c:v>45747</c:v>
                </c:pt>
                <c:pt idx="26">
                  <c:v>45837</c:v>
                </c:pt>
                <c:pt idx="27">
                  <c:v>45927</c:v>
                </c:pt>
                <c:pt idx="28">
                  <c:v>46017</c:v>
                </c:pt>
              </c:numCache>
            </c:numRef>
          </c:cat>
          <c:val>
            <c:numRef>
              <c:f>Cartao!$BJ$35:$CL$35</c:f>
              <c:numCache>
                <c:formatCode>_(* #,##0_);_(* \(#,##0\);_(* "-"??_);_(@_)</c:formatCode>
                <c:ptCount val="29"/>
                <c:pt idx="0">
                  <c:v>2249060</c:v>
                </c:pt>
                <c:pt idx="1">
                  <c:v>-181524.0764501784</c:v>
                </c:pt>
                <c:pt idx="2">
                  <c:v>2303073.3374077231</c:v>
                </c:pt>
                <c:pt idx="3">
                  <c:v>2167297.6472926815</c:v>
                </c:pt>
                <c:pt idx="4">
                  <c:v>2763043.600420414</c:v>
                </c:pt>
                <c:pt idx="5">
                  <c:v>1834011.7079027439</c:v>
                </c:pt>
                <c:pt idx="6">
                  <c:v>2190651.3899598094</c:v>
                </c:pt>
                <c:pt idx="7">
                  <c:v>2885323.3960365243</c:v>
                </c:pt>
                <c:pt idx="8">
                  <c:v>2568179.9837668231</c:v>
                </c:pt>
                <c:pt idx="9">
                  <c:v>1702866.1293953252</c:v>
                </c:pt>
                <c:pt idx="10">
                  <c:v>3334038.3324377341</c:v>
                </c:pt>
                <c:pt idx="11">
                  <c:v>2644314</c:v>
                </c:pt>
                <c:pt idx="12">
                  <c:v>3817515</c:v>
                </c:pt>
                <c:pt idx="13">
                  <c:v>2853339</c:v>
                </c:pt>
                <c:pt idx="14">
                  <c:v>4316464</c:v>
                </c:pt>
                <c:pt idx="15">
                  <c:v>3796040</c:v>
                </c:pt>
                <c:pt idx="16">
                  <c:v>4789232</c:v>
                </c:pt>
                <c:pt idx="17">
                  <c:v>3814942</c:v>
                </c:pt>
                <c:pt idx="18">
                  <c:v>4744674</c:v>
                </c:pt>
                <c:pt idx="19">
                  <c:v>4133457</c:v>
                </c:pt>
                <c:pt idx="20">
                  <c:v>4948311</c:v>
                </c:pt>
                <c:pt idx="21">
                  <c:v>3773525</c:v>
                </c:pt>
                <c:pt idx="22">
                  <c:v>4809973.0010086438</c:v>
                </c:pt>
                <c:pt idx="23">
                  <c:v>4307001.2272394728</c:v>
                </c:pt>
                <c:pt idx="24">
                  <c:v>4972186.9772467799</c:v>
                </c:pt>
                <c:pt idx="25">
                  <c:v>4068412.6475119051</c:v>
                </c:pt>
                <c:pt idx="26">
                  <c:v>5064000.8468862111</c:v>
                </c:pt>
                <c:pt idx="27">
                  <c:v>4490998.4731200421</c:v>
                </c:pt>
                <c:pt idx="28">
                  <c:v>5372149.1734490702</c:v>
                </c:pt>
              </c:numCache>
            </c:numRef>
          </c:val>
          <c:smooth val="0"/>
          <c:extLst>
            <c:ext xmlns:c16="http://schemas.microsoft.com/office/drawing/2014/chart" uri="{C3380CC4-5D6E-409C-BE32-E72D297353CC}">
              <c16:uniqueId val="{00000000-E077-4C35-9DFC-2711B2800D03}"/>
            </c:ext>
          </c:extLst>
        </c:ser>
        <c:ser>
          <c:idx val="1"/>
          <c:order val="1"/>
          <c:tx>
            <c:v>Receita de Mercadorias</c:v>
          </c:tx>
          <c:spPr>
            <a:ln w="28575" cap="rnd">
              <a:solidFill>
                <a:schemeClr val="accent2"/>
              </a:solidFill>
              <a:round/>
            </a:ln>
            <a:effectLst/>
          </c:spPr>
          <c:marker>
            <c:symbol val="none"/>
          </c:marker>
          <c:cat>
            <c:numRef>
              <c:f>Cartao!$BJ$1:$CL$1</c:f>
              <c:numCache>
                <c:formatCode>mmm\-yy</c:formatCode>
                <c:ptCount val="29"/>
                <c:pt idx="0">
                  <c:v>43465</c:v>
                </c:pt>
                <c:pt idx="1">
                  <c:v>43555</c:v>
                </c:pt>
                <c:pt idx="2">
                  <c:v>43646</c:v>
                </c:pt>
                <c:pt idx="3">
                  <c:v>43738</c:v>
                </c:pt>
                <c:pt idx="4">
                  <c:v>43830</c:v>
                </c:pt>
                <c:pt idx="5">
                  <c:v>43921</c:v>
                </c:pt>
                <c:pt idx="6">
                  <c:v>44012</c:v>
                </c:pt>
                <c:pt idx="7">
                  <c:v>44104</c:v>
                </c:pt>
                <c:pt idx="8">
                  <c:v>44196</c:v>
                </c:pt>
                <c:pt idx="9">
                  <c:v>44286</c:v>
                </c:pt>
                <c:pt idx="10">
                  <c:v>44377</c:v>
                </c:pt>
                <c:pt idx="11">
                  <c:v>44469</c:v>
                </c:pt>
                <c:pt idx="12">
                  <c:v>44561</c:v>
                </c:pt>
                <c:pt idx="13">
                  <c:v>44651</c:v>
                </c:pt>
                <c:pt idx="14">
                  <c:v>44742</c:v>
                </c:pt>
                <c:pt idx="15">
                  <c:v>44834</c:v>
                </c:pt>
                <c:pt idx="16">
                  <c:v>44926</c:v>
                </c:pt>
                <c:pt idx="17">
                  <c:v>45016</c:v>
                </c:pt>
                <c:pt idx="18">
                  <c:v>45107</c:v>
                </c:pt>
                <c:pt idx="19">
                  <c:v>45199</c:v>
                </c:pt>
                <c:pt idx="20">
                  <c:v>45291</c:v>
                </c:pt>
                <c:pt idx="21">
                  <c:v>45382</c:v>
                </c:pt>
                <c:pt idx="22">
                  <c:v>45473</c:v>
                </c:pt>
                <c:pt idx="23">
                  <c:v>45565</c:v>
                </c:pt>
                <c:pt idx="24">
                  <c:v>45657</c:v>
                </c:pt>
                <c:pt idx="25">
                  <c:v>45747</c:v>
                </c:pt>
                <c:pt idx="26">
                  <c:v>45837</c:v>
                </c:pt>
                <c:pt idx="27">
                  <c:v>45927</c:v>
                </c:pt>
                <c:pt idx="28">
                  <c:v>46017</c:v>
                </c:pt>
              </c:numCache>
            </c:numRef>
          </c:cat>
          <c:val>
            <c:numRef>
              <c:f>Cartao!$BJ$36:$CL$36</c:f>
              <c:numCache>
                <c:formatCode>_(* #,##0_);_(* \(#,##0\);_(* "-"??_);_(@_)</c:formatCode>
                <c:ptCount val="29"/>
                <c:pt idx="0">
                  <c:v>2595122</c:v>
                </c:pt>
                <c:pt idx="1">
                  <c:v>1650337</c:v>
                </c:pt>
                <c:pt idx="2">
                  <c:v>2019374</c:v>
                </c:pt>
                <c:pt idx="3">
                  <c:v>1931924</c:v>
                </c:pt>
                <c:pt idx="4">
                  <c:v>2873058</c:v>
                </c:pt>
                <c:pt idx="5">
                  <c:v>1550180</c:v>
                </c:pt>
                <c:pt idx="6">
                  <c:v>539636</c:v>
                </c:pt>
                <c:pt idx="7">
                  <c:v>1651197</c:v>
                </c:pt>
                <c:pt idx="8">
                  <c:v>2919558</c:v>
                </c:pt>
                <c:pt idx="9">
                  <c:v>1364417</c:v>
                </c:pt>
                <c:pt idx="10">
                  <c:v>2258723</c:v>
                </c:pt>
                <c:pt idx="11">
                  <c:v>2371924.3700500024</c:v>
                </c:pt>
                <c:pt idx="12">
                  <c:v>3560662.0335699995</c:v>
                </c:pt>
                <c:pt idx="13">
                  <c:v>2229665</c:v>
                </c:pt>
                <c:pt idx="14">
                  <c:v>3175745</c:v>
                </c:pt>
                <c:pt idx="15">
                  <c:v>2615521</c:v>
                </c:pt>
                <c:pt idx="16">
                  <c:v>3554864</c:v>
                </c:pt>
                <c:pt idx="17">
                  <c:v>2277999</c:v>
                </c:pt>
                <c:pt idx="18">
                  <c:v>2985304</c:v>
                </c:pt>
                <c:pt idx="19">
                  <c:v>2636106</c:v>
                </c:pt>
                <c:pt idx="20">
                  <c:v>3806931</c:v>
                </c:pt>
                <c:pt idx="21">
                  <c:v>2461296</c:v>
                </c:pt>
                <c:pt idx="22">
                  <c:v>3079923</c:v>
                </c:pt>
                <c:pt idx="23">
                  <c:v>2955952</c:v>
                </c:pt>
                <c:pt idx="24">
                  <c:v>4174779</c:v>
                </c:pt>
                <c:pt idx="25">
                  <c:v>2756840</c:v>
                </c:pt>
                <c:pt idx="26">
                  <c:v>3649669</c:v>
                </c:pt>
                <c:pt idx="27">
                  <c:v>3079149</c:v>
                </c:pt>
                <c:pt idx="28">
                  <c:v>4372015.7390090954</c:v>
                </c:pt>
              </c:numCache>
            </c:numRef>
          </c:val>
          <c:smooth val="0"/>
          <c:extLst>
            <c:ext xmlns:c16="http://schemas.microsoft.com/office/drawing/2014/chart" uri="{C3380CC4-5D6E-409C-BE32-E72D297353CC}">
              <c16:uniqueId val="{00000001-E077-4C35-9DFC-2711B2800D03}"/>
            </c:ext>
          </c:extLst>
        </c:ser>
        <c:dLbls>
          <c:showLegendKey val="0"/>
          <c:showVal val="0"/>
          <c:showCatName val="0"/>
          <c:showSerName val="0"/>
          <c:showPercent val="0"/>
          <c:showBubbleSize val="0"/>
        </c:dLbls>
        <c:smooth val="0"/>
        <c:axId val="1575206288"/>
        <c:axId val="1575209648"/>
      </c:lineChart>
      <c:dateAx>
        <c:axId val="1575206288"/>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209648"/>
        <c:crosses val="autoZero"/>
        <c:auto val="1"/>
        <c:lblOffset val="100"/>
        <c:baseTimeUnit val="days"/>
      </c:dateAx>
      <c:valAx>
        <c:axId val="157520964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206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0573393351737771"/>
          <c:y val="0.38438438438438438"/>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7994732523719523E-2"/>
          <c:y val="0.14450450450450453"/>
          <c:w val="0.89437141600823211"/>
          <c:h val="0.75860553466852676"/>
        </c:manualLayout>
      </c:layout>
      <c:barChart>
        <c:barDir val="col"/>
        <c:grouping val="clustered"/>
        <c:varyColors val="0"/>
        <c:ser>
          <c:idx val="0"/>
          <c:order val="0"/>
          <c:tx>
            <c:strRef>
              <c:f>'Estudo PE tgt'!$A$14</c:f>
              <c:strCache>
                <c:ptCount val="1"/>
                <c:pt idx="0">
                  <c:v>EPS</c:v>
                </c:pt>
              </c:strCache>
            </c:strRef>
          </c:tx>
          <c:spPr>
            <a:solidFill>
              <a:schemeClr val="accent1"/>
            </a:solidFill>
            <a:ln>
              <a:noFill/>
            </a:ln>
            <a:effectLst/>
          </c:spPr>
          <c:invertIfNegative val="0"/>
          <c:cat>
            <c:numRef>
              <c:f>'Estudo PE tgt'!$B$3:$O$3</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'Estudo PE tgt'!$B$14:$O$14</c:f>
              <c:numCache>
                <c:formatCode>_-* #,##0.00_-;\-* #,##0.00_-;_-* "-"??_-;_-@_-</c:formatCode>
                <c:ptCount val="14"/>
                <c:pt idx="0">
                  <c:v>0.49095686718723752</c:v>
                </c:pt>
                <c:pt idx="1">
                  <c:v>0.55445560304100339</c:v>
                </c:pt>
                <c:pt idx="2">
                  <c:v>0.57336002851697954</c:v>
                </c:pt>
                <c:pt idx="3">
                  <c:v>0.65725063482784885</c:v>
                </c:pt>
                <c:pt idx="4">
                  <c:v>1.0651732074548546</c:v>
                </c:pt>
                <c:pt idx="5">
                  <c:v>0.89720399743632606</c:v>
                </c:pt>
                <c:pt idx="6">
                  <c:v>0.97390702131445883</c:v>
                </c:pt>
                <c:pt idx="7">
                  <c:v>1.0277757902084725</c:v>
                </c:pt>
                <c:pt idx="8">
                  <c:v>1.4871605508332786</c:v>
                </c:pt>
                <c:pt idx="9">
                  <c:v>1.4087275399863033</c:v>
                </c:pt>
                <c:pt idx="10">
                  <c:v>0.50235566998097581</c:v>
                </c:pt>
                <c:pt idx="11">
                  <c:v>0.74864372818955427</c:v>
                </c:pt>
                <c:pt idx="12">
                  <c:v>1.282921402996489</c:v>
                </c:pt>
                <c:pt idx="13">
                  <c:v>0.96962193783551587</c:v>
                </c:pt>
              </c:numCache>
            </c:numRef>
          </c:val>
          <c:extLst>
            <c:ext xmlns:c16="http://schemas.microsoft.com/office/drawing/2014/chart" uri="{C3380CC4-5D6E-409C-BE32-E72D297353CC}">
              <c16:uniqueId val="{00000000-2785-41EF-9E9D-C2013C2095B3}"/>
            </c:ext>
          </c:extLst>
        </c:ser>
        <c:dLbls>
          <c:showLegendKey val="0"/>
          <c:showVal val="0"/>
          <c:showCatName val="0"/>
          <c:showSerName val="0"/>
          <c:showPercent val="0"/>
          <c:showBubbleSize val="0"/>
        </c:dLbls>
        <c:gapWidth val="150"/>
        <c:axId val="1481902927"/>
        <c:axId val="511109103"/>
      </c:barChart>
      <c:catAx>
        <c:axId val="148190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109103"/>
        <c:crosses val="autoZero"/>
        <c:auto val="1"/>
        <c:lblAlgn val="ctr"/>
        <c:lblOffset val="100"/>
        <c:noMultiLvlLbl val="0"/>
      </c:catAx>
      <c:valAx>
        <c:axId val="511109103"/>
        <c:scaling>
          <c:orientation val="minMax"/>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902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53</xdr:col>
      <xdr:colOff>432095</xdr:colOff>
      <xdr:row>128</xdr:row>
      <xdr:rowOff>0</xdr:rowOff>
    </xdr:from>
    <xdr:to>
      <xdr:col>61</xdr:col>
      <xdr:colOff>542925</xdr:colOff>
      <xdr:row>143</xdr:row>
      <xdr:rowOff>190499</xdr:rowOff>
    </xdr:to>
    <xdr:graphicFrame macro="">
      <xdr:nvGraphicFramePr>
        <xdr:cNvPr id="3" name="Chart 2">
          <a:extLst>
            <a:ext uri="{FF2B5EF4-FFF2-40B4-BE49-F238E27FC236}">
              <a16:creationId xmlns:a16="http://schemas.microsoft.com/office/drawing/2014/main" id="{03AD40D7-2689-48E0-8A41-D551751C51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52</xdr:col>
      <xdr:colOff>523875</xdr:colOff>
      <xdr:row>38</xdr:row>
      <xdr:rowOff>171456</xdr:rowOff>
    </xdr:from>
    <xdr:to>
      <xdr:col>59</xdr:col>
      <xdr:colOff>428625</xdr:colOff>
      <xdr:row>52</xdr:row>
      <xdr:rowOff>57156</xdr:rowOff>
    </xdr:to>
    <xdr:graphicFrame macro="">
      <xdr:nvGraphicFramePr>
        <xdr:cNvPr id="4" name="Chart 3">
          <a:extLst>
            <a:ext uri="{FF2B5EF4-FFF2-40B4-BE49-F238E27FC236}">
              <a16:creationId xmlns:a16="http://schemas.microsoft.com/office/drawing/2014/main" id="{9C00B7C5-58FE-4673-89D1-DF7DAE96DE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95</xdr:col>
      <xdr:colOff>0</xdr:colOff>
      <xdr:row>366</xdr:row>
      <xdr:rowOff>104775</xdr:rowOff>
    </xdr:from>
    <xdr:to>
      <xdr:col>118</xdr:col>
      <xdr:colOff>666750</xdr:colOff>
      <xdr:row>380</xdr:row>
      <xdr:rowOff>0</xdr:rowOff>
    </xdr:to>
    <xdr:graphicFrame macro="">
      <xdr:nvGraphicFramePr>
        <xdr:cNvPr id="8" name="Chart 1">
          <a:extLst>
            <a:ext uri="{FF2B5EF4-FFF2-40B4-BE49-F238E27FC236}">
              <a16:creationId xmlns:a16="http://schemas.microsoft.com/office/drawing/2014/main" id="{7DFEDC37-738D-41B7-AE06-B5150E03CB9F}"/>
            </a:ext>
            <a:ext uri="{147F2762-F138-4A5C-976F-8EAC2B608ADB}">
              <a16:predDERef xmlns:a16="http://schemas.microsoft.com/office/drawing/2014/main" pred="{9C00B7C5-58FE-4673-89D1-DF7DAE96DE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126</xdr:col>
      <xdr:colOff>476250</xdr:colOff>
      <xdr:row>197</xdr:row>
      <xdr:rowOff>142875</xdr:rowOff>
    </xdr:from>
    <xdr:to>
      <xdr:col>134</xdr:col>
      <xdr:colOff>380999</xdr:colOff>
      <xdr:row>213</xdr:row>
      <xdr:rowOff>157163</xdr:rowOff>
    </xdr:to>
    <xdr:graphicFrame macro="">
      <xdr:nvGraphicFramePr>
        <xdr:cNvPr id="7" name="Chart 6">
          <a:extLst>
            <a:ext uri="{FF2B5EF4-FFF2-40B4-BE49-F238E27FC236}">
              <a16:creationId xmlns:a16="http://schemas.microsoft.com/office/drawing/2014/main" id="{AF943472-8678-4F34-84F0-99E6AABA76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135</xdr:col>
      <xdr:colOff>236398</xdr:colOff>
      <xdr:row>225</xdr:row>
      <xdr:rowOff>53686</xdr:rowOff>
    </xdr:from>
    <xdr:to>
      <xdr:col>143</xdr:col>
      <xdr:colOff>531667</xdr:colOff>
      <xdr:row>261</xdr:row>
      <xdr:rowOff>148936</xdr:rowOff>
    </xdr:to>
    <xdr:graphicFrame macro="">
      <xdr:nvGraphicFramePr>
        <xdr:cNvPr id="2" name="Chart 1">
          <a:extLst>
            <a:ext uri="{FF2B5EF4-FFF2-40B4-BE49-F238E27FC236}">
              <a16:creationId xmlns:a16="http://schemas.microsoft.com/office/drawing/2014/main" id="{E0D0E325-7CF0-4F6D-A7D5-23D452CEB791}"/>
            </a:ext>
            <a:ext uri="{147F2762-F138-4A5C-976F-8EAC2B608ADB}">
              <a16:predDERef xmlns:a16="http://schemas.microsoft.com/office/drawing/2014/main" pred="{AF943472-8678-4F34-84F0-99E6AABA76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130</xdr:col>
      <xdr:colOff>559490</xdr:colOff>
      <xdr:row>47</xdr:row>
      <xdr:rowOff>133350</xdr:rowOff>
    </xdr:from>
    <xdr:to>
      <xdr:col>140</xdr:col>
      <xdr:colOff>247229</xdr:colOff>
      <xdr:row>61</xdr:row>
      <xdr:rowOff>63776</xdr:rowOff>
    </xdr:to>
    <xdr:graphicFrame macro="">
      <xdr:nvGraphicFramePr>
        <xdr:cNvPr id="9" name="Chart 8">
          <a:extLst>
            <a:ext uri="{FF2B5EF4-FFF2-40B4-BE49-F238E27FC236}">
              <a16:creationId xmlns:a16="http://schemas.microsoft.com/office/drawing/2014/main" id="{0D1DCF7D-349E-4557-856A-592E385ED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50</xdr:col>
      <xdr:colOff>705969</xdr:colOff>
      <xdr:row>254</xdr:row>
      <xdr:rowOff>145676</xdr:rowOff>
    </xdr:from>
    <xdr:to>
      <xdr:col>58</xdr:col>
      <xdr:colOff>324971</xdr:colOff>
      <xdr:row>272</xdr:row>
      <xdr:rowOff>33618</xdr:rowOff>
    </xdr:to>
    <xdr:graphicFrame macro="">
      <xdr:nvGraphicFramePr>
        <xdr:cNvPr id="4" name="Chart 3">
          <a:extLst>
            <a:ext uri="{FF2B5EF4-FFF2-40B4-BE49-F238E27FC236}">
              <a16:creationId xmlns:a16="http://schemas.microsoft.com/office/drawing/2014/main" id="{5DF27B87-D8AA-4ECE-93F9-D80C5E2C2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127</xdr:col>
      <xdr:colOff>582706</xdr:colOff>
      <xdr:row>242</xdr:row>
      <xdr:rowOff>179294</xdr:rowOff>
    </xdr:from>
    <xdr:to>
      <xdr:col>128</xdr:col>
      <xdr:colOff>0</xdr:colOff>
      <xdr:row>261</xdr:row>
      <xdr:rowOff>121031</xdr:rowOff>
    </xdr:to>
    <xdr:graphicFrame macro="">
      <xdr:nvGraphicFramePr>
        <xdr:cNvPr id="2" name="Chart 1">
          <a:extLst>
            <a:ext uri="{FF2B5EF4-FFF2-40B4-BE49-F238E27FC236}">
              <a16:creationId xmlns:a16="http://schemas.microsoft.com/office/drawing/2014/main" id="{56895848-B734-4DFC-882E-41C3EFCD30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29</xdr:col>
      <xdr:colOff>666750</xdr:colOff>
      <xdr:row>262</xdr:row>
      <xdr:rowOff>0</xdr:rowOff>
    </xdr:from>
    <xdr:to>
      <xdr:col>36</xdr:col>
      <xdr:colOff>171450</xdr:colOff>
      <xdr:row>270</xdr:row>
      <xdr:rowOff>133350</xdr:rowOff>
    </xdr:to>
    <xdr:graphicFrame macro="">
      <xdr:nvGraphicFramePr>
        <xdr:cNvPr id="3" name="Chart 2">
          <a:extLst>
            <a:ext uri="{FF2B5EF4-FFF2-40B4-BE49-F238E27FC236}">
              <a16:creationId xmlns:a16="http://schemas.microsoft.com/office/drawing/2014/main" id="{0C9F7591-AD4B-41E6-9B36-82DD07E90B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600075</xdr:colOff>
      <xdr:row>239</xdr:row>
      <xdr:rowOff>0</xdr:rowOff>
    </xdr:from>
    <xdr:to>
      <xdr:col>29</xdr:col>
      <xdr:colOff>104775</xdr:colOff>
      <xdr:row>262</xdr:row>
      <xdr:rowOff>0</xdr:rowOff>
    </xdr:to>
    <xdr:graphicFrame macro="">
      <xdr:nvGraphicFramePr>
        <xdr:cNvPr id="4" name="Chart 3">
          <a:extLst>
            <a:ext uri="{FF2B5EF4-FFF2-40B4-BE49-F238E27FC236}">
              <a16:creationId xmlns:a16="http://schemas.microsoft.com/office/drawing/2014/main" id="{0AC33A72-2665-4B68-86B3-85FE2B410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466725</xdr:colOff>
      <xdr:row>197</xdr:row>
      <xdr:rowOff>95250</xdr:rowOff>
    </xdr:from>
    <xdr:to>
      <xdr:col>32</xdr:col>
      <xdr:colOff>695325</xdr:colOff>
      <xdr:row>262</xdr:row>
      <xdr:rowOff>0</xdr:rowOff>
    </xdr:to>
    <xdr:graphicFrame macro="">
      <xdr:nvGraphicFramePr>
        <xdr:cNvPr id="5" name="Chart 4">
          <a:extLst>
            <a:ext uri="{FF2B5EF4-FFF2-40B4-BE49-F238E27FC236}">
              <a16:creationId xmlns:a16="http://schemas.microsoft.com/office/drawing/2014/main" id="{9C63B6F5-C6C1-461A-811C-325B5D6E89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108</xdr:col>
      <xdr:colOff>23820</xdr:colOff>
      <xdr:row>72</xdr:row>
      <xdr:rowOff>147635</xdr:rowOff>
    </xdr:from>
    <xdr:to>
      <xdr:col>114</xdr:col>
      <xdr:colOff>444500</xdr:colOff>
      <xdr:row>95</xdr:row>
      <xdr:rowOff>119061</xdr:rowOff>
    </xdr:to>
    <xdr:graphicFrame macro="">
      <xdr:nvGraphicFramePr>
        <xdr:cNvPr id="12" name="Chart 1">
          <a:extLst>
            <a:ext uri="{FF2B5EF4-FFF2-40B4-BE49-F238E27FC236}">
              <a16:creationId xmlns:a16="http://schemas.microsoft.com/office/drawing/2014/main" id="{CADCEAB6-12A6-486D-A4E7-14FDA33E37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130</xdr:col>
      <xdr:colOff>114300</xdr:colOff>
      <xdr:row>95</xdr:row>
      <xdr:rowOff>76200</xdr:rowOff>
    </xdr:from>
    <xdr:to>
      <xdr:col>139</xdr:col>
      <xdr:colOff>66675</xdr:colOff>
      <xdr:row>117</xdr:row>
      <xdr:rowOff>76200</xdr:rowOff>
    </xdr:to>
    <xdr:graphicFrame macro="">
      <xdr:nvGraphicFramePr>
        <xdr:cNvPr id="6" name="Chart 5">
          <a:extLst>
            <a:ext uri="{FF2B5EF4-FFF2-40B4-BE49-F238E27FC236}">
              <a16:creationId xmlns:a16="http://schemas.microsoft.com/office/drawing/2014/main" id="{0ED1BCB3-CFA1-4D1E-81F3-78B3DB3910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97</xdr:col>
      <xdr:colOff>433386</xdr:colOff>
      <xdr:row>243</xdr:row>
      <xdr:rowOff>39687</xdr:rowOff>
    </xdr:from>
    <xdr:to>
      <xdr:col>114</xdr:col>
      <xdr:colOff>381000</xdr:colOff>
      <xdr:row>264</xdr:row>
      <xdr:rowOff>85725</xdr:rowOff>
    </xdr:to>
    <xdr:graphicFrame macro="">
      <xdr:nvGraphicFramePr>
        <xdr:cNvPr id="2" name="Chart 1">
          <a:extLst>
            <a:ext uri="{FF2B5EF4-FFF2-40B4-BE49-F238E27FC236}">
              <a16:creationId xmlns:a16="http://schemas.microsoft.com/office/drawing/2014/main" id="{D0C800D8-7CBE-7932-5F1F-494BE6957E11}"/>
            </a:ext>
            <a:ext uri="{147F2762-F138-4A5C-976F-8EAC2B608ADB}">
              <a16:predDERef xmlns:a16="http://schemas.microsoft.com/office/drawing/2014/main" pred="{0ED1BCB3-CFA1-4D1E-81F3-78B3DB3910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127</xdr:col>
      <xdr:colOff>581025</xdr:colOff>
      <xdr:row>166</xdr:row>
      <xdr:rowOff>133350</xdr:rowOff>
    </xdr:from>
    <xdr:to>
      <xdr:col>135</xdr:col>
      <xdr:colOff>533400</xdr:colOff>
      <xdr:row>209</xdr:row>
      <xdr:rowOff>171450</xdr:rowOff>
    </xdr:to>
    <xdr:graphicFrame macro="">
      <xdr:nvGraphicFramePr>
        <xdr:cNvPr id="7" name="Chart 6">
          <a:extLst>
            <a:ext uri="{FF2B5EF4-FFF2-40B4-BE49-F238E27FC236}">
              <a16:creationId xmlns:a16="http://schemas.microsoft.com/office/drawing/2014/main" id="{906A5310-A081-4992-A434-E2341880E1C8}"/>
            </a:ext>
            <a:ext uri="{147F2762-F138-4A5C-976F-8EAC2B608ADB}">
              <a16:predDERef xmlns:a16="http://schemas.microsoft.com/office/drawing/2014/main" pred="{0ED1BCB3-CFA1-4D1E-81F3-78B3DB3910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97</xdr:col>
      <xdr:colOff>342900</xdr:colOff>
      <xdr:row>11</xdr:row>
      <xdr:rowOff>142875</xdr:rowOff>
    </xdr:from>
    <xdr:to>
      <xdr:col>119</xdr:col>
      <xdr:colOff>419100</xdr:colOff>
      <xdr:row>31</xdr:row>
      <xdr:rowOff>76200</xdr:rowOff>
    </xdr:to>
    <xdr:graphicFrame macro="">
      <xdr:nvGraphicFramePr>
        <xdr:cNvPr id="8" name="Chart 7">
          <a:extLst>
            <a:ext uri="{FF2B5EF4-FFF2-40B4-BE49-F238E27FC236}">
              <a16:creationId xmlns:a16="http://schemas.microsoft.com/office/drawing/2014/main" id="{91CB1C8F-E688-F9A3-5D14-2B8D7D2795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6</xdr:col>
      <xdr:colOff>0</xdr:colOff>
      <xdr:row>14</xdr:row>
      <xdr:rowOff>0</xdr:rowOff>
    </xdr:from>
    <xdr:ext cx="4190476" cy="2314286"/>
    <xdr:pic>
      <xdr:nvPicPr>
        <xdr:cNvPr id="2" name="Picture 1">
          <a:extLst>
            <a:ext uri="{FF2B5EF4-FFF2-40B4-BE49-F238E27FC236}">
              <a16:creationId xmlns:a16="http://schemas.microsoft.com/office/drawing/2014/main" id="{631C9FD8-11F4-4074-8B86-8FB3B0AAA23F}"/>
            </a:ext>
          </a:extLst>
        </xdr:cNvPr>
        <xdr:cNvPicPr>
          <a:picLocks noChangeAspect="1"/>
        </xdr:cNvPicPr>
      </xdr:nvPicPr>
      <xdr:blipFill>
        <a:blip xmlns:r="http://schemas.openxmlformats.org/officeDocument/2006/relationships" r:embed="rId1"/>
        <a:stretch>
          <a:fillRect/>
        </a:stretch>
      </xdr:blipFill>
      <xdr:spPr>
        <a:xfrm>
          <a:off x="5810250" y="13754100"/>
          <a:ext cx="4190476" cy="2314286"/>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xdr:from>
      <xdr:col>4</xdr:col>
      <xdr:colOff>47624</xdr:colOff>
      <xdr:row>20</xdr:row>
      <xdr:rowOff>95249</xdr:rowOff>
    </xdr:from>
    <xdr:to>
      <xdr:col>13</xdr:col>
      <xdr:colOff>19049</xdr:colOff>
      <xdr:row>38</xdr:row>
      <xdr:rowOff>152399</xdr:rowOff>
    </xdr:to>
    <xdr:graphicFrame macro="">
      <xdr:nvGraphicFramePr>
        <xdr:cNvPr id="2" name="Chart 1">
          <a:extLst>
            <a:ext uri="{FF2B5EF4-FFF2-40B4-BE49-F238E27FC236}">
              <a16:creationId xmlns:a16="http://schemas.microsoft.com/office/drawing/2014/main" id="{39B33EE6-C32C-4D72-84C1-1D1AB9D68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0.18135</cdr:x>
      <cdr:y>0.22523</cdr:y>
    </cdr:from>
    <cdr:to>
      <cdr:x>0.60276</cdr:x>
      <cdr:y>0.39339</cdr:y>
    </cdr:to>
    <cdr:sp macro="" textlink="">
      <cdr:nvSpPr>
        <cdr:cNvPr id="2" name="TextBox 1">
          <a:extLst xmlns:a="http://schemas.openxmlformats.org/drawingml/2006/main">
            <a:ext uri="{FF2B5EF4-FFF2-40B4-BE49-F238E27FC236}">
              <a16:creationId xmlns:a16="http://schemas.microsoft.com/office/drawing/2014/main" id="{93E8F9DC-1684-4DE4-0A90-10F7427D7F0F}"/>
            </a:ext>
          </a:extLst>
        </cdr:cNvPr>
        <cdr:cNvSpPr txBox="1"/>
      </cdr:nvSpPr>
      <cdr:spPr>
        <a:xfrm xmlns:a="http://schemas.openxmlformats.org/drawingml/2006/main">
          <a:off x="1000126" y="714376"/>
          <a:ext cx="2324100" cy="533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externalLinks/_rels/externalLink1.xml.rels><?xml version="1.0" encoding="UTF-8" standalone="yes"?>
<Relationships xmlns="http://schemas.openxmlformats.org/package/2006/relationships"><Relationship Id="rId3" Type="http://schemas.openxmlformats.org/officeDocument/2006/relationships/externalLinkPath" Target="../../Macro/MACRO%20-%20Modelos%20Nico%202026.xlsx" TargetMode="External"/><Relationship Id="rId2" Type="http://schemas.openxmlformats.org/officeDocument/2006/relationships/externalLinkPath" Target="https://fundamentainvestments-my.sharepoint.com/personal/sebastianl_fundamentainvestments_onmicrosoft_com/Documents/FAM/Research/Macro/MACRO%20-%20Modelos%20Nico%202026.xlsx" TargetMode="External"/><Relationship Id="rId1" Type="http://schemas.openxmlformats.org/officeDocument/2006/relationships/externalLinkPath" Target="/personal/sebastianl_fundamentainvestments_onmicrosoft_com/Documents/FAM/Research/Macro/MACRO%20-%20Modelos%20Nico%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J25Ax3SIZk6Y0HhZ4gwbUfwtyu-W7WVOgIC8rYEdxvP0KBOj3RqpT61xA3yTYYhi" itemId="014KQZNON7Q25ZT2CCY5HJTUZAUIY7FY45">
      <xxl21:absoluteUrl r:id="rId2"/>
      <xxl21:relativeUrl r:id="rId3"/>
    </xxl21:alternateUrls>
    <sheetNames>
      <sheetName val="Planilha1"/>
      <sheetName val="Sheet1"/>
    </sheetNames>
    <sheetDataSet>
      <sheetData sheetId="0">
        <row r="2">
          <cell r="AT2">
            <v>5.1897000000000002</v>
          </cell>
          <cell r="BB2">
            <v>5.85</v>
          </cell>
          <cell r="BC2">
            <v>5.65</v>
          </cell>
          <cell r="BD2">
            <v>5.4493</v>
          </cell>
          <cell r="BE2">
            <v>5.3608500000000001</v>
          </cell>
          <cell r="BF2">
            <v>5.4271000847523503</v>
          </cell>
          <cell r="BG2">
            <v>5.4638461091111896</v>
          </cell>
          <cell r="BH2">
            <v>5.4763302416117039</v>
          </cell>
          <cell r="BI2">
            <v>5.4970772839948792</v>
          </cell>
          <cell r="BW2">
            <v>5.5775375</v>
          </cell>
          <cell r="BX2">
            <v>5.466088429867531</v>
          </cell>
          <cell r="BY2">
            <v>5.5770297274857281</v>
          </cell>
          <cell r="BZ2">
            <v>5.6954640547022981</v>
          </cell>
          <cell r="CA2">
            <v>5.8093733357963444</v>
          </cell>
          <cell r="CB2">
            <v>5.9255608025122708</v>
          </cell>
        </row>
        <row r="3">
          <cell r="BB3">
            <v>5.75</v>
          </cell>
          <cell r="BC3">
            <v>5.47</v>
          </cell>
          <cell r="BD3">
            <v>5.3216999999999999</v>
          </cell>
          <cell r="BE3">
            <v>5.4</v>
          </cell>
          <cell r="BF3">
            <v>5.4542001695046993</v>
          </cell>
          <cell r="BG3">
            <v>5.4734920487176808</v>
          </cell>
          <cell r="BH3">
            <v>5.4791684345057261</v>
          </cell>
          <cell r="BI3">
            <v>5.5149861334840322</v>
          </cell>
          <cell r="BW3">
            <v>5.4</v>
          </cell>
          <cell r="BX3">
            <v>5.5149861334840322</v>
          </cell>
          <cell r="BY3">
            <v>5.639073321487424</v>
          </cell>
          <cell r="BZ3">
            <v>5.7518547879171722</v>
          </cell>
          <cell r="CA3">
            <v>5.8668918836755157</v>
          </cell>
          <cell r="CB3">
            <v>5.9842297213490259</v>
          </cell>
        </row>
        <row r="4">
          <cell r="BB4">
            <v>0.13583333333333333</v>
          </cell>
          <cell r="BC4">
            <v>0.14749999999999999</v>
          </cell>
          <cell r="BD4">
            <v>0.15</v>
          </cell>
          <cell r="BE4">
            <v>0.15</v>
          </cell>
          <cell r="BF4">
            <v>0.14499999999999999</v>
          </cell>
          <cell r="BG4">
            <v>0.13500000000000001</v>
          </cell>
          <cell r="BH4">
            <v>0.1275</v>
          </cell>
          <cell r="BI4">
            <v>0.1225</v>
          </cell>
          <cell r="BW4">
            <v>0.14583333333333334</v>
          </cell>
          <cell r="BX4">
            <v>0.13250000000000001</v>
          </cell>
          <cell r="BY4">
            <v>0.115</v>
          </cell>
          <cell r="BZ4">
            <v>0.11</v>
          </cell>
          <cell r="CA4">
            <v>0.1</v>
          </cell>
          <cell r="CB4">
            <v>0.09</v>
          </cell>
        </row>
        <row r="5">
          <cell r="BB5">
            <v>3.2354018049627786E-2</v>
          </cell>
          <cell r="BC5">
            <v>3.4994813649531054E-2</v>
          </cell>
          <cell r="BD5">
            <v>3.5558076341622114E-2</v>
          </cell>
          <cell r="BE5">
            <v>3.5558076341622114E-2</v>
          </cell>
          <cell r="BF5">
            <v>3.4430629840220384E-2</v>
          </cell>
          <cell r="BG5">
            <v>3.2164612662692438E-2</v>
          </cell>
          <cell r="BH5">
            <v>3.0455253312711816E-2</v>
          </cell>
          <cell r="BI5">
            <v>2.9310936996617354E-2</v>
          </cell>
        </row>
        <row r="6">
          <cell r="BB6">
            <v>9.8999999999999991E-3</v>
          </cell>
          <cell r="BC6">
            <v>-1.9200000000000002E-2</v>
          </cell>
          <cell r="BD6">
            <v>0</v>
          </cell>
          <cell r="BE6">
            <v>1.093402249999964E-2</v>
          </cell>
          <cell r="BF6">
            <v>1.4999999999999999E-2</v>
          </cell>
          <cell r="BG6">
            <v>8.5000000000000006E-3</v>
          </cell>
          <cell r="BH6">
            <v>6.0000000000000001E-3</v>
          </cell>
          <cell r="BI6">
            <v>1.15E-2</v>
          </cell>
          <cell r="BW6">
            <v>1.3401777517529911E-3</v>
          </cell>
          <cell r="BX6">
            <v>4.1611611547499816E-2</v>
          </cell>
          <cell r="BY6">
            <v>4.1611611547499816E-2</v>
          </cell>
          <cell r="BZ6">
            <v>4.1611611547499816E-2</v>
          </cell>
          <cell r="CA6">
            <v>4.1611611547499816E-2</v>
          </cell>
          <cell r="CB6">
            <v>4.1611611547499816E-2</v>
          </cell>
        </row>
        <row r="7">
          <cell r="BB7">
            <v>2.0403397376000054E-2</v>
          </cell>
          <cell r="BC7">
            <v>9.327766831999762E-3</v>
          </cell>
          <cell r="BD7">
            <v>6.3043262719999493E-3</v>
          </cell>
          <cell r="BE7">
            <v>1.093402249999964E-2</v>
          </cell>
          <cell r="BF7">
            <v>1.4999999999999999E-2</v>
          </cell>
          <cell r="BG7">
            <v>8.5000000000000006E-3</v>
          </cell>
          <cell r="BH7">
            <v>6.0000000000000001E-3</v>
          </cell>
          <cell r="BI7">
            <v>1.15E-2</v>
          </cell>
          <cell r="BW7">
            <v>4.7746622243991066E-2</v>
          </cell>
          <cell r="BX7">
            <v>4.1611611547499816E-2</v>
          </cell>
          <cell r="BY7">
            <v>4.7500000000000001E-2</v>
          </cell>
          <cell r="BZ7">
            <v>4.4999999999999998E-2</v>
          </cell>
          <cell r="CA7">
            <v>4.4999999999999998E-2</v>
          </cell>
          <cell r="CB7">
            <v>4.4999999999999998E-2</v>
          </cell>
        </row>
        <row r="8">
          <cell r="BB8">
            <v>1.9924999999999998E-2</v>
          </cell>
          <cell r="BC8">
            <v>2.1625000000000002E-2</v>
          </cell>
          <cell r="BD8">
            <v>2.2400000000000003E-2</v>
          </cell>
          <cell r="BE8">
            <v>2.2400000000000003E-2</v>
          </cell>
          <cell r="BF8">
            <v>1.7999999999999999E-2</v>
          </cell>
          <cell r="BG8">
            <v>1.7999999999999999E-2</v>
          </cell>
          <cell r="BH8">
            <v>1.7999999999999999E-2</v>
          </cell>
          <cell r="BI8">
            <v>1.7999999999999999E-2</v>
          </cell>
          <cell r="BW8">
            <v>8.635000000000001E-2</v>
          </cell>
          <cell r="BX8">
            <v>7.1999999999999995E-2</v>
          </cell>
          <cell r="BY8">
            <v>7.0000000000000007E-2</v>
          </cell>
          <cell r="BZ8">
            <v>7.0000000000000007E-2</v>
          </cell>
          <cell r="CA8">
            <v>7.0000000000000007E-2</v>
          </cell>
          <cell r="CB8">
            <v>7.0000000000000007E-2</v>
          </cell>
        </row>
        <row r="9">
          <cell r="BB9">
            <v>4.3299999999999998E-2</v>
          </cell>
          <cell r="BC9">
            <v>4.3200000000000002E-2</v>
          </cell>
          <cell r="BD9">
            <v>4.3200000000000002E-2</v>
          </cell>
          <cell r="BE9">
            <v>4.3200000000000002E-2</v>
          </cell>
          <cell r="BF9">
            <v>4.3200000000000002E-2</v>
          </cell>
          <cell r="BG9">
            <v>4.3200000000000002E-2</v>
          </cell>
          <cell r="BH9">
            <v>4.3200000000000002E-2</v>
          </cell>
          <cell r="BI9">
            <v>4.3200000000000002E-2</v>
          </cell>
          <cell r="BW9">
            <v>4.3225E-2</v>
          </cell>
          <cell r="BX9">
            <v>4.3200000000000002E-2</v>
          </cell>
          <cell r="BY9">
            <v>4.3200000000000002E-2</v>
          </cell>
          <cell r="BZ9">
            <v>4.3200000000000002E-2</v>
          </cell>
          <cell r="CA9">
            <v>4.3200000000000002E-2</v>
          </cell>
          <cell r="CB9">
            <v>4.3200000000000002E-2</v>
          </cell>
        </row>
        <row r="10">
          <cell r="BB10">
            <v>2.8500000000000001E-2</v>
          </cell>
          <cell r="BC10">
            <v>2.5000000000000001E-2</v>
          </cell>
          <cell r="BD10">
            <v>2.1999999999999999E-2</v>
          </cell>
          <cell r="BE10">
            <v>0.02</v>
          </cell>
          <cell r="BF10">
            <v>1.7999999999999999E-2</v>
          </cell>
          <cell r="BG10">
            <v>1.7999999999999999E-2</v>
          </cell>
          <cell r="BH10">
            <v>1.7999999999999999E-2</v>
          </cell>
          <cell r="BI10">
            <v>1.7999999999999999E-2</v>
          </cell>
          <cell r="BW10">
            <v>2.3875000000000004E-2</v>
          </cell>
          <cell r="BX10">
            <v>1.7999999999999999E-2</v>
          </cell>
          <cell r="BY10">
            <v>1.7500000000000002E-2</v>
          </cell>
          <cell r="BZ10">
            <v>0.02</v>
          </cell>
          <cell r="CA10">
            <v>2.2499999999999999E-2</v>
          </cell>
          <cell r="CB10">
            <v>2.2499999999999999E-2</v>
          </cell>
        </row>
        <row r="11">
          <cell r="BB11">
            <v>4.9629315732038215E-3</v>
          </cell>
          <cell r="BC11">
            <v>4.9629315732038215E-3</v>
          </cell>
          <cell r="BD11">
            <v>4.9629315732038215E-3</v>
          </cell>
          <cell r="BE11">
            <v>4.9629315732038215E-3</v>
          </cell>
          <cell r="BF11">
            <v>4.9629315732038215E-3</v>
          </cell>
          <cell r="BG11">
            <v>4.9629315732038215E-3</v>
          </cell>
          <cell r="BH11">
            <v>4.9629315732038215E-3</v>
          </cell>
          <cell r="BI11">
            <v>4.9629315732038215E-3</v>
          </cell>
          <cell r="BW11">
            <v>2.5000000000000001E-2</v>
          </cell>
          <cell r="BX11">
            <v>2.5000000000000001E-2</v>
          </cell>
          <cell r="BY11">
            <v>2.5000000000000001E-2</v>
          </cell>
          <cell r="BZ11">
            <v>2.5000000000000001E-2</v>
          </cell>
          <cell r="CA11">
            <v>2.5000000000000001E-2</v>
          </cell>
          <cell r="CB11">
            <v>2.5000000000000001E-2</v>
          </cell>
        </row>
      </sheetData>
      <sheetData sheetId="1"/>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https://www.bing.com/financeapi/forcetrigger?t=apmvxm&amp;q=BVMF%3aLREN3&amp;form=skydnc</v>
    <v>Learn more on Bing</v>
  </rv>
  <rv s="1">
    <v>en-US</v>
    <v>apmvxm</v>
    <v>268435456</v>
    <v>1</v>
    <v>Powered by Refinitiv</v>
    <v>0</v>
    <v>Lojas Renner SA (BVMF:LREN3)</v>
    <v>2</v>
    <v>3</v>
    <v>Finance</v>
    <v>4</v>
    <v>19.07</v>
    <v>11.3</v>
    <v>1.7635000000000001</v>
    <v>-0.06</v>
    <v>-3.8309999999999998E-3</v>
    <v>BRL</v>
    <v>Lojas Renner SA is a Brazil-based company primarily engaged in the retail of apparel and fashion accessories. The Company's activities are divided in two segments: Retail and Financial. The Retail division focuses on sale of women's, men's and children's garment items, underwear and shoes, sportswear, as well as perfumery, cosmetics, toiletry products, correlated, watches and home and decoration accessories. The Financial segment is involved in the provision of financial services, such as intermediation of financial services with charges, personal loans and insurances brokerage. It operates under Lojas Renner, Camicado and Youcom brand names. The Company operates through a number of subsidiaries, including Dromegon Participacoes Ltda, Renner Administradora de Cartoes de Credito Ltda, and Maxmix Comercial Ltda, among others.</v>
    <v>25102</v>
    <v>B3 - Brazil Stock Exchange</v>
    <v>BVMF</v>
    <v>BVMF</v>
    <v>Av. Joaquim Porto Villanova, 401,7 andar, Jardim do Salso, PORTO ALEGRE, RIO GRANDE DO SUL, 91.410-400 BR</v>
    <v>15.73</v>
    <v>Specialty Retailers</v>
    <v>Stock</v>
    <v>46105.768148148149</v>
    <v>0</v>
    <v>15.17</v>
    <v>15706782000</v>
    <v>Lojas Renner SA</v>
    <v>Lojas Renner SA</v>
    <v>15.54</v>
    <v>15.66</v>
    <v>15.6</v>
    <v>1006845000</v>
    <v>LREN3</v>
    <v>Lojas Renner SA (BVMF:LREN3)</v>
    <v>12967000</v>
    <v>16424670</v>
    <v>1965</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1</v>
      <v>3</v>
      <v>1</v>
      <v>1</v>
      <v>1</v>
      <v>4</v>
      <v>4</v>
      <v>5</v>
      <v>6</v>
      <v>1</v>
      <v>1</v>
      <v>1</v>
      <v>4</v>
      <v>7</v>
      <v>8</v>
      <v>9</v>
      <v>4</v>
    </spb>
    <spb s="4">
      <v>Delayed 30 minutes</v>
      <v>from previous close</v>
      <v>from previous close</v>
      <v>GMT</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_-[$R$-pt-BR] * #,##0.00_-;-[$R$-pt-BR] * #,##0.00_-;_-[$R$-pt-BR] * "-"??_-;_-@_-</rpv>
    </rSty>
    <rSty dxfid="5">
      <rpv i="0">#,##0.00</rpv>
    </rSty>
    <rSty>
      <rpv i="1">1</rpv>
    </rSty>
    <rSty dxfid="4">
      <rpv i="0">#,##0</rpv>
    </rSty>
    <rSty dxfid="3"/>
    <rSty dxfid="1">
      <rpv i="0">_-[$R$-pt-BR] * #,##0_-;-[$R$-pt-BR] * #,##0_-;_-[$R$-pt-BR] * "-"_-;_-@_-</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materiality.sasb.org/"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9"/>
  <sheetViews>
    <sheetView showGridLines="0" zoomScaleNormal="100" workbookViewId="0">
      <selection activeCell="N28" sqref="N28"/>
    </sheetView>
  </sheetViews>
  <sheetFormatPr defaultColWidth="9.140625" defaultRowHeight="15"/>
  <cols>
    <col min="1" max="1" width="2.7109375" style="302" customWidth="1"/>
    <col min="2" max="2" width="29.28515625" bestFit="1" customWidth="1"/>
    <col min="3" max="3" width="11.7109375" bestFit="1" customWidth="1"/>
    <col min="4" max="4" width="9.42578125" bestFit="1" customWidth="1"/>
    <col min="5" max="5" width="10.28515625" bestFit="1" customWidth="1"/>
    <col min="8" max="8" width="11.85546875" customWidth="1"/>
    <col min="14" max="14" width="12" bestFit="1" customWidth="1"/>
  </cols>
  <sheetData>
    <row r="1" spans="2:28" s="302" customFormat="1">
      <c r="B1" s="303" t="s">
        <v>0</v>
      </c>
      <c r="C1" s="303" t="s">
        <v>1</v>
      </c>
      <c r="D1" s="303" t="s">
        <v>2</v>
      </c>
      <c r="E1" s="303" t="s">
        <v>3</v>
      </c>
      <c r="M1" s="2100" t="s">
        <v>4</v>
      </c>
      <c r="N1" s="2101" cm="1">
        <f t="array" aca="1" ref="N1" ca="1">+_FV(H4,"Price")</f>
        <v>15.6</v>
      </c>
      <c r="O1"/>
      <c r="P1" t="s">
        <v>5</v>
      </c>
      <c r="Q1" s="2110">
        <f>+((Resumo!Z22/Resumo!U22)^(1/5))-1</f>
        <v>0.12646648402739369</v>
      </c>
    </row>
    <row r="2" spans="2:28" s="302" customFormat="1">
      <c r="B2" s="304">
        <f ca="1">(1+WACC!I3)^(VP!E2/360)</f>
        <v>1.1184570407334373</v>
      </c>
      <c r="C2" s="305">
        <f ca="1">+TODAY()</f>
        <v>46105</v>
      </c>
      <c r="D2" s="305">
        <v>46387</v>
      </c>
      <c r="E2" s="306">
        <f ca="1">+DAYS360(C2,D2)</f>
        <v>277</v>
      </c>
      <c r="H2" s="302" t="s">
        <v>6</v>
      </c>
      <c r="J2" s="302" t="s">
        <v>7</v>
      </c>
      <c r="M2" s="2102" t="s">
        <v>8</v>
      </c>
      <c r="N2" s="2103" cm="1">
        <f t="array" aca="1" ref="N2" ca="1">+_FV(H4,"Market cap",TRUE)/1000</f>
        <v>15706782</v>
      </c>
      <c r="O2"/>
      <c r="P2" s="2102"/>
      <c r="Q2"/>
    </row>
    <row r="3" spans="2:28" ht="15.75" thickBot="1">
      <c r="B3" s="2"/>
      <c r="C3" s="1" t="s">
        <v>9</v>
      </c>
      <c r="D3" s="2"/>
      <c r="E3" s="1"/>
      <c r="F3" s="309"/>
      <c r="G3" s="309"/>
      <c r="H3" s="302"/>
      <c r="I3" s="302"/>
      <c r="J3" s="302"/>
      <c r="K3" s="302"/>
      <c r="L3" s="302"/>
      <c r="M3" s="2102" t="s">
        <v>10</v>
      </c>
      <c r="N3" s="2104">
        <f>+Resumo!V22</f>
        <v>1334463.9423803452</v>
      </c>
      <c r="P3" s="359"/>
      <c r="Q3" s="2105"/>
      <c r="R3" s="302"/>
      <c r="S3" s="302"/>
      <c r="T3" s="302"/>
      <c r="U3" s="302"/>
      <c r="V3" s="302"/>
      <c r="W3" s="302"/>
      <c r="X3" s="302"/>
      <c r="Y3" s="302"/>
      <c r="Z3" s="302"/>
      <c r="AA3" s="302"/>
      <c r="AB3" s="302"/>
    </row>
    <row r="4" spans="2:28" s="302" customFormat="1">
      <c r="B4" s="307" t="s">
        <v>11</v>
      </c>
      <c r="C4" s="307">
        <f>+SUM(WACC!I18:M18)</f>
        <v>5101703.4141177516</v>
      </c>
      <c r="D4" s="308" t="s">
        <v>12</v>
      </c>
      <c r="E4" s="307"/>
      <c r="F4" s="309"/>
      <c r="G4" s="309"/>
      <c r="H4" s="302" t="e" vm="1">
        <v>#VALUE!</v>
      </c>
      <c r="M4" s="2106" t="s">
        <v>13</v>
      </c>
      <c r="N4" s="2168">
        <f ca="1">+N2/N3</f>
        <v>11.77010595878903</v>
      </c>
      <c r="O4"/>
      <c r="P4"/>
      <c r="Q4" s="2107"/>
    </row>
    <row r="5" spans="2:28" s="302" customFormat="1" ht="15.75" thickBot="1">
      <c r="B5" s="307" t="s">
        <v>14</v>
      </c>
      <c r="C5" s="307">
        <f>C30</f>
        <v>11102616.236375853</v>
      </c>
      <c r="D5" s="310">
        <f>+I10</f>
        <v>8.2500000000000004E-2</v>
      </c>
      <c r="E5" s="307"/>
      <c r="M5" s="2108" t="s">
        <v>15</v>
      </c>
      <c r="N5" s="2109">
        <f ca="1">+N7/N4-1</f>
        <v>-0.39150761112867216</v>
      </c>
      <c r="O5"/>
      <c r="P5"/>
      <c r="Q5" s="2110"/>
    </row>
    <row r="6" spans="2:28" s="302" customFormat="1" ht="15.75" thickBot="1">
      <c r="B6" s="307" t="s">
        <v>16</v>
      </c>
      <c r="C6" s="307">
        <f>+C4+C5</f>
        <v>16204319.650493605</v>
      </c>
      <c r="D6" s="308"/>
      <c r="E6" s="307"/>
      <c r="H6"/>
      <c r="I6" s="581" t="s">
        <v>17</v>
      </c>
      <c r="M6" s="2102"/>
      <c r="N6"/>
      <c r="O6"/>
      <c r="P6"/>
      <c r="Q6" s="2107"/>
    </row>
    <row r="7" spans="2:28" s="302" customFormat="1" ht="15.75" thickBot="1">
      <c r="B7" s="307" t="s">
        <v>18</v>
      </c>
      <c r="C7" s="5">
        <f>PROJ!DQ142</f>
        <v>373879</v>
      </c>
      <c r="D7" s="311"/>
      <c r="E7" s="312"/>
      <c r="H7" t="s">
        <v>19</v>
      </c>
      <c r="I7" s="582">
        <v>0.155</v>
      </c>
      <c r="M7" s="2111" t="s">
        <v>20</v>
      </c>
      <c r="N7" s="2112">
        <f>+N9*N27+Q9*Q27</f>
        <v>7.1620198921321867</v>
      </c>
      <c r="O7"/>
      <c r="P7"/>
      <c r="Q7" s="2113"/>
    </row>
    <row r="8" spans="2:28" s="302" customFormat="1">
      <c r="B8" s="307" t="s">
        <v>21</v>
      </c>
      <c r="C8" s="307">
        <f>PROJ!DQ140</f>
        <v>844609.99730073754</v>
      </c>
      <c r="D8" s="1903">
        <f>+C8-C7</f>
        <v>470730.99730073754</v>
      </c>
      <c r="E8" s="4"/>
      <c r="H8" t="s">
        <v>22</v>
      </c>
      <c r="I8" s="662">
        <v>0.15</v>
      </c>
      <c r="M8" s="2102"/>
      <c r="N8"/>
      <c r="O8"/>
      <c r="P8"/>
      <c r="Q8"/>
    </row>
    <row r="9" spans="2:28" s="302" customFormat="1">
      <c r="B9" s="307" t="s">
        <v>23</v>
      </c>
      <c r="C9" s="5">
        <f>PROJ!DI141</f>
        <v>0</v>
      </c>
      <c r="E9" s="3"/>
      <c r="H9" t="s">
        <v>24</v>
      </c>
      <c r="I9" s="583">
        <f>+Resumo!AA22</f>
        <v>0.13180825371929217</v>
      </c>
      <c r="M9" s="2114" t="s">
        <v>25</v>
      </c>
      <c r="N9" s="2115">
        <v>0.8</v>
      </c>
      <c r="O9"/>
      <c r="P9" s="2114" t="s">
        <v>26</v>
      </c>
      <c r="Q9" s="2115">
        <f>1-N9</f>
        <v>0.19999999999999996</v>
      </c>
    </row>
    <row r="10" spans="2:28" s="302" customFormat="1">
      <c r="B10" s="307" t="s">
        <v>27</v>
      </c>
      <c r="C10" s="312">
        <v>0</v>
      </c>
      <c r="D10" s="307"/>
      <c r="E10" s="312"/>
      <c r="H10" t="s">
        <v>28</v>
      </c>
      <c r="I10" s="583">
        <f>+I15+I14+I16</f>
        <v>8.2500000000000004E-2</v>
      </c>
      <c r="M10" s="2116"/>
      <c r="N10" s="2117"/>
      <c r="O10"/>
      <c r="P10" s="359"/>
      <c r="Q10" s="2117"/>
    </row>
    <row r="11" spans="2:28" s="302" customFormat="1">
      <c r="B11" s="307" t="s">
        <v>29</v>
      </c>
      <c r="C11" s="312">
        <v>0</v>
      </c>
      <c r="D11" s="307"/>
      <c r="E11" s="312"/>
      <c r="H11" t="s">
        <v>30</v>
      </c>
      <c r="I11" s="582">
        <f>+(I17+I14)+(I19*I18)</f>
        <v>0.14250000000000002</v>
      </c>
      <c r="M11" s="2118" t="s">
        <v>31</v>
      </c>
      <c r="N11" s="2119"/>
      <c r="O11" s="2120"/>
      <c r="P11" s="2118" t="s">
        <v>31</v>
      </c>
      <c r="Q11" s="2119"/>
    </row>
    <row r="12" spans="2:28" s="302" customFormat="1">
      <c r="B12" s="307" t="s">
        <v>32</v>
      </c>
      <c r="C12" s="312">
        <v>0</v>
      </c>
      <c r="D12" s="307"/>
      <c r="E12" s="312"/>
      <c r="H12" t="s">
        <v>33</v>
      </c>
      <c r="I12" s="584">
        <v>5</v>
      </c>
      <c r="M12" s="2121" t="s">
        <v>19</v>
      </c>
      <c r="N12" s="2122">
        <f>+I7</f>
        <v>0.155</v>
      </c>
      <c r="O12" s="2123"/>
      <c r="P12" s="2124" t="s">
        <v>19</v>
      </c>
      <c r="Q12" s="2122">
        <f>+N12</f>
        <v>0.155</v>
      </c>
    </row>
    <row r="13" spans="2:28" s="302" customFormat="1">
      <c r="B13" s="307" t="s">
        <v>34</v>
      </c>
      <c r="C13" s="5">
        <f>+PROJ!DQ197</f>
        <v>783920.48259776901</v>
      </c>
      <c r="D13" s="307"/>
      <c r="E13" s="312"/>
      <c r="H13"/>
      <c r="I13"/>
      <c r="M13" s="2121" t="s">
        <v>22</v>
      </c>
      <c r="N13" s="2125">
        <f>+I8</f>
        <v>0.15</v>
      </c>
      <c r="O13" s="2126"/>
      <c r="P13" s="2124" t="s">
        <v>22</v>
      </c>
      <c r="Q13" s="2125">
        <f>+N13</f>
        <v>0.15</v>
      </c>
    </row>
    <row r="14" spans="2:28" s="302" customFormat="1">
      <c r="B14" s="307" t="s">
        <v>35</v>
      </c>
      <c r="C14" s="5">
        <f>PROJ!DG195</f>
        <v>0</v>
      </c>
      <c r="D14" s="307"/>
      <c r="E14" s="312"/>
      <c r="H14" t="s">
        <v>36</v>
      </c>
      <c r="I14" s="585">
        <f>+MACRO!EJ8</f>
        <v>4.7500000000000001E-2</v>
      </c>
      <c r="L14" s="1987"/>
      <c r="M14" s="2127" t="s">
        <v>24</v>
      </c>
      <c r="N14" s="2122">
        <f>+Q1</f>
        <v>0.12646648402739369</v>
      </c>
      <c r="O14" s="2128"/>
      <c r="P14" s="2129" t="s">
        <v>24</v>
      </c>
      <c r="Q14" s="2122">
        <f>+N14</f>
        <v>0.12646648402739369</v>
      </c>
    </row>
    <row r="15" spans="2:28" s="302" customFormat="1">
      <c r="B15" s="307" t="s">
        <v>37</v>
      </c>
      <c r="C15" s="307">
        <f>+C6-C7+C8+C9+C10+C11-C12+C13-C14</f>
        <v>17458971.130392112</v>
      </c>
      <c r="D15" s="307"/>
      <c r="E15" s="307"/>
      <c r="H15" t="s">
        <v>38</v>
      </c>
      <c r="I15" s="585">
        <v>1.4999999999999999E-2</v>
      </c>
      <c r="M15" s="2121" t="s">
        <v>28</v>
      </c>
      <c r="N15" s="2130">
        <f>+N19+N20+N21</f>
        <v>7.0000000000000007E-2</v>
      </c>
      <c r="O15" s="2131"/>
      <c r="P15" s="2124" t="s">
        <v>28</v>
      </c>
      <c r="Q15" s="2130">
        <f>+Q19+Q20+Q21</f>
        <v>7.5000000000000011E-2</v>
      </c>
    </row>
    <row r="16" spans="2:28" s="302" customFormat="1">
      <c r="B16" s="313" t="s">
        <v>39</v>
      </c>
      <c r="C16" s="314" cm="1">
        <f t="array" aca="1" ref="C16" ca="1">+_FV(H4,"Shares outstanding",TRUE)/1000</f>
        <v>1006845</v>
      </c>
      <c r="D16" s="307"/>
      <c r="E16" s="1165"/>
      <c r="H16" t="s">
        <v>40</v>
      </c>
      <c r="I16" s="586">
        <v>0.02</v>
      </c>
      <c r="M16" s="2121" t="s">
        <v>30</v>
      </c>
      <c r="N16" s="2132">
        <f>+(N22+N19)+(N24*N23)</f>
        <v>0.16</v>
      </c>
      <c r="O16" s="2120"/>
      <c r="P16" s="2124" t="s">
        <v>30</v>
      </c>
      <c r="Q16" s="2132">
        <f>+(Q22+Q19)+(Q24*Q23)</f>
        <v>0.13</v>
      </c>
    </row>
    <row r="17" spans="2:17" s="302" customFormat="1">
      <c r="B17" s="307" t="s">
        <v>41</v>
      </c>
      <c r="C17" s="315">
        <f ca="1">+C15/C16</f>
        <v>17.340276934773588</v>
      </c>
      <c r="D17" s="316"/>
      <c r="E17" s="315"/>
      <c r="F17" s="309"/>
      <c r="G17" s="309"/>
      <c r="H17" t="s">
        <v>42</v>
      </c>
      <c r="I17" s="1985">
        <v>0.06</v>
      </c>
      <c r="M17" s="2121" t="s">
        <v>33</v>
      </c>
      <c r="N17" s="2133">
        <f>+I12</f>
        <v>5</v>
      </c>
      <c r="O17" s="2134"/>
      <c r="P17" s="2124" t="s">
        <v>33</v>
      </c>
      <c r="Q17" s="2133">
        <f>+N17</f>
        <v>5</v>
      </c>
    </row>
    <row r="18" spans="2:17" s="302" customFormat="1">
      <c r="B18" s="307" t="s">
        <v>43</v>
      </c>
      <c r="C18" s="315">
        <f ca="1">C17/B2</f>
        <v>15.503748738889927</v>
      </c>
      <c r="D18" s="316"/>
      <c r="E18" s="317"/>
      <c r="F18" s="318"/>
      <c r="G18" s="309"/>
      <c r="H18" t="s">
        <v>44</v>
      </c>
      <c r="I18" s="585">
        <v>3.5000000000000003E-2</v>
      </c>
      <c r="M18" s="2121"/>
      <c r="N18" s="2135"/>
      <c r="O18" s="2120"/>
      <c r="P18" s="2124"/>
      <c r="Q18" s="2135"/>
    </row>
    <row r="19" spans="2:17" s="302" customFormat="1">
      <c r="B19" s="307" t="s">
        <v>45</v>
      </c>
      <c r="C19" s="315">
        <f ca="1">+C18*(1+WACC!I3)</f>
        <v>17.931815813914998</v>
      </c>
      <c r="D19" s="319"/>
      <c r="E19" s="317"/>
      <c r="F19" s="318"/>
      <c r="G19" s="309"/>
      <c r="H19" t="s">
        <v>46</v>
      </c>
      <c r="I19" s="587">
        <f>+WACC!$I$13</f>
        <v>1</v>
      </c>
      <c r="M19" s="2121" t="s">
        <v>36</v>
      </c>
      <c r="N19" s="2125">
        <v>4.4999999999999998E-2</v>
      </c>
      <c r="O19" s="2126"/>
      <c r="P19" s="2124" t="s">
        <v>36</v>
      </c>
      <c r="Q19" s="2125">
        <v>0.04</v>
      </c>
    </row>
    <row r="20" spans="2:17" s="302" customFormat="1">
      <c r="B20" s="320" t="s">
        <v>47</v>
      </c>
      <c r="C20" s="321" cm="1">
        <f t="array" aca="1" ref="C20" ca="1">+_FV(H4,"Price")</f>
        <v>15.6</v>
      </c>
      <c r="D20" s="322"/>
      <c r="E20" s="322"/>
      <c r="F20" s="323"/>
      <c r="G20" s="309"/>
      <c r="H20"/>
      <c r="I20" s="582"/>
      <c r="M20" s="2121" t="s">
        <v>38</v>
      </c>
      <c r="N20" s="2130">
        <v>2.5000000000000001E-2</v>
      </c>
      <c r="O20" s="2131"/>
      <c r="P20" s="2124" t="s">
        <v>38</v>
      </c>
      <c r="Q20" s="2130">
        <v>3.5000000000000003E-2</v>
      </c>
    </row>
    <row r="21" spans="2:17" s="302" customFormat="1">
      <c r="B21" s="324" t="s">
        <v>48</v>
      </c>
      <c r="C21" s="325">
        <f ca="1">+C18/C20-1</f>
        <v>-6.1699526352611E-3</v>
      </c>
      <c r="E21" s="322"/>
      <c r="F21" s="309"/>
      <c r="G21" s="309"/>
      <c r="H21" t="s">
        <v>49</v>
      </c>
      <c r="I21" s="584">
        <f>+(((1-I9/I7)*(1+I9)*(1-(((1+I9)^I12)/((1+I11)^I12))))/(I11-I9))+(((1-I10/I8)*((1+I9)^I12)*(1+I10))/((I11-I10)*((1+I11)^I12)))</f>
        <v>8.4732872017039362</v>
      </c>
      <c r="M21" s="2121" t="s">
        <v>40</v>
      </c>
      <c r="N21" s="2136">
        <v>0</v>
      </c>
      <c r="O21" s="2131"/>
      <c r="P21" s="2124" t="s">
        <v>40</v>
      </c>
      <c r="Q21" s="2136">
        <f>+N21</f>
        <v>0</v>
      </c>
    </row>
    <row r="22" spans="2:17" s="302" customFormat="1">
      <c r="E22" s="322"/>
      <c r="F22" s="326"/>
      <c r="G22" s="309"/>
      <c r="H22" s="302" t="s">
        <v>50</v>
      </c>
      <c r="I22" s="588">
        <f ca="1">+I21/Resumo!U66-1</f>
        <v>-0.2518577938982014</v>
      </c>
      <c r="M22" s="2137" t="s">
        <v>42</v>
      </c>
      <c r="N22" s="2138">
        <v>7.0000000000000007E-2</v>
      </c>
      <c r="O22" s="2131"/>
      <c r="P22" s="2139" t="s">
        <v>42</v>
      </c>
      <c r="Q22" s="2138">
        <v>4.4999999999999998E-2</v>
      </c>
    </row>
    <row r="23" spans="2:17" s="302" customFormat="1">
      <c r="E23" s="322"/>
      <c r="F23" s="326"/>
      <c r="G23" s="309"/>
      <c r="M23" s="2121" t="s">
        <v>44</v>
      </c>
      <c r="N23" s="2130">
        <v>4.4999999999999998E-2</v>
      </c>
      <c r="O23" s="2131"/>
      <c r="P23" s="2124" t="s">
        <v>44</v>
      </c>
      <c r="Q23" s="2130">
        <f>+N23</f>
        <v>4.4999999999999998E-2</v>
      </c>
    </row>
    <row r="24" spans="2:17" s="302" customFormat="1">
      <c r="B24" s="307" t="s">
        <v>51</v>
      </c>
      <c r="C24" s="327">
        <f ca="1">C16*C20</f>
        <v>15706782</v>
      </c>
      <c r="E24" s="322"/>
      <c r="F24" s="326"/>
      <c r="G24" s="309"/>
      <c r="M24" s="2121" t="s">
        <v>46</v>
      </c>
      <c r="N24" s="2140">
        <f>+I19</f>
        <v>1</v>
      </c>
      <c r="O24" s="2141"/>
      <c r="P24" s="2124" t="s">
        <v>46</v>
      </c>
      <c r="Q24" s="2140">
        <f>+N24</f>
        <v>1</v>
      </c>
    </row>
    <row r="25" spans="2:17" s="302" customFormat="1">
      <c r="E25" s="322"/>
      <c r="F25" s="309"/>
      <c r="G25" s="309"/>
      <c r="M25" s="2121"/>
      <c r="N25" s="2135"/>
      <c r="O25" s="2120"/>
      <c r="P25" s="2124"/>
      <c r="Q25" s="2135"/>
    </row>
    <row r="26" spans="2:17" s="302" customFormat="1">
      <c r="B26" s="328" t="s">
        <v>52</v>
      </c>
      <c r="C26" s="329">
        <f>PROJ!DU50</f>
        <v>2275634.4651762629</v>
      </c>
      <c r="D26" s="309"/>
      <c r="E26" s="330"/>
      <c r="F26" s="309"/>
      <c r="G26" s="309"/>
      <c r="M26" s="2121"/>
      <c r="N26" s="2135"/>
      <c r="O26" s="2120"/>
      <c r="P26" s="2124"/>
      <c r="Q26" s="2135"/>
    </row>
    <row r="27" spans="2:17" s="302" customFormat="1">
      <c r="B27" s="331" t="s">
        <v>53</v>
      </c>
      <c r="C27" s="332">
        <v>0.2</v>
      </c>
      <c r="D27" s="333"/>
      <c r="E27" s="334"/>
      <c r="F27" s="309"/>
      <c r="G27" s="309"/>
      <c r="M27" s="2142" t="s">
        <v>54</v>
      </c>
      <c r="N27" s="2143">
        <f>+(((1-N14/N12)*(1+N14)*(1-(((1+N14)^N17)/((1+N16)^N17))))/(N16-N14))+(((1-N15/N13)*((1+N14)^N17)*(1+N15))/((N16-N15)*((1+N16)^N17)))</f>
        <v>6.3193447841747172</v>
      </c>
      <c r="O27" s="2144"/>
      <c r="P27" s="2145" t="s">
        <v>54</v>
      </c>
      <c r="Q27" s="2143">
        <f>+(((1-Q14/Q12)*(1+Q14)*(1-(((1+Q14)^Q17)/((1+Q16)^Q17))))/(Q16-Q14))+(((1-Q15/Q13)*((1+Q14)^Q17)*(1+Q15))/((Q16-Q15)*((1+Q16)^Q17)))</f>
        <v>10.532720323962065</v>
      </c>
    </row>
    <row r="28" spans="2:17" s="302" customFormat="1">
      <c r="B28" s="331" t="s">
        <v>55</v>
      </c>
      <c r="C28" s="335">
        <f>D5</f>
        <v>8.2500000000000004E-2</v>
      </c>
      <c r="D28" s="323"/>
      <c r="E28" s="334"/>
      <c r="F28" s="309"/>
      <c r="G28" s="309"/>
      <c r="P28" s="2146"/>
      <c r="Q28" s="1591">
        <f ca="1">+Q27/Resumo!V66-1</f>
        <v>-0.1051295238258223</v>
      </c>
    </row>
    <row r="29" spans="2:17" s="302" customFormat="1">
      <c r="B29" s="331" t="s">
        <v>56</v>
      </c>
      <c r="C29" s="336">
        <f>WACC!M3</f>
        <v>0.15536951761042297</v>
      </c>
      <c r="D29" s="318"/>
      <c r="E29" s="309"/>
      <c r="F29" s="309"/>
      <c r="G29" s="309"/>
    </row>
    <row r="30" spans="2:17" s="302" customFormat="1">
      <c r="B30" s="337" t="s">
        <v>57</v>
      </c>
      <c r="C30" s="338">
        <f>(C26*(1+C28)*(1-C28/C27)/(C29-C28))/WACC!M17</f>
        <v>11102616.236375853</v>
      </c>
      <c r="F30" s="309"/>
      <c r="G30" s="309"/>
    </row>
    <row r="31" spans="2:17" s="302" customFormat="1">
      <c r="D31" s="323"/>
      <c r="F31" s="309"/>
      <c r="G31" s="309"/>
    </row>
    <row r="32" spans="2:17" s="302" customFormat="1">
      <c r="D32" s="339"/>
      <c r="F32" s="309"/>
      <c r="G32" s="309"/>
    </row>
    <row r="33" spans="4:7" s="302" customFormat="1">
      <c r="F33" s="340"/>
      <c r="G33" s="341"/>
    </row>
    <row r="34" spans="4:7" s="302" customFormat="1">
      <c r="F34" s="342"/>
      <c r="G34" s="309"/>
    </row>
    <row r="35" spans="4:7" s="302" customFormat="1">
      <c r="D35" s="304"/>
      <c r="F35" s="309"/>
      <c r="G35" s="343"/>
    </row>
    <row r="36" spans="4:7" s="302" customFormat="1">
      <c r="F36" s="309"/>
      <c r="G36" s="343"/>
    </row>
    <row r="37" spans="4:7" s="302" customFormat="1">
      <c r="F37" s="309"/>
      <c r="G37" s="343"/>
    </row>
    <row r="38" spans="4:7" s="302" customFormat="1"/>
    <row r="39" spans="4:7" s="302" customFormat="1"/>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4"/>
  <sheetViews>
    <sheetView showGridLines="0" tabSelected="1" workbookViewId="0">
      <selection activeCell="H14" sqref="H13:H14"/>
    </sheetView>
  </sheetViews>
  <sheetFormatPr defaultColWidth="9.140625" defaultRowHeight="15"/>
  <cols>
    <col min="1" max="1" width="3" style="905" customWidth="1"/>
    <col min="2" max="2" width="18.7109375" style="905" bestFit="1" customWidth="1"/>
    <col min="3" max="3" width="8" style="905" bestFit="1" customWidth="1"/>
    <col min="4" max="5" width="10" style="905" bestFit="1" customWidth="1"/>
    <col min="6" max="6" width="11" style="905" bestFit="1" customWidth="1"/>
    <col min="7" max="13" width="10" style="905" bestFit="1" customWidth="1"/>
    <col min="14" max="15" width="10" style="905" customWidth="1"/>
    <col min="16" max="16" width="13.28515625" style="905" bestFit="1" customWidth="1"/>
    <col min="17" max="16384" width="9.140625" style="905"/>
  </cols>
  <sheetData>
    <row r="1" spans="1:16">
      <c r="A1" s="1030"/>
      <c r="B1" s="906" t="s">
        <v>58</v>
      </c>
      <c r="C1" s="907"/>
      <c r="D1" s="1215"/>
      <c r="E1" s="1215">
        <v>2022</v>
      </c>
      <c r="F1" s="1215">
        <f>+E1+1</f>
        <v>2023</v>
      </c>
      <c r="G1" s="1215">
        <f>+F1+1</f>
        <v>2024</v>
      </c>
      <c r="H1" s="1215">
        <f>+G1+1</f>
        <v>2025</v>
      </c>
      <c r="I1" s="1215">
        <f>+H1+1</f>
        <v>2026</v>
      </c>
      <c r="J1" s="1215">
        <f>+I1+1</f>
        <v>2027</v>
      </c>
      <c r="K1" s="1215">
        <f t="shared" ref="K1:M1" si="0">+J1+1</f>
        <v>2028</v>
      </c>
      <c r="L1" s="1215">
        <f t="shared" si="0"/>
        <v>2029</v>
      </c>
      <c r="M1" s="1215">
        <f t="shared" si="0"/>
        <v>2030</v>
      </c>
      <c r="N1" s="1215"/>
      <c r="O1" s="1215"/>
    </row>
    <row r="2" spans="1:16">
      <c r="A2" s="1030"/>
      <c r="B2" s="1030"/>
      <c r="C2" s="1031"/>
      <c r="D2" s="1031"/>
      <c r="E2" s="1031"/>
      <c r="F2" s="1031"/>
    </row>
    <row r="3" spans="1:16">
      <c r="A3" s="1032"/>
      <c r="B3" s="1033" t="s">
        <v>59</v>
      </c>
      <c r="C3" s="1034"/>
      <c r="D3" s="1034"/>
      <c r="E3" s="1034"/>
      <c r="F3" s="1034"/>
      <c r="G3" s="1034"/>
      <c r="H3" s="1034"/>
      <c r="I3" s="1034">
        <f t="shared" ref="I3" si="1">+I4*I5+(1-I4)*(I9)</f>
        <v>0.15661161154749981</v>
      </c>
      <c r="J3" s="1034">
        <f t="shared" ref="J3" si="2">+J4*J5+(1-J4)*(J9)</f>
        <v>0.15871261061917852</v>
      </c>
      <c r="K3" s="1034">
        <f t="shared" ref="K3:M3" si="3">+K4*K5+(1-K4)*(K9)</f>
        <v>0.15613106574808477</v>
      </c>
      <c r="L3" s="1034">
        <f t="shared" si="3"/>
        <v>0.15574851910751888</v>
      </c>
      <c r="M3" s="1034">
        <f t="shared" si="3"/>
        <v>0.15536951761042297</v>
      </c>
      <c r="N3" s="2159"/>
      <c r="O3" s="2159"/>
    </row>
    <row r="4" spans="1:16">
      <c r="A4" s="1030"/>
      <c r="B4" s="1030" t="s">
        <v>60</v>
      </c>
      <c r="C4" s="1035"/>
      <c r="D4" s="1035"/>
      <c r="E4" s="1035"/>
      <c r="F4" s="1035"/>
      <c r="G4" s="1042"/>
      <c r="H4" s="1042"/>
      <c r="I4" s="1042">
        <v>0</v>
      </c>
      <c r="J4" s="1042">
        <v>0.05</v>
      </c>
      <c r="K4" s="1042">
        <v>0.05</v>
      </c>
      <c r="L4" s="1042">
        <v>0.05</v>
      </c>
      <c r="M4" s="1042">
        <v>0.05</v>
      </c>
      <c r="N4" s="1042"/>
      <c r="O4" s="1042"/>
    </row>
    <row r="5" spans="1:16">
      <c r="A5" s="1036"/>
      <c r="B5" s="1036" t="s">
        <v>61</v>
      </c>
      <c r="C5" s="1037"/>
      <c r="D5" s="1037"/>
      <c r="E5" s="1037"/>
      <c r="F5" s="1037"/>
      <c r="G5" s="1037"/>
      <c r="H5" s="1037"/>
      <c r="I5" s="1037">
        <f t="shared" ref="I5" si="4">+(I6)*(1-I7)</f>
        <v>0.10258778479858904</v>
      </c>
      <c r="J5" s="1037">
        <f t="shared" ref="J5" si="5">+(J6)*(1-J7)</f>
        <v>8.6752212383570851E-2</v>
      </c>
      <c r="K5" s="1037">
        <f t="shared" ref="K5:M5" si="6">+(K6)*(1-K7)</f>
        <v>8.2621314961695669E-2</v>
      </c>
      <c r="L5" s="1037">
        <f t="shared" si="6"/>
        <v>7.4970382150377518E-2</v>
      </c>
      <c r="M5" s="1037">
        <f t="shared" si="6"/>
        <v>6.7390352208459681E-2</v>
      </c>
      <c r="N5" s="1037"/>
      <c r="O5" s="1037"/>
    </row>
    <row r="6" spans="1:16">
      <c r="A6" s="1030"/>
      <c r="B6" s="1030" t="s">
        <v>62</v>
      </c>
      <c r="C6" s="1038"/>
      <c r="D6" s="1038"/>
      <c r="E6" s="1038"/>
      <c r="F6" s="1038"/>
      <c r="G6" s="1038"/>
      <c r="H6" s="1038"/>
      <c r="I6" s="1038">
        <f>+MACRO!EI6*110%</f>
        <v>0.14575000000000002</v>
      </c>
      <c r="J6" s="1038">
        <f>+MACRO!EJ6*110%</f>
        <v>0.12650000000000003</v>
      </c>
      <c r="K6" s="1038">
        <f>+MACRO!EK6*110%</f>
        <v>0.12100000000000001</v>
      </c>
      <c r="L6" s="1038">
        <f>+MACRO!EL6*110%</f>
        <v>0.11000000000000001</v>
      </c>
      <c r="M6" s="1038">
        <f>+MACRO!EM6*110%</f>
        <v>9.9000000000000005E-2</v>
      </c>
      <c r="N6" s="1038"/>
      <c r="O6" s="1038"/>
    </row>
    <row r="7" spans="1:16">
      <c r="A7" s="1030"/>
      <c r="B7" s="1030" t="s">
        <v>63</v>
      </c>
      <c r="C7" s="1039"/>
      <c r="D7" s="1039"/>
      <c r="E7" s="1039"/>
      <c r="F7" s="1039"/>
      <c r="G7" s="1039"/>
      <c r="H7" s="1039"/>
      <c r="I7" s="1039">
        <f>PROJ!DQ181</f>
        <v>0.29613869777983515</v>
      </c>
      <c r="J7" s="1039">
        <f>PROJ!DR181</f>
        <v>0.31421175981366933</v>
      </c>
      <c r="K7" s="1039">
        <f>PROJ!DS181</f>
        <v>0.31717921519259779</v>
      </c>
      <c r="L7" s="1039">
        <f>PROJ!DT181</f>
        <v>0.31845107136020445</v>
      </c>
      <c r="M7" s="1039">
        <f>PROJ!DU181</f>
        <v>0.31928937163172044</v>
      </c>
      <c r="N7" s="1039"/>
      <c r="O7" s="1039"/>
    </row>
    <row r="8" spans="1:16">
      <c r="A8" s="1030"/>
      <c r="B8" s="1030" t="s">
        <v>64</v>
      </c>
      <c r="C8" s="1040"/>
      <c r="D8" s="1040"/>
      <c r="E8" s="1040"/>
      <c r="F8" s="1040"/>
      <c r="G8" s="1040"/>
      <c r="H8" s="1040"/>
      <c r="I8" s="1040"/>
      <c r="J8" s="1040"/>
      <c r="K8" s="1040"/>
      <c r="L8" s="1040"/>
      <c r="M8" s="1040"/>
      <c r="N8" s="1040"/>
      <c r="O8" s="1040"/>
    </row>
    <row r="9" spans="1:16">
      <c r="A9" s="1036"/>
      <c r="B9" s="1036" t="s">
        <v>65</v>
      </c>
      <c r="C9" s="1037"/>
      <c r="D9" s="1037"/>
      <c r="E9" s="1037"/>
      <c r="F9" s="1037"/>
      <c r="G9" s="1037"/>
      <c r="H9" s="1037"/>
      <c r="I9" s="1037">
        <f t="shared" ref="I9" si="7">I10+I13*I11+I12</f>
        <v>0.15661161154749981</v>
      </c>
      <c r="J9" s="1037">
        <f t="shared" ref="J9" si="8">J10+J13*J11+J12</f>
        <v>0.16250000000000001</v>
      </c>
      <c r="K9" s="1037">
        <f t="shared" ref="K9:M9" si="9">K10+K13*K11+K12</f>
        <v>0.16</v>
      </c>
      <c r="L9" s="1037">
        <f t="shared" si="9"/>
        <v>0.16</v>
      </c>
      <c r="M9" s="1037">
        <f t="shared" si="9"/>
        <v>0.16</v>
      </c>
      <c r="N9" s="1037"/>
      <c r="O9" s="1037"/>
    </row>
    <row r="10" spans="1:16">
      <c r="A10" s="1030"/>
      <c r="B10" s="1041" t="s">
        <v>66</v>
      </c>
      <c r="C10" s="1042"/>
      <c r="D10" s="1042"/>
      <c r="E10" s="1042"/>
      <c r="F10" s="1042"/>
      <c r="G10" s="1042"/>
      <c r="H10" s="1042"/>
      <c r="I10" s="1042">
        <v>7.0000000000000007E-2</v>
      </c>
      <c r="J10" s="1043">
        <f>+I10</f>
        <v>7.0000000000000007E-2</v>
      </c>
      <c r="K10" s="1043">
        <f t="shared" ref="K10:M10" si="10">+J10</f>
        <v>7.0000000000000007E-2</v>
      </c>
      <c r="L10" s="1043">
        <f t="shared" si="10"/>
        <v>7.0000000000000007E-2</v>
      </c>
      <c r="M10" s="1043">
        <f t="shared" si="10"/>
        <v>7.0000000000000007E-2</v>
      </c>
      <c r="N10" s="1043"/>
      <c r="O10" s="1043"/>
    </row>
    <row r="11" spans="1:16">
      <c r="A11" s="1030"/>
      <c r="B11" s="1041" t="s">
        <v>67</v>
      </c>
      <c r="C11" s="1042"/>
      <c r="D11" s="1042"/>
      <c r="E11" s="1042"/>
      <c r="F11" s="1042"/>
      <c r="G11" s="1042"/>
      <c r="H11" s="1042"/>
      <c r="I11" s="1042">
        <v>4.4999999999999998E-2</v>
      </c>
      <c r="J11" s="1043">
        <f>+I11</f>
        <v>4.4999999999999998E-2</v>
      </c>
      <c r="K11" s="1043">
        <f t="shared" ref="K11:M11" si="11">+J11</f>
        <v>4.4999999999999998E-2</v>
      </c>
      <c r="L11" s="1043">
        <f t="shared" si="11"/>
        <v>4.4999999999999998E-2</v>
      </c>
      <c r="M11" s="1043">
        <f t="shared" si="11"/>
        <v>4.4999999999999998E-2</v>
      </c>
      <c r="N11" s="1043"/>
      <c r="O11" s="1043"/>
    </row>
    <row r="12" spans="1:16">
      <c r="A12" s="1030"/>
      <c r="B12" s="1041" t="s">
        <v>68</v>
      </c>
      <c r="C12" s="1043"/>
      <c r="D12" s="1043"/>
      <c r="E12" s="1043"/>
      <c r="F12" s="1043"/>
      <c r="G12" s="1043"/>
      <c r="H12" s="1043"/>
      <c r="I12" s="1043">
        <f>+MACRO!EI8</f>
        <v>4.1611611547499816E-2</v>
      </c>
      <c r="J12" s="1043">
        <f>+MACRO!EJ8</f>
        <v>4.7500000000000001E-2</v>
      </c>
      <c r="K12" s="1043">
        <f>+MACRO!EK8</f>
        <v>4.4999999999999998E-2</v>
      </c>
      <c r="L12" s="1043">
        <f>+MACRO!EL8</f>
        <v>4.4999999999999998E-2</v>
      </c>
      <c r="M12" s="1043">
        <f>+MACRO!EM8</f>
        <v>4.4999999999999998E-2</v>
      </c>
      <c r="N12" s="1043"/>
      <c r="O12" s="1043"/>
    </row>
    <row r="13" spans="1:16">
      <c r="A13" s="1030"/>
      <c r="B13" s="1041" t="s">
        <v>46</v>
      </c>
      <c r="C13" s="1044"/>
      <c r="D13" s="1044"/>
      <c r="E13" s="1044"/>
      <c r="F13" s="1044"/>
      <c r="G13" s="1044"/>
      <c r="H13" s="1044"/>
      <c r="I13" s="1044">
        <v>1</v>
      </c>
      <c r="J13" s="1045">
        <f>+I13</f>
        <v>1</v>
      </c>
      <c r="K13" s="1045">
        <f t="shared" ref="K13:M13" si="12">+J13</f>
        <v>1</v>
      </c>
      <c r="L13" s="1045">
        <f t="shared" si="12"/>
        <v>1</v>
      </c>
      <c r="M13" s="1045">
        <f t="shared" si="12"/>
        <v>1</v>
      </c>
      <c r="N13" s="1045"/>
      <c r="O13" s="1045"/>
    </row>
    <row r="14" spans="1:16">
      <c r="A14" s="1030"/>
      <c r="B14" s="1030" t="s">
        <v>64</v>
      </c>
      <c r="C14" s="1040"/>
      <c r="D14" s="1040"/>
      <c r="E14" s="1040"/>
      <c r="F14" s="1040"/>
      <c r="G14" s="1040"/>
      <c r="H14" s="1040"/>
      <c r="I14" s="1040">
        <f>(1+MACRO!EI8)/(1+MACRO!EI12)-1</f>
        <v>1.6206450290243701E-2</v>
      </c>
      <c r="J14" s="1040">
        <f>(1+MACRO!EJ8)/(1+MACRO!EJ12)-1</f>
        <v>2.1951219512195363E-2</v>
      </c>
      <c r="K14" s="1040">
        <f>(1+MACRO!EK8)/(1+MACRO!EK12)-1</f>
        <v>1.9512195121951237E-2</v>
      </c>
      <c r="L14" s="1040">
        <f>(1+MACRO!EL8)/(1+MACRO!EL12)-1</f>
        <v>1.9512195121951237E-2</v>
      </c>
      <c r="M14" s="1040">
        <f>(1+MACRO!EM8)/(1+MACRO!EM12)-1</f>
        <v>1.9512195121951237E-2</v>
      </c>
      <c r="N14" s="1040"/>
      <c r="O14" s="1040"/>
    </row>
    <row r="15" spans="1:16">
      <c r="A15" s="1030"/>
      <c r="B15" s="1030"/>
      <c r="C15" s="1030"/>
      <c r="D15" s="1030"/>
      <c r="E15" s="1030"/>
      <c r="F15" s="1030"/>
      <c r="G15" s="1030"/>
      <c r="H15" s="1030"/>
      <c r="I15" s="1030"/>
      <c r="J15" s="1030"/>
      <c r="K15" s="1030"/>
      <c r="L15" s="1030"/>
      <c r="M15" s="1030"/>
      <c r="N15" s="1030"/>
      <c r="O15" s="1030"/>
      <c r="P15" s="1046" t="s">
        <v>69</v>
      </c>
    </row>
    <row r="16" spans="1:16">
      <c r="A16" s="1046"/>
      <c r="B16" s="1046" t="s">
        <v>70</v>
      </c>
      <c r="C16" s="1046"/>
      <c r="D16" s="1046"/>
      <c r="E16" s="1046"/>
      <c r="F16" s="1046">
        <f ca="1">+F20</f>
        <v>-15706782</v>
      </c>
      <c r="G16" s="1046"/>
      <c r="H16" s="1046"/>
      <c r="I16" s="1046">
        <f>PROJ!DQ57</f>
        <v>970236.26490755158</v>
      </c>
      <c r="J16" s="1046">
        <f>PROJ!DR57</f>
        <v>1214524.5101249516</v>
      </c>
      <c r="K16" s="1046">
        <f>PROJ!DS57</f>
        <v>1450577.158572868</v>
      </c>
      <c r="L16" s="1046">
        <f>PROJ!DT57</f>
        <v>1589706.6049276253</v>
      </c>
      <c r="M16" s="1046">
        <f>PROJ!DU57</f>
        <v>1741795.6075661033</v>
      </c>
      <c r="N16" s="1046"/>
      <c r="O16" s="1046"/>
      <c r="P16" s="1046">
        <f>+M16*(1+VP!$D$5)/(WACC!M3-VP!D5)</f>
        <v>25874931.068853587</v>
      </c>
    </row>
    <row r="17" spans="1:16">
      <c r="A17" s="1030"/>
      <c r="B17" s="1030" t="s">
        <v>71</v>
      </c>
      <c r="C17" s="1031"/>
      <c r="D17" s="1031"/>
      <c r="E17" s="1031"/>
      <c r="F17" s="1031"/>
      <c r="G17" s="1031"/>
      <c r="H17" s="1031"/>
      <c r="I17" s="1031">
        <v>1</v>
      </c>
      <c r="J17" s="1031">
        <f>+I17*(1+J3)</f>
        <v>1.1587126106191785</v>
      </c>
      <c r="K17" s="1031">
        <f t="shared" ref="K17:M17" si="13">+J17*(1+K3)</f>
        <v>1.3396236454108965</v>
      </c>
      <c r="L17" s="1031">
        <f t="shared" si="13"/>
        <v>1.5482680443450598</v>
      </c>
      <c r="M17" s="1031">
        <f t="shared" si="13"/>
        <v>1.7888217035265848</v>
      </c>
      <c r="N17" s="1031"/>
      <c r="O17" s="1031"/>
      <c r="P17" s="1902">
        <f>+M17</f>
        <v>1.7888217035265848</v>
      </c>
    </row>
    <row r="18" spans="1:16">
      <c r="A18" s="1047"/>
      <c r="B18" s="1047" t="s">
        <v>72</v>
      </c>
      <c r="C18" s="1047"/>
      <c r="D18" s="1047"/>
      <c r="E18" s="1047"/>
      <c r="F18" s="1047"/>
      <c r="G18" s="1047"/>
      <c r="H18" s="1047"/>
      <c r="I18" s="1047">
        <f t="shared" ref="I18:J18" si="14">+I16/I17</f>
        <v>970236.26490755158</v>
      </c>
      <c r="J18" s="1047">
        <f t="shared" si="14"/>
        <v>1048167.1632761026</v>
      </c>
      <c r="K18" s="1047">
        <f t="shared" ref="K18:M18" si="15">+K16/K17</f>
        <v>1082824.3914192326</v>
      </c>
      <c r="L18" s="1047">
        <f t="shared" si="15"/>
        <v>1026764.4615762219</v>
      </c>
      <c r="M18" s="1047">
        <f t="shared" si="15"/>
        <v>973711.13293864252</v>
      </c>
      <c r="N18" s="1047"/>
      <c r="O18" s="1047"/>
      <c r="P18" s="1047">
        <f>+P16/P17</f>
        <v>14464790.435984915</v>
      </c>
    </row>
    <row r="19" spans="1:16">
      <c r="A19" s="1030"/>
      <c r="B19" s="1030"/>
      <c r="C19" s="1030"/>
      <c r="D19" s="1030"/>
      <c r="E19" s="1030"/>
      <c r="F19" s="1030"/>
      <c r="G19" s="1030"/>
      <c r="H19" s="1030"/>
      <c r="I19" s="1030"/>
      <c r="J19" s="1030"/>
      <c r="K19" s="1030"/>
      <c r="L19" s="1030"/>
      <c r="M19" s="1030"/>
      <c r="N19" s="1030"/>
      <c r="O19" s="1030"/>
      <c r="P19"/>
    </row>
    <row r="20" spans="1:16" ht="15.75" thickBot="1">
      <c r="A20" s="1046"/>
      <c r="B20" s="1046" t="s">
        <v>73</v>
      </c>
      <c r="C20" s="1046"/>
      <c r="D20" s="1046"/>
      <c r="E20" s="1908"/>
      <c r="F20" s="1908">
        <f ca="1">-VP!C24</f>
        <v>-15706782</v>
      </c>
      <c r="G20" s="1046">
        <f>+PROJ!DO62</f>
        <v>1011095.2758276206</v>
      </c>
      <c r="H20" s="1046"/>
      <c r="I20" s="1046">
        <f>+PROJ!DQ62</f>
        <v>821616.18567457877</v>
      </c>
      <c r="J20" s="1046">
        <f>+PROJ!DR62</f>
        <v>1102125.8854696851</v>
      </c>
      <c r="K20" s="1046">
        <f>+PROJ!DS62</f>
        <v>1419880.9730172232</v>
      </c>
      <c r="L20" s="1046">
        <f>+PROJ!DT62</f>
        <v>1574327.5698675537</v>
      </c>
      <c r="M20" s="1046">
        <f>+PROJ!DU62</f>
        <v>1730929.5177430238</v>
      </c>
      <c r="N20" s="1046"/>
      <c r="O20" s="1046"/>
      <c r="P20" s="1046">
        <f>+M20*(1+VP!$D$5)/(WACC!M3-VP!D5)</f>
        <v>25713511.827733196</v>
      </c>
    </row>
    <row r="21" spans="1:16" ht="15.75" thickBot="1">
      <c r="A21" s="1030"/>
      <c r="B21" s="1030"/>
      <c r="C21" s="1030"/>
      <c r="D21" s="1030"/>
      <c r="E21" s="1910" t="s">
        <v>74</v>
      </c>
      <c r="F21" s="1909">
        <f ca="1">+IRR(F16:P16,1)</f>
        <v>0.14957805392474333</v>
      </c>
      <c r="G21" s="1030"/>
      <c r="H21" s="1030"/>
      <c r="I21" s="1030"/>
      <c r="J21" s="1030"/>
      <c r="K21" s="1030"/>
      <c r="L21" s="1030"/>
      <c r="M21" s="1030"/>
      <c r="N21" s="1030"/>
      <c r="O21" s="1030"/>
    </row>
    <row r="22" spans="1:16">
      <c r="A22" s="1030"/>
      <c r="B22" s="1030"/>
      <c r="C22" s="1030"/>
      <c r="D22" s="1030"/>
      <c r="E22" s="1030"/>
      <c r="F22" s="1030"/>
      <c r="G22" s="1030"/>
      <c r="H22" s="1030"/>
      <c r="I22" s="1030"/>
      <c r="J22" s="1030"/>
      <c r="K22" s="1030"/>
      <c r="L22" s="1030"/>
      <c r="M22" s="1030"/>
      <c r="N22" s="1030"/>
      <c r="O22" s="1030"/>
    </row>
    <row r="23" spans="1:16">
      <c r="A23" s="1048"/>
      <c r="B23" s="1048" t="s">
        <v>75</v>
      </c>
      <c r="C23" s="1048"/>
      <c r="D23" s="1048"/>
      <c r="E23" s="1048"/>
      <c r="F23" s="1048"/>
      <c r="G23" s="1048">
        <f>PROJ!DO197</f>
        <v>633574.46823999996</v>
      </c>
      <c r="H23" s="1048">
        <f>PROJ!DP197</f>
        <v>806561.36847944232</v>
      </c>
      <c r="I23" s="1048">
        <f>PROJ!DQ197</f>
        <v>783920.48259776901</v>
      </c>
      <c r="J23" s="1048">
        <f>PROJ!DR197</f>
        <v>806181.66477265593</v>
      </c>
      <c r="K23" s="1048">
        <f>PROJ!DS197</f>
        <v>871862.73891308962</v>
      </c>
      <c r="L23" s="1048">
        <f>PROJ!DT197</f>
        <v>944784.86776817031</v>
      </c>
      <c r="M23" s="1048">
        <f>PROJ!DU197</f>
        <v>1026051.6041419248</v>
      </c>
      <c r="N23" s="1030"/>
      <c r="O23" s="1030"/>
    </row>
    <row r="24" spans="1:16">
      <c r="A24" s="1030"/>
      <c r="B24" s="1030" t="s">
        <v>71</v>
      </c>
      <c r="C24" s="1031"/>
      <c r="D24" s="1031"/>
      <c r="E24" s="1031"/>
      <c r="F24" s="1031"/>
      <c r="G24" s="1031">
        <v>1</v>
      </c>
      <c r="H24" s="1031">
        <f>+G24*(1+H9)</f>
        <v>1</v>
      </c>
      <c r="I24" s="1031">
        <f>+H24*(1+I9)</f>
        <v>1.1566116115474998</v>
      </c>
      <c r="J24" s="1031">
        <f>+I24*(1+J9)</f>
        <v>1.3445609984239686</v>
      </c>
      <c r="K24" s="1031">
        <f t="shared" ref="K24:M24" si="16">+J24*(1+K9)</f>
        <v>1.5596907581718034</v>
      </c>
      <c r="L24" s="1031">
        <f t="shared" si="16"/>
        <v>1.8092412794792918</v>
      </c>
      <c r="M24" s="1031">
        <f t="shared" si="16"/>
        <v>2.0987198841959782</v>
      </c>
      <c r="N24" s="1031"/>
      <c r="O24" s="1031"/>
    </row>
    <row r="25" spans="1:16">
      <c r="A25" s="1048"/>
      <c r="B25" s="1048" t="s">
        <v>72</v>
      </c>
      <c r="C25" s="1048"/>
      <c r="D25" s="1048"/>
      <c r="E25" s="1048"/>
      <c r="F25" s="1048"/>
      <c r="G25" s="1048">
        <f t="shared" ref="G25:J25" si="17">+G23/G24</f>
        <v>633574.46823999996</v>
      </c>
      <c r="H25" s="1048">
        <f t="shared" si="17"/>
        <v>806561.36847944232</v>
      </c>
      <c r="I25" s="1048">
        <f t="shared" si="17"/>
        <v>677773.31194947532</v>
      </c>
      <c r="J25" s="1048">
        <f t="shared" si="17"/>
        <v>599587.27474441426</v>
      </c>
      <c r="K25" s="1048">
        <f t="shared" ref="K25:M25" si="18">+K23/K24</f>
        <v>558997.18219465914</v>
      </c>
      <c r="L25" s="1048">
        <f t="shared" si="18"/>
        <v>522199.48687003419</v>
      </c>
      <c r="M25" s="1048">
        <f t="shared" si="18"/>
        <v>488894.02147871972</v>
      </c>
      <c r="N25" s="1030"/>
      <c r="O25" s="1030"/>
    </row>
    <row r="26" spans="1:16">
      <c r="A26" s="1030"/>
      <c r="B26" s="1030"/>
      <c r="C26" s="1030"/>
      <c r="D26" s="1030"/>
      <c r="E26" s="1030"/>
      <c r="F26" s="1030"/>
    </row>
    <row r="27" spans="1:16">
      <c r="A27" s="1036"/>
      <c r="B27" s="1036" t="s">
        <v>53</v>
      </c>
      <c r="C27" s="1049"/>
      <c r="D27" s="1049"/>
      <c r="E27" s="1049">
        <f>PROJ!DM255</f>
        <v>0.14251749246394063</v>
      </c>
      <c r="F27" s="1049">
        <f>PROJ!DN255</f>
        <v>8.9808936123816172E-2</v>
      </c>
      <c r="G27" s="1049">
        <f>PROJ!DO255</f>
        <v>0.1111552779433899</v>
      </c>
      <c r="H27" s="1049">
        <f>PROJ!DP255</f>
        <v>0.14750076606432247</v>
      </c>
      <c r="I27" s="1049">
        <f>PROJ!DQ255</f>
        <v>0.13296107544034794</v>
      </c>
      <c r="J27" s="1049">
        <f>PROJ!DR255</f>
        <v>0.17418864323453245</v>
      </c>
      <c r="K27" s="1049">
        <f>PROJ!DS255</f>
        <v>0.18717398104633859</v>
      </c>
      <c r="L27" s="1049">
        <f>PROJ!DT255</f>
        <v>0.19639867560300031</v>
      </c>
      <c r="M27" s="1049">
        <f>PROJ!DU255</f>
        <v>0.20471241041276361</v>
      </c>
      <c r="N27" s="1049"/>
      <c r="O27" s="1049"/>
    </row>
    <row r="28" spans="1:16">
      <c r="A28" s="1030"/>
      <c r="B28" s="1030" t="s">
        <v>76</v>
      </c>
      <c r="C28" s="1039"/>
      <c r="D28" s="1039"/>
      <c r="E28" s="1039">
        <f t="shared" ref="E28:J28" si="19">+E27-E3</f>
        <v>0.14251749246394063</v>
      </c>
      <c r="F28" s="1039">
        <f t="shared" si="19"/>
        <v>8.9808936123816172E-2</v>
      </c>
      <c r="G28" s="1039">
        <f t="shared" si="19"/>
        <v>0.1111552779433899</v>
      </c>
      <c r="H28" s="1039">
        <f t="shared" si="19"/>
        <v>0.14750076606432247</v>
      </c>
      <c r="I28" s="1039">
        <f t="shared" si="19"/>
        <v>-2.365053610715187E-2</v>
      </c>
      <c r="J28" s="1039">
        <f t="shared" si="19"/>
        <v>1.5476032615353935E-2</v>
      </c>
      <c r="K28" s="1039">
        <f t="shared" ref="K28:M28" si="20">+K27-K3</f>
        <v>3.1042915298253815E-2</v>
      </c>
      <c r="L28" s="1039">
        <f t="shared" si="20"/>
        <v>4.0650156495481427E-2</v>
      </c>
      <c r="M28" s="1039">
        <f t="shared" si="20"/>
        <v>4.9342892802340638E-2</v>
      </c>
      <c r="N28" s="1039"/>
      <c r="O28" s="1039"/>
    </row>
    <row r="29" spans="1:16">
      <c r="A29" s="1030"/>
      <c r="B29" s="1030"/>
      <c r="C29" s="1030"/>
      <c r="D29" s="1030"/>
      <c r="E29" s="1030"/>
      <c r="F29" s="1030"/>
    </row>
    <row r="30" spans="1:16">
      <c r="A30" s="1030"/>
      <c r="B30" s="1050"/>
      <c r="C30" s="1030"/>
      <c r="D30" s="1030"/>
      <c r="E30" s="1030"/>
      <c r="F30" s="1030"/>
    </row>
    <row r="31" spans="1:16">
      <c r="A31" s="1030"/>
      <c r="B31" s="1050" t="s">
        <v>77</v>
      </c>
      <c r="C31" s="1030"/>
      <c r="D31" s="1030"/>
      <c r="E31" s="1030">
        <f>PROJ!DM111+PROJ!DM120-PROJ!DM90</f>
        <v>-1679208.31</v>
      </c>
      <c r="F31" s="1030">
        <f>PROJ!DN111+PROJ!DN120-PROJ!DN90</f>
        <v>-1430312.1898499997</v>
      </c>
      <c r="G31" s="1030">
        <f>PROJ!DO111+PROJ!DO120-PROJ!DO90</f>
        <v>-1403670</v>
      </c>
      <c r="H31" s="1030">
        <f>PROJ!DP111+PROJ!DP120-PROJ!DP90</f>
        <v>-519500.96207645349</v>
      </c>
      <c r="I31" s="1030">
        <f>PROJ!DQ111+PROJ!DQ120-PROJ!DQ90</f>
        <v>-844609.99730073754</v>
      </c>
      <c r="J31" s="1030">
        <f>PROJ!DR111+PROJ!DR120-PROJ!DR90</f>
        <v>-1141127.390235126</v>
      </c>
      <c r="K31" s="1030">
        <f>PROJ!DS111+PROJ!DS120-PROJ!DS90</f>
        <v>-1982886.0835547391</v>
      </c>
      <c r="L31" s="1030">
        <f>PROJ!DT111+PROJ!DT120-PROJ!DT90</f>
        <v>-2821288.8253240073</v>
      </c>
      <c r="M31" s="1030">
        <f>PROJ!DU111+PROJ!DU120-PROJ!DU90</f>
        <v>-3749724.3098203298</v>
      </c>
      <c r="N31" s="1030"/>
      <c r="O31" s="1030"/>
    </row>
    <row r="32" spans="1:16">
      <c r="A32" s="1030"/>
      <c r="B32" s="1030"/>
      <c r="C32" s="1030"/>
      <c r="D32" s="1030"/>
      <c r="E32" s="1030"/>
      <c r="F32" s="1030"/>
      <c r="G32" s="1030"/>
      <c r="H32" s="1030"/>
      <c r="I32" s="1030"/>
      <c r="J32" s="1030"/>
      <c r="K32" s="1030"/>
      <c r="L32" s="1030"/>
      <c r="M32" s="1030"/>
      <c r="N32" s="1030"/>
      <c r="O32" s="1030"/>
    </row>
    <row r="33" spans="1:15">
      <c r="A33" s="1030"/>
      <c r="B33" s="1030" t="s">
        <v>78</v>
      </c>
      <c r="C33" s="1051"/>
      <c r="D33" s="1051"/>
      <c r="E33" s="1051">
        <f>E31/PROJ!DM138</f>
        <v>-0.1973916164650644</v>
      </c>
      <c r="F33" s="1051">
        <f>F31/PROJ!DN138</f>
        <v>-0.17244006090386849</v>
      </c>
      <c r="G33" s="1051">
        <f>G31/PROJ!DO138</f>
        <v>-0.1700678747313138</v>
      </c>
      <c r="H33" s="1051">
        <f>H31/PROJ!DP138</f>
        <v>-5.7435200251701318E-2</v>
      </c>
      <c r="I33" s="1051">
        <f>I31/PROJ!DQ138</f>
        <v>-9.0669214087228847E-2</v>
      </c>
      <c r="J33" s="1051">
        <f>J31/PROJ!DR138</f>
        <v>-0.1164598300409292</v>
      </c>
      <c r="K33" s="1051">
        <f>K31/PROJ!DS138</f>
        <v>-0.19297609811070124</v>
      </c>
      <c r="L33" s="1051">
        <f>L31/PROJ!DT138</f>
        <v>-0.26084538512207744</v>
      </c>
      <c r="M33" s="1051">
        <f>M31/PROJ!DU138</f>
        <v>-0.32844612376515625</v>
      </c>
      <c r="N33" s="1051"/>
      <c r="O33" s="1051"/>
    </row>
    <row r="34" spans="1:15">
      <c r="A34" s="1030"/>
      <c r="B34" s="1030" t="s">
        <v>79</v>
      </c>
      <c r="C34" s="1051"/>
      <c r="D34" s="1051"/>
      <c r="E34" s="1051">
        <f>PROJ!DM90/PROJ!DM138</f>
        <v>0.33482484930132567</v>
      </c>
      <c r="F34" s="1051">
        <f>PROJ!DN90/PROJ!DN138</f>
        <v>0.30528336144818996</v>
      </c>
      <c r="G34" s="1051">
        <f>PROJ!DO90/PROJ!DO138</f>
        <v>0.23336641389979895</v>
      </c>
      <c r="H34" s="1051">
        <f>PROJ!DP90/PROJ!DP138</f>
        <v>5.7435200251701318E-2</v>
      </c>
      <c r="I34" s="1051">
        <f>PROJ!DQ90/PROJ!DQ138</f>
        <v>9.0669214087228847E-2</v>
      </c>
      <c r="J34" s="1051">
        <f>PROJ!DR90/PROJ!DR138</f>
        <v>0.1164598300409292</v>
      </c>
      <c r="K34" s="1051">
        <f>PROJ!DS90/PROJ!DS138</f>
        <v>0.19297609811070124</v>
      </c>
      <c r="L34" s="1051">
        <f>PROJ!DT90/PROJ!DT138</f>
        <v>0.26084538512207744</v>
      </c>
      <c r="M34" s="1051">
        <f>PROJ!DU90/PROJ!DU138</f>
        <v>0.32844612376515625</v>
      </c>
      <c r="N34" s="1051"/>
      <c r="O34" s="1051"/>
    </row>
    <row r="35" spans="1:15">
      <c r="A35" s="1030"/>
      <c r="B35" s="1030" t="s">
        <v>80</v>
      </c>
      <c r="C35" s="1051"/>
      <c r="D35" s="1051"/>
      <c r="E35" s="1051">
        <f>E31/(PROJ!DM126+PROJ!DM127)</f>
        <v>-0.16646402111917555</v>
      </c>
      <c r="F35" s="1051">
        <f>F31/(PROJ!DN126+PROJ!DN127)</f>
        <v>-0.14235898561900845</v>
      </c>
      <c r="G35" s="1051">
        <f>G31/(PROJ!DO126+PROJ!DO127)</f>
        <v>-0.13029577503879855</v>
      </c>
      <c r="H35" s="1051">
        <f>H31/(PROJ!DP126+PROJ!DP127)</f>
        <v>-4.9812961744692304E-2</v>
      </c>
      <c r="I35" s="1051">
        <f>I31/(PROJ!DQ126+PROJ!DQ127)</f>
        <v>-7.6925561994339364E-2</v>
      </c>
      <c r="J35" s="1051">
        <f>J31/(PROJ!DR126+PROJ!DR127)</f>
        <v>-9.5347009050079118E-2</v>
      </c>
      <c r="K35" s="1051">
        <f>K31/(PROJ!DS126+PROJ!DS127)</f>
        <v>-0.15071706785764016</v>
      </c>
      <c r="L35" s="1051">
        <f>L31/(PROJ!DT126+PROJ!DT127)</f>
        <v>-0.19459788462961769</v>
      </c>
      <c r="M35" s="1051">
        <f>M31/(PROJ!DU126+PROJ!DU127)</f>
        <v>-0.23454225358226125</v>
      </c>
      <c r="N35" s="1051"/>
      <c r="O35" s="1051"/>
    </row>
    <row r="36" spans="1:15">
      <c r="A36" s="1030"/>
      <c r="B36" s="1030" t="s">
        <v>81</v>
      </c>
      <c r="C36" s="1051"/>
      <c r="D36" s="1051"/>
      <c r="E36" s="1051">
        <f>PROJ!DM194</f>
        <v>0.25177161855318136</v>
      </c>
      <c r="F36" s="1051">
        <f>PROJ!DN194</f>
        <v>0</v>
      </c>
      <c r="G36" s="1051">
        <f>PROJ!DO194</f>
        <v>0</v>
      </c>
      <c r="H36" s="1051">
        <f>PROJ!DP194</f>
        <v>0</v>
      </c>
      <c r="I36" s="1051">
        <f>PROJ!DQ194</f>
        <v>0</v>
      </c>
      <c r="J36" s="1051">
        <f>PROJ!DR194</f>
        <v>0</v>
      </c>
      <c r="K36" s="1051">
        <f>PROJ!DS194</f>
        <v>0</v>
      </c>
      <c r="L36" s="1051">
        <f>PROJ!DT194</f>
        <v>0</v>
      </c>
      <c r="M36" s="1051">
        <f>PROJ!DU194</f>
        <v>0</v>
      </c>
      <c r="N36" s="1051"/>
      <c r="O36" s="1051"/>
    </row>
    <row r="37" spans="1:15">
      <c r="A37" s="1030"/>
      <c r="B37" s="1030" t="s">
        <v>82</v>
      </c>
      <c r="C37" s="1051"/>
      <c r="D37" s="1051"/>
      <c r="E37" s="1051">
        <f t="shared" ref="E37:J37" si="21">-E31/(E31+E38)</f>
        <v>-1</v>
      </c>
      <c r="F37" s="1051">
        <f t="shared" si="21"/>
        <v>-1</v>
      </c>
      <c r="G37" s="1051">
        <f t="shared" si="21"/>
        <v>-1</v>
      </c>
      <c r="H37" s="1051">
        <f t="shared" si="21"/>
        <v>-1</v>
      </c>
      <c r="I37" s="1051">
        <f t="shared" si="21"/>
        <v>-1</v>
      </c>
      <c r="J37" s="1051">
        <f t="shared" si="21"/>
        <v>-1</v>
      </c>
      <c r="K37" s="1051">
        <f t="shared" ref="K37:M37" si="22">-K31/(K31+K38)</f>
        <v>-1</v>
      </c>
      <c r="L37" s="1051">
        <f t="shared" si="22"/>
        <v>-1</v>
      </c>
      <c r="M37" s="1051">
        <f t="shared" si="22"/>
        <v>-1</v>
      </c>
      <c r="N37" s="1051"/>
      <c r="O37" s="1051"/>
    </row>
    <row r="38" spans="1:15">
      <c r="A38" s="1030"/>
      <c r="B38" s="1030" t="s">
        <v>83</v>
      </c>
      <c r="C38" s="1052"/>
      <c r="D38" s="1052"/>
      <c r="E38" s="1052"/>
      <c r="F38" s="1052"/>
    </row>
    <row r="39" spans="1:15">
      <c r="A39" s="1030"/>
      <c r="B39" s="1030"/>
      <c r="C39" s="1030"/>
      <c r="D39" s="1030"/>
      <c r="E39" s="1030"/>
      <c r="F39" s="1030"/>
    </row>
    <row r="40" spans="1:15">
      <c r="A40" s="1030"/>
      <c r="B40" s="1030"/>
      <c r="C40" s="1030"/>
      <c r="D40" s="1030"/>
      <c r="E40" s="1030"/>
      <c r="F40" s="1030"/>
    </row>
    <row r="41" spans="1:15">
      <c r="A41" s="1030"/>
      <c r="B41" s="1030"/>
      <c r="C41" s="1030"/>
      <c r="D41" s="1030"/>
      <c r="E41" s="1030"/>
      <c r="F41" s="1030"/>
    </row>
    <row r="42" spans="1:15">
      <c r="A42" s="1030"/>
      <c r="B42" s="1030"/>
      <c r="C42" s="1030"/>
      <c r="D42" s="1030"/>
      <c r="E42" s="1030"/>
      <c r="F42" s="1030"/>
    </row>
    <row r="43" spans="1:15">
      <c r="A43" s="1030"/>
      <c r="B43" s="1030"/>
      <c r="C43" s="1030"/>
      <c r="D43" s="1030"/>
      <c r="E43" s="1030"/>
      <c r="F43" s="1030"/>
    </row>
    <row r="44" spans="1:15">
      <c r="A44" s="1030"/>
      <c r="B44" s="1030"/>
      <c r="C44" s="1030"/>
      <c r="D44" s="1030"/>
      <c r="E44" s="1030"/>
      <c r="F44" s="103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Z159"/>
  <sheetViews>
    <sheetView showGridLines="0" zoomScaleNormal="100" workbookViewId="0">
      <pane xSplit="13" ySplit="3" topLeftCell="Q4" activePane="bottomRight" state="frozen"/>
      <selection pane="bottomRight" activeCell="U15" sqref="U15"/>
      <selection pane="bottomLeft" activeCell="A4" sqref="A4"/>
      <selection pane="topRight" activeCell="N1" sqref="N1"/>
    </sheetView>
  </sheetViews>
  <sheetFormatPr defaultColWidth="9.140625" defaultRowHeight="15"/>
  <cols>
    <col min="1" max="1" width="1.42578125" style="864" customWidth="1"/>
    <col min="2" max="2" width="25.42578125" style="864" customWidth="1"/>
    <col min="3" max="13" width="11.28515625" style="864" hidden="1" customWidth="1"/>
    <col min="14" max="14" width="18.7109375" style="864" hidden="1" customWidth="1"/>
    <col min="15" max="16" width="13.85546875" style="864" hidden="1" customWidth="1"/>
    <col min="17" max="18" width="13.85546875" style="864" customWidth="1"/>
    <col min="19" max="19" width="16.85546875" style="864" customWidth="1"/>
    <col min="20" max="26" width="13.85546875" style="864" customWidth="1"/>
    <col min="27" max="27" width="16.140625" style="864" bestFit="1" customWidth="1"/>
    <col min="28" max="28" width="13.7109375" style="1086" bestFit="1" customWidth="1"/>
    <col min="29" max="30" width="13.7109375" style="1086" customWidth="1"/>
    <col min="31" max="32" width="7.5703125" style="2043" bestFit="1" customWidth="1"/>
    <col min="33" max="33" width="4" style="1086" customWidth="1"/>
    <col min="34" max="34" width="9.28515625" style="1086" bestFit="1" customWidth="1"/>
    <col min="35" max="35" width="8" style="1086" customWidth="1"/>
    <col min="36" max="36" width="3" style="1075" customWidth="1"/>
    <col min="37" max="37" width="9.5703125" style="1086" customWidth="1"/>
    <col min="38" max="38" width="9.85546875" style="1086" customWidth="1"/>
    <col min="39" max="39" width="4.42578125" style="865" customWidth="1"/>
    <col min="40" max="40" width="3.28515625" style="1854" customWidth="1"/>
    <col min="41" max="41" width="12.5703125" style="1086" customWidth="1"/>
    <col min="42" max="42" width="9.85546875" style="1075" customWidth="1"/>
    <col min="43" max="43" width="3.7109375" style="864" customWidth="1"/>
    <col min="44" max="44" width="12.5703125" style="1086" customWidth="1"/>
    <col min="45" max="45" width="9.85546875" style="1075" customWidth="1"/>
    <col min="46" max="16384" width="9.140625" style="864"/>
  </cols>
  <sheetData>
    <row r="1" spans="1:45">
      <c r="A1" s="1668"/>
      <c r="B1" s="1668"/>
      <c r="C1" s="1668"/>
      <c r="D1" s="1668"/>
      <c r="E1" s="1668"/>
      <c r="F1" s="1668"/>
      <c r="G1" s="1668"/>
      <c r="H1" s="1668"/>
      <c r="I1" s="1668"/>
      <c r="J1" s="1668"/>
      <c r="K1" s="1668"/>
      <c r="L1" s="1668"/>
      <c r="M1" s="1668"/>
      <c r="N1" s="1668"/>
      <c r="O1" s="1668"/>
      <c r="P1" s="1668"/>
      <c r="Q1" s="1668"/>
      <c r="R1" s="1668"/>
      <c r="S1" s="1668"/>
      <c r="T1" s="1668"/>
      <c r="U1" s="1668"/>
      <c r="V1" s="1668"/>
      <c r="W1" s="1668"/>
      <c r="X1" s="1668"/>
      <c r="Y1" s="1668"/>
      <c r="Z1" s="1668"/>
      <c r="AA1" s="1668"/>
    </row>
    <row r="2" spans="1:45">
      <c r="A2" s="1668"/>
      <c r="B2" s="1725" t="s">
        <v>84</v>
      </c>
      <c r="C2" s="1726"/>
      <c r="D2" s="1726"/>
      <c r="E2" s="1726"/>
      <c r="F2" s="1726"/>
      <c r="G2" s="1726"/>
      <c r="H2" s="1726"/>
      <c r="I2" s="1727"/>
      <c r="J2" s="1726"/>
      <c r="K2" s="1727"/>
      <c r="L2" s="1728"/>
      <c r="M2" s="1726"/>
      <c r="N2" s="1728"/>
      <c r="R2" s="1807"/>
      <c r="S2" s="1807"/>
      <c r="T2" s="1727">
        <f ca="1">+TODAY()</f>
        <v>46105</v>
      </c>
      <c r="U2" s="1729" t="s">
        <v>85</v>
      </c>
      <c r="V2" s="1730">
        <f ca="1">+VP!C20</f>
        <v>15.6</v>
      </c>
      <c r="W2" s="1730"/>
      <c r="X2" s="1731"/>
      <c r="Y2" s="1731"/>
      <c r="Z2" s="1731"/>
      <c r="AA2" s="1669"/>
      <c r="AC2" s="1849" t="s">
        <v>86</v>
      </c>
      <c r="AD2" s="1875"/>
      <c r="AH2" s="1849" t="s">
        <v>86</v>
      </c>
      <c r="AI2" s="1875"/>
      <c r="AK2" s="1849" t="s">
        <v>87</v>
      </c>
      <c r="AL2" s="1875"/>
      <c r="AN2" s="1855"/>
      <c r="AO2" s="1891" t="s">
        <v>88</v>
      </c>
      <c r="AP2" s="1849"/>
      <c r="AR2" s="1891" t="s">
        <v>89</v>
      </c>
      <c r="AS2" s="1849"/>
    </row>
    <row r="3" spans="1:45">
      <c r="A3" s="1670"/>
      <c r="B3" s="1732" t="s">
        <v>58</v>
      </c>
      <c r="C3" s="1733">
        <v>39447</v>
      </c>
      <c r="D3" s="1733">
        <f t="shared" ref="D3:M3" si="0">C3+365</f>
        <v>39812</v>
      </c>
      <c r="E3" s="1733">
        <f t="shared" si="0"/>
        <v>40177</v>
      </c>
      <c r="F3" s="1733">
        <f t="shared" si="0"/>
        <v>40542</v>
      </c>
      <c r="G3" s="1733">
        <f t="shared" si="0"/>
        <v>40907</v>
      </c>
      <c r="H3" s="1733">
        <f t="shared" si="0"/>
        <v>41272</v>
      </c>
      <c r="I3" s="1733">
        <f t="shared" si="0"/>
        <v>41637</v>
      </c>
      <c r="J3" s="1733">
        <f t="shared" si="0"/>
        <v>42002</v>
      </c>
      <c r="K3" s="1733">
        <f t="shared" si="0"/>
        <v>42367</v>
      </c>
      <c r="L3" s="1733">
        <f t="shared" si="0"/>
        <v>42732</v>
      </c>
      <c r="M3" s="1733">
        <f t="shared" si="0"/>
        <v>43097</v>
      </c>
      <c r="N3" s="1734">
        <v>2018</v>
      </c>
      <c r="O3" s="1734">
        <f t="shared" ref="O3:W3" si="1">+N3+1</f>
        <v>2019</v>
      </c>
      <c r="P3" s="1734">
        <f t="shared" si="1"/>
        <v>2020</v>
      </c>
      <c r="Q3" s="1734">
        <f t="shared" si="1"/>
        <v>2021</v>
      </c>
      <c r="R3" s="1734">
        <f t="shared" si="1"/>
        <v>2022</v>
      </c>
      <c r="S3" s="1734">
        <f t="shared" si="1"/>
        <v>2023</v>
      </c>
      <c r="T3" s="1734">
        <f t="shared" si="1"/>
        <v>2024</v>
      </c>
      <c r="U3" s="1734">
        <f t="shared" si="1"/>
        <v>2025</v>
      </c>
      <c r="V3" s="1734">
        <f t="shared" si="1"/>
        <v>2026</v>
      </c>
      <c r="W3" s="1734">
        <f t="shared" si="1"/>
        <v>2027</v>
      </c>
      <c r="X3" s="1734">
        <f t="shared" ref="X3" si="2">+W3+1</f>
        <v>2028</v>
      </c>
      <c r="Y3" s="1734">
        <f t="shared" ref="Y3" si="3">+X3+1</f>
        <v>2029</v>
      </c>
      <c r="Z3" s="1734">
        <f t="shared" ref="Z3" si="4">+Y3+1</f>
        <v>2030</v>
      </c>
      <c r="AA3" s="1669"/>
      <c r="AB3" s="1087"/>
      <c r="AC3" s="1876">
        <v>2025</v>
      </c>
      <c r="AD3" s="1876">
        <v>2026</v>
      </c>
      <c r="AE3" s="2044"/>
      <c r="AF3" s="2044"/>
      <c r="AG3" s="1087"/>
      <c r="AH3" s="1876">
        <v>2025</v>
      </c>
      <c r="AI3" s="1876">
        <v>2026</v>
      </c>
      <c r="AJ3" s="1076"/>
      <c r="AK3" s="1876">
        <v>2025</v>
      </c>
      <c r="AL3" s="1876">
        <v>2026</v>
      </c>
      <c r="AN3" s="1856"/>
      <c r="AO3" s="1876">
        <v>2025</v>
      </c>
      <c r="AP3" s="1876">
        <v>2026</v>
      </c>
      <c r="AR3" s="1876">
        <v>2025</v>
      </c>
      <c r="AS3" s="1876">
        <v>2026</v>
      </c>
    </row>
    <row r="4" spans="1:45" ht="15.75" thickBot="1">
      <c r="A4" s="1671"/>
      <c r="B4" s="1710" t="s">
        <v>90</v>
      </c>
      <c r="C4" s="641">
        <f>+PROJ!CX6</f>
        <v>1930939</v>
      </c>
      <c r="D4" s="641">
        <f>+PROJ!CY6</f>
        <v>2183007</v>
      </c>
      <c r="E4" s="641">
        <f>+PROJ!CZ6</f>
        <v>2363628</v>
      </c>
      <c r="F4" s="641">
        <f>+PROJ!DA6</f>
        <v>2751338</v>
      </c>
      <c r="G4" s="641">
        <f>+PROJ!DB6</f>
        <v>3238542</v>
      </c>
      <c r="H4" s="641">
        <f>+PROJ!DC6</f>
        <v>3862508</v>
      </c>
      <c r="I4" s="641">
        <f>+PROJ!DD6</f>
        <v>4370382</v>
      </c>
      <c r="J4" s="641">
        <f>+PROJ!DE6</f>
        <v>5216044</v>
      </c>
      <c r="K4" s="641">
        <f>+PROJ!DF6</f>
        <v>6145198</v>
      </c>
      <c r="L4" s="641">
        <f>+PROJ!DG6</f>
        <v>6451580</v>
      </c>
      <c r="M4" s="641">
        <f>+PROJ!DH6</f>
        <v>7444305</v>
      </c>
      <c r="N4" s="641">
        <f>+PROJ!DI6</f>
        <v>8426541</v>
      </c>
      <c r="O4" s="641">
        <f>+PROJ!DJ6</f>
        <v>9588437</v>
      </c>
      <c r="P4" s="641">
        <f>+PROJ!DK6</f>
        <v>7537180</v>
      </c>
      <c r="Q4" s="641">
        <f>+PROJ!DL6</f>
        <v>10571556.153020002</v>
      </c>
      <c r="R4" s="641">
        <f>+PROJ!DM6</f>
        <v>13271137</v>
      </c>
      <c r="S4" s="641">
        <f>+PROJ!DN6</f>
        <v>13647849</v>
      </c>
      <c r="T4" s="641">
        <f>+PROJ!DO6</f>
        <v>14436366</v>
      </c>
      <c r="U4" s="641">
        <f>+PROJ!DP6</f>
        <v>15816431.392458167</v>
      </c>
      <c r="V4" s="641">
        <f>+PROJ!DQ6</f>
        <v>16881175.703687701</v>
      </c>
      <c r="W4" s="641">
        <f>+PROJ!DR6</f>
        <v>18291874.718813274</v>
      </c>
      <c r="X4" s="641">
        <f>+PROJ!DS6</f>
        <v>19540187.190890469</v>
      </c>
      <c r="Y4" s="641">
        <f>+PROJ!DT6</f>
        <v>20873721.023767076</v>
      </c>
      <c r="Z4" s="641">
        <f>+PROJ!DU6</f>
        <v>22297185.574711569</v>
      </c>
      <c r="AA4" s="1669">
        <v>15837000</v>
      </c>
      <c r="AB4" s="1089" t="s">
        <v>91</v>
      </c>
      <c r="AC4" s="2040">
        <f>+AVERAGE(AH4,AK4,AO4,AR4)</f>
        <v>15291</v>
      </c>
      <c r="AD4" s="2040">
        <f>+AVERAGE(AI4,AL4,AP4,AS4)</f>
        <v>16260</v>
      </c>
      <c r="AE4" s="2059">
        <f>+(U4/1000)/AC4-1</f>
        <v>3.4362134095753616E-2</v>
      </c>
      <c r="AF4" s="2059">
        <f>+(V4/1000)/AD4-1</f>
        <v>3.8202687803671642E-2</v>
      </c>
      <c r="AH4" s="2022">
        <v>15291</v>
      </c>
      <c r="AI4" s="2022">
        <v>16260</v>
      </c>
      <c r="AJ4" s="1078"/>
      <c r="AK4" s="1877"/>
      <c r="AL4" s="1877"/>
      <c r="AN4" s="1857"/>
      <c r="AO4" s="1877"/>
      <c r="AP4" s="1098"/>
      <c r="AR4" s="2017"/>
      <c r="AS4" s="2017"/>
    </row>
    <row r="5" spans="1:45">
      <c r="A5" s="1668"/>
      <c r="B5" s="1719" t="s">
        <v>92</v>
      </c>
      <c r="C5" s="34"/>
      <c r="D5" s="113">
        <f t="shared" ref="D5:W5" si="5">+D4/C4-1</f>
        <v>0.13054166910503118</v>
      </c>
      <c r="E5" s="113">
        <f t="shared" si="5"/>
        <v>8.2739542291893731E-2</v>
      </c>
      <c r="F5" s="113">
        <f t="shared" si="5"/>
        <v>0.1640317342661366</v>
      </c>
      <c r="G5" s="113">
        <f t="shared" si="5"/>
        <v>0.17707893395867758</v>
      </c>
      <c r="H5" s="113">
        <f t="shared" si="5"/>
        <v>0.19266879972530848</v>
      </c>
      <c r="I5" s="113">
        <f t="shared" si="5"/>
        <v>0.1314881419015832</v>
      </c>
      <c r="J5" s="113">
        <f t="shared" si="5"/>
        <v>0.19349841730082185</v>
      </c>
      <c r="K5" s="113">
        <f t="shared" si="5"/>
        <v>0.17813385009789018</v>
      </c>
      <c r="L5" s="113">
        <f t="shared" si="5"/>
        <v>4.9857140485953355E-2</v>
      </c>
      <c r="M5" s="113">
        <f t="shared" si="5"/>
        <v>0.15387315975311466</v>
      </c>
      <c r="N5" s="113">
        <f t="shared" si="5"/>
        <v>0.13194462075371716</v>
      </c>
      <c r="O5" s="113">
        <f t="shared" si="5"/>
        <v>0.13788528412785261</v>
      </c>
      <c r="P5" s="113">
        <f t="shared" si="5"/>
        <v>-0.21393027873051673</v>
      </c>
      <c r="Q5" s="113">
        <f t="shared" si="5"/>
        <v>0.40258772551803212</v>
      </c>
      <c r="R5" s="113">
        <f t="shared" si="5"/>
        <v>0.25536267394358991</v>
      </c>
      <c r="S5" s="113">
        <f t="shared" si="5"/>
        <v>2.8385812006914035E-2</v>
      </c>
      <c r="T5" s="113">
        <f>+T4/S4-1</f>
        <v>5.7775917655595421E-2</v>
      </c>
      <c r="U5" s="113">
        <f t="shared" si="5"/>
        <v>9.5596453599068321E-2</v>
      </c>
      <c r="V5" s="113">
        <f t="shared" si="5"/>
        <v>6.7318871419835169E-2</v>
      </c>
      <c r="W5" s="113">
        <f t="shared" si="5"/>
        <v>8.3566396078526894E-2</v>
      </c>
      <c r="X5" s="113">
        <f t="shared" ref="X5" si="6">+X4/W4-1</f>
        <v>6.8244096970186519E-2</v>
      </c>
      <c r="Y5" s="113">
        <f t="shared" ref="Y5" si="7">+Y4/X4-1</f>
        <v>6.8245704089175518E-2</v>
      </c>
      <c r="Z5" s="113">
        <f t="shared" ref="Z5" si="8">+Z4/Y4-1</f>
        <v>6.8194096746033717E-2</v>
      </c>
      <c r="AA5" s="2061">
        <f>+AA4/T4-1</f>
        <v>9.7021230966297223E-2</v>
      </c>
      <c r="AB5" s="1089"/>
      <c r="AC5" s="1089"/>
      <c r="AD5" s="1089"/>
      <c r="AE5" s="2045"/>
      <c r="AF5" s="2045"/>
      <c r="AG5" s="1089"/>
      <c r="AH5" s="1878">
        <f>+AH4/($T4/1000)-1</f>
        <v>5.920007846850095E-2</v>
      </c>
      <c r="AI5" s="1217">
        <f>+AI4/AH4-1</f>
        <v>6.3370610162840846E-2</v>
      </c>
      <c r="AJ5" s="1076"/>
      <c r="AK5" s="1878"/>
      <c r="AL5" s="1878"/>
      <c r="AN5" s="1858"/>
      <c r="AO5" s="1878"/>
      <c r="AP5" s="1217"/>
      <c r="AR5" s="1878"/>
      <c r="AS5" s="1217"/>
    </row>
    <row r="6" spans="1:45">
      <c r="A6" s="1668"/>
      <c r="B6" s="1712" t="s">
        <v>93</v>
      </c>
      <c r="C6" s="34">
        <f>+FAT!CY30</f>
        <v>1751728</v>
      </c>
      <c r="D6" s="34">
        <f>+FAT!CZ30</f>
        <v>1956021</v>
      </c>
      <c r="E6" s="34">
        <f>+FAT!DA30</f>
        <v>2115969</v>
      </c>
      <c r="F6" s="34">
        <f>+FAT!DB30</f>
        <v>2462684</v>
      </c>
      <c r="G6" s="34">
        <f>+FAT!DC30</f>
        <v>2896616</v>
      </c>
      <c r="H6" s="34">
        <f>+FAT!DD30</f>
        <v>3461960</v>
      </c>
      <c r="I6" s="34">
        <f>+FAT!DE30</f>
        <v>3913806</v>
      </c>
      <c r="J6" s="34">
        <f>+FAT!DF30</f>
        <v>4642612</v>
      </c>
      <c r="K6" s="34">
        <f>+FAT!DG30</f>
        <v>5450852</v>
      </c>
      <c r="L6" s="34">
        <f>+FAT!DH30</f>
        <v>5721758</v>
      </c>
      <c r="M6" s="34">
        <f>+FAT!DI30</f>
        <v>6600073</v>
      </c>
      <c r="N6" s="34">
        <f>+FAT!DJ30</f>
        <v>7485433</v>
      </c>
      <c r="O6" s="34">
        <f>+FAT!DK30</f>
        <v>8474693</v>
      </c>
      <c r="P6" s="34">
        <f>+FAT!DL30</f>
        <v>6660571</v>
      </c>
      <c r="Q6" s="34">
        <f>+FAT!DM30</f>
        <v>9555726.4036200009</v>
      </c>
      <c r="R6" s="34">
        <f>+FAT!DN30</f>
        <v>11575795</v>
      </c>
      <c r="S6" s="34">
        <f>+FAT!DO30</f>
        <v>11706340</v>
      </c>
      <c r="T6" s="34">
        <f>+FAT!DP30</f>
        <v>12671950</v>
      </c>
      <c r="U6" s="34">
        <f>+FAT!DQ30</f>
        <v>13857673.739009095</v>
      </c>
      <c r="V6" s="34">
        <f>+FAT!DR30</f>
        <v>14860780.684938211</v>
      </c>
      <c r="W6" s="34">
        <f>+FAT!DS30</f>
        <v>16129238.936102465</v>
      </c>
      <c r="X6" s="34">
        <f>+FAT!DT30</f>
        <v>17370380.215569045</v>
      </c>
      <c r="Y6" s="34">
        <f>+FAT!DU30</f>
        <v>18695329.764494058</v>
      </c>
      <c r="Z6" s="34">
        <f>+FAT!DV30</f>
        <v>20109365.04613978</v>
      </c>
      <c r="AA6" s="1669"/>
      <c r="AC6" s="2040">
        <f>+AVERAGE(AH6,AK6,AO6,AR6)</f>
        <v>13710.833333333334</v>
      </c>
      <c r="AD6" s="2040">
        <f>+AVERAGE(AI6,AL6,AP6,AS6)</f>
        <v>14979.300000000001</v>
      </c>
      <c r="AE6" s="2059">
        <f>+(U6/1000)/AC6-1</f>
        <v>1.0709808959515676E-2</v>
      </c>
      <c r="AF6" s="2059">
        <f>+(V6/1000)/AD6-1</f>
        <v>-7.9122065157778421E-3</v>
      </c>
      <c r="AH6" s="1880"/>
      <c r="AI6" s="1880"/>
      <c r="AK6" s="2024">
        <v>13508</v>
      </c>
      <c r="AL6" s="2024">
        <v>14661</v>
      </c>
      <c r="AN6" s="1859"/>
      <c r="AO6" s="1877">
        <v>13711</v>
      </c>
      <c r="AP6" s="1098">
        <v>14976</v>
      </c>
      <c r="AR6" s="2017">
        <v>13913.5</v>
      </c>
      <c r="AS6" s="2017">
        <v>15300.9</v>
      </c>
    </row>
    <row r="7" spans="1:45">
      <c r="A7" s="1668"/>
      <c r="B7" s="1719" t="s">
        <v>92</v>
      </c>
      <c r="C7" s="34"/>
      <c r="D7" s="113">
        <f t="shared" ref="D7:W7" si="9">+D6/C6-1</f>
        <v>0.11662369956979624</v>
      </c>
      <c r="E7" s="113">
        <f t="shared" si="9"/>
        <v>8.177212821334745E-2</v>
      </c>
      <c r="F7" s="113">
        <f t="shared" si="9"/>
        <v>0.16385637029654032</v>
      </c>
      <c r="G7" s="113">
        <f t="shared" si="9"/>
        <v>0.17620287458723904</v>
      </c>
      <c r="H7" s="113">
        <f t="shared" si="9"/>
        <v>0.19517395471129073</v>
      </c>
      <c r="I7" s="113">
        <f t="shared" si="9"/>
        <v>0.13051739477059243</v>
      </c>
      <c r="J7" s="113">
        <f t="shared" si="9"/>
        <v>0.18621413529439113</v>
      </c>
      <c r="K7" s="113">
        <f t="shared" si="9"/>
        <v>0.17409165357777034</v>
      </c>
      <c r="L7" s="113">
        <f t="shared" si="9"/>
        <v>4.9699753359658372E-2</v>
      </c>
      <c r="M7" s="113">
        <f t="shared" si="9"/>
        <v>0.15350439497790713</v>
      </c>
      <c r="N7" s="113">
        <f t="shared" si="9"/>
        <v>0.13414397083183771</v>
      </c>
      <c r="O7" s="113">
        <f t="shared" si="9"/>
        <v>0.13215801944924221</v>
      </c>
      <c r="P7" s="113">
        <f t="shared" si="9"/>
        <v>-0.21406344749007422</v>
      </c>
      <c r="Q7" s="113">
        <f t="shared" si="9"/>
        <v>0.43467075174485803</v>
      </c>
      <c r="R7" s="113">
        <f t="shared" si="9"/>
        <v>0.21139874783509249</v>
      </c>
      <c r="S7" s="113">
        <f t="shared" si="9"/>
        <v>1.1277411184285935E-2</v>
      </c>
      <c r="T7" s="113">
        <f t="shared" si="9"/>
        <v>8.2486071650063053E-2</v>
      </c>
      <c r="U7" s="113">
        <f t="shared" si="9"/>
        <v>9.3570740020998855E-2</v>
      </c>
      <c r="V7" s="113">
        <f t="shared" si="9"/>
        <v>7.2386387847001243E-2</v>
      </c>
      <c r="W7" s="113">
        <f t="shared" si="9"/>
        <v>8.5356097910109785E-2</v>
      </c>
      <c r="X7" s="113">
        <f t="shared" ref="X7" si="10">+X6/W6-1</f>
        <v>7.6949773289581858E-2</v>
      </c>
      <c r="Y7" s="113">
        <f t="shared" ref="Y7" si="11">+Y6/X6-1</f>
        <v>7.6276370032330121E-2</v>
      </c>
      <c r="Z7" s="113">
        <f t="shared" ref="Z7" si="12">+Z6/Y6-1</f>
        <v>7.5635749647553263E-2</v>
      </c>
      <c r="AA7" s="1669"/>
      <c r="AC7" s="1878">
        <f>+AC6/($T6/1000)-1</f>
        <v>8.1982909760007994E-2</v>
      </c>
      <c r="AD7" s="1217">
        <f>+AD6/AC6-1</f>
        <v>9.2515650641220581E-2</v>
      </c>
      <c r="AK7" s="1878">
        <f>+AK6/($T6/1000)-1</f>
        <v>6.5976428252952246E-2</v>
      </c>
      <c r="AL7" s="1217">
        <f>+AL6/AK6-1</f>
        <v>8.5356825584838703E-2</v>
      </c>
      <c r="AO7" s="1878">
        <f>+AO6/($T6/1000)-1</f>
        <v>8.1996062168805839E-2</v>
      </c>
      <c r="AP7" s="1217">
        <f>+AP6/AO6-1</f>
        <v>9.2261687696010508E-2</v>
      </c>
      <c r="AR7" s="1878">
        <f>+AR6/($T6/1000)-1</f>
        <v>9.7976238858265674E-2</v>
      </c>
      <c r="AS7" s="1217">
        <f>+AS6/AR6-1</f>
        <v>9.9716103065368156E-2</v>
      </c>
    </row>
    <row r="8" spans="1:45">
      <c r="A8" s="1668"/>
      <c r="B8" s="1712" t="s">
        <v>94</v>
      </c>
      <c r="C8" s="34">
        <f>+FAT!CY21</f>
        <v>-9755</v>
      </c>
      <c r="D8" s="34">
        <f>+FAT!CZ21</f>
        <v>-13038</v>
      </c>
      <c r="E8" s="34">
        <f>+FAT!DA21</f>
        <v>-13703</v>
      </c>
      <c r="F8" s="34">
        <f>+FAT!DB21</f>
        <v>-17480.112691929098</v>
      </c>
      <c r="G8" s="34">
        <f>+FAT!DC21</f>
        <v>-20583.275751918132</v>
      </c>
      <c r="H8" s="34">
        <f>+FAT!DD21</f>
        <v>-24096.250878566832</v>
      </c>
      <c r="I8" s="34">
        <f>+FAT!DE21</f>
        <v>-27465.241137979436</v>
      </c>
      <c r="J8" s="34">
        <f>+FAT!DF21</f>
        <v>-34494.489655583166</v>
      </c>
      <c r="K8" s="34">
        <f>+FAT!DG21</f>
        <v>-41767.972594823863</v>
      </c>
      <c r="L8" s="34">
        <f>+FAT!DH21</f>
        <v>-43902.005603843281</v>
      </c>
      <c r="M8" s="34">
        <f>+FAT!DI21</f>
        <v>-71380</v>
      </c>
      <c r="N8" s="34">
        <f>+FAT!DJ34</f>
        <v>941108</v>
      </c>
      <c r="O8" s="34">
        <f>+FAT!DK34</f>
        <v>1113744</v>
      </c>
      <c r="P8" s="34">
        <f>+FAT!DL34</f>
        <v>876609</v>
      </c>
      <c r="Q8" s="34">
        <f>+FAT!DM34</f>
        <v>1015829.7494</v>
      </c>
      <c r="R8" s="34">
        <f>+FAT!DN34</f>
        <v>1695342</v>
      </c>
      <c r="S8" s="34">
        <f>+FAT!DO34</f>
        <v>1941509</v>
      </c>
      <c r="T8" s="34">
        <f>+FAT!DP34</f>
        <v>1764416</v>
      </c>
      <c r="U8" s="34">
        <f>+FAT!DQ34</f>
        <v>1958757.6534490702</v>
      </c>
      <c r="V8" s="34">
        <f>+FAT!DR34</f>
        <v>2020395.0187494897</v>
      </c>
      <c r="W8" s="34">
        <f>+FAT!DS34</f>
        <v>2162635.7827108097</v>
      </c>
      <c r="X8" s="34">
        <f>+FAT!DT34</f>
        <v>2169806.9753214237</v>
      </c>
      <c r="Y8" s="34">
        <f>+FAT!DU34</f>
        <v>2178391.2592730173</v>
      </c>
      <c r="Z8" s="34">
        <f>+FAT!DV34</f>
        <v>2187820.5285717905</v>
      </c>
      <c r="AA8" s="1669"/>
      <c r="AK8" s="1879"/>
      <c r="AL8" s="1879"/>
      <c r="AO8" s="1879"/>
      <c r="AP8" s="1851"/>
      <c r="AR8" s="1879"/>
      <c r="AS8" s="1851"/>
    </row>
    <row r="9" spans="1:45">
      <c r="A9" s="1668"/>
      <c r="B9" s="1719" t="s">
        <v>92</v>
      </c>
      <c r="C9" s="34"/>
      <c r="D9" s="113">
        <f t="shared" ref="D9:W9" si="13">+D8/C8-1</f>
        <v>0.33654536135315216</v>
      </c>
      <c r="E9" s="113">
        <f t="shared" si="13"/>
        <v>5.1004755330572138E-2</v>
      </c>
      <c r="F9" s="113">
        <f t="shared" si="13"/>
        <v>0.27564129693710115</v>
      </c>
      <c r="G9" s="113">
        <f t="shared" si="13"/>
        <v>0.17752534635670991</v>
      </c>
      <c r="H9" s="113">
        <f t="shared" si="13"/>
        <v>0.17067133380464616</v>
      </c>
      <c r="I9" s="113">
        <f t="shared" si="13"/>
        <v>0.13981387712099469</v>
      </c>
      <c r="J9" s="113">
        <f t="shared" si="13"/>
        <v>0.25593252512476794</v>
      </c>
      <c r="K9" s="113">
        <f t="shared" si="13"/>
        <v>0.21085927091150447</v>
      </c>
      <c r="L9" s="113">
        <f t="shared" si="13"/>
        <v>5.1092568694221852E-2</v>
      </c>
      <c r="M9" s="113">
        <f t="shared" si="13"/>
        <v>0.6258938291819458</v>
      </c>
      <c r="N9" s="113">
        <f t="shared" si="13"/>
        <v>-14.18447744466237</v>
      </c>
      <c r="O9" s="113">
        <f t="shared" si="13"/>
        <v>0.18343909519417534</v>
      </c>
      <c r="P9" s="113">
        <f t="shared" si="13"/>
        <v>-0.21291697194328318</v>
      </c>
      <c r="Q9" s="113">
        <f t="shared" si="13"/>
        <v>0.15881738540215751</v>
      </c>
      <c r="R9" s="113">
        <f t="shared" si="13"/>
        <v>0.66892336142090159</v>
      </c>
      <c r="S9" s="113">
        <f t="shared" si="13"/>
        <v>0.14520197104772969</v>
      </c>
      <c r="T9" s="113">
        <f t="shared" si="13"/>
        <v>-9.1214102020644727E-2</v>
      </c>
      <c r="U9" s="113">
        <f t="shared" si="13"/>
        <v>0.1101450301114193</v>
      </c>
      <c r="V9" s="113">
        <f t="shared" si="13"/>
        <v>3.1467581092477381E-2</v>
      </c>
      <c r="W9" s="113">
        <f t="shared" si="13"/>
        <v>7.0402452313191199E-2</v>
      </c>
      <c r="X9" s="113">
        <f t="shared" ref="X9" si="14">+X8/W8-1</f>
        <v>3.3159502251576267E-3</v>
      </c>
      <c r="Y9" s="113">
        <f t="shared" ref="Y9" si="15">+Y8/X8-1</f>
        <v>3.956243135554427E-3</v>
      </c>
      <c r="Z9" s="113">
        <f t="shared" ref="Z9" si="16">+Z8/Y8-1</f>
        <v>4.3285471600358338E-3</v>
      </c>
      <c r="AA9" s="1669"/>
    </row>
    <row r="10" spans="1:45">
      <c r="A10" s="1671"/>
      <c r="B10" s="1735" t="s">
        <v>95</v>
      </c>
      <c r="C10" s="1736">
        <f>+FAT!CY300</f>
        <v>8.5999999999999993E-2</v>
      </c>
      <c r="D10" s="1736">
        <f>+FAT!CZ300</f>
        <v>3.0970467314290873E-2</v>
      </c>
      <c r="E10" s="1736">
        <f>+FAT!DA300</f>
        <v>1.9657923913702191E-2</v>
      </c>
      <c r="F10" s="1736">
        <f>+FAT!DB300</f>
        <v>0.10374443280674216</v>
      </c>
      <c r="G10" s="1736">
        <f>+FAT!DC300</f>
        <v>7.2061826769005882E-2</v>
      </c>
      <c r="H10" s="1736">
        <f>+FAT!DD300</f>
        <v>9.0480664815161524E-2</v>
      </c>
      <c r="I10" s="1736">
        <f>+FAT!DE300</f>
        <v>5.8862533557048291E-2</v>
      </c>
      <c r="J10" s="1736">
        <f>+FAT!DF300</f>
        <v>0.11259132705939483</v>
      </c>
      <c r="K10" s="1736" t="str">
        <f>+FAT!DG300</f>
        <v>|</v>
      </c>
      <c r="L10" s="1736">
        <f>+FAT!DH300</f>
        <v>-1.385566399353741E-3</v>
      </c>
      <c r="M10" s="1736">
        <f>+FAT!DI300</f>
        <v>9.2915667139183644E-2</v>
      </c>
      <c r="N10" s="1736">
        <f>+FAT!DJ300</f>
        <v>7.5028473261124343E-2</v>
      </c>
      <c r="O10" s="1736">
        <f>+FAT!DK300</f>
        <v>8.6597379154041615E-2</v>
      </c>
      <c r="P10" s="1736">
        <f>+FAT!DL300</f>
        <v>-0.25731185360759279</v>
      </c>
      <c r="Q10" s="1736">
        <f>+FAT!DM300</f>
        <v>0.88516411481651103</v>
      </c>
      <c r="R10" s="1736">
        <f>+FAT!DN300</f>
        <v>0.22928408813841081</v>
      </c>
      <c r="S10" s="1736">
        <f>+FAT!DO300</f>
        <v>5.8411664103884845E-3</v>
      </c>
      <c r="T10" s="1736">
        <f>+FAT!DP300</f>
        <v>7.6655153198423712E-2</v>
      </c>
      <c r="U10" s="1736">
        <f>+FAT!DQ300</f>
        <v>7.7020535603743834E-2</v>
      </c>
      <c r="V10" s="1736">
        <f>+FAT!DR300</f>
        <v>3.2841153346644274E-2</v>
      </c>
      <c r="W10" s="1736">
        <f>+FAT!DS300</f>
        <v>5.7500000000000002E-2</v>
      </c>
      <c r="X10" s="1736">
        <f>+FAT!DT300</f>
        <v>4.9999999999999996E-2</v>
      </c>
      <c r="Y10" s="1736">
        <f>+FAT!DU300</f>
        <v>4.9999999999999996E-2</v>
      </c>
      <c r="Z10" s="1736">
        <f>+FAT!DV300</f>
        <v>4.9999999999999996E-2</v>
      </c>
      <c r="AA10" s="1669"/>
      <c r="AB10" s="1088"/>
      <c r="AC10" s="1088"/>
      <c r="AD10" s="1088"/>
      <c r="AE10" s="2046"/>
      <c r="AF10" s="2046"/>
      <c r="AG10" s="1088"/>
      <c r="AH10" s="1088"/>
      <c r="AI10" s="1088"/>
      <c r="AJ10" s="1078"/>
      <c r="AK10" s="1088"/>
      <c r="AL10" s="1088"/>
      <c r="AN10" s="1860"/>
      <c r="AO10" s="1088"/>
      <c r="AP10" s="1078"/>
      <c r="AR10" s="1088"/>
      <c r="AS10" s="1078"/>
    </row>
    <row r="11" spans="1:45">
      <c r="A11" s="1668"/>
      <c r="B11" s="1712" t="s">
        <v>96</v>
      </c>
      <c r="C11" s="1737">
        <f>+PROJ!CX7</f>
        <v>-906712</v>
      </c>
      <c r="D11" s="1737">
        <f>+PROJ!CY7</f>
        <v>-1022536</v>
      </c>
      <c r="E11" s="1737">
        <f>+PROJ!CZ7</f>
        <v>-1084911</v>
      </c>
      <c r="F11" s="1737">
        <f>+PROJ!DA7</f>
        <v>-1209458</v>
      </c>
      <c r="G11" s="1737">
        <f>+PROJ!DB7</f>
        <v>-1396128</v>
      </c>
      <c r="H11" s="1737">
        <f>+PROJ!DC7</f>
        <v>-1634247</v>
      </c>
      <c r="I11" s="1737">
        <f>+PROJ!DD7</f>
        <v>-1867642</v>
      </c>
      <c r="J11" s="1737">
        <f>+PROJ!DE7</f>
        <v>-2164764</v>
      </c>
      <c r="K11" s="1737">
        <f>+PROJ!DF7</f>
        <v>-2511352</v>
      </c>
      <c r="L11" s="1737">
        <f>+PROJ!DG7</f>
        <v>-2575083</v>
      </c>
      <c r="M11" s="1737">
        <f>+PROJ!DH7</f>
        <v>-2944913</v>
      </c>
      <c r="N11" s="1737">
        <f>+PROJ!DI7</f>
        <v>-3284517</v>
      </c>
      <c r="O11" s="1737">
        <f>+PROJ!DJ7</f>
        <v>-3730521</v>
      </c>
      <c r="P11" s="1737">
        <f>+PROJ!DK7</f>
        <v>-3223570</v>
      </c>
      <c r="Q11" s="1737">
        <f>+PROJ!DL7</f>
        <v>-4398891</v>
      </c>
      <c r="R11" s="1737">
        <f>+PROJ!DM7</f>
        <v>-5286322</v>
      </c>
      <c r="S11" s="1737">
        <f>+PROJ!DN7</f>
        <v>-5427247</v>
      </c>
      <c r="T11" s="1737">
        <f>+PROJ!DO7</f>
        <v>-5694417</v>
      </c>
      <c r="U11" s="1737">
        <f>+PROJ!DP7</f>
        <v>-6125494.3129123701</v>
      </c>
      <c r="V11" s="1737">
        <f>+PROJ!DQ7</f>
        <v>-6551947.9041774645</v>
      </c>
      <c r="W11" s="1737">
        <f>+PROJ!DR7</f>
        <v>-7111569.458745393</v>
      </c>
      <c r="X11" s="1737">
        <f>+PROJ!DS7</f>
        <v>-7660768.3260159483</v>
      </c>
      <c r="Y11" s="1737">
        <f>+PROJ!DT7</f>
        <v>-8247040.4743704069</v>
      </c>
      <c r="Z11" s="1737">
        <f>+PROJ!DU7</f>
        <v>-8872728.5424253847</v>
      </c>
      <c r="AA11" s="1669"/>
      <c r="AB11" s="1089"/>
      <c r="AC11" s="1089"/>
      <c r="AD11" s="1089"/>
      <c r="AE11" s="2045"/>
      <c r="AF11" s="2045"/>
      <c r="AG11" s="1089"/>
      <c r="AH11" s="1880"/>
      <c r="AI11" s="1880"/>
      <c r="AK11" s="1880"/>
      <c r="AL11" s="1880"/>
      <c r="AN11" s="1859"/>
      <c r="AO11" s="1880">
        <v>-6111</v>
      </c>
      <c r="AP11" s="1077">
        <v>-6644</v>
      </c>
      <c r="AR11" s="1880"/>
      <c r="AS11" s="1077"/>
    </row>
    <row r="12" spans="1:45">
      <c r="A12" s="1671"/>
      <c r="B12" s="1710" t="s">
        <v>97</v>
      </c>
      <c r="C12" s="641">
        <f>+PROJ!CX8</f>
        <v>1024227</v>
      </c>
      <c r="D12" s="641">
        <f>+PROJ!CY8</f>
        <v>1160471</v>
      </c>
      <c r="E12" s="641">
        <f>+PROJ!CZ8</f>
        <v>1278717</v>
      </c>
      <c r="F12" s="641">
        <f>+PROJ!DA8</f>
        <v>1541880</v>
      </c>
      <c r="G12" s="641">
        <f>+PROJ!DB8</f>
        <v>1842414</v>
      </c>
      <c r="H12" s="641">
        <f>+PROJ!DC8</f>
        <v>2228261</v>
      </c>
      <c r="I12" s="641">
        <f>+PROJ!DD8</f>
        <v>2502740</v>
      </c>
      <c r="J12" s="641">
        <f>+PROJ!DE8</f>
        <v>3051280</v>
      </c>
      <c r="K12" s="641">
        <f>+PROJ!DF8</f>
        <v>3633846</v>
      </c>
      <c r="L12" s="641">
        <f>+PROJ!DG8</f>
        <v>3876497</v>
      </c>
      <c r="M12" s="641">
        <f>+PROJ!DH8</f>
        <v>4499392</v>
      </c>
      <c r="N12" s="641">
        <f>+PROJ!DI8</f>
        <v>5142024</v>
      </c>
      <c r="O12" s="641">
        <f>+PROJ!DJ8</f>
        <v>5857916</v>
      </c>
      <c r="P12" s="641">
        <f>+PROJ!DK8</f>
        <v>4313610</v>
      </c>
      <c r="Q12" s="641">
        <f>+PROJ!DL8</f>
        <v>6172665.1530200019</v>
      </c>
      <c r="R12" s="641">
        <f>+PROJ!DM8</f>
        <v>7984815</v>
      </c>
      <c r="S12" s="641">
        <f>+PROJ!DN8</f>
        <v>8220602</v>
      </c>
      <c r="T12" s="641">
        <f>+PROJ!DO8</f>
        <v>8741949</v>
      </c>
      <c r="U12" s="641">
        <f>+PROJ!DP8</f>
        <v>9690937.0795457959</v>
      </c>
      <c r="V12" s="641">
        <f>+PROJ!DQ8</f>
        <v>10329227.799510237</v>
      </c>
      <c r="W12" s="641">
        <f>+PROJ!DR8</f>
        <v>11180305.26006788</v>
      </c>
      <c r="X12" s="641">
        <f>+PROJ!DS8</f>
        <v>11879418.864874519</v>
      </c>
      <c r="Y12" s="641">
        <f>+PROJ!DT8</f>
        <v>12626680.549396669</v>
      </c>
      <c r="Z12" s="641">
        <f>+PROJ!DU8</f>
        <v>13424457.032286184</v>
      </c>
      <c r="AA12" s="1669">
        <v>9783</v>
      </c>
      <c r="AB12" s="1091" t="s">
        <v>98</v>
      </c>
      <c r="AC12" s="2040">
        <f>+AVERAGE(AH12,AK12,AO12,AR12)</f>
        <v>7585.5666666666666</v>
      </c>
      <c r="AD12" s="2040">
        <f>+AVERAGE(AI12,AL12,AP12,AS12)</f>
        <v>8330.6999999999989</v>
      </c>
      <c r="AE12" s="2059">
        <f>+(U12/1000)/AC12-1</f>
        <v>0.27754952337717631</v>
      </c>
      <c r="AF12" s="2059">
        <f>+(V12/1000)/AD12-1</f>
        <v>0.23989914407075497</v>
      </c>
      <c r="AG12" s="1091"/>
      <c r="AH12" s="1881"/>
      <c r="AI12" s="1881"/>
      <c r="AJ12" s="1078"/>
      <c r="AK12" s="2038">
        <v>7474</v>
      </c>
      <c r="AL12" s="2039">
        <v>8196</v>
      </c>
      <c r="AN12" s="1861"/>
      <c r="AO12" s="1881">
        <f>+AO11+AO6</f>
        <v>7600</v>
      </c>
      <c r="AP12" s="1881">
        <f>+AP11+AP6</f>
        <v>8332</v>
      </c>
      <c r="AR12" s="2018">
        <v>7682.7</v>
      </c>
      <c r="AS12" s="2018">
        <v>8464.1</v>
      </c>
    </row>
    <row r="13" spans="1:45">
      <c r="A13" s="1674"/>
      <c r="B13" s="1713" t="s">
        <v>99</v>
      </c>
      <c r="C13" s="1738">
        <f t="shared" ref="C13:Z13" si="17">+C12/C4</f>
        <v>0.53042949570131426</v>
      </c>
      <c r="D13" s="1738">
        <f t="shared" si="17"/>
        <v>0.53159288999073295</v>
      </c>
      <c r="E13" s="1738">
        <f t="shared" si="17"/>
        <v>0.54099756814524114</v>
      </c>
      <c r="F13" s="1738">
        <f t="shared" si="17"/>
        <v>0.56041097095304171</v>
      </c>
      <c r="G13" s="1738">
        <f t="shared" si="17"/>
        <v>0.56890230233234584</v>
      </c>
      <c r="H13" s="1738">
        <f t="shared" si="17"/>
        <v>0.5768948569168012</v>
      </c>
      <c r="I13" s="1738">
        <f t="shared" si="17"/>
        <v>0.57265932360146088</v>
      </c>
      <c r="J13" s="1738">
        <f t="shared" si="17"/>
        <v>0.58497972793174291</v>
      </c>
      <c r="K13" s="1738">
        <f t="shared" si="17"/>
        <v>0.59133098721961441</v>
      </c>
      <c r="L13" s="1738">
        <f t="shared" si="17"/>
        <v>0.60086009938650686</v>
      </c>
      <c r="M13" s="1738">
        <f t="shared" si="17"/>
        <v>0.60440726165840863</v>
      </c>
      <c r="N13" s="1738">
        <f t="shared" si="17"/>
        <v>0.61021764446408078</v>
      </c>
      <c r="O13" s="1738">
        <f t="shared" si="17"/>
        <v>0.6109354423458172</v>
      </c>
      <c r="P13" s="1738">
        <f t="shared" si="17"/>
        <v>0.57231086427549827</v>
      </c>
      <c r="Q13" s="1738">
        <f t="shared" si="17"/>
        <v>0.58389371097997167</v>
      </c>
      <c r="R13" s="1738">
        <f t="shared" si="17"/>
        <v>0.60166773954635533</v>
      </c>
      <c r="S13" s="1738">
        <f t="shared" si="17"/>
        <v>0.60233682245458608</v>
      </c>
      <c r="T13" s="1738">
        <f t="shared" si="17"/>
        <v>0.60555052428014089</v>
      </c>
      <c r="U13" s="1738">
        <f t="shared" si="17"/>
        <v>0.61271324985273079</v>
      </c>
      <c r="V13" s="1738">
        <f t="shared" si="17"/>
        <v>0.61187846041160576</v>
      </c>
      <c r="W13" s="1738">
        <f t="shared" si="17"/>
        <v>0.61121702569769332</v>
      </c>
      <c r="X13" s="1738">
        <f t="shared" si="17"/>
        <v>0.60794805847165279</v>
      </c>
      <c r="Y13" s="1738">
        <f t="shared" si="17"/>
        <v>0.60490798621959996</v>
      </c>
      <c r="Z13" s="1738">
        <f t="shared" si="17"/>
        <v>0.60206957453462551</v>
      </c>
      <c r="AA13" s="1669">
        <f>1897-AA12</f>
        <v>-7886</v>
      </c>
      <c r="AB13" s="1086" t="s">
        <v>100</v>
      </c>
      <c r="AC13" s="2060">
        <f>+AC12/AC6</f>
        <v>0.55325350999817657</v>
      </c>
      <c r="AD13" s="2060">
        <f>+AD12/AD6</f>
        <v>0.55614748352726751</v>
      </c>
      <c r="AK13" s="2060">
        <f>+AK12/AK6</f>
        <v>0.55330174711282198</v>
      </c>
      <c r="AL13" s="2060">
        <f>+AL12/AL6</f>
        <v>0.55903417229384078</v>
      </c>
      <c r="AO13" s="2060">
        <f>+AO12/AO6</f>
        <v>0.55429946758077453</v>
      </c>
      <c r="AP13" s="2060">
        <f>+AP12/AP6</f>
        <v>0.55635683760683763</v>
      </c>
      <c r="AR13" s="2060">
        <f>+AR12/AR6</f>
        <v>0.55217594422683003</v>
      </c>
      <c r="AS13" s="2060">
        <f>+AS12/AS6</f>
        <v>0.55317661052617828</v>
      </c>
    </row>
    <row r="14" spans="1:45">
      <c r="A14" s="1674"/>
      <c r="B14" s="1713" t="s">
        <v>101</v>
      </c>
      <c r="C14" s="1738">
        <f>+FAT!CY54</f>
        <v>0.48238996008512736</v>
      </c>
      <c r="D14" s="1738">
        <f>+FAT!CZ54</f>
        <v>0.47723669633403731</v>
      </c>
      <c r="E14" s="1738">
        <f>+FAT!DA54</f>
        <v>0.50105696255474441</v>
      </c>
      <c r="F14" s="1738">
        <f>+FAT!DB54</f>
        <v>0.51988724497337047</v>
      </c>
      <c r="G14" s="1738">
        <f>+FAT!DC54</f>
        <v>0.52518663157284229</v>
      </c>
      <c r="H14" s="1738">
        <f>+FAT!DD54</f>
        <v>0.53309310332875015</v>
      </c>
      <c r="I14" s="1738">
        <f>+FAT!DE54</f>
        <v>0.52710813974938975</v>
      </c>
      <c r="J14" s="1738">
        <f>+FAT!DF54</f>
        <v>0.53837602625418624</v>
      </c>
      <c r="K14" s="1738">
        <f>+FAT!DG54</f>
        <v>0.54756063822683132</v>
      </c>
      <c r="L14" s="1738">
        <f>+FAT!DH54</f>
        <v>0.55666947116602972</v>
      </c>
      <c r="M14" s="1738">
        <f>+FAT!DI54</f>
        <v>0.55714398916496832</v>
      </c>
      <c r="N14" s="1738">
        <f>+FAT!DJ54</f>
        <v>0.56483506030980435</v>
      </c>
      <c r="O14" s="1738">
        <f>+FAT!DK54</f>
        <v>0.56254391752008004</v>
      </c>
      <c r="P14" s="1738">
        <f>+FAT!DL54</f>
        <v>0.51936418063856682</v>
      </c>
      <c r="Q14" s="1738">
        <f>+FAT!DM54</f>
        <v>0.54217127874834725</v>
      </c>
      <c r="R14" s="1738">
        <f>+FAT!DN54</f>
        <v>0.55283641425923657</v>
      </c>
      <c r="S14" s="1738">
        <f>+FAT!DO54</f>
        <v>0.54541205876473775</v>
      </c>
      <c r="T14" s="1738">
        <f>+FAT!DP54</f>
        <v>0.55364446671585665</v>
      </c>
      <c r="U14" s="1738">
        <f>+FAT!DQ54</f>
        <v>0.55681455283065173</v>
      </c>
      <c r="V14" s="1738">
        <f>+FAT!DR54</f>
        <v>0.55743364949692187</v>
      </c>
      <c r="W14" s="1738">
        <f>+FAT!DS54</f>
        <v>0.55743364949692187</v>
      </c>
      <c r="X14" s="1738">
        <f>+FAT!DT54</f>
        <v>0.55743364949692187</v>
      </c>
      <c r="Y14" s="1738">
        <f>+FAT!DU54</f>
        <v>0.55743364949692187</v>
      </c>
      <c r="Z14" s="1738">
        <f>+FAT!DV54</f>
        <v>0.55743364949692187</v>
      </c>
      <c r="AA14" s="1669">
        <v>-13212000</v>
      </c>
      <c r="AB14" s="1089"/>
      <c r="AC14" s="1089"/>
      <c r="AD14" s="1089"/>
      <c r="AE14" s="2045"/>
      <c r="AF14" s="2045"/>
      <c r="AG14" s="1089"/>
      <c r="AH14" s="1090"/>
      <c r="AI14" s="1090"/>
      <c r="AJ14" s="1079"/>
      <c r="AK14" s="1882"/>
      <c r="AL14" s="1882"/>
      <c r="AN14" s="1862"/>
      <c r="AO14" s="1882"/>
      <c r="AP14" s="1850"/>
      <c r="AR14" s="1882"/>
      <c r="AS14" s="1850"/>
    </row>
    <row r="15" spans="1:45">
      <c r="A15" s="1668"/>
      <c r="B15" s="1712" t="s">
        <v>102</v>
      </c>
      <c r="C15" s="1737">
        <f>+PROJ!CX10</f>
        <v>-823249</v>
      </c>
      <c r="D15" s="1737">
        <f>+PROJ!CY10</f>
        <v>-960711</v>
      </c>
      <c r="E15" s="1737">
        <f>+PROJ!CZ10</f>
        <v>-1008098</v>
      </c>
      <c r="F15" s="1737">
        <f>+PROJ!DA10</f>
        <v>-1130353</v>
      </c>
      <c r="G15" s="1737">
        <f>+PROJ!DB10</f>
        <v>-1366159</v>
      </c>
      <c r="H15" s="1737">
        <f>+PROJ!DC10</f>
        <v>-1669011</v>
      </c>
      <c r="I15" s="1737">
        <f>+PROJ!DD10</f>
        <v>-1852306</v>
      </c>
      <c r="J15" s="1737">
        <f>+PROJ!DE10</f>
        <v>-2060398.2110000001</v>
      </c>
      <c r="K15" s="1737">
        <f>+PROJ!DF10</f>
        <v>-2700592.7764400002</v>
      </c>
      <c r="L15" s="1737">
        <f>+PROJ!DG10</f>
        <v>-2900806</v>
      </c>
      <c r="M15" s="1737">
        <f>+PROJ!DH10</f>
        <v>-3412153</v>
      </c>
      <c r="N15" s="1737">
        <f>+PROJ!DI10</f>
        <v>-3718202.3525900003</v>
      </c>
      <c r="O15" s="1737">
        <f>+PROJ!DJ10</f>
        <v>-4181537</v>
      </c>
      <c r="P15" s="1737">
        <f>+PROJ!DK10</f>
        <v>-3456731</v>
      </c>
      <c r="Q15" s="1737">
        <f>+PROJ!DL10</f>
        <v>-5358434</v>
      </c>
      <c r="R15" s="1737">
        <f>+PROJ!DM10</f>
        <v>-6577415</v>
      </c>
      <c r="S15" s="1737">
        <f>+PROJ!DN10</f>
        <v>-7331525</v>
      </c>
      <c r="T15" s="1737">
        <f>+PROJ!DO10</f>
        <v>-7482606</v>
      </c>
      <c r="U15" s="1737">
        <f>+PROJ!DP10</f>
        <v>-7935553.0928387139</v>
      </c>
      <c r="V15" s="1737">
        <f>+PROJ!DQ10</f>
        <v>-8620910.2815884948</v>
      </c>
      <c r="W15" s="1737">
        <f>+PROJ!DR10</f>
        <v>-8834921.5107636414</v>
      </c>
      <c r="X15" s="1737">
        <f>+PROJ!DS10</f>
        <v>-9249750.8705707639</v>
      </c>
      <c r="Y15" s="1737">
        <f>+PROJ!DT10</f>
        <v>-9711825.3716966063</v>
      </c>
      <c r="Z15" s="1737">
        <f>+PROJ!DU10</f>
        <v>-10214422.58274707</v>
      </c>
      <c r="AA15" s="1669">
        <v>-1172000</v>
      </c>
      <c r="AB15" s="1088" t="s">
        <v>102</v>
      </c>
      <c r="AC15" s="2040">
        <f>+AVERAGE(AH15,AK15,AO15,AR15)</f>
        <v>-6019.4666666666672</v>
      </c>
      <c r="AD15" s="2040">
        <f>+AVERAGE(AI15,AL15,AP15,AS15)</f>
        <v>-6508</v>
      </c>
      <c r="AE15" s="2059">
        <f>+(U15/1000)/AC15-1</f>
        <v>0.31831498241904832</v>
      </c>
      <c r="AF15" s="2059">
        <f>+(V15/1000)/AD15-1</f>
        <v>0.32466353435594564</v>
      </c>
      <c r="AG15" s="1088"/>
      <c r="AH15" s="1883"/>
      <c r="AI15" s="1883"/>
      <c r="AJ15" s="1078"/>
      <c r="AK15" s="1883">
        <f>+AK17-AK12</f>
        <v>-6085</v>
      </c>
      <c r="AL15" s="1883">
        <f>+AL17-AL12</f>
        <v>-6594</v>
      </c>
      <c r="AN15" s="1863"/>
      <c r="AO15" s="1883">
        <f>+AO17-AO12</f>
        <v>-5916</v>
      </c>
      <c r="AP15" s="1883">
        <f>+AP17-AP12</f>
        <v>-6400</v>
      </c>
      <c r="AR15" s="1883">
        <f>+AR17-AR12</f>
        <v>-6057.4</v>
      </c>
      <c r="AS15" s="1883">
        <f>+AS17-AS12</f>
        <v>-6530</v>
      </c>
    </row>
    <row r="16" spans="1:45">
      <c r="A16" s="1668"/>
      <c r="B16" s="1719" t="s">
        <v>103</v>
      </c>
      <c r="C16" s="1737"/>
      <c r="D16" s="1737"/>
      <c r="E16" s="1737"/>
      <c r="F16" s="1737"/>
      <c r="G16" s="1737"/>
      <c r="H16" s="1737"/>
      <c r="I16" s="1737"/>
      <c r="J16" s="1737"/>
      <c r="K16" s="1737"/>
      <c r="L16" s="1737"/>
      <c r="M16" s="1737"/>
      <c r="N16" s="1739">
        <f t="shared" ref="N16:Z16" si="18">+N15/N4</f>
        <v>-0.44124894812592741</v>
      </c>
      <c r="O16" s="1739">
        <f t="shared" si="18"/>
        <v>-0.43610204666307972</v>
      </c>
      <c r="P16" s="1739">
        <f t="shared" si="18"/>
        <v>-0.45862391504514949</v>
      </c>
      <c r="Q16" s="1739">
        <f t="shared" si="18"/>
        <v>-0.50687277468315228</v>
      </c>
      <c r="R16" s="1739">
        <f t="shared" si="18"/>
        <v>-0.49561804689379668</v>
      </c>
      <c r="S16" s="1739">
        <f t="shared" si="18"/>
        <v>-0.53719271073412378</v>
      </c>
      <c r="T16" s="1739">
        <f t="shared" si="18"/>
        <v>-0.51831645166103435</v>
      </c>
      <c r="U16" s="1739">
        <f t="shared" si="18"/>
        <v>-0.50172841748756714</v>
      </c>
      <c r="V16" s="1739">
        <f t="shared" si="18"/>
        <v>-0.51068186439794316</v>
      </c>
      <c r="W16" s="1739">
        <f t="shared" si="18"/>
        <v>-0.48299704904915436</v>
      </c>
      <c r="X16" s="1739">
        <f t="shared" si="18"/>
        <v>-0.4733706376611862</v>
      </c>
      <c r="Y16" s="1739">
        <f t="shared" si="18"/>
        <v>-0.46526564960021272</v>
      </c>
      <c r="Z16" s="1739">
        <f t="shared" si="18"/>
        <v>-0.45810367180743178</v>
      </c>
      <c r="AA16" s="1669">
        <f>+AA15+AA14</f>
        <v>-14384000</v>
      </c>
      <c r="AB16" s="1088"/>
      <c r="AC16" s="1088"/>
      <c r="AD16" s="1088"/>
      <c r="AE16" s="2046"/>
      <c r="AF16" s="2046"/>
      <c r="AG16" s="1088"/>
      <c r="AH16" s="1883"/>
      <c r="AI16" s="1883"/>
      <c r="AJ16" s="1078"/>
      <c r="AK16" s="1883"/>
      <c r="AL16" s="1883"/>
      <c r="AN16" s="1863"/>
      <c r="AO16" s="1883"/>
      <c r="AP16" s="1080"/>
      <c r="AR16" s="1883"/>
      <c r="AS16" s="1080"/>
    </row>
    <row r="17" spans="1:45" s="1154" customFormat="1" ht="15.75" thickBot="1">
      <c r="A17" s="1671"/>
      <c r="B17" s="1710" t="s">
        <v>104</v>
      </c>
      <c r="C17" s="1779">
        <f>+PROJ!CX17</f>
        <v>200978</v>
      </c>
      <c r="D17" s="1779">
        <f>+PROJ!CY17</f>
        <v>199760</v>
      </c>
      <c r="E17" s="1779">
        <f>+PROJ!CZ17</f>
        <v>270619</v>
      </c>
      <c r="F17" s="1779">
        <f>+PROJ!DA17</f>
        <v>411527</v>
      </c>
      <c r="G17" s="1779">
        <f>+PROJ!DB17</f>
        <v>476255.00000000012</v>
      </c>
      <c r="H17" s="1779">
        <f>+PROJ!DC17</f>
        <v>559250.00000000012</v>
      </c>
      <c r="I17" s="1779">
        <f>+PROJ!DD17</f>
        <v>650434.00000000012</v>
      </c>
      <c r="J17" s="1779">
        <f>+PROJ!DE17</f>
        <v>990881.78900000022</v>
      </c>
      <c r="K17" s="1779">
        <f>+PROJ!DF17</f>
        <v>933253.22356000019</v>
      </c>
      <c r="L17" s="1779">
        <f>+PROJ!DG17</f>
        <v>975691</v>
      </c>
      <c r="M17" s="1779">
        <f>+PROJ!DH17</f>
        <v>1087239</v>
      </c>
      <c r="N17" s="1779">
        <f>+PROJ!DI17</f>
        <v>1423821.6474099997</v>
      </c>
      <c r="O17" s="1779">
        <f>+PROJ!DJ17</f>
        <v>1676379</v>
      </c>
      <c r="P17" s="1779">
        <f>+PROJ!DK17</f>
        <v>856879</v>
      </c>
      <c r="Q17" s="1779">
        <f>+PROJ!DL17</f>
        <v>814231.15302000195</v>
      </c>
      <c r="R17" s="1779">
        <f>+PROJ!DM17</f>
        <v>1407400</v>
      </c>
      <c r="S17" s="1779">
        <f>+PROJ!DN17</f>
        <v>889077</v>
      </c>
      <c r="T17" s="1779">
        <f>+PROJ!DO17</f>
        <v>1259343</v>
      </c>
      <c r="U17" s="1779">
        <f>+PROJ!DP17</f>
        <v>1755383.986707082</v>
      </c>
      <c r="V17" s="1779">
        <f>+PROJ!DQ17</f>
        <v>1708317.5179217421</v>
      </c>
      <c r="W17" s="1779">
        <f>+PROJ!DR17</f>
        <v>2345383.7493042387</v>
      </c>
      <c r="X17" s="1779">
        <f>+PROJ!DS17</f>
        <v>2629667.9943037555</v>
      </c>
      <c r="Y17" s="1779">
        <f>+PROJ!DT17</f>
        <v>2914855.1777000632</v>
      </c>
      <c r="Z17" s="1779">
        <f>+PROJ!DU17</f>
        <v>3210034.4495391138</v>
      </c>
      <c r="AA17" s="1669"/>
      <c r="AB17" s="1091" t="s">
        <v>105</v>
      </c>
      <c r="AC17" s="2040">
        <f t="shared" ref="AC17:AD20" si="19">+AVERAGE(AH17,AK17,AO17,AR17)</f>
        <v>1575.325</v>
      </c>
      <c r="AD17" s="2040">
        <f t="shared" si="19"/>
        <v>1839.7750000000001</v>
      </c>
      <c r="AE17" s="2059">
        <f>+(U17/1000)/AC17-1</f>
        <v>0.11429958053549694</v>
      </c>
      <c r="AF17" s="2059">
        <f>+(V17/1000)/AD17-1</f>
        <v>-7.1453021200015177E-2</v>
      </c>
      <c r="AG17" s="1091"/>
      <c r="AH17" s="2023">
        <v>1603</v>
      </c>
      <c r="AI17" s="2023">
        <v>1891</v>
      </c>
      <c r="AJ17" s="1078"/>
      <c r="AK17" s="2024">
        <v>1389</v>
      </c>
      <c r="AL17" s="2024">
        <v>1602</v>
      </c>
      <c r="AM17" s="1153"/>
      <c r="AN17" s="1863"/>
      <c r="AO17" s="1883">
        <v>1684</v>
      </c>
      <c r="AP17" s="1080">
        <v>1932</v>
      </c>
      <c r="AR17" s="2019">
        <v>1625.3</v>
      </c>
      <c r="AS17" s="2019">
        <v>1934.1</v>
      </c>
    </row>
    <row r="18" spans="1:45">
      <c r="A18" s="1668"/>
      <c r="B18" s="1712" t="s">
        <v>106</v>
      </c>
      <c r="C18" s="1737">
        <f>+PROJ!CX18</f>
        <v>-14000</v>
      </c>
      <c r="D18" s="1737">
        <f>+PROJ!CY18</f>
        <v>-6200</v>
      </c>
      <c r="E18" s="1737">
        <f>+PROJ!CZ18</f>
        <v>-11800.000000000002</v>
      </c>
      <c r="F18" s="1737">
        <f>+PROJ!DA18</f>
        <v>16538</v>
      </c>
      <c r="G18" s="1737">
        <f>+PROJ!DB18</f>
        <v>5913.0000000000036</v>
      </c>
      <c r="H18" s="1737">
        <f>+PROJ!DC18</f>
        <v>-50430</v>
      </c>
      <c r="I18" s="1737">
        <f>+PROJ!DD18</f>
        <v>-67724</v>
      </c>
      <c r="J18" s="1737">
        <f>+PROJ!DE18</f>
        <v>-93874</v>
      </c>
      <c r="K18" s="1737">
        <f>+PROJ!DF18</f>
        <v>-104586</v>
      </c>
      <c r="L18" s="1737">
        <f>+PROJ!DG18</f>
        <v>-103310</v>
      </c>
      <c r="M18" s="1737">
        <f>+PROJ!DH18</f>
        <v>-83101</v>
      </c>
      <c r="N18" s="1737">
        <f>+PROJ!DI18</f>
        <v>-53628</v>
      </c>
      <c r="O18" s="1737">
        <f>+PROJ!DJ18</f>
        <v>-184395</v>
      </c>
      <c r="P18" s="1737">
        <f>+PROJ!DK18</f>
        <v>343852</v>
      </c>
      <c r="Q18" s="1737">
        <f>+PROJ!DL18</f>
        <v>-174091</v>
      </c>
      <c r="R18" s="1737">
        <f>+PROJ!DM18</f>
        <v>-23116</v>
      </c>
      <c r="S18" s="1737">
        <f>+PROJ!DN18</f>
        <v>-48410</v>
      </c>
      <c r="T18" s="1737">
        <f>+PROJ!DO18</f>
        <v>61654</v>
      </c>
      <c r="U18" s="1737">
        <f>+PROJ!DP18</f>
        <v>-118136.61815811953</v>
      </c>
      <c r="V18" s="1737">
        <f>+PROJ!DQ18</f>
        <v>-142220.97585598368</v>
      </c>
      <c r="W18" s="1737">
        <f>+PROJ!DR18</f>
        <v>-97684.773259753856</v>
      </c>
      <c r="X18" s="1737">
        <f>+PROJ!DS18</f>
        <v>-17676.055809772573</v>
      </c>
      <c r="Y18" s="1737">
        <f>+PROJ!DT18</f>
        <v>-1470.030773931765</v>
      </c>
      <c r="Z18" s="1737">
        <f>+PROJ!DU18</f>
        <v>3980.9084698291845</v>
      </c>
      <c r="AA18" s="1669"/>
      <c r="AC18" s="2040">
        <f t="shared" si="19"/>
        <v>-26.324999999999989</v>
      </c>
      <c r="AD18" s="2040">
        <f t="shared" si="19"/>
        <v>-5.8499999999999659</v>
      </c>
      <c r="AH18" s="1884">
        <f>+AH19-AH17</f>
        <v>41</v>
      </c>
      <c r="AI18" s="1884">
        <f>+AI19-AI17</f>
        <v>77</v>
      </c>
      <c r="AJ18" s="1078"/>
      <c r="AK18" s="1884">
        <f>+AK19-AK17</f>
        <v>30</v>
      </c>
      <c r="AL18" s="1884">
        <f>+AL19-AL17</f>
        <v>56</v>
      </c>
      <c r="AN18" s="1864"/>
      <c r="AO18" s="1884">
        <v>-87</v>
      </c>
      <c r="AP18" s="1081">
        <v>-73</v>
      </c>
      <c r="AR18" s="1884">
        <f>+AR19-AR17</f>
        <v>-89.299999999999955</v>
      </c>
      <c r="AS18" s="1884">
        <f>+AS19-AS17</f>
        <v>-83.399999999999864</v>
      </c>
    </row>
    <row r="19" spans="1:45" ht="15.75" thickBot="1">
      <c r="A19" s="1671"/>
      <c r="B19" s="1710" t="s">
        <v>107</v>
      </c>
      <c r="C19" s="641" t="e">
        <f>+PROJ!#REF!</f>
        <v>#REF!</v>
      </c>
      <c r="D19" s="641" t="e">
        <f>+PROJ!#REF!</f>
        <v>#REF!</v>
      </c>
      <c r="E19" s="641" t="e">
        <f>+PROJ!#REF!</f>
        <v>#REF!</v>
      </c>
      <c r="F19" s="641" t="e">
        <f>+PROJ!#REF!</f>
        <v>#REF!</v>
      </c>
      <c r="G19" s="641" t="e">
        <f>+PROJ!#REF!</f>
        <v>#REF!</v>
      </c>
      <c r="H19" s="641" t="e">
        <f>+PROJ!#REF!</f>
        <v>#REF!</v>
      </c>
      <c r="I19" s="641" t="e">
        <f>+PROJ!#REF!</f>
        <v>#REF!</v>
      </c>
      <c r="J19" s="641" t="e">
        <f>+PROJ!#REF!</f>
        <v>#REF!</v>
      </c>
      <c r="K19" s="641" t="e">
        <f>+PROJ!#REF!</f>
        <v>#REF!</v>
      </c>
      <c r="L19" s="641" t="e">
        <f>+PROJ!#REF!</f>
        <v>#REF!</v>
      </c>
      <c r="M19" s="641" t="e">
        <f>+PROJ!#REF!</f>
        <v>#REF!</v>
      </c>
      <c r="N19" s="641">
        <f>+PROJ!DI22</f>
        <v>1370193.6474099997</v>
      </c>
      <c r="O19" s="641">
        <f>+PROJ!DJ22</f>
        <v>1491984</v>
      </c>
      <c r="P19" s="641">
        <f>+PROJ!DK22</f>
        <v>1200731</v>
      </c>
      <c r="Q19" s="641">
        <f>+PROJ!DL22</f>
        <v>640140.15302000195</v>
      </c>
      <c r="R19" s="641">
        <f>+PROJ!DM22</f>
        <v>1384284</v>
      </c>
      <c r="S19" s="641">
        <f>+PROJ!DN22</f>
        <v>840667</v>
      </c>
      <c r="T19" s="641">
        <f>+PROJ!DO22</f>
        <v>1320997</v>
      </c>
      <c r="U19" s="641">
        <f>+PROJ!DP22</f>
        <v>1637247.3685489625</v>
      </c>
      <c r="V19" s="641">
        <f>+PROJ!DQ22</f>
        <v>1566096.5420657583</v>
      </c>
      <c r="W19" s="641">
        <f>+PROJ!DR22</f>
        <v>2247698.9760444849</v>
      </c>
      <c r="X19" s="641">
        <f>+PROJ!DS22</f>
        <v>2611991.9384939829</v>
      </c>
      <c r="Y19" s="641">
        <f>+PROJ!DT22</f>
        <v>2913385.1469261316</v>
      </c>
      <c r="Z19" s="641">
        <f>+PROJ!DU22</f>
        <v>3214015.358008943</v>
      </c>
      <c r="AA19" s="1669"/>
      <c r="AC19" s="2040">
        <f t="shared" si="19"/>
        <v>1549</v>
      </c>
      <c r="AD19" s="2040">
        <f t="shared" si="19"/>
        <v>1833.925</v>
      </c>
      <c r="AE19" s="2059">
        <f>+(U19/1000)/AC19-1</f>
        <v>5.69705413485877E-2</v>
      </c>
      <c r="AF19" s="2059">
        <f>+(V19/1000)/AD19-1</f>
        <v>-0.14604111833048883</v>
      </c>
      <c r="AH19" s="2023">
        <v>1644</v>
      </c>
      <c r="AI19" s="2023">
        <v>1968</v>
      </c>
      <c r="AK19" s="2027">
        <v>1419</v>
      </c>
      <c r="AL19" s="2027">
        <v>1658</v>
      </c>
      <c r="AO19" s="2021">
        <f>+AO18+AO17</f>
        <v>1597</v>
      </c>
      <c r="AP19" s="2021">
        <f>+AP18+AP17</f>
        <v>1859</v>
      </c>
      <c r="AR19" s="2018">
        <v>1536</v>
      </c>
      <c r="AS19" s="2018">
        <v>1850.7</v>
      </c>
    </row>
    <row r="20" spans="1:45">
      <c r="A20" s="1668"/>
      <c r="B20" s="1712" t="s">
        <v>108</v>
      </c>
      <c r="C20" s="1737">
        <f>+PROJ!CX23</f>
        <v>-57055</v>
      </c>
      <c r="D20" s="1737">
        <f>+PROJ!CY23</f>
        <v>-62750</v>
      </c>
      <c r="E20" s="1737">
        <f>+PROJ!CZ23</f>
        <v>-82278</v>
      </c>
      <c r="F20" s="1737">
        <f>+PROJ!DA23</f>
        <v>-123743</v>
      </c>
      <c r="G20" s="1737">
        <f>+PROJ!DB23</f>
        <v>-138486</v>
      </c>
      <c r="H20" s="1737">
        <f>+PROJ!DC23</f>
        <v>-153420</v>
      </c>
      <c r="I20" s="1737">
        <f>+PROJ!DD23</f>
        <v>-175310</v>
      </c>
      <c r="J20" s="1737">
        <f>+PROJ!DE23</f>
        <v>-236755</v>
      </c>
      <c r="K20" s="1737">
        <f>+PROJ!DF23</f>
        <v>-249828.78220000002</v>
      </c>
      <c r="L20" s="1737">
        <f>+PROJ!DG23</f>
        <v>-247321</v>
      </c>
      <c r="M20" s="1737">
        <f>+PROJ!DH23</f>
        <v>-271458</v>
      </c>
      <c r="N20" s="1737">
        <f>+PROJ!DI23</f>
        <v>-350056.98006999999</v>
      </c>
      <c r="O20" s="1737">
        <f>+PROJ!DJ23</f>
        <v>-405781</v>
      </c>
      <c r="P20" s="1737">
        <f>+PROJ!DK23</f>
        <v>-104492</v>
      </c>
      <c r="Q20" s="1737">
        <f>+PROJ!DL23</f>
        <v>-6741</v>
      </c>
      <c r="R20" s="1737">
        <f>+PROJ!DM23</f>
        <v>-92581</v>
      </c>
      <c r="S20" s="1737">
        <f>+PROJ!DN23</f>
        <v>135592</v>
      </c>
      <c r="T20" s="1737">
        <f>+PROJ!DO23</f>
        <v>-124329</v>
      </c>
      <c r="U20" s="1737">
        <f>+PROJ!DP23</f>
        <v>-250429.44812287681</v>
      </c>
      <c r="V20" s="1737">
        <f>+PROJ!DQ23</f>
        <v>-231632.59968541306</v>
      </c>
      <c r="W20" s="1737">
        <f>+PROJ!DR23</f>
        <v>-452941.69117659039</v>
      </c>
      <c r="X20" s="1737">
        <f>+PROJ!DS23</f>
        <v>-551932.81385679112</v>
      </c>
      <c r="Y20" s="1737">
        <f>+PROJ!DT23</f>
        <v>-626902.86797785026</v>
      </c>
      <c r="Z20" s="1737">
        <f>+PROJ!DU23</f>
        <v>-698593.57212518039</v>
      </c>
      <c r="AA20" s="1669"/>
      <c r="AB20" s="1089"/>
      <c r="AC20" s="2040">
        <f t="shared" si="19"/>
        <v>-205.27499999999998</v>
      </c>
      <c r="AD20" s="2040">
        <f t="shared" si="19"/>
        <v>-288.65000000000003</v>
      </c>
      <c r="AE20" s="2059">
        <f>+(U20/1000)/AC20-1</f>
        <v>0.2199705181969398</v>
      </c>
      <c r="AF20" s="2059">
        <f>+(V20/1000)/AD20-1</f>
        <v>-0.19753126732924642</v>
      </c>
      <c r="AG20" s="1089"/>
      <c r="AH20" s="1884">
        <f>+AH22-AH19</f>
        <v>-213</v>
      </c>
      <c r="AI20" s="1884">
        <f>+AI22-AI19</f>
        <v>-319</v>
      </c>
      <c r="AK20" s="1884">
        <f>+AK22-AK19</f>
        <v>-185</v>
      </c>
      <c r="AL20" s="1884">
        <f>+AL22-AL19</f>
        <v>-249</v>
      </c>
      <c r="AN20" s="1864"/>
      <c r="AO20" s="1884">
        <f>+AO22-AO19</f>
        <v>-162</v>
      </c>
      <c r="AP20" s="1884">
        <f>+AP22-AP19</f>
        <v>-272</v>
      </c>
      <c r="AR20" s="1884">
        <f>+AR22-AR19</f>
        <v>-261.09999999999991</v>
      </c>
      <c r="AS20" s="1884">
        <f>+AS22-AS19</f>
        <v>-314.60000000000014</v>
      </c>
    </row>
    <row r="21" spans="1:45" s="2037" customFormat="1">
      <c r="A21" s="2029"/>
      <c r="B21" s="2030" t="s">
        <v>109</v>
      </c>
      <c r="C21" s="2031"/>
      <c r="D21" s="2031"/>
      <c r="E21" s="2031"/>
      <c r="F21" s="2031"/>
      <c r="G21" s="2031"/>
      <c r="H21" s="2031"/>
      <c r="I21" s="2031"/>
      <c r="J21" s="2031"/>
      <c r="K21" s="2031"/>
      <c r="L21" s="2031"/>
      <c r="M21" s="2031"/>
      <c r="N21" s="1741">
        <f t="shared" ref="N21:W21" si="20">+N20/N19</f>
        <v>-0.25547993214805298</v>
      </c>
      <c r="O21" s="1741">
        <f t="shared" si="20"/>
        <v>-0.27197409623695695</v>
      </c>
      <c r="P21" s="1741">
        <f t="shared" si="20"/>
        <v>-8.7023654756977209E-2</v>
      </c>
      <c r="Q21" s="1741">
        <f t="shared" si="20"/>
        <v>-1.0530506433939272E-2</v>
      </c>
      <c r="R21" s="1741">
        <f t="shared" si="20"/>
        <v>-6.6880062183771544E-2</v>
      </c>
      <c r="S21" s="1741">
        <f t="shared" si="20"/>
        <v>0.16129097490445088</v>
      </c>
      <c r="T21" s="1741">
        <f t="shared" si="20"/>
        <v>-9.4117549093601274E-2</v>
      </c>
      <c r="U21" s="1741">
        <f t="shared" si="20"/>
        <v>-0.15295761222986362</v>
      </c>
      <c r="V21" s="1741">
        <f t="shared" si="20"/>
        <v>-0.14790441934050777</v>
      </c>
      <c r="W21" s="1741">
        <f t="shared" si="20"/>
        <v>-0.20151350158715653</v>
      </c>
      <c r="X21" s="1741">
        <f t="shared" ref="X21:Z21" si="21">+X20/X19</f>
        <v>-0.21130724246225027</v>
      </c>
      <c r="Y21" s="1741">
        <f t="shared" si="21"/>
        <v>-0.21518022381602581</v>
      </c>
      <c r="Z21" s="1741">
        <f t="shared" si="21"/>
        <v>-0.21735850464571319</v>
      </c>
      <c r="AA21" s="2032"/>
      <c r="AB21" s="2033"/>
      <c r="AC21" s="2034">
        <f t="shared" ref="AC21" si="22">+AC20/AC19</f>
        <v>-0.13252098127824402</v>
      </c>
      <c r="AD21" s="2034">
        <f t="shared" ref="AD21" si="23">+AD20/AD19</f>
        <v>-0.1573946589964148</v>
      </c>
      <c r="AE21" s="2048"/>
      <c r="AF21" s="2048"/>
      <c r="AG21" s="2033"/>
      <c r="AH21" s="2034">
        <f t="shared" ref="AH21:AL21" si="24">+AH20/AH19</f>
        <v>-0.12956204379562045</v>
      </c>
      <c r="AI21" s="2034">
        <f t="shared" si="24"/>
        <v>-0.16209349593495934</v>
      </c>
      <c r="AJ21" s="1852"/>
      <c r="AK21" s="2034">
        <f t="shared" si="24"/>
        <v>-0.13037350246652571</v>
      </c>
      <c r="AL21" s="2034">
        <f t="shared" si="24"/>
        <v>-0.15018094089264172</v>
      </c>
      <c r="AM21" s="2035"/>
      <c r="AN21" s="2036"/>
      <c r="AO21" s="2034">
        <f>+AO20/AO19</f>
        <v>-0.10144020037570445</v>
      </c>
      <c r="AP21" s="2034">
        <f>+AP20/AP19</f>
        <v>-0.14631522323830015</v>
      </c>
      <c r="AR21" s="2034">
        <f>+AR20/AR19</f>
        <v>-0.16998697916666661</v>
      </c>
      <c r="AS21" s="2034">
        <f>+AS20/AS19</f>
        <v>-0.16998973361430816</v>
      </c>
    </row>
    <row r="22" spans="1:45" ht="15.75" thickBot="1">
      <c r="A22" s="1671"/>
      <c r="B22" s="1710" t="s">
        <v>110</v>
      </c>
      <c r="C22" s="641">
        <f>+PROJ!CX25</f>
        <v>129923</v>
      </c>
      <c r="D22" s="641">
        <f>+PROJ!CY25</f>
        <v>130810</v>
      </c>
      <c r="E22" s="641">
        <f>+PROJ!CZ25</f>
        <v>176541</v>
      </c>
      <c r="F22" s="641">
        <f>+PROJ!DA25</f>
        <v>304322</v>
      </c>
      <c r="G22" s="641">
        <f>+PROJ!DB25</f>
        <v>343682.00000000012</v>
      </c>
      <c r="H22" s="641">
        <f>+PROJ!DC25</f>
        <v>355400.00000000012</v>
      </c>
      <c r="I22" s="641">
        <f>+PROJ!DD25</f>
        <v>407400.00000000012</v>
      </c>
      <c r="J22" s="641">
        <f>+PROJ!DE25</f>
        <v>660252.78900000022</v>
      </c>
      <c r="K22" s="641">
        <f>+PROJ!DF25</f>
        <v>578838.44136000017</v>
      </c>
      <c r="L22" s="641">
        <f>+PROJ!DG25</f>
        <v>625060</v>
      </c>
      <c r="M22" s="641">
        <f>+PROJ!DH25</f>
        <v>732680</v>
      </c>
      <c r="N22" s="641">
        <f>+PROJ!DI25</f>
        <v>1020136.6673399997</v>
      </c>
      <c r="O22" s="641">
        <f>+PROJ!DJ25</f>
        <v>1086203</v>
      </c>
      <c r="P22" s="641">
        <f>+PROJ!DK25</f>
        <v>1096239</v>
      </c>
      <c r="Q22" s="641">
        <f>+PROJ!DL25</f>
        <v>633399.15302000195</v>
      </c>
      <c r="R22" s="641">
        <f>+PROJ!DM25</f>
        <v>1291703</v>
      </c>
      <c r="S22" s="641">
        <f>+PROJ!DN25</f>
        <v>976259</v>
      </c>
      <c r="T22" s="641">
        <f>+PROJ!DO25</f>
        <v>1196668</v>
      </c>
      <c r="U22" s="641">
        <f>+PROJ!DP25</f>
        <v>1386817.9204260856</v>
      </c>
      <c r="V22" s="641">
        <f>+PROJ!DQ25</f>
        <v>1334463.9423803452</v>
      </c>
      <c r="W22" s="641">
        <f>+PROJ!DR25</f>
        <v>1794757.2848678944</v>
      </c>
      <c r="X22" s="641">
        <f>+PROJ!DS25</f>
        <v>2060059.1246371916</v>
      </c>
      <c r="Y22" s="641">
        <f>+PROJ!DT25</f>
        <v>2286482.2789482814</v>
      </c>
      <c r="Z22" s="641">
        <f>+PROJ!DU25</f>
        <v>2515421.7858837629</v>
      </c>
      <c r="AA22" s="1676">
        <f>+(Z22/T22)^(1/6)-1</f>
        <v>0.13180825371929217</v>
      </c>
      <c r="AB22" s="1091" t="s">
        <v>111</v>
      </c>
      <c r="AC22" s="2040">
        <f>+AVERAGE(AH22,AK22,AO22,AR22)</f>
        <v>1343.7249999999999</v>
      </c>
      <c r="AD22" s="2040">
        <f>+AVERAGE(AI22,AL22,AP22,AS22)</f>
        <v>1545.2750000000001</v>
      </c>
      <c r="AE22" s="2059">
        <f>+(U22/1000)/AC22-1</f>
        <v>3.206974673097962E-2</v>
      </c>
      <c r="AF22" s="2059">
        <f>+(V22/1000)/AD22-1</f>
        <v>-0.13642300407348529</v>
      </c>
      <c r="AG22" s="1091"/>
      <c r="AH22" s="2023">
        <v>1431</v>
      </c>
      <c r="AI22" s="2023">
        <v>1649</v>
      </c>
      <c r="AK22" s="2028">
        <v>1234</v>
      </c>
      <c r="AL22" s="2028">
        <v>1409</v>
      </c>
      <c r="AN22" s="1861"/>
      <c r="AO22" s="1881">
        <v>1435</v>
      </c>
      <c r="AP22" s="1097">
        <v>1587</v>
      </c>
      <c r="AR22" s="2018">
        <v>1274.9000000000001</v>
      </c>
      <c r="AS22" s="2018">
        <v>1536.1</v>
      </c>
    </row>
    <row r="23" spans="1:45">
      <c r="A23" s="1668"/>
      <c r="B23" s="1719" t="s">
        <v>92</v>
      </c>
      <c r="C23" s="34"/>
      <c r="D23" s="113">
        <f t="shared" ref="D23:Z23" si="25">+D22/C22-1</f>
        <v>6.8271206791714611E-3</v>
      </c>
      <c r="E23" s="113">
        <f t="shared" si="25"/>
        <v>0.34959865453711481</v>
      </c>
      <c r="F23" s="113">
        <f t="shared" si="25"/>
        <v>0.72380353572258005</v>
      </c>
      <c r="G23" s="113">
        <f t="shared" si="25"/>
        <v>0.1293366894276462</v>
      </c>
      <c r="H23" s="113">
        <f t="shared" si="25"/>
        <v>3.4095471977001912E-2</v>
      </c>
      <c r="I23" s="113">
        <f t="shared" si="25"/>
        <v>0.1463140123804163</v>
      </c>
      <c r="J23" s="113">
        <f t="shared" si="25"/>
        <v>0.62064994845360832</v>
      </c>
      <c r="K23" s="113">
        <f t="shared" si="25"/>
        <v>-0.12330784359625024</v>
      </c>
      <c r="L23" s="113">
        <f t="shared" si="25"/>
        <v>7.985226159375447E-2</v>
      </c>
      <c r="M23" s="113">
        <f t="shared" si="25"/>
        <v>0.17217547115476917</v>
      </c>
      <c r="N23" s="113">
        <f t="shared" si="25"/>
        <v>0.39233590017470066</v>
      </c>
      <c r="O23" s="113">
        <f t="shared" si="25"/>
        <v>6.4762237036600112E-2</v>
      </c>
      <c r="P23" s="113">
        <f t="shared" si="25"/>
        <v>9.2395252084556123E-3</v>
      </c>
      <c r="Q23" s="113">
        <f t="shared" si="25"/>
        <v>-0.42220706158054777</v>
      </c>
      <c r="R23" s="113">
        <f t="shared" si="25"/>
        <v>1.0393191147181873</v>
      </c>
      <c r="S23" s="113">
        <f t="shared" si="25"/>
        <v>-0.24420784034720056</v>
      </c>
      <c r="T23" s="113">
        <f t="shared" si="25"/>
        <v>0.22576898138711132</v>
      </c>
      <c r="U23" s="113">
        <f t="shared" si="25"/>
        <v>0.15889947790538872</v>
      </c>
      <c r="V23" s="113">
        <f t="shared" si="25"/>
        <v>-3.7751154837727507E-2</v>
      </c>
      <c r="W23" s="113">
        <f t="shared" si="25"/>
        <v>0.34492752323191489</v>
      </c>
      <c r="X23" s="113">
        <f t="shared" si="25"/>
        <v>0.14782045572743008</v>
      </c>
      <c r="Y23" s="113">
        <f t="shared" si="25"/>
        <v>0.10991099799184956</v>
      </c>
      <c r="Z23" s="113">
        <f t="shared" si="25"/>
        <v>0.10012739177702579</v>
      </c>
      <c r="AA23" s="1669"/>
      <c r="AB23" s="1088"/>
      <c r="AC23" s="1088"/>
      <c r="AD23" s="1088"/>
      <c r="AE23" s="2046"/>
      <c r="AF23" s="2046"/>
      <c r="AG23" s="1088"/>
      <c r="AH23" s="1088"/>
      <c r="AI23" s="1088"/>
      <c r="AJ23" s="1078"/>
      <c r="AK23" s="1088"/>
      <c r="AL23" s="1088"/>
      <c r="AN23" s="1860"/>
      <c r="AO23" s="1088"/>
      <c r="AP23" s="1078"/>
      <c r="AR23" s="1088"/>
      <c r="AS23" s="1078"/>
    </row>
    <row r="24" spans="1:45" hidden="1">
      <c r="A24" s="1668"/>
      <c r="B24" s="1712" t="s">
        <v>112</v>
      </c>
      <c r="C24" s="1737"/>
      <c r="D24" s="1737"/>
      <c r="E24" s="1737"/>
      <c r="F24" s="1737"/>
      <c r="G24" s="1737"/>
      <c r="H24" s="1737"/>
      <c r="I24" s="1737"/>
      <c r="J24" s="1737"/>
      <c r="K24" s="1737"/>
      <c r="L24" s="1737"/>
      <c r="M24" s="1737"/>
      <c r="N24" s="1737">
        <f>+PROJ!DI31</f>
        <v>-6130.6033900000002</v>
      </c>
      <c r="O24" s="1737">
        <f>+PROJ!DJ31</f>
        <v>-23768</v>
      </c>
      <c r="P24" s="1737">
        <f>+PROJ!DK31</f>
        <v>-19977</v>
      </c>
      <c r="Q24" s="1737">
        <f>+PROJ!DL31</f>
        <v>-8994</v>
      </c>
      <c r="R24" s="1737">
        <f>+PROJ!DM31</f>
        <v>0</v>
      </c>
      <c r="S24" s="1737">
        <f>+PROJ!DN31</f>
        <v>0</v>
      </c>
      <c r="T24" s="1737">
        <f>+PROJ!DO31</f>
        <v>0</v>
      </c>
      <c r="U24" s="1737">
        <f>+PROJ!DP31</f>
        <v>0</v>
      </c>
      <c r="V24" s="1737">
        <f>+PROJ!DQ31</f>
        <v>0</v>
      </c>
      <c r="W24" s="1737">
        <f>+PROJ!DR31</f>
        <v>0</v>
      </c>
      <c r="X24" s="1737">
        <f>+PROJ!DS31</f>
        <v>0</v>
      </c>
      <c r="Y24" s="1737">
        <f>+PROJ!DT31</f>
        <v>0</v>
      </c>
      <c r="Z24" s="1737">
        <f>+PROJ!DU31</f>
        <v>0</v>
      </c>
      <c r="AA24" s="1669"/>
      <c r="AB24" s="1089"/>
      <c r="AC24" s="1089"/>
      <c r="AD24" s="1089"/>
      <c r="AE24" s="2045"/>
      <c r="AF24" s="2045"/>
      <c r="AG24" s="1089"/>
      <c r="AH24" s="1884"/>
      <c r="AI24" s="1884"/>
      <c r="AK24" s="1884"/>
      <c r="AL24" s="1884"/>
      <c r="AN24" s="1864"/>
      <c r="AO24" s="1884"/>
      <c r="AP24" s="1081"/>
      <c r="AR24" s="1884"/>
      <c r="AS24" s="1081"/>
    </row>
    <row r="25" spans="1:45" hidden="1">
      <c r="A25" s="1668"/>
      <c r="B25" s="1712"/>
      <c r="C25" s="1737"/>
      <c r="D25" s="1737"/>
      <c r="E25" s="1737"/>
      <c r="F25" s="1737"/>
      <c r="G25" s="1737"/>
      <c r="H25" s="1737"/>
      <c r="I25" s="1737"/>
      <c r="J25" s="1737"/>
      <c r="K25" s="1737"/>
      <c r="L25" s="1737"/>
      <c r="M25" s="1737"/>
      <c r="N25" s="1737"/>
      <c r="O25" s="1737"/>
      <c r="P25" s="1737"/>
      <c r="Q25" s="1737"/>
      <c r="R25" s="1737"/>
      <c r="S25" s="1737"/>
      <c r="T25" s="1737"/>
      <c r="U25" s="1737"/>
      <c r="V25" s="1737"/>
      <c r="W25" s="1737"/>
      <c r="X25" s="1737"/>
      <c r="Y25" s="1737"/>
      <c r="Z25" s="1737"/>
      <c r="AA25" s="1669"/>
      <c r="AB25" s="1089"/>
      <c r="AC25" s="1089"/>
      <c r="AD25" s="1089"/>
      <c r="AE25" s="2045"/>
      <c r="AF25" s="2045"/>
      <c r="AG25" s="1089"/>
      <c r="AH25" s="1884"/>
      <c r="AI25" s="1884"/>
      <c r="AK25" s="1884"/>
      <c r="AL25" s="1884"/>
      <c r="AN25" s="1864"/>
      <c r="AO25" s="1884"/>
      <c r="AP25" s="1081"/>
      <c r="AR25" s="1884"/>
      <c r="AS25" s="1081"/>
    </row>
    <row r="26" spans="1:45" s="1962" customFormat="1">
      <c r="A26" s="1952"/>
      <c r="B26" s="1953"/>
      <c r="C26" s="1954"/>
      <c r="D26" s="1954"/>
      <c r="E26" s="1954"/>
      <c r="F26" s="1954"/>
      <c r="G26" s="1954"/>
      <c r="H26" s="1954"/>
      <c r="I26" s="1954"/>
      <c r="J26" s="1954"/>
      <c r="K26" s="1954"/>
      <c r="L26" s="1954"/>
      <c r="M26" s="1954"/>
      <c r="N26" s="1954"/>
      <c r="O26" s="1954"/>
      <c r="P26" s="1954"/>
      <c r="Q26" s="1954"/>
      <c r="R26" s="1954"/>
      <c r="S26" s="1954"/>
      <c r="T26" s="1954"/>
      <c r="U26" s="1954"/>
      <c r="V26" s="1954"/>
      <c r="W26" s="1954"/>
      <c r="X26" s="1954"/>
      <c r="Y26" s="1954"/>
      <c r="Z26" s="1954"/>
      <c r="AA26" s="1955"/>
      <c r="AB26" s="1956"/>
      <c r="AC26" s="1956"/>
      <c r="AD26" s="1956"/>
      <c r="AE26" s="2049"/>
      <c r="AF26" s="2049"/>
      <c r="AG26" s="1956"/>
      <c r="AH26" s="1957"/>
      <c r="AI26" s="1957"/>
      <c r="AJ26" s="1958"/>
      <c r="AK26" s="1957"/>
      <c r="AL26" s="1957"/>
      <c r="AM26" s="1959"/>
      <c r="AN26" s="1960"/>
      <c r="AO26" s="1957"/>
      <c r="AP26" s="1961"/>
      <c r="AR26" s="1957"/>
      <c r="AS26" s="1961"/>
    </row>
    <row r="27" spans="1:45">
      <c r="A27" s="1668"/>
      <c r="B27" s="1712" t="s">
        <v>113</v>
      </c>
      <c r="C27" s="1737"/>
      <c r="D27" s="1737"/>
      <c r="E27" s="1737"/>
      <c r="F27" s="1737"/>
      <c r="G27" s="1737"/>
      <c r="H27" s="1737"/>
      <c r="I27" s="1737"/>
      <c r="J27" s="1737"/>
      <c r="K27" s="1737"/>
      <c r="L27" s="1737"/>
      <c r="M27" s="1737"/>
      <c r="N27" s="1737"/>
      <c r="O27" s="1737"/>
      <c r="P27" s="1737"/>
      <c r="Q27" s="1737">
        <f t="shared" ref="Q27:R27" si="26">+Q57</f>
        <v>0</v>
      </c>
      <c r="R27" s="1737">
        <f t="shared" si="26"/>
        <v>110063.99999999997</v>
      </c>
      <c r="S27" s="1737">
        <f>+S57</f>
        <v>219245.99999999988</v>
      </c>
      <c r="T27" s="1737">
        <f t="shared" ref="T27:Z27" si="27">+T57</f>
        <v>149680.99999999994</v>
      </c>
      <c r="U27" s="1737">
        <f t="shared" si="27"/>
        <v>79941.086962291098</v>
      </c>
      <c r="V27" s="1737">
        <f t="shared" si="27"/>
        <v>84405.878518438461</v>
      </c>
      <c r="W27" s="1737">
        <f t="shared" si="27"/>
        <v>91459.373594066361</v>
      </c>
      <c r="X27" s="1737">
        <f t="shared" si="27"/>
        <v>97700.935954452609</v>
      </c>
      <c r="Y27" s="1737">
        <f t="shared" si="27"/>
        <v>104368.60511883523</v>
      </c>
      <c r="Z27" s="1737">
        <f t="shared" si="27"/>
        <v>111485.92787355807</v>
      </c>
      <c r="AA27" s="1669"/>
      <c r="AB27" s="1089"/>
      <c r="AC27" s="1089"/>
      <c r="AD27" s="1089"/>
      <c r="AE27" s="2045"/>
      <c r="AF27" s="2045"/>
      <c r="AG27" s="1089"/>
      <c r="AH27" s="1884"/>
      <c r="AI27" s="1884"/>
      <c r="AK27" s="1884"/>
      <c r="AL27" s="1884"/>
      <c r="AN27" s="1864"/>
      <c r="AO27" s="1884"/>
      <c r="AP27" s="1081"/>
      <c r="AR27" s="1884"/>
      <c r="AS27" s="1081"/>
    </row>
    <row r="28" spans="1:45">
      <c r="A28" s="1668"/>
      <c r="B28" s="1712" t="s">
        <v>114</v>
      </c>
      <c r="C28" s="1737"/>
      <c r="D28" s="1737"/>
      <c r="E28" s="1737"/>
      <c r="F28" s="1737"/>
      <c r="G28" s="1737"/>
      <c r="H28" s="1737"/>
      <c r="I28" s="1737"/>
      <c r="J28" s="1737"/>
      <c r="K28" s="1737"/>
      <c r="L28" s="1737"/>
      <c r="M28" s="1737"/>
      <c r="N28" s="1737">
        <f>+PROJ!DI216</f>
        <v>0</v>
      </c>
      <c r="O28" s="1737">
        <f>+PROJ!DJ216</f>
        <v>43088</v>
      </c>
      <c r="P28" s="1737">
        <f>+PROJ!DK216</f>
        <v>27445</v>
      </c>
      <c r="Q28" s="1737">
        <f>+PROJ!DL216</f>
        <v>98384</v>
      </c>
      <c r="R28" s="1737">
        <f>+PROJ!DM216</f>
        <v>127983</v>
      </c>
      <c r="S28" s="1737">
        <f>+PROJ!DN216</f>
        <v>141639</v>
      </c>
      <c r="T28" s="1737">
        <f>+PROJ!DO216</f>
        <v>45947</v>
      </c>
      <c r="U28" s="1737">
        <f>+PROJ!DP216</f>
        <v>39560.192968951174</v>
      </c>
      <c r="V28" s="1737">
        <f>+PROJ!DQ216</f>
        <v>42246.947019068917</v>
      </c>
      <c r="W28" s="1737">
        <f>+PROJ!DR216</f>
        <v>45777.372126772971</v>
      </c>
      <c r="X28" s="1737">
        <f>+PROJ!DS216</f>
        <v>48901.407549232783</v>
      </c>
      <c r="Y28" s="1737">
        <f>+PROJ!DT216</f>
        <v>52238.718538381887</v>
      </c>
      <c r="Z28" s="1737">
        <f>+PROJ!DU216</f>
        <v>55801.090764277134</v>
      </c>
      <c r="AA28" s="1669"/>
      <c r="AB28" s="1089"/>
      <c r="AC28" s="1089"/>
      <c r="AD28" s="1089"/>
      <c r="AE28" s="2045"/>
      <c r="AF28" s="2045"/>
      <c r="AG28" s="1089"/>
      <c r="AH28" s="1884"/>
      <c r="AI28" s="1884"/>
      <c r="AK28" s="1884"/>
      <c r="AL28" s="1884"/>
      <c r="AN28" s="1864"/>
      <c r="AO28" s="1884"/>
      <c r="AP28" s="1081"/>
      <c r="AR28" s="1884"/>
      <c r="AS28" s="1081"/>
    </row>
    <row r="29" spans="1:45" s="1154" customFormat="1">
      <c r="A29" s="1671"/>
      <c r="B29" s="1710" t="s">
        <v>115</v>
      </c>
      <c r="C29" s="1779"/>
      <c r="D29" s="1779"/>
      <c r="E29" s="1779"/>
      <c r="F29" s="1779"/>
      <c r="G29" s="1779"/>
      <c r="H29" s="1779"/>
      <c r="I29" s="1779"/>
      <c r="J29" s="1779"/>
      <c r="K29" s="1779"/>
      <c r="L29" s="1779"/>
      <c r="M29" s="1779"/>
      <c r="N29" s="1779">
        <f t="shared" ref="N29:Z29" si="28">+N22-N28-N27</f>
        <v>1020136.6673399997</v>
      </c>
      <c r="O29" s="1779">
        <f t="shared" si="28"/>
        <v>1043115</v>
      </c>
      <c r="P29" s="1779">
        <f t="shared" si="28"/>
        <v>1068794</v>
      </c>
      <c r="Q29" s="1779">
        <f t="shared" si="28"/>
        <v>535015.15302000195</v>
      </c>
      <c r="R29" s="1779">
        <f t="shared" si="28"/>
        <v>1053656</v>
      </c>
      <c r="S29" s="1779">
        <f t="shared" si="28"/>
        <v>615374.00000000012</v>
      </c>
      <c r="T29" s="1779">
        <f t="shared" si="28"/>
        <v>1001040</v>
      </c>
      <c r="U29" s="1779">
        <f t="shared" si="28"/>
        <v>1267316.6404948435</v>
      </c>
      <c r="V29" s="1779">
        <f t="shared" si="28"/>
        <v>1207811.1168428378</v>
      </c>
      <c r="W29" s="1779">
        <f t="shared" si="28"/>
        <v>1657520.539147055</v>
      </c>
      <c r="X29" s="1779">
        <f t="shared" si="28"/>
        <v>1913456.7811335064</v>
      </c>
      <c r="Y29" s="1779">
        <f t="shared" si="28"/>
        <v>2129874.955291064</v>
      </c>
      <c r="Z29" s="1779">
        <f t="shared" si="28"/>
        <v>2348134.7672459278</v>
      </c>
      <c r="AA29" s="2061"/>
      <c r="AB29" s="1091"/>
      <c r="AC29" s="1091">
        <v>22219</v>
      </c>
      <c r="AD29" s="1091"/>
      <c r="AE29" s="2047"/>
      <c r="AF29" s="2047"/>
      <c r="AG29" s="1091"/>
      <c r="AH29" s="1883"/>
      <c r="AI29" s="1883"/>
      <c r="AJ29" s="1078"/>
      <c r="AK29" s="1883"/>
      <c r="AL29" s="1883"/>
      <c r="AM29" s="1153"/>
      <c r="AN29" s="1863"/>
      <c r="AO29" s="1883"/>
      <c r="AP29" s="1080"/>
      <c r="AR29" s="1883"/>
      <c r="AS29" s="1080"/>
    </row>
    <row r="30" spans="1:45">
      <c r="A30" s="1668"/>
      <c r="B30" s="1719" t="s">
        <v>92</v>
      </c>
      <c r="C30" s="34"/>
      <c r="D30" s="113" t="e">
        <f t="shared" ref="D30" si="29">+D29/C29-1</f>
        <v>#DIV/0!</v>
      </c>
      <c r="E30" s="113" t="e">
        <f t="shared" ref="E30" si="30">+E29/D29-1</f>
        <v>#DIV/0!</v>
      </c>
      <c r="F30" s="113" t="e">
        <f t="shared" ref="F30" si="31">+F29/E29-1</f>
        <v>#DIV/0!</v>
      </c>
      <c r="G30" s="113" t="e">
        <f t="shared" ref="G30" si="32">+G29/F29-1</f>
        <v>#DIV/0!</v>
      </c>
      <c r="H30" s="113" t="e">
        <f t="shared" ref="H30" si="33">+H29/G29-1</f>
        <v>#DIV/0!</v>
      </c>
      <c r="I30" s="113" t="e">
        <f t="shared" ref="I30" si="34">+I29/H29-1</f>
        <v>#DIV/0!</v>
      </c>
      <c r="J30" s="113" t="e">
        <f t="shared" ref="J30" si="35">+J29/I29-1</f>
        <v>#DIV/0!</v>
      </c>
      <c r="K30" s="113" t="e">
        <f t="shared" ref="K30" si="36">+K29/J29-1</f>
        <v>#DIV/0!</v>
      </c>
      <c r="L30" s="113" t="e">
        <f t="shared" ref="L30" si="37">+L29/K29-1</f>
        <v>#DIV/0!</v>
      </c>
      <c r="M30" s="113" t="e">
        <f t="shared" ref="M30" si="38">+M29/L29-1</f>
        <v>#DIV/0!</v>
      </c>
      <c r="N30" s="113" t="e">
        <f t="shared" ref="N30" si="39">+N29/M29-1</f>
        <v>#DIV/0!</v>
      </c>
      <c r="O30" s="113">
        <f t="shared" ref="O30" si="40">+O29/N29-1</f>
        <v>2.2524759079502799E-2</v>
      </c>
      <c r="P30" s="113">
        <f t="shared" ref="P30" si="41">+P29/O29-1</f>
        <v>2.4617611672730133E-2</v>
      </c>
      <c r="Q30" s="113">
        <f t="shared" ref="Q30" si="42">+Q29/P29-1</f>
        <v>-0.49942163502040438</v>
      </c>
      <c r="R30" s="113">
        <f t="shared" ref="R30" si="43">+R29/Q29-1</f>
        <v>0.96939468733254408</v>
      </c>
      <c r="S30" s="113">
        <f>+S29/R29-1</f>
        <v>-0.41596308472594457</v>
      </c>
      <c r="T30" s="113">
        <f t="shared" ref="T30" si="44">+T29/S29-1</f>
        <v>0.62671806088654991</v>
      </c>
      <c r="U30" s="113">
        <f t="shared" ref="U30" si="45">+U29/T29-1</f>
        <v>0.26600000049432948</v>
      </c>
      <c r="V30" s="113">
        <f t="shared" ref="V30" si="46">+V29/U29-1</f>
        <v>-4.6953951167855612E-2</v>
      </c>
      <c r="W30" s="113">
        <f t="shared" ref="W30" si="47">+W29/V29-1</f>
        <v>0.37233423010688682</v>
      </c>
      <c r="X30" s="113">
        <f t="shared" ref="X30" si="48">+X29/W29-1</f>
        <v>0.15440909234111455</v>
      </c>
      <c r="Y30" s="113">
        <f t="shared" ref="Y30" si="49">+Y29/X29-1</f>
        <v>0.1131032465908921</v>
      </c>
      <c r="Z30" s="113">
        <f t="shared" ref="Z30" si="50">+Z29/Y29-1</f>
        <v>0.10247541125015802</v>
      </c>
      <c r="AA30" s="1669"/>
      <c r="AB30" s="1088"/>
      <c r="AC30" s="1088">
        <v>7102</v>
      </c>
      <c r="AD30" s="1088">
        <v>7800</v>
      </c>
      <c r="AE30" s="2046"/>
      <c r="AF30" s="2046"/>
      <c r="AG30" s="1088"/>
      <c r="AH30" s="1088"/>
      <c r="AI30" s="1088"/>
      <c r="AJ30" s="1078"/>
      <c r="AK30" s="1088"/>
      <c r="AL30" s="1088"/>
      <c r="AN30" s="1860"/>
      <c r="AO30" s="1088"/>
      <c r="AP30" s="1078"/>
      <c r="AR30" s="1088"/>
      <c r="AS30" s="1078"/>
    </row>
    <row r="31" spans="1:45">
      <c r="A31" s="1668"/>
      <c r="B31" s="1719"/>
      <c r="C31" s="34"/>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669"/>
      <c r="AB31" s="1088"/>
      <c r="AC31" s="1088">
        <f>+AC30*9</f>
        <v>63918</v>
      </c>
      <c r="AD31" s="1088">
        <f>+$AC$29/AD30</f>
        <v>2.8485897435897436</v>
      </c>
      <c r="AE31" s="2046"/>
      <c r="AF31" s="2046"/>
      <c r="AG31" s="1088"/>
      <c r="AH31" s="1088"/>
      <c r="AI31" s="1088"/>
      <c r="AJ31" s="1078"/>
      <c r="AK31" s="1088"/>
      <c r="AL31" s="1088"/>
      <c r="AN31" s="1860"/>
      <c r="AO31" s="1088"/>
      <c r="AP31" s="1078"/>
      <c r="AR31" s="1088"/>
      <c r="AS31" s="1078"/>
    </row>
    <row r="32" spans="1:45">
      <c r="A32" s="1668"/>
      <c r="B32" s="1719"/>
      <c r="C32" s="34"/>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669"/>
      <c r="AB32" s="1088"/>
      <c r="AC32" s="1088" t="s">
        <v>116</v>
      </c>
      <c r="AD32" s="1088"/>
      <c r="AE32" s="2046"/>
      <c r="AF32" s="2046"/>
      <c r="AG32" s="1088"/>
      <c r="AH32" s="1088"/>
      <c r="AI32" s="1088"/>
      <c r="AJ32" s="1078"/>
      <c r="AK32" s="1088"/>
      <c r="AL32" s="1088"/>
      <c r="AN32" s="1860"/>
      <c r="AO32" s="1088"/>
      <c r="AP32" s="1078"/>
      <c r="AR32" s="1088"/>
      <c r="AS32" s="1078"/>
    </row>
    <row r="33" spans="1:45">
      <c r="A33" s="1668"/>
      <c r="B33" s="1719"/>
      <c r="C33" s="34"/>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669"/>
      <c r="AB33" s="1088"/>
      <c r="AC33" s="1088"/>
      <c r="AD33" s="1088"/>
      <c r="AE33" s="2046"/>
      <c r="AF33" s="2046"/>
      <c r="AG33" s="1088"/>
      <c r="AH33" s="1088"/>
      <c r="AI33" s="1088"/>
      <c r="AJ33" s="1078"/>
      <c r="AK33" s="1088"/>
      <c r="AL33" s="1088"/>
      <c r="AN33" s="1860"/>
      <c r="AO33" s="1088"/>
      <c r="AP33" s="1078"/>
      <c r="AR33" s="1088"/>
      <c r="AS33" s="1078"/>
    </row>
    <row r="34" spans="1:45">
      <c r="A34" s="1677"/>
      <c r="B34" s="1742" t="s">
        <v>117</v>
      </c>
      <c r="C34" s="1734">
        <f t="shared" ref="C34:Z34" si="51">C3</f>
        <v>39447</v>
      </c>
      <c r="D34" s="1734">
        <f t="shared" si="51"/>
        <v>39812</v>
      </c>
      <c r="E34" s="1734">
        <f t="shared" si="51"/>
        <v>40177</v>
      </c>
      <c r="F34" s="1734">
        <f t="shared" si="51"/>
        <v>40542</v>
      </c>
      <c r="G34" s="1734">
        <f t="shared" si="51"/>
        <v>40907</v>
      </c>
      <c r="H34" s="1734">
        <f t="shared" si="51"/>
        <v>41272</v>
      </c>
      <c r="I34" s="1734">
        <f t="shared" si="51"/>
        <v>41637</v>
      </c>
      <c r="J34" s="1734">
        <f t="shared" si="51"/>
        <v>42002</v>
      </c>
      <c r="K34" s="1734">
        <f t="shared" si="51"/>
        <v>42367</v>
      </c>
      <c r="L34" s="1734">
        <f t="shared" si="51"/>
        <v>42732</v>
      </c>
      <c r="M34" s="1734">
        <f t="shared" si="51"/>
        <v>43097</v>
      </c>
      <c r="N34" s="1734">
        <f t="shared" si="51"/>
        <v>2018</v>
      </c>
      <c r="O34" s="1734">
        <f t="shared" si="51"/>
        <v>2019</v>
      </c>
      <c r="P34" s="1734">
        <f t="shared" si="51"/>
        <v>2020</v>
      </c>
      <c r="Q34" s="1734">
        <f t="shared" si="51"/>
        <v>2021</v>
      </c>
      <c r="R34" s="1734">
        <f t="shared" si="51"/>
        <v>2022</v>
      </c>
      <c r="S34" s="1734">
        <f t="shared" si="51"/>
        <v>2023</v>
      </c>
      <c r="T34" s="1734">
        <f t="shared" si="51"/>
        <v>2024</v>
      </c>
      <c r="U34" s="1734">
        <f t="shared" si="51"/>
        <v>2025</v>
      </c>
      <c r="V34" s="1734">
        <f t="shared" si="51"/>
        <v>2026</v>
      </c>
      <c r="W34" s="1734">
        <f t="shared" si="51"/>
        <v>2027</v>
      </c>
      <c r="X34" s="1734">
        <f t="shared" si="51"/>
        <v>2028</v>
      </c>
      <c r="Y34" s="1734">
        <f t="shared" si="51"/>
        <v>2029</v>
      </c>
      <c r="Z34" s="1734">
        <f t="shared" si="51"/>
        <v>2030</v>
      </c>
      <c r="AA34" s="1669"/>
      <c r="AB34" s="1088"/>
      <c r="AC34" s="1088"/>
      <c r="AD34" s="1088"/>
      <c r="AE34" s="2046"/>
      <c r="AF34" s="2046"/>
      <c r="AG34" s="1088"/>
      <c r="AH34" s="1885"/>
      <c r="AI34" s="1892"/>
      <c r="AJ34" s="1078"/>
      <c r="AK34" s="1885"/>
      <c r="AL34" s="1892"/>
      <c r="AN34" s="1865"/>
      <c r="AO34" s="1885"/>
      <c r="AP34" s="1082"/>
      <c r="AR34" s="1885"/>
      <c r="AS34" s="1082"/>
    </row>
    <row r="35" spans="1:45" hidden="1">
      <c r="A35" s="1671"/>
      <c r="B35" s="1743" t="s">
        <v>118</v>
      </c>
      <c r="C35" s="489">
        <f>+PROJ!CX39</f>
        <v>200978</v>
      </c>
      <c r="D35" s="489">
        <f>+PROJ!CY39</f>
        <v>199760</v>
      </c>
      <c r="E35" s="489">
        <f>+PROJ!CZ39</f>
        <v>270619</v>
      </c>
      <c r="F35" s="489">
        <f>+PROJ!DA39</f>
        <v>411527</v>
      </c>
      <c r="G35" s="489">
        <f>+PROJ!DB39</f>
        <v>476255.00000000012</v>
      </c>
      <c r="H35" s="489">
        <f>+PROJ!DC39</f>
        <v>559250.00000000012</v>
      </c>
      <c r="I35" s="489">
        <f>+PROJ!DD39</f>
        <v>650434.00000000012</v>
      </c>
      <c r="J35" s="489">
        <f>+PROJ!DE39</f>
        <v>1203613.7890000003</v>
      </c>
      <c r="K35" s="489">
        <f>+PROJ!DF39</f>
        <v>1198033.3682800001</v>
      </c>
      <c r="L35" s="489">
        <f>+PROJ!DG39</f>
        <v>1286952</v>
      </c>
      <c r="M35" s="489">
        <f>+PROJ!DH39</f>
        <v>1416291</v>
      </c>
      <c r="N35" s="489">
        <f>+FAT!DJ148</f>
        <v>1738395.64741</v>
      </c>
      <c r="O35" s="489">
        <f>+FAT!DK148</f>
        <v>2338130</v>
      </c>
      <c r="P35" s="489">
        <f>+FAT!DL148</f>
        <v>1616520</v>
      </c>
      <c r="Q35" s="489">
        <f>+FAT!DM148</f>
        <v>1691247.1530200015</v>
      </c>
      <c r="R35" s="489">
        <f>+FAT!DN148</f>
        <v>2401250</v>
      </c>
      <c r="S35" s="489">
        <f>+FAT!DO148</f>
        <v>1939321</v>
      </c>
      <c r="T35" s="489">
        <f>+FAT!DP148</f>
        <v>2457187</v>
      </c>
      <c r="U35" s="489">
        <f>+FAT!DQ148</f>
        <v>2998339.0997887058</v>
      </c>
      <c r="V35" s="489">
        <f>+FAT!DR148</f>
        <v>3021323.8310925728</v>
      </c>
      <c r="W35" s="489">
        <f>+FAT!DS148</f>
        <v>3708651.092463227</v>
      </c>
      <c r="X35" s="489">
        <f>+FAT!DT148</f>
        <v>4062541.7466503619</v>
      </c>
      <c r="Y35" s="489">
        <f>+FAT!DU148</f>
        <v>4432089.8417351926</v>
      </c>
      <c r="Z35" s="489">
        <f>+FAT!DV148</f>
        <v>4824764.201777203</v>
      </c>
      <c r="AA35" s="1669"/>
      <c r="AB35" s="1088" t="s">
        <v>119</v>
      </c>
      <c r="AC35" s="1088"/>
      <c r="AD35" s="1088"/>
      <c r="AE35" s="2046"/>
      <c r="AF35" s="2046"/>
      <c r="AG35" s="1088"/>
      <c r="AH35" s="1886"/>
      <c r="AI35" s="1886"/>
      <c r="AJ35" s="1078"/>
      <c r="AK35" s="1886"/>
      <c r="AL35" s="1886"/>
      <c r="AN35" s="1866"/>
      <c r="AO35" s="1886"/>
      <c r="AP35" s="1096"/>
      <c r="AR35" s="1886"/>
      <c r="AS35" s="1096"/>
    </row>
    <row r="36" spans="1:45" hidden="1">
      <c r="A36" s="1668"/>
      <c r="B36" s="1744" t="s">
        <v>92</v>
      </c>
      <c r="C36" s="494"/>
      <c r="D36" s="478">
        <f t="shared" ref="D36:W36" si="52">+D35/C35-1</f>
        <v>-6.060364816049546E-3</v>
      </c>
      <c r="E36" s="478">
        <f t="shared" si="52"/>
        <v>0.35472066479775721</v>
      </c>
      <c r="F36" s="478">
        <f t="shared" si="52"/>
        <v>0.52068775658767485</v>
      </c>
      <c r="G36" s="478">
        <f t="shared" si="52"/>
        <v>0.15728737118099212</v>
      </c>
      <c r="H36" s="478">
        <f t="shared" si="52"/>
        <v>0.17426588697231526</v>
      </c>
      <c r="I36" s="478">
        <f t="shared" si="52"/>
        <v>0.16304693786320956</v>
      </c>
      <c r="J36" s="478">
        <f t="shared" si="52"/>
        <v>0.85047797163124939</v>
      </c>
      <c r="K36" s="478">
        <f t="shared" si="52"/>
        <v>-4.6363881595579137E-3</v>
      </c>
      <c r="L36" s="478">
        <f t="shared" si="52"/>
        <v>7.4220496752656517E-2</v>
      </c>
      <c r="M36" s="478">
        <f t="shared" si="52"/>
        <v>0.10050025175764121</v>
      </c>
      <c r="N36" s="478">
        <f t="shared" si="52"/>
        <v>0.22742829503964934</v>
      </c>
      <c r="O36" s="478">
        <f t="shared" si="52"/>
        <v>0.34499301323236287</v>
      </c>
      <c r="P36" s="478">
        <f t="shared" si="52"/>
        <v>-0.30862697968034281</v>
      </c>
      <c r="Q36" s="478">
        <f t="shared" si="52"/>
        <v>4.6227175055057357E-2</v>
      </c>
      <c r="R36" s="478">
        <f t="shared" si="52"/>
        <v>0.41981022449153627</v>
      </c>
      <c r="S36" s="478">
        <f t="shared" si="52"/>
        <v>-0.19237022384174907</v>
      </c>
      <c r="T36" s="478">
        <f t="shared" si="52"/>
        <v>0.26703469925814249</v>
      </c>
      <c r="U36" s="478">
        <f t="shared" si="52"/>
        <v>0.22023236318143713</v>
      </c>
      <c r="V36" s="478">
        <f t="shared" si="52"/>
        <v>7.6658211559481604E-3</v>
      </c>
      <c r="W36" s="478">
        <f t="shared" si="52"/>
        <v>0.22749208618332806</v>
      </c>
      <c r="X36" s="478">
        <f t="shared" ref="X36" si="53">+X35/W35-1</f>
        <v>9.5423011052810036E-2</v>
      </c>
      <c r="Y36" s="478">
        <f t="shared" ref="Y36" si="54">+Y35/X35-1</f>
        <v>9.0964750181220744E-2</v>
      </c>
      <c r="Z36" s="478">
        <f t="shared" ref="Z36" si="55">+Z35/Y35-1</f>
        <v>8.8598014495183675E-2</v>
      </c>
      <c r="AA36" s="1669"/>
      <c r="AB36" s="1088" t="s">
        <v>120</v>
      </c>
      <c r="AC36" s="1088"/>
      <c r="AD36" s="1088"/>
      <c r="AE36" s="2046"/>
      <c r="AF36" s="2046"/>
      <c r="AG36" s="1088"/>
      <c r="AH36" s="1886"/>
      <c r="AI36" s="1886"/>
      <c r="AJ36" s="1681"/>
      <c r="AK36" s="1886"/>
      <c r="AL36" s="1886"/>
      <c r="AN36" s="1866"/>
      <c r="AO36" s="1886"/>
      <c r="AP36" s="1096"/>
      <c r="AR36" s="1886"/>
      <c r="AS36" s="1096"/>
    </row>
    <row r="37" spans="1:45" s="1085" customFormat="1" hidden="1">
      <c r="A37" s="91"/>
      <c r="B37" s="1745" t="s">
        <v>121</v>
      </c>
      <c r="C37" s="1746">
        <f t="shared" ref="C37:Z37" si="56">+C35/C4</f>
        <v>0.10408303939171563</v>
      </c>
      <c r="D37" s="1746">
        <f t="shared" si="56"/>
        <v>9.1506806895259613E-2</v>
      </c>
      <c r="E37" s="1746">
        <f t="shared" si="56"/>
        <v>0.11449305897543945</v>
      </c>
      <c r="F37" s="1746">
        <f t="shared" si="56"/>
        <v>0.14957340755661427</v>
      </c>
      <c r="G37" s="1746">
        <f t="shared" si="56"/>
        <v>0.14705846025773331</v>
      </c>
      <c r="H37" s="1746">
        <f t="shared" si="56"/>
        <v>0.14478934412563033</v>
      </c>
      <c r="I37" s="1746">
        <f t="shared" si="56"/>
        <v>0.14882772261097546</v>
      </c>
      <c r="J37" s="1746">
        <f t="shared" si="56"/>
        <v>0.23075223080940274</v>
      </c>
      <c r="K37" s="1746">
        <f t="shared" si="56"/>
        <v>0.1949543966329482</v>
      </c>
      <c r="L37" s="1746">
        <f t="shared" si="56"/>
        <v>0.19947857734074445</v>
      </c>
      <c r="M37" s="1746">
        <f t="shared" si="56"/>
        <v>0.19025160844430744</v>
      </c>
      <c r="N37" s="1746">
        <f t="shared" si="56"/>
        <v>0.20630002837581873</v>
      </c>
      <c r="O37" s="1746">
        <f t="shared" si="56"/>
        <v>0.24384891927641597</v>
      </c>
      <c r="P37" s="1746">
        <f t="shared" si="56"/>
        <v>0.21447278690438598</v>
      </c>
      <c r="Q37" s="1746">
        <f t="shared" si="56"/>
        <v>0.15998090806497384</v>
      </c>
      <c r="R37" s="1746">
        <f t="shared" si="56"/>
        <v>0.18093777496231106</v>
      </c>
      <c r="S37" s="1746">
        <f t="shared" si="56"/>
        <v>0.14209719055361764</v>
      </c>
      <c r="T37" s="1746">
        <f t="shared" si="56"/>
        <v>0.17020813963846579</v>
      </c>
      <c r="U37" s="1746">
        <f t="shared" si="56"/>
        <v>0.18957115074759656</v>
      </c>
      <c r="V37" s="1746">
        <f t="shared" si="56"/>
        <v>0.17897591282297731</v>
      </c>
      <c r="W37" s="1746">
        <f t="shared" si="56"/>
        <v>0.20274855089887878</v>
      </c>
      <c r="X37" s="1746">
        <f t="shared" si="56"/>
        <v>0.20790700247458721</v>
      </c>
      <c r="Y37" s="1746">
        <f t="shared" si="56"/>
        <v>0.21232869006387314</v>
      </c>
      <c r="Z37" s="1746">
        <f t="shared" si="56"/>
        <v>0.21638444841438761</v>
      </c>
      <c r="AA37" s="1675"/>
      <c r="AB37" s="1090" t="s">
        <v>122</v>
      </c>
      <c r="AC37" s="1090"/>
      <c r="AD37" s="1090"/>
      <c r="AE37" s="2050"/>
      <c r="AF37" s="2050"/>
      <c r="AG37" s="1090"/>
      <c r="AH37" s="1090"/>
      <c r="AI37" s="1090"/>
      <c r="AJ37" s="7"/>
      <c r="AK37" s="1090"/>
      <c r="AL37" s="1090"/>
      <c r="AM37" s="867"/>
      <c r="AN37" s="1862"/>
      <c r="AO37" s="1090"/>
      <c r="AP37" s="1090"/>
      <c r="AR37" s="1090"/>
      <c r="AS37" s="1090"/>
    </row>
    <row r="38" spans="1:45" s="1085" customFormat="1" hidden="1">
      <c r="A38" s="91"/>
      <c r="B38" s="1745"/>
      <c r="C38" s="1746"/>
      <c r="D38" s="1746"/>
      <c r="E38" s="1746"/>
      <c r="F38" s="1746"/>
      <c r="G38" s="1746"/>
      <c r="H38" s="1746"/>
      <c r="I38" s="1746"/>
      <c r="J38" s="1746"/>
      <c r="K38" s="1746"/>
      <c r="L38" s="1746"/>
      <c r="M38" s="1746"/>
      <c r="N38" s="1746"/>
      <c r="O38" s="1746"/>
      <c r="P38" s="1746"/>
      <c r="Q38" s="1746"/>
      <c r="R38" s="1747">
        <f>+R35/$O$35-1</f>
        <v>2.699593264702993E-2</v>
      </c>
      <c r="S38" s="1747">
        <f>+S35/$O$35-1</f>
        <v>-0.17056750480084515</v>
      </c>
      <c r="T38" s="1746"/>
      <c r="U38" s="1746"/>
      <c r="V38" s="1746"/>
      <c r="W38" s="1746"/>
      <c r="X38" s="1746"/>
      <c r="Y38" s="1746"/>
      <c r="Z38" s="1746"/>
      <c r="AA38" s="1675"/>
      <c r="AB38" s="1090"/>
      <c r="AC38" s="1090"/>
      <c r="AD38" s="1090"/>
      <c r="AE38" s="2050"/>
      <c r="AF38" s="2050"/>
      <c r="AG38" s="1090"/>
      <c r="AH38" s="1090"/>
      <c r="AI38" s="1090"/>
      <c r="AJ38" s="7"/>
      <c r="AK38" s="1090"/>
      <c r="AL38" s="1090"/>
      <c r="AM38" s="867"/>
      <c r="AN38" s="1862"/>
      <c r="AO38" s="1090"/>
      <c r="AP38" s="1090"/>
      <c r="AR38" s="1090"/>
      <c r="AS38" s="1090"/>
    </row>
    <row r="39" spans="1:45" s="1085" customFormat="1" hidden="1">
      <c r="A39" s="91"/>
      <c r="B39" s="1745"/>
      <c r="C39" s="1746"/>
      <c r="D39" s="1746"/>
      <c r="E39" s="1746"/>
      <c r="F39" s="1746"/>
      <c r="G39" s="1746"/>
      <c r="H39" s="1746"/>
      <c r="I39" s="1746"/>
      <c r="J39" s="1746"/>
      <c r="K39" s="1746"/>
      <c r="L39" s="1746"/>
      <c r="M39" s="1746"/>
      <c r="N39" s="1746"/>
      <c r="O39" s="1746"/>
      <c r="P39" s="1746"/>
      <c r="Q39" s="1746"/>
      <c r="R39" s="1747"/>
      <c r="S39" s="1747"/>
      <c r="T39" s="1746"/>
      <c r="U39" s="1746"/>
      <c r="V39" s="1746"/>
      <c r="W39" s="1746"/>
      <c r="X39" s="1746"/>
      <c r="Y39" s="1746"/>
      <c r="Z39" s="1746"/>
      <c r="AA39" s="1675"/>
      <c r="AB39" s="1090"/>
      <c r="AC39" s="1090"/>
      <c r="AD39" s="1090"/>
      <c r="AE39" s="2050"/>
      <c r="AF39" s="2050"/>
      <c r="AG39" s="1090"/>
      <c r="AH39" s="1090"/>
      <c r="AI39" s="1090"/>
      <c r="AJ39" s="7"/>
      <c r="AK39" s="1090"/>
      <c r="AL39" s="1090"/>
      <c r="AM39" s="867"/>
      <c r="AN39" s="1862"/>
      <c r="AO39" s="1090"/>
      <c r="AP39" s="1090"/>
      <c r="AR39" s="1090"/>
      <c r="AS39" s="1090"/>
    </row>
    <row r="40" spans="1:45" ht="15" customHeight="1">
      <c r="A40" s="1671"/>
      <c r="B40" s="1748" t="s">
        <v>123</v>
      </c>
      <c r="C40" s="1749">
        <f>+FAT!CY139</f>
        <v>0</v>
      </c>
      <c r="D40" s="1749">
        <f>+FAT!CZ139</f>
        <v>0</v>
      </c>
      <c r="E40" s="1749">
        <f>+FAT!DA139</f>
        <v>0</v>
      </c>
      <c r="F40" s="1749">
        <f>+FAT!DB139</f>
        <v>0</v>
      </c>
      <c r="G40" s="1749">
        <f>+FAT!DC139</f>
        <v>0</v>
      </c>
      <c r="H40" s="1749">
        <f>+FAT!DD139</f>
        <v>0</v>
      </c>
      <c r="I40" s="1749">
        <f>+FAT!DE139</f>
        <v>0</v>
      </c>
      <c r="J40" s="1749">
        <f>+FAT!DF139</f>
        <v>0</v>
      </c>
      <c r="K40" s="1749">
        <f>+FAT!DG139</f>
        <v>0</v>
      </c>
      <c r="L40" s="1749">
        <f>+FAT!DH139</f>
        <v>0</v>
      </c>
      <c r="M40" s="1749">
        <f>+FAT!DI139</f>
        <v>0</v>
      </c>
      <c r="N40" s="1749">
        <f>+FAT!DJ160</f>
        <v>1773318</v>
      </c>
      <c r="O40" s="1749">
        <f>+FAT!DK160</f>
        <v>2388828</v>
      </c>
      <c r="P40" s="1749">
        <f>+FAT!DL160</f>
        <v>1661248</v>
      </c>
      <c r="Q40" s="1749">
        <f>+FAT!DM160</f>
        <v>1722346.1530200015</v>
      </c>
      <c r="R40" s="1749">
        <f>+FAT!DN160</f>
        <v>2463036</v>
      </c>
      <c r="S40" s="1749">
        <f>+FAT!DO160</f>
        <v>2103621</v>
      </c>
      <c r="T40" s="1749">
        <f>+FAT!DP160</f>
        <v>2647067</v>
      </c>
      <c r="U40" s="1749">
        <f>+FAT!DQ160</f>
        <v>3158272.2050564978</v>
      </c>
      <c r="V40" s="1749">
        <f>+FAT!DR160</f>
        <v>3194511.2799278111</v>
      </c>
      <c r="W40" s="1749">
        <f>+FAT!DS160</f>
        <v>3896311.1922436603</v>
      </c>
      <c r="X40" s="1749">
        <f>+FAT!DT160</f>
        <v>4263008.5404776456</v>
      </c>
      <c r="Y40" s="1749">
        <f>+FAT!DU160</f>
        <v>4646237.6330537191</v>
      </c>
      <c r="Z40" s="1749">
        <f>+FAT!DV160</f>
        <v>5053515.6082948549</v>
      </c>
      <c r="AA40" s="1669"/>
      <c r="AB40" s="1091"/>
      <c r="AC40" s="1091"/>
      <c r="AD40" s="1091"/>
      <c r="AE40" s="2047"/>
      <c r="AF40" s="2047"/>
      <c r="AG40" s="1091"/>
      <c r="AH40" s="2024"/>
      <c r="AI40" s="2024"/>
      <c r="AK40" s="2024">
        <v>2608</v>
      </c>
      <c r="AL40" s="2024">
        <v>2889</v>
      </c>
      <c r="AN40" s="1867"/>
      <c r="AO40" s="1881"/>
      <c r="AP40" s="1097"/>
      <c r="AR40" s="1881"/>
      <c r="AS40" s="1097"/>
    </row>
    <row r="41" spans="1:45" s="1085" customFormat="1">
      <c r="A41" s="91"/>
      <c r="B41" s="1750" t="s">
        <v>121</v>
      </c>
      <c r="C41" s="1751" t="e">
        <f>+C40/#REF!</f>
        <v>#REF!</v>
      </c>
      <c r="D41" s="1751" t="e">
        <f>+D40/#REF!</f>
        <v>#REF!</v>
      </c>
      <c r="E41" s="1751" t="e">
        <f>+E40/#REF!</f>
        <v>#REF!</v>
      </c>
      <c r="F41" s="1751" t="e">
        <f>+F40/#REF!</f>
        <v>#REF!</v>
      </c>
      <c r="G41" s="1751" t="e">
        <f>+G40/#REF!</f>
        <v>#REF!</v>
      </c>
      <c r="H41" s="1751" t="e">
        <f>+H40/#REF!</f>
        <v>#REF!</v>
      </c>
      <c r="I41" s="1751" t="e">
        <f>+I40/#REF!</f>
        <v>#REF!</v>
      </c>
      <c r="J41" s="1751" t="e">
        <f>+J40/#REF!</f>
        <v>#REF!</v>
      </c>
      <c r="K41" s="1751" t="e">
        <f>+K40/#REF!</f>
        <v>#REF!</v>
      </c>
      <c r="L41" s="1751" t="e">
        <f>+L40/#REF!</f>
        <v>#REF!</v>
      </c>
      <c r="M41" s="1751" t="e">
        <f>+M40/#REF!</f>
        <v>#REF!</v>
      </c>
      <c r="N41" s="1751">
        <f t="shared" ref="N41:Z41" si="57">+N40/N4</f>
        <v>0.21044435670579423</v>
      </c>
      <c r="O41" s="1751">
        <f t="shared" si="57"/>
        <v>0.2491363295185649</v>
      </c>
      <c r="P41" s="1751">
        <f t="shared" si="57"/>
        <v>0.22040710186037749</v>
      </c>
      <c r="Q41" s="1751">
        <f t="shared" si="57"/>
        <v>0.16292266985953385</v>
      </c>
      <c r="R41" s="1751">
        <f t="shared" si="57"/>
        <v>0.18559344237046155</v>
      </c>
      <c r="S41" s="1751">
        <f t="shared" si="57"/>
        <v>0.15413571765045173</v>
      </c>
      <c r="T41" s="1751">
        <f t="shared" si="57"/>
        <v>0.18336103421041003</v>
      </c>
      <c r="U41" s="1751">
        <f t="shared" si="57"/>
        <v>0.1996829832652689</v>
      </c>
      <c r="V41" s="1751">
        <f t="shared" si="57"/>
        <v>0.18923511821691238</v>
      </c>
      <c r="W41" s="1751">
        <f t="shared" si="57"/>
        <v>0.21300775629281382</v>
      </c>
      <c r="X41" s="1751">
        <f t="shared" si="57"/>
        <v>0.21816620786852223</v>
      </c>
      <c r="Y41" s="1751">
        <f t="shared" si="57"/>
        <v>0.22258789545780819</v>
      </c>
      <c r="Z41" s="1751">
        <f t="shared" si="57"/>
        <v>0.22664365380832266</v>
      </c>
      <c r="AA41" s="1675"/>
      <c r="AB41" s="1090"/>
      <c r="AC41" s="1090"/>
      <c r="AD41" s="1090"/>
      <c r="AE41" s="2050"/>
      <c r="AF41" s="2050"/>
      <c r="AG41" s="1090"/>
      <c r="AH41" s="1090"/>
      <c r="AI41" s="1090"/>
      <c r="AJ41" s="7"/>
      <c r="AK41" s="1090"/>
      <c r="AL41" s="1090"/>
      <c r="AM41" s="867"/>
      <c r="AN41" s="1862"/>
      <c r="AO41" s="1887"/>
      <c r="AP41" s="1852"/>
      <c r="AR41" s="1887"/>
      <c r="AS41" s="1852"/>
    </row>
    <row r="42" spans="1:45" s="1085" customFormat="1">
      <c r="A42" s="91"/>
      <c r="B42" s="1752" t="s">
        <v>124</v>
      </c>
      <c r="C42" s="1751"/>
      <c r="D42" s="1751"/>
      <c r="E42" s="1751"/>
      <c r="F42" s="1751"/>
      <c r="G42" s="1751"/>
      <c r="H42" s="1751"/>
      <c r="I42" s="1751"/>
      <c r="J42" s="1751"/>
      <c r="K42" s="1751"/>
      <c r="L42" s="1751"/>
      <c r="M42" s="1751"/>
      <c r="N42" s="1751"/>
      <c r="O42" s="1751"/>
      <c r="P42" s="1751"/>
      <c r="Q42" s="1751"/>
      <c r="R42" s="1753">
        <f>+R40/O40-1</f>
        <v>3.1064605739718365E-2</v>
      </c>
      <c r="S42" s="1753">
        <f>+S40/$O40-1</f>
        <v>-0.11939201985241299</v>
      </c>
      <c r="T42" s="1753">
        <f>+T40/$O40-1</f>
        <v>0.10810280187606636</v>
      </c>
      <c r="U42" s="1753">
        <f>+U40/$O40-1</f>
        <v>0.32210113288043241</v>
      </c>
      <c r="V42" s="1753">
        <f>+V40/$O40-1</f>
        <v>0.33727136483991771</v>
      </c>
      <c r="W42" s="1753">
        <f>+W40/$O40-1</f>
        <v>0.63105556040186239</v>
      </c>
      <c r="X42" s="1753">
        <f t="shared" ref="X42:Z42" si="58">+X40/$O40-1</f>
        <v>0.78456068853749428</v>
      </c>
      <c r="Y42" s="1753">
        <f t="shared" si="58"/>
        <v>0.9449862581373456</v>
      </c>
      <c r="Z42" s="1753">
        <f t="shared" si="58"/>
        <v>1.1154790584733831</v>
      </c>
      <c r="AA42" s="1675"/>
      <c r="AB42" s="1090"/>
      <c r="AC42" s="1090"/>
      <c r="AD42" s="1090"/>
      <c r="AE42" s="2050"/>
      <c r="AF42" s="2050"/>
      <c r="AG42" s="1090"/>
      <c r="AH42" s="1090"/>
      <c r="AI42" s="1090"/>
      <c r="AJ42" s="7"/>
      <c r="AK42" s="1090"/>
      <c r="AL42" s="1090"/>
      <c r="AM42" s="867"/>
      <c r="AN42" s="1862"/>
      <c r="AO42" s="1090"/>
      <c r="AP42" s="1090"/>
      <c r="AR42" s="1090"/>
      <c r="AS42" s="1090"/>
    </row>
    <row r="43" spans="1:45" ht="15" customHeight="1">
      <c r="A43" s="1671"/>
      <c r="B43" s="1754" t="s">
        <v>125</v>
      </c>
      <c r="C43" s="1749">
        <f>+FAT!CY142</f>
        <v>0</v>
      </c>
      <c r="D43" s="1749">
        <f>+FAT!CZ142</f>
        <v>0</v>
      </c>
      <c r="E43" s="1749">
        <f>+FAT!DA142</f>
        <v>0</v>
      </c>
      <c r="F43" s="1749">
        <f>+FAT!DB142</f>
        <v>0</v>
      </c>
      <c r="G43" s="1749">
        <f>+FAT!DC142</f>
        <v>0</v>
      </c>
      <c r="H43" s="1749">
        <f>+FAT!DD142</f>
        <v>0</v>
      </c>
      <c r="I43" s="1749">
        <f>+FAT!DE142</f>
        <v>0</v>
      </c>
      <c r="J43" s="1749">
        <f>+FAT!DF142</f>
        <v>0</v>
      </c>
      <c r="K43" s="1749">
        <f>+FAT!DG142</f>
        <v>0</v>
      </c>
      <c r="L43" s="1749">
        <f>+FAT!DH142</f>
        <v>0</v>
      </c>
      <c r="M43" s="1749">
        <f>+FAT!DI142</f>
        <v>0</v>
      </c>
      <c r="N43" s="1749">
        <f>+FAT!DJ$177</f>
        <v>1423887.1287299995</v>
      </c>
      <c r="O43" s="1749">
        <f>+FAT!DK$177</f>
        <v>1997344.5991925702</v>
      </c>
      <c r="P43" s="1749">
        <f>+FAT!DL$177</f>
        <v>1579443.2525800001</v>
      </c>
      <c r="Q43" s="1749">
        <f>+FAT!DM$177</f>
        <v>1475785.0030200016</v>
      </c>
      <c r="R43" s="1749">
        <f>+FAT!DN$177</f>
        <v>2271435.8200000003</v>
      </c>
      <c r="S43" s="1749">
        <f>+FAT!DO$177</f>
        <v>1980246.4778600002</v>
      </c>
      <c r="T43" s="1749">
        <f>+FAT!DP$177</f>
        <v>2329529.99767</v>
      </c>
      <c r="U43" s="1749">
        <f>+FAT!DQ$177</f>
        <v>2614145.5787355318</v>
      </c>
      <c r="V43" s="1749">
        <f>+FAT!DR$177</f>
        <v>2895893.3383757076</v>
      </c>
      <c r="W43" s="1749">
        <f>+FAT!DS$177</f>
        <v>3379871.063460445</v>
      </c>
      <c r="X43" s="1749">
        <f>+FAT!DT$177</f>
        <v>3714367.6908185715</v>
      </c>
      <c r="Y43" s="1749">
        <f>+FAT!DU$177</f>
        <v>4072765.6530239251</v>
      </c>
      <c r="Z43" s="1749">
        <f>+FAT!DV$177</f>
        <v>4456743.819826168</v>
      </c>
      <c r="AA43" s="1669"/>
      <c r="AB43" s="1091"/>
      <c r="AC43" s="1091"/>
      <c r="AD43" s="1091"/>
      <c r="AE43" s="2047"/>
      <c r="AF43" s="2047"/>
      <c r="AG43" s="1091"/>
      <c r="AH43" s="2025"/>
      <c r="AI43" s="2026"/>
      <c r="AK43" s="2025">
        <v>2410</v>
      </c>
      <c r="AL43" s="2026">
        <v>2801</v>
      </c>
      <c r="AN43" s="1867"/>
      <c r="AO43" s="1881"/>
      <c r="AP43" s="1097"/>
      <c r="AR43" s="1881">
        <f>+AR44*AR6</f>
        <v>2810.527</v>
      </c>
      <c r="AS43" s="1881">
        <f>+AS44*AS6</f>
        <v>3182.5871999999999</v>
      </c>
    </row>
    <row r="44" spans="1:45" s="1825" customFormat="1">
      <c r="A44" s="1819"/>
      <c r="B44" s="1820" t="s">
        <v>121</v>
      </c>
      <c r="C44" s="1821" t="e">
        <f>+C43/#REF!</f>
        <v>#REF!</v>
      </c>
      <c r="D44" s="1821" t="e">
        <f>+D43/#REF!</f>
        <v>#REF!</v>
      </c>
      <c r="E44" s="1821" t="e">
        <f>+E43/#REF!</f>
        <v>#REF!</v>
      </c>
      <c r="F44" s="1821" t="e">
        <f>+F43/#REF!</f>
        <v>#REF!</v>
      </c>
      <c r="G44" s="1821" t="e">
        <f>+G43/#REF!</f>
        <v>#REF!</v>
      </c>
      <c r="H44" s="1821" t="e">
        <f>+H43/#REF!</f>
        <v>#REF!</v>
      </c>
      <c r="I44" s="1821" t="e">
        <f>+I43/#REF!</f>
        <v>#REF!</v>
      </c>
      <c r="J44" s="1821" t="e">
        <f>+J43/#REF!</f>
        <v>#REF!</v>
      </c>
      <c r="K44" s="1821" t="e">
        <f>+K43/#REF!</f>
        <v>#REF!</v>
      </c>
      <c r="L44" s="1821" t="e">
        <f>+L43/#REF!</f>
        <v>#REF!</v>
      </c>
      <c r="M44" s="1821" t="e">
        <f>+M43/#REF!</f>
        <v>#REF!</v>
      </c>
      <c r="N44" s="1821">
        <f t="shared" ref="N44:Z44" si="59">+N43/N6</f>
        <v>0.19022107722158485</v>
      </c>
      <c r="O44" s="1821">
        <f t="shared" si="59"/>
        <v>0.23568341640134577</v>
      </c>
      <c r="P44" s="1821">
        <f t="shared" si="59"/>
        <v>0.23713331072966568</v>
      </c>
      <c r="Q44" s="1821">
        <f t="shared" si="59"/>
        <v>0.15443985529566115</v>
      </c>
      <c r="R44" s="1821">
        <f t="shared" si="59"/>
        <v>0.19622287886058801</v>
      </c>
      <c r="S44" s="1821">
        <f t="shared" si="59"/>
        <v>0.16916017114315834</v>
      </c>
      <c r="T44" s="1821">
        <f t="shared" si="59"/>
        <v>0.18383358501809113</v>
      </c>
      <c r="U44" s="1821">
        <f t="shared" si="59"/>
        <v>0.18864245384683581</v>
      </c>
      <c r="V44" s="1821">
        <f t="shared" si="59"/>
        <v>0.19486818356122912</v>
      </c>
      <c r="W44" s="1821">
        <f t="shared" si="59"/>
        <v>0.20954932076151456</v>
      </c>
      <c r="X44" s="1821">
        <f t="shared" si="59"/>
        <v>0.21383341324269858</v>
      </c>
      <c r="Y44" s="1821">
        <f t="shared" si="59"/>
        <v>0.21784936154262827</v>
      </c>
      <c r="Z44" s="1821">
        <f t="shared" si="59"/>
        <v>0.2216252879989212</v>
      </c>
      <c r="AA44" s="1822"/>
      <c r="AB44" s="1823"/>
      <c r="AC44" s="1823"/>
      <c r="AD44" s="1823"/>
      <c r="AE44" s="2051"/>
      <c r="AF44" s="2051"/>
      <c r="AG44" s="1823"/>
      <c r="AH44" s="1823"/>
      <c r="AI44" s="1823"/>
      <c r="AJ44" s="108"/>
      <c r="AK44" s="1887"/>
      <c r="AL44" s="1887"/>
      <c r="AM44" s="1824"/>
      <c r="AN44" s="1868"/>
      <c r="AO44" s="1887"/>
      <c r="AP44" s="1852"/>
      <c r="AR44" s="2020">
        <v>0.20200000000000001</v>
      </c>
      <c r="AS44" s="2020">
        <v>0.20799999999999999</v>
      </c>
    </row>
    <row r="45" spans="1:45" s="1085" customFormat="1">
      <c r="A45" s="91"/>
      <c r="B45" s="1752" t="s">
        <v>124</v>
      </c>
      <c r="C45" s="1751"/>
      <c r="D45" s="1751"/>
      <c r="E45" s="1751"/>
      <c r="F45" s="1751"/>
      <c r="G45" s="1751"/>
      <c r="H45" s="1751"/>
      <c r="I45" s="1751"/>
      <c r="J45" s="1751"/>
      <c r="K45" s="1751"/>
      <c r="L45" s="1751"/>
      <c r="M45" s="1751"/>
      <c r="N45" s="1751"/>
      <c r="O45" s="1751"/>
      <c r="P45" s="1751"/>
      <c r="Q45" s="1751"/>
      <c r="R45" s="1753">
        <f>+R43/O43-1</f>
        <v>0.1372278078195579</v>
      </c>
      <c r="S45" s="1753">
        <f>+S43/$O43-1</f>
        <v>-8.560426347802963E-3</v>
      </c>
      <c r="T45" s="1753">
        <f>+T43/$O43-1</f>
        <v>0.16631351375807468</v>
      </c>
      <c r="U45" s="1753">
        <f>+U43/$O43-1</f>
        <v>0.30881049759380752</v>
      </c>
      <c r="V45" s="1753">
        <f>+V43/$O43-1</f>
        <v>0.44987166438198867</v>
      </c>
      <c r="W45" s="1753">
        <f>+W43/$O43-1</f>
        <v>0.69218224277711693</v>
      </c>
      <c r="X45" s="1753">
        <f t="shared" ref="X45:Z45" si="60">+X43/$O43-1</f>
        <v>0.8596529073251109</v>
      </c>
      <c r="Y45" s="1753">
        <f t="shared" si="60"/>
        <v>1.039090127297186</v>
      </c>
      <c r="Z45" s="1753">
        <f t="shared" si="60"/>
        <v>1.2313344535679089</v>
      </c>
      <c r="AA45" s="1675"/>
      <c r="AB45" s="1090"/>
      <c r="AC45" s="1090"/>
      <c r="AD45" s="1090"/>
      <c r="AE45" s="2050"/>
      <c r="AF45" s="2050"/>
      <c r="AG45" s="1090"/>
      <c r="AH45" s="1090"/>
      <c r="AI45" s="1090"/>
      <c r="AJ45" s="7"/>
      <c r="AK45" s="1090"/>
      <c r="AL45" s="1090"/>
      <c r="AM45" s="867"/>
      <c r="AN45" s="1862"/>
      <c r="AO45" s="1090"/>
      <c r="AP45" s="1090"/>
      <c r="AR45" s="1090"/>
      <c r="AS45" s="1090"/>
    </row>
    <row r="46" spans="1:45" ht="15" customHeight="1">
      <c r="A46" s="1671"/>
      <c r="B46" s="1754" t="s">
        <v>126</v>
      </c>
      <c r="C46" s="1749">
        <f>+FAT!CY152</f>
        <v>0</v>
      </c>
      <c r="D46" s="1749">
        <f>+FAT!CZ152</f>
        <v>0</v>
      </c>
      <c r="E46" s="1749">
        <f>+FAT!DA152</f>
        <v>0</v>
      </c>
      <c r="F46" s="1749">
        <f>+FAT!DB152</f>
        <v>0</v>
      </c>
      <c r="G46" s="1749">
        <f>+FAT!DC152</f>
        <v>0</v>
      </c>
      <c r="H46" s="1749">
        <f>+FAT!DD152</f>
        <v>0</v>
      </c>
      <c r="I46" s="1749">
        <f>+FAT!DE152</f>
        <v>0</v>
      </c>
      <c r="J46" s="1749">
        <f>+FAT!DF152</f>
        <v>0</v>
      </c>
      <c r="K46" s="1749">
        <f>+FAT!DG152</f>
        <v>0</v>
      </c>
      <c r="L46" s="1749">
        <f>+FAT!DH152</f>
        <v>0</v>
      </c>
      <c r="M46" s="1749">
        <f>+FAT!DI152</f>
        <v>0</v>
      </c>
      <c r="N46" s="1749">
        <f>+FAT!DJ181</f>
        <v>349430.87127000053</v>
      </c>
      <c r="O46" s="1749">
        <f>+FAT!DK181</f>
        <v>391483.40080742986</v>
      </c>
      <c r="P46" s="1749">
        <f>+FAT!DL181</f>
        <v>81804.747419999971</v>
      </c>
      <c r="Q46" s="1749">
        <f>+FAT!DM181</f>
        <v>246561.14999999997</v>
      </c>
      <c r="R46" s="1749">
        <f>+FAT!DN181</f>
        <v>81536.179999999891</v>
      </c>
      <c r="S46" s="1749">
        <f>+FAT!DO181</f>
        <v>-95871.477860000115</v>
      </c>
      <c r="T46" s="1749">
        <f>+FAT!DP181</f>
        <v>167856.00232999987</v>
      </c>
      <c r="U46" s="1749">
        <f>+FAT!DQ181</f>
        <v>464185.53935867519</v>
      </c>
      <c r="V46" s="1749">
        <f>+FAT!DR181</f>
        <v>214212.06303366504</v>
      </c>
      <c r="W46" s="1749">
        <f>+FAT!DS181</f>
        <v>424980.75518914848</v>
      </c>
      <c r="X46" s="1749">
        <f>+FAT!DT181</f>
        <v>450939.91370462149</v>
      </c>
      <c r="Y46" s="1749">
        <f>+FAT!DU181</f>
        <v>469103.37491095869</v>
      </c>
      <c r="Z46" s="1749">
        <f>+FAT!DV181</f>
        <v>485285.86059512972</v>
      </c>
      <c r="AA46" s="1669"/>
      <c r="AB46" s="1091"/>
      <c r="AC46" s="1091"/>
      <c r="AD46" s="1091"/>
      <c r="AE46" s="2047"/>
      <c r="AF46" s="2047"/>
      <c r="AG46" s="1091"/>
      <c r="AH46" s="1091"/>
      <c r="AI46" s="1091"/>
      <c r="AK46" s="1888"/>
      <c r="AL46" s="1888"/>
      <c r="AN46" s="1867"/>
      <c r="AO46" s="1888"/>
      <c r="AP46" s="1853"/>
      <c r="AR46" s="1888"/>
      <c r="AS46" s="1853"/>
    </row>
    <row r="47" spans="1:45" s="1085" customFormat="1">
      <c r="A47" s="91"/>
      <c r="B47" s="1755" t="s">
        <v>121</v>
      </c>
      <c r="C47" s="1751" t="e">
        <f>+C46/#REF!</f>
        <v>#REF!</v>
      </c>
      <c r="D47" s="1751" t="e">
        <f>+D46/#REF!</f>
        <v>#REF!</v>
      </c>
      <c r="E47" s="1751" t="e">
        <f>+E46/#REF!</f>
        <v>#REF!</v>
      </c>
      <c r="F47" s="1751" t="e">
        <f>+F46/#REF!</f>
        <v>#REF!</v>
      </c>
      <c r="G47" s="1751" t="e">
        <f>+G46/#REF!</f>
        <v>#REF!</v>
      </c>
      <c r="H47" s="1751" t="e">
        <f>+H46/#REF!</f>
        <v>#REF!</v>
      </c>
      <c r="I47" s="1751" t="e">
        <f>+I46/#REF!</f>
        <v>#REF!</v>
      </c>
      <c r="J47" s="1751" t="e">
        <f>+J46/#REF!</f>
        <v>#REF!</v>
      </c>
      <c r="K47" s="1751" t="e">
        <f>+K46/#REF!</f>
        <v>#REF!</v>
      </c>
      <c r="L47" s="1751" t="e">
        <f>+L46/#REF!</f>
        <v>#REF!</v>
      </c>
      <c r="M47" s="1751" t="e">
        <f>+M46/#REF!</f>
        <v>#REF!</v>
      </c>
      <c r="N47" s="1751">
        <f t="shared" ref="N47:Z47" si="61">+N46/N8</f>
        <v>0.3712973126038675</v>
      </c>
      <c r="O47" s="1751">
        <f t="shared" si="61"/>
        <v>0.35150214125277429</v>
      </c>
      <c r="P47" s="1751">
        <f t="shared" si="61"/>
        <v>9.3319538608433145E-2</v>
      </c>
      <c r="Q47" s="1751">
        <f t="shared" si="61"/>
        <v>0.24271896953759364</v>
      </c>
      <c r="R47" s="1751">
        <f t="shared" si="61"/>
        <v>4.8094237032999768E-2</v>
      </c>
      <c r="S47" s="1751">
        <f t="shared" si="61"/>
        <v>-4.9379878156629774E-2</v>
      </c>
      <c r="T47" s="1751">
        <f t="shared" si="61"/>
        <v>9.5134028670109477E-2</v>
      </c>
      <c r="U47" s="1751">
        <f t="shared" si="61"/>
        <v>0.23697956638041262</v>
      </c>
      <c r="V47" s="1751">
        <f t="shared" si="61"/>
        <v>0.10602484219459726</v>
      </c>
      <c r="W47" s="1751">
        <f t="shared" si="61"/>
        <v>0.19651055373570384</v>
      </c>
      <c r="X47" s="1751">
        <f t="shared" si="61"/>
        <v>0.20782489817455843</v>
      </c>
      <c r="Y47" s="1751">
        <f t="shared" si="61"/>
        <v>0.21534394839038695</v>
      </c>
      <c r="Z47" s="1751">
        <f t="shared" si="61"/>
        <v>0.22181246325169293</v>
      </c>
      <c r="AA47" s="1675"/>
      <c r="AB47" s="1090"/>
      <c r="AC47" s="1090"/>
      <c r="AD47" s="1090"/>
      <c r="AE47" s="2050"/>
      <c r="AF47" s="2050"/>
      <c r="AG47" s="1090"/>
      <c r="AH47" s="1090"/>
      <c r="AI47" s="1090"/>
      <c r="AJ47" s="7"/>
      <c r="AK47" s="1887"/>
      <c r="AL47" s="1887"/>
      <c r="AM47" s="867"/>
      <c r="AN47" s="1862"/>
      <c r="AO47" s="1887"/>
      <c r="AP47" s="1852"/>
      <c r="AR47" s="1887"/>
      <c r="AS47" s="1852"/>
    </row>
    <row r="48" spans="1:45" s="1085" customFormat="1">
      <c r="A48" s="91"/>
      <c r="B48" s="1752" t="s">
        <v>124</v>
      </c>
      <c r="C48" s="1751"/>
      <c r="D48" s="1751"/>
      <c r="E48" s="1751"/>
      <c r="F48" s="1751"/>
      <c r="G48" s="1751"/>
      <c r="H48" s="1751"/>
      <c r="I48" s="1751"/>
      <c r="J48" s="1751"/>
      <c r="K48" s="1751"/>
      <c r="L48" s="1751"/>
      <c r="M48" s="1751"/>
      <c r="N48" s="1751"/>
      <c r="O48" s="1751"/>
      <c r="P48" s="1751"/>
      <c r="Q48" s="1751"/>
      <c r="R48" s="1753">
        <f>+R46/O46-1</f>
        <v>-0.79172506463407522</v>
      </c>
      <c r="S48" s="1753">
        <f>+S46/$O46-1</f>
        <v>-1.2448928298422521</v>
      </c>
      <c r="T48" s="1753">
        <f>+T46/$O46-1</f>
        <v>-0.57123085682867047</v>
      </c>
      <c r="U48" s="1753">
        <f>+U46/$O46-1</f>
        <v>0.18570937720807068</v>
      </c>
      <c r="V48" s="1753">
        <f>+V46/$O46-1</f>
        <v>-0.45281955099027138</v>
      </c>
      <c r="W48" s="1753">
        <f>+W46/$O46-1</f>
        <v>8.5565197177276842E-2</v>
      </c>
      <c r="X48" s="1753">
        <f t="shared" ref="X48:Z48" si="62">+X46/$O46-1</f>
        <v>0.15187492694342408</v>
      </c>
      <c r="Y48" s="1753">
        <f t="shared" si="62"/>
        <v>0.19827143103242317</v>
      </c>
      <c r="Z48" s="1753">
        <f t="shared" si="62"/>
        <v>0.23960775755557817</v>
      </c>
      <c r="AA48" s="1675"/>
      <c r="AB48" s="1090"/>
      <c r="AC48" s="1090"/>
      <c r="AD48" s="1090"/>
      <c r="AE48" s="2050"/>
      <c r="AF48" s="2050"/>
      <c r="AG48" s="1090"/>
      <c r="AH48" s="1090"/>
      <c r="AI48" s="1090"/>
      <c r="AJ48" s="7"/>
      <c r="AK48" s="1090"/>
      <c r="AL48" s="1090"/>
      <c r="AM48" s="867"/>
      <c r="AN48" s="1862"/>
      <c r="AO48" s="1090"/>
      <c r="AP48" s="1090"/>
      <c r="AR48" s="1090"/>
      <c r="AS48" s="1090"/>
    </row>
    <row r="49" spans="1:78" s="1982" customFormat="1" ht="11.25">
      <c r="A49" s="1976"/>
      <c r="B49" s="1977" t="s">
        <v>127</v>
      </c>
      <c r="C49" s="1978"/>
      <c r="D49" s="1978"/>
      <c r="E49" s="1978"/>
      <c r="F49" s="1978"/>
      <c r="G49" s="1978"/>
      <c r="H49" s="1978"/>
      <c r="I49" s="1978"/>
      <c r="J49" s="1978"/>
      <c r="K49" s="1978"/>
      <c r="L49" s="1978"/>
      <c r="M49" s="1978"/>
      <c r="N49" s="1978">
        <f t="shared" ref="N49:Z49" si="63">+N40-N43-N46</f>
        <v>0</v>
      </c>
      <c r="O49" s="1978">
        <f t="shared" si="63"/>
        <v>0</v>
      </c>
      <c r="P49" s="1978">
        <f t="shared" si="63"/>
        <v>0</v>
      </c>
      <c r="Q49" s="1978">
        <f t="shared" si="63"/>
        <v>0</v>
      </c>
      <c r="R49" s="1978">
        <f t="shared" si="63"/>
        <v>110063.99999999981</v>
      </c>
      <c r="S49" s="1978">
        <f t="shared" si="63"/>
        <v>219245.99999999988</v>
      </c>
      <c r="T49" s="1978">
        <f t="shared" si="63"/>
        <v>149681.00000000017</v>
      </c>
      <c r="U49" s="1978">
        <f t="shared" si="63"/>
        <v>79941.086962290865</v>
      </c>
      <c r="V49" s="1978">
        <f t="shared" si="63"/>
        <v>84405.878518438461</v>
      </c>
      <c r="W49" s="1978">
        <f t="shared" si="63"/>
        <v>91459.373594066827</v>
      </c>
      <c r="X49" s="1978">
        <f t="shared" si="63"/>
        <v>97700.935954452609</v>
      </c>
      <c r="Y49" s="1978">
        <f t="shared" si="63"/>
        <v>104368.60511883523</v>
      </c>
      <c r="Z49" s="1978">
        <f t="shared" si="63"/>
        <v>111485.92787355714</v>
      </c>
      <c r="AA49" s="1976"/>
      <c r="AB49" s="1979"/>
      <c r="AC49" s="1979"/>
      <c r="AD49" s="1979"/>
      <c r="AE49" s="2041"/>
      <c r="AF49" s="2041"/>
      <c r="AG49" s="1979"/>
      <c r="AH49" s="1979"/>
      <c r="AI49" s="1979"/>
      <c r="AJ49" s="1976"/>
      <c r="AK49" s="1979"/>
      <c r="AL49" s="1979"/>
      <c r="AM49" s="1980"/>
      <c r="AN49" s="1981"/>
      <c r="AO49" s="1979"/>
      <c r="AP49" s="1979"/>
      <c r="AR49" s="1979"/>
      <c r="AS49" s="1979"/>
    </row>
    <row r="50" spans="1:78" s="1982" customFormat="1" ht="11.25">
      <c r="A50" s="1976"/>
      <c r="B50" s="1977"/>
      <c r="C50" s="1978"/>
      <c r="D50" s="1978"/>
      <c r="E50" s="1978"/>
      <c r="F50" s="1978"/>
      <c r="G50" s="1978"/>
      <c r="H50" s="1978"/>
      <c r="I50" s="1978"/>
      <c r="J50" s="1978"/>
      <c r="K50" s="1978"/>
      <c r="L50" s="1978"/>
      <c r="M50" s="1978"/>
      <c r="N50" s="1978"/>
      <c r="O50" s="1978"/>
      <c r="P50" s="1978"/>
      <c r="Q50" s="1978"/>
      <c r="R50" s="1978"/>
      <c r="S50" s="1978"/>
      <c r="T50" s="1978"/>
      <c r="U50" s="1978"/>
      <c r="V50" s="1978"/>
      <c r="W50" s="1978"/>
      <c r="X50" s="1978"/>
      <c r="Y50" s="1978"/>
      <c r="Z50" s="1978"/>
      <c r="AA50" s="1976"/>
      <c r="AB50" s="1979"/>
      <c r="AC50" s="1979"/>
      <c r="AD50" s="1979"/>
      <c r="AE50" s="2041"/>
      <c r="AF50" s="2041"/>
      <c r="AG50" s="1979"/>
      <c r="AH50" s="1979"/>
      <c r="AI50" s="1979"/>
      <c r="AJ50" s="1976"/>
      <c r="AK50" s="1979"/>
      <c r="AL50" s="1979"/>
      <c r="AM50" s="1980"/>
      <c r="AN50" s="1981"/>
      <c r="AO50" s="1979"/>
      <c r="AP50" s="1979"/>
      <c r="AR50" s="1979"/>
      <c r="AS50" s="1979"/>
    </row>
    <row r="51" spans="1:78" ht="15" customHeight="1">
      <c r="A51" s="1671"/>
      <c r="B51" s="1757" t="s">
        <v>128</v>
      </c>
      <c r="C51" s="1758">
        <f>+FAT!CY148</f>
        <v>255875</v>
      </c>
      <c r="D51" s="1758">
        <f>+FAT!CZ148</f>
        <v>272847</v>
      </c>
      <c r="E51" s="1758">
        <f>+FAT!DA148</f>
        <v>361936</v>
      </c>
      <c r="F51" s="1758">
        <f>+FAT!DB148</f>
        <v>504699</v>
      </c>
      <c r="G51" s="1758">
        <f>+FAT!DC148</f>
        <v>595589</v>
      </c>
      <c r="H51" s="1758">
        <f>+FAT!DD148</f>
        <v>714164</v>
      </c>
      <c r="I51" s="1758">
        <f>+FAT!DE148</f>
        <v>836609</v>
      </c>
      <c r="J51" s="1758">
        <f>+FAT!DF148</f>
        <v>1015155.789</v>
      </c>
      <c r="K51" s="1758">
        <f>+FAT!DG148</f>
        <v>1198033.3682800001</v>
      </c>
      <c r="L51" s="1758">
        <f>+FAT!DH148</f>
        <v>1286952</v>
      </c>
      <c r="M51" s="1758">
        <f>+FAT!DI148</f>
        <v>1416291</v>
      </c>
      <c r="N51" s="1758">
        <f>+FAT!DJ195</f>
        <v>1773318</v>
      </c>
      <c r="O51" s="1758">
        <f>+FAT!DK195</f>
        <v>1953206.8287</v>
      </c>
      <c r="P51" s="1758">
        <f>+FAT!DL195</f>
        <v>1190436.5852899998</v>
      </c>
      <c r="Q51" s="1758">
        <f>+FAT!DM195</f>
        <v>1108237.2211100014</v>
      </c>
      <c r="R51" s="1758">
        <f>+FAT!DN195</f>
        <v>1752877.77</v>
      </c>
      <c r="S51" s="1758">
        <f>+FAT!DO195</f>
        <v>1429591.5963999999</v>
      </c>
      <c r="T51" s="1758">
        <f>+FAT!DP195</f>
        <v>1934588</v>
      </c>
      <c r="U51" s="1758">
        <f>+FAT!DQ195</f>
        <v>2428584.2092499314</v>
      </c>
      <c r="V51" s="1758">
        <f>+FAT!DR195</f>
        <v>2341576.4815007485</v>
      </c>
      <c r="W51" s="1758">
        <f>+FAT!DS195</f>
        <v>2948329.7300652107</v>
      </c>
      <c r="X51" s="1758">
        <f>+FAT!DT195</f>
        <v>3237166.9990883153</v>
      </c>
      <c r="Y51" s="1758">
        <f>+FAT!DU195</f>
        <v>3534343.3866145634</v>
      </c>
      <c r="Z51" s="1758">
        <f>+FAT!DV195</f>
        <v>3844995.6003807783</v>
      </c>
      <c r="AA51" s="1669"/>
      <c r="AB51" s="1091" t="s">
        <v>119</v>
      </c>
      <c r="AC51" s="1091"/>
      <c r="AD51" s="1091"/>
      <c r="AE51" s="2047"/>
      <c r="AF51" s="2047"/>
      <c r="AG51" s="1091"/>
      <c r="AH51" s="1091"/>
      <c r="AI51" s="1091"/>
      <c r="AK51" s="1091"/>
      <c r="AL51" s="1091"/>
      <c r="AN51" s="1867"/>
      <c r="AO51" s="1091"/>
      <c r="AP51" s="1083"/>
      <c r="AR51" s="1091"/>
      <c r="AS51" s="1083"/>
    </row>
    <row r="52" spans="1:78" s="1085" customFormat="1">
      <c r="A52" s="91"/>
      <c r="B52" s="1759" t="s">
        <v>121</v>
      </c>
      <c r="C52" s="1756">
        <f t="shared" ref="C52:Z52" si="64">+C51/C4</f>
        <v>0.1325132487354598</v>
      </c>
      <c r="D52" s="1756">
        <f t="shared" si="64"/>
        <v>0.12498677283215308</v>
      </c>
      <c r="E52" s="1756">
        <f t="shared" si="64"/>
        <v>0.15312731106586994</v>
      </c>
      <c r="F52" s="1756">
        <f t="shared" si="64"/>
        <v>0.18343765833205516</v>
      </c>
      <c r="G52" s="1756">
        <f t="shared" si="64"/>
        <v>0.18390652336761421</v>
      </c>
      <c r="H52" s="1756">
        <f t="shared" si="64"/>
        <v>0.18489644552192513</v>
      </c>
      <c r="I52" s="1756">
        <f t="shared" si="64"/>
        <v>0.19142697366042602</v>
      </c>
      <c r="J52" s="1756">
        <f t="shared" si="64"/>
        <v>0.19462178405703634</v>
      </c>
      <c r="K52" s="1756">
        <f t="shared" si="64"/>
        <v>0.1949543966329482</v>
      </c>
      <c r="L52" s="1756">
        <f t="shared" si="64"/>
        <v>0.19947857734074445</v>
      </c>
      <c r="M52" s="1756">
        <f t="shared" si="64"/>
        <v>0.19025160844430744</v>
      </c>
      <c r="N52" s="1756">
        <f t="shared" si="64"/>
        <v>0.21044435670579423</v>
      </c>
      <c r="O52" s="1756">
        <f t="shared" si="64"/>
        <v>0.20370440236505699</v>
      </c>
      <c r="P52" s="1756">
        <f t="shared" si="64"/>
        <v>0.15794190735659755</v>
      </c>
      <c r="Q52" s="1756">
        <f t="shared" si="64"/>
        <v>0.10483198547769229</v>
      </c>
      <c r="R52" s="1756">
        <f t="shared" si="64"/>
        <v>0.13208195876510054</v>
      </c>
      <c r="S52" s="1756">
        <f t="shared" si="64"/>
        <v>0.10474849160479427</v>
      </c>
      <c r="T52" s="1756">
        <f t="shared" si="64"/>
        <v>0.13400796294579953</v>
      </c>
      <c r="U52" s="1756">
        <f t="shared" si="64"/>
        <v>0.1535481771449384</v>
      </c>
      <c r="V52" s="1756">
        <f t="shared" si="64"/>
        <v>0.13870932467039188</v>
      </c>
      <c r="W52" s="1756">
        <f t="shared" si="64"/>
        <v>0.16118247994738563</v>
      </c>
      <c r="X52" s="1756">
        <f t="shared" si="64"/>
        <v>0.16566714369028487</v>
      </c>
      <c r="Y52" s="1756">
        <f t="shared" si="64"/>
        <v>0.1693202367987153</v>
      </c>
      <c r="Z52" s="1756">
        <f t="shared" si="64"/>
        <v>0.17244309096757007</v>
      </c>
      <c r="AA52" s="1675"/>
      <c r="AB52" s="1090"/>
      <c r="AC52" s="1090"/>
      <c r="AD52" s="1090"/>
      <c r="AE52" s="2050"/>
      <c r="AF52" s="2050"/>
      <c r="AG52" s="1090"/>
      <c r="AH52" s="1090"/>
      <c r="AI52" s="1090"/>
      <c r="AJ52" s="7"/>
      <c r="AK52" s="1090"/>
      <c r="AL52" s="1090"/>
      <c r="AM52" s="867"/>
      <c r="AN52" s="1862"/>
      <c r="AO52" s="1090"/>
      <c r="AP52" s="1090"/>
      <c r="AR52" s="1090"/>
      <c r="AS52" s="1090"/>
    </row>
    <row r="53" spans="1:78" s="1900" customFormat="1" ht="15" customHeight="1" thickBot="1">
      <c r="A53" s="1893"/>
      <c r="B53" s="1894" t="s">
        <v>129</v>
      </c>
      <c r="C53" s="1895">
        <f>+FAT!CY151</f>
        <v>0.1325132487354598</v>
      </c>
      <c r="D53" s="1895">
        <f>+FAT!CZ151</f>
        <v>0.12498677283215308</v>
      </c>
      <c r="E53" s="1895">
        <f>+FAT!DA151</f>
        <v>0.15312731106586994</v>
      </c>
      <c r="F53" s="1895">
        <f>+FAT!DB151</f>
        <v>0.18343765833205516</v>
      </c>
      <c r="G53" s="1895">
        <f>+FAT!DC151</f>
        <v>0.18390652336761421</v>
      </c>
      <c r="H53" s="1895">
        <f>+FAT!DD151</f>
        <v>0.18489644552192513</v>
      </c>
      <c r="I53" s="1895">
        <f>+FAT!DE151</f>
        <v>0.19142697366042602</v>
      </c>
      <c r="J53" s="1895">
        <f>+FAT!DF151</f>
        <v>0</v>
      </c>
      <c r="K53" s="1895">
        <f>+FAT!DG151</f>
        <v>3.3261257591185589E-4</v>
      </c>
      <c r="L53" s="1895">
        <f>+FAT!DH151</f>
        <v>4.5241807077962548E-3</v>
      </c>
      <c r="M53" s="1895">
        <f>+FAT!DI151</f>
        <v>-9.22696889643701E-3</v>
      </c>
      <c r="N53" s="1895">
        <f>+FAT!DJ210</f>
        <v>1423887.1287299995</v>
      </c>
      <c r="O53" s="1895">
        <f>+FAT!DK210</f>
        <v>1561793.1542325697</v>
      </c>
      <c r="P53" s="1895">
        <f>+FAT!DL210</f>
        <v>1108523.22223</v>
      </c>
      <c r="Q53" s="1895">
        <f>+FAT!DM210</f>
        <v>862139</v>
      </c>
      <c r="R53" s="1895">
        <f>+FAT!DN210</f>
        <v>1562502.55</v>
      </c>
      <c r="S53" s="1895">
        <f>+FAT!DO210</f>
        <v>1306217.0742600001</v>
      </c>
      <c r="T53" s="1895">
        <f>+FAT!DP210</f>
        <v>1617050.9976700002</v>
      </c>
      <c r="U53" s="1895">
        <f>+FAT!DQ210</f>
        <v>1884457.5829289651</v>
      </c>
      <c r="V53" s="1895">
        <f>+FAT!DR210</f>
        <v>2042958.539948645</v>
      </c>
      <c r="W53" s="1895">
        <f>+FAT!DS210</f>
        <v>2431889.6012819959</v>
      </c>
      <c r="X53" s="1895">
        <f>+FAT!DT210</f>
        <v>2688526.1494292412</v>
      </c>
      <c r="Y53" s="1895">
        <f>+FAT!DU210</f>
        <v>2960871.4065847695</v>
      </c>
      <c r="Z53" s="1895">
        <f>+FAT!DV210</f>
        <v>3248223.8119120905</v>
      </c>
      <c r="AA53" s="1896"/>
      <c r="AB53" s="1897" t="s">
        <v>130</v>
      </c>
      <c r="AC53" s="1897"/>
      <c r="AD53" s="1897"/>
      <c r="AE53" s="2052"/>
      <c r="AF53" s="2052"/>
      <c r="AG53" s="1897"/>
      <c r="AH53" s="2023">
        <v>1.9510000000000001</v>
      </c>
      <c r="AI53" s="2023">
        <v>2.2290000000000001</v>
      </c>
      <c r="AJ53" s="1098"/>
      <c r="AK53" s="1897"/>
      <c r="AL53" s="1897"/>
      <c r="AM53" s="1898"/>
      <c r="AN53" s="1899"/>
      <c r="AO53" s="1897"/>
      <c r="AP53" s="1099"/>
      <c r="AR53" s="1897"/>
      <c r="AS53" s="1099"/>
    </row>
    <row r="54" spans="1:78" s="1085" customFormat="1">
      <c r="A54" s="91"/>
      <c r="B54" s="1761" t="s">
        <v>121</v>
      </c>
      <c r="C54" s="1756">
        <f t="shared" ref="C54:M54" si="65">+C53/C6</f>
        <v>7.5647160252881621E-8</v>
      </c>
      <c r="D54" s="1756">
        <f t="shared" si="65"/>
        <v>6.3898482087949504E-8</v>
      </c>
      <c r="E54" s="1756">
        <f t="shared" si="65"/>
        <v>7.2367464299273725E-8</v>
      </c>
      <c r="F54" s="1756">
        <f t="shared" si="65"/>
        <v>7.4486884363586709E-8</v>
      </c>
      <c r="G54" s="1756">
        <f t="shared" si="65"/>
        <v>6.3490128953100513E-8</v>
      </c>
      <c r="H54" s="1756">
        <f t="shared" si="65"/>
        <v>5.3408024795758799E-8</v>
      </c>
      <c r="I54" s="1756">
        <f t="shared" si="65"/>
        <v>4.891069553790505E-8</v>
      </c>
      <c r="J54" s="1756">
        <f t="shared" si="65"/>
        <v>0</v>
      </c>
      <c r="K54" s="1756">
        <f t="shared" si="65"/>
        <v>6.102029112363643E-11</v>
      </c>
      <c r="L54" s="1756">
        <f t="shared" si="65"/>
        <v>7.9069766805870764E-10</v>
      </c>
      <c r="M54" s="1756">
        <f t="shared" si="65"/>
        <v>-1.3980101275299545E-9</v>
      </c>
      <c r="N54" s="1756">
        <f>+FAT!DJ211</f>
        <v>0.19022107722158485</v>
      </c>
      <c r="O54" s="1756">
        <f>+FAT!DK211</f>
        <v>0.18428905380201616</v>
      </c>
      <c r="P54" s="1756">
        <f>+FAT!DL211</f>
        <v>0.16643065920774661</v>
      </c>
      <c r="Q54" s="1756">
        <f>+FAT!DM211</f>
        <v>9.0222235713382865E-2</v>
      </c>
      <c r="R54" s="1756">
        <f>+FAT!DN211</f>
        <v>0.1349801503913986</v>
      </c>
      <c r="S54" s="1756">
        <f>+FAT!DO211</f>
        <v>0.11158202087586727</v>
      </c>
      <c r="T54" s="1756">
        <f>+FAT!DP211</f>
        <v>0.12760869461053745</v>
      </c>
      <c r="U54" s="1756">
        <f>+FAT!DQ211</f>
        <v>0.13598657454492177</v>
      </c>
      <c r="V54" s="1756">
        <f>+FAT!DR211</f>
        <v>0.13747316397847367</v>
      </c>
      <c r="W54" s="1756">
        <f>+FAT!DS211</f>
        <v>0.15077522323999049</v>
      </c>
      <c r="X54" s="1756">
        <f>+FAT!DT211</f>
        <v>0.15477647098475825</v>
      </c>
      <c r="Y54" s="1756">
        <f>+FAT!DU211</f>
        <v>0.15837492271508471</v>
      </c>
      <c r="Z54" s="1756">
        <f>+FAT!DV211</f>
        <v>0.16152791520066537</v>
      </c>
      <c r="AA54" s="1675"/>
      <c r="AB54" s="1090"/>
      <c r="AC54" s="1090"/>
      <c r="AD54" s="1090"/>
      <c r="AE54" s="2050"/>
      <c r="AF54" s="2050"/>
      <c r="AG54" s="1090"/>
      <c r="AH54" s="1090"/>
      <c r="AI54" s="1090"/>
      <c r="AJ54" s="7"/>
      <c r="AK54" s="1090"/>
      <c r="AL54" s="1090"/>
      <c r="AM54" s="867"/>
      <c r="AN54" s="1862"/>
      <c r="AO54" s="1090"/>
      <c r="AP54" s="1090"/>
      <c r="AR54" s="1090"/>
      <c r="AS54" s="1090"/>
    </row>
    <row r="55" spans="1:78" ht="15" customHeight="1">
      <c r="A55" s="1671"/>
      <c r="B55" s="1760" t="s">
        <v>126</v>
      </c>
      <c r="C55" s="1758">
        <f>+FAT!CY161</f>
        <v>0.10096830101476942</v>
      </c>
      <c r="D55" s="1758">
        <f>+FAT!CZ161</f>
        <v>8.0258852026639793E-2</v>
      </c>
      <c r="E55" s="1758">
        <f>+FAT!DA161</f>
        <v>0.12091812309159539</v>
      </c>
      <c r="F55" s="1758">
        <f>+FAT!DB161</f>
        <v>0.1557873442146861</v>
      </c>
      <c r="G55" s="1758">
        <f>+FAT!DC161</f>
        <v>0.15989796369280568</v>
      </c>
      <c r="H55" s="1758">
        <f>+FAT!DD161</f>
        <v>0.16160412020936116</v>
      </c>
      <c r="I55" s="1758">
        <f>+FAT!DE161</f>
        <v>0.16933746843865025</v>
      </c>
      <c r="J55" s="1758">
        <f>+FAT!DF161</f>
        <v>0.2019741888680387</v>
      </c>
      <c r="K55" s="1758">
        <f>+FAT!DG161</f>
        <v>0.20294945384021804</v>
      </c>
      <c r="L55" s="1758">
        <f>+FAT!DH161</f>
        <v>0.20756279857027271</v>
      </c>
      <c r="M55" s="1758">
        <f>+FAT!DI161</f>
        <v>0.19824953437560658</v>
      </c>
      <c r="N55" s="1758">
        <f>+FAT!DJ214</f>
        <v>349430.87127000053</v>
      </c>
      <c r="O55" s="1758">
        <f>+FAT!DK214</f>
        <v>391413.67446743028</v>
      </c>
      <c r="P55" s="1758">
        <f>+FAT!DL214</f>
        <v>81913.363059999887</v>
      </c>
      <c r="Q55" s="1758">
        <f>+FAT!DM214</f>
        <v>246098.2211100015</v>
      </c>
      <c r="R55" s="1758">
        <f>+FAT!DN214</f>
        <v>80311.22</v>
      </c>
      <c r="S55" s="1758">
        <f>+FAT!DO214</f>
        <v>-95871.477860000115</v>
      </c>
      <c r="T55" s="1758">
        <f>+FAT!DP214</f>
        <v>167856.00232999987</v>
      </c>
      <c r="U55" s="1758">
        <f>+FAT!DQ214</f>
        <v>464185.53935867519</v>
      </c>
      <c r="V55" s="1758">
        <f>+FAT!DR214</f>
        <v>214212.06303366504</v>
      </c>
      <c r="W55" s="1758">
        <f>+FAT!DS214</f>
        <v>424980.75518914848</v>
      </c>
      <c r="X55" s="1758">
        <f>+FAT!DT214</f>
        <v>450939.91370462149</v>
      </c>
      <c r="Y55" s="1758">
        <f>+FAT!DU214</f>
        <v>469103.37491095869</v>
      </c>
      <c r="Z55" s="1758">
        <f>+FAT!DV214</f>
        <v>485285.86059512972</v>
      </c>
      <c r="AA55" s="1669"/>
      <c r="AB55" s="1091" t="s">
        <v>130</v>
      </c>
      <c r="AC55" s="1091"/>
      <c r="AD55" s="1091"/>
      <c r="AE55" s="2047"/>
      <c r="AF55" s="2047"/>
      <c r="AG55" s="1091"/>
      <c r="AH55" s="1091"/>
      <c r="AI55" s="1091"/>
      <c r="AK55" s="1091"/>
      <c r="AL55" s="1091"/>
      <c r="AN55" s="1867"/>
      <c r="AO55" s="1091"/>
      <c r="AP55" s="1083"/>
      <c r="AR55" s="1091"/>
      <c r="AS55" s="1083"/>
    </row>
    <row r="56" spans="1:78" s="1085" customFormat="1">
      <c r="A56" s="91"/>
      <c r="B56" s="1761" t="s">
        <v>121</v>
      </c>
      <c r="C56" s="1756" t="e">
        <f t="shared" ref="C56:M56" si="66">+C55/C9</f>
        <v>#DIV/0!</v>
      </c>
      <c r="D56" s="1756">
        <f t="shared" si="66"/>
        <v>0.23847855666155082</v>
      </c>
      <c r="E56" s="1756">
        <f t="shared" si="66"/>
        <v>2.3707225396514611</v>
      </c>
      <c r="F56" s="1756">
        <f t="shared" si="66"/>
        <v>0.56518143669246834</v>
      </c>
      <c r="G56" s="1756">
        <f t="shared" si="66"/>
        <v>0.90070498086236817</v>
      </c>
      <c r="H56" s="1756">
        <f t="shared" si="66"/>
        <v>0.94687324817146201</v>
      </c>
      <c r="I56" s="1756">
        <f t="shared" si="66"/>
        <v>1.2111635262936447</v>
      </c>
      <c r="J56" s="1756">
        <f t="shared" si="66"/>
        <v>0.78916967966293317</v>
      </c>
      <c r="K56" s="1756">
        <f t="shared" si="66"/>
        <v>0.96248769600172757</v>
      </c>
      <c r="L56" s="1756">
        <f t="shared" si="66"/>
        <v>4.0624850907867227</v>
      </c>
      <c r="M56" s="1756">
        <f t="shared" si="66"/>
        <v>0.31674626770920905</v>
      </c>
      <c r="N56" s="1756">
        <f t="shared" ref="N56:Z56" si="67">+N55/N8</f>
        <v>0.3712973126038675</v>
      </c>
      <c r="O56" s="1756">
        <f t="shared" si="67"/>
        <v>0.35143953589642707</v>
      </c>
      <c r="P56" s="1756">
        <f t="shared" si="67"/>
        <v>9.3443442926093495E-2</v>
      </c>
      <c r="Q56" s="1756">
        <f t="shared" si="67"/>
        <v>0.24226325450240008</v>
      </c>
      <c r="R56" s="1756">
        <f t="shared" si="67"/>
        <v>4.7371692555248437E-2</v>
      </c>
      <c r="S56" s="1756">
        <f t="shared" si="67"/>
        <v>-4.9379878156629774E-2</v>
      </c>
      <c r="T56" s="1756">
        <f t="shared" si="67"/>
        <v>9.5134028670109477E-2</v>
      </c>
      <c r="U56" s="1756">
        <f t="shared" si="67"/>
        <v>0.23697956638041262</v>
      </c>
      <c r="V56" s="1756">
        <f t="shared" si="67"/>
        <v>0.10602484219459726</v>
      </c>
      <c r="W56" s="1756">
        <f t="shared" si="67"/>
        <v>0.19651055373570384</v>
      </c>
      <c r="X56" s="1756">
        <f t="shared" si="67"/>
        <v>0.20782489817455843</v>
      </c>
      <c r="Y56" s="1756">
        <f t="shared" si="67"/>
        <v>0.21534394839038695</v>
      </c>
      <c r="Z56" s="1756">
        <f t="shared" si="67"/>
        <v>0.22181246325169293</v>
      </c>
      <c r="AA56" s="1675"/>
      <c r="AB56" s="1090"/>
      <c r="AC56" s="1090"/>
      <c r="AD56" s="1090"/>
      <c r="AE56" s="2050"/>
      <c r="AF56" s="2050"/>
      <c r="AG56" s="1090"/>
      <c r="AH56" s="1090"/>
      <c r="AI56" s="1090"/>
      <c r="AJ56" s="7"/>
      <c r="AK56" s="1090"/>
      <c r="AL56" s="1090"/>
      <c r="AM56" s="867"/>
      <c r="AN56" s="1862"/>
      <c r="AO56" s="1090"/>
      <c r="AP56" s="1090"/>
      <c r="AR56" s="1090"/>
      <c r="AS56" s="1090"/>
    </row>
    <row r="57" spans="1:78" s="1818" customFormat="1" ht="12">
      <c r="A57" s="1812"/>
      <c r="B57" s="1813" t="s">
        <v>127</v>
      </c>
      <c r="C57" s="1814"/>
      <c r="D57" s="1814"/>
      <c r="E57" s="1814"/>
      <c r="F57" s="1814"/>
      <c r="G57" s="1814"/>
      <c r="H57" s="1814"/>
      <c r="I57" s="1814"/>
      <c r="J57" s="1814"/>
      <c r="K57" s="1814"/>
      <c r="L57" s="1814"/>
      <c r="M57" s="1814"/>
      <c r="N57" s="1814">
        <f>+N51-N53-N55</f>
        <v>0</v>
      </c>
      <c r="O57" s="1814">
        <f t="shared" ref="O57:Z57" si="68">+O51-O53-O55</f>
        <v>0</v>
      </c>
      <c r="P57" s="1814">
        <f t="shared" si="68"/>
        <v>0</v>
      </c>
      <c r="Q57" s="1814">
        <f t="shared" si="68"/>
        <v>0</v>
      </c>
      <c r="R57" s="1814">
        <f t="shared" si="68"/>
        <v>110063.99999999997</v>
      </c>
      <c r="S57" s="1814">
        <f t="shared" si="68"/>
        <v>219245.99999999988</v>
      </c>
      <c r="T57" s="1814">
        <f t="shared" si="68"/>
        <v>149680.99999999994</v>
      </c>
      <c r="U57" s="1814">
        <f t="shared" si="68"/>
        <v>79941.086962291098</v>
      </c>
      <c r="V57" s="1814">
        <f t="shared" si="68"/>
        <v>84405.878518438461</v>
      </c>
      <c r="W57" s="1814">
        <f t="shared" si="68"/>
        <v>91459.373594066361</v>
      </c>
      <c r="X57" s="1814">
        <f t="shared" si="68"/>
        <v>97700.935954452609</v>
      </c>
      <c r="Y57" s="1814">
        <f t="shared" si="68"/>
        <v>104368.60511883523</v>
      </c>
      <c r="Z57" s="1814">
        <f t="shared" si="68"/>
        <v>111485.92787355807</v>
      </c>
      <c r="AA57" s="1812"/>
      <c r="AB57" s="1815"/>
      <c r="AC57" s="1815"/>
      <c r="AD57" s="1815"/>
      <c r="AE57" s="2053"/>
      <c r="AF57" s="2053"/>
      <c r="AG57" s="1815"/>
      <c r="AH57" s="1815"/>
      <c r="AI57" s="1815"/>
      <c r="AJ57" s="1816"/>
      <c r="AK57" s="1815"/>
      <c r="AL57" s="1815"/>
      <c r="AM57" s="1817"/>
      <c r="AN57" s="1869"/>
      <c r="AO57" s="1815"/>
      <c r="AP57" s="1815"/>
      <c r="AR57" s="1815"/>
      <c r="AS57" s="1815"/>
    </row>
    <row r="58" spans="1:78" s="1818" customFormat="1" ht="12">
      <c r="A58" s="1812"/>
      <c r="B58" s="1813"/>
      <c r="C58" s="1814"/>
      <c r="D58" s="1814"/>
      <c r="E58" s="1814"/>
      <c r="F58" s="1814"/>
      <c r="G58" s="1814"/>
      <c r="H58" s="1814"/>
      <c r="I58" s="1814"/>
      <c r="J58" s="1814"/>
      <c r="K58" s="1814"/>
      <c r="L58" s="1814"/>
      <c r="M58" s="1814"/>
      <c r="N58" s="1814"/>
      <c r="O58" s="1814"/>
      <c r="P58" s="1814"/>
      <c r="Q58" s="1814"/>
      <c r="R58" s="1814"/>
      <c r="S58" s="1814"/>
      <c r="T58" s="1814"/>
      <c r="U58" s="1814"/>
      <c r="V58" s="1814"/>
      <c r="W58" s="1814"/>
      <c r="X58" s="1814"/>
      <c r="Y58" s="1814"/>
      <c r="Z58" s="1814"/>
      <c r="AA58" s="1812"/>
      <c r="AB58" s="1815"/>
      <c r="AC58" s="1815"/>
      <c r="AD58" s="1815"/>
      <c r="AE58" s="2053"/>
      <c r="AF58" s="2053"/>
      <c r="AG58" s="1815"/>
      <c r="AH58" s="1815"/>
      <c r="AI58" s="1815"/>
      <c r="AJ58" s="1816"/>
      <c r="AK58" s="1815"/>
      <c r="AL58" s="1815"/>
      <c r="AM58" s="1817"/>
      <c r="AN58" s="1869"/>
      <c r="AO58" s="1815"/>
      <c r="AP58" s="1815"/>
      <c r="AR58" s="1815"/>
      <c r="AS58" s="1815"/>
    </row>
    <row r="59" spans="1:78">
      <c r="A59" s="1677"/>
      <c r="B59" s="1742" t="s">
        <v>131</v>
      </c>
      <c r="C59" s="1734">
        <f t="shared" ref="C59:Z59" si="69">+C34</f>
        <v>39447</v>
      </c>
      <c r="D59" s="1734">
        <f t="shared" si="69"/>
        <v>39812</v>
      </c>
      <c r="E59" s="1734">
        <f t="shared" si="69"/>
        <v>40177</v>
      </c>
      <c r="F59" s="1734">
        <f t="shared" si="69"/>
        <v>40542</v>
      </c>
      <c r="G59" s="1734">
        <f t="shared" si="69"/>
        <v>40907</v>
      </c>
      <c r="H59" s="1734">
        <f t="shared" si="69"/>
        <v>41272</v>
      </c>
      <c r="I59" s="1734">
        <f t="shared" si="69"/>
        <v>41637</v>
      </c>
      <c r="J59" s="1734">
        <f t="shared" si="69"/>
        <v>42002</v>
      </c>
      <c r="K59" s="1734">
        <f t="shared" si="69"/>
        <v>42367</v>
      </c>
      <c r="L59" s="1734">
        <f t="shared" si="69"/>
        <v>42732</v>
      </c>
      <c r="M59" s="1734">
        <f t="shared" si="69"/>
        <v>43097</v>
      </c>
      <c r="N59" s="1734">
        <f t="shared" si="69"/>
        <v>2018</v>
      </c>
      <c r="O59" s="1734">
        <f t="shared" si="69"/>
        <v>2019</v>
      </c>
      <c r="P59" s="1734">
        <f t="shared" si="69"/>
        <v>2020</v>
      </c>
      <c r="Q59" s="1734">
        <f t="shared" si="69"/>
        <v>2021</v>
      </c>
      <c r="R59" s="1734">
        <f t="shared" si="69"/>
        <v>2022</v>
      </c>
      <c r="S59" s="1734">
        <f t="shared" si="69"/>
        <v>2023</v>
      </c>
      <c r="T59" s="1734">
        <f t="shared" si="69"/>
        <v>2024</v>
      </c>
      <c r="U59" s="1734">
        <f t="shared" si="69"/>
        <v>2025</v>
      </c>
      <c r="V59" s="1734">
        <f t="shared" si="69"/>
        <v>2026</v>
      </c>
      <c r="W59" s="1734">
        <f t="shared" si="69"/>
        <v>2027</v>
      </c>
      <c r="X59" s="1734">
        <f t="shared" si="69"/>
        <v>2028</v>
      </c>
      <c r="Y59" s="1734">
        <f t="shared" si="69"/>
        <v>2029</v>
      </c>
      <c r="Z59" s="1734">
        <f t="shared" si="69"/>
        <v>2030</v>
      </c>
      <c r="AA59" s="1669"/>
      <c r="AB59" s="1092"/>
      <c r="AC59" s="1092"/>
      <c r="AD59" s="1092"/>
      <c r="AE59" s="2054"/>
      <c r="AF59" s="2054"/>
      <c r="AG59" s="1092"/>
      <c r="AH59" s="1092"/>
      <c r="AI59" s="1092"/>
      <c r="AJ59" s="1084"/>
      <c r="AK59" s="1092"/>
      <c r="AL59" s="1092"/>
      <c r="AN59" s="1870"/>
      <c r="AO59" s="1092"/>
      <c r="AP59" s="1084"/>
      <c r="AR59" s="1092"/>
      <c r="AS59" s="1084"/>
    </row>
    <row r="60" spans="1:78">
      <c r="A60" s="1683"/>
      <c r="B60" s="1762" t="s">
        <v>8</v>
      </c>
      <c r="C60" s="1763">
        <f ca="1">+VP!C24</f>
        <v>15706782</v>
      </c>
      <c r="D60" s="1763">
        <f t="shared" ref="D60:J60" ca="1" si="70">+C60</f>
        <v>15706782</v>
      </c>
      <c r="E60" s="1763">
        <f t="shared" ca="1" si="70"/>
        <v>15706782</v>
      </c>
      <c r="F60" s="1763">
        <f t="shared" ca="1" si="70"/>
        <v>15706782</v>
      </c>
      <c r="G60" s="1763">
        <f t="shared" ca="1" si="70"/>
        <v>15706782</v>
      </c>
      <c r="H60" s="1763">
        <f t="shared" ca="1" si="70"/>
        <v>15706782</v>
      </c>
      <c r="I60" s="1763">
        <f t="shared" ca="1" si="70"/>
        <v>15706782</v>
      </c>
      <c r="J60" s="1763">
        <f t="shared" ca="1" si="70"/>
        <v>15706782</v>
      </c>
      <c r="K60" s="1763">
        <f ca="1">+VP!C24</f>
        <v>15706782</v>
      </c>
      <c r="L60" s="1763">
        <f t="shared" ref="L60:W60" ca="1" si="71">+K60</f>
        <v>15706782</v>
      </c>
      <c r="M60" s="1763">
        <f t="shared" ca="1" si="71"/>
        <v>15706782</v>
      </c>
      <c r="N60" s="1763">
        <f t="shared" ca="1" si="71"/>
        <v>15706782</v>
      </c>
      <c r="O60" s="1763">
        <f t="shared" ca="1" si="71"/>
        <v>15706782</v>
      </c>
      <c r="P60" s="1763">
        <f t="shared" ca="1" si="71"/>
        <v>15706782</v>
      </c>
      <c r="Q60" s="1763">
        <f t="shared" ca="1" si="71"/>
        <v>15706782</v>
      </c>
      <c r="R60" s="1763">
        <f t="shared" ca="1" si="71"/>
        <v>15706782</v>
      </c>
      <c r="S60" s="1763">
        <f t="shared" ca="1" si="71"/>
        <v>15706782</v>
      </c>
      <c r="T60" s="1763">
        <f t="shared" ca="1" si="71"/>
        <v>15706782</v>
      </c>
      <c r="U60" s="1763">
        <f t="shared" ca="1" si="71"/>
        <v>15706782</v>
      </c>
      <c r="V60" s="1763">
        <f t="shared" ca="1" si="71"/>
        <v>15706782</v>
      </c>
      <c r="W60" s="1763">
        <f t="shared" ca="1" si="71"/>
        <v>15706782</v>
      </c>
      <c r="X60" s="1763">
        <f t="shared" ref="X60" ca="1" si="72">+W60</f>
        <v>15706782</v>
      </c>
      <c r="Y60" s="1763">
        <f t="shared" ref="Y60" ca="1" si="73">+X60</f>
        <v>15706782</v>
      </c>
      <c r="Z60" s="1763">
        <f t="shared" ref="Z60" ca="1" si="74">+Y60</f>
        <v>15706782</v>
      </c>
      <c r="AA60" s="1669"/>
      <c r="AB60" s="1093"/>
      <c r="AC60" s="1093"/>
      <c r="AD60" s="1093"/>
      <c r="AE60" s="2055"/>
      <c r="AF60" s="2055"/>
      <c r="AG60" s="1093"/>
      <c r="AH60" s="1093"/>
      <c r="AI60" s="1093"/>
      <c r="AJ60" s="1027"/>
      <c r="AK60" s="1093"/>
      <c r="AL60" s="1093"/>
      <c r="AN60" s="1871"/>
      <c r="AO60" s="1093"/>
      <c r="AP60" s="1027"/>
      <c r="AR60" s="1093"/>
      <c r="AS60" s="1027"/>
    </row>
    <row r="61" spans="1:78">
      <c r="A61" s="1683"/>
      <c r="B61" s="1764" t="s">
        <v>77</v>
      </c>
      <c r="C61" s="1765">
        <f>+PROJ!CX139</f>
        <v>-33302</v>
      </c>
      <c r="D61" s="1765">
        <f>+PROJ!CY139</f>
        <v>143563</v>
      </c>
      <c r="E61" s="1765">
        <f>+PROJ!CZ139</f>
        <v>-3125</v>
      </c>
      <c r="F61" s="1765">
        <f>+PROJ!DA139</f>
        <v>-377335</v>
      </c>
      <c r="G61" s="1765">
        <f>+PROJ!DB139</f>
        <v>-89961</v>
      </c>
      <c r="H61" s="1765">
        <f>+PROJ!DC139</f>
        <v>625116</v>
      </c>
      <c r="I61" s="1765">
        <f>+PROJ!DD139</f>
        <v>973960</v>
      </c>
      <c r="J61" s="1765">
        <f>+PROJ!DE139</f>
        <v>1113833</v>
      </c>
      <c r="K61" s="1765">
        <f>+PROJ!DF139</f>
        <v>1154660</v>
      </c>
      <c r="L61" s="1765">
        <f>+PROJ!DG139</f>
        <v>970595</v>
      </c>
      <c r="M61" s="1765">
        <f>+PROJ!DH139</f>
        <v>718062</v>
      </c>
      <c r="N61" s="1765">
        <f>+PROJ!DI139</f>
        <v>539224</v>
      </c>
      <c r="O61" s="1765">
        <f>+PROJ!DJ139</f>
        <v>272727</v>
      </c>
      <c r="P61" s="1765">
        <f>+PROJ!DK139</f>
        <v>712626</v>
      </c>
      <c r="Q61" s="1765">
        <f>+PROJ!DL139</f>
        <v>-2480400</v>
      </c>
      <c r="R61" s="1765">
        <f>+PROJ!DM139</f>
        <v>-1098106.9998000001</v>
      </c>
      <c r="S61" s="1765">
        <f>+PROJ!DN139</f>
        <v>-1176941.9999999998</v>
      </c>
      <c r="T61" s="1765">
        <f>+PROJ!DO139</f>
        <v>-1825807</v>
      </c>
      <c r="U61" s="1765">
        <f>+PROJ!DP139</f>
        <v>-912910.96207645349</v>
      </c>
      <c r="V61" s="1765">
        <f>+PROJ!DQ139</f>
        <v>-1238019.9973007375</v>
      </c>
      <c r="W61" s="1765">
        <f>+PROJ!DR139</f>
        <v>-1534537.390235126</v>
      </c>
      <c r="X61" s="1765">
        <f>+PROJ!DS139</f>
        <v>-2376296.0835547391</v>
      </c>
      <c r="Y61" s="1765">
        <f>+PROJ!DT139</f>
        <v>-3214698.8253240073</v>
      </c>
      <c r="Z61" s="1765">
        <f>+PROJ!DU139</f>
        <v>-4143134.3098203298</v>
      </c>
      <c r="AA61" s="1669"/>
      <c r="AB61" s="1093"/>
      <c r="AC61" s="1093"/>
      <c r="AD61" s="1093"/>
      <c r="AE61" s="2055"/>
      <c r="AF61" s="2055"/>
      <c r="AG61" s="1093"/>
      <c r="AH61" s="1093"/>
      <c r="AI61" s="1093"/>
      <c r="AJ61" s="1027"/>
      <c r="AK61" s="1093"/>
      <c r="AL61" s="1093"/>
      <c r="AN61" s="1871"/>
      <c r="AO61" s="1093"/>
      <c r="AP61" s="1027"/>
      <c r="AR61" s="1093"/>
      <c r="AS61" s="1027"/>
    </row>
    <row r="62" spans="1:78">
      <c r="A62" s="1683"/>
      <c r="B62" s="1764" t="s">
        <v>16</v>
      </c>
      <c r="C62" s="1765">
        <f t="shared" ref="C62:W62" ca="1" si="75">+C60+C61</f>
        <v>15673480</v>
      </c>
      <c r="D62" s="1765">
        <f t="shared" ca="1" si="75"/>
        <v>15850345</v>
      </c>
      <c r="E62" s="1765">
        <f t="shared" ca="1" si="75"/>
        <v>15703657</v>
      </c>
      <c r="F62" s="1765">
        <f t="shared" ca="1" si="75"/>
        <v>15329447</v>
      </c>
      <c r="G62" s="1765">
        <f t="shared" ca="1" si="75"/>
        <v>15616821</v>
      </c>
      <c r="H62" s="1765">
        <f t="shared" ca="1" si="75"/>
        <v>16331898</v>
      </c>
      <c r="I62" s="1765">
        <f t="shared" ca="1" si="75"/>
        <v>16680742</v>
      </c>
      <c r="J62" s="1765">
        <f t="shared" ca="1" si="75"/>
        <v>16820615</v>
      </c>
      <c r="K62" s="1765">
        <f t="shared" ca="1" si="75"/>
        <v>16861442</v>
      </c>
      <c r="L62" s="1765">
        <f t="shared" ca="1" si="75"/>
        <v>16677377</v>
      </c>
      <c r="M62" s="1765">
        <f t="shared" ca="1" si="75"/>
        <v>16424844</v>
      </c>
      <c r="N62" s="1765">
        <f t="shared" ca="1" si="75"/>
        <v>16246006</v>
      </c>
      <c r="O62" s="1765">
        <f t="shared" ca="1" si="75"/>
        <v>15979509</v>
      </c>
      <c r="P62" s="1765">
        <f t="shared" ca="1" si="75"/>
        <v>16419408</v>
      </c>
      <c r="Q62" s="1765">
        <f t="shared" ca="1" si="75"/>
        <v>13226382</v>
      </c>
      <c r="R62" s="1765">
        <f t="shared" ca="1" si="75"/>
        <v>14608675.0002</v>
      </c>
      <c r="S62" s="1765">
        <f t="shared" ca="1" si="75"/>
        <v>14529840</v>
      </c>
      <c r="T62" s="1765">
        <f t="shared" ca="1" si="75"/>
        <v>13880975</v>
      </c>
      <c r="U62" s="1765">
        <f t="shared" ca="1" si="75"/>
        <v>14793871.037923547</v>
      </c>
      <c r="V62" s="1765">
        <f t="shared" ca="1" si="75"/>
        <v>14468762.002699263</v>
      </c>
      <c r="W62" s="1765">
        <f t="shared" ca="1" si="75"/>
        <v>14172244.609764874</v>
      </c>
      <c r="X62" s="1765">
        <f t="shared" ref="X62:Z62" ca="1" si="76">+X60+X61</f>
        <v>13330485.916445261</v>
      </c>
      <c r="Y62" s="1765">
        <f t="shared" ca="1" si="76"/>
        <v>12492083.174675994</v>
      </c>
      <c r="Z62" s="1765">
        <f t="shared" ca="1" si="76"/>
        <v>11563647.69017967</v>
      </c>
      <c r="AA62" s="1669"/>
    </row>
    <row r="63" spans="1:78" ht="9.75" customHeight="1">
      <c r="A63" s="1683"/>
      <c r="B63" s="1764"/>
      <c r="C63" s="1765"/>
      <c r="D63" s="1765"/>
      <c r="E63" s="1765"/>
      <c r="F63" s="1765"/>
      <c r="G63" s="1765"/>
      <c r="H63" s="1765"/>
      <c r="I63" s="1765"/>
      <c r="J63" s="1765"/>
      <c r="K63" s="1765"/>
      <c r="L63" s="1765"/>
      <c r="M63" s="1765"/>
      <c r="N63" s="1901"/>
      <c r="O63" s="1901"/>
      <c r="P63" s="1901"/>
      <c r="Q63" s="1765"/>
      <c r="R63" s="1765"/>
      <c r="S63" s="1765"/>
      <c r="T63" s="1765"/>
      <c r="U63" s="1765"/>
      <c r="V63" s="1765"/>
      <c r="W63" s="1765"/>
      <c r="X63" s="1765"/>
      <c r="Y63" s="1765"/>
      <c r="Z63" s="1765"/>
      <c r="AA63" s="1669"/>
      <c r="AB63" s="1093"/>
      <c r="AC63" s="1093"/>
      <c r="AD63" s="1093"/>
      <c r="AE63" s="2055"/>
      <c r="AF63" s="2055"/>
      <c r="AG63" s="1093"/>
      <c r="AH63" s="1093"/>
      <c r="AI63" s="1093"/>
      <c r="AJ63" s="1027"/>
      <c r="AK63" s="1093"/>
      <c r="AL63" s="1093"/>
      <c r="AN63" s="1871"/>
      <c r="AO63" s="1093"/>
      <c r="AP63" s="1027"/>
      <c r="AQ63" s="1151"/>
      <c r="AR63" s="1093"/>
      <c r="AS63" s="1027"/>
      <c r="AT63" s="1075"/>
      <c r="AU63" s="1075"/>
      <c r="AV63" s="1075"/>
      <c r="AW63" s="1075"/>
      <c r="AX63" s="1075"/>
      <c r="AY63" s="1075"/>
      <c r="AZ63" s="1075"/>
      <c r="BA63" s="1075"/>
      <c r="BB63" s="1075"/>
      <c r="BC63" s="1075"/>
      <c r="BD63" s="1075"/>
      <c r="BE63" s="1075"/>
      <c r="BF63" s="1075"/>
      <c r="BG63" s="1075"/>
      <c r="BH63" s="1075"/>
      <c r="BI63" s="1075"/>
      <c r="BJ63" s="1075"/>
      <c r="BK63" s="1075"/>
      <c r="BL63" s="1075"/>
      <c r="BM63" s="1075"/>
      <c r="BN63" s="1075"/>
      <c r="BO63" s="1094"/>
      <c r="BP63" s="1075"/>
      <c r="BQ63" s="1075"/>
      <c r="BR63" s="1075"/>
      <c r="BS63" s="1075"/>
      <c r="BT63" s="1075"/>
      <c r="BU63" s="1075"/>
      <c r="BV63" s="1075"/>
      <c r="BW63" s="1075"/>
      <c r="BX63" s="1075"/>
      <c r="BY63" s="865"/>
      <c r="BZ63" s="1075"/>
    </row>
    <row r="64" spans="1:78">
      <c r="A64" s="1683"/>
      <c r="B64" s="1762" t="s">
        <v>132</v>
      </c>
      <c r="C64" s="1766"/>
      <c r="D64" s="1766"/>
      <c r="E64" s="1766"/>
      <c r="F64" s="1766"/>
      <c r="G64" s="1766"/>
      <c r="H64" s="1766"/>
      <c r="I64" s="1767"/>
      <c r="J64" s="1767"/>
      <c r="K64" s="1767"/>
      <c r="L64" s="1766"/>
      <c r="M64" s="1766"/>
      <c r="N64" s="1768">
        <f ca="1">+N22/VP!$C$16</f>
        <v>1.0132013044113044</v>
      </c>
      <c r="O64" s="1769">
        <f ca="1">+O22/VP!$C$16</f>
        <v>1.0788184874533817</v>
      </c>
      <c r="P64" s="1768">
        <f ca="1">+P22/VP!$C$16</f>
        <v>1.088786258063555</v>
      </c>
      <c r="Q64" s="1768">
        <f ca="1">+Q22/VP!$C$16</f>
        <v>0.62909301135726148</v>
      </c>
      <c r="R64" s="1768">
        <f ca="1">+R22/VP!$C$16</f>
        <v>1.282921402996489</v>
      </c>
      <c r="S64" s="1768">
        <f ca="1">+S22/VP!$C$16</f>
        <v>0.96962193783551587</v>
      </c>
      <c r="T64" s="1768">
        <f ca="1">+T22/VP!$C$16</f>
        <v>1.1885324950712375</v>
      </c>
      <c r="U64" s="1768">
        <f ca="1">+U22/VP!$C$16</f>
        <v>1.3773896880116459</v>
      </c>
      <c r="V64" s="1768">
        <f ca="1">+V22/VP!$C$16</f>
        <v>1.325391636627629</v>
      </c>
      <c r="W64" s="1768">
        <f ca="1">+W22/VP!$C$16</f>
        <v>1.7825556911618912</v>
      </c>
      <c r="X64" s="1768">
        <f ca="1">+X22/VP!$C$16</f>
        <v>2.0460538857889663</v>
      </c>
      <c r="Y64" s="1768">
        <f ca="1">+Y22/VP!$C$16</f>
        <v>2.2709377103211335</v>
      </c>
      <c r="Z64" s="1768">
        <f ca="1">+Z22/VP!$C$16</f>
        <v>2.4983207801436795</v>
      </c>
      <c r="AA64" s="1669"/>
      <c r="AQ64" s="1163"/>
      <c r="AT64" s="1075"/>
      <c r="AU64" s="1075"/>
      <c r="AV64" s="1075"/>
      <c r="AW64" s="1075"/>
      <c r="AX64" s="1075"/>
      <c r="AY64" s="1075"/>
      <c r="AZ64" s="1075"/>
      <c r="BA64" s="1075"/>
      <c r="BB64" s="1075"/>
      <c r="BC64" s="1075"/>
      <c r="BD64" s="1075"/>
      <c r="BE64" s="1075"/>
      <c r="BF64" s="1075"/>
      <c r="BG64" s="1075"/>
      <c r="BH64" s="1075"/>
      <c r="BI64" s="1075"/>
      <c r="BJ64" s="1075"/>
      <c r="BK64" s="1075"/>
      <c r="BL64" s="1075"/>
      <c r="BM64" s="1075"/>
      <c r="BN64" s="1075"/>
      <c r="BO64" s="1094"/>
      <c r="BP64" s="1075"/>
      <c r="BQ64" s="1075"/>
      <c r="BR64" s="1075"/>
      <c r="BS64" s="1075"/>
      <c r="BT64" s="1075"/>
      <c r="BU64" s="1075"/>
      <c r="BV64" s="1075"/>
      <c r="BW64" s="1075"/>
      <c r="BX64" s="1075"/>
      <c r="BY64" s="865"/>
      <c r="BZ64" s="1075"/>
    </row>
    <row r="65" spans="1:78" hidden="1">
      <c r="A65" s="1668"/>
      <c r="B65" s="1770" t="s">
        <v>133</v>
      </c>
      <c r="C65" s="1771">
        <f ca="1">+C60/PROJ!CX126</f>
        <v>26.944634671863419</v>
      </c>
      <c r="D65" s="1771">
        <f ca="1">+D60/PROJ!CY126</f>
        <v>22.075806789385137</v>
      </c>
      <c r="E65" s="1771">
        <f ca="1">+E60/PROJ!CZ126</f>
        <v>20.198011933542514</v>
      </c>
      <c r="F65" s="1771">
        <f ca="1">+F60/PROJ!DA126</f>
        <v>15.379084468152604</v>
      </c>
      <c r="G65" s="1771">
        <f ca="1">+G60/PROJ!DB126</f>
        <v>13.598969002543727</v>
      </c>
      <c r="H65" s="1771">
        <f ca="1">+H60/PROJ!DC126</f>
        <v>12.029552349230249</v>
      </c>
      <c r="I65" s="1771">
        <f ca="1">+I60/PROJ!DD126</f>
        <v>10.518500213962403</v>
      </c>
      <c r="J65" s="1771">
        <f ca="1">+J60/PROJ!DE126</f>
        <v>8.466044797840528</v>
      </c>
      <c r="K65" s="1771"/>
      <c r="L65" s="1771"/>
      <c r="M65" s="1771"/>
      <c r="N65" s="1771">
        <f ca="1">+N60/PROJ!DI126</f>
        <v>3.9718635320868922</v>
      </c>
      <c r="O65" s="1771">
        <f ca="1">+O60/PROJ!DJ126</f>
        <v>3.3385910087416311</v>
      </c>
      <c r="P65" s="1771">
        <f ca="1">+P60/PROJ!DK126</f>
        <v>2.8550953989918049</v>
      </c>
      <c r="Q65" s="1771">
        <f ca="1">+Q60/PROJ!DL126</f>
        <v>1.6016507622758134</v>
      </c>
      <c r="R65" s="1771">
        <f ca="1">+R60/PROJ!DM126</f>
        <v>1.5570516623767101</v>
      </c>
      <c r="S65" s="1771">
        <f ca="1">+S60/PROJ!DN126</f>
        <v>1.5632961592066104</v>
      </c>
      <c r="T65" s="1771">
        <f ca="1">+T60/PROJ!DO126</f>
        <v>1.4579832396898491</v>
      </c>
      <c r="U65" s="1771">
        <f ca="1">+U60/PROJ!DP126</f>
        <v>1.5060632953805346</v>
      </c>
      <c r="V65" s="1771">
        <f ca="1">+V60/PROJ!DQ126</f>
        <v>1.4305455018694919</v>
      </c>
      <c r="W65" s="1771">
        <f ca="1">+W60/PROJ!DR126</f>
        <v>1.3123816835147957</v>
      </c>
      <c r="X65" s="1771">
        <f ca="1">+X60/PROJ!DS126</f>
        <v>1.1938558387960012</v>
      </c>
      <c r="Y65" s="1771">
        <f ca="1">+Y60/PROJ!DT126</f>
        <v>1.0833724374843243</v>
      </c>
      <c r="Z65" s="1771">
        <f ca="1">+Z60/PROJ!DU126</f>
        <v>0.98244663938555343</v>
      </c>
      <c r="AA65" s="1669"/>
      <c r="AQ65" s="1163"/>
      <c r="AT65" s="1075"/>
      <c r="AU65" s="1075"/>
      <c r="AV65" s="1075"/>
      <c r="AW65" s="1075"/>
      <c r="AX65" s="1075"/>
      <c r="AY65" s="1075"/>
      <c r="AZ65" s="1075"/>
      <c r="BA65" s="1075"/>
      <c r="BB65" s="1075"/>
      <c r="BC65" s="1075"/>
      <c r="BD65" s="1075"/>
      <c r="BE65" s="1075"/>
      <c r="BF65" s="1075"/>
      <c r="BG65" s="1075"/>
      <c r="BH65" s="1075"/>
      <c r="BI65" s="1075"/>
      <c r="BJ65" s="1075"/>
      <c r="BK65" s="1075"/>
      <c r="BL65" s="1075"/>
      <c r="BM65" s="1075"/>
      <c r="BN65" s="1075"/>
      <c r="BO65" s="1094"/>
      <c r="BP65" s="1075"/>
      <c r="BQ65" s="1075"/>
      <c r="BR65" s="1075"/>
      <c r="BS65" s="1075"/>
      <c r="BT65" s="1075"/>
      <c r="BU65" s="1075"/>
      <c r="BV65" s="1075"/>
      <c r="BW65" s="1075"/>
      <c r="BX65" s="1075"/>
      <c r="BY65" s="865"/>
      <c r="BZ65" s="1075"/>
    </row>
    <row r="66" spans="1:78">
      <c r="A66" s="1668"/>
      <c r="B66" s="1772" t="s">
        <v>134</v>
      </c>
      <c r="C66" s="1773">
        <f t="shared" ref="C66:J66" ca="1" si="77">+C60/C22</f>
        <v>120.89300585731549</v>
      </c>
      <c r="D66" s="1773">
        <f t="shared" ca="1" si="77"/>
        <v>120.07325128048315</v>
      </c>
      <c r="E66" s="1773">
        <f t="shared" ca="1" si="77"/>
        <v>88.969599129947156</v>
      </c>
      <c r="F66" s="1773">
        <f t="shared" ca="1" si="77"/>
        <v>51.612377678905894</v>
      </c>
      <c r="G66" s="1773">
        <f t="shared" ca="1" si="77"/>
        <v>45.701497314377811</v>
      </c>
      <c r="H66" s="1773">
        <f t="shared" ca="1" si="77"/>
        <v>44.194659538548102</v>
      </c>
      <c r="I66" s="1773">
        <f t="shared" ca="1" si="77"/>
        <v>38.553711340206178</v>
      </c>
      <c r="J66" s="1773">
        <f t="shared" ca="1" si="77"/>
        <v>23.789043017582763</v>
      </c>
      <c r="K66" s="1773"/>
      <c r="L66" s="1773"/>
      <c r="M66" s="1773"/>
      <c r="N66" s="1773">
        <f t="shared" ref="N66:Z66" ca="1" si="78">+N60/N22</f>
        <v>15.396742909903768</v>
      </c>
      <c r="O66" s="1773">
        <f t="shared" ca="1" si="78"/>
        <v>14.460263873327545</v>
      </c>
      <c r="P66" s="1773">
        <f t="shared" ca="1" si="78"/>
        <v>14.327881055134874</v>
      </c>
      <c r="Q66" s="1773">
        <f t="shared" ca="1" si="78"/>
        <v>24.797604993803962</v>
      </c>
      <c r="R66" s="1773">
        <f t="shared" ca="1" si="78"/>
        <v>12.159747248399981</v>
      </c>
      <c r="S66" s="1848">
        <f t="shared" ca="1" si="78"/>
        <v>16.08874489249267</v>
      </c>
      <c r="T66" s="1848">
        <f t="shared" ca="1" si="78"/>
        <v>13.125429943810648</v>
      </c>
      <c r="U66" s="1774">
        <f t="shared" ca="1" si="78"/>
        <v>11.325770866282324</v>
      </c>
      <c r="V66" s="1774">
        <f t="shared" ca="1" si="78"/>
        <v>11.77010595878903</v>
      </c>
      <c r="W66" s="1773">
        <f t="shared" ca="1" si="78"/>
        <v>8.751479730673509</v>
      </c>
      <c r="X66" s="1773">
        <f t="shared" ca="1" si="78"/>
        <v>7.6244326253336094</v>
      </c>
      <c r="Y66" s="1773">
        <f t="shared" ca="1" si="78"/>
        <v>6.8694090239022909</v>
      </c>
      <c r="Z66" s="1773">
        <f t="shared" ca="1" si="78"/>
        <v>6.2441941499213076</v>
      </c>
      <c r="AA66" s="1669"/>
      <c r="AH66" s="1889"/>
      <c r="AI66" s="1889"/>
      <c r="AK66" s="1889"/>
      <c r="AL66" s="1889"/>
      <c r="AN66" s="1872"/>
      <c r="AO66" s="1889"/>
      <c r="AP66" s="1100"/>
      <c r="AQ66" s="1100"/>
      <c r="AR66" s="1889"/>
      <c r="AS66" s="1100"/>
      <c r="AT66" s="1075"/>
      <c r="AU66" s="1075"/>
      <c r="AV66" s="1075"/>
      <c r="AW66" s="1075"/>
      <c r="AX66" s="1075"/>
      <c r="AY66" s="1075"/>
      <c r="AZ66" s="1075"/>
      <c r="BA66" s="1075"/>
      <c r="BB66" s="1075"/>
      <c r="BC66" s="1075"/>
      <c r="BD66" s="1075"/>
      <c r="BE66" s="1075"/>
      <c r="BF66" s="1075"/>
      <c r="BG66" s="1075"/>
      <c r="BH66" s="1075"/>
      <c r="BI66" s="1075"/>
      <c r="BJ66" s="1075"/>
      <c r="BK66" s="1075"/>
      <c r="BL66" s="1075"/>
      <c r="BM66" s="1075"/>
      <c r="BN66" s="1075"/>
      <c r="BO66" s="1094"/>
      <c r="BP66" s="1075"/>
      <c r="BQ66" s="1075"/>
      <c r="BR66" s="1075"/>
      <c r="BS66" s="1075"/>
      <c r="BT66" s="1075"/>
      <c r="BU66" s="1075"/>
      <c r="BV66" s="1075"/>
      <c r="BW66" s="1075"/>
      <c r="BX66" s="1075"/>
      <c r="BY66" s="865"/>
      <c r="BZ66" s="1075"/>
    </row>
    <row r="67" spans="1:78">
      <c r="A67" s="1668"/>
      <c r="B67" s="1772" t="s">
        <v>135</v>
      </c>
      <c r="C67" s="1773" t="e">
        <f t="shared" ref="C67:J67" si="79">+C61/C23</f>
        <v>#DIV/0!</v>
      </c>
      <c r="D67" s="1773">
        <f t="shared" si="79"/>
        <v>21028337.822999019</v>
      </c>
      <c r="E67" s="1773">
        <f t="shared" si="79"/>
        <v>-8938.8215871072171</v>
      </c>
      <c r="F67" s="1773">
        <f t="shared" si="79"/>
        <v>-521322.40501326486</v>
      </c>
      <c r="G67" s="1773">
        <f t="shared" si="79"/>
        <v>-695556.69314024132</v>
      </c>
      <c r="H67" s="1773">
        <f t="shared" si="79"/>
        <v>18334282.05427552</v>
      </c>
      <c r="I67" s="1773">
        <f t="shared" si="79"/>
        <v>6656642.0000000056</v>
      </c>
      <c r="J67" s="1773">
        <f t="shared" si="79"/>
        <v>1794623.5277634209</v>
      </c>
      <c r="K67" s="1773"/>
      <c r="L67" s="1773"/>
      <c r="M67" s="1773"/>
      <c r="N67" s="1773">
        <f t="shared" ref="N67:T67" ca="1" si="80">+N60/N29</f>
        <v>15.396742909903768</v>
      </c>
      <c r="O67" s="1773">
        <f t="shared" ca="1" si="80"/>
        <v>15.05757466818136</v>
      </c>
      <c r="P67" s="1773">
        <f t="shared" ca="1" si="80"/>
        <v>14.695799190489467</v>
      </c>
      <c r="Q67" s="1773">
        <f t="shared" ca="1" si="80"/>
        <v>29.357639519815226</v>
      </c>
      <c r="R67" s="1773">
        <f t="shared" ca="1" si="80"/>
        <v>14.906935470400207</v>
      </c>
      <c r="S67" s="1848">
        <f t="shared" ca="1" si="80"/>
        <v>25.523961038327908</v>
      </c>
      <c r="T67" s="1848">
        <f t="shared" ca="1" si="80"/>
        <v>15.690463917525774</v>
      </c>
      <c r="U67" s="1774">
        <f ca="1">+U60/U29</f>
        <v>12.393731367613892</v>
      </c>
      <c r="V67" s="1774">
        <f t="shared" ref="V67:Z67" ca="1" si="81">+V60/V29</f>
        <v>13.004336341146454</v>
      </c>
      <c r="W67" s="1773">
        <f t="shared" ca="1" si="81"/>
        <v>9.4760708112145426</v>
      </c>
      <c r="X67" s="1773">
        <f t="shared" ca="1" si="81"/>
        <v>8.2085898959763863</v>
      </c>
      <c r="Y67" s="1773">
        <f t="shared" ca="1" si="81"/>
        <v>7.3745089874788192</v>
      </c>
      <c r="Z67" s="1773">
        <f t="shared" ca="1" si="81"/>
        <v>6.6890462247284539</v>
      </c>
      <c r="AA67" s="1669"/>
      <c r="AH67" s="1889"/>
      <c r="AI67" s="1889"/>
      <c r="AK67" s="1889"/>
      <c r="AL67" s="1889"/>
      <c r="AN67" s="1872"/>
      <c r="AO67" s="1889"/>
      <c r="AP67" s="1100"/>
      <c r="AQ67" s="1100"/>
      <c r="AR67" s="1889"/>
      <c r="AS67" s="1100"/>
      <c r="AT67" s="1075"/>
      <c r="AU67" s="1075"/>
      <c r="AV67" s="1075"/>
      <c r="AW67" s="1075"/>
      <c r="AX67" s="1075"/>
      <c r="AY67" s="1075"/>
      <c r="AZ67" s="1075"/>
      <c r="BA67" s="1075"/>
      <c r="BB67" s="1075"/>
      <c r="BC67" s="1075"/>
      <c r="BD67" s="1075"/>
      <c r="BE67" s="1075"/>
      <c r="BF67" s="1075"/>
      <c r="BG67" s="1075"/>
      <c r="BH67" s="1075"/>
      <c r="BI67" s="1075"/>
      <c r="BJ67" s="1075"/>
      <c r="BK67" s="1075"/>
      <c r="BL67" s="1075"/>
      <c r="BM67" s="1075"/>
      <c r="BN67" s="1075"/>
      <c r="BO67" s="1094"/>
      <c r="BP67" s="1075"/>
      <c r="BQ67" s="1075"/>
      <c r="BR67" s="1075"/>
      <c r="BS67" s="1075"/>
      <c r="BT67" s="1075"/>
      <c r="BU67" s="1075"/>
      <c r="BV67" s="1075"/>
      <c r="BW67" s="1075"/>
      <c r="BX67" s="1075"/>
      <c r="BY67" s="865"/>
      <c r="BZ67" s="1075"/>
    </row>
    <row r="68" spans="1:78">
      <c r="A68" s="1668"/>
      <c r="B68" s="1772"/>
      <c r="C68" s="1773"/>
      <c r="D68" s="1773"/>
      <c r="E68" s="1773"/>
      <c r="F68" s="1773"/>
      <c r="G68" s="1773"/>
      <c r="H68" s="1773"/>
      <c r="I68" s="1773"/>
      <c r="J68" s="1773"/>
      <c r="K68" s="1773"/>
      <c r="L68" s="1773"/>
      <c r="M68" s="1773"/>
      <c r="N68" s="1773"/>
      <c r="O68" s="1773"/>
      <c r="P68" s="1773"/>
      <c r="Q68" s="1773"/>
      <c r="R68" s="1773"/>
      <c r="S68" s="1773"/>
      <c r="T68" s="1773"/>
      <c r="U68" s="1773"/>
      <c r="V68" s="1773"/>
      <c r="W68" s="1773"/>
      <c r="X68" s="1773"/>
      <c r="Y68" s="1773"/>
      <c r="Z68" s="1773"/>
      <c r="AA68" s="1669"/>
      <c r="AH68" s="1889"/>
      <c r="AI68" s="1889"/>
      <c r="AK68" s="1889"/>
      <c r="AL68" s="1889"/>
      <c r="AN68" s="1872"/>
      <c r="AO68" s="1889"/>
      <c r="AP68" s="1100"/>
      <c r="AQ68" s="1100"/>
      <c r="AR68" s="1889"/>
      <c r="AS68" s="1100"/>
      <c r="AT68" s="1075"/>
      <c r="AU68" s="1075"/>
      <c r="AV68" s="1075"/>
      <c r="AW68" s="1075"/>
      <c r="AX68" s="1075"/>
      <c r="AY68" s="1075"/>
      <c r="AZ68" s="1075"/>
      <c r="BA68" s="1075"/>
      <c r="BB68" s="1075"/>
      <c r="BC68" s="1075"/>
      <c r="BD68" s="1075"/>
      <c r="BE68" s="1075"/>
      <c r="BF68" s="1075"/>
      <c r="BG68" s="1075"/>
      <c r="BH68" s="1075"/>
      <c r="BI68" s="1075"/>
      <c r="BJ68" s="1075"/>
      <c r="BK68" s="1075"/>
      <c r="BL68" s="1075"/>
      <c r="BM68" s="1075"/>
      <c r="BN68" s="1075"/>
      <c r="BO68" s="1094"/>
      <c r="BP68" s="1075"/>
      <c r="BQ68" s="1075"/>
      <c r="BR68" s="1075"/>
      <c r="BS68" s="1075"/>
      <c r="BT68" s="1075"/>
      <c r="BU68" s="1075"/>
      <c r="BV68" s="1075"/>
      <c r="BW68" s="1075"/>
      <c r="BX68" s="1075"/>
      <c r="BY68" s="865"/>
      <c r="BZ68" s="1075"/>
    </row>
    <row r="69" spans="1:78">
      <c r="B69" s="1770" t="s">
        <v>136</v>
      </c>
      <c r="C69" s="686"/>
      <c r="D69" s="686"/>
      <c r="E69" s="686"/>
      <c r="F69" s="686"/>
      <c r="G69" s="686"/>
      <c r="H69" s="686"/>
      <c r="I69" s="686"/>
      <c r="J69" s="686"/>
      <c r="K69" s="686"/>
      <c r="L69" s="686"/>
      <c r="M69" s="686"/>
      <c r="N69" s="1775">
        <f>+PROJ!DI254</f>
        <v>0.2842414701618482</v>
      </c>
      <c r="O69" s="1775">
        <f>+PROJ!DJ254</f>
        <v>0.2508805161167536</v>
      </c>
      <c r="P69" s="1775">
        <f>+PROJ!DK254</f>
        <v>0.21482393079317613</v>
      </c>
      <c r="Q69" s="1775">
        <f>+PROJ!DL254</f>
        <v>8.2754345411795452E-2</v>
      </c>
      <c r="R69" s="1775">
        <f>+PROJ!DM254</f>
        <v>0.12985766257956616</v>
      </c>
      <c r="S69" s="1775">
        <f>+PROJ!DN254</f>
        <v>9.6972614888022377E-2</v>
      </c>
      <c r="T69" s="1775">
        <f>+PROJ!DO254</f>
        <v>0.1149527487092806</v>
      </c>
      <c r="U69" s="1775">
        <f>+PROJ!DP254</f>
        <v>0.13081964394770618</v>
      </c>
      <c r="V69" s="1775">
        <f>+PROJ!DQ254</f>
        <v>0.12466611570587094</v>
      </c>
      <c r="W69" s="1775">
        <f>+PROJ!DR254</f>
        <v>0.1564213616617087</v>
      </c>
      <c r="X69" s="1775">
        <f>+PROJ!DS254</f>
        <v>0.16398808149284005</v>
      </c>
      <c r="Y69" s="1775">
        <f>+PROJ!DT254</f>
        <v>0.16536124053994369</v>
      </c>
      <c r="Z69" s="1775">
        <f>+PROJ!DU254</f>
        <v>0.1650243640255746</v>
      </c>
    </row>
    <row r="70" spans="1:78">
      <c r="A70" s="1668"/>
      <c r="B70" s="1770" t="s">
        <v>53</v>
      </c>
      <c r="C70" s="1775">
        <f>+PROJ!CX255</f>
        <v>0.13082023303001891</v>
      </c>
      <c r="D70" s="1775">
        <f>+PROJ!CY255</f>
        <v>0.26090622230471805</v>
      </c>
      <c r="E70" s="1775">
        <f>+PROJ!CZ255</f>
        <v>0.3057448549802072</v>
      </c>
      <c r="F70" s="1775">
        <f>+PROJ!DA255</f>
        <v>0.42751666120171666</v>
      </c>
      <c r="G70" s="1775">
        <f>+PROJ!DB255</f>
        <v>0.38009399947313122</v>
      </c>
      <c r="H70" s="1775">
        <f>+PROJ!DC255</f>
        <v>0.32530953054016681</v>
      </c>
      <c r="I70" s="1775">
        <f>+PROJ!DD255</f>
        <v>0.29447779289422132</v>
      </c>
      <c r="J70" s="1775">
        <f>+PROJ!DE255</f>
        <v>0.2661157877510536</v>
      </c>
      <c r="K70" s="1775"/>
      <c r="L70" s="1775"/>
      <c r="M70" s="1775"/>
      <c r="N70" s="1775">
        <f>+PROJ!DI255</f>
        <v>0.25349840575568505</v>
      </c>
      <c r="O70" s="1775">
        <f>+PROJ!DJ255</f>
        <v>0.23436836514711318</v>
      </c>
      <c r="P70" s="1775">
        <f>+PROJ!DK255</f>
        <v>0.1219312924703589</v>
      </c>
      <c r="Q70" s="1775">
        <f>+PROJ!DL255</f>
        <v>9.3444120397692856E-2</v>
      </c>
      <c r="R70" s="1775">
        <f>+PROJ!DM255</f>
        <v>0.14251749246394063</v>
      </c>
      <c r="S70" s="1775">
        <f>+PROJ!DN255</f>
        <v>8.9808936123816172E-2</v>
      </c>
      <c r="T70" s="1775">
        <f>+PROJ!DO255</f>
        <v>0.1111552779433899</v>
      </c>
      <c r="U70" s="1775">
        <f>+PROJ!DP255</f>
        <v>0.14750076606432247</v>
      </c>
      <c r="V70" s="1775">
        <f>+PROJ!DQ255</f>
        <v>0.13296107544034794</v>
      </c>
      <c r="W70" s="1775">
        <f>+PROJ!DR255</f>
        <v>0.17418864323453245</v>
      </c>
      <c r="X70" s="1775">
        <f>+PROJ!DS255</f>
        <v>0.18717398104633859</v>
      </c>
      <c r="Y70" s="1775">
        <f>+PROJ!DT255</f>
        <v>0.19639867560300031</v>
      </c>
      <c r="Z70" s="1775">
        <f>+PROJ!DU255</f>
        <v>0.20471241041276361</v>
      </c>
      <c r="AA70" s="1669"/>
      <c r="AQ70" s="1152"/>
      <c r="AT70" s="1075"/>
      <c r="AU70" s="1075"/>
      <c r="AV70" s="1075"/>
      <c r="AW70" s="1075"/>
      <c r="AX70" s="1075"/>
      <c r="AY70" s="1075"/>
      <c r="AZ70" s="1075"/>
      <c r="BA70" s="1075"/>
      <c r="BB70" s="1075"/>
      <c r="BC70" s="1075"/>
      <c r="BD70" s="1075"/>
      <c r="BE70" s="1075"/>
      <c r="BF70" s="1075"/>
      <c r="BG70" s="1075"/>
      <c r="BH70" s="1075"/>
      <c r="BI70" s="1075"/>
      <c r="BJ70" s="1075"/>
      <c r="BK70" s="1075"/>
      <c r="BL70" s="1075"/>
      <c r="BM70" s="1075"/>
      <c r="BN70" s="1075"/>
      <c r="BO70" s="1094"/>
      <c r="BP70" s="1075"/>
      <c r="BQ70" s="1075"/>
      <c r="BR70" s="1075"/>
      <c r="BS70" s="1075"/>
      <c r="BT70" s="1075"/>
      <c r="BU70" s="1075"/>
      <c r="BV70" s="1075"/>
      <c r="BW70" s="1075"/>
      <c r="BX70" s="1075"/>
      <c r="BY70" s="865"/>
      <c r="BZ70" s="1075"/>
    </row>
    <row r="71" spans="1:78">
      <c r="A71" s="1668"/>
      <c r="B71" s="1770"/>
      <c r="C71" s="1775"/>
      <c r="D71" s="1775"/>
      <c r="E71" s="1775"/>
      <c r="F71" s="1775"/>
      <c r="G71" s="1775"/>
      <c r="H71" s="1775"/>
      <c r="I71" s="1775"/>
      <c r="J71" s="1775"/>
      <c r="K71" s="1775"/>
      <c r="L71" s="1775"/>
      <c r="M71" s="1775"/>
      <c r="N71" s="1775"/>
      <c r="O71" s="1775"/>
      <c r="P71" s="1775"/>
      <c r="Q71" s="1775"/>
      <c r="R71" s="1775"/>
      <c r="S71" s="1775"/>
      <c r="T71" s="1775"/>
      <c r="U71" s="1775"/>
      <c r="V71" s="1775"/>
      <c r="W71" s="1775"/>
      <c r="X71" s="1775"/>
      <c r="Y71" s="1775"/>
      <c r="Z71" s="1775"/>
      <c r="AA71" s="1669"/>
      <c r="AQ71" s="1668"/>
      <c r="AT71" s="1075"/>
      <c r="AU71" s="1075"/>
      <c r="AV71" s="1075"/>
      <c r="AW71" s="1075"/>
      <c r="AX71" s="1075"/>
      <c r="AY71" s="1075"/>
      <c r="AZ71" s="1075"/>
      <c r="BA71" s="1075"/>
      <c r="BB71" s="1075"/>
      <c r="BC71" s="1075"/>
      <c r="BD71" s="1075"/>
      <c r="BE71" s="1075"/>
      <c r="BF71" s="1075"/>
      <c r="BG71" s="1075"/>
      <c r="BH71" s="1075"/>
      <c r="BI71" s="1075"/>
      <c r="BJ71" s="1075"/>
      <c r="BK71" s="1075"/>
      <c r="BL71" s="1075"/>
      <c r="BM71" s="1075"/>
      <c r="BN71" s="1075"/>
      <c r="BO71" s="1094"/>
      <c r="BP71" s="1075"/>
      <c r="BQ71" s="1075"/>
      <c r="BR71" s="1075"/>
      <c r="BS71" s="1075"/>
      <c r="BT71" s="1075"/>
      <c r="BU71" s="1075"/>
      <c r="BV71" s="1075"/>
      <c r="BW71" s="1075"/>
      <c r="BX71" s="1075"/>
      <c r="BY71" s="865"/>
      <c r="BZ71" s="1075"/>
    </row>
    <row r="72" spans="1:78">
      <c r="A72" s="1668"/>
      <c r="B72" s="1770" t="s">
        <v>137</v>
      </c>
      <c r="C72" s="1771">
        <f ca="1">C62/Resumo!C35</f>
        <v>77.986048224183747</v>
      </c>
      <c r="D72" s="1771">
        <f ca="1">D62/Resumo!D35</f>
        <v>79.346941329595509</v>
      </c>
      <c r="E72" s="1771">
        <f ca="1">E62/Resumo!E35</f>
        <v>58.028656524486458</v>
      </c>
      <c r="F72" s="1771">
        <f ca="1">F62/Resumo!F35</f>
        <v>37.250160985791943</v>
      </c>
      <c r="G72" s="1771">
        <f ca="1">G62/Resumo!G35</f>
        <v>32.790880935633211</v>
      </c>
      <c r="H72" s="1771">
        <f ca="1">H62/Resumo!H35</f>
        <v>29.203215020116222</v>
      </c>
      <c r="I72" s="1771">
        <f ca="1">I62/Resumo!I35</f>
        <v>25.645556659092232</v>
      </c>
      <c r="J72" s="1771">
        <f ca="1">J62/Resumo!J35</f>
        <v>13.975093301294836</v>
      </c>
      <c r="K72" s="1771"/>
      <c r="L72" s="1771"/>
      <c r="M72" s="1771"/>
      <c r="N72" s="1771">
        <f ca="1">N62/Resumo!N35</f>
        <v>9.3454019079054831</v>
      </c>
      <c r="O72" s="1771">
        <f ca="1">O62/Resumo!O35</f>
        <v>6.8343116079944233</v>
      </c>
      <c r="P72" s="1771">
        <f ca="1">P62/Resumo!P35</f>
        <v>10.157256328409176</v>
      </c>
      <c r="Q72" s="1771">
        <f ca="1">Q62/Resumo!Q35</f>
        <v>7.8204903265510941</v>
      </c>
      <c r="R72" s="1771">
        <f ca="1">R62/Resumo!R35</f>
        <v>6.0837792817074439</v>
      </c>
      <c r="S72" s="1771">
        <f ca="1">S62/Resumo!S35</f>
        <v>7.4922305281075179</v>
      </c>
      <c r="T72" s="1771">
        <f ca="1">T62/Resumo!T35</f>
        <v>5.6491325243052319</v>
      </c>
      <c r="U72" s="1771">
        <f ca="1">U62/Resumo!U35</f>
        <v>4.9340219853605207</v>
      </c>
      <c r="V72" s="1771">
        <f ca="1">V62/Resumo!V35</f>
        <v>4.7888815670139744</v>
      </c>
      <c r="W72" s="1771">
        <f ca="1">W62/Resumo!W35</f>
        <v>3.821401435839006</v>
      </c>
      <c r="X72" s="1771">
        <f ca="1">X62/Resumo!X35</f>
        <v>3.2813166602993027</v>
      </c>
      <c r="Y72" s="1771">
        <f ca="1">Y62/Resumo!Y35</f>
        <v>2.818553689287413</v>
      </c>
      <c r="Z72" s="1771">
        <f ca="1">Z62/Resumo!Z35</f>
        <v>2.3967280485790785</v>
      </c>
      <c r="AA72" s="1669"/>
      <c r="AQ72" s="1152"/>
      <c r="AT72" s="1075"/>
      <c r="AU72" s="1075"/>
      <c r="AV72" s="1075"/>
      <c r="AW72" s="1075"/>
      <c r="AX72" s="1075"/>
      <c r="AY72" s="1075"/>
      <c r="AZ72" s="1075"/>
      <c r="BA72" s="1075"/>
      <c r="BB72" s="1075"/>
      <c r="BC72" s="1075"/>
      <c r="BD72" s="1075"/>
      <c r="BE72" s="1075"/>
      <c r="BF72" s="1075"/>
      <c r="BG72" s="1075"/>
      <c r="BH72" s="1075"/>
      <c r="BI72" s="1075"/>
      <c r="BJ72" s="1075"/>
      <c r="BK72" s="1075"/>
      <c r="BL72" s="1075"/>
      <c r="BM72" s="1075"/>
      <c r="BN72" s="1075"/>
      <c r="BO72" s="1094"/>
      <c r="BP72" s="1075"/>
      <c r="BQ72" s="1075"/>
      <c r="BR72" s="1075"/>
      <c r="BS72" s="1075"/>
      <c r="BT72" s="1075"/>
      <c r="BU72" s="1075"/>
      <c r="BV72" s="1075"/>
      <c r="BW72" s="1075"/>
      <c r="BX72" s="1075"/>
      <c r="BY72" s="865"/>
      <c r="BZ72" s="1075"/>
    </row>
    <row r="73" spans="1:78" hidden="1">
      <c r="A73" s="1668"/>
      <c r="B73" s="1776" t="s">
        <v>138</v>
      </c>
      <c r="C73" s="1771">
        <f ca="1">+C62/PROJ!CX138</f>
        <v>24.438605983400407</v>
      </c>
      <c r="D73" s="1771">
        <f ca="1">+D62/PROJ!CY138</f>
        <v>17.835367946321774</v>
      </c>
      <c r="E73" s="1771">
        <f ca="1">+E62/PROJ!CZ138</f>
        <v>17.857930600000454</v>
      </c>
      <c r="F73" s="1771">
        <f ca="1">+F62/PROJ!DA138</f>
        <v>21.484648363646048</v>
      </c>
      <c r="G73" s="1771">
        <f ca="1">+G62/PROJ!DB138</f>
        <v>14.05243380649225</v>
      </c>
      <c r="H73" s="1771">
        <f ca="1">+H62/PROJ!DC138</f>
        <v>8.353326646674887</v>
      </c>
      <c r="I73" s="1771" t="e">
        <f ca="1">+I62/PROJ!DD138</f>
        <v>#REF!</v>
      </c>
      <c r="J73" s="1771">
        <f ca="1">+J62/PROJ!DE138</f>
        <v>5.6440433360780773</v>
      </c>
      <c r="K73" s="1771"/>
      <c r="L73" s="1771"/>
      <c r="M73" s="1771"/>
      <c r="N73" s="1771">
        <f ca="1">+N62/PROJ!DI138</f>
        <v>3.604527600939937</v>
      </c>
      <c r="O73" s="1771">
        <f ca="1">+O62/PROJ!DJ138</f>
        <v>3.3072010202552624</v>
      </c>
      <c r="P73" s="1771">
        <f ca="1">+P62/PROJ!DK138</f>
        <v>2.8416449252224116</v>
      </c>
      <c r="Q73" s="1771">
        <f ca="1">+Q62/PROJ!DL138</f>
        <v>1.9034180665221516</v>
      </c>
      <c r="R73" s="1771">
        <f ca="1">+R62/PROJ!DM138</f>
        <v>1.7172556588302335</v>
      </c>
      <c r="S73" s="1771">
        <f ca="1">+S62/PROJ!DN138</f>
        <v>1.7517340006633273</v>
      </c>
      <c r="T73" s="1771">
        <f ca="1">+T62/PROJ!DO138</f>
        <v>1.6818111931212454</v>
      </c>
      <c r="U73" s="1771">
        <f ca="1">+U62/PROJ!DP138</f>
        <v>1.6355868565955358</v>
      </c>
      <c r="V73" s="1771">
        <f ca="1">+V62/PROJ!DQ138</f>
        <v>1.5532272691448947</v>
      </c>
      <c r="W73" s="1771">
        <f ca="1">+W62/PROJ!DR138</f>
        <v>1.4463741845786491</v>
      </c>
      <c r="X73" s="1771">
        <f ca="1">+X62/PROJ!DS138</f>
        <v>1.2973338102527698</v>
      </c>
      <c r="Y73" s="1771">
        <f ca="1">+Y62/PROJ!DT138</f>
        <v>1.1549693946351505</v>
      </c>
      <c r="Z73" s="1771">
        <f ca="1">+Z62/PROJ!DU138</f>
        <v>1.0128838673495439</v>
      </c>
      <c r="AA73" s="1669"/>
      <c r="AQ73" s="1075"/>
      <c r="AT73" s="1075"/>
      <c r="AU73" s="1075"/>
      <c r="AV73" s="1075"/>
      <c r="AW73" s="1075"/>
      <c r="AX73" s="1075"/>
      <c r="AY73" s="1075"/>
      <c r="AZ73" s="1075"/>
      <c r="BA73" s="1075"/>
      <c r="BB73" s="1075"/>
      <c r="BC73" s="1075"/>
      <c r="BD73" s="1075"/>
      <c r="BE73" s="1075"/>
      <c r="BF73" s="1075"/>
      <c r="BG73" s="1075"/>
      <c r="BH73" s="1075"/>
      <c r="BI73" s="1075"/>
      <c r="BJ73" s="1075"/>
      <c r="BK73" s="1075"/>
      <c r="BL73" s="1075"/>
      <c r="BM73" s="1075"/>
      <c r="BN73" s="1075"/>
      <c r="BO73" s="1094"/>
      <c r="BP73" s="1075"/>
      <c r="BQ73" s="1075"/>
      <c r="BR73" s="1075"/>
      <c r="BS73" s="1075"/>
      <c r="BT73" s="1075"/>
      <c r="BU73" s="1075"/>
      <c r="BV73" s="1075"/>
      <c r="BW73" s="1075"/>
      <c r="BX73" s="1075"/>
      <c r="BY73" s="865"/>
      <c r="BZ73" s="1075"/>
    </row>
    <row r="74" spans="1:78">
      <c r="A74" s="1668"/>
      <c r="B74" s="1777" t="s">
        <v>139</v>
      </c>
      <c r="C74" s="1778">
        <f t="shared" ref="C74:J74" ca="1" si="82">+C62/C4</f>
        <v>8.1170249293219516</v>
      </c>
      <c r="D74" s="1778">
        <f t="shared" ca="1" si="82"/>
        <v>7.2607852379767905</v>
      </c>
      <c r="E74" s="1778">
        <f t="shared" ca="1" si="82"/>
        <v>6.643878393723547</v>
      </c>
      <c r="F74" s="1778">
        <f t="shared" ca="1" si="82"/>
        <v>5.5716335106773505</v>
      </c>
      <c r="G74" s="1778">
        <f t="shared" ca="1" si="82"/>
        <v>4.8221764608888815</v>
      </c>
      <c r="H74" s="1778">
        <f t="shared" ca="1" si="82"/>
        <v>4.2283143491223836</v>
      </c>
      <c r="I74" s="1778">
        <f t="shared" ca="1" si="82"/>
        <v>3.816769792663433</v>
      </c>
      <c r="J74" s="1778">
        <f t="shared" ca="1" si="82"/>
        <v>3.2247839550433239</v>
      </c>
      <c r="K74" s="1778"/>
      <c r="L74" s="1778"/>
      <c r="M74" s="1778"/>
      <c r="N74" s="1778">
        <f t="shared" ref="N74:Z74" ca="1" si="83">+N62/N4</f>
        <v>1.9279566787843316</v>
      </c>
      <c r="O74" s="1778">
        <f t="shared" ca="1" si="83"/>
        <v>1.6665394996077045</v>
      </c>
      <c r="P74" s="1778">
        <f t="shared" ca="1" si="83"/>
        <v>2.1784550720561269</v>
      </c>
      <c r="Q74" s="1778">
        <f t="shared" ca="1" si="83"/>
        <v>1.2511291439549879</v>
      </c>
      <c r="R74" s="1778">
        <f t="shared" ca="1" si="83"/>
        <v>1.1007854865939519</v>
      </c>
      <c r="S74" s="1778">
        <f t="shared" ca="1" si="83"/>
        <v>1.0646249090241253</v>
      </c>
      <c r="T74" s="1778">
        <f t="shared" ca="1" si="83"/>
        <v>0.96152833753314371</v>
      </c>
      <c r="U74" s="1778">
        <f t="shared" ca="1" si="83"/>
        <v>0.93534822557873498</v>
      </c>
      <c r="V74" s="1778">
        <f t="shared" ca="1" si="83"/>
        <v>0.85709444985745598</v>
      </c>
      <c r="W74" s="1778">
        <f t="shared" ca="1" si="83"/>
        <v>0.77478360351925313</v>
      </c>
      <c r="X74" s="1778">
        <f t="shared" ca="1" si="83"/>
        <v>0.68220871101275138</v>
      </c>
      <c r="Y74" s="1778">
        <f t="shared" ca="1" si="83"/>
        <v>0.59845981272109339</v>
      </c>
      <c r="Z74" s="1778">
        <f t="shared" ca="1" si="83"/>
        <v>0.51861467679107542</v>
      </c>
      <c r="AA74" s="1669"/>
      <c r="AQ74" s="1075"/>
      <c r="AT74" s="1075"/>
      <c r="AU74" s="1075"/>
      <c r="AV74" s="1075"/>
      <c r="AW74" s="1075"/>
      <c r="AX74" s="1075"/>
      <c r="AY74" s="1075"/>
      <c r="AZ74" s="1075"/>
      <c r="BA74" s="1075"/>
      <c r="BB74" s="1075"/>
      <c r="BC74" s="1075"/>
      <c r="BD74" s="1075"/>
      <c r="BE74" s="1075"/>
      <c r="BF74" s="1075"/>
      <c r="BG74" s="1075"/>
      <c r="BH74" s="1075"/>
      <c r="BI74" s="1075"/>
      <c r="BJ74" s="1075"/>
      <c r="BK74" s="1075"/>
      <c r="BL74" s="1075"/>
      <c r="BM74" s="1075"/>
      <c r="BN74" s="1075"/>
      <c r="BO74" s="1094"/>
      <c r="BP74" s="1075"/>
      <c r="BQ74" s="1075"/>
      <c r="BR74" s="1075"/>
      <c r="BS74" s="1075"/>
      <c r="BT74" s="1075"/>
      <c r="BU74" s="1075"/>
      <c r="BV74" s="1075"/>
      <c r="BW74" s="1075"/>
      <c r="BX74" s="1075"/>
      <c r="BY74" s="865"/>
      <c r="BZ74" s="1075"/>
    </row>
    <row r="75" spans="1:78">
      <c r="A75" s="1668"/>
      <c r="B75" s="1668"/>
      <c r="C75" s="1668"/>
      <c r="D75" s="1668"/>
      <c r="E75" s="1668"/>
      <c r="F75" s="1668"/>
      <c r="G75" s="1668"/>
      <c r="H75" s="1668"/>
      <c r="I75" s="1668"/>
      <c r="J75" s="1668"/>
      <c r="K75" s="1668"/>
      <c r="L75" s="1668"/>
      <c r="M75" s="1668"/>
      <c r="N75" s="1668"/>
      <c r="O75" s="1668"/>
      <c r="P75" s="1668"/>
      <c r="Q75" s="1668"/>
      <c r="R75" s="1668"/>
      <c r="S75" s="1668"/>
      <c r="T75" s="1668"/>
      <c r="U75" s="1668"/>
      <c r="V75" s="1668"/>
      <c r="W75" s="1668"/>
      <c r="X75" s="1668"/>
      <c r="Y75" s="1668"/>
      <c r="Z75" s="1668"/>
      <c r="AA75" s="1669"/>
      <c r="AQ75" s="1075"/>
      <c r="AT75" s="1075"/>
      <c r="AU75" s="1075"/>
      <c r="AV75" s="1075"/>
      <c r="AW75" s="1075"/>
      <c r="AX75" s="1075"/>
      <c r="AY75" s="1075"/>
      <c r="AZ75" s="1075"/>
      <c r="BA75" s="1075"/>
      <c r="BB75" s="1075"/>
      <c r="BC75" s="1075"/>
      <c r="BD75" s="1075"/>
      <c r="BE75" s="1075"/>
      <c r="BF75" s="1075"/>
      <c r="BG75" s="1075"/>
      <c r="BH75" s="1075"/>
      <c r="BI75" s="1075"/>
      <c r="BJ75" s="1075"/>
      <c r="BK75" s="1075"/>
      <c r="BL75" s="1075"/>
      <c r="BM75" s="1075"/>
      <c r="BN75" s="1075"/>
      <c r="BO75" s="1094"/>
      <c r="BP75" s="1075"/>
      <c r="BQ75" s="1075"/>
      <c r="BR75" s="1075"/>
      <c r="BS75" s="1075"/>
      <c r="BT75" s="1075"/>
      <c r="BU75" s="1075"/>
      <c r="BV75" s="1075"/>
      <c r="BW75" s="1075"/>
      <c r="BX75" s="1075"/>
      <c r="BY75" s="865"/>
      <c r="BZ75" s="1075"/>
    </row>
    <row r="76" spans="1:78">
      <c r="A76" s="1668"/>
      <c r="B76" s="1668"/>
      <c r="C76" s="1668"/>
      <c r="D76" s="1668"/>
      <c r="E76" s="1668"/>
      <c r="F76" s="1668"/>
      <c r="G76" s="1668"/>
      <c r="H76" s="1668"/>
      <c r="I76" s="1668"/>
      <c r="J76" s="1668"/>
      <c r="K76" s="1668"/>
      <c r="L76" s="1668"/>
      <c r="M76" s="1668"/>
      <c r="N76" s="1668"/>
      <c r="O76" s="1668"/>
      <c r="P76" s="1668"/>
      <c r="Q76" s="1668"/>
      <c r="R76" s="1668"/>
      <c r="S76" s="1668"/>
      <c r="T76" s="1906" t="s">
        <v>140</v>
      </c>
      <c r="U76" s="1905">
        <f ca="1">+U60*0.1</f>
        <v>1570678.2000000002</v>
      </c>
      <c r="V76" s="1905">
        <f t="shared" ref="V76:W76" ca="1" si="84">+V60*0.1</f>
        <v>1570678.2000000002</v>
      </c>
      <c r="W76" s="1905">
        <f t="shared" ca="1" si="84"/>
        <v>1570678.2000000002</v>
      </c>
      <c r="X76" s="1668"/>
      <c r="Y76" s="1668"/>
      <c r="Z76" s="1668"/>
      <c r="AA76" s="1669"/>
      <c r="AQ76" s="1075"/>
      <c r="AT76" s="1075"/>
      <c r="AU76" s="1075"/>
      <c r="AV76" s="1075"/>
      <c r="AW76" s="1075"/>
      <c r="AX76" s="1075"/>
      <c r="AY76" s="1075"/>
      <c r="AZ76" s="1075"/>
      <c r="BA76" s="1075"/>
      <c r="BB76" s="1075"/>
      <c r="BC76" s="1075"/>
      <c r="BD76" s="1075"/>
      <c r="BE76" s="1075"/>
      <c r="BF76" s="1075"/>
      <c r="BG76" s="1075"/>
      <c r="BH76" s="1075"/>
      <c r="BI76" s="1075"/>
      <c r="BJ76" s="1075"/>
      <c r="BK76" s="1075"/>
      <c r="BL76" s="1075"/>
      <c r="BM76" s="1075"/>
      <c r="BN76" s="1075"/>
      <c r="BO76" s="1094"/>
      <c r="BP76" s="1075"/>
      <c r="BQ76" s="1075"/>
      <c r="BR76" s="1075"/>
      <c r="BS76" s="1075"/>
      <c r="BT76" s="1075"/>
      <c r="BU76" s="1075"/>
      <c r="BV76" s="1075"/>
      <c r="BW76" s="1075"/>
      <c r="BX76" s="1075"/>
      <c r="BY76" s="865"/>
      <c r="BZ76" s="1075"/>
    </row>
    <row r="77" spans="1:78">
      <c r="A77" s="1668"/>
      <c r="B77" s="1668"/>
      <c r="C77" s="1668"/>
      <c r="D77" s="1668"/>
      <c r="E77" s="1668"/>
      <c r="F77" s="1668"/>
      <c r="G77" s="1668"/>
      <c r="H77" s="1668"/>
      <c r="I77" s="1668"/>
      <c r="J77" s="1668"/>
      <c r="K77" s="1668"/>
      <c r="L77" s="1668"/>
      <c r="M77" s="1668"/>
      <c r="N77" s="1668"/>
      <c r="O77" s="1668"/>
      <c r="P77" s="1668"/>
      <c r="Q77" s="1668"/>
      <c r="R77" s="1668"/>
      <c r="S77" s="1668"/>
      <c r="T77" s="1086" t="s">
        <v>141</v>
      </c>
      <c r="U77" s="1905">
        <f ca="1">+U76*0.074</f>
        <v>116230.18680000001</v>
      </c>
      <c r="V77" s="1905">
        <f t="shared" ref="V77:W77" ca="1" si="85">+V76*0.074</f>
        <v>116230.18680000001</v>
      </c>
      <c r="W77" s="1905">
        <f t="shared" ca="1" si="85"/>
        <v>116230.18680000001</v>
      </c>
      <c r="X77" s="1668"/>
      <c r="Y77" s="1668"/>
      <c r="Z77" s="1668"/>
      <c r="AA77" s="1669"/>
      <c r="AQ77" s="1075"/>
      <c r="AT77" s="1075"/>
      <c r="AU77" s="1075"/>
      <c r="AV77" s="1075"/>
      <c r="AW77" s="1075"/>
      <c r="AX77" s="1075"/>
      <c r="AY77" s="1075"/>
      <c r="AZ77" s="1075"/>
      <c r="BA77" s="1075"/>
      <c r="BB77" s="1075"/>
      <c r="BC77" s="1075"/>
      <c r="BD77" s="1075"/>
      <c r="BE77" s="1075"/>
      <c r="BF77" s="1075"/>
      <c r="BG77" s="1075"/>
      <c r="BH77" s="1075"/>
      <c r="BI77" s="1075"/>
      <c r="BJ77" s="1075"/>
      <c r="BK77" s="1075"/>
      <c r="BL77" s="1075"/>
      <c r="BM77" s="1075"/>
      <c r="BN77" s="1075"/>
      <c r="BO77" s="1094"/>
      <c r="BP77" s="1075"/>
      <c r="BQ77" s="1075"/>
      <c r="BR77" s="1075"/>
      <c r="BS77" s="1075"/>
      <c r="BT77" s="1075"/>
      <c r="BU77" s="1075"/>
      <c r="BV77" s="1075"/>
      <c r="BW77" s="1075"/>
      <c r="BX77" s="1075"/>
      <c r="BY77" s="865"/>
      <c r="BZ77" s="1075"/>
    </row>
    <row r="78" spans="1:78">
      <c r="A78" s="1668"/>
      <c r="B78" s="1811"/>
      <c r="C78" s="1668"/>
      <c r="D78" s="1668"/>
      <c r="E78" s="1668"/>
      <c r="F78" s="1668"/>
      <c r="G78" s="1668"/>
      <c r="H78" s="1668"/>
      <c r="I78" s="1668"/>
      <c r="J78" s="1668"/>
      <c r="K78" s="1668"/>
      <c r="L78" s="1668"/>
      <c r="M78" s="1668"/>
      <c r="N78" s="1668"/>
      <c r="O78" s="1668"/>
      <c r="P78" s="1668"/>
      <c r="Q78" s="1668"/>
      <c r="R78" s="1668"/>
      <c r="S78" s="1668"/>
      <c r="T78" s="1086" t="s">
        <v>115</v>
      </c>
      <c r="U78" s="1100">
        <f ca="1">+U22-U77</f>
        <v>1270587.7336260856</v>
      </c>
      <c r="V78" s="1100">
        <f ca="1">+V22-V77</f>
        <v>1218233.7555803452</v>
      </c>
      <c r="W78" s="1100">
        <f ca="1">+W22-W77</f>
        <v>1678527.0980678943</v>
      </c>
      <c r="X78" s="1668"/>
      <c r="Y78" s="1668"/>
      <c r="Z78" s="1668"/>
      <c r="AA78" s="1669"/>
      <c r="AQ78" s="1075"/>
      <c r="AT78" s="1075"/>
      <c r="AU78" s="1075"/>
      <c r="AV78" s="1075"/>
      <c r="AW78" s="1075"/>
      <c r="AX78" s="1075"/>
      <c r="AY78" s="1075"/>
      <c r="AZ78" s="1075"/>
      <c r="BA78" s="1075"/>
      <c r="BB78" s="1075"/>
      <c r="BC78" s="1075"/>
      <c r="BD78" s="1075"/>
      <c r="BE78" s="1075"/>
      <c r="BF78" s="1075"/>
      <c r="BG78" s="1075"/>
      <c r="BH78" s="1075"/>
      <c r="BI78" s="1075"/>
      <c r="BJ78" s="1075"/>
      <c r="BK78" s="1075"/>
      <c r="BL78" s="1075"/>
      <c r="BM78" s="1075"/>
      <c r="BN78" s="1075"/>
      <c r="BO78" s="1094"/>
      <c r="BP78" s="1075"/>
      <c r="BQ78" s="1075"/>
      <c r="BR78" s="1075"/>
      <c r="BS78" s="1075"/>
      <c r="BT78" s="1075"/>
      <c r="BU78" s="1075"/>
      <c r="BV78" s="1075"/>
      <c r="BW78" s="1075"/>
      <c r="BX78" s="1075"/>
      <c r="BY78" s="865"/>
      <c r="BZ78" s="1075"/>
    </row>
    <row r="79" spans="1:78">
      <c r="A79" s="1668"/>
      <c r="B79" s="1811"/>
      <c r="C79" s="1668"/>
      <c r="D79" s="1668"/>
      <c r="E79" s="1668"/>
      <c r="F79" s="1668"/>
      <c r="G79" s="1668"/>
      <c r="H79" s="1668"/>
      <c r="I79" s="1668"/>
      <c r="J79" s="1668"/>
      <c r="K79" s="1668"/>
      <c r="L79" s="1668"/>
      <c r="M79" s="1668"/>
      <c r="N79" s="1668"/>
      <c r="O79" s="1668"/>
      <c r="P79" s="1668"/>
      <c r="Q79" s="1668"/>
      <c r="R79" s="1668"/>
      <c r="S79" s="1668"/>
      <c r="T79" s="1086" t="s">
        <v>142</v>
      </c>
      <c r="U79" s="1100">
        <f ca="1">+U60/U78</f>
        <v>12.361824047501992</v>
      </c>
      <c r="V79" s="1100">
        <f t="shared" ref="V79:W79" ca="1" si="86">+V60/V78</f>
        <v>12.893077316280376</v>
      </c>
      <c r="W79" s="1100">
        <f t="shared" ca="1" si="86"/>
        <v>9.3574789576406836</v>
      </c>
      <c r="X79" s="1668"/>
      <c r="Y79" s="1668"/>
      <c r="Z79" s="1668"/>
      <c r="AA79" s="1669"/>
      <c r="AQ79" s="1075"/>
      <c r="AT79" s="1075"/>
      <c r="AU79" s="1075"/>
      <c r="AV79" s="1075"/>
      <c r="AW79" s="1075"/>
      <c r="AX79" s="1075"/>
      <c r="AY79" s="1075"/>
      <c r="AZ79" s="1075"/>
      <c r="BA79" s="1075"/>
      <c r="BB79" s="1075"/>
      <c r="BC79" s="1075"/>
      <c r="BD79" s="1075"/>
      <c r="BE79" s="1075"/>
      <c r="BF79" s="1075"/>
      <c r="BG79" s="1075"/>
      <c r="BH79" s="1075"/>
      <c r="BI79" s="1075"/>
      <c r="BJ79" s="1075"/>
      <c r="BK79" s="1075"/>
      <c r="BL79" s="1075"/>
      <c r="BM79" s="1075"/>
      <c r="BN79" s="1075"/>
      <c r="BO79" s="1094"/>
      <c r="BP79" s="1075"/>
      <c r="BQ79" s="1075"/>
      <c r="BR79" s="1075"/>
      <c r="BS79" s="1075"/>
      <c r="BT79" s="1075"/>
      <c r="BU79" s="1075"/>
      <c r="BV79" s="1075"/>
      <c r="BW79" s="1075"/>
      <c r="BX79" s="1075"/>
      <c r="BY79" s="865"/>
      <c r="BZ79" s="1075"/>
    </row>
    <row r="80" spans="1:78">
      <c r="A80" s="1668"/>
      <c r="B80" s="1811"/>
      <c r="C80" s="1668"/>
      <c r="D80" s="1668"/>
      <c r="E80" s="1668"/>
      <c r="F80" s="1668"/>
      <c r="G80" s="1668"/>
      <c r="H80" s="1668"/>
      <c r="I80" s="1668"/>
      <c r="J80" s="1668"/>
      <c r="K80" s="1668"/>
      <c r="L80" s="1668"/>
      <c r="M80" s="1668"/>
      <c r="N80" s="1668"/>
      <c r="O80" s="1668"/>
      <c r="P80" s="1668"/>
      <c r="Q80" s="1668"/>
      <c r="R80" s="1668"/>
      <c r="S80" s="1668"/>
      <c r="T80" s="1668"/>
      <c r="U80" s="1904"/>
      <c r="V80" s="1668"/>
      <c r="W80" s="1668"/>
      <c r="X80" s="1668"/>
      <c r="Y80" s="1668"/>
      <c r="Z80" s="1668"/>
      <c r="AA80" s="1669"/>
      <c r="AQ80" s="1075"/>
      <c r="AT80" s="1075"/>
      <c r="AU80" s="1075"/>
      <c r="AV80" s="1075"/>
      <c r="AW80" s="1075"/>
      <c r="AX80" s="1075"/>
      <c r="AY80" s="1075"/>
      <c r="AZ80" s="1075"/>
      <c r="BA80" s="1075"/>
      <c r="BB80" s="1075"/>
      <c r="BC80" s="1075"/>
      <c r="BD80" s="1075"/>
      <c r="BE80" s="1075"/>
      <c r="BF80" s="1075"/>
      <c r="BG80" s="1075"/>
      <c r="BH80" s="1075"/>
      <c r="BI80" s="1075"/>
      <c r="BJ80" s="1075"/>
      <c r="BK80" s="1075"/>
      <c r="BL80" s="1075"/>
      <c r="BM80" s="1075"/>
      <c r="BN80" s="1075"/>
      <c r="BO80" s="1094"/>
      <c r="BP80" s="1075"/>
      <c r="BQ80" s="1075"/>
      <c r="BR80" s="1075"/>
      <c r="BS80" s="1075"/>
      <c r="BT80" s="1075"/>
      <c r="BU80" s="1075"/>
      <c r="BV80" s="1075"/>
      <c r="BW80" s="1075"/>
      <c r="BX80" s="1075"/>
      <c r="BY80" s="865"/>
      <c r="BZ80" s="1075"/>
    </row>
    <row r="81" spans="1:78">
      <c r="A81" s="1668"/>
      <c r="B81" s="1811"/>
      <c r="C81" s="1668"/>
      <c r="D81" s="1668"/>
      <c r="E81" s="1668"/>
      <c r="F81" s="1668"/>
      <c r="G81" s="1668"/>
      <c r="H81" s="1668"/>
      <c r="I81" s="1668"/>
      <c r="J81" s="1668"/>
      <c r="K81" s="1668"/>
      <c r="L81" s="1668"/>
      <c r="M81" s="1668"/>
      <c r="N81" s="1668"/>
      <c r="O81" s="1668"/>
      <c r="P81" s="1668"/>
      <c r="Q81" s="1668"/>
      <c r="R81" s="1668"/>
      <c r="S81" s="1668"/>
      <c r="T81" s="1668"/>
      <c r="U81" s="1904"/>
      <c r="V81" s="1668"/>
      <c r="W81" s="1668"/>
      <c r="X81" s="1668"/>
      <c r="Y81" s="1668"/>
      <c r="Z81" s="1668"/>
      <c r="AA81" s="1669"/>
      <c r="AQ81" s="1075"/>
      <c r="AT81" s="1075"/>
      <c r="AU81" s="1075"/>
      <c r="AV81" s="1075"/>
      <c r="AW81" s="1075"/>
      <c r="AX81" s="1075"/>
      <c r="AY81" s="1075"/>
      <c r="AZ81" s="1075"/>
      <c r="BA81" s="1075"/>
      <c r="BB81" s="1075"/>
      <c r="BC81" s="1075"/>
      <c r="BD81" s="1075"/>
      <c r="BE81" s="1075"/>
      <c r="BF81" s="1075"/>
      <c r="BG81" s="1075"/>
      <c r="BH81" s="1075"/>
      <c r="BI81" s="1075"/>
      <c r="BJ81" s="1075"/>
      <c r="BK81" s="1075"/>
      <c r="BL81" s="1075"/>
      <c r="BM81" s="1075"/>
      <c r="BN81" s="1075"/>
      <c r="BO81" s="1094"/>
      <c r="BP81" s="1075"/>
      <c r="BQ81" s="1075"/>
      <c r="BR81" s="1075"/>
      <c r="BS81" s="1075"/>
      <c r="BT81" s="1075"/>
      <c r="BU81" s="1075"/>
      <c r="BV81" s="1075"/>
      <c r="BW81" s="1075"/>
      <c r="BX81" s="1075"/>
      <c r="BY81" s="865"/>
      <c r="BZ81" s="1075"/>
    </row>
    <row r="82" spans="1:78">
      <c r="A82" s="1668"/>
      <c r="B82" s="1811"/>
      <c r="C82" s="1668"/>
      <c r="D82" s="1668"/>
      <c r="E82" s="1668"/>
      <c r="F82" s="1668"/>
      <c r="G82" s="1668"/>
      <c r="H82" s="1668"/>
      <c r="I82" s="1668"/>
      <c r="J82" s="1668"/>
      <c r="K82" s="1668"/>
      <c r="L82" s="1668"/>
      <c r="M82" s="1668"/>
      <c r="N82" s="1668"/>
      <c r="O82" s="1668"/>
      <c r="P82" s="1668"/>
      <c r="Q82" s="1668"/>
      <c r="R82" s="1668"/>
      <c r="S82" s="1668"/>
      <c r="T82" s="1668"/>
      <c r="U82" s="1904"/>
      <c r="V82" s="1668"/>
      <c r="W82" s="1668"/>
      <c r="X82" s="1668"/>
      <c r="Y82" s="1668"/>
      <c r="Z82" s="1668"/>
      <c r="AA82" s="1669"/>
      <c r="AQ82" s="1075"/>
      <c r="AT82" s="1075"/>
      <c r="AU82" s="1075"/>
      <c r="AV82" s="1075"/>
      <c r="AW82" s="1075"/>
      <c r="AX82" s="1075"/>
      <c r="AY82" s="1075"/>
      <c r="AZ82" s="1075"/>
      <c r="BA82" s="1075"/>
      <c r="BB82" s="1075"/>
      <c r="BC82" s="1075"/>
      <c r="BD82" s="1075"/>
      <c r="BE82" s="1075"/>
      <c r="BF82" s="1075"/>
      <c r="BG82" s="1075"/>
      <c r="BH82" s="1075"/>
      <c r="BI82" s="1075"/>
      <c r="BJ82" s="1075"/>
      <c r="BK82" s="1075"/>
      <c r="BL82" s="1075"/>
      <c r="BM82" s="1075"/>
      <c r="BN82" s="1075"/>
      <c r="BO82" s="1094"/>
      <c r="BP82" s="1075"/>
      <c r="BQ82" s="1075"/>
      <c r="BR82" s="1075"/>
      <c r="BS82" s="1075"/>
      <c r="BT82" s="1075"/>
      <c r="BU82" s="1075"/>
      <c r="BV82" s="1075"/>
      <c r="BW82" s="1075"/>
      <c r="BX82" s="1075"/>
      <c r="BY82" s="865"/>
      <c r="BZ82" s="1075"/>
    </row>
    <row r="83" spans="1:78">
      <c r="A83" s="1668"/>
      <c r="B83" s="1811"/>
      <c r="C83" s="1668"/>
      <c r="D83" s="1668"/>
      <c r="E83" s="1668"/>
      <c r="F83" s="1668"/>
      <c r="G83" s="1668"/>
      <c r="H83" s="1668"/>
      <c r="I83" s="1668"/>
      <c r="J83" s="1668"/>
      <c r="K83" s="1668"/>
      <c r="L83" s="1668"/>
      <c r="M83" s="1668"/>
      <c r="N83" s="1668"/>
      <c r="O83" s="1668"/>
      <c r="P83" s="1668"/>
      <c r="Q83" s="1668"/>
      <c r="R83" s="1668"/>
      <c r="S83" s="1668"/>
      <c r="T83" s="1668"/>
      <c r="U83" s="1904"/>
      <c r="V83" s="1668"/>
      <c r="W83" s="1668"/>
      <c r="X83" s="1668"/>
      <c r="Y83" s="1668"/>
      <c r="Z83" s="1668"/>
      <c r="AA83" s="1669"/>
      <c r="AQ83" s="1075"/>
      <c r="AT83" s="1075"/>
      <c r="AU83" s="1075"/>
      <c r="AV83" s="1075"/>
      <c r="AW83" s="1075"/>
      <c r="AX83" s="1075"/>
      <c r="AY83" s="1075"/>
      <c r="AZ83" s="1075"/>
      <c r="BA83" s="1075"/>
      <c r="BB83" s="1075"/>
      <c r="BC83" s="1075"/>
      <c r="BD83" s="1075"/>
      <c r="BE83" s="1075"/>
      <c r="BF83" s="1075"/>
      <c r="BG83" s="1075"/>
      <c r="BH83" s="1075"/>
      <c r="BI83" s="1075"/>
      <c r="BJ83" s="1075"/>
      <c r="BK83" s="1075"/>
      <c r="BL83" s="1075"/>
      <c r="BM83" s="1075"/>
      <c r="BN83" s="1075"/>
      <c r="BO83" s="1094"/>
      <c r="BP83" s="1075"/>
      <c r="BQ83" s="1075"/>
      <c r="BR83" s="1075"/>
      <c r="BS83" s="1075"/>
      <c r="BT83" s="1075"/>
      <c r="BU83" s="1075"/>
      <c r="BV83" s="1075"/>
      <c r="BW83" s="1075"/>
      <c r="BX83" s="1075"/>
      <c r="BY83" s="865"/>
      <c r="BZ83" s="1075"/>
    </row>
    <row r="84" spans="1:78" ht="15.75" customHeight="1">
      <c r="A84" s="1668"/>
      <c r="B84" s="1808" t="s">
        <v>143</v>
      </c>
      <c r="C84" s="1686"/>
      <c r="D84" s="1686"/>
      <c r="E84" s="1686"/>
      <c r="F84" s="1686"/>
      <c r="G84" s="1686"/>
      <c r="H84" s="1686"/>
      <c r="I84" s="1686"/>
      <c r="J84" s="1686"/>
      <c r="K84" s="1686"/>
      <c r="L84" s="1686"/>
      <c r="M84" s="1686"/>
      <c r="N84" s="1709">
        <v>2019</v>
      </c>
      <c r="O84" s="1709">
        <v>2024</v>
      </c>
      <c r="P84" s="1709">
        <v>2025</v>
      </c>
      <c r="R84" s="2170" t="s">
        <v>144</v>
      </c>
      <c r="S84" s="1709" t="s">
        <v>145</v>
      </c>
      <c r="T84" s="2171" t="s">
        <v>146</v>
      </c>
      <c r="U84" s="2171"/>
      <c r="V84" s="2171"/>
      <c r="W84" s="2171"/>
      <c r="X84" s="2171"/>
      <c r="AA84" s="1669"/>
      <c r="AQ84" s="1075"/>
      <c r="AT84" s="1075"/>
      <c r="AU84" s="1075"/>
      <c r="AV84" s="1075"/>
      <c r="AW84" s="1075"/>
      <c r="AX84" s="1075"/>
      <c r="AY84" s="1075"/>
      <c r="AZ84" s="1075"/>
      <c r="BA84" s="1075"/>
      <c r="BB84" s="1075"/>
      <c r="BC84" s="1075"/>
      <c r="BD84" s="1075"/>
      <c r="BE84" s="1075"/>
      <c r="BF84" s="1075"/>
      <c r="BG84" s="1075"/>
      <c r="BH84" s="1075"/>
      <c r="BI84" s="1075"/>
      <c r="BJ84" s="1075"/>
      <c r="BK84" s="1075"/>
      <c r="BL84" s="1075"/>
      <c r="BM84" s="1075"/>
      <c r="BN84" s="1075"/>
      <c r="BO84" s="1094"/>
      <c r="BP84" s="1075"/>
      <c r="BQ84" s="1075"/>
      <c r="BR84" s="1075"/>
      <c r="BS84" s="1075"/>
      <c r="BT84" s="1075"/>
      <c r="BU84" s="1075"/>
      <c r="BV84" s="1075"/>
      <c r="BW84" s="1075"/>
      <c r="BX84" s="1075"/>
      <c r="BY84" s="865"/>
      <c r="BZ84" s="1075"/>
    </row>
    <row r="85" spans="1:78" s="1154" customFormat="1" ht="15.75" customHeight="1">
      <c r="A85" s="1671"/>
      <c r="B85" s="1710" t="s">
        <v>90</v>
      </c>
      <c r="C85" s="1685"/>
      <c r="D85" s="1685"/>
      <c r="E85" s="1685"/>
      <c r="F85" s="1685"/>
      <c r="G85" s="1685"/>
      <c r="H85" s="1685"/>
      <c r="I85" s="1685"/>
      <c r="J85" s="1685"/>
      <c r="K85" s="1685"/>
      <c r="L85" s="1685"/>
      <c r="M85" s="1685"/>
      <c r="N85" s="1724">
        <f>+N86+N87</f>
        <v>9588437</v>
      </c>
      <c r="O85" s="1724">
        <f t="shared" ref="O85:P85" si="87">+O86+O87</f>
        <v>14436366</v>
      </c>
      <c r="P85" s="1724">
        <f t="shared" si="87"/>
        <v>15816431.392458165</v>
      </c>
      <c r="R85" s="2170"/>
      <c r="S85" s="1841">
        <f ca="1">+O120</f>
        <v>14.299554803988773</v>
      </c>
      <c r="T85" s="1691">
        <f>+U85-1%</f>
        <v>0.17499999999999999</v>
      </c>
      <c r="U85" s="1691">
        <f>+V85-1%</f>
        <v>0.185</v>
      </c>
      <c r="V85" s="1805">
        <v>0.19500000000000001</v>
      </c>
      <c r="W85" s="1691">
        <f>+V85+1%</f>
        <v>0.20500000000000002</v>
      </c>
      <c r="X85" s="1691">
        <f>+W85+1%</f>
        <v>0.21500000000000002</v>
      </c>
      <c r="Y85" s="1692"/>
      <c r="AA85" s="1669"/>
      <c r="AE85" s="1804"/>
      <c r="AF85" s="1804"/>
      <c r="AH85" s="228"/>
      <c r="AI85" s="228"/>
      <c r="AK85" s="228"/>
      <c r="AL85" s="228"/>
      <c r="AO85" s="228"/>
      <c r="AR85" s="228"/>
    </row>
    <row r="86" spans="1:78" ht="15.75" customHeight="1">
      <c r="A86" s="1668"/>
      <c r="B86" s="1711" t="s">
        <v>147</v>
      </c>
      <c r="C86" s="1686"/>
      <c r="D86" s="1686"/>
      <c r="E86" s="1686"/>
      <c r="F86" s="1686"/>
      <c r="G86" s="1686"/>
      <c r="H86" s="1686"/>
      <c r="I86" s="1686"/>
      <c r="J86" s="1686"/>
      <c r="K86" s="1686"/>
      <c r="L86" s="1686"/>
      <c r="M86" s="1686"/>
      <c r="N86" s="1690">
        <f>+O6</f>
        <v>8474693</v>
      </c>
      <c r="O86" s="1690">
        <f>+T6</f>
        <v>12671950</v>
      </c>
      <c r="P86" s="1690">
        <f>+U6</f>
        <v>13857673.739009095</v>
      </c>
      <c r="R86" s="2170"/>
      <c r="S86" s="1842">
        <v>-7.7899999999999997E-2</v>
      </c>
      <c r="T86" s="1828">
        <f t="dataTable" ref="T86:X87" dt2D="1" dtr="1" r1="O96" r2="O107"/>
        <v>16.078982065486255</v>
      </c>
      <c r="U86" s="1829">
        <v>14.361145334338628</v>
      </c>
      <c r="V86" s="1830">
        <v>12.974936751861941</v>
      </c>
      <c r="W86" s="1829">
        <v>11.83277859770263</v>
      </c>
      <c r="X86" s="1829">
        <v>10.875435415433346</v>
      </c>
      <c r="Y86" s="1078" t="s">
        <v>148</v>
      </c>
      <c r="AA86" s="1669"/>
    </row>
    <row r="87" spans="1:78" ht="15.75" customHeight="1">
      <c r="A87" s="1668"/>
      <c r="B87" s="1711" t="s">
        <v>149</v>
      </c>
      <c r="C87" s="1686"/>
      <c r="D87" s="1686"/>
      <c r="E87" s="1686"/>
      <c r="F87" s="1686"/>
      <c r="G87" s="1686"/>
      <c r="H87" s="1686"/>
      <c r="I87" s="1686"/>
      <c r="J87" s="1686"/>
      <c r="K87" s="1686"/>
      <c r="L87" s="1686"/>
      <c r="M87" s="1686"/>
      <c r="N87" s="1690">
        <f>+O8</f>
        <v>1113744</v>
      </c>
      <c r="O87" s="1690">
        <f>+T8</f>
        <v>1764416</v>
      </c>
      <c r="P87" s="1690">
        <f>+U8</f>
        <v>1958757.6534490702</v>
      </c>
      <c r="R87" s="2170"/>
      <c r="S87" s="1843">
        <f>+S86-O115</f>
        <v>-0.11712681838205916</v>
      </c>
      <c r="T87" s="1831">
        <v>16.607325475919247</v>
      </c>
      <c r="U87" s="1832">
        <v>14.833041905450253</v>
      </c>
      <c r="V87" s="1832">
        <v>13.401283538350743</v>
      </c>
      <c r="W87" s="1832">
        <v>12.221594915411462</v>
      </c>
      <c r="X87" s="1832">
        <v>11.232794147095072</v>
      </c>
      <c r="Y87" s="1078" t="s">
        <v>150</v>
      </c>
      <c r="AA87" s="1669"/>
    </row>
    <row r="88" spans="1:78" ht="15.75" customHeight="1">
      <c r="A88" s="1668"/>
      <c r="B88" s="1712" t="s">
        <v>96</v>
      </c>
      <c r="C88" s="1686"/>
      <c r="D88" s="1686"/>
      <c r="E88" s="1686"/>
      <c r="F88" s="1686"/>
      <c r="G88" s="1686"/>
      <c r="H88" s="1686"/>
      <c r="I88" s="1686"/>
      <c r="J88" s="1686"/>
      <c r="K88" s="1686"/>
      <c r="L88" s="1686"/>
      <c r="M88" s="1686"/>
      <c r="N88" s="1173">
        <f>+N89-N85</f>
        <v>-3730521</v>
      </c>
      <c r="O88" s="1173">
        <f>+O89-O85</f>
        <v>-5694417</v>
      </c>
      <c r="P88" s="1173">
        <f>+P89-P85</f>
        <v>-6125494.3129123691</v>
      </c>
      <c r="R88" s="1833"/>
      <c r="S88" s="1844"/>
      <c r="T88" s="1782"/>
      <c r="U88" s="1782"/>
      <c r="V88" s="1782"/>
      <c r="W88" s="1782"/>
      <c r="X88" s="1782"/>
      <c r="Y88" s="1154"/>
      <c r="AA88" s="1669"/>
      <c r="AB88" s="1833"/>
      <c r="AC88" s="1833"/>
      <c r="AD88" s="1833"/>
      <c r="AE88" s="2056"/>
      <c r="AF88" s="2056"/>
      <c r="AG88" s="1833"/>
      <c r="AH88" s="1844"/>
      <c r="AI88" s="1844"/>
      <c r="AJ88" s="1782"/>
      <c r="AK88" s="1844"/>
      <c r="AL88" s="1844"/>
      <c r="AM88" s="1782"/>
      <c r="AN88" s="1782"/>
      <c r="AO88" s="1844"/>
      <c r="AP88" s="1782"/>
      <c r="AR88" s="1844"/>
      <c r="AS88" s="1782"/>
    </row>
    <row r="89" spans="1:78" s="1154" customFormat="1" ht="15.75" customHeight="1">
      <c r="A89" s="1671"/>
      <c r="B89" s="1710" t="s">
        <v>97</v>
      </c>
      <c r="C89" s="1685"/>
      <c r="D89" s="1685"/>
      <c r="E89" s="1685"/>
      <c r="F89" s="1685"/>
      <c r="G89" s="1685"/>
      <c r="H89" s="1685"/>
      <c r="I89" s="1685"/>
      <c r="J89" s="1685"/>
      <c r="K89" s="1685"/>
      <c r="L89" s="1685"/>
      <c r="M89" s="1685"/>
      <c r="N89" s="1724">
        <f>+O12</f>
        <v>5857916</v>
      </c>
      <c r="O89" s="1724">
        <f>+T12</f>
        <v>8741949</v>
      </c>
      <c r="P89" s="1724">
        <f>+U12</f>
        <v>9690937.0795457959</v>
      </c>
      <c r="R89" s="1833"/>
      <c r="S89" s="1844"/>
      <c r="T89" s="1782"/>
      <c r="U89" s="1782"/>
      <c r="V89" s="1782"/>
      <c r="W89" s="1782"/>
      <c r="X89" s="1782"/>
      <c r="AA89" s="1669"/>
      <c r="AB89" s="1833"/>
      <c r="AC89" s="1833"/>
      <c r="AD89" s="1833"/>
      <c r="AE89" s="2056"/>
      <c r="AF89" s="2056"/>
      <c r="AG89" s="1833"/>
      <c r="AH89" s="1844"/>
      <c r="AI89" s="1844"/>
      <c r="AJ89" s="1782"/>
      <c r="AK89" s="1844"/>
      <c r="AL89" s="1844"/>
      <c r="AM89" s="1782"/>
      <c r="AN89" s="1782"/>
      <c r="AO89" s="1844"/>
      <c r="AP89" s="1782"/>
      <c r="AR89" s="1844"/>
      <c r="AS89" s="1782"/>
    </row>
    <row r="90" spans="1:78" ht="15.75" customHeight="1">
      <c r="B90" s="1713" t="s">
        <v>99</v>
      </c>
      <c r="C90" s="686"/>
      <c r="D90" s="686"/>
      <c r="E90" s="686"/>
      <c r="F90" s="686"/>
      <c r="G90" s="686"/>
      <c r="H90" s="686"/>
      <c r="I90" s="686"/>
      <c r="J90" s="686"/>
      <c r="K90" s="686"/>
      <c r="L90" s="686"/>
      <c r="M90" s="686"/>
      <c r="N90" s="1714">
        <f>+N89/N$85</f>
        <v>0.6109354423458172</v>
      </c>
      <c r="O90" s="1714">
        <f>+O89/O$85</f>
        <v>0.60555052428014089</v>
      </c>
      <c r="P90" s="1714">
        <f>+P89/P$85</f>
        <v>0.6127132498527309</v>
      </c>
      <c r="R90" s="2170" t="s">
        <v>144</v>
      </c>
      <c r="S90" s="1709" t="s">
        <v>151</v>
      </c>
      <c r="T90" s="2171" t="s">
        <v>146</v>
      </c>
      <c r="U90" s="2171"/>
      <c r="V90" s="2171"/>
      <c r="W90" s="2171"/>
      <c r="X90" s="2171"/>
      <c r="AB90" s="1833"/>
      <c r="AC90" s="1833"/>
      <c r="AD90" s="1833"/>
      <c r="AE90" s="2056"/>
      <c r="AF90" s="2056"/>
      <c r="AG90" s="1833"/>
      <c r="AH90" s="1844"/>
      <c r="AI90" s="1844"/>
      <c r="AJ90" s="1782"/>
      <c r="AK90" s="1844"/>
      <c r="AL90" s="1844"/>
      <c r="AM90" s="1782"/>
      <c r="AN90" s="1782"/>
      <c r="AO90" s="1844"/>
      <c r="AP90" s="1782"/>
      <c r="AR90" s="1844"/>
      <c r="AS90" s="1782"/>
    </row>
    <row r="91" spans="1:78" ht="15.75" customHeight="1">
      <c r="B91" s="1712" t="s">
        <v>152</v>
      </c>
      <c r="C91" s="686"/>
      <c r="D91" s="686"/>
      <c r="E91" s="686"/>
      <c r="F91" s="686"/>
      <c r="G91" s="686"/>
      <c r="H91" s="686"/>
      <c r="I91" s="686"/>
      <c r="J91" s="686"/>
      <c r="K91" s="686"/>
      <c r="L91" s="686"/>
      <c r="M91" s="686"/>
      <c r="N91" s="1173">
        <f>+N93-N89</f>
        <v>-3469088</v>
      </c>
      <c r="O91" s="1173">
        <f t="shared" ref="O91:P91" si="88">+O93-O89</f>
        <v>-6244563</v>
      </c>
      <c r="P91" s="1173">
        <f t="shared" si="88"/>
        <v>-6612605.9614515891</v>
      </c>
      <c r="R91" s="2170"/>
      <c r="S91" s="1845">
        <f>+O119</f>
        <v>1098410.56</v>
      </c>
      <c r="T91" s="1835">
        <f>+U91-0.5%</f>
        <v>0.1845</v>
      </c>
      <c r="U91" s="1835">
        <f>+V91-0.5%</f>
        <v>0.1895</v>
      </c>
      <c r="V91" s="1836">
        <v>0.19450000000000001</v>
      </c>
      <c r="W91" s="1835">
        <f>+V91+0.5%</f>
        <v>0.19950000000000001</v>
      </c>
      <c r="X91" s="1835">
        <f>+W91+0.5%</f>
        <v>0.20450000000000002</v>
      </c>
      <c r="Y91" s="1692"/>
      <c r="AB91" s="1833"/>
      <c r="AC91" s="1833"/>
      <c r="AD91" s="1833"/>
      <c r="AE91" s="2056"/>
      <c r="AF91" s="2056"/>
      <c r="AG91" s="1833"/>
      <c r="AH91" s="1844"/>
      <c r="AI91" s="1844"/>
      <c r="AJ91" s="1782"/>
      <c r="AK91" s="1844"/>
      <c r="AL91" s="1844"/>
      <c r="AM91" s="1782"/>
      <c r="AN91" s="1782"/>
      <c r="AO91" s="1844"/>
      <c r="AP91" s="1782"/>
      <c r="AR91" s="1844"/>
      <c r="AS91" s="1782"/>
    </row>
    <row r="92" spans="1:78" ht="15.75" customHeight="1">
      <c r="B92" s="1712"/>
      <c r="C92" s="686"/>
      <c r="D92" s="686"/>
      <c r="E92" s="686"/>
      <c r="F92" s="686"/>
      <c r="G92" s="686"/>
      <c r="H92" s="686"/>
      <c r="I92" s="686"/>
      <c r="J92" s="686"/>
      <c r="K92" s="686"/>
      <c r="L92" s="686"/>
      <c r="M92" s="686"/>
      <c r="N92" s="1173"/>
      <c r="O92" s="1173"/>
      <c r="P92" s="1173"/>
      <c r="R92" s="2170"/>
      <c r="S92" s="1842">
        <f>+$S$86</f>
        <v>-7.7899999999999997E-2</v>
      </c>
      <c r="T92" s="1834">
        <f t="dataTable" ref="T92:X93" dt2D="1" dtr="1" r1="O96" r2="O107" ca="1"/>
        <v>1087857.4127759929</v>
      </c>
      <c r="U92" s="1834">
        <v>1146281.4382509929</v>
      </c>
      <c r="V92" s="1834">
        <v>1204705.4637259929</v>
      </c>
      <c r="W92" s="1834">
        <v>1263129.489200993</v>
      </c>
      <c r="X92" s="1834">
        <v>1321553.5146759935</v>
      </c>
      <c r="Y92" s="1078" t="s">
        <v>148</v>
      </c>
      <c r="AB92" s="864"/>
      <c r="AC92" s="864"/>
      <c r="AD92" s="864"/>
      <c r="AE92" s="2042"/>
      <c r="AF92" s="2042"/>
      <c r="AG92" s="864"/>
      <c r="AH92" s="1890"/>
      <c r="AI92" s="1890"/>
      <c r="AJ92" s="864"/>
      <c r="AK92" s="1890"/>
      <c r="AL92" s="1890"/>
      <c r="AM92" s="864"/>
      <c r="AN92" s="864"/>
      <c r="AO92" s="1890"/>
      <c r="AP92" s="864"/>
      <c r="AR92" s="1890"/>
      <c r="AS92" s="864"/>
    </row>
    <row r="93" spans="1:78" s="1154" customFormat="1" ht="15.75" customHeight="1">
      <c r="B93" s="1710" t="s">
        <v>153</v>
      </c>
      <c r="C93" s="830"/>
      <c r="D93" s="830"/>
      <c r="E93" s="830"/>
      <c r="F93" s="830"/>
      <c r="G93" s="830"/>
      <c r="H93" s="830"/>
      <c r="I93" s="830"/>
      <c r="J93" s="830"/>
      <c r="K93" s="830"/>
      <c r="L93" s="830"/>
      <c r="M93" s="830"/>
      <c r="N93" s="1723">
        <f>+N95+N97</f>
        <v>2388828</v>
      </c>
      <c r="O93" s="1723">
        <f>+O95+O97</f>
        <v>2497386</v>
      </c>
      <c r="P93" s="1723">
        <f>+P95+P97</f>
        <v>3078331.1180942068</v>
      </c>
      <c r="R93" s="2170"/>
      <c r="S93" s="1843">
        <f>+S92-O115</f>
        <v>-0.11712681838205916</v>
      </c>
      <c r="T93" s="1834">
        <v>1050035.4222249156</v>
      </c>
      <c r="U93" s="1834">
        <v>1106428.1953376848</v>
      </c>
      <c r="V93" s="1834">
        <v>1162820.9684504543</v>
      </c>
      <c r="W93" s="1834">
        <v>1219213.7415632235</v>
      </c>
      <c r="X93" s="1834">
        <v>1275606.5146759935</v>
      </c>
      <c r="Y93" s="1078" t="s">
        <v>150</v>
      </c>
      <c r="AE93" s="1804"/>
      <c r="AF93" s="1804"/>
      <c r="AH93" s="228"/>
      <c r="AI93" s="228"/>
      <c r="AK93" s="228"/>
      <c r="AL93" s="228"/>
      <c r="AO93" s="228"/>
      <c r="AR93" s="228"/>
    </row>
    <row r="94" spans="1:78" ht="15.75" customHeight="1">
      <c r="B94" s="1713" t="s">
        <v>154</v>
      </c>
      <c r="C94" s="686"/>
      <c r="D94" s="686"/>
      <c r="E94" s="686"/>
      <c r="F94" s="686"/>
      <c r="G94" s="686"/>
      <c r="H94" s="686"/>
      <c r="I94" s="686"/>
      <c r="J94" s="686"/>
      <c r="K94" s="686"/>
      <c r="L94" s="686"/>
      <c r="M94" s="686"/>
      <c r="N94" s="1714">
        <f>+N93/N$85</f>
        <v>0.2491363295185649</v>
      </c>
      <c r="O94" s="1714">
        <f>+O93/O$85</f>
        <v>0.17299270467373853</v>
      </c>
      <c r="P94" s="1714">
        <f>+P93/P$85</f>
        <v>0.19462867708338205</v>
      </c>
      <c r="AB94" s="864"/>
      <c r="AC94" s="864"/>
      <c r="AD94" s="864"/>
      <c r="AE94" s="2042"/>
      <c r="AF94" s="2042"/>
      <c r="AG94" s="864"/>
      <c r="AH94" s="1890"/>
      <c r="AI94" s="1890"/>
      <c r="AJ94" s="864"/>
      <c r="AK94" s="1890"/>
      <c r="AL94" s="1890"/>
      <c r="AM94" s="864"/>
      <c r="AN94" s="864"/>
      <c r="AO94" s="1890"/>
      <c r="AP94" s="864"/>
      <c r="AR94" s="1890"/>
      <c r="AS94" s="864"/>
    </row>
    <row r="95" spans="1:78" ht="15.75" customHeight="1">
      <c r="B95" s="1711" t="s">
        <v>147</v>
      </c>
      <c r="C95" s="686"/>
      <c r="D95" s="686"/>
      <c r="E95" s="686"/>
      <c r="F95" s="686"/>
      <c r="G95" s="686"/>
      <c r="H95" s="686"/>
      <c r="I95" s="686"/>
      <c r="J95" s="686"/>
      <c r="K95" s="686"/>
      <c r="L95" s="686"/>
      <c r="M95" s="686"/>
      <c r="N95" s="1173">
        <f>+O43</f>
        <v>1997344.5991925702</v>
      </c>
      <c r="O95" s="1722">
        <f>+O96*O86</f>
        <v>2329529.99767</v>
      </c>
      <c r="P95" s="1722">
        <f>+P96*P86</f>
        <v>2614145.5787355318</v>
      </c>
      <c r="AB95" s="864"/>
      <c r="AC95" s="864"/>
      <c r="AD95" s="864"/>
      <c r="AE95" s="2042"/>
      <c r="AF95" s="2042"/>
      <c r="AG95" s="864"/>
      <c r="AH95" s="1890"/>
      <c r="AI95" s="1890"/>
      <c r="AJ95" s="864"/>
      <c r="AK95" s="1890"/>
      <c r="AL95" s="1890"/>
      <c r="AM95" s="864"/>
      <c r="AN95" s="864"/>
      <c r="AO95" s="1890"/>
      <c r="AP95" s="864"/>
      <c r="AR95" s="1890"/>
      <c r="AS95" s="864"/>
    </row>
    <row r="96" spans="1:78" ht="15.75" customHeight="1">
      <c r="B96" s="1809" t="s">
        <v>122</v>
      </c>
      <c r="C96" s="686"/>
      <c r="D96" s="686"/>
      <c r="E96" s="686"/>
      <c r="F96" s="686"/>
      <c r="G96" s="686"/>
      <c r="H96" s="686"/>
      <c r="I96" s="686"/>
      <c r="J96" s="686"/>
      <c r="K96" s="686"/>
      <c r="L96" s="686"/>
      <c r="M96" s="686"/>
      <c r="N96" s="1720">
        <f t="shared" ref="N96" si="89">+N95/N86</f>
        <v>0.23568341640134577</v>
      </c>
      <c r="O96" s="1783">
        <f>+T44</f>
        <v>0.18383358501809113</v>
      </c>
      <c r="P96" s="1783">
        <f>+U44</f>
        <v>0.18864245384683581</v>
      </c>
      <c r="R96" s="2170" t="s">
        <v>144</v>
      </c>
      <c r="S96" s="1709" t="s">
        <v>155</v>
      </c>
      <c r="T96" s="2171" t="s">
        <v>146</v>
      </c>
      <c r="U96" s="2171"/>
      <c r="V96" s="2171"/>
      <c r="W96" s="2171"/>
      <c r="X96" s="2171"/>
      <c r="AB96" s="864"/>
      <c r="AC96" s="864"/>
      <c r="AD96" s="864"/>
      <c r="AE96" s="2042"/>
      <c r="AF96" s="2042"/>
      <c r="AG96" s="864"/>
      <c r="AH96" s="1890"/>
      <c r="AI96" s="1890"/>
      <c r="AJ96" s="864"/>
      <c r="AK96" s="1890"/>
      <c r="AL96" s="1890"/>
      <c r="AM96" s="864"/>
      <c r="AN96" s="864"/>
      <c r="AO96" s="1890"/>
      <c r="AP96" s="864"/>
      <c r="AR96" s="1890"/>
      <c r="AS96" s="864"/>
    </row>
    <row r="97" spans="2:45" ht="15.75" customHeight="1">
      <c r="B97" s="1711" t="s">
        <v>149</v>
      </c>
      <c r="C97" s="686"/>
      <c r="D97" s="686"/>
      <c r="E97" s="686"/>
      <c r="F97" s="686"/>
      <c r="G97" s="686"/>
      <c r="H97" s="686"/>
      <c r="I97" s="686"/>
      <c r="J97" s="686"/>
      <c r="K97" s="686"/>
      <c r="L97" s="686"/>
      <c r="M97" s="686"/>
      <c r="N97" s="1173">
        <f>+O46</f>
        <v>391483.40080742986</v>
      </c>
      <c r="O97" s="1715">
        <f>+T46</f>
        <v>167856.00232999987</v>
      </c>
      <c r="P97" s="1715">
        <f>+U46</f>
        <v>464185.53935867519</v>
      </c>
      <c r="R97" s="2170"/>
      <c r="S97" s="1841">
        <f ca="1">+P120</f>
        <v>11.773299872258223</v>
      </c>
      <c r="T97" s="1691">
        <f>+U97-1%</f>
        <v>0.18</v>
      </c>
      <c r="U97" s="1691">
        <f>+V97-1%</f>
        <v>0.19</v>
      </c>
      <c r="V97" s="1805">
        <v>0.2</v>
      </c>
      <c r="W97" s="1691">
        <f>+V97+1%</f>
        <v>0.21000000000000002</v>
      </c>
      <c r="X97" s="1691">
        <f t="shared" ref="X97" si="90">+W97+1%</f>
        <v>0.22000000000000003</v>
      </c>
      <c r="AB97" s="864"/>
      <c r="AC97" s="864"/>
      <c r="AD97" s="864"/>
      <c r="AE97" s="2042"/>
      <c r="AF97" s="2042"/>
      <c r="AG97" s="864"/>
      <c r="AH97" s="1890"/>
      <c r="AI97" s="1890"/>
      <c r="AJ97" s="864"/>
      <c r="AK97" s="1890"/>
      <c r="AL97" s="1890"/>
      <c r="AM97" s="864"/>
      <c r="AN97" s="864"/>
      <c r="AO97" s="1890"/>
      <c r="AP97" s="864"/>
      <c r="AR97" s="1890"/>
      <c r="AS97" s="864"/>
    </row>
    <row r="98" spans="2:45" ht="15.75" customHeight="1">
      <c r="B98" s="1809" t="s">
        <v>122</v>
      </c>
      <c r="C98" s="686"/>
      <c r="D98" s="686"/>
      <c r="E98" s="686"/>
      <c r="F98" s="686"/>
      <c r="G98" s="686"/>
      <c r="H98" s="686"/>
      <c r="I98" s="686"/>
      <c r="J98" s="686"/>
      <c r="K98" s="686"/>
      <c r="L98" s="686"/>
      <c r="M98" s="686"/>
      <c r="N98" s="1720">
        <f t="shared" ref="N98" si="91">+N97/N87</f>
        <v>0.35150214125277429</v>
      </c>
      <c r="O98" s="1557">
        <f>+O97/O87</f>
        <v>9.5134028670109477E-2</v>
      </c>
      <c r="P98" s="1557">
        <f t="shared" ref="P98" si="92">+P97/P87</f>
        <v>0.23697956638041262</v>
      </c>
      <c r="R98" s="2170"/>
      <c r="S98" s="1842">
        <v>-8.5300000000000001E-2</v>
      </c>
      <c r="T98" s="1802">
        <f t="dataTable" ref="T98:X99" dt2D="1" dtr="1" r1="P96" r2="P107" ca="1"/>
        <v>11.94505082935942</v>
      </c>
      <c r="U98" s="1799">
        <v>10.894808764493233</v>
      </c>
      <c r="V98" s="1806">
        <v>10.014321764602071</v>
      </c>
      <c r="W98" s="1800">
        <v>9.2655099892640305</v>
      </c>
      <c r="X98" s="1801">
        <v>8.6208907472257366</v>
      </c>
      <c r="Y98" s="1078" t="s">
        <v>148</v>
      </c>
      <c r="AB98" s="864"/>
      <c r="AC98" s="864"/>
      <c r="AD98" s="864"/>
      <c r="AE98" s="2042"/>
      <c r="AF98" s="2042"/>
      <c r="AG98" s="864"/>
      <c r="AH98" s="1890"/>
      <c r="AI98" s="1890"/>
      <c r="AJ98" s="864"/>
      <c r="AK98" s="1890"/>
      <c r="AL98" s="1890"/>
      <c r="AM98" s="864"/>
      <c r="AN98" s="864"/>
      <c r="AO98" s="1890"/>
      <c r="AP98" s="864"/>
      <c r="AR98" s="1890"/>
      <c r="AS98" s="864"/>
    </row>
    <row r="99" spans="2:45">
      <c r="B99" s="1810"/>
      <c r="R99" s="2170"/>
      <c r="S99" s="1846">
        <f>+S98-P115</f>
        <v>-0.11070296243372565</v>
      </c>
      <c r="T99" s="1803">
        <v>12.210172436579304</v>
      </c>
      <c r="U99" s="1796">
        <v>11.136620143218913</v>
      </c>
      <c r="V99" s="1797">
        <v>10.236590645611995</v>
      </c>
      <c r="W99" s="1797">
        <v>9.4711589174400288</v>
      </c>
      <c r="X99" s="1798">
        <v>8.8122322863470135</v>
      </c>
      <c r="Y99" s="1078" t="s">
        <v>150</v>
      </c>
    </row>
    <row r="100" spans="2:45" ht="12.75">
      <c r="B100" s="1712" t="s">
        <v>156</v>
      </c>
      <c r="C100" s="686"/>
      <c r="D100" s="686"/>
      <c r="E100" s="686"/>
      <c r="F100" s="686"/>
      <c r="G100" s="686"/>
      <c r="H100" s="686"/>
      <c r="I100" s="686"/>
      <c r="J100" s="686"/>
      <c r="K100" s="686"/>
      <c r="L100" s="686"/>
      <c r="M100" s="686"/>
      <c r="N100" s="1173">
        <f>+PROJ!DJ13</f>
        <v>-661751</v>
      </c>
      <c r="O100" s="1173">
        <f>+PROJ!DO13</f>
        <v>-1197844</v>
      </c>
      <c r="P100" s="1173">
        <f>+PROJ!DP13</f>
        <v>-1242955.113081625</v>
      </c>
      <c r="R100" s="1833"/>
      <c r="S100" s="1847"/>
      <c r="T100" s="1797"/>
      <c r="U100" s="1797"/>
      <c r="V100" s="1797"/>
      <c r="W100" s="1797"/>
      <c r="X100" s="1798"/>
      <c r="Y100" s="1804"/>
      <c r="AB100" s="864"/>
      <c r="AC100" s="864"/>
      <c r="AD100" s="864"/>
      <c r="AE100" s="2042"/>
      <c r="AF100" s="2042"/>
      <c r="AG100" s="864"/>
      <c r="AH100" s="1890"/>
      <c r="AI100" s="1890"/>
      <c r="AJ100" s="864"/>
      <c r="AK100" s="1890"/>
      <c r="AL100" s="1890"/>
      <c r="AM100" s="864"/>
      <c r="AN100" s="864"/>
      <c r="AO100" s="1890"/>
      <c r="AP100" s="864"/>
      <c r="AR100" s="1890"/>
      <c r="AS100" s="864"/>
    </row>
    <row r="101" spans="2:45" ht="12.75">
      <c r="B101" s="1712" t="s">
        <v>157</v>
      </c>
      <c r="C101" s="686"/>
      <c r="D101" s="686"/>
      <c r="E101" s="686"/>
      <c r="F101" s="686"/>
      <c r="G101" s="686"/>
      <c r="H101" s="686"/>
      <c r="I101" s="686"/>
      <c r="J101" s="686"/>
      <c r="K101" s="686"/>
      <c r="L101" s="686"/>
      <c r="M101" s="686"/>
      <c r="N101" s="1173">
        <f>+FAT!DK153</f>
        <v>-50698</v>
      </c>
      <c r="O101" s="1173">
        <f>+FAT!DP153</f>
        <v>-189880</v>
      </c>
      <c r="P101" s="1173">
        <f>+FAT!DQ153</f>
        <v>-159933.10526779186</v>
      </c>
      <c r="R101" s="1833"/>
      <c r="S101" s="1847"/>
      <c r="T101" s="1797"/>
      <c r="U101" s="1797"/>
      <c r="V101" s="1797"/>
      <c r="W101" s="1797"/>
      <c r="X101" s="1798"/>
      <c r="Y101" s="1804"/>
      <c r="AB101" s="864"/>
      <c r="AC101" s="864"/>
      <c r="AD101" s="864"/>
      <c r="AE101" s="2042"/>
      <c r="AF101" s="2042"/>
      <c r="AG101" s="864"/>
      <c r="AH101" s="1890"/>
      <c r="AI101" s="1890"/>
      <c r="AJ101" s="864"/>
      <c r="AK101" s="1890"/>
      <c r="AL101" s="1890"/>
      <c r="AM101" s="864"/>
      <c r="AN101" s="864"/>
      <c r="AO101" s="1890"/>
      <c r="AP101" s="864"/>
      <c r="AR101" s="1890"/>
      <c r="AS101" s="864"/>
    </row>
    <row r="102" spans="2:45" s="1154" customFormat="1">
      <c r="B102" s="1710" t="s">
        <v>104</v>
      </c>
      <c r="C102" s="830"/>
      <c r="D102" s="830"/>
      <c r="E102" s="830"/>
      <c r="F102" s="830"/>
      <c r="G102" s="830"/>
      <c r="H102" s="830"/>
      <c r="I102" s="830"/>
      <c r="J102" s="830"/>
      <c r="K102" s="830"/>
      <c r="L102" s="830"/>
      <c r="M102" s="830"/>
      <c r="N102" s="1721">
        <f t="shared" ref="N102" si="93">+N93+N100+N101</f>
        <v>1676379</v>
      </c>
      <c r="O102" s="1721">
        <f>+O93+O100+O101</f>
        <v>1109662</v>
      </c>
      <c r="P102" s="1721">
        <f t="shared" ref="P102" si="94">+P93+P100+P101</f>
        <v>1675442.89974479</v>
      </c>
      <c r="R102" s="2170" t="s">
        <v>144</v>
      </c>
      <c r="S102" s="1709" t="s">
        <v>158</v>
      </c>
      <c r="T102" s="2171" t="s">
        <v>146</v>
      </c>
      <c r="U102" s="2171"/>
      <c r="V102" s="2171"/>
      <c r="W102" s="2171"/>
      <c r="X102" s="2171"/>
      <c r="Y102" s="864"/>
      <c r="AE102" s="1804"/>
      <c r="AF102" s="1804"/>
      <c r="AH102" s="228"/>
      <c r="AI102" s="228"/>
      <c r="AK102" s="228"/>
      <c r="AL102" s="228"/>
      <c r="AO102" s="228"/>
      <c r="AR102" s="228"/>
    </row>
    <row r="103" spans="2:45" ht="15.75" customHeight="1">
      <c r="B103" s="1712" t="s">
        <v>106</v>
      </c>
      <c r="C103" s="686"/>
      <c r="D103" s="686"/>
      <c r="E103" s="686"/>
      <c r="F103" s="686"/>
      <c r="G103" s="686"/>
      <c r="H103" s="686"/>
      <c r="I103" s="686"/>
      <c r="J103" s="686"/>
      <c r="K103" s="686"/>
      <c r="L103" s="686"/>
      <c r="M103" s="686"/>
      <c r="N103" s="1173">
        <f>+O18</f>
        <v>-184395</v>
      </c>
      <c r="O103" s="1173">
        <f>+T18</f>
        <v>61654</v>
      </c>
      <c r="P103" s="1173">
        <f>+U18</f>
        <v>-118136.61815811953</v>
      </c>
      <c r="R103" s="2170"/>
      <c r="S103" s="1845">
        <f>+P119</f>
        <v>1334101.9230309727</v>
      </c>
      <c r="T103" s="1835">
        <f>+U103-0.5%</f>
        <v>0.19</v>
      </c>
      <c r="U103" s="1835">
        <f>+V103-0.5%</f>
        <v>0.19500000000000001</v>
      </c>
      <c r="V103" s="1836">
        <v>0.2</v>
      </c>
      <c r="W103" s="1835">
        <f>+V103+0.5%</f>
        <v>0.20500000000000002</v>
      </c>
      <c r="X103" s="1835">
        <f>+W103+0.5%</f>
        <v>0.21000000000000002</v>
      </c>
      <c r="Y103" s="1692"/>
      <c r="AB103" s="864"/>
      <c r="AC103" s="864"/>
      <c r="AD103" s="864"/>
      <c r="AE103" s="2042"/>
      <c r="AF103" s="2042"/>
      <c r="AG103" s="864"/>
      <c r="AH103" s="1890"/>
      <c r="AI103" s="1890"/>
      <c r="AJ103" s="864"/>
      <c r="AK103" s="1890"/>
      <c r="AL103" s="1890"/>
      <c r="AM103" s="864"/>
      <c r="AN103" s="864"/>
      <c r="AO103" s="1890"/>
      <c r="AP103" s="864"/>
      <c r="AR103" s="1890"/>
      <c r="AS103" s="864"/>
    </row>
    <row r="104" spans="2:45" ht="15.75" customHeight="1">
      <c r="B104" s="1712"/>
      <c r="C104" s="686"/>
      <c r="D104" s="686"/>
      <c r="E104" s="686"/>
      <c r="F104" s="686"/>
      <c r="G104" s="686"/>
      <c r="H104" s="686"/>
      <c r="I104" s="686"/>
      <c r="J104" s="686"/>
      <c r="K104" s="686"/>
      <c r="L104" s="686"/>
      <c r="M104" s="686"/>
      <c r="N104" s="1173"/>
      <c r="O104" s="1173"/>
      <c r="P104" s="1173"/>
      <c r="R104" s="2170"/>
      <c r="S104" s="1842">
        <v>-8.5300000000000001E-2</v>
      </c>
      <c r="T104" s="1837">
        <f t="dataTable" ref="T104:X105" dt2D="1" dtr="1" r1="P96" r2="P107"/>
        <v>1441675.7870215443</v>
      </c>
      <c r="U104" s="1834">
        <v>1505053.8578669024</v>
      </c>
      <c r="V104" s="1834">
        <v>1568431.9287122609</v>
      </c>
      <c r="W104" s="1834">
        <v>1631809.9995576188</v>
      </c>
      <c r="X104" s="1834">
        <v>1695188.0704029771</v>
      </c>
      <c r="Y104" s="1078" t="s">
        <v>148</v>
      </c>
      <c r="AB104" s="864"/>
      <c r="AC104" s="864"/>
      <c r="AD104" s="864"/>
      <c r="AE104" s="2042"/>
      <c r="AF104" s="2042"/>
      <c r="AG104" s="864"/>
      <c r="AH104" s="1890"/>
      <c r="AI104" s="1890"/>
      <c r="AJ104" s="864"/>
      <c r="AK104" s="1890"/>
      <c r="AL104" s="1890"/>
      <c r="AM104" s="864"/>
      <c r="AN104" s="864"/>
      <c r="AO104" s="1890"/>
      <c r="AP104" s="864"/>
      <c r="AR104" s="1890"/>
      <c r="AS104" s="864"/>
    </row>
    <row r="105" spans="2:45" ht="15.75" customHeight="1">
      <c r="B105" s="1710" t="s">
        <v>107</v>
      </c>
      <c r="C105" s="686"/>
      <c r="D105" s="686"/>
      <c r="E105" s="686"/>
      <c r="F105" s="686"/>
      <c r="G105" s="686"/>
      <c r="H105" s="686"/>
      <c r="I105" s="686"/>
      <c r="J105" s="686"/>
      <c r="K105" s="686"/>
      <c r="L105" s="686"/>
      <c r="M105" s="686"/>
      <c r="N105" s="1721">
        <f t="shared" ref="N105" si="95">+N102+N103</f>
        <v>1491984</v>
      </c>
      <c r="O105" s="1721">
        <f>+O102+O103</f>
        <v>1171316</v>
      </c>
      <c r="P105" s="1721">
        <f t="shared" ref="P105" si="96">+P102+P103</f>
        <v>1557306.2815866705</v>
      </c>
      <c r="R105" s="2170"/>
      <c r="S105" s="1843">
        <f>+S104-P115</f>
        <v>-0.11070296243372565</v>
      </c>
      <c r="T105" s="1838">
        <v>1408031.7487410726</v>
      </c>
      <c r="U105" s="1834">
        <v>1469930.7809143108</v>
      </c>
      <c r="V105" s="1834">
        <v>1531829.8130875493</v>
      </c>
      <c r="W105" s="1834">
        <v>1593728.8452607875</v>
      </c>
      <c r="X105" s="1834">
        <v>1655627.8774340258</v>
      </c>
      <c r="Y105" s="1078" t="s">
        <v>150</v>
      </c>
    </row>
    <row r="106" spans="2:45" ht="15.75" customHeight="1">
      <c r="B106" s="1710" t="s">
        <v>108</v>
      </c>
      <c r="C106" s="830"/>
      <c r="D106" s="830"/>
      <c r="E106" s="830"/>
      <c r="F106" s="830"/>
      <c r="G106" s="830"/>
      <c r="H106" s="830"/>
      <c r="I106" s="830"/>
      <c r="J106" s="830"/>
      <c r="K106" s="830"/>
      <c r="L106" s="830"/>
      <c r="M106" s="830"/>
      <c r="N106" s="1722">
        <f>+N107*N105</f>
        <v>-404541.56000000006</v>
      </c>
      <c r="O106" s="1722">
        <f>+O107*O105</f>
        <v>-72905.440000000017</v>
      </c>
      <c r="P106" s="1722">
        <f t="shared" ref="P106" si="97">+P107*P105</f>
        <v>-223204.35855569792</v>
      </c>
    </row>
    <row r="107" spans="2:45" ht="15.75" customHeight="1">
      <c r="B107" s="1710" t="s">
        <v>159</v>
      </c>
      <c r="C107" s="830"/>
      <c r="D107" s="830"/>
      <c r="E107" s="830"/>
      <c r="F107" s="830"/>
      <c r="G107" s="830"/>
      <c r="H107" s="830"/>
      <c r="I107" s="830"/>
      <c r="J107" s="830"/>
      <c r="K107" s="830"/>
      <c r="L107" s="830"/>
      <c r="M107" s="830"/>
      <c r="N107" s="1783">
        <v>-0.27114336346770479</v>
      </c>
      <c r="O107" s="1783">
        <f>+O109+O112+O115+O117</f>
        <v>-6.2242332555860265E-2</v>
      </c>
      <c r="P107" s="1783">
        <f>+P109+P112+P115+P117</f>
        <v>-0.14332720621166753</v>
      </c>
    </row>
    <row r="108" spans="2:45" ht="15.75" customHeight="1">
      <c r="B108" s="1716">
        <v>0.34</v>
      </c>
      <c r="C108" s="686"/>
      <c r="D108" s="686"/>
      <c r="E108" s="686"/>
      <c r="F108" s="686"/>
      <c r="G108" s="686"/>
      <c r="H108" s="686"/>
      <c r="I108" s="686"/>
      <c r="J108" s="686"/>
      <c r="K108" s="686"/>
      <c r="L108" s="686"/>
      <c r="M108" s="686"/>
      <c r="N108" s="1173">
        <f t="shared" ref="N108" si="98">+N109*N105</f>
        <v>-507274.56000000006</v>
      </c>
      <c r="O108" s="1173">
        <f>+O109*O105</f>
        <v>-398247.44</v>
      </c>
      <c r="P108" s="1173">
        <f t="shared" ref="P108" si="99">+P109*P105</f>
        <v>-529484.13573946804</v>
      </c>
    </row>
    <row r="109" spans="2:45" ht="15.75" customHeight="1">
      <c r="B109" s="1790" t="s">
        <v>160</v>
      </c>
      <c r="C109" s="1791"/>
      <c r="D109" s="1791"/>
      <c r="E109" s="1791"/>
      <c r="F109" s="1791"/>
      <c r="G109" s="1791"/>
      <c r="H109" s="1791"/>
      <c r="I109" s="1791"/>
      <c r="J109" s="1791"/>
      <c r="K109" s="1791"/>
      <c r="L109" s="1791"/>
      <c r="M109" s="1791"/>
      <c r="N109" s="1795">
        <v>-0.34</v>
      </c>
      <c r="O109" s="1795">
        <v>-0.34</v>
      </c>
      <c r="P109" s="1795">
        <v>-0.34</v>
      </c>
    </row>
    <row r="110" spans="2:45" s="1664" customFormat="1" ht="15.75" customHeight="1">
      <c r="B110" s="1717" t="s">
        <v>161</v>
      </c>
      <c r="C110" s="1581"/>
      <c r="D110" s="1581"/>
      <c r="E110" s="1581"/>
      <c r="F110" s="1581"/>
      <c r="G110" s="1581"/>
      <c r="H110" s="1581"/>
      <c r="I110" s="1581"/>
      <c r="J110" s="1581"/>
      <c r="K110" s="1581"/>
      <c r="L110" s="1581"/>
      <c r="M110" s="1581"/>
      <c r="N110" s="1780">
        <f>+PROJ!DJ213</f>
        <v>85665</v>
      </c>
      <c r="O110" s="1780">
        <f>+PROJ!DO213</f>
        <v>215947</v>
      </c>
      <c r="P110" s="1780">
        <f>+PROJ!DP213</f>
        <v>274230.24102081038</v>
      </c>
      <c r="R110" s="864"/>
      <c r="S110" s="864"/>
      <c r="T110" s="864"/>
      <c r="U110" s="864"/>
      <c r="V110" s="864"/>
      <c r="W110" s="864"/>
      <c r="X110" s="864"/>
      <c r="Y110" s="864"/>
      <c r="Z110" s="864"/>
      <c r="AB110" s="1665"/>
      <c r="AC110" s="1665"/>
      <c r="AD110" s="1665"/>
      <c r="AE110" s="2057"/>
      <c r="AF110" s="2057"/>
      <c r="AG110" s="1665"/>
      <c r="AH110" s="1665"/>
      <c r="AI110" s="1665"/>
      <c r="AJ110" s="1666"/>
      <c r="AK110" s="1665"/>
      <c r="AL110" s="1665"/>
      <c r="AM110" s="1667"/>
      <c r="AN110" s="1873"/>
      <c r="AO110" s="1665"/>
      <c r="AP110" s="1666"/>
      <c r="AR110" s="1665"/>
      <c r="AS110" s="1666"/>
    </row>
    <row r="111" spans="2:45" s="1664" customFormat="1" ht="15.75" customHeight="1">
      <c r="B111" s="1740" t="s">
        <v>162</v>
      </c>
      <c r="C111" s="1792"/>
      <c r="D111" s="1792"/>
      <c r="E111" s="1792"/>
      <c r="F111" s="1792"/>
      <c r="G111" s="1792"/>
      <c r="H111" s="1792"/>
      <c r="I111" s="1792"/>
      <c r="J111" s="1792"/>
      <c r="K111" s="1792"/>
      <c r="L111" s="1792"/>
      <c r="M111" s="1792"/>
      <c r="N111" s="1793">
        <f>+N110/N$85</f>
        <v>8.9341985560316035E-3</v>
      </c>
      <c r="O111" s="1793">
        <f t="shared" ref="O111:P111" si="100">+O110/O$85</f>
        <v>1.495854289091867E-2</v>
      </c>
      <c r="P111" s="1793">
        <f t="shared" si="100"/>
        <v>1.7338313189381841E-2</v>
      </c>
      <c r="R111" s="864"/>
      <c r="S111" s="864"/>
      <c r="T111" s="864"/>
      <c r="U111" s="864"/>
      <c r="V111" s="864"/>
      <c r="W111" s="864"/>
      <c r="X111" s="864"/>
      <c r="Y111" s="864"/>
      <c r="Z111" s="864"/>
      <c r="AB111" s="1665"/>
      <c r="AC111" s="1665"/>
      <c r="AD111" s="1665"/>
      <c r="AE111" s="2057"/>
      <c r="AF111" s="2057"/>
      <c r="AG111" s="1665"/>
      <c r="AH111" s="1665"/>
      <c r="AI111" s="1665"/>
      <c r="AJ111" s="1666"/>
      <c r="AK111" s="1665"/>
      <c r="AL111" s="1665"/>
      <c r="AM111" s="1667"/>
      <c r="AN111" s="1873"/>
      <c r="AO111" s="1665"/>
      <c r="AP111" s="1666"/>
      <c r="AR111" s="1665"/>
      <c r="AS111" s="1666"/>
    </row>
    <row r="112" spans="2:45" s="1664" customFormat="1" ht="15.75" customHeight="1">
      <c r="B112" s="1740" t="s">
        <v>160</v>
      </c>
      <c r="C112" s="1792"/>
      <c r="D112" s="1792"/>
      <c r="E112" s="1792"/>
      <c r="F112" s="1792"/>
      <c r="G112" s="1792"/>
      <c r="H112" s="1792"/>
      <c r="I112" s="1792"/>
      <c r="J112" s="1792"/>
      <c r="K112" s="1792"/>
      <c r="L112" s="1792"/>
      <c r="M112" s="1792"/>
      <c r="N112" s="1793">
        <f>+N110/N$105</f>
        <v>5.7416835569282246E-2</v>
      </c>
      <c r="O112" s="1794">
        <f>+O110/O$105</f>
        <v>0.18436271680742003</v>
      </c>
      <c r="P112" s="1794">
        <f>+P110/P$105</f>
        <v>0.17609268277105344</v>
      </c>
      <c r="R112" s="864"/>
      <c r="S112" s="864"/>
      <c r="T112" s="864"/>
      <c r="U112" s="864"/>
      <c r="V112" s="864"/>
      <c r="W112" s="864"/>
      <c r="X112" s="864"/>
      <c r="Y112" s="864"/>
      <c r="Z112" s="864"/>
      <c r="AB112" s="1665"/>
      <c r="AC112" s="1665"/>
      <c r="AD112" s="1665"/>
      <c r="AE112" s="2057"/>
      <c r="AF112" s="2057"/>
      <c r="AG112" s="1665"/>
      <c r="AH112" s="1665"/>
      <c r="AI112" s="1665"/>
      <c r="AJ112" s="1666"/>
      <c r="AK112" s="1665"/>
      <c r="AL112" s="1665"/>
      <c r="AM112" s="1667"/>
      <c r="AN112" s="1873"/>
      <c r="AO112" s="1665"/>
      <c r="AP112" s="1666"/>
      <c r="AR112" s="1665"/>
      <c r="AS112" s="1666"/>
    </row>
    <row r="113" spans="2:45" s="1664" customFormat="1" ht="15.75" customHeight="1">
      <c r="B113" s="1717" t="s">
        <v>163</v>
      </c>
      <c r="C113" s="1581"/>
      <c r="D113" s="1581"/>
      <c r="E113" s="1581"/>
      <c r="F113" s="1581"/>
      <c r="G113" s="1581"/>
      <c r="H113" s="1581"/>
      <c r="I113" s="1581"/>
      <c r="J113" s="1581"/>
      <c r="K113" s="1581"/>
      <c r="L113" s="1581"/>
      <c r="M113" s="1581"/>
      <c r="N113" s="1780">
        <f>+PROJ!DJ216</f>
        <v>43088</v>
      </c>
      <c r="O113" s="1780">
        <f>+PROJ!DO216</f>
        <v>45947</v>
      </c>
      <c r="P113" s="1780">
        <f>+PROJ!DP216</f>
        <v>39560.192968951174</v>
      </c>
      <c r="R113" s="864"/>
      <c r="S113" s="864"/>
      <c r="T113" s="864"/>
      <c r="U113" s="864"/>
      <c r="V113" s="864"/>
      <c r="W113" s="864"/>
      <c r="X113" s="864"/>
      <c r="Y113" s="864"/>
      <c r="Z113" s="864"/>
      <c r="AB113" s="1665"/>
      <c r="AC113" s="1665"/>
      <c r="AD113" s="1665"/>
      <c r="AE113" s="2057"/>
      <c r="AF113" s="2057"/>
      <c r="AG113" s="1665"/>
      <c r="AH113" s="1665"/>
      <c r="AI113" s="1665"/>
      <c r="AJ113" s="1666"/>
      <c r="AK113" s="1665"/>
      <c r="AL113" s="1665"/>
      <c r="AM113" s="1667"/>
      <c r="AN113" s="1873"/>
      <c r="AO113" s="1665"/>
      <c r="AP113" s="1666"/>
      <c r="AR113" s="1665"/>
      <c r="AS113" s="1666"/>
    </row>
    <row r="114" spans="2:45" s="1664" customFormat="1" ht="15.75" customHeight="1">
      <c r="B114" s="1740" t="s">
        <v>162</v>
      </c>
      <c r="C114" s="1792"/>
      <c r="D114" s="1792"/>
      <c r="E114" s="1792"/>
      <c r="F114" s="1792"/>
      <c r="G114" s="1792"/>
      <c r="H114" s="1792"/>
      <c r="I114" s="1792"/>
      <c r="J114" s="1792"/>
      <c r="K114" s="1792"/>
      <c r="L114" s="1792"/>
      <c r="M114" s="1792"/>
      <c r="N114" s="1793">
        <f>+N113/N$85</f>
        <v>4.493745956718493E-3</v>
      </c>
      <c r="O114" s="1793">
        <f t="shared" ref="O114:P114" si="101">+O113/O$85</f>
        <v>3.1827261791506256E-3</v>
      </c>
      <c r="P114" s="1793">
        <f t="shared" si="101"/>
        <v>2.501208520893966E-3</v>
      </c>
      <c r="R114" s="864"/>
      <c r="S114" s="864"/>
      <c r="T114" s="864"/>
      <c r="U114" s="864"/>
      <c r="V114" s="864"/>
      <c r="W114" s="864"/>
      <c r="X114" s="864"/>
      <c r="Y114" s="864"/>
      <c r="Z114" s="864"/>
      <c r="AB114" s="1665"/>
      <c r="AC114" s="1665"/>
      <c r="AD114" s="1665"/>
      <c r="AE114" s="2057"/>
      <c r="AF114" s="2057"/>
      <c r="AG114" s="1665"/>
      <c r="AH114" s="1665"/>
      <c r="AI114" s="1665"/>
      <c r="AJ114" s="1666"/>
      <c r="AK114" s="1665"/>
      <c r="AL114" s="1665"/>
      <c r="AM114" s="1667"/>
      <c r="AN114" s="1873"/>
      <c r="AO114" s="1665"/>
      <c r="AP114" s="1666"/>
      <c r="AR114" s="1665"/>
      <c r="AS114" s="1666"/>
    </row>
    <row r="115" spans="2:45" s="1664" customFormat="1" ht="15.75" customHeight="1">
      <c r="B115" s="1740" t="s">
        <v>160</v>
      </c>
      <c r="C115" s="1792"/>
      <c r="D115" s="1792"/>
      <c r="E115" s="1792"/>
      <c r="F115" s="1792"/>
      <c r="G115" s="1792"/>
      <c r="H115" s="1792"/>
      <c r="I115" s="1792"/>
      <c r="J115" s="1792"/>
      <c r="K115" s="1792"/>
      <c r="L115" s="1792"/>
      <c r="M115" s="1792"/>
      <c r="N115" s="1793">
        <f>+N113/N$105</f>
        <v>2.8879666269879568E-2</v>
      </c>
      <c r="O115" s="1794">
        <f>+O113/O$105</f>
        <v>3.9226818382059152E-2</v>
      </c>
      <c r="P115" s="1794">
        <f>+P113/P$105</f>
        <v>2.5402962433725654E-2</v>
      </c>
      <c r="R115" s="864"/>
      <c r="S115" s="864"/>
      <c r="T115" s="864"/>
      <c r="U115" s="864"/>
      <c r="V115" s="864"/>
      <c r="W115" s="864"/>
      <c r="X115" s="864"/>
      <c r="Y115" s="864"/>
      <c r="Z115" s="864"/>
      <c r="AB115" s="1665"/>
      <c r="AC115" s="1665"/>
      <c r="AD115" s="1665"/>
      <c r="AE115" s="2057"/>
      <c r="AF115" s="2057"/>
      <c r="AG115" s="1665"/>
      <c r="AH115" s="1665"/>
      <c r="AI115" s="1665"/>
      <c r="AJ115" s="1666"/>
      <c r="AK115" s="1665"/>
      <c r="AL115" s="1665"/>
      <c r="AM115" s="1667"/>
      <c r="AN115" s="1873"/>
      <c r="AO115" s="1665"/>
      <c r="AP115" s="1666"/>
      <c r="AR115" s="1665"/>
      <c r="AS115" s="1666"/>
    </row>
    <row r="116" spans="2:45" ht="15.75" customHeight="1">
      <c r="B116" s="1719" t="s">
        <v>164</v>
      </c>
      <c r="C116" s="686"/>
      <c r="D116" s="686"/>
      <c r="E116" s="686"/>
      <c r="F116" s="686"/>
      <c r="G116" s="686"/>
      <c r="H116" s="686"/>
      <c r="I116" s="686"/>
      <c r="J116" s="686"/>
      <c r="K116" s="686"/>
      <c r="L116" s="686"/>
      <c r="M116" s="686"/>
      <c r="N116" s="1173">
        <f>+PROJ!DJ210+PROJ!DJ214+PROJ!DJ219+PROJ!DJ220+PROJ!DJ221+PROJ!DJ222+PROJ!DJ223</f>
        <v>-26020</v>
      </c>
      <c r="O116" s="1173">
        <f>+PROJ!DO210+PROJ!DO214+PROJ!DO219+PROJ!DO220+PROJ!DO221+PROJ!DO222+PROJ!DO223</f>
        <v>63448</v>
      </c>
      <c r="P116" s="1173">
        <f>+PROJ!DP210+PROJ!DP214+PROJ!DP219+PROJ!DP220+PROJ!DP221+PROJ!DP222+PROJ!DP223</f>
        <v>-7510.656805991428</v>
      </c>
    </row>
    <row r="117" spans="2:45" ht="15.75" customHeight="1">
      <c r="B117" s="1740" t="s">
        <v>160</v>
      </c>
      <c r="C117" s="1792"/>
      <c r="D117" s="1792"/>
      <c r="E117" s="1792"/>
      <c r="F117" s="1792"/>
      <c r="G117" s="1792"/>
      <c r="H117" s="1792"/>
      <c r="I117" s="1792"/>
      <c r="J117" s="1792"/>
      <c r="K117" s="1792"/>
      <c r="L117" s="1792"/>
      <c r="M117" s="1792"/>
      <c r="N117" s="1793">
        <f>+N116/N$105</f>
        <v>-1.7439865306866562E-2</v>
      </c>
      <c r="O117" s="1794">
        <f>+O116/O$105</f>
        <v>5.4168132254660571E-2</v>
      </c>
      <c r="P117" s="1794">
        <f>+P116/P$105</f>
        <v>-4.8228514164465781E-3</v>
      </c>
    </row>
    <row r="118" spans="2:45" ht="15.75" customHeight="1">
      <c r="B118" s="1717"/>
      <c r="C118" s="1581"/>
      <c r="D118" s="1581"/>
      <c r="E118" s="1581"/>
      <c r="F118" s="1581"/>
      <c r="G118" s="1581"/>
      <c r="H118" s="1581"/>
      <c r="I118" s="1581"/>
      <c r="J118" s="1581"/>
      <c r="K118" s="1581"/>
      <c r="L118" s="1581"/>
      <c r="M118" s="1581"/>
      <c r="N118" s="1781"/>
      <c r="O118" s="1718"/>
      <c r="P118" s="1718"/>
    </row>
    <row r="119" spans="2:45" s="1154" customFormat="1" ht="15.75" customHeight="1">
      <c r="B119" s="1710" t="s">
        <v>110</v>
      </c>
      <c r="C119" s="830"/>
      <c r="D119" s="830"/>
      <c r="E119" s="830"/>
      <c r="F119" s="830"/>
      <c r="G119" s="830"/>
      <c r="H119" s="830"/>
      <c r="I119" s="830"/>
      <c r="J119" s="830"/>
      <c r="K119" s="830"/>
      <c r="L119" s="830"/>
      <c r="M119" s="830"/>
      <c r="N119" s="1721">
        <f>+N105+N106</f>
        <v>1087442.44</v>
      </c>
      <c r="O119" s="1721">
        <f>+O105+O106</f>
        <v>1098410.56</v>
      </c>
      <c r="P119" s="1721">
        <f>+P105+P106</f>
        <v>1334101.9230309727</v>
      </c>
      <c r="R119" s="864"/>
      <c r="S119" s="864"/>
      <c r="T119" s="864"/>
      <c r="U119" s="864"/>
      <c r="V119" s="864"/>
      <c r="W119" s="864"/>
      <c r="X119" s="864"/>
      <c r="Y119" s="864"/>
      <c r="Z119" s="864"/>
      <c r="AB119" s="1088"/>
      <c r="AC119" s="1088"/>
      <c r="AD119" s="1088"/>
      <c r="AE119" s="2046"/>
      <c r="AF119" s="2046"/>
      <c r="AG119" s="1088"/>
      <c r="AH119" s="1088"/>
      <c r="AI119" s="1088"/>
      <c r="AJ119" s="1078"/>
      <c r="AK119" s="1088"/>
      <c r="AL119" s="1088"/>
      <c r="AM119" s="1153"/>
      <c r="AN119" s="1860"/>
      <c r="AO119" s="1088"/>
      <c r="AP119" s="1078"/>
      <c r="AR119" s="1088"/>
      <c r="AS119" s="1078"/>
    </row>
    <row r="120" spans="2:45" ht="15.75" customHeight="1">
      <c r="B120" s="1710" t="s">
        <v>142</v>
      </c>
      <c r="C120" s="686"/>
      <c r="D120" s="686"/>
      <c r="E120" s="686"/>
      <c r="F120" s="686"/>
      <c r="G120" s="686"/>
      <c r="H120" s="686"/>
      <c r="I120" s="686"/>
      <c r="J120" s="686"/>
      <c r="K120" s="686"/>
      <c r="L120" s="686"/>
      <c r="M120" s="686"/>
      <c r="N120" s="1238">
        <f ca="1">+N60/N119</f>
        <v>14.443782422175836</v>
      </c>
      <c r="O120" s="1789">
        <f ca="1">+O60/O119</f>
        <v>14.299554803988773</v>
      </c>
      <c r="P120" s="1238">
        <f ca="1">+P60/P119</f>
        <v>11.773299872258223</v>
      </c>
    </row>
    <row r="121" spans="2:45" s="1784" customFormat="1">
      <c r="B121" s="1785" t="s">
        <v>165</v>
      </c>
      <c r="N121" s="1786">
        <f>+N119-O22</f>
        <v>1239.4399999999441</v>
      </c>
      <c r="O121" s="1786">
        <f>+O119-T22</f>
        <v>-98257.439999999944</v>
      </c>
      <c r="P121" s="1786">
        <f>+P119-U22</f>
        <v>-52715.997395112878</v>
      </c>
      <c r="AB121" s="1787"/>
      <c r="AC121" s="1787"/>
      <c r="AD121" s="1787"/>
      <c r="AE121" s="2058"/>
      <c r="AF121" s="2058"/>
      <c r="AG121" s="1787"/>
      <c r="AH121" s="1787"/>
      <c r="AI121" s="1787"/>
      <c r="AJ121" s="1787"/>
      <c r="AK121" s="1787"/>
      <c r="AL121" s="1787"/>
      <c r="AM121" s="1788"/>
      <c r="AN121" s="1874"/>
      <c r="AO121" s="1787"/>
      <c r="AP121" s="1787"/>
      <c r="AR121" s="1787"/>
      <c r="AS121" s="1787"/>
    </row>
    <row r="122" spans="2:45">
      <c r="B122" s="1672"/>
      <c r="N122" s="1237"/>
      <c r="O122" s="1237"/>
      <c r="P122" s="1237"/>
    </row>
    <row r="123" spans="2:45">
      <c r="B123" s="1673" t="s">
        <v>92</v>
      </c>
      <c r="N123" s="1237">
        <f>+N119-O22</f>
        <v>1239.4399999999441</v>
      </c>
      <c r="O123" s="1237">
        <f>+O119-R22</f>
        <v>-193292.43999999994</v>
      </c>
      <c r="P123" s="1237">
        <f>+P119-S22</f>
        <v>357842.92303097271</v>
      </c>
    </row>
    <row r="124" spans="2:45">
      <c r="B124" s="1678" t="s">
        <v>117</v>
      </c>
      <c r="S124" s="1686"/>
      <c r="T124" s="1687"/>
      <c r="U124" s="1688"/>
      <c r="V124" s="1688"/>
      <c r="W124" s="1688"/>
      <c r="X124" s="1688"/>
      <c r="Y124" s="1688"/>
      <c r="Z124" s="1688"/>
    </row>
    <row r="125" spans="2:45">
      <c r="B125" s="1679" t="s">
        <v>119</v>
      </c>
      <c r="R125" s="2172"/>
      <c r="S125" s="1689"/>
      <c r="T125" s="1690"/>
      <c r="U125" s="1691"/>
      <c r="V125" s="1690"/>
      <c r="W125" s="1692"/>
      <c r="X125" s="1692"/>
      <c r="Y125" s="1692"/>
      <c r="Z125" s="1692"/>
    </row>
    <row r="126" spans="2:45">
      <c r="B126" s="1680" t="s">
        <v>92</v>
      </c>
      <c r="R126" s="2172"/>
      <c r="S126" s="1691"/>
      <c r="T126" s="1693"/>
      <c r="U126" s="1694"/>
      <c r="V126" s="1695"/>
      <c r="W126" s="1696"/>
      <c r="X126" s="1697"/>
      <c r="Y126" s="1697"/>
      <c r="Z126" s="1697"/>
    </row>
    <row r="127" spans="2:45">
      <c r="B127" s="1682" t="s">
        <v>121</v>
      </c>
      <c r="R127" s="2172"/>
      <c r="S127" s="1691"/>
      <c r="T127" s="1698"/>
      <c r="U127" s="1699"/>
      <c r="V127" s="1333"/>
      <c r="W127" s="1700"/>
      <c r="X127" s="1697"/>
      <c r="Y127" s="1697"/>
      <c r="Z127" s="1697"/>
    </row>
    <row r="128" spans="2:45">
      <c r="B128" s="1682"/>
      <c r="R128" s="2172"/>
      <c r="S128" s="1691"/>
      <c r="T128" s="1698"/>
      <c r="U128" s="1699"/>
      <c r="V128" s="1333"/>
      <c r="W128" s="1700"/>
      <c r="X128" s="1697"/>
      <c r="Y128" s="1697"/>
      <c r="Z128" s="1697"/>
    </row>
    <row r="129" spans="2:26">
      <c r="B129" s="1684" t="s">
        <v>166</v>
      </c>
      <c r="R129" s="2172"/>
      <c r="S129" s="1691"/>
      <c r="T129" s="1698"/>
      <c r="U129" s="1699"/>
      <c r="V129" s="1333"/>
      <c r="W129" s="1701"/>
      <c r="X129" s="1702"/>
      <c r="Y129" s="1702"/>
      <c r="Z129" s="1702"/>
    </row>
    <row r="130" spans="2:26">
      <c r="B130" s="1682" t="s">
        <v>121</v>
      </c>
      <c r="R130" s="2172"/>
      <c r="S130" s="1691"/>
      <c r="T130" s="1698"/>
      <c r="U130" s="1699"/>
      <c r="V130" s="1333"/>
      <c r="W130" s="1700"/>
      <c r="X130" s="1697"/>
      <c r="Y130" s="1697"/>
      <c r="Z130" s="1697"/>
    </row>
    <row r="131" spans="2:26">
      <c r="B131" s="1703"/>
      <c r="R131" s="2172"/>
      <c r="S131" s="1691"/>
      <c r="T131" s="1704"/>
      <c r="U131" s="1705"/>
      <c r="V131" s="1706"/>
      <c r="W131" s="1707"/>
      <c r="X131" s="1697"/>
      <c r="Y131" s="1697"/>
      <c r="Z131" s="1697"/>
    </row>
    <row r="132" spans="2:26">
      <c r="B132" s="1684" t="s">
        <v>130</v>
      </c>
    </row>
    <row r="133" spans="2:26">
      <c r="B133" s="1682" t="s">
        <v>121</v>
      </c>
    </row>
    <row r="135" spans="2:26">
      <c r="S135" s="1686"/>
      <c r="T135" s="1687"/>
      <c r="U135" s="1688"/>
      <c r="V135" s="1688"/>
      <c r="W135" s="1688"/>
      <c r="X135" s="1688"/>
      <c r="Y135" s="1688"/>
      <c r="Z135" s="1688"/>
    </row>
    <row r="136" spans="2:26">
      <c r="R136" s="2172"/>
      <c r="S136" s="1689"/>
      <c r="T136" s="1690"/>
      <c r="U136" s="1691"/>
      <c r="V136" s="1690"/>
      <c r="W136" s="1692"/>
      <c r="X136" s="1692"/>
      <c r="Y136" s="1692"/>
      <c r="Z136" s="1692"/>
    </row>
    <row r="137" spans="2:26">
      <c r="R137" s="2172"/>
      <c r="S137" s="1691"/>
      <c r="T137" s="1693"/>
      <c r="U137" s="1694"/>
      <c r="V137" s="1695"/>
      <c r="W137" s="1696"/>
      <c r="X137" s="1697"/>
      <c r="Y137" s="1697"/>
      <c r="Z137" s="1697"/>
    </row>
    <row r="138" spans="2:26">
      <c r="R138" s="2172"/>
      <c r="S138" s="1691"/>
      <c r="T138" s="1698"/>
      <c r="U138" s="1699"/>
      <c r="V138" s="1333"/>
      <c r="W138" s="1700"/>
      <c r="X138" s="1697"/>
      <c r="Y138" s="1697"/>
      <c r="Z138" s="1697"/>
    </row>
    <row r="139" spans="2:26">
      <c r="R139" s="2172"/>
      <c r="S139" s="1691"/>
      <c r="T139" s="1698"/>
      <c r="U139" s="1699"/>
      <c r="V139" s="1333"/>
      <c r="W139" s="1700"/>
      <c r="X139" s="1697"/>
      <c r="Y139" s="1697"/>
      <c r="Z139" s="1697"/>
    </row>
    <row r="140" spans="2:26">
      <c r="R140" s="2172"/>
      <c r="S140" s="1691"/>
      <c r="T140" s="1698"/>
      <c r="U140" s="1699"/>
      <c r="V140" s="1333"/>
      <c r="W140" s="1700"/>
      <c r="X140" s="1697"/>
      <c r="Y140" s="1697"/>
      <c r="Z140" s="1697"/>
    </row>
    <row r="141" spans="2:26">
      <c r="R141" s="2172"/>
      <c r="S141" s="1691"/>
      <c r="T141" s="1698"/>
      <c r="U141" s="1699"/>
      <c r="V141" s="1333"/>
      <c r="W141" s="1700"/>
      <c r="X141" s="1697"/>
      <c r="Y141" s="1697"/>
      <c r="Z141" s="1697"/>
    </row>
    <row r="142" spans="2:26">
      <c r="R142" s="2172"/>
      <c r="S142" s="1691"/>
      <c r="T142" s="1704"/>
      <c r="U142" s="1705"/>
      <c r="V142" s="1706"/>
      <c r="W142" s="1708"/>
      <c r="X142" s="1702"/>
      <c r="Y142" s="1702"/>
      <c r="Z142" s="1702"/>
    </row>
    <row r="151" spans="2:16">
      <c r="B151" s="1671"/>
      <c r="C151" s="1668"/>
      <c r="D151" s="1668"/>
      <c r="E151" s="1668"/>
      <c r="F151" s="1668"/>
      <c r="G151" s="1668"/>
      <c r="H151" s="1668"/>
      <c r="I151" s="1668"/>
      <c r="J151" s="1668"/>
      <c r="K151" s="1668"/>
      <c r="L151" s="1668"/>
      <c r="M151" s="1668"/>
      <c r="N151" s="1668"/>
      <c r="O151" s="1668"/>
      <c r="P151" s="1668"/>
    </row>
    <row r="152" spans="2:16">
      <c r="B152" s="1671"/>
      <c r="C152" s="1668"/>
      <c r="D152" s="1668"/>
      <c r="E152" s="1668"/>
      <c r="F152" s="1668"/>
      <c r="G152" s="1668"/>
      <c r="H152" s="1668"/>
      <c r="I152" s="1668"/>
      <c r="J152" s="1668"/>
      <c r="K152" s="1668"/>
      <c r="L152" s="1668"/>
      <c r="M152" s="1668"/>
      <c r="N152" s="1668"/>
      <c r="O152" s="1668"/>
      <c r="P152" s="1668"/>
    </row>
    <row r="153" spans="2:16">
      <c r="B153" s="1671"/>
      <c r="C153" s="1668"/>
      <c r="D153" s="1668"/>
      <c r="E153" s="1668"/>
      <c r="F153" s="1668"/>
      <c r="G153" s="1668"/>
      <c r="H153" s="1668"/>
      <c r="I153" s="1668"/>
      <c r="J153" s="1668"/>
      <c r="K153" s="1668"/>
      <c r="L153" s="1668"/>
      <c r="M153" s="1668"/>
      <c r="N153" s="1668"/>
      <c r="O153" s="1668"/>
      <c r="P153" s="1668"/>
    </row>
    <row r="155" spans="2:16">
      <c r="B155" s="1671"/>
      <c r="C155" s="1671"/>
      <c r="D155" s="1671"/>
      <c r="E155" s="1671"/>
      <c r="F155" s="1671"/>
      <c r="G155" s="1671"/>
      <c r="H155" s="1671"/>
      <c r="I155" s="1671"/>
      <c r="J155" s="1671"/>
      <c r="K155" s="1671"/>
      <c r="L155" s="1671"/>
      <c r="M155" s="1671"/>
      <c r="N155" s="1671"/>
      <c r="O155" s="1671"/>
      <c r="P155" s="1671"/>
    </row>
    <row r="156" spans="2:16">
      <c r="B156" s="1671"/>
      <c r="C156" s="1668"/>
      <c r="D156" s="1668"/>
      <c r="E156" s="1668"/>
      <c r="F156" s="1668"/>
      <c r="G156" s="1668"/>
      <c r="H156" s="1668"/>
      <c r="I156" s="1668"/>
      <c r="J156" s="1668"/>
      <c r="K156" s="1668"/>
      <c r="L156" s="1668"/>
      <c r="M156" s="1668"/>
      <c r="N156" s="1668"/>
      <c r="O156" s="1668"/>
      <c r="P156" s="1668"/>
    </row>
    <row r="157" spans="2:16">
      <c r="B157" s="1671"/>
      <c r="C157" s="1668"/>
      <c r="D157" s="1668"/>
      <c r="E157" s="1668"/>
      <c r="F157" s="1668"/>
      <c r="G157" s="1668"/>
      <c r="H157" s="1668"/>
      <c r="I157" s="1668"/>
      <c r="J157" s="1668"/>
      <c r="K157" s="1668"/>
      <c r="L157" s="1668"/>
      <c r="M157" s="1668"/>
      <c r="N157" s="1668"/>
      <c r="O157" s="1668"/>
      <c r="P157" s="1668"/>
    </row>
    <row r="158" spans="2:16">
      <c r="B158" s="1671"/>
      <c r="C158" s="1668"/>
      <c r="D158" s="1668"/>
      <c r="E158" s="1668"/>
      <c r="F158" s="1668"/>
      <c r="G158" s="1668"/>
      <c r="H158" s="1668"/>
      <c r="I158" s="1668"/>
      <c r="J158" s="1668"/>
      <c r="K158" s="1668"/>
      <c r="L158" s="1668"/>
      <c r="M158" s="1668"/>
      <c r="N158" s="1668"/>
      <c r="O158" s="1668"/>
      <c r="P158" s="1668"/>
    </row>
    <row r="159" spans="2:16">
      <c r="B159" s="1671"/>
      <c r="C159" s="1668"/>
      <c r="D159" s="1668"/>
      <c r="E159" s="1668"/>
      <c r="F159" s="1668"/>
      <c r="G159" s="1668"/>
      <c r="H159" s="1668"/>
      <c r="I159" s="1668"/>
      <c r="J159" s="1668"/>
      <c r="K159" s="1668"/>
      <c r="L159" s="1668"/>
      <c r="M159" s="1668"/>
      <c r="N159" s="1668"/>
      <c r="O159" s="1668"/>
      <c r="P159" s="1668"/>
    </row>
  </sheetData>
  <dataConsolidate/>
  <mergeCells count="10">
    <mergeCell ref="R102:R105"/>
    <mergeCell ref="T102:X102"/>
    <mergeCell ref="R125:R131"/>
    <mergeCell ref="R136:R142"/>
    <mergeCell ref="T84:X84"/>
    <mergeCell ref="T96:X96"/>
    <mergeCell ref="T90:X90"/>
    <mergeCell ref="R84:R87"/>
    <mergeCell ref="R90:R93"/>
    <mergeCell ref="R96:R99"/>
  </mergeCells>
  <conditionalFormatting sqref="S112:X113">
    <cfRule type="colorScale" priority="10">
      <colorScale>
        <cfvo type="min"/>
        <cfvo type="percentile" val="50"/>
        <cfvo type="max"/>
        <color rgb="FF63BE7B"/>
        <color rgb="FFFFEB84"/>
        <color rgb="FFF8696B"/>
      </colorScale>
    </cfRule>
  </conditionalFormatting>
  <conditionalFormatting sqref="T86:X87 S88:X89">
    <cfRule type="colorScale" priority="11">
      <colorScale>
        <cfvo type="min"/>
        <cfvo type="percentile" val="50"/>
        <cfvo type="max"/>
        <color rgb="FF63BE7B"/>
        <color rgb="FFFFEB84"/>
        <color rgb="FFF8696B"/>
      </colorScale>
    </cfRule>
  </conditionalFormatting>
  <conditionalFormatting sqref="T98:X99 S100:X101">
    <cfRule type="colorScale" priority="8">
      <colorScale>
        <cfvo type="min"/>
        <cfvo type="percentile" val="50"/>
        <cfvo type="max"/>
        <color rgb="FF63BE7B"/>
        <color rgb="FFFFEB84"/>
        <color rgb="FFF8696B"/>
      </colorScale>
    </cfRule>
  </conditionalFormatting>
  <conditionalFormatting sqref="T104:X105">
    <cfRule type="colorScale" priority="2">
      <colorScale>
        <cfvo type="min"/>
        <cfvo type="percentile" val="50"/>
        <cfvo type="max"/>
        <color rgb="FF63BE7B"/>
        <color rgb="FFFFEB84"/>
        <color rgb="FFF8696B"/>
      </colorScale>
    </cfRule>
  </conditionalFormatting>
  <conditionalFormatting sqref="T110:X111">
    <cfRule type="colorScale" priority="5">
      <colorScale>
        <cfvo type="min"/>
        <cfvo type="percentile" val="50"/>
        <cfvo type="max"/>
        <color rgb="FF63BE7B"/>
        <color rgb="FFFFEB84"/>
        <color rgb="FFF8696B"/>
      </colorScale>
    </cfRule>
  </conditionalFormatting>
  <conditionalFormatting sqref="T116:X117">
    <cfRule type="colorScale" priority="4">
      <colorScale>
        <cfvo type="min"/>
        <cfvo type="percentile" val="50"/>
        <cfvo type="max"/>
        <color rgb="FF63BE7B"/>
        <color rgb="FFFFEB84"/>
        <color rgb="FFF8696B"/>
      </colorScale>
    </cfRule>
  </conditionalFormatting>
  <conditionalFormatting sqref="AH88:AP91 T92:X93">
    <cfRule type="colorScale" priority="15">
      <colorScale>
        <cfvo type="min"/>
        <cfvo type="percentile" val="50"/>
        <cfvo type="max"/>
        <color rgb="FF63BE7B"/>
        <color rgb="FFFFEB84"/>
        <color rgb="FFF8696B"/>
      </colorScale>
    </cfRule>
  </conditionalFormatting>
  <conditionalFormatting sqref="AR88:AS91">
    <cfRule type="colorScale" priority="1">
      <colorScale>
        <cfvo type="min"/>
        <cfvo type="percentile" val="50"/>
        <cfvo type="max"/>
        <color rgb="FF63BE7B"/>
        <color rgb="FFFFEB84"/>
        <color rgb="FFF8696B"/>
      </colorScale>
    </cfRule>
  </conditionalFormatting>
  <pageMargins left="0.7" right="0.7" top="0.75" bottom="0.75" header="0.3" footer="0.3"/>
  <pageSetup paperSize="9" orientation="portrait" r:id="rId1"/>
  <ignoredErrors>
    <ignoredError sqref="A8:M8 AT8:XFD8 N6:V8 N55:V55 W6:Z8" formula="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Z415"/>
  <sheetViews>
    <sheetView showGridLines="0" zoomScale="115" zoomScaleNormal="115" workbookViewId="0">
      <pane xSplit="1" ySplit="1" topLeftCell="CE122" activePane="bottomRight" state="frozen"/>
      <selection pane="bottomRight" activeCell="CL171" sqref="CL171"/>
      <selection pane="bottomLeft" activeCell="A2" sqref="A2"/>
      <selection pane="topRight" activeCell="B1" sqref="B1"/>
    </sheetView>
  </sheetViews>
  <sheetFormatPr defaultColWidth="9.140625" defaultRowHeight="15"/>
  <cols>
    <col min="1" max="1" width="48.28515625" customWidth="1"/>
    <col min="2" max="42" width="9.140625" customWidth="1"/>
    <col min="43" max="59" width="10" customWidth="1"/>
    <col min="60" max="85" width="10.5703125" customWidth="1"/>
    <col min="86" max="95" width="10.5703125" style="398" customWidth="1"/>
    <col min="96" max="97" width="4.42578125" style="398" customWidth="1"/>
    <col min="98" max="98" width="10.5703125" style="398" customWidth="1"/>
    <col min="99" max="99" width="19.42578125" style="692" customWidth="1"/>
    <col min="100" max="109" width="9.140625" hidden="1" customWidth="1"/>
    <col min="110" max="113" width="10.5703125" hidden="1" customWidth="1"/>
    <col min="114" max="116" width="11" hidden="1" customWidth="1"/>
    <col min="117" max="122" width="11.140625" customWidth="1"/>
    <col min="123" max="126" width="11.5703125" style="398" customWidth="1"/>
    <col min="127" max="127" width="11.28515625" bestFit="1" customWidth="1"/>
    <col min="129" max="130" width="11.5703125" style="398" customWidth="1"/>
  </cols>
  <sheetData>
    <row r="1" spans="1:130" s="1641" customFormat="1">
      <c r="A1" s="1636"/>
      <c r="B1" s="1637">
        <v>37956</v>
      </c>
      <c r="C1" s="1637">
        <v>38047</v>
      </c>
      <c r="D1" s="1637">
        <v>38139</v>
      </c>
      <c r="E1" s="1637">
        <v>38231</v>
      </c>
      <c r="F1" s="1637">
        <v>38322</v>
      </c>
      <c r="G1" s="1637">
        <v>38412</v>
      </c>
      <c r="H1" s="1637">
        <v>38504</v>
      </c>
      <c r="I1" s="1637">
        <v>38596</v>
      </c>
      <c r="J1" s="1637">
        <v>38687</v>
      </c>
      <c r="K1" s="1637">
        <v>38777</v>
      </c>
      <c r="L1" s="1637">
        <v>38869</v>
      </c>
      <c r="M1" s="1637">
        <v>38961</v>
      </c>
      <c r="N1" s="1637">
        <v>39052</v>
      </c>
      <c r="O1" s="1637">
        <v>39142</v>
      </c>
      <c r="P1" s="1637">
        <v>39234</v>
      </c>
      <c r="Q1" s="1637">
        <v>39326</v>
      </c>
      <c r="R1" s="1637">
        <v>39417</v>
      </c>
      <c r="S1" s="1637">
        <v>39508</v>
      </c>
      <c r="T1" s="1637">
        <v>39600</v>
      </c>
      <c r="U1" s="1637">
        <v>39692</v>
      </c>
      <c r="V1" s="1637">
        <v>39783</v>
      </c>
      <c r="W1" s="1637">
        <v>39873</v>
      </c>
      <c r="X1" s="1637">
        <v>39965</v>
      </c>
      <c r="Y1" s="1637">
        <v>40057</v>
      </c>
      <c r="Z1" s="1637">
        <v>40148</v>
      </c>
      <c r="AA1" s="1637">
        <v>40238</v>
      </c>
      <c r="AB1" s="1637">
        <v>40330</v>
      </c>
      <c r="AC1" s="1637">
        <v>40422</v>
      </c>
      <c r="AD1" s="1637">
        <v>40513</v>
      </c>
      <c r="AE1" s="1637">
        <v>40603</v>
      </c>
      <c r="AF1" s="1637">
        <v>40695</v>
      </c>
      <c r="AG1" s="1637">
        <v>40787</v>
      </c>
      <c r="AH1" s="1637">
        <v>40878</v>
      </c>
      <c r="AI1" s="1637">
        <v>40969</v>
      </c>
      <c r="AJ1" s="1637">
        <v>41061</v>
      </c>
      <c r="AK1" s="1637">
        <v>41153</v>
      </c>
      <c r="AL1" s="1637">
        <v>41244</v>
      </c>
      <c r="AM1" s="1637">
        <v>41334</v>
      </c>
      <c r="AN1" s="1637">
        <v>41426</v>
      </c>
      <c r="AO1" s="1637">
        <v>41518</v>
      </c>
      <c r="AP1" s="1637">
        <v>41609</v>
      </c>
      <c r="AQ1" s="1637">
        <v>41699</v>
      </c>
      <c r="AR1" s="1637">
        <f t="shared" ref="AR1:BR1" si="0">+EOMONTH(AQ1,3)</f>
        <v>41820</v>
      </c>
      <c r="AS1" s="1637">
        <f t="shared" si="0"/>
        <v>41912</v>
      </c>
      <c r="AT1" s="1637">
        <f t="shared" si="0"/>
        <v>42004</v>
      </c>
      <c r="AU1" s="1637">
        <f t="shared" si="0"/>
        <v>42094</v>
      </c>
      <c r="AV1" s="1637">
        <f t="shared" si="0"/>
        <v>42185</v>
      </c>
      <c r="AW1" s="1637">
        <f t="shared" si="0"/>
        <v>42277</v>
      </c>
      <c r="AX1" s="1637">
        <f t="shared" si="0"/>
        <v>42369</v>
      </c>
      <c r="AY1" s="1637">
        <f t="shared" si="0"/>
        <v>42460</v>
      </c>
      <c r="AZ1" s="1637">
        <f t="shared" si="0"/>
        <v>42551</v>
      </c>
      <c r="BA1" s="1637">
        <f t="shared" si="0"/>
        <v>42643</v>
      </c>
      <c r="BB1" s="1637">
        <f t="shared" si="0"/>
        <v>42735</v>
      </c>
      <c r="BC1" s="1637">
        <f t="shared" si="0"/>
        <v>42825</v>
      </c>
      <c r="BD1" s="1637">
        <f t="shared" si="0"/>
        <v>42916</v>
      </c>
      <c r="BE1" s="1637">
        <f t="shared" si="0"/>
        <v>43008</v>
      </c>
      <c r="BF1" s="1637">
        <f t="shared" si="0"/>
        <v>43100</v>
      </c>
      <c r="BG1" s="1637">
        <f t="shared" si="0"/>
        <v>43190</v>
      </c>
      <c r="BH1" s="1637">
        <f t="shared" si="0"/>
        <v>43281</v>
      </c>
      <c r="BI1" s="1637">
        <f t="shared" si="0"/>
        <v>43373</v>
      </c>
      <c r="BJ1" s="1637">
        <f t="shared" si="0"/>
        <v>43465</v>
      </c>
      <c r="BK1" s="1637">
        <f t="shared" si="0"/>
        <v>43555</v>
      </c>
      <c r="BL1" s="1637">
        <f t="shared" si="0"/>
        <v>43646</v>
      </c>
      <c r="BM1" s="1637">
        <f t="shared" si="0"/>
        <v>43738</v>
      </c>
      <c r="BN1" s="1637">
        <f t="shared" si="0"/>
        <v>43830</v>
      </c>
      <c r="BO1" s="1637">
        <f t="shared" si="0"/>
        <v>43921</v>
      </c>
      <c r="BP1" s="1637">
        <f t="shared" si="0"/>
        <v>44012</v>
      </c>
      <c r="BQ1" s="1637">
        <f t="shared" si="0"/>
        <v>44104</v>
      </c>
      <c r="BR1" s="1637">
        <f t="shared" si="0"/>
        <v>44196</v>
      </c>
      <c r="BS1" s="1637">
        <f t="shared" ref="BS1:CD1" si="1">+EOMONTH(BR1,3)</f>
        <v>44286</v>
      </c>
      <c r="BT1" s="1637">
        <f t="shared" si="1"/>
        <v>44377</v>
      </c>
      <c r="BU1" s="1637">
        <f t="shared" si="1"/>
        <v>44469</v>
      </c>
      <c r="BV1" s="1637">
        <f t="shared" si="1"/>
        <v>44561</v>
      </c>
      <c r="BW1" s="1637">
        <f t="shared" si="1"/>
        <v>44651</v>
      </c>
      <c r="BX1" s="1637">
        <f t="shared" si="1"/>
        <v>44742</v>
      </c>
      <c r="BY1" s="1637">
        <f t="shared" si="1"/>
        <v>44834</v>
      </c>
      <c r="BZ1" s="1637">
        <f t="shared" si="1"/>
        <v>44926</v>
      </c>
      <c r="CA1" s="1637">
        <f t="shared" si="1"/>
        <v>45016</v>
      </c>
      <c r="CB1" s="1637">
        <f t="shared" si="1"/>
        <v>45107</v>
      </c>
      <c r="CC1" s="1637">
        <f t="shared" si="1"/>
        <v>45199</v>
      </c>
      <c r="CD1" s="1637">
        <f t="shared" si="1"/>
        <v>45291</v>
      </c>
      <c r="CE1" s="1637">
        <f t="shared" ref="CE1" si="2">+EOMONTH(CD1,3)</f>
        <v>45382</v>
      </c>
      <c r="CF1" s="1637">
        <f t="shared" ref="CF1" si="3">+EOMONTH(CE1,3)</f>
        <v>45473</v>
      </c>
      <c r="CG1" s="1637">
        <f t="shared" ref="CG1:CH1" si="4">+EOMONTH(CF1,3)</f>
        <v>45565</v>
      </c>
      <c r="CH1" s="1637">
        <f t="shared" si="4"/>
        <v>45657</v>
      </c>
      <c r="CI1" s="1637">
        <f t="shared" ref="CI1" si="5">+EOMONTH(CH1,3)</f>
        <v>45747</v>
      </c>
      <c r="CJ1" s="1637">
        <f t="shared" ref="CJ1" si="6">+EOMONTH(CI1,3)</f>
        <v>45838</v>
      </c>
      <c r="CK1" s="1637">
        <f t="shared" ref="CK1" si="7">+EOMONTH(CJ1,3)</f>
        <v>45930</v>
      </c>
      <c r="CL1" s="1637">
        <f t="shared" ref="CL1" si="8">+EOMONTH(CK1,3)</f>
        <v>46022</v>
      </c>
      <c r="CM1" s="1637">
        <f t="shared" ref="CM1" si="9">+EOMONTH(CL1,3)</f>
        <v>46112</v>
      </c>
      <c r="CN1" s="1637">
        <f t="shared" ref="CN1" si="10">+EOMONTH(CM1,3)</f>
        <v>46203</v>
      </c>
      <c r="CO1" s="1637">
        <f t="shared" ref="CO1" si="11">+EOMONTH(CN1,3)</f>
        <v>46295</v>
      </c>
      <c r="CP1" s="1637">
        <f t="shared" ref="CP1" si="12">+EOMONTH(CO1,3)</f>
        <v>46387</v>
      </c>
      <c r="CQ1" s="1638"/>
      <c r="CR1" s="1638"/>
      <c r="CS1" s="1638"/>
      <c r="CT1" s="1637">
        <v>46022</v>
      </c>
      <c r="CU1" s="1639"/>
      <c r="CV1" s="1638">
        <v>38322</v>
      </c>
      <c r="CW1" s="1638">
        <v>38687</v>
      </c>
      <c r="CX1" s="1638">
        <v>39052</v>
      </c>
      <c r="CY1" s="1638">
        <v>39417</v>
      </c>
      <c r="CZ1" s="1638">
        <v>39783</v>
      </c>
      <c r="DA1" s="1638">
        <v>40148</v>
      </c>
      <c r="DB1" s="1638">
        <v>40513</v>
      </c>
      <c r="DC1" s="1638">
        <v>40878</v>
      </c>
      <c r="DD1" s="1638">
        <v>41244</v>
      </c>
      <c r="DE1" s="1638">
        <v>41609</v>
      </c>
      <c r="DF1" s="1640">
        <v>2014</v>
      </c>
      <c r="DG1" s="1640">
        <f>+DF1+1</f>
        <v>2015</v>
      </c>
      <c r="DH1" s="1640">
        <f t="shared" ref="DH1:DV1" si="13">+DG1+1</f>
        <v>2016</v>
      </c>
      <c r="DI1" s="1640">
        <f t="shared" si="13"/>
        <v>2017</v>
      </c>
      <c r="DJ1" s="1640">
        <f t="shared" si="13"/>
        <v>2018</v>
      </c>
      <c r="DK1" s="1640">
        <f t="shared" si="13"/>
        <v>2019</v>
      </c>
      <c r="DL1" s="1640">
        <f t="shared" si="13"/>
        <v>2020</v>
      </c>
      <c r="DM1" s="1640">
        <f t="shared" si="13"/>
        <v>2021</v>
      </c>
      <c r="DN1" s="1640">
        <f t="shared" si="13"/>
        <v>2022</v>
      </c>
      <c r="DO1" s="1640">
        <f t="shared" si="13"/>
        <v>2023</v>
      </c>
      <c r="DP1" s="1640">
        <f t="shared" ref="DP1:DR1" si="14">+DO1+1</f>
        <v>2024</v>
      </c>
      <c r="DQ1" s="1640">
        <f t="shared" si="14"/>
        <v>2025</v>
      </c>
      <c r="DR1" s="1640">
        <f t="shared" si="14"/>
        <v>2026</v>
      </c>
      <c r="DS1" s="1640">
        <f t="shared" si="13"/>
        <v>2027</v>
      </c>
      <c r="DT1" s="1640">
        <f t="shared" si="13"/>
        <v>2028</v>
      </c>
      <c r="DU1" s="1640">
        <f t="shared" si="13"/>
        <v>2029</v>
      </c>
      <c r="DV1" s="1640">
        <f t="shared" si="13"/>
        <v>2030</v>
      </c>
      <c r="DY1" s="1640">
        <v>2026</v>
      </c>
      <c r="DZ1" s="1640">
        <v>2027</v>
      </c>
    </row>
    <row r="2" spans="1:130" s="302" customFormat="1">
      <c r="A2" s="346" t="s">
        <v>167</v>
      </c>
      <c r="B2" s="347">
        <v>1.15E-2</v>
      </c>
      <c r="C2" s="347">
        <v>1.8499999999999999E-2</v>
      </c>
      <c r="D2" s="347">
        <v>1.6E-2</v>
      </c>
      <c r="E2" s="347">
        <v>1.9400000000000001E-2</v>
      </c>
      <c r="F2" s="347">
        <v>0.02</v>
      </c>
      <c r="G2" s="347">
        <v>1.7899999999999999E-2</v>
      </c>
      <c r="H2" s="347">
        <v>1.3469457789979433E-2</v>
      </c>
      <c r="I2" s="347">
        <v>7.7189382259461592E-3</v>
      </c>
      <c r="J2" s="347">
        <v>1.668820790972636E-2</v>
      </c>
      <c r="K2" s="347">
        <v>1.4368541453025019E-2</v>
      </c>
      <c r="L2" s="347">
        <v>9.9540016253008012E-4</v>
      </c>
      <c r="M2" s="347">
        <v>4.4759999999999999E-3</v>
      </c>
      <c r="N2" s="347">
        <v>1.1345218800648427E-2</v>
      </c>
      <c r="O2" s="347">
        <v>1.26E-2</v>
      </c>
      <c r="P2" s="347">
        <v>8.2000000000000007E-3</v>
      </c>
      <c r="Q2" s="347">
        <v>8.8999999999999999E-3</v>
      </c>
      <c r="R2" s="347">
        <v>1.43E-2</v>
      </c>
      <c r="S2" s="347">
        <v>1.5149686330916142E-2</v>
      </c>
      <c r="T2" s="347">
        <v>2.0897660603252811E-2</v>
      </c>
      <c r="U2" s="347">
        <v>1.0699999999999999E-2</v>
      </c>
      <c r="V2" s="347">
        <v>1.09E-2</v>
      </c>
      <c r="W2" s="347">
        <v>1.24E-2</v>
      </c>
      <c r="X2" s="347">
        <v>1.32E-2</v>
      </c>
      <c r="Y2" s="347">
        <v>6.6E-3</v>
      </c>
      <c r="Z2" s="347">
        <v>1.0200000000000001E-2</v>
      </c>
      <c r="AA2" s="347">
        <v>2.06E-2</v>
      </c>
      <c r="AB2" s="347">
        <v>0.01</v>
      </c>
      <c r="AC2" s="347">
        <v>5.0000000000000001E-3</v>
      </c>
      <c r="AD2" s="347">
        <v>2.23E-2</v>
      </c>
      <c r="AE2" s="347">
        <v>2.4400000000000002E-2</v>
      </c>
      <c r="AF2" s="347">
        <v>1.4E-2</v>
      </c>
      <c r="AG2" s="347">
        <v>1.06E-2</v>
      </c>
      <c r="AH2" s="347">
        <v>1.44E-2</v>
      </c>
      <c r="AI2" s="347">
        <v>1.224646292000009E-2</v>
      </c>
      <c r="AJ2" s="347">
        <v>1.083105843199994E-2</v>
      </c>
      <c r="AK2" s="347">
        <v>1.416561049100018E-2</v>
      </c>
      <c r="AL2" s="347">
        <v>1.9929689660000083E-2</v>
      </c>
      <c r="AM2" s="347">
        <v>1.9420462519999848E-2</v>
      </c>
      <c r="AN2" s="347">
        <v>1.1844322910000038E-2</v>
      </c>
      <c r="AO2" s="347">
        <v>6.2101725200001123E-3</v>
      </c>
      <c r="AP2" s="347">
        <v>2.0433183176000069E-2</v>
      </c>
      <c r="AQ2" s="347">
        <f>MACRO!BD8</f>
        <v>2.1700000000000001E-2</v>
      </c>
      <c r="AR2" s="347">
        <f>MACRO!BE8</f>
        <v>1.14E-2</v>
      </c>
      <c r="AS2" s="347">
        <f>MACRO!BF8</f>
        <v>1.04E-2</v>
      </c>
      <c r="AT2" s="347">
        <f>MACRO!BG8</f>
        <v>1.67E-2</v>
      </c>
      <c r="AU2" s="347">
        <f>MACRO!BH8</f>
        <v>1.3475174441242466E-2</v>
      </c>
      <c r="AV2" s="347">
        <f>MACRO!BI8</f>
        <v>1.3475174441242466E-2</v>
      </c>
      <c r="AW2" s="347">
        <f>MACRO!BJ8</f>
        <v>1.3475174441242466E-2</v>
      </c>
      <c r="AX2" s="347">
        <f>MACRO!BK8</f>
        <v>1.3475174441242466E-2</v>
      </c>
      <c r="AY2" s="347">
        <f>MACRO!BL8</f>
        <v>2.5999999999999999E-2</v>
      </c>
      <c r="AZ2" s="347">
        <f>MACRO!BM8</f>
        <v>1.7496396530000125E-2</v>
      </c>
      <c r="BA2" s="347">
        <f>MACRO!BN8</f>
        <v>1.043057830399996E-2</v>
      </c>
      <c r="BB2" s="347">
        <f>MACRO!BO8</f>
        <v>7.4178940399998172E-3</v>
      </c>
      <c r="BC2" s="347">
        <f>MACRO!BP8</f>
        <v>9.6303213499999707E-3</v>
      </c>
      <c r="BD2" s="347">
        <f>MACRO!BQ8</f>
        <v>2.1939800180001967E-3</v>
      </c>
      <c r="BE2" s="347">
        <f>MACRO!BR8</f>
        <v>5.9114472960000164E-3</v>
      </c>
      <c r="BF2" s="347">
        <f>MACRO!BS8</f>
        <v>1.1442611743999853E-2</v>
      </c>
      <c r="BG2" s="347">
        <f>MACRO!BT8</f>
        <v>7.0147783519998175E-3</v>
      </c>
      <c r="BH2" s="347">
        <f>MACRO!BU8</f>
        <v>1.1239843999999888E-2</v>
      </c>
      <c r="BI2" s="347">
        <f>MACRO!BV8</f>
        <v>8.1158400000000963E-3</v>
      </c>
      <c r="BJ2" s="347">
        <f>MACRO!BW8</f>
        <v>3.8999999999999998E-3</v>
      </c>
      <c r="BK2" s="347">
        <f>MACRO!BX8</f>
        <v>1.4999999999999999E-2</v>
      </c>
      <c r="BL2" s="347">
        <f>MACRO!BY8</f>
        <v>7.1000000000000004E-3</v>
      </c>
      <c r="BM2" s="1272">
        <f>MACRO!BZ8</f>
        <v>2.5999999999999999E-3</v>
      </c>
      <c r="BN2" s="1272">
        <f>MACRO!CA8</f>
        <v>1.7600000000000001E-2</v>
      </c>
      <c r="BO2" s="1272">
        <f>MACRO!CB8</f>
        <v>5.4000000000000003E-3</v>
      </c>
      <c r="BP2" s="1272">
        <f>MACRO!CC8</f>
        <v>-4.3E-3</v>
      </c>
      <c r="BQ2" s="1272">
        <f>MACRO!CD8</f>
        <v>1.24E-2</v>
      </c>
      <c r="BR2" s="1272">
        <f>MACRO!CE8</f>
        <v>3.1E-2</v>
      </c>
      <c r="BS2" s="1272">
        <f>MACRO!CF8</f>
        <v>2.0400000000000001E-2</v>
      </c>
      <c r="BT2" s="1272">
        <f>MACRO!CG8</f>
        <v>1.67E-2</v>
      </c>
      <c r="BU2" s="1272">
        <f>MACRO!CH8</f>
        <v>2.9900000000000003E-2</v>
      </c>
      <c r="BV2" s="1272">
        <f>MACRO!CI8</f>
        <v>2.9300000000000003E-2</v>
      </c>
      <c r="BW2" s="1272">
        <f>MACRO!CJ8</f>
        <v>3.2199999999999999E-2</v>
      </c>
      <c r="BX2" s="1272">
        <f>MACRO!CK8</f>
        <v>2.2000000000000002E-2</v>
      </c>
      <c r="BY2" s="1272">
        <f>MACRO!CL8</f>
        <v>-1.3299999999999999E-2</v>
      </c>
      <c r="BZ2" s="1272">
        <f>MACRO!CM8</f>
        <v>1.7500000000000002E-2</v>
      </c>
      <c r="CA2" s="1272">
        <f>MACRO!CN8</f>
        <v>2.0799999999999999E-2</v>
      </c>
      <c r="CB2" s="1272">
        <f>MACRO!CO8</f>
        <v>7.6E-3</v>
      </c>
      <c r="CC2" s="1272">
        <f>MACRO!CP8</f>
        <v>6.0999999999999995E-3</v>
      </c>
      <c r="CD2" s="1272">
        <f>MACRO!CQ8</f>
        <v>1.2E-2</v>
      </c>
      <c r="CE2" s="1272">
        <f>MACRO!CR8</f>
        <v>1.4154915775999921E-2</v>
      </c>
      <c r="CF2" s="1272">
        <f>MACRO!CS8</f>
        <v>1.0535156707999871E-2</v>
      </c>
      <c r="CG2" s="1272">
        <f>MACRO!CT8</f>
        <v>6.2002865600001567E-3</v>
      </c>
      <c r="CH2" s="1272">
        <v>0.02</v>
      </c>
      <c r="CI2" s="1272">
        <f>MACRO!CV8</f>
        <v>2.0403397376000054E-2</v>
      </c>
      <c r="CJ2" s="1272">
        <f>MACRO!CW8</f>
        <v>9.327766831999762E-3</v>
      </c>
      <c r="CK2" s="1272">
        <f>MACRO!CX8</f>
        <v>6.3043262719999493E-3</v>
      </c>
      <c r="CL2" s="366">
        <f>MACRO!CY8</f>
        <v>1.093402249999964E-2</v>
      </c>
      <c r="CM2" s="366">
        <f>MACRO!CZ8</f>
        <v>1.4999999999999999E-2</v>
      </c>
      <c r="CN2" s="366">
        <f>MACRO!DA8</f>
        <v>8.5000000000000006E-3</v>
      </c>
      <c r="CO2" s="366">
        <f>MACRO!DB8</f>
        <v>6.0000000000000001E-3</v>
      </c>
      <c r="CP2" s="366">
        <f>MACRO!DC8</f>
        <v>1.15E-2</v>
      </c>
      <c r="CQ2" s="366"/>
      <c r="CR2" s="366"/>
      <c r="CS2" s="366"/>
      <c r="CT2" s="366">
        <v>1.093402249999964E-2</v>
      </c>
      <c r="CU2" s="702"/>
      <c r="CV2" s="347">
        <v>7.5968463247999996E-2</v>
      </c>
      <c r="CW2" s="347">
        <v>5.5776603925651952E-2</v>
      </c>
      <c r="CX2" s="347">
        <v>3.1185160416203526E-2</v>
      </c>
      <c r="CY2" s="347">
        <v>4.4600000000000001E-2</v>
      </c>
      <c r="CZ2" s="347">
        <v>5.8900000000000001E-2</v>
      </c>
      <c r="DA2" s="347">
        <v>4.3099999999999999E-2</v>
      </c>
      <c r="DB2" s="347">
        <v>5.91E-2</v>
      </c>
      <c r="DC2" s="347">
        <v>6.4799999999999996E-2</v>
      </c>
      <c r="DD2" s="347">
        <v>5.7172821503000293E-2</v>
      </c>
      <c r="DE2" s="347">
        <v>5.7908141126000068E-2</v>
      </c>
      <c r="DF2" s="347">
        <f>MACRO!DW8</f>
        <v>6.4100000000000004E-2</v>
      </c>
      <c r="DG2" s="347">
        <f>MACRO!DX8</f>
        <v>0.1067</v>
      </c>
      <c r="DH2" s="347">
        <f>MACRO!DY8</f>
        <v>6.2665012362475903E-2</v>
      </c>
      <c r="DI2" s="347">
        <f>MACRO!DZ8</f>
        <v>2.9473499083459087E-2</v>
      </c>
      <c r="DJ2" s="347">
        <f>MACRO!EA8</f>
        <v>3.0601831439692972E-2</v>
      </c>
      <c r="DK2" s="347">
        <f>MACRO!EB8</f>
        <v>4.2901847469440035E-2</v>
      </c>
      <c r="DL2" s="1272">
        <f>MACRO!EC8</f>
        <v>4.4908326166231971E-2</v>
      </c>
      <c r="DM2" s="1272">
        <f>MACRO!ED8</f>
        <v>9.9766038912527666E-2</v>
      </c>
      <c r="DN2" s="1272">
        <f>MACRO!EE8</f>
        <v>5.7740343796135907E-2</v>
      </c>
      <c r="DO2" s="1272">
        <f>MACRO!EF8</f>
        <v>4.7250271699456059E-2</v>
      </c>
      <c r="DP2" s="1272">
        <f>MACRO!EG8</f>
        <v>4.6425617126184315E-2</v>
      </c>
      <c r="DQ2" s="1272">
        <f>MACRO!EH8</f>
        <v>4.7746622243991066E-2</v>
      </c>
      <c r="DR2" s="1272">
        <f>MACRO!EI8</f>
        <v>4.1611611547499816E-2</v>
      </c>
      <c r="DS2" s="1541">
        <f>MACRO!EJ8</f>
        <v>4.7500000000000001E-2</v>
      </c>
      <c r="DT2" s="1541">
        <f>MACRO!EK8</f>
        <v>4.4999999999999998E-2</v>
      </c>
      <c r="DU2" s="1541">
        <f>MACRO!EL8</f>
        <v>4.4999999999999998E-2</v>
      </c>
      <c r="DV2" s="1541">
        <f>MACRO!EM8</f>
        <v>4.4999999999999998E-2</v>
      </c>
      <c r="DY2" s="1541">
        <v>4.6799600990062862E-2</v>
      </c>
      <c r="DZ2" s="1541">
        <v>4.7500000000000001E-2</v>
      </c>
    </row>
    <row r="3" spans="1:130">
      <c r="A3" s="141" t="s">
        <v>168</v>
      </c>
      <c r="B3" s="141"/>
      <c r="C3" s="140">
        <v>230277</v>
      </c>
      <c r="D3" s="139">
        <v>326148</v>
      </c>
      <c r="E3" s="139">
        <v>283436</v>
      </c>
      <c r="F3" s="139">
        <v>449394</v>
      </c>
      <c r="G3" s="139">
        <v>261957</v>
      </c>
      <c r="H3" s="139">
        <v>379185</v>
      </c>
      <c r="I3" s="139">
        <v>344395</v>
      </c>
      <c r="J3" s="139">
        <v>571973.40899566293</v>
      </c>
      <c r="K3" s="139">
        <v>347895.355099654</v>
      </c>
      <c r="L3" s="139">
        <v>508600.35202962818</v>
      </c>
      <c r="M3" s="139">
        <v>457408.36223056057</v>
      </c>
      <c r="N3" s="139">
        <v>723460</v>
      </c>
      <c r="O3" s="139">
        <v>450331</v>
      </c>
      <c r="P3" s="139">
        <v>651919</v>
      </c>
      <c r="Q3" s="139">
        <v>583136</v>
      </c>
      <c r="R3" s="137">
        <v>872743</v>
      </c>
      <c r="S3" s="137">
        <v>557955</v>
      </c>
      <c r="T3" s="137">
        <v>747079</v>
      </c>
      <c r="U3" s="137">
        <v>660961</v>
      </c>
      <c r="V3" s="137">
        <v>890242</v>
      </c>
      <c r="W3" s="137">
        <v>537450</v>
      </c>
      <c r="X3" s="137">
        <v>803683</v>
      </c>
      <c r="Y3" s="137">
        <v>715447</v>
      </c>
      <c r="Z3" s="137">
        <v>1023895</v>
      </c>
      <c r="AA3" s="137">
        <v>649073</v>
      </c>
      <c r="AB3" s="137">
        <v>918672</v>
      </c>
      <c r="AC3" s="137">
        <v>835227</v>
      </c>
      <c r="AD3" s="137">
        <v>1176249.8686835519</v>
      </c>
      <c r="AE3" s="137">
        <v>773464.62548783398</v>
      </c>
      <c r="AF3" s="137">
        <v>1089692.6831359353</v>
      </c>
      <c r="AG3" s="137">
        <v>963449.20080610912</v>
      </c>
      <c r="AH3" s="137">
        <v>1387228.5361983494</v>
      </c>
      <c r="AI3" s="137">
        <v>918699.64946443448</v>
      </c>
      <c r="AJ3" s="137">
        <v>1243546.6089249528</v>
      </c>
      <c r="AK3" s="137">
        <v>1175907.7447946665</v>
      </c>
      <c r="AL3" s="137">
        <v>1689611.4039919563</v>
      </c>
      <c r="AM3" s="137">
        <v>1079840.4797581129</v>
      </c>
      <c r="AN3" s="137">
        <v>1379462.688556043</v>
      </c>
      <c r="AO3" s="137">
        <v>1327255.5181266945</v>
      </c>
      <c r="AP3" s="137">
        <v>1901389.973808028</v>
      </c>
      <c r="AQ3" s="137">
        <f t="shared" ref="AQ3:BU3" si="15">+AQ7+AQ11</f>
        <v>1214566.2675160414</v>
      </c>
      <c r="AR3" s="137">
        <f t="shared" si="15"/>
        <v>1630176.7093056163</v>
      </c>
      <c r="AS3" s="137">
        <f t="shared" si="15"/>
        <v>1558376.2768352625</v>
      </c>
      <c r="AT3" s="137">
        <f t="shared" si="15"/>
        <v>2377750.6426156089</v>
      </c>
      <c r="AU3" s="137">
        <f t="shared" si="15"/>
        <v>1516973.8811564951</v>
      </c>
      <c r="AV3" s="137">
        <f t="shared" si="15"/>
        <v>1993749.2674848172</v>
      </c>
      <c r="AW3" s="137">
        <f t="shared" si="15"/>
        <v>1842459.9499985608</v>
      </c>
      <c r="AX3" s="137">
        <f t="shared" si="15"/>
        <v>2630530.293373948</v>
      </c>
      <c r="AY3" s="137">
        <f t="shared" si="15"/>
        <v>1612396.0359333081</v>
      </c>
      <c r="AZ3" s="137">
        <f t="shared" si="15"/>
        <v>2141382.1957798055</v>
      </c>
      <c r="BA3" s="137">
        <f t="shared" si="15"/>
        <v>1872449.7535556373</v>
      </c>
      <c r="BB3" s="137">
        <f t="shared" si="15"/>
        <v>2755298.9192911386</v>
      </c>
      <c r="BC3" s="137">
        <f t="shared" si="15"/>
        <v>1840704</v>
      </c>
      <c r="BD3" s="137">
        <f t="shared" si="15"/>
        <v>2367643</v>
      </c>
      <c r="BE3" s="137">
        <f t="shared" si="15"/>
        <v>2231419</v>
      </c>
      <c r="BF3" s="412">
        <f t="shared" si="15"/>
        <v>3163512</v>
      </c>
      <c r="BG3" s="137">
        <f t="shared" si="15"/>
        <v>2067857</v>
      </c>
      <c r="BH3" s="137">
        <f t="shared" si="15"/>
        <v>2583715.5376799996</v>
      </c>
      <c r="BI3" s="137">
        <f t="shared" si="15"/>
        <v>2480005</v>
      </c>
      <c r="BJ3" s="137">
        <f t="shared" si="15"/>
        <v>3873312</v>
      </c>
      <c r="BK3" s="137">
        <f t="shared" si="15"/>
        <v>2552363</v>
      </c>
      <c r="BL3" s="137">
        <f t="shared" si="15"/>
        <v>3097696</v>
      </c>
      <c r="BM3" s="137">
        <f t="shared" si="15"/>
        <v>2991101</v>
      </c>
      <c r="BN3" s="412">
        <f t="shared" si="15"/>
        <v>4315726</v>
      </c>
      <c r="BO3" s="412">
        <f t="shared" si="15"/>
        <v>2478859</v>
      </c>
      <c r="BP3" s="412">
        <f t="shared" si="15"/>
        <v>1031541</v>
      </c>
      <c r="BQ3" s="412">
        <f t="shared" si="15"/>
        <v>2536668</v>
      </c>
      <c r="BR3" s="412">
        <f>+BR7+BR11</f>
        <v>4294537</v>
      </c>
      <c r="BS3" s="412">
        <f t="shared" si="15"/>
        <v>2151767</v>
      </c>
      <c r="BT3" s="412">
        <f t="shared" si="15"/>
        <v>3399787</v>
      </c>
      <c r="BU3" s="412">
        <f t="shared" si="15"/>
        <v>3566944</v>
      </c>
      <c r="BV3" s="412">
        <f t="shared" ref="BV3:CD3" si="16">+BV7+BV11</f>
        <v>5272503</v>
      </c>
      <c r="BW3" s="412">
        <f t="shared" si="16"/>
        <v>3483965</v>
      </c>
      <c r="BX3" s="412">
        <f t="shared" si="16"/>
        <v>4887156</v>
      </c>
      <c r="BY3" s="412">
        <f t="shared" si="16"/>
        <v>4035196</v>
      </c>
      <c r="BZ3" s="412">
        <f t="shared" ref="BZ3" si="17">+BZ7+BZ11</f>
        <v>5417422</v>
      </c>
      <c r="CA3" s="412">
        <f t="shared" si="16"/>
        <v>3707381</v>
      </c>
      <c r="CB3" s="412">
        <f t="shared" si="16"/>
        <v>4742882</v>
      </c>
      <c r="CC3" s="412">
        <f t="shared" si="16"/>
        <v>4181816</v>
      </c>
      <c r="CD3" s="412">
        <f t="shared" si="16"/>
        <v>6306244</v>
      </c>
      <c r="CE3" s="412">
        <f>+CE7+CE11</f>
        <v>3664852</v>
      </c>
      <c r="CF3" s="412">
        <f t="shared" ref="CF3:CH3" si="18">+CF7+CF11</f>
        <v>4491414</v>
      </c>
      <c r="CG3" s="412">
        <f t="shared" si="18"/>
        <v>4320214</v>
      </c>
      <c r="CH3" s="412">
        <f t="shared" si="18"/>
        <v>5924561</v>
      </c>
      <c r="CI3" s="412">
        <f t="shared" ref="CI3:CL3" si="19">+CI7+CI11</f>
        <v>4128219</v>
      </c>
      <c r="CJ3" s="412">
        <f t="shared" si="19"/>
        <v>5347166</v>
      </c>
      <c r="CK3" s="412">
        <f t="shared" si="19"/>
        <v>4549679</v>
      </c>
      <c r="CL3" s="413">
        <f t="shared" si="19"/>
        <v>6218948.9116749661</v>
      </c>
      <c r="CM3" s="413">
        <f t="shared" ref="CM3:CP3" si="20">+CM7+CM11</f>
        <v>4380421.4627182204</v>
      </c>
      <c r="CN3" s="413">
        <f t="shared" si="20"/>
        <v>5587574.3526503732</v>
      </c>
      <c r="CO3" s="413">
        <f t="shared" si="20"/>
        <v>4911049.8249388551</v>
      </c>
      <c r="CP3" s="413">
        <f t="shared" si="20"/>
        <v>6756780.5710140094</v>
      </c>
      <c r="CQ3" s="413"/>
      <c r="CR3" s="413"/>
      <c r="CS3" s="413"/>
      <c r="CT3" s="413">
        <v>6218948.9116749661</v>
      </c>
      <c r="CU3" s="1134">
        <f>+CK3/CT3-1</f>
        <v>-0.26841672690721252</v>
      </c>
      <c r="CV3" s="138">
        <v>1289255</v>
      </c>
      <c r="CW3" s="138">
        <v>1557510.4089956628</v>
      </c>
      <c r="CX3" s="138">
        <v>2037364.0693598427</v>
      </c>
      <c r="CY3" s="138">
        <v>2558129</v>
      </c>
      <c r="CZ3" s="138">
        <v>2856237</v>
      </c>
      <c r="DA3" s="138">
        <v>3080475</v>
      </c>
      <c r="DB3" s="138">
        <v>3579221.8686835519</v>
      </c>
      <c r="DC3" s="138">
        <v>4213835.0456282282</v>
      </c>
      <c r="DD3" s="138">
        <v>5027765.4071760103</v>
      </c>
      <c r="DE3" s="138">
        <v>5687948.6602488784</v>
      </c>
      <c r="DF3" s="137">
        <f t="shared" ref="DF3:DM3" si="21">+DF7+DF11</f>
        <v>6780869.8962725289</v>
      </c>
      <c r="DG3" s="137">
        <f t="shared" si="21"/>
        <v>7983713.3920138218</v>
      </c>
      <c r="DH3" s="137">
        <f t="shared" si="21"/>
        <v>8381526.9045598898</v>
      </c>
      <c r="DI3" s="137">
        <f t="shared" si="21"/>
        <v>9603278</v>
      </c>
      <c r="DJ3" s="137">
        <f t="shared" si="21"/>
        <v>11004889.53768</v>
      </c>
      <c r="DK3" s="137">
        <f t="shared" si="21"/>
        <v>12956886</v>
      </c>
      <c r="DL3" s="137">
        <f t="shared" si="21"/>
        <v>10341605</v>
      </c>
      <c r="DM3" s="137">
        <f t="shared" si="21"/>
        <v>14391001</v>
      </c>
      <c r="DN3" s="137">
        <f t="shared" ref="DN3:DS3" si="22">+DN7+DN11</f>
        <v>17823739</v>
      </c>
      <c r="DO3" s="137">
        <f t="shared" si="22"/>
        <v>18938323</v>
      </c>
      <c r="DP3" s="137">
        <f t="shared" si="22"/>
        <v>18401041</v>
      </c>
      <c r="DQ3" s="137">
        <f t="shared" si="22"/>
        <v>20244012.911674969</v>
      </c>
      <c r="DR3" s="137">
        <f t="shared" ref="DR3" si="23">+DR7+DR11</f>
        <v>21635826.211321458</v>
      </c>
      <c r="DS3" s="1542">
        <f t="shared" si="22"/>
        <v>23442986.870161004</v>
      </c>
      <c r="DT3" s="1542">
        <f t="shared" ref="DT3:DV3" si="24">+DT7+DT11</f>
        <v>25078919.674068943</v>
      </c>
      <c r="DU3" s="1542">
        <f t="shared" si="24"/>
        <v>26820545.665568225</v>
      </c>
      <c r="DV3" s="1542">
        <f t="shared" si="24"/>
        <v>28682677.899701457</v>
      </c>
      <c r="DY3" s="1542">
        <v>21984944.655630648</v>
      </c>
      <c r="DZ3" s="1542">
        <v>23787214.155697271</v>
      </c>
    </row>
    <row r="4" spans="1:130">
      <c r="A4" s="8" t="s">
        <v>169</v>
      </c>
      <c r="B4" s="8"/>
      <c r="C4" s="8"/>
      <c r="D4" s="8"/>
      <c r="E4" s="8"/>
      <c r="F4" s="8"/>
      <c r="G4" s="8">
        <v>0.13757344415638562</v>
      </c>
      <c r="H4" s="8">
        <v>0.16261635821774156</v>
      </c>
      <c r="I4" s="8">
        <v>0.21507147998137155</v>
      </c>
      <c r="J4" s="8">
        <v>0.27276601155258628</v>
      </c>
      <c r="K4" s="8">
        <v>0.32806283130305358</v>
      </c>
      <c r="L4" s="8">
        <v>0.34129871178877913</v>
      </c>
      <c r="M4" s="8">
        <v>0.32815041516444943</v>
      </c>
      <c r="N4" s="8">
        <v>0.26484900979983439</v>
      </c>
      <c r="O4" s="8">
        <v>0.29444384180123206</v>
      </c>
      <c r="P4" s="8">
        <v>0.28179030430954732</v>
      </c>
      <c r="Q4" s="8">
        <v>0.27486956547170727</v>
      </c>
      <c r="R4" s="8">
        <v>0.20634589334586573</v>
      </c>
      <c r="S4" s="8">
        <v>0.23898865501153588</v>
      </c>
      <c r="T4" s="8">
        <v>0.14596905443774455</v>
      </c>
      <c r="U4" s="8">
        <v>0.13345943313395159</v>
      </c>
      <c r="V4" s="8">
        <v>2.005057617190853E-2</v>
      </c>
      <c r="W4" s="8">
        <v>-3.6750275559856993E-2</v>
      </c>
      <c r="X4" s="8">
        <v>7.5767087550312695E-2</v>
      </c>
      <c r="Y4" s="8">
        <v>8.2434515803504249E-2</v>
      </c>
      <c r="Z4" s="8">
        <v>0.15013108795136598</v>
      </c>
      <c r="AA4" s="8">
        <v>0.20769001767606299</v>
      </c>
      <c r="AB4" s="8">
        <v>0.14307755669834998</v>
      </c>
      <c r="AC4" s="8">
        <v>0.1674198088747314</v>
      </c>
      <c r="AD4" s="8">
        <v>0.14879930919044626</v>
      </c>
      <c r="AE4" s="8">
        <v>0.1916450468403923</v>
      </c>
      <c r="AF4" s="8">
        <v>0.18616076590549757</v>
      </c>
      <c r="AG4" s="8">
        <v>0.15351778714781616</v>
      </c>
      <c r="AH4" s="8">
        <v>0.1793655184428824</v>
      </c>
      <c r="AI4" s="8">
        <v>0.18777203144228993</v>
      </c>
      <c r="AJ4" s="8">
        <v>0.14119019808984512</v>
      </c>
      <c r="AK4" s="8">
        <v>0.22051867790309587</v>
      </c>
      <c r="AL4" s="8">
        <v>0.21797624537214055</v>
      </c>
      <c r="AM4" s="8">
        <v>0.17540099246540164</v>
      </c>
      <c r="AN4" s="8">
        <v>0.10929713342115077</v>
      </c>
      <c r="AO4" s="8">
        <v>0.12870718302689288</v>
      </c>
      <c r="AP4" s="8">
        <v>0.12534158405637741</v>
      </c>
      <c r="AQ4" s="116">
        <f t="shared" ref="AQ4:BG4" si="25">AQ3/AM3-1</f>
        <v>0.12476452798667759</v>
      </c>
      <c r="AR4" s="116">
        <f t="shared" si="25"/>
        <v>0.18174759116682537</v>
      </c>
      <c r="AS4" s="116">
        <f t="shared" si="25"/>
        <v>0.17413433626915698</v>
      </c>
      <c r="AT4" s="116">
        <f t="shared" si="25"/>
        <v>0.25053286036506472</v>
      </c>
      <c r="AU4" s="116">
        <f t="shared" si="25"/>
        <v>0.24898403794707691</v>
      </c>
      <c r="AV4" s="116">
        <f t="shared" si="25"/>
        <v>0.223026470752405</v>
      </c>
      <c r="AW4" s="116">
        <f t="shared" si="25"/>
        <v>0.18229465975971682</v>
      </c>
      <c r="AX4" s="116">
        <f t="shared" si="25"/>
        <v>0.1063104121297902</v>
      </c>
      <c r="AY4" s="116">
        <f t="shared" si="25"/>
        <v>6.2902964884316903E-2</v>
      </c>
      <c r="AZ4" s="116">
        <f t="shared" si="25"/>
        <v>7.4047890927243953E-2</v>
      </c>
      <c r="BA4" s="116">
        <f t="shared" si="25"/>
        <v>1.6277045021847014E-2</v>
      </c>
      <c r="BB4" s="116">
        <f t="shared" si="25"/>
        <v>4.7430978548876901E-2</v>
      </c>
      <c r="BC4" s="116">
        <f t="shared" si="25"/>
        <v>0.1415954635081571</v>
      </c>
      <c r="BD4" s="116">
        <f t="shared" si="25"/>
        <v>0.10566110275228069</v>
      </c>
      <c r="BE4" s="116">
        <f t="shared" si="25"/>
        <v>0.19171101695130011</v>
      </c>
      <c r="BF4" s="116">
        <f t="shared" si="25"/>
        <v>0.14815564215220722</v>
      </c>
      <c r="BG4" s="116">
        <f t="shared" si="25"/>
        <v>0.12340550137338768</v>
      </c>
      <c r="BH4" s="116">
        <f t="shared" ref="BH4:BV4" si="26">BH3/BD3-1</f>
        <v>9.1260607143897721E-2</v>
      </c>
      <c r="BI4" s="116">
        <f t="shared" si="26"/>
        <v>0.11140265454403675</v>
      </c>
      <c r="BJ4" s="116">
        <f t="shared" si="26"/>
        <v>0.22437088906253555</v>
      </c>
      <c r="BK4" s="116">
        <f t="shared" si="26"/>
        <v>0.23430343587588509</v>
      </c>
      <c r="BL4" s="116">
        <f t="shared" si="26"/>
        <v>0.19893074714467973</v>
      </c>
      <c r="BM4" s="116">
        <f t="shared" si="26"/>
        <v>0.20608668127685226</v>
      </c>
      <c r="BN4" s="116">
        <f t="shared" si="26"/>
        <v>0.11422111102849453</v>
      </c>
      <c r="BO4" s="116">
        <f t="shared" si="26"/>
        <v>-2.8798411511215316E-2</v>
      </c>
      <c r="BP4" s="116">
        <f t="shared" si="26"/>
        <v>-0.66699734254103693</v>
      </c>
      <c r="BQ4" s="116">
        <f>BQ3/BM3-1</f>
        <v>-0.15192833675626471</v>
      </c>
      <c r="BR4" s="116">
        <f>BR3/BN3-1</f>
        <v>-4.9097185502509078E-3</v>
      </c>
      <c r="BS4" s="116">
        <f t="shared" si="26"/>
        <v>-0.13195264434161036</v>
      </c>
      <c r="BT4" s="116">
        <f t="shared" si="26"/>
        <v>2.2958331273308574</v>
      </c>
      <c r="BU4" s="116">
        <f t="shared" si="26"/>
        <v>0.40615326877620572</v>
      </c>
      <c r="BV4" s="116">
        <f t="shared" si="26"/>
        <v>0.22772326795647579</v>
      </c>
      <c r="BW4" s="116">
        <f t="shared" ref="BW4:CC4" si="27">BW3/BS3-1</f>
        <v>0.61911814801509646</v>
      </c>
      <c r="BX4" s="116">
        <f t="shared" si="27"/>
        <v>0.43748887797970881</v>
      </c>
      <c r="BY4" s="116">
        <f t="shared" si="27"/>
        <v>0.13127539989413917</v>
      </c>
      <c r="BZ4" s="116">
        <f t="shared" si="27"/>
        <v>2.7485807025619424E-2</v>
      </c>
      <c r="CA4" s="116">
        <f t="shared" si="27"/>
        <v>6.4126935833167087E-2</v>
      </c>
      <c r="CB4" s="116">
        <f t="shared" si="27"/>
        <v>-2.9521054781144751E-2</v>
      </c>
      <c r="CC4" s="116">
        <f t="shared" si="27"/>
        <v>3.6335285820069174E-2</v>
      </c>
      <c r="CD4" s="116">
        <f>CD3/BZ3-1</f>
        <v>0.16406733682552321</v>
      </c>
      <c r="CE4" s="116">
        <f t="shared" ref="CE4" si="28">CE3/CA3-1</f>
        <v>-1.1471440351018658E-2</v>
      </c>
      <c r="CF4" s="116">
        <f t="shared" ref="CF4" si="29">CF3/CB3-1</f>
        <v>-5.3020083569441545E-2</v>
      </c>
      <c r="CG4" s="116">
        <f t="shared" ref="CG4:CH4" si="30">CG3/CC3-1</f>
        <v>3.3095191180099848E-2</v>
      </c>
      <c r="CH4" s="116">
        <f t="shared" si="30"/>
        <v>-6.0524616554640143E-2</v>
      </c>
      <c r="CI4" s="116">
        <f t="shared" ref="CI4" si="31">CI3/CE3-1</f>
        <v>0.12643539220683397</v>
      </c>
      <c r="CJ4" s="116">
        <f t="shared" ref="CJ4" si="32">CJ3/CF3-1</f>
        <v>0.19053064357905991</v>
      </c>
      <c r="CK4" s="116">
        <f t="shared" ref="CK4" si="33">CK3/CG3-1</f>
        <v>5.3114267024735318E-2</v>
      </c>
      <c r="CL4" s="1166">
        <f t="shared" ref="CL4" si="34">CL3/CH3-1</f>
        <v>4.9689405117943064E-2</v>
      </c>
      <c r="CM4" s="1166">
        <f t="shared" ref="CM4" si="35">CM3/CI3-1</f>
        <v>6.1092316739548069E-2</v>
      </c>
      <c r="CN4" s="1166">
        <f t="shared" ref="CN4" si="36">CN3/CJ3-1</f>
        <v>4.4959956853849903E-2</v>
      </c>
      <c r="CO4" s="1166">
        <f t="shared" ref="CO4" si="37">CO3/CK3-1</f>
        <v>7.9427762912252842E-2</v>
      </c>
      <c r="CP4" s="1166">
        <f t="shared" ref="CP4" si="38">CP3/CL3-1</f>
        <v>8.6482726740102489E-2</v>
      </c>
      <c r="CQ4" s="1166"/>
      <c r="CR4" s="1166"/>
      <c r="CS4" s="612"/>
      <c r="CT4" s="1166">
        <v>4.9689405117943064E-2</v>
      </c>
      <c r="CU4" s="694"/>
      <c r="CV4" s="7"/>
      <c r="CW4" s="8">
        <v>0.20807009396563347</v>
      </c>
      <c r="CX4" s="8">
        <v>0.3080901787832071</v>
      </c>
      <c r="CY4" s="8">
        <v>0.25560720269489501</v>
      </c>
      <c r="CZ4" s="8">
        <v>0.1165336071793095</v>
      </c>
      <c r="DA4" s="8">
        <v>7.8508191021963603E-2</v>
      </c>
      <c r="DB4" s="8">
        <v>0.16190583227701949</v>
      </c>
      <c r="DC4" s="8">
        <v>0.17730478864616717</v>
      </c>
      <c r="DD4" s="8">
        <v>0.19315667384565027</v>
      </c>
      <c r="DE4" s="8">
        <v>0.13130748943270198</v>
      </c>
      <c r="DF4" s="116">
        <f t="shared" ref="DF4:DM4" si="39">DF3/DE3-1</f>
        <v>0.19214681800166411</v>
      </c>
      <c r="DG4" s="116">
        <f t="shared" si="39"/>
        <v>0.17738778565896096</v>
      </c>
      <c r="DH4" s="116">
        <f t="shared" si="39"/>
        <v>4.982813047171808E-2</v>
      </c>
      <c r="DI4" s="116">
        <f t="shared" si="39"/>
        <v>0.14576712684360982</v>
      </c>
      <c r="DJ4" s="116">
        <f t="shared" si="39"/>
        <v>0.14595136553164445</v>
      </c>
      <c r="DK4" s="116">
        <f t="shared" si="39"/>
        <v>0.1773753798833233</v>
      </c>
      <c r="DL4" s="116">
        <f t="shared" si="39"/>
        <v>-0.20184487229416082</v>
      </c>
      <c r="DM4" s="116">
        <f t="shared" si="39"/>
        <v>0.39156359191827583</v>
      </c>
      <c r="DN4" s="116">
        <f t="shared" ref="DN4:DS4" si="40">DN3/DM3-1</f>
        <v>0.23853365029993401</v>
      </c>
      <c r="DO4" s="116">
        <f t="shared" si="40"/>
        <v>6.2533680503288336E-2</v>
      </c>
      <c r="DP4" s="116">
        <f t="shared" si="40"/>
        <v>-2.8370093803976149E-2</v>
      </c>
      <c r="DQ4" s="116">
        <f t="shared" si="40"/>
        <v>0.10015585051274911</v>
      </c>
      <c r="DR4" s="116">
        <f t="shared" si="40"/>
        <v>6.8751848051026077E-2</v>
      </c>
      <c r="DS4" s="1166">
        <f t="shared" si="40"/>
        <v>8.3526306838881181E-2</v>
      </c>
      <c r="DT4" s="1166">
        <f t="shared" ref="DT4" si="41">DT3/DS3-1</f>
        <v>6.9783462873931335E-2</v>
      </c>
      <c r="DU4" s="1166">
        <f t="shared" ref="DU4" si="42">DU3/DT3-1</f>
        <v>6.9445814019655883E-2</v>
      </c>
      <c r="DV4" s="1166">
        <f t="shared" ref="DV4" si="43">DV3/DU3-1</f>
        <v>6.9429319498290676E-2</v>
      </c>
      <c r="DY4" s="1166">
        <v>7.1051374701079029E-2</v>
      </c>
      <c r="DZ4" s="1166">
        <v>8.1977440848596261E-2</v>
      </c>
    </row>
    <row r="5" spans="1:130">
      <c r="A5" s="8" t="s">
        <v>170</v>
      </c>
      <c r="B5" s="8"/>
      <c r="C5" s="8"/>
      <c r="D5" s="8">
        <v>0.41632902982060727</v>
      </c>
      <c r="E5" s="8">
        <v>-0.13095895115101119</v>
      </c>
      <c r="F5" s="8">
        <v>0.58552195204561164</v>
      </c>
      <c r="G5" s="8">
        <v>-0.4170883456387936</v>
      </c>
      <c r="H5" s="8">
        <v>0.44750856056528354</v>
      </c>
      <c r="I5" s="8">
        <v>-9.1749409918641334E-2</v>
      </c>
      <c r="J5" s="8">
        <v>0.66080636767567169</v>
      </c>
      <c r="K5" s="8">
        <v>-0.39176306165958152</v>
      </c>
      <c r="L5" s="8">
        <v>0.46193487373219022</v>
      </c>
      <c r="M5" s="8">
        <v>-0.10065268259209825</v>
      </c>
      <c r="N5" s="8">
        <v>0.58165013965209034</v>
      </c>
      <c r="O5" s="8">
        <v>-0.37753158433085454</v>
      </c>
      <c r="P5" s="8">
        <v>0.44764406625348907</v>
      </c>
      <c r="Q5" s="8">
        <v>-0.10550850642487797</v>
      </c>
      <c r="R5" s="8">
        <v>0.49663714810953197</v>
      </c>
      <c r="S5" s="8">
        <v>-0.36068808343349645</v>
      </c>
      <c r="T5" s="8">
        <v>0.33895923506375958</v>
      </c>
      <c r="U5" s="8">
        <v>-0.11527294971482271</v>
      </c>
      <c r="V5" s="8">
        <v>0.34689036115595329</v>
      </c>
      <c r="W5" s="8">
        <v>-0.39628775097108426</v>
      </c>
      <c r="X5" s="8">
        <v>0.49536328960833576</v>
      </c>
      <c r="Y5" s="8">
        <v>-0.1097895563300455</v>
      </c>
      <c r="Z5" s="8">
        <v>0.43112627490226396</v>
      </c>
      <c r="AA5" s="8">
        <v>-0.36607464632603925</v>
      </c>
      <c r="AB5" s="8">
        <v>0.415360059654307</v>
      </c>
      <c r="AC5" s="8">
        <v>-9.0832201264433921E-2</v>
      </c>
      <c r="AD5" s="8">
        <v>0.40829962235841499</v>
      </c>
      <c r="AE5" s="8">
        <v>-0.34243170088215313</v>
      </c>
      <c r="AF5" s="8">
        <v>0.40884618019686725</v>
      </c>
      <c r="AG5" s="8">
        <v>-0.11585237221793643</v>
      </c>
      <c r="AH5" s="8">
        <v>0.4398564397974154</v>
      </c>
      <c r="AI5" s="8">
        <v>-0.33774455650826052</v>
      </c>
      <c r="AJ5" s="8">
        <v>0.35359429999770997</v>
      </c>
      <c r="AK5" s="8">
        <v>-5.439190107137204E-2</v>
      </c>
      <c r="AL5" s="8">
        <v>0.43685711015279605</v>
      </c>
      <c r="AM5" s="8">
        <v>-0.3608941812260319</v>
      </c>
      <c r="AN5" s="8">
        <v>0.27746895436356134</v>
      </c>
      <c r="AO5" s="8">
        <v>-3.7846018498692735E-2</v>
      </c>
      <c r="AP5" s="8">
        <v>0.43257266429878882</v>
      </c>
      <c r="AQ5" s="116">
        <f t="shared" ref="AQ5:BG5" si="44">AQ3/AP3-1</f>
        <v>-0.36122190384566055</v>
      </c>
      <c r="AR5" s="116">
        <f t="shared" si="44"/>
        <v>0.34218836213816206</v>
      </c>
      <c r="AS5" s="116">
        <f t="shared" si="44"/>
        <v>-4.4044570174811004E-2</v>
      </c>
      <c r="AT5" s="116">
        <f t="shared" si="44"/>
        <v>0.52578724276034605</v>
      </c>
      <c r="AU5" s="116">
        <f t="shared" si="44"/>
        <v>-0.36201304965781833</v>
      </c>
      <c r="AV5" s="116">
        <f t="shared" si="44"/>
        <v>0.31429373455319021</v>
      </c>
      <c r="AW5" s="116">
        <f t="shared" si="44"/>
        <v>-7.5881817214214164E-2</v>
      </c>
      <c r="AX5" s="116">
        <f t="shared" si="44"/>
        <v>0.42772725853606897</v>
      </c>
      <c r="AY5" s="116">
        <f t="shared" si="44"/>
        <v>-0.38704525091584074</v>
      </c>
      <c r="AZ5" s="116">
        <f t="shared" si="44"/>
        <v>0.32807458469116302</v>
      </c>
      <c r="BA5" s="116">
        <f t="shared" si="44"/>
        <v>-0.12558824984824057</v>
      </c>
      <c r="BB5" s="116">
        <f t="shared" si="44"/>
        <v>0.47149418245218011</v>
      </c>
      <c r="BC5" s="116">
        <f t="shared" si="44"/>
        <v>-0.33194036149313277</v>
      </c>
      <c r="BD5" s="116">
        <f t="shared" si="44"/>
        <v>0.28627036177462539</v>
      </c>
      <c r="BE5" s="116">
        <f t="shared" si="44"/>
        <v>-5.7535701117102489E-2</v>
      </c>
      <c r="BF5" s="116">
        <f t="shared" si="44"/>
        <v>0.41771312335334598</v>
      </c>
      <c r="BG5" s="116">
        <f t="shared" si="44"/>
        <v>-0.34634134468274502</v>
      </c>
      <c r="BH5" s="116">
        <f t="shared" ref="BH5:BV5" si="45">BH3/BG3-1</f>
        <v>0.24946528588775707</v>
      </c>
      <c r="BI5" s="116">
        <f t="shared" si="45"/>
        <v>-4.0140075858786095E-2</v>
      </c>
      <c r="BJ5" s="116">
        <f t="shared" si="45"/>
        <v>0.56181620601571369</v>
      </c>
      <c r="BK5" s="116">
        <f t="shared" si="45"/>
        <v>-0.34103862534182627</v>
      </c>
      <c r="BL5" s="116">
        <f t="shared" si="45"/>
        <v>0.21365808860260072</v>
      </c>
      <c r="BM5" s="116">
        <f t="shared" si="45"/>
        <v>-3.4411059058087057E-2</v>
      </c>
      <c r="BN5" s="116">
        <f t="shared" si="45"/>
        <v>0.44285532317364074</v>
      </c>
      <c r="BO5" s="116">
        <f t="shared" si="45"/>
        <v>-0.42562178414477658</v>
      </c>
      <c r="BP5" s="116">
        <f t="shared" si="45"/>
        <v>-0.58386459254035827</v>
      </c>
      <c r="BQ5" s="116">
        <f t="shared" si="45"/>
        <v>1.459105357906278</v>
      </c>
      <c r="BR5" s="116">
        <f t="shared" si="45"/>
        <v>0.69298347280763584</v>
      </c>
      <c r="BS5" s="116">
        <f t="shared" si="45"/>
        <v>-0.4989525064052307</v>
      </c>
      <c r="BT5" s="116">
        <f t="shared" si="45"/>
        <v>0.57999774139114502</v>
      </c>
      <c r="BU5" s="116">
        <f t="shared" si="45"/>
        <v>4.9166903691319375E-2</v>
      </c>
      <c r="BV5" s="116">
        <f t="shared" si="45"/>
        <v>0.4781569320964949</v>
      </c>
      <c r="BW5" s="116">
        <f t="shared" ref="BW5:CD5" si="46">BW3/BV3-1</f>
        <v>-0.33921991130208939</v>
      </c>
      <c r="BX5" s="116">
        <f t="shared" si="46"/>
        <v>0.40275691632952682</v>
      </c>
      <c r="BY5" s="116">
        <f t="shared" si="46"/>
        <v>-0.17432633621680993</v>
      </c>
      <c r="BZ5" s="116">
        <f t="shared" si="46"/>
        <v>0.34254246881688033</v>
      </c>
      <c r="CA5" s="116">
        <f t="shared" si="46"/>
        <v>-0.31565585992747103</v>
      </c>
      <c r="CB5" s="116">
        <f t="shared" si="46"/>
        <v>0.27930795351219628</v>
      </c>
      <c r="CC5" s="116">
        <f t="shared" si="46"/>
        <v>-0.1182964282054666</v>
      </c>
      <c r="CD5" s="116">
        <f t="shared" si="46"/>
        <v>0.50801565635599455</v>
      </c>
      <c r="CE5" s="116">
        <f t="shared" ref="CE5" si="47">CE3/CD3-1</f>
        <v>-0.41885344112914125</v>
      </c>
      <c r="CF5" s="116">
        <f t="shared" ref="CF5" si="48">CF3/CE3-1</f>
        <v>0.22553762061878624</v>
      </c>
      <c r="CG5" s="116">
        <f t="shared" ref="CG5:CH5" si="49">CG3/CF3-1</f>
        <v>-3.8117172008636957E-2</v>
      </c>
      <c r="CH5" s="116">
        <f t="shared" si="49"/>
        <v>0.37135822438425503</v>
      </c>
      <c r="CI5" s="116">
        <f t="shared" ref="CI5" si="50">CI3/CH3-1</f>
        <v>-0.30320254952223469</v>
      </c>
      <c r="CJ5" s="116">
        <f t="shared" ref="CJ5" si="51">CJ3/CI3-1</f>
        <v>0.29527188358950918</v>
      </c>
      <c r="CK5" s="116">
        <f t="shared" ref="CK5" si="52">CK3/CJ3-1</f>
        <v>-0.14914199409556395</v>
      </c>
      <c r="CL5" s="1166">
        <f t="shared" ref="CL5" si="53">CL3/CK3-1</f>
        <v>0.36689839254043322</v>
      </c>
      <c r="CM5" s="1166">
        <f t="shared" ref="CM5" si="54">CM3/CL3-1</f>
        <v>-0.29563314879548841</v>
      </c>
      <c r="CN5" s="1166">
        <f t="shared" ref="CN5" si="55">CN3/CM3-1</f>
        <v>0.27557916520276282</v>
      </c>
      <c r="CO5" s="1166">
        <f t="shared" ref="CO5" si="56">CO3/CN3-1</f>
        <v>-0.12107660408860954</v>
      </c>
      <c r="CP5" s="1166">
        <f t="shared" ref="CP5" si="57">CP3/CO3-1</f>
        <v>0.3758322175234976</v>
      </c>
      <c r="CQ5" s="1166"/>
      <c r="CR5" s="1166"/>
      <c r="CS5" s="612"/>
      <c r="CT5" s="1166">
        <v>0.36689839254043322</v>
      </c>
      <c r="CU5" s="694"/>
      <c r="CV5" s="7"/>
      <c r="CW5" s="7"/>
      <c r="CX5" s="7"/>
      <c r="CY5" s="7"/>
      <c r="CZ5" s="7"/>
      <c r="DA5" s="7"/>
      <c r="DB5" s="7"/>
      <c r="DC5" s="7"/>
      <c r="DD5" s="7"/>
      <c r="DE5" s="23"/>
      <c r="DF5" s="1234"/>
      <c r="DG5" s="1234"/>
      <c r="DH5" s="1234"/>
      <c r="DI5" s="1234"/>
      <c r="DJ5" s="1234"/>
      <c r="DK5" s="1234"/>
      <c r="DL5" s="1234"/>
      <c r="DM5" s="1234"/>
      <c r="DN5" s="1234"/>
      <c r="DO5" s="1234"/>
      <c r="DP5" s="1234"/>
      <c r="DQ5" s="1234"/>
      <c r="DR5" s="1234"/>
      <c r="DS5" s="1543"/>
      <c r="DT5" s="1543"/>
      <c r="DU5" s="1543"/>
      <c r="DV5" s="1543"/>
      <c r="DY5" s="1543"/>
      <c r="DZ5" s="1543"/>
    </row>
    <row r="6" spans="1:130">
      <c r="A6" s="84"/>
      <c r="B6" s="84"/>
      <c r="C6" s="65"/>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1283"/>
      <c r="AR6" s="1283"/>
      <c r="AS6" s="1283"/>
      <c r="AT6" s="1283"/>
      <c r="AU6" s="1283"/>
      <c r="AV6" s="1283"/>
      <c r="AW6" s="1283"/>
      <c r="AX6" s="1283"/>
      <c r="AY6" s="1283"/>
      <c r="AZ6" s="1283"/>
      <c r="BA6" s="1283"/>
      <c r="BB6" s="1283"/>
      <c r="BC6" s="1283"/>
      <c r="BD6" s="1283"/>
      <c r="BE6" s="1283"/>
      <c r="BF6" s="1283"/>
      <c r="BG6" s="1283"/>
      <c r="BH6" s="1283"/>
      <c r="BI6" s="1283"/>
      <c r="BJ6" s="1283"/>
      <c r="BK6" s="1283"/>
      <c r="BL6" s="1283"/>
      <c r="BM6" s="1283"/>
      <c r="BN6" s="1283"/>
      <c r="BO6" s="1283"/>
      <c r="BP6" s="1283"/>
      <c r="BQ6" s="1283"/>
      <c r="BR6" s="1283"/>
      <c r="BS6" s="1220"/>
      <c r="BT6" s="1220"/>
      <c r="BU6" s="1220"/>
      <c r="BV6" s="1220"/>
      <c r="BW6" s="1220"/>
      <c r="BX6" s="1220"/>
      <c r="BY6" s="1220"/>
      <c r="BZ6" s="1220"/>
      <c r="CA6" s="1220"/>
      <c r="CB6" s="1220"/>
      <c r="CC6" s="1220"/>
      <c r="CD6" s="1220"/>
      <c r="CE6" s="1220"/>
      <c r="CF6" s="1220"/>
      <c r="CG6" s="1220"/>
      <c r="CH6" s="1220"/>
      <c r="CI6" s="1220"/>
      <c r="CJ6" s="1220"/>
      <c r="CK6" s="1220"/>
      <c r="CL6" s="1220"/>
      <c r="CM6" s="1220"/>
      <c r="CN6" s="1220"/>
      <c r="CO6" s="1220"/>
      <c r="CP6" s="1220"/>
      <c r="CQ6" s="1166"/>
      <c r="CR6" s="613"/>
      <c r="CS6" s="613"/>
      <c r="CT6" s="1557"/>
      <c r="CU6" s="718"/>
      <c r="CV6" s="6"/>
      <c r="CW6" s="6"/>
      <c r="CX6" s="6"/>
      <c r="CY6" s="6"/>
      <c r="CZ6" s="6"/>
      <c r="DA6" s="6"/>
      <c r="DB6" s="6"/>
      <c r="DC6" s="6"/>
      <c r="DD6" s="6"/>
      <c r="DE6" s="6"/>
      <c r="DF6" s="682"/>
      <c r="DG6" s="1264"/>
      <c r="DH6" s="1264"/>
      <c r="DI6" s="1264"/>
      <c r="DJ6" s="1264"/>
      <c r="DK6" s="1264"/>
      <c r="DL6" s="1264"/>
      <c r="DM6" s="1218"/>
      <c r="DN6" s="1218"/>
      <c r="DO6" s="1218"/>
      <c r="DP6" s="1218"/>
      <c r="DQ6" s="1218"/>
      <c r="DR6" s="1218"/>
      <c r="DS6" s="1544"/>
      <c r="DT6" s="1544"/>
      <c r="DU6" s="1544"/>
      <c r="DV6" s="1544"/>
      <c r="DY6" s="1544"/>
      <c r="DZ6" s="1544"/>
    </row>
    <row r="7" spans="1:130">
      <c r="A7" s="64" t="s">
        <v>171</v>
      </c>
      <c r="B7" s="64"/>
      <c r="C7" s="136"/>
      <c r="D7" s="136"/>
      <c r="E7" s="136"/>
      <c r="F7" s="136"/>
      <c r="G7" s="136"/>
      <c r="H7" s="136"/>
      <c r="I7" s="136"/>
      <c r="J7" s="136">
        <v>552336</v>
      </c>
      <c r="K7" s="136">
        <v>332565</v>
      </c>
      <c r="L7" s="136">
        <v>486121</v>
      </c>
      <c r="M7" s="136">
        <v>431726</v>
      </c>
      <c r="N7" s="82">
        <v>692534</v>
      </c>
      <c r="O7" s="136">
        <v>411087</v>
      </c>
      <c r="P7" s="136">
        <v>602910</v>
      </c>
      <c r="Q7" s="136">
        <v>531794</v>
      </c>
      <c r="R7" s="136">
        <v>823372</v>
      </c>
      <c r="S7" s="136">
        <v>506525</v>
      </c>
      <c r="T7" s="136">
        <v>687179</v>
      </c>
      <c r="U7" s="136">
        <v>595212</v>
      </c>
      <c r="V7" s="136">
        <v>827297</v>
      </c>
      <c r="W7" s="136">
        <v>477646</v>
      </c>
      <c r="X7" s="136">
        <v>741885</v>
      </c>
      <c r="Y7" s="136">
        <v>646283</v>
      </c>
      <c r="Z7" s="136">
        <v>953299</v>
      </c>
      <c r="AA7" s="136">
        <v>579418</v>
      </c>
      <c r="AB7" s="136">
        <v>842527</v>
      </c>
      <c r="AC7" s="136">
        <v>755462</v>
      </c>
      <c r="AD7" s="64">
        <v>1095680.7559916228</v>
      </c>
      <c r="AE7" s="64">
        <v>687489.29923982057</v>
      </c>
      <c r="AF7" s="64">
        <v>997743.6670309609</v>
      </c>
      <c r="AG7" s="64">
        <v>873479.72997580003</v>
      </c>
      <c r="AH7" s="64">
        <v>1292613.0736297281</v>
      </c>
      <c r="AI7" s="64">
        <v>823199.37214588071</v>
      </c>
      <c r="AJ7" s="64">
        <v>1137234.5373971986</v>
      </c>
      <c r="AK7" s="64">
        <v>1067982.4786422679</v>
      </c>
      <c r="AL7" s="64">
        <v>1574704.768112096</v>
      </c>
      <c r="AM7" s="64">
        <v>966274.05601597833</v>
      </c>
      <c r="AN7" s="64">
        <v>1259455.0175637018</v>
      </c>
      <c r="AO7" s="64">
        <v>1205849.1874647916</v>
      </c>
      <c r="AP7" s="64">
        <v>1772329.1580664271</v>
      </c>
      <c r="AQ7" s="619">
        <f t="shared" ref="AQ7:BB7" si="58">+AQ30/(1+AQ20)</f>
        <v>1083003.1640689215</v>
      </c>
      <c r="AR7" s="619">
        <f t="shared" si="58"/>
        <v>1477482.7697021493</v>
      </c>
      <c r="AS7" s="619">
        <f t="shared" si="58"/>
        <v>1392237.2361294983</v>
      </c>
      <c r="AT7" s="619">
        <f t="shared" si="58"/>
        <v>2220220.2367163766</v>
      </c>
      <c r="AU7" s="619">
        <f t="shared" si="58"/>
        <v>1344113.5764455644</v>
      </c>
      <c r="AV7" s="619">
        <f t="shared" si="58"/>
        <v>1800615.6494386771</v>
      </c>
      <c r="AW7" s="619">
        <f t="shared" si="58"/>
        <v>1659858.9382070601</v>
      </c>
      <c r="AX7" s="619">
        <f t="shared" si="58"/>
        <v>2443011.2553276955</v>
      </c>
      <c r="AY7" s="619">
        <f t="shared" si="58"/>
        <v>1430875.3376821077</v>
      </c>
      <c r="AZ7" s="619">
        <f t="shared" si="58"/>
        <v>1947488.4376056804</v>
      </c>
      <c r="BA7" s="619">
        <f t="shared" si="58"/>
        <v>1675885.4640547496</v>
      </c>
      <c r="BB7" s="619">
        <f t="shared" si="58"/>
        <v>2553553.6596135087</v>
      </c>
      <c r="BC7" s="619">
        <v>1640494</v>
      </c>
      <c r="BD7" s="619">
        <v>2145733</v>
      </c>
      <c r="BE7" s="619">
        <v>1982620</v>
      </c>
      <c r="BF7" s="619">
        <v>2918819</v>
      </c>
      <c r="BG7" s="619">
        <v>1823658</v>
      </c>
      <c r="BH7" s="619">
        <v>2328836.5376799996</v>
      </c>
      <c r="BI7" s="619">
        <v>2234198</v>
      </c>
      <c r="BJ7" s="619">
        <v>3618440</v>
      </c>
      <c r="BK7" s="619">
        <v>2295081</v>
      </c>
      <c r="BL7" s="619">
        <v>2807673</v>
      </c>
      <c r="BM7" s="619">
        <v>2679703</v>
      </c>
      <c r="BN7" s="619">
        <v>3991792</v>
      </c>
      <c r="BO7" s="619">
        <v>2148076</v>
      </c>
      <c r="BP7" s="619">
        <v>747075</v>
      </c>
      <c r="BQ7" s="619">
        <v>2386644</v>
      </c>
      <c r="BR7" s="619">
        <f>9408371-BQ7-BP7-BO7</f>
        <v>4126576</v>
      </c>
      <c r="BS7" s="619">
        <v>1919010</v>
      </c>
      <c r="BT7" s="619">
        <v>3151300</v>
      </c>
      <c r="BU7" s="619">
        <v>3291853</v>
      </c>
      <c r="BV7" s="619">
        <v>4935284</v>
      </c>
      <c r="BW7" s="619">
        <v>3069733</v>
      </c>
      <c r="BX7" s="619">
        <v>4392869</v>
      </c>
      <c r="BY7" s="619">
        <v>3588817</v>
      </c>
      <c r="BZ7" s="619">
        <v>4908186</v>
      </c>
      <c r="CA7" s="619">
        <v>3164222</v>
      </c>
      <c r="CB7" s="619">
        <v>4170321</v>
      </c>
      <c r="CC7" s="619">
        <v>3673020</v>
      </c>
      <c r="CD7" s="619">
        <v>5779854</v>
      </c>
      <c r="CE7" s="619">
        <v>3176292</v>
      </c>
      <c r="CF7" s="619">
        <v>4010926</v>
      </c>
      <c r="CG7" s="619">
        <v>3845619</v>
      </c>
      <c r="CH7" s="619">
        <v>5442480</v>
      </c>
      <c r="CI7" s="619">
        <v>3586902</v>
      </c>
      <c r="CJ7" s="619">
        <v>4789516</v>
      </c>
      <c r="CK7" s="619">
        <v>4026865</v>
      </c>
      <c r="CL7" s="1167">
        <f>+CL30/(1+CL20)</f>
        <v>5727542.5607307982</v>
      </c>
      <c r="CM7" s="1167">
        <f t="shared" ref="CM7:CP7" si="59">+CM30/(1+CM20)</f>
        <v>3842726.1174773257</v>
      </c>
      <c r="CN7" s="1167">
        <f t="shared" si="59"/>
        <v>5043327.9406771557</v>
      </c>
      <c r="CO7" s="1167">
        <f t="shared" si="59"/>
        <v>4362807.1911394559</v>
      </c>
      <c r="CP7" s="1167">
        <f t="shared" si="59"/>
        <v>6207763.0399443367</v>
      </c>
      <c r="CQ7" s="1166"/>
      <c r="CR7" s="1167"/>
      <c r="CS7" s="614"/>
      <c r="CT7" s="1167">
        <v>5727542.5607307982</v>
      </c>
      <c r="CU7" s="1134">
        <f>+CK7/CT7-1</f>
        <v>-0.29692971159935</v>
      </c>
      <c r="CV7" s="128">
        <v>0</v>
      </c>
      <c r="CW7" s="63">
        <v>552336</v>
      </c>
      <c r="CX7" s="63">
        <v>1942946</v>
      </c>
      <c r="CY7" s="63">
        <v>2369163</v>
      </c>
      <c r="CZ7" s="63">
        <v>2616213</v>
      </c>
      <c r="DA7" s="63">
        <v>2819113</v>
      </c>
      <c r="DB7" s="63">
        <v>3273087.7559916228</v>
      </c>
      <c r="DC7" s="63">
        <v>3851325.7698763097</v>
      </c>
      <c r="DD7" s="63">
        <v>4603121.1562974434</v>
      </c>
      <c r="DE7" s="63">
        <v>5203907.4191108989</v>
      </c>
      <c r="DF7" s="1227">
        <f>+SUM(AQ7:AT7)</f>
        <v>6172943.4066169458</v>
      </c>
      <c r="DG7" s="1227">
        <f>+SUM(AU7:AX7)</f>
        <v>7247599.4194189981</v>
      </c>
      <c r="DH7" s="1227">
        <f>+SUM(AY7:BB7)</f>
        <v>7607802.8989560464</v>
      </c>
      <c r="DI7" s="1227">
        <f>+SUM(BC7:BF7)</f>
        <v>8687666</v>
      </c>
      <c r="DJ7" s="1227">
        <f>+SUM(BG7:BJ7)</f>
        <v>10005132.53768</v>
      </c>
      <c r="DK7" s="1227">
        <f>+SUM(BK7:BN7)</f>
        <v>11774249</v>
      </c>
      <c r="DL7" s="1227">
        <f>+SUM(BO7:BR7)</f>
        <v>9408371</v>
      </c>
      <c r="DM7" s="1227">
        <f>+SUM(BS7:BV7)</f>
        <v>13297447</v>
      </c>
      <c r="DN7" s="1227">
        <f>+SUM(BW7:BZ7)</f>
        <v>15959605</v>
      </c>
      <c r="DO7" s="1227">
        <f>+SUM(CA7:CD7)</f>
        <v>16787417</v>
      </c>
      <c r="DP7" s="1227">
        <f>+SUM(CE7:CH7)</f>
        <v>16475317</v>
      </c>
      <c r="DQ7" s="1227">
        <f>+SUM(CI7:CL7)</f>
        <v>18130825.5607308</v>
      </c>
      <c r="DR7" s="1227">
        <f>+SUM(CM7:CP7)</f>
        <v>19456624.289238274</v>
      </c>
      <c r="DS7" s="1545">
        <f>+DS30/(1+DS20)</f>
        <v>21110105.677278552</v>
      </c>
      <c r="DT7" s="1545">
        <f t="shared" ref="DT7:DV7" si="60">+DT30/(1+DT20)</f>
        <v>22738432.254074931</v>
      </c>
      <c r="DU7" s="1545">
        <f t="shared" si="60"/>
        <v>24470733.708531935</v>
      </c>
      <c r="DV7" s="1545">
        <f t="shared" si="60"/>
        <v>26322727.311797157</v>
      </c>
      <c r="DY7" s="1545">
        <v>19925845.620776907</v>
      </c>
      <c r="DZ7" s="1545">
        <v>21727261.254453134</v>
      </c>
    </row>
    <row r="8" spans="1:130" s="656" customFormat="1" ht="12">
      <c r="A8" s="64" t="s">
        <v>172</v>
      </c>
      <c r="B8" s="64"/>
      <c r="C8" s="64"/>
      <c r="D8" s="64"/>
      <c r="E8" s="64"/>
      <c r="F8" s="64"/>
      <c r="G8" s="64"/>
      <c r="H8" s="64"/>
      <c r="I8" s="64"/>
      <c r="J8" s="111">
        <v>0.96566726934011748</v>
      </c>
      <c r="K8" s="111">
        <v>0.95593400465130485</v>
      </c>
      <c r="L8" s="111">
        <v>0.95580154056142164</v>
      </c>
      <c r="M8" s="111">
        <v>0.94385244269405122</v>
      </c>
      <c r="N8" s="111">
        <v>0.95725264700190749</v>
      </c>
      <c r="O8" s="111">
        <v>0.91285521094483835</v>
      </c>
      <c r="P8" s="111">
        <v>0.92482348267192704</v>
      </c>
      <c r="Q8" s="111">
        <v>0.91195535861274213</v>
      </c>
      <c r="R8" s="111">
        <v>0.94343008193706512</v>
      </c>
      <c r="S8" s="111">
        <v>0.90782410767893473</v>
      </c>
      <c r="T8" s="111">
        <v>0.91982106310042178</v>
      </c>
      <c r="U8" s="111">
        <v>0.90052514444876475</v>
      </c>
      <c r="V8" s="111">
        <v>0.92929450643757538</v>
      </c>
      <c r="W8" s="111">
        <v>0.8887263931528514</v>
      </c>
      <c r="X8" s="111">
        <v>0.9231064984577253</v>
      </c>
      <c r="Y8" s="111">
        <v>0.90332757003663444</v>
      </c>
      <c r="Z8" s="111">
        <v>0.93105152383789358</v>
      </c>
      <c r="AA8" s="111">
        <v>0.89268541442950178</v>
      </c>
      <c r="AB8" s="111">
        <v>0.91711405158750892</v>
      </c>
      <c r="AC8" s="111">
        <v>0.90449901643505304</v>
      </c>
      <c r="AD8" s="111">
        <v>0.93150340345448768</v>
      </c>
      <c r="AE8" s="111">
        <v>0.88884388061860276</v>
      </c>
      <c r="AF8" s="111">
        <v>0.91561931402497632</v>
      </c>
      <c r="AG8" s="111">
        <v>0.90661731749319796</v>
      </c>
      <c r="AH8" s="111">
        <v>0.93179533141099324</v>
      </c>
      <c r="AI8" s="111">
        <v>0.89604842303550825</v>
      </c>
      <c r="AJ8" s="111">
        <v>0.91450897717483937</v>
      </c>
      <c r="AK8" s="111">
        <v>0.90821961448068855</v>
      </c>
      <c r="AL8" s="111">
        <v>0.93199227017030284</v>
      </c>
      <c r="AM8" s="111">
        <v>0.8948303699750414</v>
      </c>
      <c r="AN8" s="111">
        <v>0.91300404716421901</v>
      </c>
      <c r="AO8" s="111">
        <v>0.90852829089514175</v>
      </c>
      <c r="AP8" s="111">
        <v>0.93212291138617764</v>
      </c>
      <c r="AQ8" s="1230">
        <f t="shared" ref="AQ8:BJ8" si="61">1-AQ12</f>
        <v>0.89167894172115869</v>
      </c>
      <c r="AR8" s="1230">
        <f t="shared" si="61"/>
        <v>0.9063328909486702</v>
      </c>
      <c r="AS8" s="1230">
        <f t="shared" si="61"/>
        <v>0.89338964974289914</v>
      </c>
      <c r="AT8" s="1230">
        <f t="shared" si="61"/>
        <v>0.93374813865008865</v>
      </c>
      <c r="AU8" s="1230">
        <f t="shared" si="61"/>
        <v>0.88604925446761995</v>
      </c>
      <c r="AV8" s="1230">
        <f t="shared" si="61"/>
        <v>0.90313043811683269</v>
      </c>
      <c r="AW8" s="1230">
        <f t="shared" si="61"/>
        <v>0.90089281897734419</v>
      </c>
      <c r="AX8" s="1230">
        <f t="shared" si="61"/>
        <v>0.92871435903300759</v>
      </c>
      <c r="AY8" s="1230">
        <f t="shared" si="61"/>
        <v>0.88742176598931521</v>
      </c>
      <c r="AZ8" s="1230">
        <f t="shared" si="61"/>
        <v>0.90945392253832735</v>
      </c>
      <c r="BA8" s="683">
        <f t="shared" si="61"/>
        <v>0.89502292965265029</v>
      </c>
      <c r="BB8" s="683">
        <f t="shared" si="61"/>
        <v>0.92677917511413477</v>
      </c>
      <c r="BC8" s="683">
        <f t="shared" si="61"/>
        <v>0.89123183303779419</v>
      </c>
      <c r="BD8" s="1230">
        <f t="shared" si="61"/>
        <v>0.90627387659372638</v>
      </c>
      <c r="BE8" s="1230">
        <f t="shared" si="61"/>
        <v>0.88850189050106687</v>
      </c>
      <c r="BF8" s="1230">
        <f t="shared" si="61"/>
        <v>0.92265147089690192</v>
      </c>
      <c r="BG8" s="1230">
        <f t="shared" si="61"/>
        <v>0.88190721118529958</v>
      </c>
      <c r="BH8" s="1230">
        <f t="shared" si="61"/>
        <v>0.90135175630485076</v>
      </c>
      <c r="BI8" s="1230">
        <f t="shared" si="61"/>
        <v>0.9008844740232379</v>
      </c>
      <c r="BJ8" s="1230">
        <f t="shared" si="61"/>
        <v>0.9341979164084897</v>
      </c>
      <c r="BK8" s="1230">
        <f t="shared" ref="BK8:BV8" si="62">1-BK12</f>
        <v>0.89919850742233765</v>
      </c>
      <c r="BL8" s="1230">
        <f t="shared" si="62"/>
        <v>0.90637460874146458</v>
      </c>
      <c r="BM8" s="1230">
        <f t="shared" si="62"/>
        <v>0.89589184718269288</v>
      </c>
      <c r="BN8" s="1230">
        <f t="shared" si="62"/>
        <v>0.92494101803497253</v>
      </c>
      <c r="BO8" s="1230">
        <f t="shared" si="62"/>
        <v>0.86655836415060317</v>
      </c>
      <c r="BP8" s="1230">
        <f t="shared" si="62"/>
        <v>0.72423199853423181</v>
      </c>
      <c r="BQ8" s="1230">
        <f>1-BQ12</f>
        <v>0.94085784974620246</v>
      </c>
      <c r="BR8" s="1230">
        <f t="shared" si="62"/>
        <v>0.96088961394441352</v>
      </c>
      <c r="BS8" s="1230">
        <f t="shared" si="62"/>
        <v>0.89182983101794944</v>
      </c>
      <c r="BT8" s="1230">
        <f t="shared" si="62"/>
        <v>0.92691100942500215</v>
      </c>
      <c r="BU8" s="1230">
        <f t="shared" si="62"/>
        <v>0.92287767904402196</v>
      </c>
      <c r="BV8" s="1230">
        <f t="shared" si="62"/>
        <v>0.9360419519913028</v>
      </c>
      <c r="BW8" s="1230">
        <f t="shared" ref="BW8:CD8" si="63">1-BW12</f>
        <v>0.88110328318453257</v>
      </c>
      <c r="BX8" s="1230">
        <f t="shared" si="63"/>
        <v>0.89885999137330586</v>
      </c>
      <c r="BY8" s="1230">
        <f t="shared" si="63"/>
        <v>0.88937860763145082</v>
      </c>
      <c r="BZ8" s="1230">
        <f t="shared" si="63"/>
        <v>0.90600030789552666</v>
      </c>
      <c r="CA8" s="1230">
        <f t="shared" si="63"/>
        <v>0.85349253286889049</v>
      </c>
      <c r="CB8" s="1230">
        <f t="shared" si="63"/>
        <v>0.87927993991838715</v>
      </c>
      <c r="CC8" s="1230">
        <f t="shared" si="63"/>
        <v>0.87833132782504064</v>
      </c>
      <c r="CD8" s="1230">
        <f t="shared" si="63"/>
        <v>0.9165287610184446</v>
      </c>
      <c r="CE8" s="1230">
        <f t="shared" ref="CE8:CH8" si="64">1-CE12</f>
        <v>0.86669038749723049</v>
      </c>
      <c r="CF8" s="1230">
        <f t="shared" si="64"/>
        <v>0.89302077252286249</v>
      </c>
      <c r="CG8" s="1230">
        <f t="shared" si="64"/>
        <v>0.89014548816331784</v>
      </c>
      <c r="CH8" s="1230">
        <f t="shared" si="64"/>
        <v>0.91863008921673694</v>
      </c>
      <c r="CI8" s="1230">
        <f t="shared" ref="CI8:CL8" si="65">1-CI12</f>
        <v>0.86887396235519487</v>
      </c>
      <c r="CJ8" s="1230">
        <f t="shared" si="65"/>
        <v>0.8957111112690348</v>
      </c>
      <c r="CK8" s="1230">
        <f t="shared" si="65"/>
        <v>0.88508771717740964</v>
      </c>
      <c r="CL8" s="1168">
        <f t="shared" si="65"/>
        <v>0.92098241070582831</v>
      </c>
      <c r="CM8" s="1168">
        <f t="shared" ref="CM8:CP8" si="66">1-CM12</f>
        <v>0.87725031716303536</v>
      </c>
      <c r="CN8" s="1168">
        <f t="shared" si="66"/>
        <v>0.90259701659002289</v>
      </c>
      <c r="CO8" s="1168">
        <f t="shared" si="66"/>
        <v>0.8883654914239798</v>
      </c>
      <c r="CP8" s="1168">
        <f t="shared" si="66"/>
        <v>0.91874569178331633</v>
      </c>
      <c r="CQ8" s="1166"/>
      <c r="CR8" s="1168"/>
      <c r="CS8" s="675"/>
      <c r="CT8" s="1168">
        <v>0.92098241070582831</v>
      </c>
      <c r="CU8" s="1102"/>
      <c r="CV8" s="111">
        <v>0</v>
      </c>
      <c r="CW8" s="111">
        <v>0.35462748551142304</v>
      </c>
      <c r="CX8" s="111">
        <v>0.95365675149581408</v>
      </c>
      <c r="CY8" s="111">
        <v>0.92613116852199395</v>
      </c>
      <c r="CZ8" s="111">
        <v>0.91596495668951838</v>
      </c>
      <c r="DA8" s="111">
        <v>0.91515529260909434</v>
      </c>
      <c r="DB8" s="111">
        <v>0.91446908743756472</v>
      </c>
      <c r="DC8" s="111">
        <v>0.91397165009389381</v>
      </c>
      <c r="DD8" s="111">
        <v>0.91554016218169565</v>
      </c>
      <c r="DE8" s="111">
        <v>0.91490056080836712</v>
      </c>
      <c r="DF8" s="1230">
        <f t="shared" ref="DF8:DM8" si="67">1-DF12</f>
        <v>0.91034682880587892</v>
      </c>
      <c r="DG8" s="1230">
        <f t="shared" si="67"/>
        <v>0.90779804629119509</v>
      </c>
      <c r="DH8" s="1230">
        <f t="shared" si="67"/>
        <v>0.90768698658201452</v>
      </c>
      <c r="DI8" s="1230">
        <f t="shared" si="67"/>
        <v>0.90465630589888157</v>
      </c>
      <c r="DJ8" s="1230">
        <f t="shared" si="67"/>
        <v>0.90915338163305504</v>
      </c>
      <c r="DK8" s="1230">
        <f t="shared" si="67"/>
        <v>0.90872521375892323</v>
      </c>
      <c r="DL8" s="1230">
        <f t="shared" si="67"/>
        <v>0.90975926850812805</v>
      </c>
      <c r="DM8" s="1230">
        <f t="shared" si="67"/>
        <v>0.9240112623159431</v>
      </c>
      <c r="DN8" s="1230">
        <f t="shared" ref="DN8:DS8" si="68">1-DN12</f>
        <v>0.89541285361056955</v>
      </c>
      <c r="DO8" s="1230">
        <f t="shared" si="68"/>
        <v>0.88642574107538452</v>
      </c>
      <c r="DP8" s="1230">
        <f t="shared" ref="DP8:DQ8" si="69">1-DP12</f>
        <v>0.89534700781330789</v>
      </c>
      <c r="DQ8" s="1230">
        <f t="shared" si="69"/>
        <v>0.89561420652298307</v>
      </c>
      <c r="DR8" s="1230">
        <f t="shared" ref="DR8" si="70">1-DR12</f>
        <v>0.89927808160416522</v>
      </c>
      <c r="DS8" s="1168">
        <f t="shared" si="68"/>
        <v>0.90048703239893813</v>
      </c>
      <c r="DT8" s="1168">
        <f t="shared" ref="DT8:DV8" si="71">1-DT12</f>
        <v>0.90667510999630396</v>
      </c>
      <c r="DU8" s="1168">
        <f t="shared" si="71"/>
        <v>0.91238761558632486</v>
      </c>
      <c r="DV8" s="1168">
        <f t="shared" si="71"/>
        <v>0.91772209707347918</v>
      </c>
      <c r="DY8" s="1168">
        <v>0.90634049495656221</v>
      </c>
      <c r="DZ8" s="1168">
        <v>0.91340083425655128</v>
      </c>
    </row>
    <row r="9" spans="1:130">
      <c r="A9" s="133" t="s">
        <v>120</v>
      </c>
      <c r="B9" s="24"/>
      <c r="C9" s="24"/>
      <c r="D9" s="24"/>
      <c r="E9" s="24"/>
      <c r="F9" s="24"/>
      <c r="G9" s="24"/>
      <c r="H9" s="24"/>
      <c r="I9" s="24"/>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114">
        <f t="shared" ref="AQ9:BO9" si="72">+AQ7/AM7-1</f>
        <v>0.12080331384889509</v>
      </c>
      <c r="AR9" s="114">
        <f t="shared" si="72"/>
        <v>0.17311277425390048</v>
      </c>
      <c r="AS9" s="114">
        <f t="shared" si="72"/>
        <v>0.15456995004207275</v>
      </c>
      <c r="AT9" s="114">
        <f t="shared" si="72"/>
        <v>0.25271325961741153</v>
      </c>
      <c r="AU9" s="114">
        <f t="shared" si="72"/>
        <v>0.2410984760151873</v>
      </c>
      <c r="AV9" s="114">
        <f t="shared" si="72"/>
        <v>0.21870500716679708</v>
      </c>
      <c r="AW9" s="114">
        <f t="shared" si="72"/>
        <v>0.19222420944692287</v>
      </c>
      <c r="AX9" s="114">
        <f t="shared" si="72"/>
        <v>0.10034635975610184</v>
      </c>
      <c r="AY9" s="114">
        <f t="shared" si="72"/>
        <v>6.454942704022093E-2</v>
      </c>
      <c r="AZ9" s="114">
        <f t="shared" si="72"/>
        <v>8.1568094897314314E-2</v>
      </c>
      <c r="BA9" s="114">
        <f t="shared" si="72"/>
        <v>9.65535412605667E-3</v>
      </c>
      <c r="BB9" s="114">
        <f t="shared" si="72"/>
        <v>4.5248422022102108E-2</v>
      </c>
      <c r="BC9" s="114">
        <f t="shared" si="72"/>
        <v>0.146496802899305</v>
      </c>
      <c r="BD9" s="114">
        <f t="shared" si="72"/>
        <v>0.10179498813253507</v>
      </c>
      <c r="BE9" s="114">
        <f t="shared" si="72"/>
        <v>0.18302834085279085</v>
      </c>
      <c r="BF9" s="114">
        <f t="shared" si="72"/>
        <v>0.14304196781272083</v>
      </c>
      <c r="BG9" s="114">
        <f t="shared" si="72"/>
        <v>0.1116517341727552</v>
      </c>
      <c r="BH9" s="114">
        <f t="shared" si="72"/>
        <v>8.533379394360785E-2</v>
      </c>
      <c r="BI9" s="114">
        <f t="shared" si="72"/>
        <v>0.12689168877545876</v>
      </c>
      <c r="BJ9" s="114">
        <f t="shared" si="72"/>
        <v>0.23969317727478123</v>
      </c>
      <c r="BK9" s="114">
        <f t="shared" si="72"/>
        <v>0.25850406161681638</v>
      </c>
      <c r="BL9" s="114">
        <f t="shared" si="72"/>
        <v>0.20561188154365695</v>
      </c>
      <c r="BM9" s="114">
        <f t="shared" si="72"/>
        <v>0.19940264918328632</v>
      </c>
      <c r="BN9" s="114">
        <f t="shared" si="72"/>
        <v>0.10318037607366715</v>
      </c>
      <c r="BO9" s="114">
        <f t="shared" si="72"/>
        <v>-6.4052205564858022E-2</v>
      </c>
      <c r="BP9" s="114">
        <f>+BP7/BL7-1</f>
        <v>-0.73391666337212347</v>
      </c>
      <c r="BQ9" s="114">
        <f t="shared" ref="BQ9:BV9" si="73">+BQ7/BM7-1</f>
        <v>-0.10936249278371524</v>
      </c>
      <c r="BR9" s="114">
        <f t="shared" si="73"/>
        <v>3.3765286367626324E-2</v>
      </c>
      <c r="BS9" s="114">
        <f t="shared" si="73"/>
        <v>-0.10663775397146102</v>
      </c>
      <c r="BT9" s="114">
        <f t="shared" si="73"/>
        <v>3.2181842519158046</v>
      </c>
      <c r="BU9" s="114">
        <f t="shared" si="73"/>
        <v>0.37928111607763881</v>
      </c>
      <c r="BV9" s="114">
        <f t="shared" si="73"/>
        <v>0.19597554970513076</v>
      </c>
      <c r="BW9" s="114">
        <f t="shared" ref="BW9:CD9" si="74">+BW7/BS7-1</f>
        <v>0.5996440873158555</v>
      </c>
      <c r="BX9" s="114">
        <f t="shared" si="74"/>
        <v>0.39398629137181485</v>
      </c>
      <c r="BY9" s="114">
        <f>+BY7/BU7-1</f>
        <v>9.0211804719104949E-2</v>
      </c>
      <c r="BZ9" s="114">
        <f t="shared" si="74"/>
        <v>-5.490666798506405E-3</v>
      </c>
      <c r="CA9" s="114">
        <f t="shared" si="74"/>
        <v>3.0780852927599911E-2</v>
      </c>
      <c r="CB9" s="114">
        <f t="shared" si="74"/>
        <v>-5.0661196589290469E-2</v>
      </c>
      <c r="CC9" s="114">
        <f>+CC7/BY7-1</f>
        <v>2.3462606201430702E-2</v>
      </c>
      <c r="CD9" s="114">
        <f t="shared" si="74"/>
        <v>0.17759473662978542</v>
      </c>
      <c r="CE9" s="114">
        <f t="shared" ref="CE9" si="75">+CE7/CA7-1</f>
        <v>3.8145237597109194E-3</v>
      </c>
      <c r="CF9" s="114">
        <f t="shared" ref="CF9" si="76">+CF7/CB7-1</f>
        <v>-3.822127840998335E-2</v>
      </c>
      <c r="CG9" s="114">
        <f t="shared" ref="CG9:CH9" si="77">+CG7/CC7-1</f>
        <v>4.6991031902902769E-2</v>
      </c>
      <c r="CH9" s="114">
        <f t="shared" si="77"/>
        <v>-5.8370678567313261E-2</v>
      </c>
      <c r="CI9" s="114">
        <f t="shared" ref="CI9" si="78">+CI7/CE7-1</f>
        <v>0.12927337914776094</v>
      </c>
      <c r="CJ9" s="114">
        <f t="shared" ref="CJ9" si="79">+CJ7/CF7-1</f>
        <v>0.19411726868059898</v>
      </c>
      <c r="CK9" s="114">
        <f t="shared" ref="CK9" si="80">+CK7/CG7-1</f>
        <v>4.7130513969272592E-2</v>
      </c>
      <c r="CL9" s="168">
        <f t="shared" ref="CL9" si="81">+CL7/CH7-1</f>
        <v>5.2377328117108046E-2</v>
      </c>
      <c r="CM9" s="168">
        <f t="shared" ref="CM9" si="82">+CM7/CI7-1</f>
        <v>7.1321747144841297E-2</v>
      </c>
      <c r="CN9" s="168">
        <f t="shared" ref="CN9" si="83">+CN7/CJ7-1</f>
        <v>5.2993233695671105E-2</v>
      </c>
      <c r="CO9" s="168">
        <f t="shared" ref="CO9" si="84">+CO7/CK7-1</f>
        <v>8.3425242996588045E-2</v>
      </c>
      <c r="CP9" s="168">
        <f t="shared" ref="CP9" si="85">+CP7/CL7-1</f>
        <v>8.3844069969209567E-2</v>
      </c>
      <c r="CQ9" s="168"/>
      <c r="CR9" s="168"/>
      <c r="CS9" s="168"/>
      <c r="CT9" s="168">
        <v>5.2377328117108046E-2</v>
      </c>
      <c r="CU9" s="727"/>
      <c r="CV9" s="7"/>
      <c r="CW9" s="7"/>
      <c r="CX9" s="7"/>
      <c r="CY9" s="7"/>
      <c r="CZ9" s="7"/>
      <c r="DA9" s="7"/>
      <c r="DB9" s="7"/>
      <c r="DC9" s="7"/>
      <c r="DD9" s="7"/>
      <c r="DE9" s="7"/>
      <c r="DF9" s="114"/>
      <c r="DG9" s="114">
        <f>+DG7/DF7-1</f>
        <v>0.17409134379072699</v>
      </c>
      <c r="DH9" s="114">
        <f t="shared" ref="DH9:DM9" si="86">+DH7/DG7-1</f>
        <v>4.9699694849570486E-2</v>
      </c>
      <c r="DI9" s="114">
        <f t="shared" si="86"/>
        <v>0.14194151917265541</v>
      </c>
      <c r="DJ9" s="114">
        <f t="shared" si="86"/>
        <v>0.15164792680565764</v>
      </c>
      <c r="DK9" s="114">
        <f t="shared" si="86"/>
        <v>0.17682089224279518</v>
      </c>
      <c r="DL9" s="114">
        <f t="shared" si="86"/>
        <v>-0.2009366372326592</v>
      </c>
      <c r="DM9" s="114">
        <f t="shared" si="86"/>
        <v>0.41336337608285212</v>
      </c>
      <c r="DN9" s="114">
        <f t="shared" ref="DN9:DS9" si="87">+DN7/DM7-1</f>
        <v>0.20020068513903455</v>
      </c>
      <c r="DO9" s="114">
        <f t="shared" si="87"/>
        <v>5.1869203529786523E-2</v>
      </c>
      <c r="DP9" s="114">
        <f t="shared" si="87"/>
        <v>-1.8591305618964493E-2</v>
      </c>
      <c r="DQ9" s="114">
        <f t="shared" si="87"/>
        <v>0.10048417039446345</v>
      </c>
      <c r="DR9" s="114">
        <f t="shared" si="87"/>
        <v>7.3124013248409225E-2</v>
      </c>
      <c r="DS9" s="1546">
        <f t="shared" si="87"/>
        <v>8.4982953027203267E-2</v>
      </c>
      <c r="DT9" s="1546">
        <f t="shared" ref="DT9:DV9" si="88">+DT7/DS7-1</f>
        <v>7.7134932514762111E-2</v>
      </c>
      <c r="DU9" s="1546">
        <f t="shared" si="88"/>
        <v>7.6183856261530902E-2</v>
      </c>
      <c r="DV9" s="1546">
        <f t="shared" si="88"/>
        <v>7.5681980986925135E-2</v>
      </c>
      <c r="DY9" s="1546">
        <v>8.5424110848176804E-2</v>
      </c>
      <c r="DZ9" s="1546">
        <v>9.0405981656199952E-2</v>
      </c>
    </row>
    <row r="10" spans="1:130">
      <c r="A10" s="133"/>
      <c r="B10" s="24"/>
      <c r="C10" s="24"/>
      <c r="D10" s="24"/>
      <c r="E10" s="24"/>
      <c r="F10" s="24"/>
      <c r="G10" s="24"/>
      <c r="H10" s="24"/>
      <c r="I10" s="24"/>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114"/>
      <c r="AR10" s="114"/>
      <c r="AS10" s="114"/>
      <c r="AT10" s="114"/>
      <c r="AU10" s="114"/>
      <c r="AV10" s="114"/>
      <c r="AW10" s="114"/>
      <c r="AX10" s="114"/>
      <c r="AY10" s="114"/>
      <c r="AZ10" s="114"/>
      <c r="BA10" s="114"/>
      <c r="BB10" s="114"/>
      <c r="BC10" s="114"/>
      <c r="BD10" s="114"/>
      <c r="BE10" s="114"/>
      <c r="BF10" s="114"/>
      <c r="BG10" s="114"/>
      <c r="BH10" s="114"/>
      <c r="BI10" s="114"/>
      <c r="BJ10" s="114"/>
      <c r="BK10" s="114"/>
      <c r="BL10" s="114"/>
      <c r="BM10" s="114"/>
      <c r="BN10" s="114"/>
      <c r="BO10" s="114"/>
      <c r="BP10" s="114"/>
      <c r="BQ10" s="114"/>
      <c r="BR10" s="114"/>
      <c r="BS10" s="114">
        <f>+BS7/BK7-1</f>
        <v>-0.16385957619796421</v>
      </c>
      <c r="BT10" s="114">
        <f>+BT7/BL7-1</f>
        <v>0.12238854026092061</v>
      </c>
      <c r="BU10" s="114">
        <f>+BU7/BM7-1</f>
        <v>0.22843949497388327</v>
      </c>
      <c r="BV10" s="114">
        <f>+BV7/BN7-1</f>
        <v>0.23635800662960404</v>
      </c>
      <c r="BW10" s="114">
        <f>+BW7/BK7-1</f>
        <v>0.33752708510070017</v>
      </c>
      <c r="BX10" s="114">
        <f>+BX7/BL7-1</f>
        <v>0.56459423871654568</v>
      </c>
      <c r="BY10" s="114">
        <f>+BY7/BM7-1</f>
        <v>0.33925923880370323</v>
      </c>
      <c r="BZ10" s="114">
        <f>+BZ7/BN7-1</f>
        <v>0.22956957677153511</v>
      </c>
      <c r="CA10" s="114">
        <f>+CA7/BK7-1</f>
        <v>0.37869730959386616</v>
      </c>
      <c r="CB10" s="114"/>
      <c r="CC10" s="114"/>
      <c r="CD10" s="114"/>
      <c r="CE10" s="114"/>
      <c r="CF10" s="114"/>
      <c r="CG10" s="114"/>
      <c r="CH10" s="114"/>
      <c r="CI10" s="114"/>
      <c r="CJ10" s="114"/>
      <c r="CK10" s="114"/>
      <c r="CL10" s="168"/>
      <c r="CM10" s="168"/>
      <c r="CN10" s="168"/>
      <c r="CO10" s="168"/>
      <c r="CP10" s="168"/>
      <c r="CQ10" s="168"/>
      <c r="CR10" s="168"/>
      <c r="CS10" s="168"/>
      <c r="CT10" s="168"/>
      <c r="CU10" s="727"/>
      <c r="CV10" s="7"/>
      <c r="CW10" s="7"/>
      <c r="CX10" s="7"/>
      <c r="CY10" s="7"/>
      <c r="CZ10" s="7"/>
      <c r="DA10" s="7"/>
      <c r="DB10" s="7"/>
      <c r="DC10" s="7"/>
      <c r="DD10" s="7"/>
      <c r="DE10" s="7"/>
      <c r="DF10" s="114"/>
      <c r="DG10" s="114"/>
      <c r="DH10" s="114"/>
      <c r="DI10" s="114"/>
      <c r="DJ10" s="114"/>
      <c r="DK10" s="114"/>
      <c r="DL10" s="114"/>
      <c r="DM10" s="114"/>
      <c r="DN10" s="114"/>
      <c r="DO10" s="114"/>
      <c r="DP10" s="114"/>
      <c r="DQ10" s="114"/>
      <c r="DR10" s="114"/>
      <c r="DS10" s="1546"/>
      <c r="DT10" s="1546"/>
      <c r="DU10" s="1546"/>
      <c r="DV10" s="1546"/>
      <c r="DY10" s="1546"/>
      <c r="DZ10" s="1546"/>
    </row>
    <row r="11" spans="1:130">
      <c r="A11" s="64" t="s">
        <v>173</v>
      </c>
      <c r="B11" s="64"/>
      <c r="C11" s="64"/>
      <c r="D11" s="64"/>
      <c r="E11" s="64"/>
      <c r="F11" s="64"/>
      <c r="G11" s="64"/>
      <c r="H11" s="64"/>
      <c r="I11" s="64"/>
      <c r="J11" s="82">
        <v>19637.40899566298</v>
      </c>
      <c r="K11" s="82">
        <v>15330.355099654013</v>
      </c>
      <c r="L11" s="82">
        <v>22479.352029628186</v>
      </c>
      <c r="M11" s="82">
        <v>25682.362230560564</v>
      </c>
      <c r="N11" s="82">
        <v>30926</v>
      </c>
      <c r="O11" s="82">
        <v>39244</v>
      </c>
      <c r="P11" s="82">
        <v>49009</v>
      </c>
      <c r="Q11" s="82">
        <v>51342</v>
      </c>
      <c r="R11" s="136">
        <v>49371</v>
      </c>
      <c r="S11" s="136">
        <v>51430</v>
      </c>
      <c r="T11" s="136">
        <v>59900</v>
      </c>
      <c r="U11" s="136">
        <v>65749</v>
      </c>
      <c r="V11" s="136">
        <v>62945</v>
      </c>
      <c r="W11" s="136">
        <v>59804</v>
      </c>
      <c r="X11" s="136">
        <v>61798</v>
      </c>
      <c r="Y11" s="136">
        <v>69164</v>
      </c>
      <c r="Z11" s="136">
        <v>70596</v>
      </c>
      <c r="AA11" s="136">
        <v>69655</v>
      </c>
      <c r="AB11" s="136">
        <v>76145</v>
      </c>
      <c r="AC11" s="136">
        <v>79765</v>
      </c>
      <c r="AD11" s="64">
        <v>80569.112691929098</v>
      </c>
      <c r="AE11" s="64">
        <v>85975.326248013356</v>
      </c>
      <c r="AF11" s="64">
        <v>91949.016104974333</v>
      </c>
      <c r="AG11" s="64">
        <v>89969.470830309088</v>
      </c>
      <c r="AH11" s="64">
        <v>94615.462568621355</v>
      </c>
      <c r="AI11" s="64">
        <v>95500.277318553766</v>
      </c>
      <c r="AJ11" s="64">
        <v>106312.0715277542</v>
      </c>
      <c r="AK11" s="64">
        <v>107925.26615239856</v>
      </c>
      <c r="AL11" s="64">
        <v>114906.6358798603</v>
      </c>
      <c r="AM11" s="64">
        <v>113566.42374213449</v>
      </c>
      <c r="AN11" s="64">
        <v>120007.67099234115</v>
      </c>
      <c r="AO11" s="64">
        <v>121406.33066190287</v>
      </c>
      <c r="AP11" s="64">
        <v>129060.81574160092</v>
      </c>
      <c r="AQ11" s="619">
        <f t="shared" ref="AQ11:BB11" si="89">AQ34/(1+AQ23)</f>
        <v>131563.10344711988</v>
      </c>
      <c r="AR11" s="619">
        <f t="shared" si="89"/>
        <v>152693.93960346709</v>
      </c>
      <c r="AS11" s="619">
        <f t="shared" si="89"/>
        <v>166139.04070576417</v>
      </c>
      <c r="AT11" s="619">
        <f t="shared" si="89"/>
        <v>157530.40589923202</v>
      </c>
      <c r="AU11" s="619">
        <f t="shared" si="89"/>
        <v>172860.30471093065</v>
      </c>
      <c r="AV11" s="619">
        <f t="shared" si="89"/>
        <v>193133.61804613998</v>
      </c>
      <c r="AW11" s="619">
        <f t="shared" si="89"/>
        <v>182601.01179150079</v>
      </c>
      <c r="AX11" s="619">
        <f t="shared" si="89"/>
        <v>187519.03804625245</v>
      </c>
      <c r="AY11" s="619">
        <f t="shared" si="89"/>
        <v>181520.6982512004</v>
      </c>
      <c r="AZ11" s="619">
        <f t="shared" si="89"/>
        <v>193893.75817412505</v>
      </c>
      <c r="BA11" s="619">
        <f t="shared" si="89"/>
        <v>196564.28950088771</v>
      </c>
      <c r="BB11" s="619">
        <f t="shared" si="89"/>
        <v>201745.25967763012</v>
      </c>
      <c r="BC11" s="619">
        <v>200210</v>
      </c>
      <c r="BD11" s="619">
        <v>221910</v>
      </c>
      <c r="BE11" s="619">
        <v>248799</v>
      </c>
      <c r="BF11" s="619">
        <v>244693</v>
      </c>
      <c r="BG11" s="619">
        <v>244199</v>
      </c>
      <c r="BH11" s="619">
        <v>254879</v>
      </c>
      <c r="BI11" s="619">
        <v>245807</v>
      </c>
      <c r="BJ11" s="619">
        <v>254872</v>
      </c>
      <c r="BK11" s="619">
        <v>257282</v>
      </c>
      <c r="BL11" s="619">
        <v>290023</v>
      </c>
      <c r="BM11" s="619">
        <v>311398</v>
      </c>
      <c r="BN11" s="619">
        <v>323934</v>
      </c>
      <c r="BO11" s="619">
        <v>330783</v>
      </c>
      <c r="BP11" s="619">
        <v>284466</v>
      </c>
      <c r="BQ11" s="619">
        <v>150024</v>
      </c>
      <c r="BR11" s="619">
        <f>933234-BQ11-BP11-BO11</f>
        <v>167961</v>
      </c>
      <c r="BS11" s="619">
        <v>232757</v>
      </c>
      <c r="BT11" s="619">
        <v>248487</v>
      </c>
      <c r="BU11" s="619">
        <v>275091</v>
      </c>
      <c r="BV11" s="619">
        <v>337219</v>
      </c>
      <c r="BW11" s="619">
        <v>414232</v>
      </c>
      <c r="BX11" s="619">
        <v>494287</v>
      </c>
      <c r="BY11" s="619">
        <v>446379</v>
      </c>
      <c r="BZ11" s="619">
        <v>509236</v>
      </c>
      <c r="CA11" s="619">
        <v>543159</v>
      </c>
      <c r="CB11" s="619">
        <v>572561</v>
      </c>
      <c r="CC11" s="619">
        <v>508796</v>
      </c>
      <c r="CD11" s="619">
        <v>526390</v>
      </c>
      <c r="CE11" s="619">
        <v>488560</v>
      </c>
      <c r="CF11" s="619">
        <v>480488</v>
      </c>
      <c r="CG11" s="619">
        <v>474595</v>
      </c>
      <c r="CH11" s="619">
        <v>482081</v>
      </c>
      <c r="CI11" s="619">
        <v>541317</v>
      </c>
      <c r="CJ11" s="619">
        <v>557650</v>
      </c>
      <c r="CK11" s="619">
        <v>522814</v>
      </c>
      <c r="CL11" s="1167">
        <f t="shared" ref="CL11:CP11" si="90">CL34/(1+CL23)</f>
        <v>491406.35094416823</v>
      </c>
      <c r="CM11" s="1167">
        <f t="shared" si="90"/>
        <v>537695.34524089436</v>
      </c>
      <c r="CN11" s="1167">
        <f t="shared" si="90"/>
        <v>544246.41197321762</v>
      </c>
      <c r="CO11" s="1167">
        <f t="shared" si="90"/>
        <v>548242.6337993989</v>
      </c>
      <c r="CP11" s="1167">
        <f t="shared" si="90"/>
        <v>549017.53106967243</v>
      </c>
      <c r="CQ11" s="1167"/>
      <c r="CR11" s="1167"/>
      <c r="CS11" s="614"/>
      <c r="CT11" s="1167">
        <v>491406.35094416823</v>
      </c>
      <c r="CU11" s="1134">
        <f>+CK11/CT11-1</f>
        <v>6.3913803709468642E-2</v>
      </c>
      <c r="CV11" s="128">
        <v>0</v>
      </c>
      <c r="CW11" s="63">
        <v>19637.40899566298</v>
      </c>
      <c r="CX11" s="63">
        <v>95132</v>
      </c>
      <c r="CY11" s="63">
        <v>188966</v>
      </c>
      <c r="CZ11" s="63">
        <v>240024</v>
      </c>
      <c r="DA11" s="63">
        <v>261362</v>
      </c>
      <c r="DB11" s="63">
        <v>306134.1126919291</v>
      </c>
      <c r="DC11" s="63">
        <v>362509.27575191809</v>
      </c>
      <c r="DD11" s="63">
        <v>424644.25087856682</v>
      </c>
      <c r="DE11" s="63">
        <v>484041.24113797944</v>
      </c>
      <c r="DF11" s="1227">
        <f>+SUM(AQ11:AT11)</f>
        <v>607926.48965558317</v>
      </c>
      <c r="DG11" s="1227">
        <f>+SUM(AU11:AX11)</f>
        <v>736113.97259482392</v>
      </c>
      <c r="DH11" s="1227">
        <f>+SUM(AY11:BB11)</f>
        <v>773724.00560384337</v>
      </c>
      <c r="DI11" s="1227">
        <f>+SUM(BC11:BF11)</f>
        <v>915612</v>
      </c>
      <c r="DJ11" s="1227">
        <f>+SUM(BG11:BJ11)</f>
        <v>999757</v>
      </c>
      <c r="DK11" s="1227">
        <f>+SUM(BK11:BN11)</f>
        <v>1182637</v>
      </c>
      <c r="DL11" s="1227">
        <f>+SUM(BO11:BR11)</f>
        <v>933234</v>
      </c>
      <c r="DM11" s="1227">
        <f>+SUM(BS11:BV11)</f>
        <v>1093554</v>
      </c>
      <c r="DN11" s="1227">
        <f>+SUM(BW11:BZ11)</f>
        <v>1864134</v>
      </c>
      <c r="DO11" s="1227">
        <f>+SUM(CA11:CD11)</f>
        <v>2150906</v>
      </c>
      <c r="DP11" s="1227">
        <f>+SUM(CE11:CH11)</f>
        <v>1925724</v>
      </c>
      <c r="DQ11" s="1227">
        <f>+SUM(CI11:CL11)</f>
        <v>2113187.3509441684</v>
      </c>
      <c r="DR11" s="1227">
        <f>+SUM(CM11:CP11)</f>
        <v>2179201.9220831832</v>
      </c>
      <c r="DS11" s="1545">
        <f>DS34/(1+DS23)</f>
        <v>2332881.1928824517</v>
      </c>
      <c r="DT11" s="1545">
        <f t="shared" ref="DT11:DV11" si="91">DT34/(1+DT23)</f>
        <v>2340487.4199940134</v>
      </c>
      <c r="DU11" s="1545">
        <f t="shared" si="91"/>
        <v>2349811.9570362903</v>
      </c>
      <c r="DV11" s="1545">
        <f t="shared" si="91"/>
        <v>2359950.5879043005</v>
      </c>
      <c r="DY11" s="1545">
        <v>2059099.0348537397</v>
      </c>
      <c r="DZ11" s="1545">
        <v>2059952.901244137</v>
      </c>
    </row>
    <row r="12" spans="1:130" s="656" customFormat="1" ht="12">
      <c r="A12" s="64" t="s">
        <v>172</v>
      </c>
      <c r="B12" s="64"/>
      <c r="C12" s="62"/>
      <c r="D12" s="64"/>
      <c r="E12" s="64"/>
      <c r="F12" s="64"/>
      <c r="G12" s="64"/>
      <c r="H12" s="64"/>
      <c r="I12" s="64"/>
      <c r="J12" s="111">
        <v>3.433273065988262E-2</v>
      </c>
      <c r="K12" s="111">
        <v>4.4065995348695187E-2</v>
      </c>
      <c r="L12" s="111">
        <v>4.4198459438578343E-2</v>
      </c>
      <c r="M12" s="111">
        <v>5.6147557305948753E-2</v>
      </c>
      <c r="N12" s="111">
        <v>4.27473529980925E-2</v>
      </c>
      <c r="O12" s="111">
        <v>8.7144789055161653E-2</v>
      </c>
      <c r="P12" s="111">
        <v>7.517651732807297E-2</v>
      </c>
      <c r="Q12" s="111">
        <v>8.8044641387257858E-2</v>
      </c>
      <c r="R12" s="111">
        <v>5.6569918062934904E-2</v>
      </c>
      <c r="S12" s="111">
        <v>9.2175892321065322E-2</v>
      </c>
      <c r="T12" s="111">
        <v>8.0178936899578224E-2</v>
      </c>
      <c r="U12" s="111">
        <v>9.9474855551235253E-2</v>
      </c>
      <c r="V12" s="111">
        <v>7.0705493562424601E-2</v>
      </c>
      <c r="W12" s="111">
        <v>0.11127360684714857</v>
      </c>
      <c r="X12" s="111">
        <v>7.6893501542274756E-2</v>
      </c>
      <c r="Y12" s="111">
        <v>9.6672429963365558E-2</v>
      </c>
      <c r="Z12" s="111">
        <v>6.8948476162106462E-2</v>
      </c>
      <c r="AA12" s="111">
        <v>0.10731458557049824</v>
      </c>
      <c r="AB12" s="111">
        <v>8.288594841249107E-2</v>
      </c>
      <c r="AC12" s="111">
        <v>9.5500983564947017E-2</v>
      </c>
      <c r="AD12" s="111">
        <v>6.8496596545512323E-2</v>
      </c>
      <c r="AE12" s="111">
        <v>0.1111561193813972</v>
      </c>
      <c r="AF12" s="111">
        <v>8.438068597502367E-2</v>
      </c>
      <c r="AG12" s="111">
        <v>9.3382682506802081E-2</v>
      </c>
      <c r="AH12" s="111">
        <v>6.8204668589006728E-2</v>
      </c>
      <c r="AI12" s="111">
        <v>0.10395157696449177</v>
      </c>
      <c r="AJ12" s="111">
        <v>8.5491022825160606E-2</v>
      </c>
      <c r="AK12" s="111">
        <v>9.1780385519311419E-2</v>
      </c>
      <c r="AL12" s="111">
        <v>6.8007729829697189E-2</v>
      </c>
      <c r="AM12" s="111">
        <v>0.10516963002495856</v>
      </c>
      <c r="AN12" s="111">
        <v>8.6995952835780987E-2</v>
      </c>
      <c r="AO12" s="111">
        <v>9.1471709104858218E-2</v>
      </c>
      <c r="AP12" s="111">
        <v>6.787708861382237E-2</v>
      </c>
      <c r="AQ12" s="1230">
        <f t="shared" ref="AQ12:BV12" si="92">AQ11/AQ3</f>
        <v>0.10832105827884131</v>
      </c>
      <c r="AR12" s="1230">
        <f t="shared" si="92"/>
        <v>9.3667109051329786E-2</v>
      </c>
      <c r="AS12" s="1230">
        <f t="shared" si="92"/>
        <v>0.1066103502571009</v>
      </c>
      <c r="AT12" s="1230">
        <f t="shared" si="92"/>
        <v>6.6251861349911387E-2</v>
      </c>
      <c r="AU12" s="1230">
        <f t="shared" si="92"/>
        <v>0.11395074553238001</v>
      </c>
      <c r="AV12" s="1230">
        <f t="shared" si="92"/>
        <v>9.6869561883167296E-2</v>
      </c>
      <c r="AW12" s="1230">
        <f t="shared" si="92"/>
        <v>9.9107181022655838E-2</v>
      </c>
      <c r="AX12" s="1230">
        <f t="shared" si="92"/>
        <v>7.12856409669924E-2</v>
      </c>
      <c r="AY12" s="1230">
        <f t="shared" si="92"/>
        <v>0.11257823401068474</v>
      </c>
      <c r="AZ12" s="1230">
        <f t="shared" si="92"/>
        <v>9.0546077461672703E-2</v>
      </c>
      <c r="BA12" s="683">
        <f t="shared" si="92"/>
        <v>0.10497707034734968</v>
      </c>
      <c r="BB12" s="683">
        <f t="shared" si="92"/>
        <v>7.3220824885865204E-2</v>
      </c>
      <c r="BC12" s="683">
        <f t="shared" si="92"/>
        <v>0.10876816696220576</v>
      </c>
      <c r="BD12" s="1230">
        <f t="shared" si="92"/>
        <v>9.3726123406273662E-2</v>
      </c>
      <c r="BE12" s="1230">
        <f t="shared" si="92"/>
        <v>0.11149810949893318</v>
      </c>
      <c r="BF12" s="1230">
        <f t="shared" si="92"/>
        <v>7.7348529103098071E-2</v>
      </c>
      <c r="BG12" s="1230">
        <f t="shared" si="92"/>
        <v>0.11809278881470044</v>
      </c>
      <c r="BH12" s="1230">
        <f t="shared" si="92"/>
        <v>9.8648243695149185E-2</v>
      </c>
      <c r="BI12" s="1230">
        <f t="shared" si="92"/>
        <v>9.9115525976762139E-2</v>
      </c>
      <c r="BJ12" s="1230">
        <f t="shared" si="92"/>
        <v>6.580208359151031E-2</v>
      </c>
      <c r="BK12" s="1230">
        <f t="shared" si="92"/>
        <v>0.10080149257766234</v>
      </c>
      <c r="BL12" s="1230">
        <f>BL11/BL3</f>
        <v>9.3625391258535376E-2</v>
      </c>
      <c r="BM12" s="1230">
        <f t="shared" si="92"/>
        <v>0.10410815281730708</v>
      </c>
      <c r="BN12" s="1230">
        <f t="shared" si="92"/>
        <v>7.5058981965027444E-2</v>
      </c>
      <c r="BO12" s="1230">
        <f t="shared" si="92"/>
        <v>0.13344163584939683</v>
      </c>
      <c r="BP12" s="1230">
        <f t="shared" si="92"/>
        <v>0.27576800146576819</v>
      </c>
      <c r="BQ12" s="1230">
        <f t="shared" si="92"/>
        <v>5.9142150253797501E-2</v>
      </c>
      <c r="BR12" s="1230">
        <f t="shared" si="92"/>
        <v>3.9110386055586435E-2</v>
      </c>
      <c r="BS12" s="1230">
        <f t="shared" si="92"/>
        <v>0.10817016898205056</v>
      </c>
      <c r="BT12" s="1230">
        <f t="shared" si="92"/>
        <v>7.3088990574997792E-2</v>
      </c>
      <c r="BU12" s="1230">
        <f t="shared" si="92"/>
        <v>7.7122320955977999E-2</v>
      </c>
      <c r="BV12" s="1230">
        <f t="shared" si="92"/>
        <v>6.3958048008697199E-2</v>
      </c>
      <c r="BW12" s="1230">
        <f t="shared" ref="BW12:CD12" si="93">BW11/BW3</f>
        <v>0.11889671681546743</v>
      </c>
      <c r="BX12" s="1230">
        <f t="shared" si="93"/>
        <v>0.10114000862669413</v>
      </c>
      <c r="BY12" s="1230">
        <f t="shared" si="93"/>
        <v>0.11062139236854913</v>
      </c>
      <c r="BZ12" s="1230">
        <f t="shared" si="93"/>
        <v>9.3999692104473315E-2</v>
      </c>
      <c r="CA12" s="1230">
        <f t="shared" si="93"/>
        <v>0.14650746713110954</v>
      </c>
      <c r="CB12" s="1230">
        <f t="shared" si="93"/>
        <v>0.12072006008161283</v>
      </c>
      <c r="CC12" s="1230">
        <f t="shared" si="93"/>
        <v>0.1216686721749594</v>
      </c>
      <c r="CD12" s="1230">
        <f t="shared" si="93"/>
        <v>8.3471238981555423E-2</v>
      </c>
      <c r="CE12" s="1230">
        <f t="shared" ref="CE12:CH12" si="94">CE11/CE3</f>
        <v>0.13330961250276954</v>
      </c>
      <c r="CF12" s="1230">
        <f t="shared" si="94"/>
        <v>0.10697922747713749</v>
      </c>
      <c r="CG12" s="1230">
        <f t="shared" si="94"/>
        <v>0.10985451183668217</v>
      </c>
      <c r="CH12" s="1230">
        <f t="shared" si="94"/>
        <v>8.1369910783263097E-2</v>
      </c>
      <c r="CI12" s="1230">
        <f t="shared" ref="CI12:CL12" si="95">CI11/CI3</f>
        <v>0.13112603764480518</v>
      </c>
      <c r="CJ12" s="1230">
        <f t="shared" si="95"/>
        <v>0.10428888873096515</v>
      </c>
      <c r="CK12" s="1230">
        <f t="shared" si="95"/>
        <v>0.11491228282259035</v>
      </c>
      <c r="CL12" s="1168">
        <f t="shared" si="95"/>
        <v>7.9017589294171645E-2</v>
      </c>
      <c r="CM12" s="1168">
        <f t="shared" ref="CM12:CP12" si="96">CM11/CM3</f>
        <v>0.12274968283696465</v>
      </c>
      <c r="CN12" s="1168">
        <f t="shared" si="96"/>
        <v>9.7402983409977065E-2</v>
      </c>
      <c r="CO12" s="1168">
        <f t="shared" si="96"/>
        <v>0.11163450857602016</v>
      </c>
      <c r="CP12" s="1168">
        <f t="shared" si="96"/>
        <v>8.125430821668371E-2</v>
      </c>
      <c r="CQ12" s="1168"/>
      <c r="CR12" s="1168"/>
      <c r="CS12" s="675"/>
      <c r="CT12" s="1168">
        <v>7.9017589294171645E-2</v>
      </c>
      <c r="CU12" s="1102"/>
      <c r="CV12" s="111">
        <v>0</v>
      </c>
      <c r="CW12" s="111">
        <v>1.2608204017285424E-2</v>
      </c>
      <c r="CX12" s="111">
        <v>4.6693667288385671E-2</v>
      </c>
      <c r="CY12" s="111">
        <v>7.3868831478005992E-2</v>
      </c>
      <c r="CZ12" s="111">
        <v>8.4035043310481589E-2</v>
      </c>
      <c r="DA12" s="111">
        <v>8.4844707390905619E-2</v>
      </c>
      <c r="DB12" s="111">
        <v>8.553091256243528E-2</v>
      </c>
      <c r="DC12" s="111">
        <v>8.6028349906106166E-2</v>
      </c>
      <c r="DD12" s="111">
        <v>8.4459837818304365E-2</v>
      </c>
      <c r="DE12" s="111">
        <v>8.5099439191632931E-2</v>
      </c>
      <c r="DF12" s="1230">
        <f t="shared" ref="DF12:DM12" si="97">DF11/DF3</f>
        <v>8.9653171194121098E-2</v>
      </c>
      <c r="DG12" s="1230">
        <f t="shared" si="97"/>
        <v>9.2201953708804879E-2</v>
      </c>
      <c r="DH12" s="1230">
        <f t="shared" si="97"/>
        <v>9.2313013417985479E-2</v>
      </c>
      <c r="DI12" s="1230">
        <f t="shared" si="97"/>
        <v>9.5343694101118384E-2</v>
      </c>
      <c r="DJ12" s="1230">
        <f t="shared" si="97"/>
        <v>9.0846618366944937E-2</v>
      </c>
      <c r="DK12" s="1230">
        <f t="shared" si="97"/>
        <v>9.1274786241076752E-2</v>
      </c>
      <c r="DL12" s="1230">
        <f t="shared" si="97"/>
        <v>9.0240731491871909E-2</v>
      </c>
      <c r="DM12" s="1230">
        <f t="shared" si="97"/>
        <v>7.5988737684056867E-2</v>
      </c>
      <c r="DN12" s="1230">
        <f t="shared" ref="DN12:DS12" si="98">DN11/DN3</f>
        <v>0.10458714638943041</v>
      </c>
      <c r="DO12" s="1230">
        <f t="shared" si="98"/>
        <v>0.11357425892461545</v>
      </c>
      <c r="DP12" s="1230">
        <f t="shared" si="98"/>
        <v>0.10465299218669205</v>
      </c>
      <c r="DQ12" s="1230">
        <f t="shared" si="98"/>
        <v>0.10438579347701697</v>
      </c>
      <c r="DR12" s="1230">
        <f t="shared" ref="DR12" si="99">DR11/DR3</f>
        <v>0.10072191839583479</v>
      </c>
      <c r="DS12" s="1168">
        <f t="shared" si="98"/>
        <v>9.9512967601061902E-2</v>
      </c>
      <c r="DT12" s="1168">
        <f t="shared" ref="DT12:DV12" si="100">DT11/DT3</f>
        <v>9.3324890003696065E-2</v>
      </c>
      <c r="DU12" s="1168">
        <f t="shared" si="100"/>
        <v>8.7612384413675082E-2</v>
      </c>
      <c r="DV12" s="1168">
        <f t="shared" si="100"/>
        <v>8.2277902926520818E-2</v>
      </c>
      <c r="DY12" s="1168">
        <v>9.3659505043437799E-2</v>
      </c>
      <c r="DZ12" s="1168">
        <v>8.6599165743448697E-2</v>
      </c>
    </row>
    <row r="13" spans="1:130">
      <c r="A13" s="133" t="s">
        <v>120</v>
      </c>
      <c r="B13" s="24"/>
      <c r="C13" s="24"/>
      <c r="D13" s="24"/>
      <c r="E13" s="24"/>
      <c r="F13" s="24"/>
      <c r="G13" s="24"/>
      <c r="H13" s="24"/>
      <c r="I13" s="24"/>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114">
        <f t="shared" ref="AQ13:CD13" si="101">+AQ11/AM11-1</f>
        <v>0.15846831406656703</v>
      </c>
      <c r="AR13" s="114">
        <f t="shared" si="101"/>
        <v>0.27236816064209735</v>
      </c>
      <c r="AS13" s="114">
        <f t="shared" si="101"/>
        <v>0.3684545097440981</v>
      </c>
      <c r="AT13" s="114">
        <f t="shared" si="101"/>
        <v>0.220590502191087</v>
      </c>
      <c r="AU13" s="114">
        <f t="shared" si="101"/>
        <v>0.31389652707918714</v>
      </c>
      <c r="AV13" s="114">
        <f t="shared" si="101"/>
        <v>0.26484141117644366</v>
      </c>
      <c r="AW13" s="114">
        <f t="shared" si="101"/>
        <v>9.9085507029567532E-2</v>
      </c>
      <c r="AX13" s="114">
        <f t="shared" si="101"/>
        <v>0.1903672625982018</v>
      </c>
      <c r="AY13" s="114">
        <f t="shared" si="101"/>
        <v>5.0100533808223213E-2</v>
      </c>
      <c r="AZ13" s="114">
        <f t="shared" si="101"/>
        <v>3.9358250297132358E-3</v>
      </c>
      <c r="BA13" s="114">
        <f t="shared" si="101"/>
        <v>7.646878608389418E-2</v>
      </c>
      <c r="BB13" s="114">
        <f t="shared" si="101"/>
        <v>7.5865478938030417E-2</v>
      </c>
      <c r="BC13" s="114">
        <f t="shared" si="101"/>
        <v>0.10295961798767483</v>
      </c>
      <c r="BD13" s="114">
        <f t="shared" si="101"/>
        <v>0.1444927474184865</v>
      </c>
      <c r="BE13" s="114">
        <f t="shared" si="101"/>
        <v>0.26573855623392051</v>
      </c>
      <c r="BF13" s="114">
        <f t="shared" si="101"/>
        <v>0.21288103815175785</v>
      </c>
      <c r="BG13" s="114">
        <f t="shared" si="101"/>
        <v>0.21971429998501568</v>
      </c>
      <c r="BH13" s="114">
        <f t="shared" si="101"/>
        <v>0.14856923978189363</v>
      </c>
      <c r="BI13" s="114">
        <f t="shared" si="101"/>
        <v>-1.202577180776454E-2</v>
      </c>
      <c r="BJ13" s="114">
        <f t="shared" si="101"/>
        <v>4.1599064950775144E-2</v>
      </c>
      <c r="BK13" s="114">
        <f t="shared" si="101"/>
        <v>5.3575157965429776E-2</v>
      </c>
      <c r="BL13" s="114">
        <f t="shared" si="101"/>
        <v>0.13788503564436461</v>
      </c>
      <c r="BM13" s="114">
        <f t="shared" si="101"/>
        <v>0.26683943093565277</v>
      </c>
      <c r="BN13" s="114">
        <f t="shared" si="101"/>
        <v>0.27096738755139826</v>
      </c>
      <c r="BO13" s="114">
        <f t="shared" si="101"/>
        <v>0.28568263617353717</v>
      </c>
      <c r="BP13" s="114">
        <f t="shared" si="101"/>
        <v>-1.9160549335742294E-2</v>
      </c>
      <c r="BQ13" s="114">
        <f t="shared" si="101"/>
        <v>-0.51822426605180505</v>
      </c>
      <c r="BR13" s="114">
        <f t="shared" si="101"/>
        <v>-0.48149623071366388</v>
      </c>
      <c r="BS13" s="114">
        <f t="shared" si="101"/>
        <v>-0.2963453381824338</v>
      </c>
      <c r="BT13" s="114">
        <f t="shared" si="101"/>
        <v>-0.12647908713167832</v>
      </c>
      <c r="BU13" s="114">
        <f t="shared" si="101"/>
        <v>0.83364661654135341</v>
      </c>
      <c r="BV13" s="114">
        <f t="shared" si="101"/>
        <v>1.0077220307095098</v>
      </c>
      <c r="BW13" s="114">
        <f t="shared" si="101"/>
        <v>0.77967579922408348</v>
      </c>
      <c r="BX13" s="114">
        <f t="shared" si="101"/>
        <v>0.98918655704322567</v>
      </c>
      <c r="BY13" s="114">
        <f t="shared" si="101"/>
        <v>0.6226594108858523</v>
      </c>
      <c r="BZ13" s="114">
        <f t="shared" si="101"/>
        <v>0.51010470940249508</v>
      </c>
      <c r="CA13" s="114">
        <f t="shared" si="101"/>
        <v>0.3112434577724561</v>
      </c>
      <c r="CB13" s="114">
        <f t="shared" si="101"/>
        <v>0.15835739155591799</v>
      </c>
      <c r="CC13" s="114">
        <f t="shared" si="101"/>
        <v>0.13982960667952571</v>
      </c>
      <c r="CD13" s="114">
        <f t="shared" si="101"/>
        <v>3.3685756702197089E-2</v>
      </c>
      <c r="CE13" s="114">
        <f t="shared" ref="CE13" si="102">+CE11/CA11-1</f>
        <v>-0.10052121017970794</v>
      </c>
      <c r="CF13" s="114">
        <f t="shared" ref="CF13" si="103">+CF11/CB11-1</f>
        <v>-0.16080906663220162</v>
      </c>
      <c r="CG13" s="114">
        <f t="shared" ref="CG13:CH13" si="104">+CG11/CC11-1</f>
        <v>-6.7219474995872663E-2</v>
      </c>
      <c r="CH13" s="114">
        <f t="shared" si="104"/>
        <v>-8.4175231292387798E-2</v>
      </c>
      <c r="CI13" s="114">
        <f t="shared" ref="CI13" si="105">+CI11/CE11-1</f>
        <v>0.10798468970034381</v>
      </c>
      <c r="CJ13" s="114">
        <f t="shared" ref="CJ13" si="106">+CJ11/CF11-1</f>
        <v>0.16059089925242676</v>
      </c>
      <c r="CK13" s="114">
        <f t="shared" ref="CK13" si="107">+CK11/CG11-1</f>
        <v>0.10160031184483609</v>
      </c>
      <c r="CL13" s="168">
        <f t="shared" ref="CL13" si="108">+CL11/CH11-1</f>
        <v>1.9343950382131325E-2</v>
      </c>
      <c r="CM13" s="168">
        <f t="shared" ref="CM13" si="109">+CM11/CI11-1</f>
        <v>-6.6904508062847201E-3</v>
      </c>
      <c r="CN13" s="168">
        <f t="shared" ref="CN13" si="110">+CN11/CJ11-1</f>
        <v>-2.4035843318896077E-2</v>
      </c>
      <c r="CO13" s="168">
        <f t="shared" ref="CO13" si="111">+CO11/CK11-1</f>
        <v>4.8638012370362915E-2</v>
      </c>
      <c r="CP13" s="168">
        <f t="shared" ref="CP13" si="112">+CP11/CL11-1</f>
        <v>0.1172373535971043</v>
      </c>
      <c r="CQ13" s="168"/>
      <c r="CR13" s="168"/>
      <c r="CS13" s="168"/>
      <c r="CT13" s="168">
        <v>1.9343950382131325E-2</v>
      </c>
      <c r="CU13" s="727"/>
      <c r="CV13" s="7"/>
      <c r="CW13" s="7"/>
      <c r="CX13" s="7"/>
      <c r="CY13" s="7"/>
      <c r="CZ13" s="7"/>
      <c r="DA13" s="7"/>
      <c r="DB13" s="7"/>
      <c r="DC13" s="7"/>
      <c r="DD13" s="7"/>
      <c r="DE13" s="7"/>
      <c r="DF13" s="114"/>
      <c r="DG13" s="114">
        <f>+DG11/DF11-1</f>
        <v>0.21086016997197232</v>
      </c>
      <c r="DH13" s="114">
        <f t="shared" ref="DH13:DM13" si="113">+DH11/DG11-1</f>
        <v>5.109267641862969E-2</v>
      </c>
      <c r="DI13" s="114">
        <f t="shared" si="113"/>
        <v>0.18338321335321872</v>
      </c>
      <c r="DJ13" s="114">
        <f t="shared" si="113"/>
        <v>9.1900280905012233E-2</v>
      </c>
      <c r="DK13" s="114">
        <f t="shared" si="113"/>
        <v>0.18292445064150598</v>
      </c>
      <c r="DL13" s="114">
        <f t="shared" si="113"/>
        <v>-0.21088719531014166</v>
      </c>
      <c r="DM13" s="114">
        <f t="shared" si="113"/>
        <v>0.17178971190505266</v>
      </c>
      <c r="DN13" s="114">
        <f t="shared" ref="DN13:DS13" si="114">+DN11/DM11-1</f>
        <v>0.70465656016986822</v>
      </c>
      <c r="DO13" s="114">
        <f t="shared" si="114"/>
        <v>0.15383658041750214</v>
      </c>
      <c r="DP13" s="114">
        <f t="shared" si="114"/>
        <v>-0.1046916973591594</v>
      </c>
      <c r="DQ13" s="114">
        <f t="shared" si="114"/>
        <v>9.7346946366233311E-2</v>
      </c>
      <c r="DR13" s="114">
        <f t="shared" si="114"/>
        <v>3.1239336687075792E-2</v>
      </c>
      <c r="DS13" s="1546">
        <f t="shared" si="114"/>
        <v>7.052089539842199E-2</v>
      </c>
      <c r="DT13" s="1546">
        <f t="shared" ref="DT13:DV13" si="115">+DT11/DS11-1</f>
        <v>3.2604434099636759E-3</v>
      </c>
      <c r="DU13" s="1546">
        <f t="shared" si="115"/>
        <v>3.9840150229479843E-3</v>
      </c>
      <c r="DV13" s="1546">
        <f t="shared" si="115"/>
        <v>4.3146562590470339E-3</v>
      </c>
      <c r="DY13" s="1546">
        <v>-5.0602910335176388E-2</v>
      </c>
      <c r="DZ13" s="1546">
        <v>4.1467961275487575E-4</v>
      </c>
    </row>
    <row r="14" spans="1:130">
      <c r="A14" s="84"/>
      <c r="B14" s="84"/>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82"/>
      <c r="AR14" s="682"/>
      <c r="AS14" s="682"/>
      <c r="AT14" s="682"/>
      <c r="AU14" s="682"/>
      <c r="AV14" s="682"/>
      <c r="AW14" s="682"/>
      <c r="AX14" s="682"/>
      <c r="AY14" s="682"/>
      <c r="AZ14" s="682"/>
      <c r="BA14" s="682"/>
      <c r="BB14" s="682"/>
      <c r="BC14" s="682"/>
      <c r="BD14" s="682"/>
      <c r="BE14" s="682"/>
      <c r="BF14" s="682"/>
      <c r="BG14" s="682"/>
      <c r="BH14" s="682"/>
      <c r="BI14" s="682"/>
      <c r="BJ14" s="682"/>
      <c r="BK14" s="682"/>
      <c r="BL14" s="682"/>
      <c r="BM14" s="682"/>
      <c r="BN14" s="682"/>
      <c r="BO14" s="682"/>
      <c r="BP14" s="682"/>
      <c r="BQ14" s="682"/>
      <c r="BR14" s="682"/>
      <c r="BS14" s="682"/>
      <c r="BT14" s="682"/>
      <c r="BU14" s="682"/>
      <c r="BV14" s="682"/>
      <c r="BW14" s="682"/>
      <c r="BX14" s="682"/>
      <c r="BY14" s="682"/>
      <c r="BZ14" s="682"/>
      <c r="CA14" s="682"/>
      <c r="CB14" s="682"/>
      <c r="CC14" s="682"/>
      <c r="CD14" s="682"/>
      <c r="CE14" s="682"/>
      <c r="CF14" s="682"/>
      <c r="CG14" s="682"/>
      <c r="CH14" s="682"/>
      <c r="CI14" s="682"/>
      <c r="CJ14" s="682"/>
      <c r="CK14" s="682"/>
      <c r="CL14" s="616"/>
      <c r="CM14" s="616"/>
      <c r="CN14" s="616"/>
      <c r="CO14" s="616"/>
      <c r="CP14" s="616"/>
      <c r="CQ14" s="616"/>
      <c r="CR14" s="616"/>
      <c r="CS14" s="616"/>
      <c r="CT14" s="616"/>
      <c r="CU14" s="702"/>
      <c r="CV14" s="6"/>
      <c r="CW14" s="6"/>
      <c r="CX14" s="6"/>
      <c r="CY14" s="6"/>
      <c r="CZ14" s="6"/>
      <c r="DA14" s="6"/>
      <c r="DB14" s="6"/>
      <c r="DC14" s="6"/>
      <c r="DD14" s="6"/>
      <c r="DE14" s="6"/>
      <c r="DF14" s="682"/>
      <c r="DG14" s="682"/>
      <c r="DH14" s="682"/>
      <c r="DI14" s="682"/>
      <c r="DJ14" s="682"/>
      <c r="DK14" s="682"/>
      <c r="DL14" s="682"/>
      <c r="DM14" s="682"/>
      <c r="DN14" s="682"/>
      <c r="DO14" s="682"/>
      <c r="DP14" s="682"/>
      <c r="DQ14" s="682"/>
      <c r="DR14" s="682"/>
      <c r="DS14" s="1547"/>
      <c r="DT14" s="1547"/>
      <c r="DU14" s="1547"/>
      <c r="DV14" s="1547"/>
      <c r="DY14" s="1547"/>
      <c r="DZ14" s="1547"/>
    </row>
    <row r="15" spans="1:130" s="359" customFormat="1">
      <c r="A15" s="84" t="s">
        <v>174</v>
      </c>
      <c r="B15" s="84"/>
      <c r="C15" s="670">
        <v>-53924</v>
      </c>
      <c r="D15" s="670">
        <v>-86679</v>
      </c>
      <c r="E15" s="670">
        <v>-73481</v>
      </c>
      <c r="F15" s="670">
        <v>-121367</v>
      </c>
      <c r="G15" s="641">
        <v>-51753</v>
      </c>
      <c r="H15" s="641">
        <v>-83403</v>
      </c>
      <c r="I15" s="641">
        <v>-72528</v>
      </c>
      <c r="J15" s="641">
        <v>-147698.40899566293</v>
      </c>
      <c r="K15" s="641">
        <v>-81143.355099654</v>
      </c>
      <c r="L15" s="641">
        <v>-127740.35202962818</v>
      </c>
      <c r="M15" s="641">
        <v>-110621.36223056057</v>
      </c>
      <c r="N15" s="641">
        <v>-186621</v>
      </c>
      <c r="O15" s="641">
        <v>-102776</v>
      </c>
      <c r="P15" s="641">
        <v>-161047</v>
      </c>
      <c r="Q15" s="641">
        <v>-139124</v>
      </c>
      <c r="R15" s="670">
        <v>-224243</v>
      </c>
      <c r="S15" s="670">
        <v>-126158</v>
      </c>
      <c r="T15" s="641">
        <v>-180732</v>
      </c>
      <c r="U15" s="641">
        <v>-149591</v>
      </c>
      <c r="V15" s="641">
        <v>-216749</v>
      </c>
      <c r="W15" s="641">
        <v>-118316</v>
      </c>
      <c r="X15" s="641">
        <v>-190269</v>
      </c>
      <c r="Y15" s="641">
        <v>-163136</v>
      </c>
      <c r="Z15" s="641">
        <v>-245126</v>
      </c>
      <c r="AA15" s="641">
        <v>-143378</v>
      </c>
      <c r="AB15" s="641">
        <v>-216654</v>
      </c>
      <c r="AC15" s="641">
        <v>-191354</v>
      </c>
      <c r="AD15" s="641">
        <v>-276497.8686835519</v>
      </c>
      <c r="AE15" s="641">
        <v>-174697.62548783392</v>
      </c>
      <c r="AF15" s="641">
        <v>-253273.68313593522</v>
      </c>
      <c r="AG15" s="641">
        <v>-221527.20080610912</v>
      </c>
      <c r="AH15" s="641">
        <v>-325794.53619834944</v>
      </c>
      <c r="AI15" s="641">
        <v>-209423.64946443448</v>
      </c>
      <c r="AJ15" s="641">
        <v>-288092.6089249528</v>
      </c>
      <c r="AK15" s="641">
        <v>-270849.74479466642</v>
      </c>
      <c r="AL15" s="641">
        <v>-396891.40399195632</v>
      </c>
      <c r="AM15" s="641">
        <v>-245987.47975811281</v>
      </c>
      <c r="AN15" s="641">
        <v>-319060.68855604297</v>
      </c>
      <c r="AO15" s="641">
        <v>-305820.51812669449</v>
      </c>
      <c r="AP15" s="641">
        <v>-446697.97380802804</v>
      </c>
      <c r="AQ15" s="1225">
        <f t="shared" ref="AQ15:BS15" si="116">+AQ18+AQ21</f>
        <v>-275952.26751604135</v>
      </c>
      <c r="AR15" s="1225">
        <f t="shared" si="116"/>
        <v>-374948.70930561644</v>
      </c>
      <c r="AS15" s="1225">
        <f t="shared" si="116"/>
        <v>-354573.27683526254</v>
      </c>
      <c r="AT15" s="1225">
        <f t="shared" si="116"/>
        <v>-559351.64261560864</v>
      </c>
      <c r="AU15" s="1225">
        <f t="shared" si="116"/>
        <v>-343026.88115649507</v>
      </c>
      <c r="AV15" s="1225">
        <f t="shared" si="116"/>
        <v>-457348.26748481707</v>
      </c>
      <c r="AW15" s="1225">
        <f t="shared" si="116"/>
        <v>-421854.94999856089</v>
      </c>
      <c r="AX15" s="1225">
        <f t="shared" si="116"/>
        <v>-616285.29337394796</v>
      </c>
      <c r="AY15" s="1225">
        <f t="shared" si="116"/>
        <v>-365027.03593330807</v>
      </c>
      <c r="AZ15" s="1225">
        <f t="shared" si="116"/>
        <v>-493802.19577980548</v>
      </c>
      <c r="BA15" s="1225">
        <f t="shared" si="116"/>
        <v>-426620.75355563732</v>
      </c>
      <c r="BB15" s="1225">
        <f t="shared" si="116"/>
        <v>-644496.91929113888</v>
      </c>
      <c r="BC15" s="1225">
        <f t="shared" si="116"/>
        <v>-425380</v>
      </c>
      <c r="BD15" s="1225">
        <f t="shared" si="116"/>
        <v>-536511</v>
      </c>
      <c r="BE15" s="1225">
        <f t="shared" si="116"/>
        <v>-485042</v>
      </c>
      <c r="BF15" s="1225">
        <f t="shared" si="116"/>
        <v>-712040</v>
      </c>
      <c r="BG15" s="1225">
        <f t="shared" si="116"/>
        <v>-439572</v>
      </c>
      <c r="BH15" s="1225">
        <f t="shared" si="116"/>
        <v>-563618.5376799996</v>
      </c>
      <c r="BI15" s="1225">
        <f t="shared" si="116"/>
        <v>-536717</v>
      </c>
      <c r="BJ15" s="1225">
        <f t="shared" si="116"/>
        <v>-1038441</v>
      </c>
      <c r="BK15" s="1225">
        <f t="shared" si="116"/>
        <v>-660246</v>
      </c>
      <c r="BL15" s="1225">
        <f t="shared" si="116"/>
        <v>-805692</v>
      </c>
      <c r="BM15" s="1225">
        <f t="shared" si="116"/>
        <v>-765346</v>
      </c>
      <c r="BN15" s="1225">
        <f t="shared" si="116"/>
        <v>-1137165</v>
      </c>
      <c r="BO15" s="1225">
        <f t="shared" si="116"/>
        <v>-615098</v>
      </c>
      <c r="BP15" s="1225">
        <f t="shared" si="116"/>
        <v>-223035</v>
      </c>
      <c r="BQ15" s="1225">
        <f t="shared" si="116"/>
        <v>-746629</v>
      </c>
      <c r="BR15" s="1225">
        <f>+BR18+BR21</f>
        <v>-1219663</v>
      </c>
      <c r="BS15" s="1225">
        <f t="shared" si="116"/>
        <v>-570373</v>
      </c>
      <c r="BT15" s="1225">
        <f t="shared" ref="BT15:CC15" si="117">+BT18+BT21</f>
        <v>-909494</v>
      </c>
      <c r="BU15" s="1225">
        <f t="shared" si="117"/>
        <v>-938654.66052999755</v>
      </c>
      <c r="BV15" s="1225">
        <f t="shared" si="117"/>
        <v>-1400923.1864500006</v>
      </c>
      <c r="BW15" s="1225">
        <f t="shared" si="117"/>
        <v>-870941</v>
      </c>
      <c r="BX15" s="1225">
        <f t="shared" si="117"/>
        <v>-1260819</v>
      </c>
      <c r="BY15" s="1225">
        <f t="shared" si="117"/>
        <v>-1017564</v>
      </c>
      <c r="BZ15" s="1225">
        <f t="shared" ref="BZ15:CA15" si="118">+BZ18+BZ21</f>
        <v>-1403278</v>
      </c>
      <c r="CA15" s="1225">
        <f t="shared" si="118"/>
        <v>-932089</v>
      </c>
      <c r="CB15" s="1225">
        <f t="shared" ref="CB15" si="119">+CB18+CB21</f>
        <v>-1238799</v>
      </c>
      <c r="CC15" s="1225">
        <f t="shared" si="117"/>
        <v>-1084720</v>
      </c>
      <c r="CD15" s="1225">
        <f t="shared" ref="CD15:CE15" si="120">+CD18+CD21</f>
        <v>-2034866</v>
      </c>
      <c r="CE15" s="1225">
        <f t="shared" si="120"/>
        <v>-756603</v>
      </c>
      <c r="CF15" s="1225">
        <f t="shared" ref="CF15:CH15" si="121">+CF18+CF21</f>
        <v>-971023</v>
      </c>
      <c r="CG15" s="1225">
        <f t="shared" si="121"/>
        <v>-929705</v>
      </c>
      <c r="CH15" s="1225">
        <f t="shared" si="121"/>
        <v>-1307344</v>
      </c>
      <c r="CI15" s="1225">
        <f t="shared" ref="CI15" si="122">+CI18+CI21</f>
        <v>-870643</v>
      </c>
      <c r="CJ15" s="1225">
        <f t="shared" ref="CJ15:CL15" si="123">+CJ18+CJ21</f>
        <v>-1179600</v>
      </c>
      <c r="CK15" s="1225">
        <f t="shared" ref="CK15" si="124">+CK18+CK21</f>
        <v>-986207</v>
      </c>
      <c r="CL15" s="1548">
        <f t="shared" si="123"/>
        <v>-1391131.519216801</v>
      </c>
      <c r="CM15" s="1548">
        <f t="shared" ref="CM15:CP15" si="125">+CM18+CM21</f>
        <v>-946187.6023299878</v>
      </c>
      <c r="CN15" s="1548">
        <f t="shared" si="125"/>
        <v>-1231523.1183479449</v>
      </c>
      <c r="CO15" s="1548">
        <f t="shared" si="125"/>
        <v>-1070341.0854494097</v>
      </c>
      <c r="CP15" s="1548">
        <f t="shared" si="125"/>
        <v>-1506598.7015064145</v>
      </c>
      <c r="CQ15" s="1548"/>
      <c r="CR15" s="672"/>
      <c r="CS15" s="672"/>
      <c r="CT15" s="1548">
        <v>-1391131.519216801</v>
      </c>
      <c r="CU15" s="1103"/>
      <c r="CV15" s="132">
        <v>-335451</v>
      </c>
      <c r="CW15" s="102">
        <v>-355382.40899566293</v>
      </c>
      <c r="CX15" s="102">
        <v>-506126.06935984275</v>
      </c>
      <c r="CY15" s="102">
        <v>-627190</v>
      </c>
      <c r="CZ15" s="102">
        <v>-673230</v>
      </c>
      <c r="DA15" s="102">
        <v>-716847</v>
      </c>
      <c r="DB15" s="102">
        <v>-827883.8686835519</v>
      </c>
      <c r="DC15" s="102">
        <v>-975293.04562822776</v>
      </c>
      <c r="DD15" s="102">
        <v>-1165257.4071760101</v>
      </c>
      <c r="DE15" s="102">
        <v>-1317566.6602488784</v>
      </c>
      <c r="DF15" s="1225">
        <f t="shared" ref="DF15:DM15" si="126">+DF18+DF21</f>
        <v>-1564825.8962725289</v>
      </c>
      <c r="DG15" s="1225">
        <f t="shared" si="126"/>
        <v>-1838515.3920138211</v>
      </c>
      <c r="DH15" s="1225">
        <f t="shared" si="126"/>
        <v>-1929946.9045598898</v>
      </c>
      <c r="DI15" s="1225">
        <f t="shared" si="126"/>
        <v>-2158973</v>
      </c>
      <c r="DJ15" s="1225">
        <f t="shared" si="126"/>
        <v>-2578348.5376799996</v>
      </c>
      <c r="DK15" s="1225">
        <f t="shared" si="126"/>
        <v>-3368449</v>
      </c>
      <c r="DL15" s="1225">
        <f t="shared" si="126"/>
        <v>-2804425</v>
      </c>
      <c r="DM15" s="1225">
        <f t="shared" si="126"/>
        <v>-3819444.8469799981</v>
      </c>
      <c r="DN15" s="1225">
        <f t="shared" ref="DN15:DS15" si="127">+DN18+DN21</f>
        <v>-4552602</v>
      </c>
      <c r="DO15" s="1225">
        <f t="shared" si="127"/>
        <v>-5290474</v>
      </c>
      <c r="DP15" s="1225">
        <f t="shared" si="127"/>
        <v>-3964675</v>
      </c>
      <c r="DQ15" s="1225">
        <f t="shared" si="127"/>
        <v>-4427581.519216801</v>
      </c>
      <c r="DR15" s="1225">
        <f t="shared" ref="DR15" si="128">+DR18+DR21</f>
        <v>-4754650.5076337568</v>
      </c>
      <c r="DS15" s="1548">
        <f t="shared" si="127"/>
        <v>-5151112.1513477294</v>
      </c>
      <c r="DT15" s="1548">
        <f t="shared" ref="DT15:DV15" si="129">+DT18+DT21</f>
        <v>-5538732.4831784759</v>
      </c>
      <c r="DU15" s="1548">
        <f t="shared" si="129"/>
        <v>-5946824.6418011505</v>
      </c>
      <c r="DV15" s="1548">
        <f t="shared" si="129"/>
        <v>-6385492.324989887</v>
      </c>
      <c r="DY15" s="1548">
        <v>-4809653.1111003244</v>
      </c>
      <c r="DZ15" s="1548">
        <v>-5250745.1264710883</v>
      </c>
    </row>
    <row r="16" spans="1:130">
      <c r="A16" s="17" t="s">
        <v>175</v>
      </c>
      <c r="B16" s="17"/>
      <c r="C16" s="7">
        <v>-0.23417015160002952</v>
      </c>
      <c r="D16" s="7">
        <v>-0.2657658486331359</v>
      </c>
      <c r="E16" s="7">
        <v>-0.25925076560493376</v>
      </c>
      <c r="F16" s="7">
        <v>-0.27006813620119541</v>
      </c>
      <c r="G16" s="7">
        <v>-0.1975629588062163</v>
      </c>
      <c r="H16" s="7">
        <v>-0.21995332093832826</v>
      </c>
      <c r="I16" s="7">
        <v>-0.2105953919191626</v>
      </c>
      <c r="J16" s="7">
        <v>-0.25822600609180218</v>
      </c>
      <c r="K16" s="7">
        <v>-0.23324069698030497</v>
      </c>
      <c r="L16" s="7">
        <v>-0.25116056550072297</v>
      </c>
      <c r="M16" s="7">
        <v>-0.24184376886140296</v>
      </c>
      <c r="N16" s="7">
        <v>-0.25795621043319605</v>
      </c>
      <c r="O16" s="7">
        <v>-0.22822324023884655</v>
      </c>
      <c r="P16" s="7">
        <v>-0.24703529119415141</v>
      </c>
      <c r="Q16" s="7">
        <v>-0.23857899357954235</v>
      </c>
      <c r="R16" s="7">
        <v>-0.25694047388521019</v>
      </c>
      <c r="S16" s="7">
        <v>-0.22610784023801203</v>
      </c>
      <c r="T16" s="7">
        <v>-0.2419181907134319</v>
      </c>
      <c r="U16" s="7">
        <v>-0.22632348958561851</v>
      </c>
      <c r="V16" s="7">
        <v>-0.24347199974838302</v>
      </c>
      <c r="W16" s="7">
        <v>-0.22014326914131546</v>
      </c>
      <c r="X16" s="7">
        <v>-0.2367463290874636</v>
      </c>
      <c r="Y16" s="7">
        <v>-0.22801968559515939</v>
      </c>
      <c r="Z16" s="7">
        <v>-0.23940540778107131</v>
      </c>
      <c r="AA16" s="7">
        <v>-0.22089657095580928</v>
      </c>
      <c r="AB16" s="7">
        <v>-0.23583389936778307</v>
      </c>
      <c r="AC16" s="7">
        <v>-0.22910418365306678</v>
      </c>
      <c r="AD16" s="7">
        <v>-0.23506728973581589</v>
      </c>
      <c r="AE16" s="7">
        <v>-0.22586375605432493</v>
      </c>
      <c r="AF16" s="7">
        <v>-0.23242670805778021</v>
      </c>
      <c r="AG16" s="7">
        <v>-0.22993137637226679</v>
      </c>
      <c r="AH16" s="7">
        <v>-0.23485282179328418</v>
      </c>
      <c r="AI16" s="7">
        <v>-0.22795660103551815</v>
      </c>
      <c r="AJ16" s="7">
        <v>-0.23167013351756002</v>
      </c>
      <c r="AK16" s="7">
        <v>-0.23033247803122633</v>
      </c>
      <c r="AL16" s="7">
        <v>-0.23490099738569581</v>
      </c>
      <c r="AM16" s="7">
        <v>-0.22779983189110917</v>
      </c>
      <c r="AN16" s="7">
        <v>-0.23129345302555501</v>
      </c>
      <c r="AO16" s="7">
        <v>-0.23041570665935787</v>
      </c>
      <c r="AP16" s="7">
        <v>-0.23493232843412923</v>
      </c>
      <c r="AQ16" s="114">
        <f t="shared" ref="AQ16:BS16" si="130">AQ15/AQ3</f>
        <v>-0.22720231484808359</v>
      </c>
      <c r="AR16" s="114">
        <f t="shared" si="130"/>
        <v>-0.23000494803126473</v>
      </c>
      <c r="AS16" s="114">
        <f t="shared" si="130"/>
        <v>-0.2275273835375157</v>
      </c>
      <c r="AT16" s="114">
        <f t="shared" si="130"/>
        <v>-0.23524402962637928</v>
      </c>
      <c r="AU16" s="114">
        <f t="shared" si="130"/>
        <v>-0.22612576618325275</v>
      </c>
      <c r="AV16" s="114">
        <f t="shared" si="130"/>
        <v>-0.22939106483624069</v>
      </c>
      <c r="AW16" s="114">
        <f t="shared" si="130"/>
        <v>-0.22896288736093851</v>
      </c>
      <c r="AX16" s="114">
        <f t="shared" si="130"/>
        <v>-0.23428177007742931</v>
      </c>
      <c r="AY16" s="114">
        <f t="shared" si="130"/>
        <v>-0.22638795171808915</v>
      </c>
      <c r="AZ16" s="114">
        <f t="shared" si="130"/>
        <v>-0.23059974849561243</v>
      </c>
      <c r="BA16" s="116">
        <f t="shared" si="130"/>
        <v>-0.22784096221835459</v>
      </c>
      <c r="BB16" s="116">
        <f t="shared" si="130"/>
        <v>-0.23391179620429348</v>
      </c>
      <c r="BC16" s="116">
        <f t="shared" si="130"/>
        <v>-0.23109636313062829</v>
      </c>
      <c r="BD16" s="114">
        <f t="shared" si="130"/>
        <v>-0.22660130771404305</v>
      </c>
      <c r="BE16" s="114">
        <f t="shared" si="130"/>
        <v>-0.21736930625758766</v>
      </c>
      <c r="BF16" s="114">
        <f t="shared" si="130"/>
        <v>-0.22507896287417276</v>
      </c>
      <c r="BG16" s="114">
        <f t="shared" si="130"/>
        <v>-0.21257369344205135</v>
      </c>
      <c r="BH16" s="114">
        <f t="shared" si="130"/>
        <v>-0.21814264359229368</v>
      </c>
      <c r="BI16" s="114">
        <f t="shared" si="130"/>
        <v>-0.21641770883526446</v>
      </c>
      <c r="BJ16" s="114">
        <f t="shared" si="130"/>
        <v>-0.26810156269363272</v>
      </c>
      <c r="BK16" s="114">
        <f t="shared" si="130"/>
        <v>-0.25868028959830558</v>
      </c>
      <c r="BL16" s="114">
        <f t="shared" si="130"/>
        <v>-0.26009395369978205</v>
      </c>
      <c r="BM16" s="114">
        <f t="shared" si="130"/>
        <v>-0.25587434192292402</v>
      </c>
      <c r="BN16" s="114">
        <f t="shared" si="130"/>
        <v>-0.26349332649941171</v>
      </c>
      <c r="BO16" s="114">
        <f t="shared" si="130"/>
        <v>-0.24813755038104224</v>
      </c>
      <c r="BP16" s="114">
        <f t="shared" si="130"/>
        <v>-0.21621535159533165</v>
      </c>
      <c r="BQ16" s="114">
        <f t="shared" si="130"/>
        <v>-0.29433453648644597</v>
      </c>
      <c r="BR16" s="114">
        <f>BR15/BR3</f>
        <v>-0.28400337451976781</v>
      </c>
      <c r="BS16" s="114">
        <f t="shared" si="130"/>
        <v>-0.26507191531425101</v>
      </c>
      <c r="BT16" s="114">
        <f t="shared" ref="BT16:CC16" si="131">BT15/BT3</f>
        <v>-0.26751499432170311</v>
      </c>
      <c r="BU16" s="114">
        <f t="shared" si="131"/>
        <v>-0.26315374183895163</v>
      </c>
      <c r="BV16" s="114">
        <f t="shared" si="131"/>
        <v>-0.26570363003112574</v>
      </c>
      <c r="BW16" s="114">
        <f t="shared" si="131"/>
        <v>-0.24998557677818234</v>
      </c>
      <c r="BX16" s="114">
        <f t="shared" si="131"/>
        <v>-0.25798623984992497</v>
      </c>
      <c r="BY16" s="114">
        <f t="shared" si="131"/>
        <v>-0.25217213736333999</v>
      </c>
      <c r="BZ16" s="114">
        <f t="shared" ref="BZ16:CA16" si="132">BZ15/BZ3</f>
        <v>-0.25903058687323971</v>
      </c>
      <c r="CA16" s="114">
        <f t="shared" si="132"/>
        <v>-0.25141440817655375</v>
      </c>
      <c r="CB16" s="114">
        <f t="shared" ref="CB16" si="133">CB15/CB3</f>
        <v>-0.26119119134737068</v>
      </c>
      <c r="CC16" s="114">
        <f t="shared" si="131"/>
        <v>-0.25938970055114813</v>
      </c>
      <c r="CD16" s="114">
        <f t="shared" ref="CD16:CE16" si="134">CD15/CD3</f>
        <v>-0.32267479659841897</v>
      </c>
      <c r="CE16" s="114">
        <f t="shared" si="134"/>
        <v>-0.20644844593997247</v>
      </c>
      <c r="CF16" s="114">
        <f t="shared" ref="CF16:CH16" si="135">CF15/CF3</f>
        <v>-0.21619538969242202</v>
      </c>
      <c r="CG16" s="114">
        <f t="shared" si="135"/>
        <v>-0.21519883042830748</v>
      </c>
      <c r="CH16" s="114">
        <f t="shared" si="135"/>
        <v>-0.22066512607432009</v>
      </c>
      <c r="CI16" s="114">
        <f t="shared" ref="CI16" si="136">CI15/CI3</f>
        <v>-0.21090039070117161</v>
      </c>
      <c r="CJ16" s="114">
        <f t="shared" ref="CJ16:CL16" si="137">CJ15/CJ3</f>
        <v>-0.22060283896179772</v>
      </c>
      <c r="CK16" s="114">
        <f t="shared" ref="CK16" si="138">CK15/CK3</f>
        <v>-0.21676408379580187</v>
      </c>
      <c r="CL16" s="1170">
        <f t="shared" si="137"/>
        <v>-0.22369238579934303</v>
      </c>
      <c r="CM16" s="1170">
        <f t="shared" ref="CM16:CP16" si="139">CM15/CM3</f>
        <v>-0.21600378191527761</v>
      </c>
      <c r="CN16" s="1170">
        <f t="shared" si="139"/>
        <v>-0.2204038891695092</v>
      </c>
      <c r="CO16" s="1170">
        <f t="shared" si="139"/>
        <v>-0.21794547471583348</v>
      </c>
      <c r="CP16" s="1170">
        <f t="shared" si="139"/>
        <v>-0.22297582194241877</v>
      </c>
      <c r="CQ16" s="1170"/>
      <c r="CR16" s="615"/>
      <c r="CS16" s="615"/>
      <c r="CT16" s="1170">
        <v>-0.22369238579934303</v>
      </c>
      <c r="CU16" s="693"/>
      <c r="CV16" s="7">
        <v>-0.26018979953539062</v>
      </c>
      <c r="CW16" s="7">
        <v>-0.22817337652646955</v>
      </c>
      <c r="CX16" s="7">
        <v>-0.248422006145849</v>
      </c>
      <c r="CY16" s="7">
        <v>-0.24517528240366299</v>
      </c>
      <c r="CZ16" s="7">
        <v>-0.23570523034328034</v>
      </c>
      <c r="DA16" s="7">
        <v>-0.23270664426752369</v>
      </c>
      <c r="DB16" s="7">
        <v>-0.23130275212250254</v>
      </c>
      <c r="DC16" s="7">
        <v>-0.23145021935305116</v>
      </c>
      <c r="DD16" s="7">
        <v>-0.23176447443487833</v>
      </c>
      <c r="DE16" s="7">
        <v>-0.23164179899458301</v>
      </c>
      <c r="DF16" s="114">
        <f t="shared" ref="DF16:DM16" si="140">DF15/DF3</f>
        <v>-0.23077067105102841</v>
      </c>
      <c r="DG16" s="114">
        <f t="shared" si="140"/>
        <v>-0.23028324060992772</v>
      </c>
      <c r="DH16" s="114">
        <f t="shared" si="140"/>
        <v>-0.23026197094349488</v>
      </c>
      <c r="DI16" s="114">
        <f t="shared" si="140"/>
        <v>-0.22481625544944134</v>
      </c>
      <c r="DJ16" s="114">
        <f t="shared" si="140"/>
        <v>-0.2342911783759308</v>
      </c>
      <c r="DK16" s="114">
        <f t="shared" si="140"/>
        <v>-0.25997365416350809</v>
      </c>
      <c r="DL16" s="114">
        <f t="shared" si="140"/>
        <v>-0.27117889341161261</v>
      </c>
      <c r="DM16" s="114">
        <f t="shared" si="140"/>
        <v>-0.26540508523208345</v>
      </c>
      <c r="DN16" s="114">
        <f t="shared" ref="DN16:DS16" si="141">DN15/DN3</f>
        <v>-0.25542351130702712</v>
      </c>
      <c r="DO16" s="114">
        <f t="shared" si="141"/>
        <v>-0.27935282337300932</v>
      </c>
      <c r="DP16" s="114">
        <f t="shared" si="141"/>
        <v>-0.21545927754848218</v>
      </c>
      <c r="DQ16" s="114">
        <f t="shared" si="141"/>
        <v>-0.21871066465598629</v>
      </c>
      <c r="DR16" s="114">
        <f t="shared" ref="DR16" si="142">DR15/DR3</f>
        <v>-0.21975821312272203</v>
      </c>
      <c r="DS16" s="1170">
        <f t="shared" si="141"/>
        <v>-0.21972934506499392</v>
      </c>
      <c r="DT16" s="1170">
        <f t="shared" ref="DT16:DV16" si="143">DT15/DT3</f>
        <v>-0.22085211624587661</v>
      </c>
      <c r="DU16" s="1170">
        <f t="shared" si="143"/>
        <v>-0.22172645985482636</v>
      </c>
      <c r="DV16" s="1170">
        <f t="shared" si="143"/>
        <v>-0.22262538900024917</v>
      </c>
      <c r="DY16" s="1170">
        <v>-0.21877030788287682</v>
      </c>
      <c r="DZ16" s="1170">
        <v>-0.22073812814324384</v>
      </c>
    </row>
    <row r="17" spans="1:130">
      <c r="A17" s="6"/>
      <c r="B17" s="6"/>
      <c r="C17" s="6"/>
      <c r="D17" s="6"/>
      <c r="E17" s="6"/>
      <c r="F17" s="6"/>
      <c r="G17" s="6"/>
      <c r="H17" s="6"/>
      <c r="I17" s="6"/>
      <c r="J17" s="6"/>
      <c r="K17" s="6"/>
      <c r="L17" s="6"/>
      <c r="M17" s="6"/>
      <c r="N17" s="6"/>
      <c r="O17" s="6"/>
      <c r="P17" s="6"/>
      <c r="Q17" s="6"/>
      <c r="R17" s="6"/>
      <c r="S17" s="6"/>
      <c r="T17" s="73"/>
      <c r="U17" s="73"/>
      <c r="V17" s="6"/>
      <c r="W17" s="6"/>
      <c r="X17" s="6"/>
      <c r="Y17" s="6"/>
      <c r="Z17" s="6"/>
      <c r="AA17" s="6"/>
      <c r="AB17" s="6"/>
      <c r="AC17" s="6"/>
      <c r="AD17" s="6"/>
      <c r="AE17" s="6"/>
      <c r="AF17" s="6"/>
      <c r="AG17" s="6"/>
      <c r="AH17" s="6"/>
      <c r="AI17" s="6"/>
      <c r="AJ17" s="6"/>
      <c r="AK17" s="6"/>
      <c r="AL17" s="6"/>
      <c r="AM17" s="6"/>
      <c r="AN17" s="6"/>
      <c r="AO17" s="6"/>
      <c r="AP17" s="6"/>
      <c r="AQ17" s="682"/>
      <c r="AR17" s="682"/>
      <c r="AS17" s="682"/>
      <c r="AT17" s="682"/>
      <c r="AU17" s="682"/>
      <c r="AV17" s="682"/>
      <c r="AW17" s="682"/>
      <c r="AX17" s="682"/>
      <c r="AY17" s="682"/>
      <c r="AZ17" s="682"/>
      <c r="BA17" s="682"/>
      <c r="BB17" s="682"/>
      <c r="BC17" s="682"/>
      <c r="BD17" s="682"/>
      <c r="BE17" s="682"/>
      <c r="BF17" s="682"/>
      <c r="BG17" s="682"/>
      <c r="BH17" s="682"/>
      <c r="BI17" s="682"/>
      <c r="BJ17" s="682"/>
      <c r="BK17" s="682"/>
      <c r="BL17" s="682"/>
      <c r="BM17" s="682"/>
      <c r="BN17" s="682"/>
      <c r="BO17" s="682"/>
      <c r="BP17" s="682"/>
      <c r="BQ17" s="682"/>
      <c r="BR17" s="682"/>
      <c r="BS17" s="682"/>
      <c r="BT17" s="682"/>
      <c r="BU17" s="682"/>
      <c r="BV17" s="682"/>
      <c r="BW17" s="682"/>
      <c r="BX17" s="682"/>
      <c r="BY17" s="682"/>
      <c r="BZ17" s="682"/>
      <c r="CA17" s="682"/>
      <c r="CB17" s="682"/>
      <c r="CC17" s="682"/>
      <c r="CD17" s="682"/>
      <c r="CE17" s="682"/>
      <c r="CF17" s="682"/>
      <c r="CG17" s="682"/>
      <c r="CH17" s="682"/>
      <c r="CI17" s="682"/>
      <c r="CJ17" s="682"/>
      <c r="CK17" s="682"/>
      <c r="CL17" s="616"/>
      <c r="CM17" s="616"/>
      <c r="CN17" s="616"/>
      <c r="CO17" s="616"/>
      <c r="CP17" s="616"/>
      <c r="CQ17" s="616"/>
      <c r="CR17" s="616"/>
      <c r="CS17" s="616"/>
      <c r="CT17" s="616"/>
      <c r="CU17" s="702"/>
      <c r="CV17" s="6"/>
      <c r="CW17" s="6"/>
      <c r="CX17" s="6"/>
      <c r="CY17" s="6"/>
      <c r="CZ17" s="6"/>
      <c r="DA17" s="6"/>
      <c r="DB17" s="6"/>
      <c r="DC17" s="6"/>
      <c r="DD17" s="6"/>
      <c r="DE17" s="6"/>
      <c r="DF17" s="682"/>
      <c r="DG17" s="682"/>
      <c r="DH17" s="682"/>
      <c r="DI17" s="682"/>
      <c r="DJ17" s="682"/>
      <c r="DK17" s="682"/>
      <c r="DL17" s="682"/>
      <c r="DM17" s="682"/>
      <c r="DN17" s="682"/>
      <c r="DO17" s="682"/>
      <c r="DP17" s="682"/>
      <c r="DQ17" s="682"/>
      <c r="DR17" s="682"/>
      <c r="DS17" s="1547"/>
      <c r="DT17" s="1547"/>
      <c r="DU17" s="1547"/>
      <c r="DV17" s="1547"/>
      <c r="DY17" s="1547"/>
      <c r="DZ17" s="1547"/>
    </row>
    <row r="18" spans="1:130">
      <c r="A18" s="64" t="s">
        <v>176</v>
      </c>
      <c r="B18" s="64"/>
      <c r="C18" s="64"/>
      <c r="D18" s="64"/>
      <c r="E18" s="64"/>
      <c r="F18" s="63"/>
      <c r="G18" s="63"/>
      <c r="H18" s="63"/>
      <c r="I18" s="63"/>
      <c r="J18" s="63"/>
      <c r="K18" s="63"/>
      <c r="L18" s="63"/>
      <c r="M18" s="63"/>
      <c r="N18" s="63"/>
      <c r="O18" s="82">
        <v>-100794</v>
      </c>
      <c r="P18" s="82">
        <v>-158555</v>
      </c>
      <c r="Q18" s="82">
        <v>-136436</v>
      </c>
      <c r="R18" s="82">
        <v>-221650</v>
      </c>
      <c r="S18" s="135">
        <v>-123142</v>
      </c>
      <c r="T18" s="82">
        <v>-177333</v>
      </c>
      <c r="U18" s="82">
        <v>-146178</v>
      </c>
      <c r="V18" s="82">
        <v>-213539</v>
      </c>
      <c r="W18" s="82">
        <v>-114997</v>
      </c>
      <c r="X18" s="82">
        <v>-187153</v>
      </c>
      <c r="Y18" s="82">
        <v>-159553</v>
      </c>
      <c r="Z18" s="82">
        <v>-241441</v>
      </c>
      <c r="AA18" s="63">
        <v>-139172</v>
      </c>
      <c r="AB18" s="63">
        <v>-212538</v>
      </c>
      <c r="AC18" s="63">
        <v>-186722</v>
      </c>
      <c r="AD18" s="63">
        <v>-271971.75599162281</v>
      </c>
      <c r="AE18" s="63">
        <v>-169782.29923982057</v>
      </c>
      <c r="AF18" s="63">
        <v>-248090.6670309609</v>
      </c>
      <c r="AG18" s="63">
        <v>-216403.72997580003</v>
      </c>
      <c r="AH18" s="63">
        <v>-320433.07362972805</v>
      </c>
      <c r="AI18" s="63">
        <v>-204000.37214588071</v>
      </c>
      <c r="AJ18" s="63">
        <v>-282065.53739719861</v>
      </c>
      <c r="AK18" s="63">
        <v>-264722.47864226787</v>
      </c>
      <c r="AL18" s="63">
        <v>-390372.768112096</v>
      </c>
      <c r="AM18" s="63">
        <v>-239543.05601597833</v>
      </c>
      <c r="AN18" s="63">
        <v>-312252.01756370184</v>
      </c>
      <c r="AO18" s="63">
        <v>-298931.18746479158</v>
      </c>
      <c r="AP18" s="63">
        <v>-439375.1580664271</v>
      </c>
      <c r="AQ18" s="1227">
        <f t="shared" ref="AQ18:BP18" si="144">+AQ30-AQ7</f>
        <v>-268487.16406892147</v>
      </c>
      <c r="AR18" s="1227">
        <f t="shared" si="144"/>
        <v>-366284.76970214932</v>
      </c>
      <c r="AS18" s="1227">
        <f t="shared" si="144"/>
        <v>-345146.23612949834</v>
      </c>
      <c r="AT18" s="1227">
        <f t="shared" si="144"/>
        <v>-550413.23671637662</v>
      </c>
      <c r="AU18" s="1227">
        <f t="shared" si="144"/>
        <v>-333218.57644556439</v>
      </c>
      <c r="AV18" s="1227">
        <f t="shared" si="144"/>
        <v>-446389.64943867712</v>
      </c>
      <c r="AW18" s="1227">
        <f t="shared" si="144"/>
        <v>-411493.9382070601</v>
      </c>
      <c r="AX18" s="1227">
        <f t="shared" si="144"/>
        <v>-605645.25532769552</v>
      </c>
      <c r="AY18" s="1227">
        <f t="shared" si="144"/>
        <v>-354727.3376821077</v>
      </c>
      <c r="AZ18" s="1227">
        <f t="shared" si="144"/>
        <v>-482800.43760568043</v>
      </c>
      <c r="BA18" s="1294">
        <f t="shared" si="144"/>
        <v>-415467.46405474958</v>
      </c>
      <c r="BB18" s="1294">
        <f t="shared" si="144"/>
        <v>-633049.65961350873</v>
      </c>
      <c r="BC18" s="1294">
        <f t="shared" si="144"/>
        <v>-405810</v>
      </c>
      <c r="BD18" s="1227">
        <f t="shared" si="144"/>
        <v>-515277</v>
      </c>
      <c r="BE18" s="1227">
        <f t="shared" si="144"/>
        <v>-470042</v>
      </c>
      <c r="BF18" s="1227">
        <f t="shared" si="144"/>
        <v>-696464</v>
      </c>
      <c r="BG18" s="1227">
        <f t="shared" si="144"/>
        <v>-424839</v>
      </c>
      <c r="BH18" s="1227">
        <f t="shared" si="144"/>
        <v>-548805.5376799996</v>
      </c>
      <c r="BI18" s="1227">
        <f t="shared" si="144"/>
        <v>-522737</v>
      </c>
      <c r="BJ18" s="1227">
        <f t="shared" si="144"/>
        <v>-1023318</v>
      </c>
      <c r="BK18" s="1227">
        <f t="shared" si="144"/>
        <v>-644744</v>
      </c>
      <c r="BL18" s="1227">
        <f t="shared" si="144"/>
        <v>-788299</v>
      </c>
      <c r="BM18" s="1227">
        <f t="shared" si="144"/>
        <v>-747779</v>
      </c>
      <c r="BN18" s="1227">
        <f t="shared" si="144"/>
        <v>-1118734</v>
      </c>
      <c r="BO18" s="1227">
        <f t="shared" si="144"/>
        <v>-597896</v>
      </c>
      <c r="BP18" s="1227">
        <f t="shared" si="144"/>
        <v>-207439</v>
      </c>
      <c r="BQ18" s="1227">
        <f t="shared" ref="BQ18:BV18" si="145">+BQ30-BQ7</f>
        <v>-735447</v>
      </c>
      <c r="BR18" s="1227">
        <f t="shared" si="145"/>
        <v>-1207018</v>
      </c>
      <c r="BS18" s="1227">
        <f t="shared" si="145"/>
        <v>-554593</v>
      </c>
      <c r="BT18" s="1227">
        <f t="shared" si="145"/>
        <v>-892577</v>
      </c>
      <c r="BU18" s="1227">
        <f t="shared" si="145"/>
        <v>-919928.62994999764</v>
      </c>
      <c r="BV18" s="1227">
        <f t="shared" si="145"/>
        <v>-1374621.9664300005</v>
      </c>
      <c r="BW18" s="1227">
        <f t="shared" ref="BW18:CC18" si="146">+BW30-BW7</f>
        <v>-840068</v>
      </c>
      <c r="BX18" s="1227">
        <f t="shared" si="146"/>
        <v>-1217124</v>
      </c>
      <c r="BY18" s="1227">
        <f t="shared" si="146"/>
        <v>-973296</v>
      </c>
      <c r="BZ18" s="1227">
        <f t="shared" si="146"/>
        <v>-1353322</v>
      </c>
      <c r="CA18" s="1227">
        <f t="shared" si="146"/>
        <v>-886223</v>
      </c>
      <c r="CB18" s="1227">
        <f t="shared" si="146"/>
        <v>-1185017</v>
      </c>
      <c r="CC18" s="1227">
        <f t="shared" si="146"/>
        <v>-1036914</v>
      </c>
      <c r="CD18" s="1227">
        <f t="shared" ref="CD18:CE18" si="147">+CD30-CD7</f>
        <v>-1972923</v>
      </c>
      <c r="CE18" s="1227">
        <f t="shared" si="147"/>
        <v>-714996</v>
      </c>
      <c r="CF18" s="1227">
        <f t="shared" ref="CF18:CG18" si="148">+CF30-CF7</f>
        <v>-931003</v>
      </c>
      <c r="CG18" s="1227">
        <f t="shared" si="148"/>
        <v>-889667</v>
      </c>
      <c r="CH18" s="1227">
        <f>+CH30-CH7</f>
        <v>-1267701</v>
      </c>
      <c r="CI18" s="1227">
        <f>+CI30-CI7</f>
        <v>-830062</v>
      </c>
      <c r="CJ18" s="1227">
        <f>+CJ30-CJ7</f>
        <v>-1139847</v>
      </c>
      <c r="CK18" s="1227">
        <f>+CK30-CK7</f>
        <v>-947716</v>
      </c>
      <c r="CL18" s="1169">
        <f t="shared" ref="CL18:CP18" si="149">+CL30-CL7</f>
        <v>-1355526.8217217028</v>
      </c>
      <c r="CM18" s="1169">
        <f t="shared" si="149"/>
        <v>-906915.02337315166</v>
      </c>
      <c r="CN18" s="1169">
        <f t="shared" si="149"/>
        <v>-1191930.9840980736</v>
      </c>
      <c r="CO18" s="1169">
        <f t="shared" si="149"/>
        <v>-1030378.1926370207</v>
      </c>
      <c r="CP18" s="1169">
        <f t="shared" si="149"/>
        <v>-1466619.4041918172</v>
      </c>
      <c r="CQ18" s="1169"/>
      <c r="CR18" s="1169"/>
      <c r="CS18" s="578"/>
      <c r="CT18" s="1169">
        <v>-1355526.8217217028</v>
      </c>
      <c r="CU18" s="1102"/>
      <c r="CV18" s="128">
        <v>0</v>
      </c>
      <c r="CW18" s="63">
        <v>0</v>
      </c>
      <c r="CX18" s="63">
        <v>0</v>
      </c>
      <c r="CY18" s="63">
        <v>-617435</v>
      </c>
      <c r="CZ18" s="63">
        <v>-660192</v>
      </c>
      <c r="DA18" s="63">
        <v>-703144</v>
      </c>
      <c r="DB18" s="63">
        <v>-810403.75599162281</v>
      </c>
      <c r="DC18" s="63">
        <v>-954709.76987630955</v>
      </c>
      <c r="DD18" s="63">
        <v>-1141161.1562974432</v>
      </c>
      <c r="DE18" s="63">
        <v>-1290101.4191108989</v>
      </c>
      <c r="DF18" s="1227">
        <f>+SUM(AQ18:AT18)</f>
        <v>-1530331.4066169458</v>
      </c>
      <c r="DG18" s="1227">
        <f>+SUM(AU18:AX18)</f>
        <v>-1796747.4194189971</v>
      </c>
      <c r="DH18" s="1227">
        <f>+SUM(AY18:BB18)</f>
        <v>-1886044.8989560464</v>
      </c>
      <c r="DI18" s="1227">
        <f>+SUM(BC18:BF18)</f>
        <v>-2087593</v>
      </c>
      <c r="DJ18" s="1227">
        <f>+SUM(BG18:BJ18)</f>
        <v>-2519699.5376799996</v>
      </c>
      <c r="DK18" s="1227">
        <f>+SUM(BK18:BN18)</f>
        <v>-3299556</v>
      </c>
      <c r="DL18" s="1227">
        <f>+SUM(BO18:BR18)</f>
        <v>-2747800</v>
      </c>
      <c r="DM18" s="1227">
        <f>+SUM(BS18:BV18)</f>
        <v>-3741720.5963799981</v>
      </c>
      <c r="DN18" s="1227">
        <f>+SUM(BW18:BZ18)</f>
        <v>-4383810</v>
      </c>
      <c r="DO18" s="1227">
        <f>+SUM(CA18:CD18)</f>
        <v>-5081077</v>
      </c>
      <c r="DP18" s="1227">
        <f>+SUM(CE18:CH18)</f>
        <v>-3803367</v>
      </c>
      <c r="DQ18" s="1227">
        <f>+SUM(CI18:CL18)</f>
        <v>-4273151.8217217028</v>
      </c>
      <c r="DR18" s="1227">
        <f>+SUM(CM18:CP18)</f>
        <v>-4595843.6043000631</v>
      </c>
      <c r="DS18" s="1545">
        <f>+DS30-DS7</f>
        <v>-4980866.7411760874</v>
      </c>
      <c r="DT18" s="1545">
        <f t="shared" ref="DT18:DV18" si="150">+DT30-DT7</f>
        <v>-5368052.0385058858</v>
      </c>
      <c r="DU18" s="1545">
        <f t="shared" si="150"/>
        <v>-5775403.944037877</v>
      </c>
      <c r="DV18" s="1545">
        <f t="shared" si="150"/>
        <v>-6213362.2656573765</v>
      </c>
      <c r="DY18" s="1545">
        <v>-4648191.0495846607</v>
      </c>
      <c r="DZ18" s="1545">
        <v>-5094727.4341763463</v>
      </c>
    </row>
    <row r="19" spans="1:130">
      <c r="A19" s="85" t="s">
        <v>177</v>
      </c>
      <c r="B19" s="85"/>
      <c r="C19" s="85"/>
      <c r="D19" s="85"/>
      <c r="E19" s="85"/>
      <c r="F19" s="134"/>
      <c r="G19" s="134"/>
      <c r="H19" s="134"/>
      <c r="I19" s="134"/>
      <c r="J19" s="7"/>
      <c r="K19" s="7"/>
      <c r="L19" s="7"/>
      <c r="M19" s="7"/>
      <c r="N19" s="7"/>
      <c r="O19" s="7">
        <v>0.98071534210321476</v>
      </c>
      <c r="P19" s="7">
        <v>0.98452625631026969</v>
      </c>
      <c r="Q19" s="7">
        <v>0.9806791064086714</v>
      </c>
      <c r="R19" s="7">
        <v>0.98843665131130065</v>
      </c>
      <c r="S19" s="7">
        <v>0.97609347009305791</v>
      </c>
      <c r="T19" s="7">
        <v>0.98119314786534761</v>
      </c>
      <c r="U19" s="7">
        <v>0.97718445628413475</v>
      </c>
      <c r="V19" s="7">
        <v>0.98519024309224035</v>
      </c>
      <c r="W19" s="7">
        <v>0.97194800365123901</v>
      </c>
      <c r="X19" s="7">
        <v>0.98362318612070276</v>
      </c>
      <c r="Y19" s="7">
        <v>0.97803673009023151</v>
      </c>
      <c r="Z19" s="7">
        <v>0.98496691497433975</v>
      </c>
      <c r="AA19" s="7">
        <v>0.97066495557198451</v>
      </c>
      <c r="AB19" s="7">
        <v>0.98100196626879721</v>
      </c>
      <c r="AC19" s="7">
        <v>0.97579355539993939</v>
      </c>
      <c r="AD19" s="7">
        <v>0.9836305693295988</v>
      </c>
      <c r="AE19" s="7">
        <v>0.97186380619491786</v>
      </c>
      <c r="AF19" s="7">
        <v>0.97953590739945717</v>
      </c>
      <c r="AG19" s="7">
        <v>0.97687204635970015</v>
      </c>
      <c r="AH19" s="7">
        <v>0.98354342392851779</v>
      </c>
      <c r="AI19" s="7">
        <v>0.97410379710017048</v>
      </c>
      <c r="AJ19" s="7">
        <v>0.97907939551019785</v>
      </c>
      <c r="AK19" s="7">
        <v>0.97737761888221941</v>
      </c>
      <c r="AL19" s="7">
        <v>0.98357576955737636</v>
      </c>
      <c r="AM19" s="7">
        <v>0.97380182215586142</v>
      </c>
      <c r="AN19" s="7">
        <v>0.97866026359074576</v>
      </c>
      <c r="AO19" s="7">
        <v>0.97747263426239828</v>
      </c>
      <c r="AP19" s="7">
        <v>0.9836067854098931</v>
      </c>
      <c r="AQ19" s="114">
        <f t="shared" ref="AQ19:BC19" si="151">AQ18/AQ15</f>
        <v>0.97294784524035149</v>
      </c>
      <c r="AR19" s="114">
        <f t="shared" si="151"/>
        <v>0.97689300059330186</v>
      </c>
      <c r="AS19" s="114">
        <f t="shared" si="151"/>
        <v>0.973412997195093</v>
      </c>
      <c r="AT19" s="114">
        <f t="shared" si="151"/>
        <v>0.98402005962218198</v>
      </c>
      <c r="AU19" s="114">
        <f t="shared" si="151"/>
        <v>0.97140660032863158</v>
      </c>
      <c r="AV19" s="114">
        <f t="shared" si="151"/>
        <v>0.97603878963747526</v>
      </c>
      <c r="AW19" s="114">
        <f t="shared" si="151"/>
        <v>0.97543939737690377</v>
      </c>
      <c r="AX19" s="114">
        <f t="shared" si="151"/>
        <v>0.98273520695585326</v>
      </c>
      <c r="AY19" s="114">
        <f t="shared" si="151"/>
        <v>0.97178373863495915</v>
      </c>
      <c r="AZ19" s="114">
        <f t="shared" si="151"/>
        <v>0.97772031338023679</v>
      </c>
      <c r="BA19" s="116">
        <f t="shared" si="151"/>
        <v>0.97385666447791974</v>
      </c>
      <c r="BB19" s="116">
        <f t="shared" si="151"/>
        <v>0.98223845710508495</v>
      </c>
      <c r="BC19" s="116">
        <f t="shared" si="151"/>
        <v>0.953994075885091</v>
      </c>
      <c r="BD19" s="116">
        <f t="shared" ref="BD19:BN19" si="152">BD18/BD15</f>
        <v>0.96042206031190414</v>
      </c>
      <c r="BE19" s="116">
        <f t="shared" si="152"/>
        <v>0.96907484300328628</v>
      </c>
      <c r="BF19" s="114">
        <f t="shared" si="152"/>
        <v>0.9781248244480647</v>
      </c>
      <c r="BG19" s="114">
        <f t="shared" si="152"/>
        <v>0.96648330648903935</v>
      </c>
      <c r="BH19" s="114">
        <f t="shared" si="152"/>
        <v>0.97371803975615467</v>
      </c>
      <c r="BI19" s="114">
        <f t="shared" si="152"/>
        <v>0.97395275349951649</v>
      </c>
      <c r="BJ19" s="114">
        <f t="shared" si="152"/>
        <v>0.98543682308383429</v>
      </c>
      <c r="BK19" s="114">
        <f t="shared" si="152"/>
        <v>0.97652087252327158</v>
      </c>
      <c r="BL19" s="114">
        <f t="shared" si="152"/>
        <v>0.97841234615709227</v>
      </c>
      <c r="BM19" s="114">
        <f t="shared" si="152"/>
        <v>0.97704698267188961</v>
      </c>
      <c r="BN19" s="114">
        <f t="shared" si="152"/>
        <v>0.98379214977597795</v>
      </c>
      <c r="BO19" s="114">
        <f t="shared" ref="BO19:BV19" si="153">BO18/BO15</f>
        <v>0.97203372470728244</v>
      </c>
      <c r="BP19" s="114">
        <f t="shared" si="153"/>
        <v>0.93007375524020897</v>
      </c>
      <c r="BQ19" s="114">
        <f t="shared" si="153"/>
        <v>0.98502335162443466</v>
      </c>
      <c r="BR19" s="114">
        <f t="shared" si="153"/>
        <v>0.98963238205963455</v>
      </c>
      <c r="BS19" s="114">
        <f t="shared" si="153"/>
        <v>0.97233389378529489</v>
      </c>
      <c r="BT19" s="114">
        <f t="shared" si="153"/>
        <v>0.98139954744066482</v>
      </c>
      <c r="BU19" s="114">
        <f t="shared" si="153"/>
        <v>0.98005013838696919</v>
      </c>
      <c r="BV19" s="114">
        <f t="shared" si="153"/>
        <v>0.98122579433734081</v>
      </c>
      <c r="BW19" s="114">
        <f t="shared" ref="BW19:CC19" si="154">BW18/BW15</f>
        <v>0.96455213384144278</v>
      </c>
      <c r="BX19" s="114">
        <f t="shared" si="154"/>
        <v>0.96534395500067816</v>
      </c>
      <c r="BY19" s="114">
        <f t="shared" si="154"/>
        <v>0.95649610245645478</v>
      </c>
      <c r="BZ19" s="114">
        <f t="shared" si="154"/>
        <v>0.9644004965516455</v>
      </c>
      <c r="CA19" s="114">
        <f t="shared" si="154"/>
        <v>0.95079225267115053</v>
      </c>
      <c r="CB19" s="114">
        <f t="shared" si="154"/>
        <v>0.9565853701851551</v>
      </c>
      <c r="CC19" s="114">
        <f t="shared" si="154"/>
        <v>0.9559277970351796</v>
      </c>
      <c r="CD19" s="114">
        <f t="shared" ref="CD19:CE19" si="155">CD18/CD15</f>
        <v>0.96955917490390031</v>
      </c>
      <c r="CE19" s="114">
        <f t="shared" si="155"/>
        <v>0.94500814826269519</v>
      </c>
      <c r="CF19" s="114">
        <f t="shared" ref="CF19:CH19" si="156">CF18/CF15</f>
        <v>0.95878573422050761</v>
      </c>
      <c r="CG19" s="114">
        <f t="shared" si="156"/>
        <v>0.95693472660682688</v>
      </c>
      <c r="CH19" s="114">
        <f t="shared" si="156"/>
        <v>0.96967668800254558</v>
      </c>
      <c r="CI19" s="114">
        <f t="shared" ref="CI19:CJ19" si="157">CI18/CI15</f>
        <v>0.95338962123396154</v>
      </c>
      <c r="CJ19" s="114">
        <f t="shared" si="157"/>
        <v>0.96629959308240077</v>
      </c>
      <c r="CK19" s="114">
        <f t="shared" ref="CK19" si="158">CK18/CK15</f>
        <v>0.96097066842965018</v>
      </c>
      <c r="CL19" s="1170">
        <f t="shared" ref="CL19:CP19" si="159">CL18/CL15</f>
        <v>0.97440594436739991</v>
      </c>
      <c r="CM19" s="1170">
        <f t="shared" si="159"/>
        <v>0.95849387704919475</v>
      </c>
      <c r="CN19" s="1170">
        <f t="shared" si="159"/>
        <v>0.96785108321556879</v>
      </c>
      <c r="CO19" s="1170">
        <f t="shared" si="159"/>
        <v>0.96266340388530491</v>
      </c>
      <c r="CP19" s="1170">
        <f t="shared" si="159"/>
        <v>0.97346387111934796</v>
      </c>
      <c r="CQ19" s="1170"/>
      <c r="CR19" s="1170"/>
      <c r="CS19" s="615"/>
      <c r="CT19" s="1170">
        <v>0.97440594436739991</v>
      </c>
      <c r="CU19" s="1104"/>
      <c r="CV19" s="7">
        <v>0</v>
      </c>
      <c r="CW19" s="7">
        <v>0</v>
      </c>
      <c r="CX19" s="7">
        <v>0</v>
      </c>
      <c r="CY19" s="7">
        <v>0.98444649946587159</v>
      </c>
      <c r="CZ19" s="7">
        <v>0.98063366160153287</v>
      </c>
      <c r="DA19" s="7">
        <v>0.98088434491600018</v>
      </c>
      <c r="DB19" s="7">
        <v>0.97888579140969989</v>
      </c>
      <c r="DC19" s="7">
        <v>0.97889529116998919</v>
      </c>
      <c r="DD19" s="7">
        <v>0.97932109186333005</v>
      </c>
      <c r="DE19" s="7">
        <v>0.97915457185840482</v>
      </c>
      <c r="DF19" s="114">
        <f t="shared" ref="DF19:DM19" si="160">DF18/DF15</f>
        <v>0.97795634023072453</v>
      </c>
      <c r="DG19" s="114">
        <f t="shared" si="160"/>
        <v>0.97728168457209741</v>
      </c>
      <c r="DH19" s="114">
        <f t="shared" si="160"/>
        <v>0.97725222103254961</v>
      </c>
      <c r="DI19" s="114">
        <f t="shared" si="160"/>
        <v>0.96693798393958608</v>
      </c>
      <c r="DJ19" s="114">
        <f t="shared" si="160"/>
        <v>0.97725326923691536</v>
      </c>
      <c r="DK19" s="114">
        <f t="shared" si="160"/>
        <v>0.9795475603163355</v>
      </c>
      <c r="DL19" s="114">
        <f>DL18/DL15</f>
        <v>0.97980869518707048</v>
      </c>
      <c r="DM19" s="114">
        <f t="shared" si="160"/>
        <v>0.97965038016939665</v>
      </c>
      <c r="DN19" s="114">
        <f t="shared" ref="DN19:DS19" si="161">DN18/DN15</f>
        <v>0.96292405969157857</v>
      </c>
      <c r="DO19" s="114">
        <f t="shared" si="161"/>
        <v>0.96041999261313826</v>
      </c>
      <c r="DP19" s="114">
        <f t="shared" ref="DP19:DQ19" si="162">DP18/DP15</f>
        <v>0.95931368901612368</v>
      </c>
      <c r="DQ19" s="114">
        <f t="shared" si="162"/>
        <v>0.96512098155057446</v>
      </c>
      <c r="DR19" s="114">
        <f t="shared" ref="DR19" si="163">DR18/DR15</f>
        <v>0.96659966845539458</v>
      </c>
      <c r="DS19" s="1546">
        <f t="shared" si="161"/>
        <v>0.96694977605426446</v>
      </c>
      <c r="DT19" s="1546">
        <f t="shared" ref="DT19:DV19" si="164">DT18/DT15</f>
        <v>0.96918420501604674</v>
      </c>
      <c r="DU19" s="1546">
        <f t="shared" si="164"/>
        <v>0.97117441524030645</v>
      </c>
      <c r="DV19" s="1546">
        <f t="shared" si="164"/>
        <v>0.97304357274710485</v>
      </c>
      <c r="DY19" s="1546">
        <v>0.96642958280233948</v>
      </c>
      <c r="DZ19" s="1546">
        <v>0.97028656151901282</v>
      </c>
    </row>
    <row r="20" spans="1:130">
      <c r="A20" s="24" t="s">
        <v>178</v>
      </c>
      <c r="B20" s="24"/>
      <c r="C20" s="24"/>
      <c r="D20" s="24"/>
      <c r="E20" s="24"/>
      <c r="F20" s="24"/>
      <c r="G20" s="24"/>
      <c r="H20" s="24"/>
      <c r="I20" s="24"/>
      <c r="J20" s="7"/>
      <c r="K20" s="7"/>
      <c r="L20" s="7"/>
      <c r="M20" s="7"/>
      <c r="N20" s="7"/>
      <c r="O20" s="7">
        <v>-0.24518897459661823</v>
      </c>
      <c r="P20" s="7">
        <v>-0.26298286643114227</v>
      </c>
      <c r="Q20" s="7">
        <v>-0.25655799050008088</v>
      </c>
      <c r="R20" s="7">
        <v>-0.2691978838240795</v>
      </c>
      <c r="S20" s="7">
        <v>-0.24311139627856473</v>
      </c>
      <c r="T20" s="7">
        <v>-0.25805939937046968</v>
      </c>
      <c r="U20" s="7">
        <v>-0.24558980665712385</v>
      </c>
      <c r="V20" s="7">
        <v>-0.25811649262598557</v>
      </c>
      <c r="W20" s="7">
        <v>-0.24075779970940822</v>
      </c>
      <c r="X20" s="7">
        <v>-0.25226686076683041</v>
      </c>
      <c r="Y20" s="7">
        <v>-0.24687791571184758</v>
      </c>
      <c r="Z20" s="7">
        <v>-0.25326891143282432</v>
      </c>
      <c r="AA20" s="7">
        <v>-0.24019274513391023</v>
      </c>
      <c r="AB20" s="7">
        <v>-0.25226253876730359</v>
      </c>
      <c r="AC20" s="7">
        <v>-0.24716266337684756</v>
      </c>
      <c r="AD20" s="9">
        <v>-0.24822171467772142</v>
      </c>
      <c r="AE20" s="9">
        <v>-0.24695991548894569</v>
      </c>
      <c r="AF20" s="9">
        <v>-0.24865170807770456</v>
      </c>
      <c r="AG20" s="9">
        <v>-0.24774900040530481</v>
      </c>
      <c r="AH20" s="9">
        <v>-0.24789558466241912</v>
      </c>
      <c r="AI20" s="9">
        <v>-0.24781405215859353</v>
      </c>
      <c r="AJ20" s="9">
        <v>-0.24802758632600549</v>
      </c>
      <c r="AK20" s="9">
        <v>-0.24787155588808074</v>
      </c>
      <c r="AL20" s="9">
        <v>-0.24790219475877473</v>
      </c>
      <c r="AM20" s="9">
        <v>-0.24790384728286363</v>
      </c>
      <c r="AN20" s="9">
        <v>-0.24792629606393116</v>
      </c>
      <c r="AO20" s="9">
        <v>-0.24790097349841256</v>
      </c>
      <c r="AP20" s="9">
        <v>-0.24790832790099551</v>
      </c>
      <c r="AQ20" s="1231">
        <f t="shared" ref="AQ20:BC20" si="165">+AVERAGE(AM20:AP20)</f>
        <v>-0.2479098611865507</v>
      </c>
      <c r="AR20" s="1231">
        <f t="shared" si="165"/>
        <v>-0.24791136466247246</v>
      </c>
      <c r="AS20" s="1231">
        <f t="shared" si="165"/>
        <v>-0.24790763181210779</v>
      </c>
      <c r="AT20" s="1231">
        <f t="shared" si="165"/>
        <v>-0.24790929639053161</v>
      </c>
      <c r="AU20" s="1231">
        <f t="shared" si="165"/>
        <v>-0.24790953851291564</v>
      </c>
      <c r="AV20" s="1231">
        <f t="shared" si="165"/>
        <v>-0.24790945784450688</v>
      </c>
      <c r="AW20" s="1231">
        <f t="shared" si="165"/>
        <v>-0.24790898114001547</v>
      </c>
      <c r="AX20" s="1231">
        <f t="shared" si="165"/>
        <v>-0.24790931847199241</v>
      </c>
      <c r="AY20" s="1231">
        <f t="shared" si="165"/>
        <v>-0.2479093239923576</v>
      </c>
      <c r="AZ20" s="1231">
        <f t="shared" si="165"/>
        <v>-0.2479092703622181</v>
      </c>
      <c r="BA20" s="1295">
        <f t="shared" si="165"/>
        <v>-0.2479092234916459</v>
      </c>
      <c r="BB20" s="1295">
        <f t="shared" si="165"/>
        <v>-0.24790928407955351</v>
      </c>
      <c r="BC20" s="1295">
        <f t="shared" si="165"/>
        <v>-0.24790927548144379</v>
      </c>
      <c r="BD20" s="1295">
        <f>+AVERAGE(AZ20:BC20)</f>
        <v>-0.24790926335371533</v>
      </c>
      <c r="BE20" s="1295">
        <f>+AVERAGE(BA20:BD20)</f>
        <v>-0.24790926160158963</v>
      </c>
      <c r="BF20" s="1231">
        <f>+AVERAGE(BB20:BE20)</f>
        <v>-0.24790927112907557</v>
      </c>
      <c r="BG20" s="114">
        <f t="shared" ref="BG20:BP20" si="166">+BG18/BG7</f>
        <v>-0.23295979838324948</v>
      </c>
      <c r="BH20" s="114">
        <f t="shared" si="166"/>
        <v>-0.235656530117276</v>
      </c>
      <c r="BI20" s="114">
        <f t="shared" si="166"/>
        <v>-0.23397075818705415</v>
      </c>
      <c r="BJ20" s="114">
        <f t="shared" si="166"/>
        <v>-0.2828064027592001</v>
      </c>
      <c r="BK20" s="114">
        <f t="shared" si="166"/>
        <v>-0.28092428981809359</v>
      </c>
      <c r="BL20" s="114">
        <f t="shared" si="166"/>
        <v>-0.28076595814398614</v>
      </c>
      <c r="BM20" s="114">
        <f t="shared" si="166"/>
        <v>-0.27905293982206236</v>
      </c>
      <c r="BN20" s="114">
        <f t="shared" si="166"/>
        <v>-0.2802585906279686</v>
      </c>
      <c r="BO20" s="114">
        <f t="shared" si="166"/>
        <v>-0.27834024494477849</v>
      </c>
      <c r="BP20" s="114">
        <f t="shared" si="166"/>
        <v>-0.27766823946725561</v>
      </c>
      <c r="BQ20" s="114">
        <f t="shared" ref="BQ20:BV20" si="167">+BQ18/BQ7</f>
        <v>-0.30815111093233849</v>
      </c>
      <c r="BR20" s="114">
        <f t="shared" si="167"/>
        <v>-0.29249867202251939</v>
      </c>
      <c r="BS20" s="114">
        <f t="shared" si="167"/>
        <v>-0.28899953621919633</v>
      </c>
      <c r="BT20" s="114">
        <f t="shared" si="167"/>
        <v>-0.28324088471424491</v>
      </c>
      <c r="BU20" s="114">
        <f t="shared" si="167"/>
        <v>-0.27945616950392305</v>
      </c>
      <c r="BV20" s="114">
        <f t="shared" si="167"/>
        <v>-0.27852945573750171</v>
      </c>
      <c r="BW20" s="114">
        <f t="shared" ref="BW20:CC20" si="168">+BW18/BW7</f>
        <v>-0.27366158555157727</v>
      </c>
      <c r="BX20" s="114">
        <f t="shared" si="168"/>
        <v>-0.27706813019008764</v>
      </c>
      <c r="BY20" s="114">
        <f t="shared" si="168"/>
        <v>-0.27120246030934425</v>
      </c>
      <c r="BZ20" s="114">
        <f t="shared" si="168"/>
        <v>-0.2757275294783042</v>
      </c>
      <c r="CA20" s="114">
        <f t="shared" si="168"/>
        <v>-0.28007611349646139</v>
      </c>
      <c r="CB20" s="114">
        <f t="shared" si="168"/>
        <v>-0.28415486481736058</v>
      </c>
      <c r="CC20" s="114">
        <f t="shared" si="168"/>
        <v>-0.28230556871457274</v>
      </c>
      <c r="CD20" s="114">
        <f t="shared" ref="CD20:CE20" si="169">+CD18/CD7</f>
        <v>-0.34134478137337032</v>
      </c>
      <c r="CE20" s="1963">
        <f t="shared" si="169"/>
        <v>-0.22510398917983612</v>
      </c>
      <c r="CF20" s="1963">
        <f t="shared" ref="CF20:CH20" si="170">+CF18/CF7</f>
        <v>-0.23211672317065934</v>
      </c>
      <c r="CG20" s="1963">
        <f t="shared" si="170"/>
        <v>-0.23134559091787305</v>
      </c>
      <c r="CH20" s="1963">
        <f t="shared" si="170"/>
        <v>-0.23292708471138157</v>
      </c>
      <c r="CI20" s="1963">
        <f t="shared" ref="CI20:CJ20" si="171">+CI18/CI7</f>
        <v>-0.23141474174649879</v>
      </c>
      <c r="CJ20" s="1963">
        <f t="shared" si="171"/>
        <v>-0.23798793030443996</v>
      </c>
      <c r="CK20" s="1963">
        <f t="shared" ref="CK20" si="172">+CK18/CK7</f>
        <v>-0.235348341700057</v>
      </c>
      <c r="CL20" s="191">
        <f t="shared" ref="CL20" si="173">+AVERAGE(CJ20:CK20)</f>
        <v>-0.23666813600224848</v>
      </c>
      <c r="CM20" s="191">
        <f t="shared" ref="CM20" si="174">+AVERAGE(CK20:CL20)</f>
        <v>-0.23600823885115274</v>
      </c>
      <c r="CN20" s="191">
        <f t="shared" ref="CN20" si="175">+AVERAGE(CL20:CM20)</f>
        <v>-0.2363381874267006</v>
      </c>
      <c r="CO20" s="191">
        <f t="shared" ref="CO20" si="176">+AVERAGE(CM20:CN20)</f>
        <v>-0.23617321313892667</v>
      </c>
      <c r="CP20" s="191">
        <f t="shared" ref="CP20" si="177">+AVERAGE(CN20:CO20)</f>
        <v>-0.23625570028281362</v>
      </c>
      <c r="CQ20" s="191"/>
      <c r="CR20" s="191"/>
      <c r="CS20" s="191"/>
      <c r="CT20" s="191">
        <v>-0.23666813600224848</v>
      </c>
      <c r="CU20" s="727"/>
      <c r="CV20" s="7" t="e">
        <v>#DIV/0!</v>
      </c>
      <c r="CW20" s="7">
        <v>0</v>
      </c>
      <c r="CX20" s="7">
        <v>0</v>
      </c>
      <c r="CY20" s="7">
        <v>-0.26061313636925781</v>
      </c>
      <c r="CZ20" s="7">
        <v>-0.25234642592174261</v>
      </c>
      <c r="DA20" s="7">
        <v>-0.24942029638400448</v>
      </c>
      <c r="DB20" s="7">
        <v>-0.24759609775451952</v>
      </c>
      <c r="DC20" s="7">
        <v>-0.24789120082848023</v>
      </c>
      <c r="DD20" s="7">
        <v>-0.24791030206455505</v>
      </c>
      <c r="DE20" s="7">
        <v>-0.24791014044045312</v>
      </c>
      <c r="DF20" s="114">
        <f>DF18/DF7</f>
        <v>-0.2479095150907332</v>
      </c>
      <c r="DG20" s="114" t="s">
        <v>179</v>
      </c>
      <c r="DH20" s="114">
        <f>DH18/DH7</f>
        <v>-0.24790927472829932</v>
      </c>
      <c r="DI20" s="114">
        <f>DI18/DI7</f>
        <v>-0.24029388330536647</v>
      </c>
      <c r="DJ20" s="114">
        <f>DJ18/DJ7</f>
        <v>-0.25184069558205674</v>
      </c>
      <c r="DK20" s="114">
        <f>DK18/DK7</f>
        <v>-0.2802349432222811</v>
      </c>
      <c r="DL20" s="114">
        <f t="shared" ref="DL20:DP20" si="178">DL18/DL7</f>
        <v>-0.29205906102129686</v>
      </c>
      <c r="DM20" s="114">
        <f t="shared" si="178"/>
        <v>-0.28138638916026498</v>
      </c>
      <c r="DN20" s="114">
        <f t="shared" si="178"/>
        <v>-0.27468161022782206</v>
      </c>
      <c r="DO20" s="114">
        <f t="shared" si="178"/>
        <v>-0.3026717570666172</v>
      </c>
      <c r="DP20" s="114">
        <f t="shared" si="178"/>
        <v>-0.23085243215654061</v>
      </c>
      <c r="DQ20" s="114">
        <f t="shared" ref="DQ20:DR20" si="179">DQ18/DQ7</f>
        <v>-0.23568434914386022</v>
      </c>
      <c r="DR20" s="114">
        <f t="shared" si="179"/>
        <v>-0.23620971120062628</v>
      </c>
      <c r="DS20" s="191">
        <f t="shared" ref="DS20:DV20" si="180">+AVERAGE(DQ20:DR20)</f>
        <v>-0.23594703017224325</v>
      </c>
      <c r="DT20" s="191">
        <f t="shared" si="180"/>
        <v>-0.23607837068643478</v>
      </c>
      <c r="DU20" s="191">
        <f t="shared" si="180"/>
        <v>-0.23601270042933903</v>
      </c>
      <c r="DV20" s="191">
        <f t="shared" si="180"/>
        <v>-0.2360455355578869</v>
      </c>
      <c r="DY20" s="191">
        <v>-0.23327446864979912</v>
      </c>
      <c r="DZ20" s="191">
        <v>-0.23448548689642834</v>
      </c>
    </row>
    <row r="21" spans="1:130">
      <c r="A21" s="64" t="s">
        <v>180</v>
      </c>
      <c r="B21" s="64"/>
      <c r="C21" s="64"/>
      <c r="D21" s="64"/>
      <c r="E21" s="64"/>
      <c r="F21" s="63"/>
      <c r="G21" s="63"/>
      <c r="H21" s="63"/>
      <c r="I21" s="63"/>
      <c r="J21" s="63"/>
      <c r="K21" s="63"/>
      <c r="L21" s="63"/>
      <c r="M21" s="63"/>
      <c r="N21" s="63"/>
      <c r="O21" s="82">
        <v>-1982</v>
      </c>
      <c r="P21" s="82">
        <v>-2492</v>
      </c>
      <c r="Q21" s="82">
        <v>-2688</v>
      </c>
      <c r="R21" s="82">
        <v>-2593</v>
      </c>
      <c r="S21" s="135">
        <v>-3016</v>
      </c>
      <c r="T21" s="82">
        <v>-3399</v>
      </c>
      <c r="U21" s="82">
        <v>-3413</v>
      </c>
      <c r="V21" s="82">
        <v>-3210</v>
      </c>
      <c r="W21" s="82">
        <v>-3319</v>
      </c>
      <c r="X21" s="82">
        <v>-3116</v>
      </c>
      <c r="Y21" s="82">
        <v>-3583</v>
      </c>
      <c r="Z21" s="82">
        <v>-3685</v>
      </c>
      <c r="AA21" s="63">
        <v>-4206</v>
      </c>
      <c r="AB21" s="63">
        <v>-4116</v>
      </c>
      <c r="AC21" s="63">
        <v>-4632</v>
      </c>
      <c r="AD21" s="63">
        <v>-4526.1126919290982</v>
      </c>
      <c r="AE21" s="63">
        <v>-4915.3262480133562</v>
      </c>
      <c r="AF21" s="63">
        <v>-5183.0161049743328</v>
      </c>
      <c r="AG21" s="63">
        <v>-5123.4708303090883</v>
      </c>
      <c r="AH21" s="63">
        <v>-5361.4625686213549</v>
      </c>
      <c r="AI21" s="63">
        <v>-5423.2773185537662</v>
      </c>
      <c r="AJ21" s="63">
        <v>-6027.071527754204</v>
      </c>
      <c r="AK21" s="63">
        <v>-6127.2661523985589</v>
      </c>
      <c r="AL21" s="63">
        <v>-6518.6358798603032</v>
      </c>
      <c r="AM21" s="63">
        <v>-6444.4237421344878</v>
      </c>
      <c r="AN21" s="63">
        <v>-6808.6709923411545</v>
      </c>
      <c r="AO21" s="63">
        <v>-6889.3306619028735</v>
      </c>
      <c r="AP21" s="63">
        <v>-7322.8157416009199</v>
      </c>
      <c r="AQ21" s="1227">
        <f t="shared" ref="AQ21:BP21" si="181">+AQ34-AQ11</f>
        <v>-7465.10344711988</v>
      </c>
      <c r="AR21" s="1227">
        <f t="shared" si="181"/>
        <v>-8663.9396034670935</v>
      </c>
      <c r="AS21" s="1227">
        <f t="shared" si="181"/>
        <v>-9427.0407057641714</v>
      </c>
      <c r="AT21" s="1227">
        <f t="shared" si="181"/>
        <v>-8938.4058992320206</v>
      </c>
      <c r="AU21" s="1227">
        <f t="shared" si="181"/>
        <v>-9808.3047109306499</v>
      </c>
      <c r="AV21" s="1227">
        <f t="shared" si="181"/>
        <v>-10958.618046139978</v>
      </c>
      <c r="AW21" s="1227">
        <f t="shared" si="181"/>
        <v>-10361.011791500787</v>
      </c>
      <c r="AX21" s="1227">
        <f t="shared" si="181"/>
        <v>-10640.038046252448</v>
      </c>
      <c r="AY21" s="1227">
        <f t="shared" si="181"/>
        <v>-10299.698251200403</v>
      </c>
      <c r="AZ21" s="1227">
        <f t="shared" si="181"/>
        <v>-11001.758174125047</v>
      </c>
      <c r="BA21" s="1294">
        <f t="shared" si="181"/>
        <v>-11153.289500887709</v>
      </c>
      <c r="BB21" s="1294">
        <f t="shared" si="181"/>
        <v>-11447.259677630122</v>
      </c>
      <c r="BC21" s="1294">
        <f t="shared" si="181"/>
        <v>-19570</v>
      </c>
      <c r="BD21" s="1227">
        <f t="shared" si="181"/>
        <v>-21234</v>
      </c>
      <c r="BE21" s="1227">
        <f t="shared" si="181"/>
        <v>-15000</v>
      </c>
      <c r="BF21" s="1227">
        <f t="shared" si="181"/>
        <v>-15576</v>
      </c>
      <c r="BG21" s="1227">
        <f t="shared" si="181"/>
        <v>-14733</v>
      </c>
      <c r="BH21" s="1227">
        <f t="shared" si="181"/>
        <v>-14813</v>
      </c>
      <c r="BI21" s="1227">
        <f t="shared" si="181"/>
        <v>-13980</v>
      </c>
      <c r="BJ21" s="1227">
        <f t="shared" si="181"/>
        <v>-15123</v>
      </c>
      <c r="BK21" s="1227">
        <f t="shared" si="181"/>
        <v>-15502</v>
      </c>
      <c r="BL21" s="1227">
        <f t="shared" si="181"/>
        <v>-17393</v>
      </c>
      <c r="BM21" s="1227">
        <f t="shared" si="181"/>
        <v>-17567</v>
      </c>
      <c r="BN21" s="1227">
        <f t="shared" si="181"/>
        <v>-18431</v>
      </c>
      <c r="BO21" s="1227">
        <f t="shared" si="181"/>
        <v>-17202</v>
      </c>
      <c r="BP21" s="1227">
        <f t="shared" si="181"/>
        <v>-15596</v>
      </c>
      <c r="BQ21" s="1227">
        <f t="shared" ref="BQ21:BV21" si="182">+BQ34-BQ11</f>
        <v>-11182</v>
      </c>
      <c r="BR21" s="1227">
        <f t="shared" si="182"/>
        <v>-12645</v>
      </c>
      <c r="BS21" s="1227">
        <f t="shared" si="182"/>
        <v>-15780</v>
      </c>
      <c r="BT21" s="1227">
        <f t="shared" si="182"/>
        <v>-16917</v>
      </c>
      <c r="BU21" s="1227">
        <f t="shared" si="182"/>
        <v>-18726.030579999904</v>
      </c>
      <c r="BV21" s="1227">
        <f t="shared" si="182"/>
        <v>-26301.220020000124</v>
      </c>
      <c r="BW21" s="1227">
        <f t="shared" ref="BW21:CC21" si="183">+BW34-BW11</f>
        <v>-30873</v>
      </c>
      <c r="BX21" s="1227">
        <f t="shared" si="183"/>
        <v>-43695</v>
      </c>
      <c r="BY21" s="1227">
        <f t="shared" si="183"/>
        <v>-44268</v>
      </c>
      <c r="BZ21" s="1227">
        <f t="shared" si="183"/>
        <v>-49956</v>
      </c>
      <c r="CA21" s="1227">
        <f t="shared" si="183"/>
        <v>-45866</v>
      </c>
      <c r="CB21" s="1227">
        <f t="shared" si="183"/>
        <v>-53782</v>
      </c>
      <c r="CC21" s="1227">
        <f t="shared" si="183"/>
        <v>-47806</v>
      </c>
      <c r="CD21" s="1227">
        <f t="shared" ref="CD21:CE21" si="184">+CD34-CD11</f>
        <v>-61943</v>
      </c>
      <c r="CE21" s="1227">
        <f t="shared" si="184"/>
        <v>-41607</v>
      </c>
      <c r="CF21" s="1227">
        <f t="shared" ref="CF21:CH21" si="185">+CF34-CF11</f>
        <v>-40020</v>
      </c>
      <c r="CG21" s="1227">
        <f t="shared" si="185"/>
        <v>-40038</v>
      </c>
      <c r="CH21" s="1227">
        <f t="shared" si="185"/>
        <v>-39643</v>
      </c>
      <c r="CI21" s="1227">
        <f t="shared" ref="CI21:CJ21" si="186">+CI34-CI11</f>
        <v>-40581</v>
      </c>
      <c r="CJ21" s="1227">
        <f t="shared" si="186"/>
        <v>-39753</v>
      </c>
      <c r="CK21" s="1227">
        <f t="shared" ref="CK21" si="187">+CK34-CK11</f>
        <v>-38491</v>
      </c>
      <c r="CL21" s="1169">
        <f t="shared" ref="CL21:CP21" si="188">+CL34-CL11</f>
        <v>-35604.697495098168</v>
      </c>
      <c r="CM21" s="1169">
        <f t="shared" si="188"/>
        <v>-39272.578956836136</v>
      </c>
      <c r="CN21" s="1169">
        <f t="shared" si="188"/>
        <v>-39592.134249871306</v>
      </c>
      <c r="CO21" s="1169">
        <f t="shared" si="188"/>
        <v>-39962.892812388949</v>
      </c>
      <c r="CP21" s="1169">
        <f t="shared" si="188"/>
        <v>-39979.297314597352</v>
      </c>
      <c r="CQ21" s="1169"/>
      <c r="CR21" s="1169"/>
      <c r="CS21" s="578"/>
      <c r="CT21" s="1169">
        <v>-35604.697495098168</v>
      </c>
      <c r="CU21" s="1102"/>
      <c r="CV21" s="128">
        <v>0</v>
      </c>
      <c r="CW21" s="63">
        <v>0</v>
      </c>
      <c r="CX21" s="63">
        <v>0</v>
      </c>
      <c r="CY21" s="63">
        <v>-9755</v>
      </c>
      <c r="CZ21" s="63">
        <v>-13038</v>
      </c>
      <c r="DA21" s="63">
        <v>-13703</v>
      </c>
      <c r="DB21" s="63">
        <v>-17480.112691929098</v>
      </c>
      <c r="DC21" s="63">
        <v>-20583.275751918132</v>
      </c>
      <c r="DD21" s="63">
        <v>-24096.250878566832</v>
      </c>
      <c r="DE21" s="63">
        <v>-27465.241137979436</v>
      </c>
      <c r="DF21" s="1227">
        <f>+SUM(AQ21:AT21)</f>
        <v>-34494.489655583166</v>
      </c>
      <c r="DG21" s="1227">
        <f>+SUM(AU21:AX21)</f>
        <v>-41767.972594823863</v>
      </c>
      <c r="DH21" s="1227">
        <f>+SUM(AY21:BB21)</f>
        <v>-43902.005603843281</v>
      </c>
      <c r="DI21" s="1227">
        <f>+SUM(BC21:BF21)</f>
        <v>-71380</v>
      </c>
      <c r="DJ21" s="1227">
        <f>+SUM(BG21:BJ21)</f>
        <v>-58649</v>
      </c>
      <c r="DK21" s="1227">
        <f>+SUM(BK21:BN21)</f>
        <v>-68893</v>
      </c>
      <c r="DL21" s="1227">
        <f>+SUM(BO21:BR21)</f>
        <v>-56625</v>
      </c>
      <c r="DM21" s="1227">
        <f>+SUM(BS21:BV21)</f>
        <v>-77724.250600000028</v>
      </c>
      <c r="DN21" s="1227">
        <f>+SUM(BW21:BZ21)</f>
        <v>-168792</v>
      </c>
      <c r="DO21" s="1227">
        <f>+SUM(CA21:CD21)</f>
        <v>-209397</v>
      </c>
      <c r="DP21" s="1227">
        <f>+SUM(CE21:CH21)</f>
        <v>-161308</v>
      </c>
      <c r="DQ21" s="1227">
        <f>+SUM(CI21:CL21)</f>
        <v>-154429.69749509817</v>
      </c>
      <c r="DR21" s="1227">
        <f>+SUM(CM21:CP21)</f>
        <v>-158806.90333369374</v>
      </c>
      <c r="DS21" s="1545">
        <f>+DS34-DS11</f>
        <v>-170245.41017164197</v>
      </c>
      <c r="DT21" s="1545">
        <f t="shared" ref="DT21:DV21" si="189">+DT34-DT11</f>
        <v>-170680.44467258966</v>
      </c>
      <c r="DU21" s="1545">
        <f t="shared" si="189"/>
        <v>-171420.69776327303</v>
      </c>
      <c r="DV21" s="1545">
        <f t="shared" si="189"/>
        <v>-172130.05933250999</v>
      </c>
      <c r="DY21" s="1545">
        <v>-161462.06151566352</v>
      </c>
      <c r="DZ21" s="1545">
        <v>-156017.69229474221</v>
      </c>
    </row>
    <row r="22" spans="1:130">
      <c r="A22" s="85" t="s">
        <v>177</v>
      </c>
      <c r="B22" s="85"/>
      <c r="C22" s="85"/>
      <c r="D22" s="85"/>
      <c r="E22" s="85"/>
      <c r="F22" s="134"/>
      <c r="G22" s="134"/>
      <c r="H22" s="134"/>
      <c r="I22" s="134"/>
      <c r="J22" s="7"/>
      <c r="K22" s="7"/>
      <c r="L22" s="7"/>
      <c r="M22" s="7"/>
      <c r="N22" s="7"/>
      <c r="O22" s="7">
        <v>1.928465789678524E-2</v>
      </c>
      <c r="P22" s="7">
        <v>1.5473743689730327E-2</v>
      </c>
      <c r="Q22" s="7">
        <v>1.9320893591328599E-2</v>
      </c>
      <c r="R22" s="7">
        <v>1.1563348688699312E-2</v>
      </c>
      <c r="S22" s="7">
        <v>2.390652990694209E-2</v>
      </c>
      <c r="T22" s="7">
        <v>1.8806852134652413E-2</v>
      </c>
      <c r="U22" s="7">
        <v>2.281554371586526E-2</v>
      </c>
      <c r="V22" s="7">
        <v>1.4809756907759666E-2</v>
      </c>
      <c r="W22" s="7">
        <v>2.8051996348760946E-2</v>
      </c>
      <c r="X22" s="7">
        <v>1.6376813879297205E-2</v>
      </c>
      <c r="Y22" s="7">
        <v>2.1963269909768535E-2</v>
      </c>
      <c r="Z22" s="7">
        <v>1.5033085025660272E-2</v>
      </c>
      <c r="AA22" s="7">
        <v>2.9335044428015454E-2</v>
      </c>
      <c r="AB22" s="7">
        <v>1.8998033731202749E-2</v>
      </c>
      <c r="AC22" s="7">
        <v>2.420644460006062E-2</v>
      </c>
      <c r="AD22" s="7">
        <v>1.6369430670401201E-2</v>
      </c>
      <c r="AE22" s="7">
        <v>2.8136193805082161E-2</v>
      </c>
      <c r="AF22" s="7">
        <v>2.0464092600542876E-2</v>
      </c>
      <c r="AG22" s="7">
        <v>2.3127953640299855E-2</v>
      </c>
      <c r="AH22" s="7">
        <v>1.6456576071482064E-2</v>
      </c>
      <c r="AI22" s="7">
        <v>2.5896202899829506E-2</v>
      </c>
      <c r="AJ22" s="7">
        <v>2.0920604489802225E-2</v>
      </c>
      <c r="AK22" s="7">
        <v>2.2622381117780612E-2</v>
      </c>
      <c r="AL22" s="7">
        <v>1.6424230442623582E-2</v>
      </c>
      <c r="AM22" s="7">
        <v>2.619817784413862E-2</v>
      </c>
      <c r="AN22" s="7">
        <v>2.1339736409254354E-2</v>
      </c>
      <c r="AO22" s="7">
        <v>2.2527365737601623E-2</v>
      </c>
      <c r="AP22" s="7">
        <v>1.6393214590106821E-2</v>
      </c>
      <c r="AQ22" s="114">
        <f t="shared" ref="AQ22:BP22" si="190">AQ21/AQ15</f>
        <v>2.705215475964852E-2</v>
      </c>
      <c r="AR22" s="114">
        <f t="shared" si="190"/>
        <v>2.3106999406698088E-2</v>
      </c>
      <c r="AS22" s="114">
        <f t="shared" si="190"/>
        <v>2.6587002804906945E-2</v>
      </c>
      <c r="AT22" s="114">
        <f t="shared" si="190"/>
        <v>1.597994037781806E-2</v>
      </c>
      <c r="AU22" s="114">
        <f t="shared" si="190"/>
        <v>2.859339967136839E-2</v>
      </c>
      <c r="AV22" s="114">
        <f t="shared" si="190"/>
        <v>2.3961210362524833E-2</v>
      </c>
      <c r="AW22" s="114">
        <f t="shared" si="190"/>
        <v>2.4560602623096239E-2</v>
      </c>
      <c r="AX22" s="114">
        <f t="shared" si="190"/>
        <v>1.7264793044146704E-2</v>
      </c>
      <c r="AY22" s="114">
        <f t="shared" si="190"/>
        <v>2.8216261365040917E-2</v>
      </c>
      <c r="AZ22" s="114">
        <f t="shared" si="190"/>
        <v>2.2279686619763255E-2</v>
      </c>
      <c r="BA22" s="116">
        <f t="shared" si="190"/>
        <v>2.6143335522080185E-2</v>
      </c>
      <c r="BB22" s="116">
        <f t="shared" si="190"/>
        <v>1.7761542894914981E-2</v>
      </c>
      <c r="BC22" s="116">
        <f t="shared" si="190"/>
        <v>4.6005924114909023E-2</v>
      </c>
      <c r="BD22" s="116">
        <f t="shared" si="190"/>
        <v>3.9577939688095864E-2</v>
      </c>
      <c r="BE22" s="114">
        <f t="shared" si="190"/>
        <v>3.0925156996713686E-2</v>
      </c>
      <c r="BF22" s="114">
        <f t="shared" si="190"/>
        <v>2.1875175551935286E-2</v>
      </c>
      <c r="BG22" s="114">
        <f t="shared" si="190"/>
        <v>3.3516693510960663E-2</v>
      </c>
      <c r="BH22" s="114">
        <f t="shared" si="190"/>
        <v>2.6281960243845347E-2</v>
      </c>
      <c r="BI22" s="114">
        <f t="shared" si="190"/>
        <v>2.6047246500483495E-2</v>
      </c>
      <c r="BJ22" s="114">
        <f t="shared" si="190"/>
        <v>1.4563176916165675E-2</v>
      </c>
      <c r="BK22" s="114">
        <f t="shared" si="190"/>
        <v>2.3479127476728371E-2</v>
      </c>
      <c r="BL22" s="114">
        <f t="shared" si="190"/>
        <v>2.1587653842907711E-2</v>
      </c>
      <c r="BM22" s="114">
        <f t="shared" si="190"/>
        <v>2.2953017328110423E-2</v>
      </c>
      <c r="BN22" s="114">
        <f t="shared" si="190"/>
        <v>1.6207850224022019E-2</v>
      </c>
      <c r="BO22" s="114">
        <f t="shared" si="190"/>
        <v>2.7966275292717582E-2</v>
      </c>
      <c r="BP22" s="114">
        <f t="shared" si="190"/>
        <v>6.9926244759791062E-2</v>
      </c>
      <c r="BQ22" s="114">
        <f t="shared" ref="BQ22:BV22" si="191">BQ21/BQ15</f>
        <v>1.4976648375565374E-2</v>
      </c>
      <c r="BR22" s="114">
        <f t="shared" si="191"/>
        <v>1.0367617940365495E-2</v>
      </c>
      <c r="BS22" s="114">
        <f t="shared" si="191"/>
        <v>2.7666106214705114E-2</v>
      </c>
      <c r="BT22" s="114">
        <f t="shared" si="191"/>
        <v>1.8600452559335189E-2</v>
      </c>
      <c r="BU22" s="114">
        <f t="shared" si="191"/>
        <v>1.9949861613030851E-2</v>
      </c>
      <c r="BV22" s="114">
        <f t="shared" si="191"/>
        <v>1.8774205662659166E-2</v>
      </c>
      <c r="BW22" s="114">
        <f t="shared" ref="BW22:CC22" si="192">BW21/BW15</f>
        <v>3.5447866158557238E-2</v>
      </c>
      <c r="BX22" s="114">
        <f t="shared" si="192"/>
        <v>3.4656044999321872E-2</v>
      </c>
      <c r="BY22" s="114">
        <f t="shared" si="192"/>
        <v>4.3503897543545174E-2</v>
      </c>
      <c r="BZ22" s="114">
        <f t="shared" si="192"/>
        <v>3.5599503448354497E-2</v>
      </c>
      <c r="CA22" s="114">
        <f t="shared" si="192"/>
        <v>4.9207747328849499E-2</v>
      </c>
      <c r="CB22" s="114">
        <f t="shared" si="192"/>
        <v>4.3414629814844861E-2</v>
      </c>
      <c r="CC22" s="114">
        <f t="shared" si="192"/>
        <v>4.4072202964820416E-2</v>
      </c>
      <c r="CD22" s="114">
        <f t="shared" ref="CD22:CE22" si="193">CD21/CD15</f>
        <v>3.0440825096099695E-2</v>
      </c>
      <c r="CE22" s="114">
        <f t="shared" si="193"/>
        <v>5.4991851737304767E-2</v>
      </c>
      <c r="CF22" s="114">
        <f t="shared" ref="CF22:CH22" si="194">CF21/CF15</f>
        <v>4.1214265779492353E-2</v>
      </c>
      <c r="CG22" s="114">
        <f t="shared" si="194"/>
        <v>4.3065273393173106E-2</v>
      </c>
      <c r="CH22" s="114">
        <f t="shared" si="194"/>
        <v>3.0323311997454382E-2</v>
      </c>
      <c r="CI22" s="114">
        <f t="shared" ref="CI22:CJ22" si="195">CI21/CI15</f>
        <v>4.6610378766038435E-2</v>
      </c>
      <c r="CJ22" s="114">
        <f t="shared" si="195"/>
        <v>3.3700406917599186E-2</v>
      </c>
      <c r="CK22" s="114">
        <f t="shared" ref="CK22" si="196">CK21/CK15</f>
        <v>3.9029331570349837E-2</v>
      </c>
      <c r="CL22" s="1170">
        <f t="shared" ref="CL22:CP22" si="197">CL21/CL15</f>
        <v>2.5594055632600005E-2</v>
      </c>
      <c r="CM22" s="1170">
        <f t="shared" si="197"/>
        <v>4.1506122950805288E-2</v>
      </c>
      <c r="CN22" s="1170">
        <f t="shared" si="197"/>
        <v>3.2148916784431207E-2</v>
      </c>
      <c r="CO22" s="1170">
        <f t="shared" si="197"/>
        <v>3.7336596114695086E-2</v>
      </c>
      <c r="CP22" s="1170">
        <f t="shared" si="197"/>
        <v>2.6536128880652123E-2</v>
      </c>
      <c r="CQ22" s="1170"/>
      <c r="CR22" s="1170"/>
      <c r="CS22" s="615"/>
      <c r="CT22" s="1170">
        <v>2.5594055632600005E-2</v>
      </c>
      <c r="CU22" s="1104"/>
      <c r="CV22" s="7">
        <v>0</v>
      </c>
      <c r="CW22" s="7">
        <v>0</v>
      </c>
      <c r="CX22" s="7">
        <v>0</v>
      </c>
      <c r="CY22" s="7">
        <v>1.5553500534128415E-2</v>
      </c>
      <c r="CZ22" s="7">
        <v>1.9366338398467093E-2</v>
      </c>
      <c r="DA22" s="7">
        <v>1.9115655083999792E-2</v>
      </c>
      <c r="DB22" s="7">
        <v>2.1114208590300061E-2</v>
      </c>
      <c r="DC22" s="7">
        <v>2.1104708830010747E-2</v>
      </c>
      <c r="DD22" s="7">
        <v>2.0678908136669873E-2</v>
      </c>
      <c r="DE22" s="7">
        <v>2.0845428141595096E-2</v>
      </c>
      <c r="DF22" s="114">
        <f t="shared" ref="DF22:DM22" si="198">DF21/DF15</f>
        <v>2.2043659769275463E-2</v>
      </c>
      <c r="DG22" s="114">
        <f t="shared" si="198"/>
        <v>2.2718315427902532E-2</v>
      </c>
      <c r="DH22" s="114">
        <f t="shared" si="198"/>
        <v>2.2747778967450304E-2</v>
      </c>
      <c r="DI22" s="114">
        <f t="shared" si="198"/>
        <v>3.306201606041391E-2</v>
      </c>
      <c r="DJ22" s="114">
        <f t="shared" si="198"/>
        <v>2.2746730763084661E-2</v>
      </c>
      <c r="DK22" s="114">
        <f t="shared" si="198"/>
        <v>2.0452439683664499E-2</v>
      </c>
      <c r="DL22" s="114">
        <f t="shared" si="198"/>
        <v>2.0191304812929568E-2</v>
      </c>
      <c r="DM22" s="114">
        <f t="shared" si="198"/>
        <v>2.034961983060337E-2</v>
      </c>
      <c r="DN22" s="114">
        <f t="shared" ref="DN22:DS22" si="199">DN21/DN15</f>
        <v>3.7075940308421429E-2</v>
      </c>
      <c r="DO22" s="114">
        <f t="shared" si="199"/>
        <v>3.9580007386861744E-2</v>
      </c>
      <c r="DP22" s="114">
        <f t="shared" si="199"/>
        <v>4.0686310983876359E-2</v>
      </c>
      <c r="DQ22" s="114">
        <f t="shared" si="199"/>
        <v>3.4879018449425495E-2</v>
      </c>
      <c r="DR22" s="114">
        <f t="shared" ref="DR22" si="200">DR21/DR15</f>
        <v>3.340033154460538E-2</v>
      </c>
      <c r="DS22" s="1546">
        <f t="shared" si="199"/>
        <v>3.3050223945735528E-2</v>
      </c>
      <c r="DT22" s="1546">
        <f t="shared" ref="DT22:DV22" si="201">DT21/DT15</f>
        <v>3.0815794983953152E-2</v>
      </c>
      <c r="DU22" s="1546">
        <f t="shared" si="201"/>
        <v>2.8825584759693504E-2</v>
      </c>
      <c r="DV22" s="1546">
        <f t="shared" si="201"/>
        <v>2.6956427252895116E-2</v>
      </c>
      <c r="DY22" s="1546">
        <v>3.357041719766047E-2</v>
      </c>
      <c r="DZ22" s="1546">
        <v>2.9713438480987234E-2</v>
      </c>
    </row>
    <row r="23" spans="1:130">
      <c r="A23" s="24" t="s">
        <v>181</v>
      </c>
      <c r="B23" s="24"/>
      <c r="C23" s="24"/>
      <c r="D23" s="24"/>
      <c r="E23" s="24"/>
      <c r="F23" s="24"/>
      <c r="G23" s="24"/>
      <c r="H23" s="24"/>
      <c r="I23" s="24"/>
      <c r="J23" s="7"/>
      <c r="K23" s="7"/>
      <c r="L23" s="7"/>
      <c r="M23" s="7"/>
      <c r="N23" s="7"/>
      <c r="O23" s="7">
        <v>-5.0504535725206398E-2</v>
      </c>
      <c r="P23" s="7">
        <v>-5.0847803464669758E-2</v>
      </c>
      <c r="Q23" s="7">
        <v>-5.2354797242024076E-2</v>
      </c>
      <c r="R23" s="7">
        <v>-5.252071053857528E-2</v>
      </c>
      <c r="S23" s="7">
        <v>-5.864281547734785E-2</v>
      </c>
      <c r="T23" s="7">
        <v>-5.6744574290484143E-2</v>
      </c>
      <c r="U23" s="7">
        <v>-5.1909534745775601E-2</v>
      </c>
      <c r="V23" s="7">
        <v>-5.0996902057351655E-2</v>
      </c>
      <c r="W23" s="7">
        <v>-5.5497960002675407E-2</v>
      </c>
      <c r="X23" s="7">
        <v>-5.0422343765170394E-2</v>
      </c>
      <c r="Y23" s="7">
        <v>-5.1804406916893184E-2</v>
      </c>
      <c r="Z23" s="7">
        <v>-5.2198424839934275E-2</v>
      </c>
      <c r="AA23" s="7">
        <v>-6.0383317780489554E-2</v>
      </c>
      <c r="AB23" s="7">
        <v>-5.4054763937225032E-2</v>
      </c>
      <c r="AC23" s="7">
        <v>-5.8070582335610854E-2</v>
      </c>
      <c r="AD23" s="9">
        <v>-5.6176772223314929E-2</v>
      </c>
      <c r="AE23" s="9">
        <v>-5.7171359069160092E-2</v>
      </c>
      <c r="AF23" s="9">
        <v>-5.6368369391327729E-2</v>
      </c>
      <c r="AG23" s="9">
        <v>-5.6946770754853403E-2</v>
      </c>
      <c r="AH23" s="9">
        <v>-5.6665817859664042E-2</v>
      </c>
      <c r="AI23" s="9">
        <v>-5.6788079268751318E-2</v>
      </c>
      <c r="AJ23" s="9">
        <v>-5.6692259318649123E-2</v>
      </c>
      <c r="AK23" s="9">
        <v>-5.6773231800479475E-2</v>
      </c>
      <c r="AL23" s="9">
        <v>-5.6729847061885989E-2</v>
      </c>
      <c r="AM23" s="9">
        <v>-5.6745854362441478E-2</v>
      </c>
      <c r="AN23" s="9">
        <v>-5.6735298135864018E-2</v>
      </c>
      <c r="AO23" s="9">
        <v>-5.6746057840167743E-2</v>
      </c>
      <c r="AP23" s="9">
        <v>-5.6739264350089802E-2</v>
      </c>
      <c r="AQ23" s="1231">
        <f t="shared" ref="AQ23:BF23" si="202">+AVERAGE(AM23:AP23)</f>
        <v>-5.674161867214076E-2</v>
      </c>
      <c r="AR23" s="1231">
        <f t="shared" si="202"/>
        <v>-5.6740559749565579E-2</v>
      </c>
      <c r="AS23" s="1231">
        <f t="shared" si="202"/>
        <v>-5.6741875152990971E-2</v>
      </c>
      <c r="AT23" s="1231">
        <f t="shared" si="202"/>
        <v>-5.6740829481196776E-2</v>
      </c>
      <c r="AU23" s="1231">
        <f t="shared" si="202"/>
        <v>-5.6741220763973518E-2</v>
      </c>
      <c r="AV23" s="1231">
        <f t="shared" si="202"/>
        <v>-5.6741121286931706E-2</v>
      </c>
      <c r="AW23" s="1231">
        <f t="shared" si="202"/>
        <v>-5.6741261671273246E-2</v>
      </c>
      <c r="AX23" s="1231">
        <f t="shared" si="202"/>
        <v>-5.6741108300843814E-2</v>
      </c>
      <c r="AY23" s="1231">
        <f t="shared" si="202"/>
        <v>-5.6741178005755573E-2</v>
      </c>
      <c r="AZ23" s="1231">
        <f t="shared" si="202"/>
        <v>-5.6741167316201081E-2</v>
      </c>
      <c r="BA23" s="1295">
        <f t="shared" si="202"/>
        <v>-5.6741178823518423E-2</v>
      </c>
      <c r="BB23" s="1295">
        <f t="shared" si="202"/>
        <v>-5.6741158111579724E-2</v>
      </c>
      <c r="BC23" s="1295">
        <f t="shared" si="202"/>
        <v>-5.6741170564263706E-2</v>
      </c>
      <c r="BD23" s="1295">
        <f t="shared" si="202"/>
        <v>-5.6741168703890732E-2</v>
      </c>
      <c r="BE23" s="1231">
        <f t="shared" si="202"/>
        <v>-5.6741169050813146E-2</v>
      </c>
      <c r="BF23" s="1231">
        <f t="shared" si="202"/>
        <v>-5.6741166607636825E-2</v>
      </c>
      <c r="BG23" s="114">
        <f t="shared" ref="BG23:BP23" si="203">+BG21/BG11</f>
        <v>-6.0331942391246486E-2</v>
      </c>
      <c r="BH23" s="114">
        <f t="shared" si="203"/>
        <v>-5.8117773531754284E-2</v>
      </c>
      <c r="BI23" s="114">
        <f t="shared" si="203"/>
        <v>-5.6873888864027472E-2</v>
      </c>
      <c r="BJ23" s="114">
        <f t="shared" si="203"/>
        <v>-5.9335666530650678E-2</v>
      </c>
      <c r="BK23" s="114">
        <f t="shared" si="203"/>
        <v>-6.0252952013743671E-2</v>
      </c>
      <c r="BL23" s="114">
        <f t="shared" si="203"/>
        <v>-5.9971105739889598E-2</v>
      </c>
      <c r="BM23" s="114">
        <f t="shared" si="203"/>
        <v>-5.6413335988028182E-2</v>
      </c>
      <c r="BN23" s="114">
        <f t="shared" si="203"/>
        <v>-5.689739267875555E-2</v>
      </c>
      <c r="BO23" s="114">
        <f t="shared" si="203"/>
        <v>-5.2003881698878117E-2</v>
      </c>
      <c r="BP23" s="114">
        <f t="shared" si="203"/>
        <v>-5.4825532752596093E-2</v>
      </c>
      <c r="BQ23" s="114">
        <f t="shared" ref="BQ23:BV23" si="204">+BQ21/BQ11</f>
        <v>-7.4534741108089372E-2</v>
      </c>
      <c r="BR23" s="114">
        <f t="shared" si="204"/>
        <v>-7.5285334095415005E-2</v>
      </c>
      <c r="BS23" s="114">
        <f t="shared" si="204"/>
        <v>-6.7796027616784882E-2</v>
      </c>
      <c r="BT23" s="114">
        <f t="shared" si="204"/>
        <v>-6.8080020282751216E-2</v>
      </c>
      <c r="BU23" s="114">
        <f t="shared" si="204"/>
        <v>-6.807213096757038E-2</v>
      </c>
      <c r="BV23" s="114">
        <f t="shared" si="204"/>
        <v>-7.7994478425000152E-2</v>
      </c>
      <c r="BW23" s="114">
        <f t="shared" ref="BW23:CC23" si="205">+BW21/BW11</f>
        <v>-7.453069777322853E-2</v>
      </c>
      <c r="BX23" s="114">
        <f t="shared" si="205"/>
        <v>-8.840005907499085E-2</v>
      </c>
      <c r="BY23" s="114">
        <f t="shared" si="205"/>
        <v>-9.9171331984703584E-2</v>
      </c>
      <c r="BZ23" s="114">
        <f t="shared" si="205"/>
        <v>-9.80998986717357E-2</v>
      </c>
      <c r="CA23" s="114">
        <f t="shared" si="205"/>
        <v>-8.4443045222485497E-2</v>
      </c>
      <c r="CB23" s="114">
        <f t="shared" si="205"/>
        <v>-9.3932349566247089E-2</v>
      </c>
      <c r="CC23" s="114">
        <f t="shared" si="205"/>
        <v>-9.3959072005283056E-2</v>
      </c>
      <c r="CD23" s="114">
        <f t="shared" ref="CD23:CE23" si="206">+CD21/CD11</f>
        <v>-0.11767510780979881</v>
      </c>
      <c r="CE23" s="1963">
        <f t="shared" si="206"/>
        <v>-8.5162518421483549E-2</v>
      </c>
      <c r="CF23" s="1963">
        <f t="shared" ref="CF23:CH23" si="207">+CF21/CF11</f>
        <v>-8.3290321506468423E-2</v>
      </c>
      <c r="CG23" s="1963">
        <f t="shared" si="207"/>
        <v>-8.4362456410202388E-2</v>
      </c>
      <c r="CH23" s="1963">
        <f t="shared" si="207"/>
        <v>-8.223306871666794E-2</v>
      </c>
      <c r="CI23" s="1963">
        <f t="shared" ref="CI23:CJ23" si="208">+CI21/CI11</f>
        <v>-7.4967163418108065E-2</v>
      </c>
      <c r="CJ23" s="1963">
        <f t="shared" si="208"/>
        <v>-7.1286649332018295E-2</v>
      </c>
      <c r="CK23" s="1963">
        <f t="shared" ref="CK23" si="209">+CK21/CK11</f>
        <v>-7.3622741548619586E-2</v>
      </c>
      <c r="CL23" s="191">
        <f t="shared" ref="CL23" si="210">+AVERAGE(CJ23:CK23)</f>
        <v>-7.2454695440318934E-2</v>
      </c>
      <c r="CM23" s="191">
        <f t="shared" ref="CM23" si="211">+AVERAGE(CK23:CL23)</f>
        <v>-7.303871849446926E-2</v>
      </c>
      <c r="CN23" s="191">
        <f t="shared" ref="CN23" si="212">+AVERAGE(CL23:CM23)</f>
        <v>-7.2746706967394104E-2</v>
      </c>
      <c r="CO23" s="191">
        <f t="shared" ref="CO23" si="213">+AVERAGE(CM23:CN23)</f>
        <v>-7.2892712730931675E-2</v>
      </c>
      <c r="CP23" s="191">
        <f t="shared" ref="CP23" si="214">+AVERAGE(CN23:CO23)</f>
        <v>-7.2819709849162889E-2</v>
      </c>
      <c r="CQ23" s="191"/>
      <c r="CR23" s="191"/>
      <c r="CS23" s="191"/>
      <c r="CT23" s="191">
        <v>-7.2454695440318934E-2</v>
      </c>
      <c r="CU23" s="727"/>
      <c r="CV23" s="7" t="e">
        <v>#DIV/0!</v>
      </c>
      <c r="CW23" s="7">
        <v>0</v>
      </c>
      <c r="CX23" s="7">
        <v>0</v>
      </c>
      <c r="CY23" s="7">
        <v>-5.162304329879449E-2</v>
      </c>
      <c r="CZ23" s="7">
        <v>-5.4319568043195682E-2</v>
      </c>
      <c r="DA23" s="7">
        <v>-5.2429197817586336E-2</v>
      </c>
      <c r="DB23" s="7">
        <v>-5.7099525884982967E-2</v>
      </c>
      <c r="DC23" s="7">
        <v>-5.6779997447580409E-2</v>
      </c>
      <c r="DD23" s="7">
        <v>-5.6744559307497854E-2</v>
      </c>
      <c r="DE23" s="7">
        <v>-5.6741531100549907E-2</v>
      </c>
      <c r="DF23" s="114">
        <f t="shared" ref="DF23:DP23" si="215">DF21/DF11</f>
        <v>-5.6741218292898861E-2</v>
      </c>
      <c r="DG23" s="114">
        <f t="shared" si="215"/>
        <v>-5.6741176162694619E-2</v>
      </c>
      <c r="DH23" s="114">
        <f t="shared" si="215"/>
        <v>-5.6741170347403787E-2</v>
      </c>
      <c r="DI23" s="114">
        <f t="shared" si="215"/>
        <v>-7.7958786036006519E-2</v>
      </c>
      <c r="DJ23" s="114">
        <f t="shared" si="215"/>
        <v>-5.8663255171006554E-2</v>
      </c>
      <c r="DK23" s="114">
        <f t="shared" si="215"/>
        <v>-5.8253716059957536E-2</v>
      </c>
      <c r="DL23" s="114">
        <f t="shared" si="215"/>
        <v>-6.0676100527841892E-2</v>
      </c>
      <c r="DM23" s="114">
        <f t="shared" si="215"/>
        <v>-7.1074908600764139E-2</v>
      </c>
      <c r="DN23" s="114">
        <f t="shared" si="215"/>
        <v>-9.0547138778650033E-2</v>
      </c>
      <c r="DO23" s="114">
        <f t="shared" si="215"/>
        <v>-9.7352929416720205E-2</v>
      </c>
      <c r="DP23" s="114">
        <f t="shared" si="215"/>
        <v>-8.3764859346406859E-2</v>
      </c>
      <c r="DQ23" s="114">
        <f t="shared" ref="DQ23:DR23" si="216">DQ21/DQ11</f>
        <v>-7.3079037419989876E-2</v>
      </c>
      <c r="DR23" s="114">
        <f t="shared" si="216"/>
        <v>-7.2873881820865918E-2</v>
      </c>
      <c r="DS23" s="191">
        <f t="shared" ref="DS23:DV23" si="217">+AVERAGE(DQ23:DR23)</f>
        <v>-7.2976459620427897E-2</v>
      </c>
      <c r="DT23" s="191">
        <f t="shared" si="217"/>
        <v>-7.2925170720646915E-2</v>
      </c>
      <c r="DU23" s="191">
        <f t="shared" si="217"/>
        <v>-7.2950815170537406E-2</v>
      </c>
      <c r="DV23" s="191">
        <f t="shared" si="217"/>
        <v>-7.2937992945592167E-2</v>
      </c>
      <c r="DY23" s="191">
        <v>-7.8413936766830838E-2</v>
      </c>
      <c r="DZ23" s="191">
        <v>-7.5738475477042835E-2</v>
      </c>
    </row>
    <row r="24" spans="1:130">
      <c r="A24" s="85"/>
      <c r="B24" s="85"/>
      <c r="C24" s="85"/>
      <c r="D24" s="85"/>
      <c r="E24" s="85"/>
      <c r="F24" s="134"/>
      <c r="G24" s="65"/>
      <c r="H24" s="65"/>
      <c r="I24" s="65"/>
      <c r="J24" s="65"/>
      <c r="K24" s="65"/>
      <c r="L24" s="65"/>
      <c r="M24" s="65"/>
      <c r="N24" s="65"/>
      <c r="O24" s="65"/>
      <c r="P24" s="65"/>
      <c r="Q24" s="65"/>
      <c r="R24" s="65"/>
      <c r="S24" s="65"/>
      <c r="T24" s="7"/>
      <c r="U24" s="7"/>
      <c r="V24" s="7"/>
      <c r="W24" s="7"/>
      <c r="X24" s="7"/>
      <c r="Y24" s="7"/>
      <c r="Z24" s="7"/>
      <c r="AA24" s="7"/>
      <c r="AB24" s="7"/>
      <c r="AC24" s="7"/>
      <c r="AD24" s="7"/>
      <c r="AE24" s="7"/>
      <c r="AF24" s="7"/>
      <c r="AG24" s="7"/>
      <c r="AH24" s="7"/>
      <c r="AI24" s="7"/>
      <c r="AJ24" s="7"/>
      <c r="AK24" s="7"/>
      <c r="AL24" s="7"/>
      <c r="AM24" s="7"/>
      <c r="AN24" s="7"/>
      <c r="AO24" s="7"/>
      <c r="AP24" s="7"/>
      <c r="AQ24" s="114"/>
      <c r="AR24" s="114"/>
      <c r="AS24" s="114"/>
      <c r="AT24" s="114"/>
      <c r="AU24" s="114"/>
      <c r="AV24" s="114"/>
      <c r="AW24" s="114"/>
      <c r="AX24" s="114"/>
      <c r="AY24" s="114"/>
      <c r="AZ24" s="114"/>
      <c r="BA24" s="116"/>
      <c r="BB24" s="116"/>
      <c r="BC24" s="116"/>
      <c r="BD24" s="114"/>
      <c r="BE24" s="114"/>
      <c r="BF24" s="114"/>
      <c r="BG24" s="114"/>
      <c r="BH24" s="114"/>
      <c r="BI24" s="114"/>
      <c r="BJ24" s="114"/>
      <c r="BK24" s="114"/>
      <c r="BL24" s="114"/>
      <c r="BM24" s="114"/>
      <c r="BN24" s="114"/>
      <c r="BO24" s="114"/>
      <c r="BP24" s="114"/>
      <c r="BQ24" s="114"/>
      <c r="BR24" s="114"/>
      <c r="BS24" s="114"/>
      <c r="BT24" s="114"/>
      <c r="BU24" s="114"/>
      <c r="BV24" s="114"/>
      <c r="BW24" s="114"/>
      <c r="BX24" s="114"/>
      <c r="BY24" s="114"/>
      <c r="BZ24" s="114"/>
      <c r="CA24" s="114"/>
      <c r="CB24" s="114"/>
      <c r="CC24" s="114"/>
      <c r="CD24" s="114"/>
      <c r="CE24" s="114"/>
      <c r="CF24" s="114"/>
      <c r="CG24" s="114"/>
      <c r="CH24" s="114"/>
      <c r="CI24" s="114"/>
      <c r="CJ24" s="114"/>
      <c r="CK24" s="114"/>
      <c r="CL24" s="168"/>
      <c r="CM24" s="168"/>
      <c r="CN24" s="168"/>
      <c r="CO24" s="168"/>
      <c r="CP24" s="168"/>
      <c r="CQ24" s="168"/>
      <c r="CR24" s="168"/>
      <c r="CS24" s="168"/>
      <c r="CT24" s="168"/>
      <c r="CU24" s="1104"/>
      <c r="CV24" s="7"/>
      <c r="CW24" s="7"/>
      <c r="CX24" s="7"/>
      <c r="CY24" s="7"/>
      <c r="CZ24" s="7"/>
      <c r="DA24" s="7"/>
      <c r="DB24" s="7"/>
      <c r="DC24" s="7"/>
      <c r="DD24" s="7"/>
      <c r="DE24" s="7"/>
      <c r="DF24" s="114"/>
      <c r="DG24" s="1265"/>
      <c r="DH24" s="114"/>
      <c r="DI24" s="114"/>
      <c r="DJ24" s="114"/>
      <c r="DK24" s="114"/>
      <c r="DL24" s="114"/>
      <c r="DM24" s="114"/>
      <c r="DN24" s="114"/>
      <c r="DO24" s="114"/>
      <c r="DP24" s="114"/>
      <c r="DQ24" s="114"/>
      <c r="DR24" s="114"/>
      <c r="DS24" s="191"/>
      <c r="DT24" s="191"/>
      <c r="DU24" s="191"/>
      <c r="DV24" s="191"/>
      <c r="DY24" s="191"/>
      <c r="DZ24" s="191"/>
    </row>
    <row r="25" spans="1:130">
      <c r="A25" s="6"/>
      <c r="B25" s="6"/>
      <c r="C25" s="34"/>
      <c r="D25" s="34"/>
      <c r="E25" s="34"/>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6"/>
      <c r="AM25" s="6"/>
      <c r="AN25" s="6"/>
      <c r="AO25" s="6"/>
      <c r="AP25" s="6"/>
      <c r="AQ25" s="682"/>
      <c r="AR25" s="682"/>
      <c r="AS25" s="682"/>
      <c r="AT25" s="682"/>
      <c r="AU25" s="682"/>
      <c r="AV25" s="128">
        <f>+AV26-AU26</f>
        <v>362454</v>
      </c>
      <c r="AW25" s="128"/>
      <c r="AX25" s="682"/>
      <c r="AY25" s="682"/>
      <c r="AZ25" s="682"/>
      <c r="BA25" s="682"/>
      <c r="BB25" s="682"/>
      <c r="BC25" s="682"/>
      <c r="BD25" s="128">
        <f>+BD26-BC26</f>
        <v>415808</v>
      </c>
      <c r="BE25" s="682"/>
      <c r="BF25" s="682"/>
      <c r="BG25" s="682"/>
      <c r="BH25" s="128">
        <f>+BH26-BG26</f>
        <v>391812</v>
      </c>
      <c r="BI25" s="682"/>
      <c r="BJ25" s="682"/>
      <c r="BK25" s="682"/>
      <c r="BL25" s="128">
        <f>+BL26-BK26</f>
        <v>399887</v>
      </c>
      <c r="BM25" s="682"/>
      <c r="BN25" s="682"/>
      <c r="BO25" s="682"/>
      <c r="BP25" s="128">
        <f>+BP26-BO26</f>
        <v>-1055255</v>
      </c>
      <c r="BQ25" s="682"/>
      <c r="BR25" s="682"/>
      <c r="BS25" s="682"/>
      <c r="BT25" s="682"/>
      <c r="BU25" s="682"/>
      <c r="BV25" s="682"/>
      <c r="BW25" s="682"/>
      <c r="BX25" s="682">
        <f>+BX26-BW26</f>
        <v>1013313</v>
      </c>
      <c r="BY25" s="682"/>
      <c r="BZ25" s="682"/>
      <c r="CA25" s="682"/>
      <c r="CB25" s="682">
        <f>+CB26-CA26</f>
        <v>728791</v>
      </c>
      <c r="CC25" s="682"/>
      <c r="CD25" s="682"/>
      <c r="CE25" s="682"/>
      <c r="CF25" s="682"/>
      <c r="CG25" s="682"/>
      <c r="CH25" s="682"/>
      <c r="CI25" s="682"/>
      <c r="CJ25" s="682"/>
      <c r="CK25" s="682"/>
      <c r="CL25" s="159"/>
      <c r="CM25" s="159"/>
      <c r="CN25" s="159"/>
      <c r="CO25" s="159"/>
      <c r="CP25" s="159"/>
      <c r="CQ25" s="159"/>
      <c r="CR25" s="159"/>
      <c r="CS25" s="159"/>
      <c r="CT25" s="159"/>
      <c r="CU25" s="702"/>
      <c r="CV25" s="6"/>
      <c r="CW25" s="6"/>
      <c r="CX25" s="6"/>
      <c r="CY25" s="6"/>
      <c r="CZ25" s="6"/>
      <c r="DA25" s="6"/>
      <c r="DB25" s="6"/>
      <c r="DC25" s="33"/>
      <c r="DD25" s="6"/>
      <c r="DE25" s="6"/>
      <c r="DF25" s="682"/>
      <c r="DG25" s="1266"/>
      <c r="DH25" s="682"/>
      <c r="DI25" s="682"/>
      <c r="DJ25" s="682"/>
      <c r="DK25" s="682"/>
      <c r="DL25" s="682"/>
      <c r="DM25" s="682"/>
      <c r="DN25" s="682"/>
      <c r="DO25" s="682"/>
      <c r="DP25" s="682"/>
      <c r="DQ25" s="682"/>
      <c r="DR25" s="682"/>
      <c r="DS25" s="1547"/>
      <c r="DT25" s="1547"/>
      <c r="DU25" s="1547"/>
      <c r="DV25" s="1547"/>
      <c r="DY25" s="1547"/>
      <c r="DZ25" s="1547"/>
    </row>
    <row r="26" spans="1:130" s="668" customFormat="1">
      <c r="A26" s="664" t="s">
        <v>182</v>
      </c>
      <c r="B26" s="665"/>
      <c r="C26" s="666">
        <v>176353</v>
      </c>
      <c r="D26" s="666">
        <v>239469</v>
      </c>
      <c r="E26" s="666">
        <v>209955</v>
      </c>
      <c r="F26" s="666">
        <v>328027</v>
      </c>
      <c r="G26" s="666">
        <v>210204</v>
      </c>
      <c r="H26" s="666">
        <v>295782</v>
      </c>
      <c r="I26" s="666">
        <v>271867</v>
      </c>
      <c r="J26" s="666">
        <v>424275</v>
      </c>
      <c r="K26" s="666">
        <v>266752</v>
      </c>
      <c r="L26" s="666">
        <v>380860</v>
      </c>
      <c r="M26" s="666">
        <v>346787</v>
      </c>
      <c r="N26" s="666">
        <v>536839</v>
      </c>
      <c r="O26" s="666">
        <v>347555</v>
      </c>
      <c r="P26" s="666">
        <v>490872</v>
      </c>
      <c r="Q26" s="666">
        <v>444012</v>
      </c>
      <c r="R26" s="666">
        <v>648500</v>
      </c>
      <c r="S26" s="666">
        <v>431797</v>
      </c>
      <c r="T26" s="666">
        <v>566347</v>
      </c>
      <c r="U26" s="666">
        <v>511370</v>
      </c>
      <c r="V26" s="666">
        <v>673493</v>
      </c>
      <c r="W26" s="666">
        <v>419134</v>
      </c>
      <c r="X26" s="666">
        <v>613414</v>
      </c>
      <c r="Y26" s="666">
        <v>552311</v>
      </c>
      <c r="Z26" s="666">
        <v>778769</v>
      </c>
      <c r="AA26" s="666">
        <v>505695</v>
      </c>
      <c r="AB26" s="666">
        <v>702018</v>
      </c>
      <c r="AC26" s="666">
        <v>643873</v>
      </c>
      <c r="AD26" s="666">
        <v>899752</v>
      </c>
      <c r="AE26" s="666">
        <v>598767</v>
      </c>
      <c r="AF26" s="666">
        <v>836419</v>
      </c>
      <c r="AG26" s="666">
        <v>741922</v>
      </c>
      <c r="AH26" s="666">
        <v>1061434</v>
      </c>
      <c r="AI26" s="666">
        <v>709276</v>
      </c>
      <c r="AJ26" s="666">
        <v>955454</v>
      </c>
      <c r="AK26" s="666">
        <v>905058</v>
      </c>
      <c r="AL26" s="666">
        <v>1292720</v>
      </c>
      <c r="AM26" s="666">
        <v>833853</v>
      </c>
      <c r="AN26" s="666">
        <v>1060402</v>
      </c>
      <c r="AO26" s="666">
        <v>1021435</v>
      </c>
      <c r="AP26" s="666">
        <v>1454692</v>
      </c>
      <c r="AQ26" s="674">
        <f t="shared" ref="AQ26:BV26" si="218">AQ30+AQ34</f>
        <v>938614</v>
      </c>
      <c r="AR26" s="674">
        <f t="shared" si="218"/>
        <v>1255228</v>
      </c>
      <c r="AS26" s="674">
        <f t="shared" si="218"/>
        <v>1203803</v>
      </c>
      <c r="AT26" s="674">
        <f t="shared" si="218"/>
        <v>1818399</v>
      </c>
      <c r="AU26" s="674">
        <f t="shared" si="218"/>
        <v>1173947</v>
      </c>
      <c r="AV26" s="674">
        <f t="shared" si="218"/>
        <v>1536401</v>
      </c>
      <c r="AW26" s="674">
        <f t="shared" si="218"/>
        <v>1420605</v>
      </c>
      <c r="AX26" s="674">
        <f t="shared" si="218"/>
        <v>2014245</v>
      </c>
      <c r="AY26" s="674">
        <f t="shared" si="218"/>
        <v>1247369</v>
      </c>
      <c r="AZ26" s="674">
        <f t="shared" si="218"/>
        <v>1647580</v>
      </c>
      <c r="BA26" s="674">
        <f t="shared" si="218"/>
        <v>1445829</v>
      </c>
      <c r="BB26" s="674">
        <f t="shared" si="218"/>
        <v>2110802</v>
      </c>
      <c r="BC26" s="674">
        <f t="shared" si="218"/>
        <v>1415324</v>
      </c>
      <c r="BD26" s="674">
        <f t="shared" si="218"/>
        <v>1831132</v>
      </c>
      <c r="BE26" s="674">
        <f t="shared" si="218"/>
        <v>1746377</v>
      </c>
      <c r="BF26" s="674">
        <f t="shared" si="218"/>
        <v>2451472</v>
      </c>
      <c r="BG26" s="674">
        <f t="shared" si="218"/>
        <v>1628285</v>
      </c>
      <c r="BH26" s="674">
        <f t="shared" si="218"/>
        <v>2020097</v>
      </c>
      <c r="BI26" s="674">
        <f t="shared" si="218"/>
        <v>1943288</v>
      </c>
      <c r="BJ26" s="674">
        <f t="shared" si="218"/>
        <v>2834871</v>
      </c>
      <c r="BK26" s="674">
        <f t="shared" si="218"/>
        <v>1892117</v>
      </c>
      <c r="BL26" s="674">
        <f t="shared" si="218"/>
        <v>2292004</v>
      </c>
      <c r="BM26" s="674">
        <f t="shared" si="218"/>
        <v>2225755</v>
      </c>
      <c r="BN26" s="674">
        <f t="shared" si="218"/>
        <v>3178561</v>
      </c>
      <c r="BO26" s="674">
        <f t="shared" si="218"/>
        <v>1863761</v>
      </c>
      <c r="BP26" s="674">
        <f t="shared" si="218"/>
        <v>808506</v>
      </c>
      <c r="BQ26" s="674">
        <f t="shared" si="218"/>
        <v>1790039</v>
      </c>
      <c r="BR26" s="674">
        <f t="shared" si="218"/>
        <v>3074874</v>
      </c>
      <c r="BS26" s="674">
        <f t="shared" si="218"/>
        <v>1581394</v>
      </c>
      <c r="BT26" s="674">
        <f t="shared" si="218"/>
        <v>2490293</v>
      </c>
      <c r="BU26" s="674">
        <f t="shared" si="218"/>
        <v>2628289.3394700023</v>
      </c>
      <c r="BV26" s="674">
        <f t="shared" si="218"/>
        <v>3871579.8135499991</v>
      </c>
      <c r="BW26" s="674">
        <f t="shared" ref="BW26:CD26" si="219">BW30+BW34</f>
        <v>2613024</v>
      </c>
      <c r="BX26" s="674">
        <f t="shared" si="219"/>
        <v>3626337</v>
      </c>
      <c r="BY26" s="674">
        <f t="shared" si="219"/>
        <v>3017632</v>
      </c>
      <c r="BZ26" s="674">
        <f t="shared" si="219"/>
        <v>4014144</v>
      </c>
      <c r="CA26" s="674">
        <f t="shared" si="219"/>
        <v>2775292</v>
      </c>
      <c r="CB26" s="674">
        <f t="shared" si="219"/>
        <v>3504083</v>
      </c>
      <c r="CC26" s="674">
        <f t="shared" si="219"/>
        <v>3097096</v>
      </c>
      <c r="CD26" s="674">
        <f t="shared" si="219"/>
        <v>4271378</v>
      </c>
      <c r="CE26" s="674">
        <f t="shared" ref="CE26:CH26" si="220">CE30+CE34</f>
        <v>2908249</v>
      </c>
      <c r="CF26" s="674">
        <f t="shared" si="220"/>
        <v>3520391</v>
      </c>
      <c r="CG26" s="674">
        <f t="shared" si="220"/>
        <v>3390509</v>
      </c>
      <c r="CH26" s="674">
        <f t="shared" si="220"/>
        <v>4617217</v>
      </c>
      <c r="CI26" s="674">
        <f t="shared" ref="CI26:CL26" si="221">CI30+CI34</f>
        <v>3257576</v>
      </c>
      <c r="CJ26" s="674">
        <f t="shared" si="221"/>
        <v>4167566</v>
      </c>
      <c r="CK26" s="674">
        <f t="shared" si="221"/>
        <v>3563472</v>
      </c>
      <c r="CL26" s="667">
        <f t="shared" si="221"/>
        <v>4827817.3924581651</v>
      </c>
      <c r="CM26" s="667">
        <f t="shared" ref="CM26:CP26" si="222">CM30+CM34</f>
        <v>3434233.8603882324</v>
      </c>
      <c r="CN26" s="667">
        <f t="shared" si="222"/>
        <v>4356051.2343024286</v>
      </c>
      <c r="CO26" s="667">
        <f t="shared" si="222"/>
        <v>3840708.739489445</v>
      </c>
      <c r="CP26" s="667">
        <f t="shared" si="222"/>
        <v>5250181.869507595</v>
      </c>
      <c r="CQ26" s="667"/>
      <c r="CR26" s="667"/>
      <c r="CS26" s="667"/>
      <c r="CT26" s="667">
        <v>4827817.3924581651</v>
      </c>
      <c r="CU26" s="1134">
        <f>+CK26/CT26-1</f>
        <v>-0.26188757562232534</v>
      </c>
      <c r="CV26" s="666">
        <v>953804</v>
      </c>
      <c r="CW26" s="666">
        <v>1202128</v>
      </c>
      <c r="CX26" s="666">
        <v>1531238</v>
      </c>
      <c r="CY26" s="666">
        <v>1930939</v>
      </c>
      <c r="CZ26" s="666">
        <v>2183007</v>
      </c>
      <c r="DA26" s="666">
        <v>2363628</v>
      </c>
      <c r="DB26" s="666">
        <v>2751338</v>
      </c>
      <c r="DC26" s="666">
        <v>3238542</v>
      </c>
      <c r="DD26" s="666">
        <v>3862508</v>
      </c>
      <c r="DE26" s="666">
        <v>4370382</v>
      </c>
      <c r="DF26" s="674">
        <f>+SUM(AQ26:AT26)</f>
        <v>5216044</v>
      </c>
      <c r="DG26" s="1248">
        <f>+SUM(AU26:AX26)</f>
        <v>6145198</v>
      </c>
      <c r="DH26" s="1248">
        <f>+SUM(AY26:BB26)</f>
        <v>6451580</v>
      </c>
      <c r="DI26" s="1248">
        <f>+SUM(BC26:BF26)</f>
        <v>7444305</v>
      </c>
      <c r="DJ26" s="1248">
        <f>+SUM(BG26:BJ26)</f>
        <v>8426541</v>
      </c>
      <c r="DK26" s="1248">
        <f>+SUM(BK26:BN26)</f>
        <v>9588437</v>
      </c>
      <c r="DL26" s="1248">
        <f>+SUM(BO26:BR26)</f>
        <v>7537180</v>
      </c>
      <c r="DM26" s="1248">
        <f t="shared" ref="DM26:DS26" si="223">DM30+DM34</f>
        <v>10571556.15302</v>
      </c>
      <c r="DN26" s="1248">
        <f t="shared" si="223"/>
        <v>13271137</v>
      </c>
      <c r="DO26" s="1248">
        <f t="shared" si="223"/>
        <v>13647849</v>
      </c>
      <c r="DP26" s="1248">
        <f t="shared" ref="DP26:DQ26" si="224">DP30+DP34</f>
        <v>14436366</v>
      </c>
      <c r="DQ26" s="1248">
        <f t="shared" si="224"/>
        <v>15816431.392458165</v>
      </c>
      <c r="DR26" s="1248">
        <f t="shared" ref="DR26" si="225">DR30+DR34</f>
        <v>16881175.703687701</v>
      </c>
      <c r="DS26" s="1549">
        <f t="shared" si="223"/>
        <v>18291874.718813274</v>
      </c>
      <c r="DT26" s="1549">
        <f t="shared" ref="DT26:DV26" si="226">DT30+DT34</f>
        <v>19540187.190890469</v>
      </c>
      <c r="DU26" s="1549">
        <f t="shared" si="226"/>
        <v>20873721.023767076</v>
      </c>
      <c r="DV26" s="1549">
        <f t="shared" si="226"/>
        <v>22297185.574711572</v>
      </c>
      <c r="DY26" s="1549">
        <v>17175291.544530321</v>
      </c>
      <c r="DZ26" s="1549">
        <v>18536469.029226184</v>
      </c>
    </row>
    <row r="27" spans="1:130">
      <c r="A27" s="8" t="s">
        <v>169</v>
      </c>
      <c r="B27" s="8"/>
      <c r="C27" s="8"/>
      <c r="D27" s="8"/>
      <c r="E27" s="8"/>
      <c r="F27" s="8"/>
      <c r="G27" s="8">
        <v>0.19195023617403728</v>
      </c>
      <c r="H27" s="8">
        <v>0.23515778660285891</v>
      </c>
      <c r="I27" s="8">
        <v>0.29488223666976254</v>
      </c>
      <c r="J27" s="8">
        <v>0.29341487133681077</v>
      </c>
      <c r="K27" s="8">
        <v>0.26901486175334433</v>
      </c>
      <c r="L27" s="8">
        <v>0.28763751681981997</v>
      </c>
      <c r="M27" s="8">
        <v>0.27557592499273542</v>
      </c>
      <c r="N27" s="8">
        <v>0.26530905662600901</v>
      </c>
      <c r="O27" s="8">
        <v>0.30291431741842612</v>
      </c>
      <c r="P27" s="8">
        <v>0.28885154650002631</v>
      </c>
      <c r="Q27" s="8">
        <v>0.28035941370351258</v>
      </c>
      <c r="R27" s="8">
        <v>0.20799718351312024</v>
      </c>
      <c r="S27" s="8">
        <v>0.24238465854325209</v>
      </c>
      <c r="T27" s="8">
        <v>0.15375698756498646</v>
      </c>
      <c r="U27" s="8">
        <v>0.15170310712323087</v>
      </c>
      <c r="V27" s="8">
        <v>3.8539707016191249E-2</v>
      </c>
      <c r="W27" s="8">
        <v>-2.9326280636502777E-2</v>
      </c>
      <c r="X27" s="8">
        <v>8.3106293491446159E-2</v>
      </c>
      <c r="Y27" s="8">
        <v>8.0061403680309784E-2</v>
      </c>
      <c r="Z27" s="8">
        <v>0.1563134286473653</v>
      </c>
      <c r="AA27" s="8">
        <v>0.2065234507341327</v>
      </c>
      <c r="AB27" s="8">
        <v>0.14444404594613092</v>
      </c>
      <c r="AC27" s="8">
        <v>0.16577978711269559</v>
      </c>
      <c r="AD27" s="8">
        <v>0.15535158692757411</v>
      </c>
      <c r="AE27" s="8">
        <v>0.18404769673419752</v>
      </c>
      <c r="AF27" s="8">
        <v>0.19144950699269825</v>
      </c>
      <c r="AG27" s="8">
        <v>0.15228003037866156</v>
      </c>
      <c r="AH27" s="8">
        <v>0.17969618294819023</v>
      </c>
      <c r="AI27" s="8">
        <v>0.1845609393971277</v>
      </c>
      <c r="AJ27" s="8">
        <v>0.14231503588512462</v>
      </c>
      <c r="AK27" s="8">
        <v>0.21988295265540048</v>
      </c>
      <c r="AL27" s="8">
        <v>0.21789955852177334</v>
      </c>
      <c r="AM27" s="8">
        <v>0.17563966636401052</v>
      </c>
      <c r="AN27" s="8">
        <v>0.109840976122346</v>
      </c>
      <c r="AO27" s="8">
        <v>0.12858512935082622</v>
      </c>
      <c r="AP27" s="8">
        <v>0.12529550095921782</v>
      </c>
      <c r="AQ27" s="116">
        <f t="shared" ref="AQ27:BG27" si="227">AQ26/AM26-1</f>
        <v>0.1256348541049801</v>
      </c>
      <c r="AR27" s="116">
        <f t="shared" si="227"/>
        <v>0.18372843506519221</v>
      </c>
      <c r="AS27" s="116">
        <f t="shared" si="227"/>
        <v>0.1785409742176447</v>
      </c>
      <c r="AT27" s="116">
        <f t="shared" si="227"/>
        <v>0.25002337264520591</v>
      </c>
      <c r="AU27" s="116">
        <f t="shared" si="227"/>
        <v>0.25072393976650686</v>
      </c>
      <c r="AV27" s="116">
        <f t="shared" si="227"/>
        <v>0.2240015359759342</v>
      </c>
      <c r="AW27" s="116">
        <f t="shared" si="227"/>
        <v>0.18009757410473304</v>
      </c>
      <c r="AX27" s="116">
        <f t="shared" si="227"/>
        <v>0.107702434944146</v>
      </c>
      <c r="AY27" s="116">
        <f t="shared" si="227"/>
        <v>6.2542857556601827E-2</v>
      </c>
      <c r="AZ27" s="116">
        <f t="shared" si="227"/>
        <v>7.2363269745333358E-2</v>
      </c>
      <c r="BA27" s="116">
        <f t="shared" si="227"/>
        <v>1.775581530404291E-2</v>
      </c>
      <c r="BB27" s="116">
        <f t="shared" si="227"/>
        <v>4.7937068231520996E-2</v>
      </c>
      <c r="BC27" s="116">
        <f t="shared" si="227"/>
        <v>0.13464740585985391</v>
      </c>
      <c r="BD27" s="116">
        <f t="shared" si="227"/>
        <v>0.11140703334587698</v>
      </c>
      <c r="BE27" s="116">
        <f t="shared" si="227"/>
        <v>0.20787243858021931</v>
      </c>
      <c r="BF27" s="116">
        <f t="shared" si="227"/>
        <v>0.16139363142540142</v>
      </c>
      <c r="BG27" s="116">
        <f t="shared" si="227"/>
        <v>0.15046802004346715</v>
      </c>
      <c r="BH27" s="116">
        <f t="shared" ref="BH27:BV27" si="228">BH26/BD26-1</f>
        <v>0.1031957281069853</v>
      </c>
      <c r="BI27" s="116">
        <f t="shared" si="228"/>
        <v>0.11275400443317785</v>
      </c>
      <c r="BJ27" s="116">
        <f t="shared" si="228"/>
        <v>0.15639542283167018</v>
      </c>
      <c r="BK27" s="116">
        <f t="shared" si="228"/>
        <v>0.16203060275074699</v>
      </c>
      <c r="BL27" s="116">
        <f t="shared" si="228"/>
        <v>0.13460096223102158</v>
      </c>
      <c r="BM27" s="116">
        <f t="shared" si="228"/>
        <v>0.14535519181922596</v>
      </c>
      <c r="BN27" s="116">
        <f t="shared" si="228"/>
        <v>0.12123655714845571</v>
      </c>
      <c r="BO27" s="116">
        <f t="shared" si="228"/>
        <v>-1.498638826245946E-2</v>
      </c>
      <c r="BP27" s="116">
        <f t="shared" si="228"/>
        <v>-0.64724930672023262</v>
      </c>
      <c r="BQ27" s="116">
        <f t="shared" si="228"/>
        <v>-0.19576098896778849</v>
      </c>
      <c r="BR27" s="116">
        <f t="shared" si="228"/>
        <v>-3.2620736238820003E-2</v>
      </c>
      <c r="BS27" s="116">
        <f t="shared" si="228"/>
        <v>-0.15150386771694435</v>
      </c>
      <c r="BT27" s="116">
        <f t="shared" si="228"/>
        <v>2.0801169069864662</v>
      </c>
      <c r="BU27" s="116">
        <f t="shared" si="228"/>
        <v>0.46828607615253204</v>
      </c>
      <c r="BV27" s="116">
        <f t="shared" si="228"/>
        <v>0.25910193833958695</v>
      </c>
      <c r="BW27" s="116">
        <f t="shared" ref="BW27:CD27" si="229">BW26/BS26-1</f>
        <v>0.65235482112617094</v>
      </c>
      <c r="BX27" s="116">
        <f t="shared" si="229"/>
        <v>0.45618889022295761</v>
      </c>
      <c r="BY27" s="116">
        <f t="shared" si="229"/>
        <v>0.14813538779125013</v>
      </c>
      <c r="BZ27" s="116">
        <f t="shared" si="229"/>
        <v>3.6823259061080416E-2</v>
      </c>
      <c r="CA27" s="116">
        <f t="shared" si="229"/>
        <v>6.2099697515216157E-2</v>
      </c>
      <c r="CB27" s="116">
        <f t="shared" si="229"/>
        <v>-3.3712807166019099E-2</v>
      </c>
      <c r="CC27" s="116">
        <f t="shared" si="229"/>
        <v>2.6333230824699738E-2</v>
      </c>
      <c r="CD27" s="116">
        <f t="shared" si="229"/>
        <v>6.4081906379043652E-2</v>
      </c>
      <c r="CE27" s="116">
        <f t="shared" ref="CE27" si="230">CE26/CA26-1</f>
        <v>4.7907391366385887E-2</v>
      </c>
      <c r="CF27" s="116">
        <f t="shared" ref="CF27" si="231">CF26/CB26-1</f>
        <v>4.6539993487597631E-3</v>
      </c>
      <c r="CG27" s="116">
        <f t="shared" ref="CG27:CH27" si="232">CG26/CC26-1</f>
        <v>9.4738103048791489E-2</v>
      </c>
      <c r="CH27" s="116">
        <f t="shared" si="232"/>
        <v>8.0966610775258019E-2</v>
      </c>
      <c r="CI27" s="116">
        <f t="shared" ref="CI27" si="233">CI26/CE26-1</f>
        <v>0.12011591854755221</v>
      </c>
      <c r="CJ27" s="116">
        <f t="shared" ref="CJ27" si="234">CJ26/CF26-1</f>
        <v>0.18383611365896568</v>
      </c>
      <c r="CK27" s="116">
        <f t="shared" ref="CK27" si="235">CK26/CG26-1</f>
        <v>5.1013874317985985E-2</v>
      </c>
      <c r="CL27" s="192">
        <f t="shared" ref="CL27" si="236">CL26/CH26-1</f>
        <v>4.561197631780467E-2</v>
      </c>
      <c r="CM27" s="192">
        <f t="shared" ref="CM27" si="237">CM26/CI26-1</f>
        <v>5.4229850781142952E-2</v>
      </c>
      <c r="CN27" s="192">
        <f t="shared" ref="CN27" si="238">CN26/CJ26-1</f>
        <v>4.5226694502841447E-2</v>
      </c>
      <c r="CO27" s="192">
        <f t="shared" ref="CO27" si="239">CO26/CK26-1</f>
        <v>7.7799612144965558E-2</v>
      </c>
      <c r="CP27" s="192">
        <f t="shared" ref="CP27" si="240">CP26/CL26-1</f>
        <v>8.748559498319719E-2</v>
      </c>
      <c r="CQ27" s="192"/>
      <c r="CR27" s="192"/>
      <c r="CS27" s="192"/>
      <c r="CT27" s="192">
        <v>4.561197631780467E-2</v>
      </c>
      <c r="CU27" s="694"/>
      <c r="CV27" s="8"/>
      <c r="CW27" s="8">
        <v>0.26035118326197004</v>
      </c>
      <c r="CX27" s="8">
        <v>0.27377284282538961</v>
      </c>
      <c r="CY27" s="8">
        <v>0.26103127012260674</v>
      </c>
      <c r="CZ27" s="8">
        <v>0.13054166910503118</v>
      </c>
      <c r="DA27" s="8">
        <v>8.2739542291893731E-2</v>
      </c>
      <c r="DB27" s="8">
        <v>0.1640317342661366</v>
      </c>
      <c r="DC27" s="8">
        <v>0.17707893395867758</v>
      </c>
      <c r="DD27" s="8">
        <v>0.19266879972530848</v>
      </c>
      <c r="DE27" s="8">
        <v>0.1314881419015832</v>
      </c>
      <c r="DF27" s="116">
        <f t="shared" ref="DF27:DM27" si="241">DF26/DE26-1</f>
        <v>0.19349841730082185</v>
      </c>
      <c r="DG27" s="116">
        <f t="shared" si="241"/>
        <v>0.17813385009789018</v>
      </c>
      <c r="DH27" s="116">
        <f t="shared" si="241"/>
        <v>4.9857140485953355E-2</v>
      </c>
      <c r="DI27" s="116">
        <f t="shared" si="241"/>
        <v>0.15387315975311466</v>
      </c>
      <c r="DJ27" s="116">
        <f t="shared" si="241"/>
        <v>0.13194462075371716</v>
      </c>
      <c r="DK27" s="116">
        <f t="shared" si="241"/>
        <v>0.13788528412785261</v>
      </c>
      <c r="DL27" s="116">
        <f t="shared" si="241"/>
        <v>-0.21393027873051673</v>
      </c>
      <c r="DM27" s="116">
        <f t="shared" si="241"/>
        <v>0.4025877255180319</v>
      </c>
      <c r="DN27" s="116">
        <f t="shared" ref="DN27:DS27" si="242">DN26/DM26-1</f>
        <v>0.25536267394359013</v>
      </c>
      <c r="DO27" s="116">
        <f t="shared" si="242"/>
        <v>2.8385812006914035E-2</v>
      </c>
      <c r="DP27" s="116">
        <f t="shared" si="242"/>
        <v>5.7775917655595421E-2</v>
      </c>
      <c r="DQ27" s="116">
        <f t="shared" si="242"/>
        <v>9.5596453599068099E-2</v>
      </c>
      <c r="DR27" s="116">
        <f t="shared" si="242"/>
        <v>6.7318871419835169E-2</v>
      </c>
      <c r="DS27" s="1166">
        <f t="shared" si="242"/>
        <v>8.3566396078526894E-2</v>
      </c>
      <c r="DT27" s="1166">
        <f t="shared" ref="DT27" si="243">DT26/DS26-1</f>
        <v>6.8244096970186519E-2</v>
      </c>
      <c r="DU27" s="1166">
        <f t="shared" ref="DU27" si="244">DU26/DT26-1</f>
        <v>6.8245704089175518E-2</v>
      </c>
      <c r="DV27" s="1166">
        <f t="shared" ref="DV27" si="245">DV26/DU26-1</f>
        <v>6.8194096746033939E-2</v>
      </c>
      <c r="DY27" s="1166">
        <v>7.0698049320800482E-2</v>
      </c>
      <c r="DZ27" s="1166">
        <v>7.925207447959437E-2</v>
      </c>
    </row>
    <row r="28" spans="1:130">
      <c r="A28" s="8" t="s">
        <v>170</v>
      </c>
      <c r="B28" s="8"/>
      <c r="C28" s="8"/>
      <c r="D28" s="8">
        <v>0.35789581124222436</v>
      </c>
      <c r="E28" s="8">
        <v>-0.12324768550417797</v>
      </c>
      <c r="F28" s="8">
        <v>0.56236812650329826</v>
      </c>
      <c r="G28" s="8">
        <v>-0.35918689620061761</v>
      </c>
      <c r="H28" s="8">
        <v>0.40711879888108693</v>
      </c>
      <c r="I28" s="8">
        <v>-8.0853466404311236E-2</v>
      </c>
      <c r="J28" s="8">
        <v>0.56059764517208777</v>
      </c>
      <c r="K28" s="8">
        <v>-0.37127570561546164</v>
      </c>
      <c r="L28" s="8">
        <v>0.42776811420345484</v>
      </c>
      <c r="M28" s="8">
        <v>-8.9463319855064838E-2</v>
      </c>
      <c r="N28" s="8">
        <v>0.54803669111010511</v>
      </c>
      <c r="O28" s="8">
        <v>-0.35258988262775248</v>
      </c>
      <c r="P28" s="8">
        <v>0.41235775632633676</v>
      </c>
      <c r="Q28" s="8">
        <v>-9.5462768298049228E-2</v>
      </c>
      <c r="R28" s="8">
        <v>0.46054611136635937</v>
      </c>
      <c r="S28" s="8">
        <v>-0.33416037008481114</v>
      </c>
      <c r="T28" s="8">
        <v>0.31160475871763804</v>
      </c>
      <c r="U28" s="8">
        <v>-9.7072995884148749E-2</v>
      </c>
      <c r="V28" s="8">
        <v>0.31703658798912726</v>
      </c>
      <c r="W28" s="8">
        <v>-0.37767133437170097</v>
      </c>
      <c r="X28" s="8">
        <v>0.46352717746591776</v>
      </c>
      <c r="Y28" s="8">
        <v>-9.9611355463031459E-2</v>
      </c>
      <c r="Z28" s="8">
        <v>0.4100189929224658</v>
      </c>
      <c r="AA28" s="8">
        <v>-0.35064826668755433</v>
      </c>
      <c r="AB28" s="8">
        <v>0.38822412719129118</v>
      </c>
      <c r="AC28" s="8">
        <v>-8.2825511596568702E-2</v>
      </c>
      <c r="AD28" s="8">
        <v>0.39740601019145072</v>
      </c>
      <c r="AE28" s="8">
        <v>-0.3345199566102659</v>
      </c>
      <c r="AF28" s="8">
        <v>0.39690230089500589</v>
      </c>
      <c r="AG28" s="8">
        <v>-0.11297806482157868</v>
      </c>
      <c r="AH28" s="8">
        <v>0.43065443537191239</v>
      </c>
      <c r="AI28" s="8">
        <v>-0.33177569212970381</v>
      </c>
      <c r="AJ28" s="8">
        <v>0.34708350486975448</v>
      </c>
      <c r="AK28" s="8">
        <v>-5.2745605753913849E-2</v>
      </c>
      <c r="AL28" s="8">
        <v>0.42832835022727833</v>
      </c>
      <c r="AM28" s="8">
        <v>-0.35496240485178543</v>
      </c>
      <c r="AN28" s="8">
        <v>0.27168937450605801</v>
      </c>
      <c r="AO28" s="8">
        <v>-3.674738448248871E-2</v>
      </c>
      <c r="AP28" s="8">
        <v>0.42416502273761902</v>
      </c>
      <c r="AQ28" s="116">
        <f t="shared" ref="AQ28:BG28" si="246">AQ26/AP26-1</f>
        <v>-0.35476788213587485</v>
      </c>
      <c r="AR28" s="116">
        <f t="shared" si="246"/>
        <v>0.33732077296950602</v>
      </c>
      <c r="AS28" s="116">
        <f t="shared" si="246"/>
        <v>-4.0968652706918629E-2</v>
      </c>
      <c r="AT28" s="116">
        <f t="shared" si="246"/>
        <v>0.51054533009138536</v>
      </c>
      <c r="AU28" s="116">
        <f t="shared" si="246"/>
        <v>-0.35440626617150583</v>
      </c>
      <c r="AV28" s="116">
        <f t="shared" si="246"/>
        <v>0.30874818028411855</v>
      </c>
      <c r="AW28" s="116">
        <f t="shared" si="246"/>
        <v>-7.5368344592329772E-2</v>
      </c>
      <c r="AX28" s="116">
        <f t="shared" si="246"/>
        <v>0.41787829833064083</v>
      </c>
      <c r="AY28" s="116">
        <f t="shared" si="246"/>
        <v>-0.38072627709141638</v>
      </c>
      <c r="AZ28" s="116">
        <f t="shared" si="246"/>
        <v>0.32084411268838653</v>
      </c>
      <c r="BA28" s="116">
        <f t="shared" si="246"/>
        <v>-0.12245293096541598</v>
      </c>
      <c r="BB28" s="116">
        <f t="shared" si="246"/>
        <v>0.45992506721057613</v>
      </c>
      <c r="BC28" s="116">
        <f t="shared" si="246"/>
        <v>-0.32948519093690454</v>
      </c>
      <c r="BD28" s="116">
        <f t="shared" si="246"/>
        <v>0.29378997317928612</v>
      </c>
      <c r="BE28" s="116">
        <f t="shared" si="246"/>
        <v>-4.628557635386199E-2</v>
      </c>
      <c r="BF28" s="116">
        <f t="shared" si="246"/>
        <v>0.40374730084054011</v>
      </c>
      <c r="BG28" s="116">
        <f t="shared" si="246"/>
        <v>-0.33579294399446535</v>
      </c>
      <c r="BH28" s="116">
        <f t="shared" ref="BH28:BV28" si="247">BH26/BG26-1</f>
        <v>0.24062863687867919</v>
      </c>
      <c r="BI28" s="116">
        <f t="shared" si="247"/>
        <v>-3.8022431596106521E-2</v>
      </c>
      <c r="BJ28" s="116">
        <f t="shared" si="247"/>
        <v>0.45880126877745342</v>
      </c>
      <c r="BK28" s="116">
        <f t="shared" si="247"/>
        <v>-0.33255622566247278</v>
      </c>
      <c r="BL28" s="116">
        <f t="shared" si="247"/>
        <v>0.21134369597651737</v>
      </c>
      <c r="BM28" s="116">
        <f t="shared" si="247"/>
        <v>-2.8904399817801352E-2</v>
      </c>
      <c r="BN28" s="116">
        <f t="shared" si="247"/>
        <v>0.42808215639187597</v>
      </c>
      <c r="BO28" s="116">
        <f t="shared" si="247"/>
        <v>-0.4136463009519088</v>
      </c>
      <c r="BP28" s="116">
        <f t="shared" si="247"/>
        <v>-0.56619652412514265</v>
      </c>
      <c r="BQ28" s="116">
        <f t="shared" si="247"/>
        <v>1.2140083066792329</v>
      </c>
      <c r="BR28" s="116">
        <f t="shared" si="247"/>
        <v>0.71776927765260989</v>
      </c>
      <c r="BS28" s="116">
        <f t="shared" si="247"/>
        <v>-0.48570445488172853</v>
      </c>
      <c r="BT28" s="116">
        <f t="shared" si="247"/>
        <v>0.57474544610640987</v>
      </c>
      <c r="BU28" s="116">
        <f t="shared" si="247"/>
        <v>5.5413696087168285E-2</v>
      </c>
      <c r="BV28" s="116">
        <f t="shared" si="247"/>
        <v>0.47304170640919918</v>
      </c>
      <c r="BW28" s="116">
        <f t="shared" ref="BW28:CD28" si="248">BW26/BV26-1</f>
        <v>-0.32507551804698076</v>
      </c>
      <c r="BX28" s="116">
        <f t="shared" si="248"/>
        <v>0.38779322348359613</v>
      </c>
      <c r="BY28" s="116">
        <f t="shared" si="248"/>
        <v>-0.1678567105042913</v>
      </c>
      <c r="BZ28" s="116">
        <f t="shared" si="248"/>
        <v>0.33022979607851455</v>
      </c>
      <c r="CA28" s="116">
        <f t="shared" si="248"/>
        <v>-0.30862171362063739</v>
      </c>
      <c r="CB28" s="116">
        <f t="shared" si="248"/>
        <v>0.26259975526899515</v>
      </c>
      <c r="CC28" s="116">
        <f t="shared" si="248"/>
        <v>-0.11614650680363447</v>
      </c>
      <c r="CD28" s="116">
        <f t="shared" si="248"/>
        <v>0.37915582855681573</v>
      </c>
      <c r="CE28" s="116">
        <f t="shared" ref="CE28" si="249">CE26/CD26-1</f>
        <v>-0.31913096897535176</v>
      </c>
      <c r="CF28" s="116">
        <f t="shared" ref="CF28" si="250">CF26/CE26-1</f>
        <v>0.2104847280958404</v>
      </c>
      <c r="CG28" s="116">
        <f t="shared" ref="CG28:CH28" si="251">CG26/CF26-1</f>
        <v>-3.6894197263883433E-2</v>
      </c>
      <c r="CH28" s="116">
        <f t="shared" si="251"/>
        <v>0.3618064426314751</v>
      </c>
      <c r="CI28" s="116">
        <f t="shared" ref="CI28" si="252">CI26/CH26-1</f>
        <v>-0.29447197305216544</v>
      </c>
      <c r="CJ28" s="116">
        <f t="shared" ref="CJ28" si="253">CJ26/CI26-1</f>
        <v>0.27934574665333978</v>
      </c>
      <c r="CK28" s="116">
        <f t="shared" ref="CK28" si="254">CK26/CJ26-1</f>
        <v>-0.14495127371708094</v>
      </c>
      <c r="CL28" s="192">
        <f t="shared" ref="CL28" si="255">CL26/CK26-1</f>
        <v>0.35480716347937213</v>
      </c>
      <c r="CM28" s="192">
        <f t="shared" ref="CM28" si="256">CM26/CL26-1</f>
        <v>-0.28865705116497087</v>
      </c>
      <c r="CN28" s="192">
        <f t="shared" ref="CN28" si="257">CN26/CM26-1</f>
        <v>0.26842009350230644</v>
      </c>
      <c r="CO28" s="192">
        <f t="shared" ref="CO28" si="258">CO26/CN26-1</f>
        <v>-0.1183049663775384</v>
      </c>
      <c r="CP28" s="192">
        <f t="shared" ref="CP28" si="259">CP26/CO26-1</f>
        <v>0.36698256119403494</v>
      </c>
      <c r="CQ28" s="192"/>
      <c r="CR28" s="192"/>
      <c r="CS28" s="192"/>
      <c r="CT28" s="192">
        <v>0.35480716347937213</v>
      </c>
      <c r="CU28" s="694"/>
      <c r="CV28" s="8"/>
      <c r="CW28" s="8"/>
      <c r="CX28" s="8"/>
      <c r="CY28" s="8"/>
      <c r="CZ28" s="8"/>
      <c r="DA28" s="8"/>
      <c r="DB28" s="7"/>
      <c r="DC28" s="7"/>
      <c r="DD28" s="7"/>
      <c r="DE28" s="7"/>
      <c r="DF28" s="114"/>
      <c r="DG28" s="114"/>
      <c r="DH28" s="114"/>
      <c r="DI28" s="114"/>
      <c r="DJ28" s="114"/>
      <c r="DK28" s="114"/>
      <c r="DL28" s="114"/>
      <c r="DM28" s="114"/>
      <c r="DN28" s="114"/>
      <c r="DO28" s="114"/>
      <c r="DP28" s="114"/>
      <c r="DQ28" s="114"/>
      <c r="DR28" s="114"/>
      <c r="DS28" s="1170"/>
      <c r="DT28" s="1170"/>
      <c r="DU28" s="1170"/>
      <c r="DV28" s="1170"/>
      <c r="DY28" s="1170"/>
      <c r="DZ28" s="1170"/>
    </row>
    <row r="29" spans="1:130">
      <c r="A29" s="8"/>
      <c r="B29" s="8"/>
      <c r="C29" s="8"/>
      <c r="D29" s="8"/>
      <c r="E29" s="8"/>
      <c r="F29" s="8"/>
      <c r="G29" s="8"/>
      <c r="H29" s="8"/>
      <c r="I29" s="8"/>
      <c r="J29" s="8"/>
      <c r="K29" s="8"/>
      <c r="L29" s="8"/>
      <c r="M29" s="8"/>
      <c r="N29" s="8"/>
      <c r="O29" s="8"/>
      <c r="P29" s="8"/>
      <c r="Q29" s="8"/>
      <c r="R29" s="8"/>
      <c r="S29" s="8"/>
      <c r="T29" s="8"/>
      <c r="U29" s="8"/>
      <c r="V29" s="8"/>
      <c r="W29" s="8">
        <v>0.17138672636508379</v>
      </c>
      <c r="X29" s="8">
        <v>0.26216452131387558</v>
      </c>
      <c r="Y29" s="8">
        <v>0.23002699945037003</v>
      </c>
      <c r="Z29" s="8">
        <v>0.33642175287067061</v>
      </c>
      <c r="AA29" s="8">
        <v>0.17876674392654518</v>
      </c>
      <c r="AB29" s="8">
        <v>0.25581398181821136</v>
      </c>
      <c r="AC29" s="8">
        <v>0.2309431498316471</v>
      </c>
      <c r="AD29" s="8">
        <v>0.33447612442359637</v>
      </c>
      <c r="AE29" s="8"/>
      <c r="AF29" s="8"/>
      <c r="AG29" s="8"/>
      <c r="AH29" s="8"/>
      <c r="AI29" s="8"/>
      <c r="AJ29" s="8"/>
      <c r="AK29" s="8"/>
      <c r="AL29" s="8"/>
      <c r="AM29" s="8"/>
      <c r="AN29" s="8"/>
      <c r="AO29" s="8"/>
      <c r="AP29" s="8"/>
      <c r="AQ29" s="116"/>
      <c r="AR29" s="116"/>
      <c r="AS29" s="116"/>
      <c r="AT29" s="116"/>
      <c r="AU29" s="116"/>
      <c r="AV29" s="116"/>
      <c r="AW29" s="116"/>
      <c r="AX29" s="116"/>
      <c r="AY29" s="116"/>
      <c r="AZ29" s="116"/>
      <c r="BA29" s="116"/>
      <c r="BB29" s="116"/>
      <c r="BC29" s="116"/>
      <c r="BD29" s="116"/>
      <c r="BE29" s="116"/>
      <c r="BF29" s="116"/>
      <c r="BG29" s="116"/>
      <c r="BH29" s="116"/>
      <c r="BI29" s="116"/>
      <c r="BJ29" s="116"/>
      <c r="BK29" s="116"/>
      <c r="BL29" s="116"/>
      <c r="BM29" s="116"/>
      <c r="BN29" s="116"/>
      <c r="BO29" s="116"/>
      <c r="BP29" s="116"/>
      <c r="BQ29" s="116">
        <f t="shared" ref="BQ29:BV29" si="260">+BQ26/BI26-1</f>
        <v>-7.8860673250696789E-2</v>
      </c>
      <c r="BR29" s="116">
        <f t="shared" si="260"/>
        <v>8.466099515639347E-2</v>
      </c>
      <c r="BS29" s="116">
        <f t="shared" si="260"/>
        <v>-0.16421976019453344</v>
      </c>
      <c r="BT29" s="116">
        <f t="shared" si="260"/>
        <v>8.6513374322208847E-2</v>
      </c>
      <c r="BU29" s="116">
        <f t="shared" si="260"/>
        <v>0.18085294179727884</v>
      </c>
      <c r="BV29" s="116">
        <f t="shared" si="260"/>
        <v>0.21802910611122428</v>
      </c>
      <c r="BW29" s="116">
        <f>+BW26/BK26-1</f>
        <v>0.38100550864455007</v>
      </c>
      <c r="BX29" s="116">
        <f>+BX26/BL26-1</f>
        <v>0.58216870476665838</v>
      </c>
      <c r="BY29" s="116"/>
      <c r="BZ29" s="116"/>
      <c r="CA29" s="116"/>
      <c r="CB29" s="116"/>
      <c r="CC29" s="116"/>
      <c r="CD29" s="116"/>
      <c r="CE29" s="116"/>
      <c r="CF29" s="116"/>
      <c r="CG29" s="116"/>
      <c r="CH29" s="116"/>
      <c r="CI29" s="116"/>
      <c r="CJ29" s="116"/>
      <c r="CK29" s="116"/>
      <c r="CL29" s="192"/>
      <c r="CM29" s="192"/>
      <c r="CN29" s="192"/>
      <c r="CO29" s="192"/>
      <c r="CP29" s="192"/>
      <c r="CQ29" s="192"/>
      <c r="CR29" s="192"/>
      <c r="CS29" s="192"/>
      <c r="CT29" s="192"/>
      <c r="CU29" s="694"/>
      <c r="CV29" s="8"/>
      <c r="CW29" s="8"/>
      <c r="CX29" s="8"/>
      <c r="CY29" s="8"/>
      <c r="CZ29" s="8"/>
      <c r="DA29" s="8"/>
      <c r="DB29" s="7"/>
      <c r="DC29" s="7"/>
      <c r="DD29" s="7"/>
      <c r="DE29" s="7"/>
      <c r="DF29" s="114"/>
      <c r="DG29" s="114"/>
      <c r="DH29" s="114"/>
      <c r="DI29" s="114"/>
      <c r="DJ29" s="114"/>
      <c r="DK29" s="114"/>
      <c r="DL29" s="114"/>
      <c r="DM29" s="114">
        <f t="shared" ref="DM29:DR29" si="261">+DM30/DK30-1</f>
        <v>0.12756018461317731</v>
      </c>
      <c r="DN29" s="114">
        <f t="shared" si="261"/>
        <v>0.7379583522193518</v>
      </c>
      <c r="DO29" s="114">
        <f t="shared" si="261"/>
        <v>0.22506018962255769</v>
      </c>
      <c r="DP29" s="114">
        <f t="shared" si="261"/>
        <v>9.4693712181323164E-2</v>
      </c>
      <c r="DQ29" s="114">
        <f t="shared" si="261"/>
        <v>0.18377509443678353</v>
      </c>
      <c r="DR29" s="114">
        <f t="shared" si="261"/>
        <v>0.1727303757462908</v>
      </c>
      <c r="DS29" s="1170"/>
      <c r="DT29" s="1170"/>
      <c r="DU29" s="1170"/>
      <c r="DV29" s="1170"/>
      <c r="DY29" s="1170"/>
      <c r="DZ29" s="1170"/>
    </row>
    <row r="30" spans="1:130">
      <c r="A30" s="64" t="s">
        <v>171</v>
      </c>
      <c r="B30" s="64"/>
      <c r="C30" s="64"/>
      <c r="D30" s="64"/>
      <c r="E30" s="64"/>
      <c r="F30" s="64"/>
      <c r="G30" s="64">
        <v>198012</v>
      </c>
      <c r="H30" s="64">
        <v>279148</v>
      </c>
      <c r="I30" s="64">
        <v>255413</v>
      </c>
      <c r="J30" s="64">
        <v>403861</v>
      </c>
      <c r="K30" s="64">
        <v>250995</v>
      </c>
      <c r="L30" s="64">
        <v>357709</v>
      </c>
      <c r="M30" s="64">
        <v>320523</v>
      </c>
      <c r="N30" s="64">
        <v>506879</v>
      </c>
      <c r="O30" s="64">
        <v>310293</v>
      </c>
      <c r="P30" s="64">
        <v>444355</v>
      </c>
      <c r="Q30" s="64">
        <v>395358</v>
      </c>
      <c r="R30" s="64">
        <v>601722</v>
      </c>
      <c r="S30" s="64">
        <v>383383</v>
      </c>
      <c r="T30" s="64">
        <v>509846</v>
      </c>
      <c r="U30" s="64">
        <v>449034</v>
      </c>
      <c r="V30" s="64">
        <v>613758</v>
      </c>
      <c r="W30" s="64">
        <v>362649</v>
      </c>
      <c r="X30" s="64">
        <v>554732</v>
      </c>
      <c r="Y30" s="64">
        <v>486730</v>
      </c>
      <c r="Z30" s="64">
        <v>711858</v>
      </c>
      <c r="AA30" s="64">
        <v>440246</v>
      </c>
      <c r="AB30" s="64">
        <v>629989</v>
      </c>
      <c r="AC30" s="64">
        <v>568740</v>
      </c>
      <c r="AD30" s="64">
        <v>823709</v>
      </c>
      <c r="AE30" s="64">
        <v>517707</v>
      </c>
      <c r="AF30" s="64">
        <v>749653</v>
      </c>
      <c r="AG30" s="64">
        <v>657076</v>
      </c>
      <c r="AH30" s="64">
        <v>972180</v>
      </c>
      <c r="AI30" s="64">
        <v>619199</v>
      </c>
      <c r="AJ30" s="64">
        <v>855169</v>
      </c>
      <c r="AK30" s="64">
        <v>803260</v>
      </c>
      <c r="AL30" s="64">
        <v>1184332</v>
      </c>
      <c r="AM30" s="64">
        <v>726731</v>
      </c>
      <c r="AN30" s="64">
        <v>947203</v>
      </c>
      <c r="AO30" s="64">
        <v>906918</v>
      </c>
      <c r="AP30" s="64">
        <v>1332954</v>
      </c>
      <c r="AQ30" s="619">
        <v>814516</v>
      </c>
      <c r="AR30" s="619">
        <v>1111198</v>
      </c>
      <c r="AS30" s="619">
        <v>1047091</v>
      </c>
      <c r="AT30" s="619">
        <v>1669807</v>
      </c>
      <c r="AU30" s="619">
        <v>1010895</v>
      </c>
      <c r="AV30" s="619">
        <v>1354226</v>
      </c>
      <c r="AW30" s="619">
        <v>1248365</v>
      </c>
      <c r="AX30" s="619">
        <v>1837366</v>
      </c>
      <c r="AY30" s="619">
        <v>1076148</v>
      </c>
      <c r="AZ30" s="619">
        <v>1464688</v>
      </c>
      <c r="BA30" s="619">
        <v>1260418</v>
      </c>
      <c r="BB30" s="619">
        <v>1920504</v>
      </c>
      <c r="BC30" s="619">
        <v>1234684</v>
      </c>
      <c r="BD30" s="619">
        <v>1630456</v>
      </c>
      <c r="BE30" s="619">
        <v>1512578</v>
      </c>
      <c r="BF30" s="619">
        <v>2222355</v>
      </c>
      <c r="BG30" s="619">
        <v>1398819</v>
      </c>
      <c r="BH30" s="619">
        <v>1780031</v>
      </c>
      <c r="BI30" s="619">
        <v>1711461</v>
      </c>
      <c r="BJ30" s="619">
        <v>2595122</v>
      </c>
      <c r="BK30" s="619">
        <v>1650337</v>
      </c>
      <c r="BL30" s="619">
        <v>2019374</v>
      </c>
      <c r="BM30" s="619">
        <v>1931924</v>
      </c>
      <c r="BN30" s="619">
        <v>2873058</v>
      </c>
      <c r="BO30" s="619">
        <v>1550180</v>
      </c>
      <c r="BP30" s="619">
        <v>539636</v>
      </c>
      <c r="BQ30" s="619">
        <v>1651197</v>
      </c>
      <c r="BR30" s="619">
        <v>2919558</v>
      </c>
      <c r="BS30" s="619">
        <v>1364417</v>
      </c>
      <c r="BT30" s="619">
        <v>2258723</v>
      </c>
      <c r="BU30" s="619">
        <v>2371924.3700500024</v>
      </c>
      <c r="BV30" s="619">
        <v>3560662.0335699995</v>
      </c>
      <c r="BW30" s="619">
        <v>2229665</v>
      </c>
      <c r="BX30" s="619">
        <v>3175745</v>
      </c>
      <c r="BY30" s="619">
        <v>2615521</v>
      </c>
      <c r="BZ30" s="619">
        <v>3554864</v>
      </c>
      <c r="CA30" s="619">
        <v>2277999</v>
      </c>
      <c r="CB30" s="619">
        <v>2985304</v>
      </c>
      <c r="CC30" s="619">
        <v>2636106</v>
      </c>
      <c r="CD30" s="619">
        <v>3806931</v>
      </c>
      <c r="CE30" s="619">
        <v>2461296</v>
      </c>
      <c r="CF30" s="619">
        <v>3079923</v>
      </c>
      <c r="CG30" s="619">
        <v>2955952</v>
      </c>
      <c r="CH30" s="619">
        <v>4174779</v>
      </c>
      <c r="CI30" s="619">
        <v>2756840</v>
      </c>
      <c r="CJ30" s="619">
        <v>3649669</v>
      </c>
      <c r="CK30" s="619">
        <v>3079149</v>
      </c>
      <c r="CL30" s="368">
        <f>CL278</f>
        <v>4372015.7390090954</v>
      </c>
      <c r="CM30" s="368">
        <f t="shared" ref="CM30:CP30" si="262">CM278</f>
        <v>2935811.0941041741</v>
      </c>
      <c r="CN30" s="368">
        <f t="shared" si="262"/>
        <v>3851396.9565790822</v>
      </c>
      <c r="CO30" s="368">
        <f t="shared" si="262"/>
        <v>3332428.9985024352</v>
      </c>
      <c r="CP30" s="368">
        <f t="shared" si="262"/>
        <v>4741143.6357525196</v>
      </c>
      <c r="CQ30" s="368"/>
      <c r="CR30" s="368"/>
      <c r="CS30" s="368"/>
      <c r="CT30" s="368">
        <v>4372015.7390090954</v>
      </c>
      <c r="CU30" s="1134">
        <f>+CK30/CT30-1</f>
        <v>-0.29571410904895779</v>
      </c>
      <c r="CV30" s="128"/>
      <c r="CW30" s="65"/>
      <c r="CX30" s="64">
        <v>1436106</v>
      </c>
      <c r="CY30" s="64">
        <v>1751728</v>
      </c>
      <c r="CZ30" s="64">
        <v>1956021</v>
      </c>
      <c r="DA30" s="64">
        <v>2115969</v>
      </c>
      <c r="DB30" s="64">
        <v>2462684</v>
      </c>
      <c r="DC30" s="62">
        <v>2896616</v>
      </c>
      <c r="DD30" s="62">
        <v>3461960</v>
      </c>
      <c r="DE30" s="62">
        <v>3913806</v>
      </c>
      <c r="DF30" s="1235">
        <f>+SUM(AQ30:AT30)</f>
        <v>4642612</v>
      </c>
      <c r="DG30" s="1227">
        <f>+SUM(AU30:AX30)</f>
        <v>5450852</v>
      </c>
      <c r="DH30" s="1227">
        <f>+SUM(AY30:BB30)</f>
        <v>5721758</v>
      </c>
      <c r="DI30" s="1227">
        <f>+SUM(BC30:BF30)</f>
        <v>6600073</v>
      </c>
      <c r="DJ30" s="1227">
        <f>+SUM(BG30:BJ30)</f>
        <v>7485433</v>
      </c>
      <c r="DK30" s="1227">
        <f>+SUM(BK30:BN30)</f>
        <v>8474693</v>
      </c>
      <c r="DL30" s="1227">
        <f>+SUM(BO30:BR30)</f>
        <v>6660571</v>
      </c>
      <c r="DM30" s="1227">
        <f>+SUM(BS30:BV30)</f>
        <v>9555726.4036200009</v>
      </c>
      <c r="DN30" s="1227">
        <f>+SUM(BW30:BZ30)</f>
        <v>11575795</v>
      </c>
      <c r="DO30" s="1227">
        <f>+SUM(CA30:CD30)</f>
        <v>11706340</v>
      </c>
      <c r="DP30" s="1227">
        <f>+SUM(CE30:CH30)</f>
        <v>12671950</v>
      </c>
      <c r="DQ30" s="1227">
        <f>+SUM(CI30:CL30)</f>
        <v>13857673.739009095</v>
      </c>
      <c r="DR30" s="1227">
        <f>+SUM(CM30:CP30)</f>
        <v>14860780.684938211</v>
      </c>
      <c r="DS30" s="1545">
        <f>DS278</f>
        <v>16129238.936102465</v>
      </c>
      <c r="DT30" s="1545">
        <f t="shared" ref="DT30:DV30" si="263">DT278</f>
        <v>17370380.215569045</v>
      </c>
      <c r="DU30" s="1545">
        <f t="shared" si="263"/>
        <v>18695329.764494058</v>
      </c>
      <c r="DV30" s="1545">
        <f t="shared" si="263"/>
        <v>20109365.04613978</v>
      </c>
      <c r="DY30" s="1545">
        <v>15277654.571192246</v>
      </c>
      <c r="DZ30" s="1545">
        <v>16632533.820276788</v>
      </c>
    </row>
    <row r="31" spans="1:130">
      <c r="A31" s="24" t="s">
        <v>183</v>
      </c>
      <c r="B31" s="24"/>
      <c r="C31" s="64"/>
      <c r="D31" s="64"/>
      <c r="E31" s="64"/>
      <c r="F31" s="64"/>
      <c r="G31" s="64"/>
      <c r="H31" s="64"/>
      <c r="I31" s="64"/>
      <c r="J31" s="83">
        <v>0.95188498026044432</v>
      </c>
      <c r="K31" s="83">
        <v>0.94093015235124755</v>
      </c>
      <c r="L31" s="83">
        <v>0.93921388436695896</v>
      </c>
      <c r="M31" s="83">
        <v>0.92426475040875233</v>
      </c>
      <c r="N31" s="83">
        <v>0.94419183405080476</v>
      </c>
      <c r="O31" s="83">
        <v>0.89278819179698177</v>
      </c>
      <c r="P31" s="83">
        <v>0.90523598820058992</v>
      </c>
      <c r="Q31" s="83">
        <v>0.89042188048971649</v>
      </c>
      <c r="R31" s="83">
        <v>0.92786738627602161</v>
      </c>
      <c r="S31" s="83">
        <v>0.88787786853544604</v>
      </c>
      <c r="T31" s="83">
        <v>0.9002360743501775</v>
      </c>
      <c r="U31" s="83">
        <v>0.87810000586659365</v>
      </c>
      <c r="V31" s="83">
        <v>0.91130568543399859</v>
      </c>
      <c r="W31" s="83">
        <v>0.86523403016696332</v>
      </c>
      <c r="X31" s="83">
        <v>0.90433540806046164</v>
      </c>
      <c r="Y31" s="83">
        <v>0.88126073896771928</v>
      </c>
      <c r="Z31" s="83">
        <v>0.91408106896910379</v>
      </c>
      <c r="AA31" s="83">
        <v>0.87057613779056542</v>
      </c>
      <c r="AB31" s="83">
        <v>0.89739721773515779</v>
      </c>
      <c r="AC31" s="83">
        <v>0.88331083924935505</v>
      </c>
      <c r="AD31" s="83">
        <v>0.91548448905920743</v>
      </c>
      <c r="AE31" s="83">
        <v>0.86462179779446768</v>
      </c>
      <c r="AF31" s="83">
        <v>0.89626491029017752</v>
      </c>
      <c r="AG31" s="83">
        <v>0.88564026946228847</v>
      </c>
      <c r="AH31" s="83">
        <v>0.91591187016809339</v>
      </c>
      <c r="AI31" s="83">
        <v>0.87300148320258963</v>
      </c>
      <c r="AJ31" s="83">
        <v>0.89503942628321198</v>
      </c>
      <c r="AK31" s="83">
        <v>0.88752323055538984</v>
      </c>
      <c r="AL31" s="83">
        <v>0.91615508385419886</v>
      </c>
      <c r="AM31" s="83">
        <v>0.87153371157746029</v>
      </c>
      <c r="AN31" s="83">
        <v>0.89324897538857906</v>
      </c>
      <c r="AO31" s="83">
        <v>0.88788616015703392</v>
      </c>
      <c r="AP31" s="83">
        <v>0.91631355640919177</v>
      </c>
      <c r="AQ31" s="683">
        <f t="shared" ref="AQ31:BI31" si="264">AQ30/AQ26</f>
        <v>0.86778590560123758</v>
      </c>
      <c r="AR31" s="683">
        <f t="shared" si="264"/>
        <v>0.88525590570000035</v>
      </c>
      <c r="AS31" s="683">
        <f t="shared" si="264"/>
        <v>0.86981923121972615</v>
      </c>
      <c r="AT31" s="683">
        <f t="shared" si="264"/>
        <v>0.91828416095697374</v>
      </c>
      <c r="AU31" s="683">
        <f t="shared" si="264"/>
        <v>0.86110786943533224</v>
      </c>
      <c r="AV31" s="683">
        <f t="shared" si="264"/>
        <v>0.88142743984155181</v>
      </c>
      <c r="AW31" s="683">
        <f t="shared" si="264"/>
        <v>0.87875588217695977</v>
      </c>
      <c r="AX31" s="683">
        <f t="shared" si="264"/>
        <v>0.91218595553172532</v>
      </c>
      <c r="AY31" s="683">
        <f t="shared" si="264"/>
        <v>0.86273428311910905</v>
      </c>
      <c r="AZ31" s="683">
        <f t="shared" si="264"/>
        <v>0.88899355418249792</v>
      </c>
      <c r="BA31" s="683">
        <f t="shared" si="264"/>
        <v>0.87176146003434707</v>
      </c>
      <c r="BB31" s="683">
        <f t="shared" si="264"/>
        <v>0.90984564160920822</v>
      </c>
      <c r="BC31" s="683">
        <f t="shared" si="264"/>
        <v>0.8723684470834947</v>
      </c>
      <c r="BD31" s="683">
        <f t="shared" si="264"/>
        <v>0.89040877446300981</v>
      </c>
      <c r="BE31" s="683">
        <f t="shared" si="264"/>
        <v>0.86612340863398907</v>
      </c>
      <c r="BF31" s="683">
        <f t="shared" si="264"/>
        <v>0.90653901003152393</v>
      </c>
      <c r="BG31" s="683">
        <f t="shared" si="264"/>
        <v>0.85907503907485483</v>
      </c>
      <c r="BH31" s="683">
        <f t="shared" si="264"/>
        <v>0.88116115216249513</v>
      </c>
      <c r="BI31" s="683">
        <f t="shared" si="264"/>
        <v>0.88070373511286026</v>
      </c>
      <c r="BJ31" s="683">
        <f t="shared" ref="BJ31:BV31" si="265">BJ30/BJ26</f>
        <v>0.9154286032768334</v>
      </c>
      <c r="BK31" s="683">
        <f t="shared" si="265"/>
        <v>0.8722172043272165</v>
      </c>
      <c r="BL31" s="683">
        <f t="shared" si="265"/>
        <v>0.88105169100926528</v>
      </c>
      <c r="BM31" s="683">
        <f t="shared" si="265"/>
        <v>0.86798591938465819</v>
      </c>
      <c r="BN31" s="683">
        <f t="shared" si="265"/>
        <v>0.90388638129014987</v>
      </c>
      <c r="BO31" s="683">
        <f t="shared" si="265"/>
        <v>0.83174827673719964</v>
      </c>
      <c r="BP31" s="683">
        <f t="shared" si="265"/>
        <v>0.66744835536161762</v>
      </c>
      <c r="BQ31" s="683">
        <f>BQ30/BQ26</f>
        <v>0.92243632680628751</v>
      </c>
      <c r="BR31" s="683">
        <f>BR30/BR26</f>
        <v>0.94948866197444193</v>
      </c>
      <c r="BS31" s="683">
        <f t="shared" si="265"/>
        <v>0.86279383885356842</v>
      </c>
      <c r="BT31" s="683">
        <f t="shared" si="265"/>
        <v>0.90701094208593125</v>
      </c>
      <c r="BU31" s="683">
        <f t="shared" si="265"/>
        <v>0.90245938087178168</v>
      </c>
      <c r="BV31" s="683">
        <f t="shared" si="265"/>
        <v>0.91969227164274647</v>
      </c>
      <c r="BW31" s="683">
        <f t="shared" ref="BW31:CD31" si="266">BW30/BW26</f>
        <v>0.85328913932669581</v>
      </c>
      <c r="BX31" s="683">
        <f t="shared" si="266"/>
        <v>0.87574458744457562</v>
      </c>
      <c r="BY31" s="683">
        <f t="shared" si="266"/>
        <v>0.86674617713491908</v>
      </c>
      <c r="BZ31" s="683">
        <f t="shared" si="266"/>
        <v>0.88558457295004867</v>
      </c>
      <c r="CA31" s="683">
        <f t="shared" si="266"/>
        <v>0.82081417018461478</v>
      </c>
      <c r="CB31" s="683">
        <f t="shared" si="266"/>
        <v>0.85195013930891472</v>
      </c>
      <c r="CC31" s="683">
        <f t="shared" si="266"/>
        <v>0.85115411340171565</v>
      </c>
      <c r="CD31" s="683">
        <f t="shared" si="266"/>
        <v>0.89126530126811532</v>
      </c>
      <c r="CE31" s="683">
        <f t="shared" ref="CE31:CH31" si="267">CE30/CE26</f>
        <v>0.84631542897461665</v>
      </c>
      <c r="CF31" s="683">
        <f t="shared" si="267"/>
        <v>0.87488094362245561</v>
      </c>
      <c r="CG31" s="683">
        <f t="shared" si="267"/>
        <v>0.87183133859842288</v>
      </c>
      <c r="CH31" s="683">
        <f t="shared" si="267"/>
        <v>0.90417647686907499</v>
      </c>
      <c r="CI31" s="683">
        <f t="shared" ref="CI31:CL31" si="268">CI30/CI26</f>
        <v>0.84628570446245921</v>
      </c>
      <c r="CJ31" s="683">
        <f t="shared" si="268"/>
        <v>0.87573154210395232</v>
      </c>
      <c r="CK31" s="683">
        <f t="shared" si="268"/>
        <v>0.86408676706313392</v>
      </c>
      <c r="CL31" s="369">
        <f t="shared" si="268"/>
        <v>0.90558846443506624</v>
      </c>
      <c r="CM31" s="369">
        <f t="shared" ref="CM31:CP31" si="269">CM30/CM26</f>
        <v>0.85486638751278499</v>
      </c>
      <c r="CN31" s="369">
        <f t="shared" si="269"/>
        <v>0.88414868178102113</v>
      </c>
      <c r="CO31" s="369">
        <f t="shared" si="269"/>
        <v>0.86765990980753804</v>
      </c>
      <c r="CP31" s="369">
        <f t="shared" si="269"/>
        <v>0.90304369516958904</v>
      </c>
      <c r="CQ31" s="369"/>
      <c r="CR31" s="369"/>
      <c r="CS31" s="369"/>
      <c r="CT31" s="369">
        <v>0.90558846443506624</v>
      </c>
      <c r="CU31" s="1102"/>
      <c r="CV31" s="83"/>
      <c r="CW31" s="83"/>
      <c r="CX31" s="83">
        <v>0.93787249271504491</v>
      </c>
      <c r="CY31" s="83">
        <v>0.90718971443427265</v>
      </c>
      <c r="CZ31" s="83">
        <v>0.89602140533676711</v>
      </c>
      <c r="DA31" s="83">
        <v>0.89522082155059934</v>
      </c>
      <c r="DB31" s="83">
        <v>0.89508595454284423</v>
      </c>
      <c r="DC31" s="83">
        <v>0.89441977284839902</v>
      </c>
      <c r="DD31" s="83">
        <v>0.89629846721353068</v>
      </c>
      <c r="DE31" s="83">
        <v>0.89552949833675866</v>
      </c>
      <c r="DF31" s="683">
        <f t="shared" ref="DF31:DM31" si="270">DF30/DF26</f>
        <v>0.89006381081141184</v>
      </c>
      <c r="DG31" s="683">
        <f t="shared" si="270"/>
        <v>0.88700998731041703</v>
      </c>
      <c r="DH31" s="683">
        <f t="shared" si="270"/>
        <v>0.88687701307276667</v>
      </c>
      <c r="DI31" s="683">
        <f t="shared" si="270"/>
        <v>0.886593577237902</v>
      </c>
      <c r="DJ31" s="683">
        <f t="shared" si="270"/>
        <v>0.88831621420936535</v>
      </c>
      <c r="DK31" s="683">
        <f t="shared" si="270"/>
        <v>0.88384509383541865</v>
      </c>
      <c r="DL31" s="683">
        <f t="shared" si="270"/>
        <v>0.88369536086440814</v>
      </c>
      <c r="DM31" s="683">
        <f t="shared" si="270"/>
        <v>0.90390915635350388</v>
      </c>
      <c r="DN31" s="683">
        <f t="shared" ref="DN31:DS31" si="271">DN30/DN26</f>
        <v>0.87225344746271549</v>
      </c>
      <c r="DO31" s="683">
        <f t="shared" si="271"/>
        <v>0.85774249114274348</v>
      </c>
      <c r="DP31" s="683">
        <f t="shared" ref="DP31:DQ31" si="272">DP30/DP26</f>
        <v>0.87777976812170044</v>
      </c>
      <c r="DQ31" s="683">
        <f t="shared" si="272"/>
        <v>0.87615678879477987</v>
      </c>
      <c r="DR31" s="683">
        <f t="shared" ref="DR31" si="273">DR30/DR26</f>
        <v>0.88031668799536666</v>
      </c>
      <c r="DS31" s="1550">
        <f t="shared" si="271"/>
        <v>0.88177068693311522</v>
      </c>
      <c r="DT31" s="1550">
        <f t="shared" ref="DT31:DV31" si="274">DT30/DT26</f>
        <v>0.88895669452271286</v>
      </c>
      <c r="DU31" s="1550">
        <f t="shared" si="274"/>
        <v>0.89563953370878746</v>
      </c>
      <c r="DV31" s="1550">
        <f t="shared" si="274"/>
        <v>0.90187907252953414</v>
      </c>
      <c r="DY31" s="1550">
        <v>0.88951355099748508</v>
      </c>
      <c r="DZ31" s="1550">
        <v>0.89728706120094992</v>
      </c>
    </row>
    <row r="32" spans="1:130">
      <c r="A32" s="133" t="s">
        <v>184</v>
      </c>
      <c r="B32" s="24"/>
      <c r="C32" s="24"/>
      <c r="D32" s="24"/>
      <c r="E32" s="24"/>
      <c r="F32" s="24"/>
      <c r="G32" s="24"/>
      <c r="H32" s="24"/>
      <c r="I32" s="24"/>
      <c r="J32" s="8"/>
      <c r="K32" s="8"/>
      <c r="L32" s="8"/>
      <c r="M32" s="8"/>
      <c r="N32" s="8">
        <v>0.25508281314610715</v>
      </c>
      <c r="O32" s="8">
        <v>0.23625171816171631</v>
      </c>
      <c r="P32" s="8">
        <v>0.24222482520708177</v>
      </c>
      <c r="Q32" s="8">
        <v>0.23347778474555647</v>
      </c>
      <c r="R32" s="8">
        <v>0.18711171699754781</v>
      </c>
      <c r="S32" s="8">
        <v>0.23555155933263072</v>
      </c>
      <c r="T32" s="8">
        <v>0.14738441111273648</v>
      </c>
      <c r="U32" s="8">
        <v>0.13576555931586065</v>
      </c>
      <c r="V32" s="8">
        <v>2.0002592559354548E-2</v>
      </c>
      <c r="W32" s="8">
        <v>-5.4081688546440465E-2</v>
      </c>
      <c r="X32" s="8">
        <v>8.8038348834746261E-2</v>
      </c>
      <c r="Y32" s="8">
        <v>8.394909962274566E-2</v>
      </c>
      <c r="Z32" s="8">
        <v>0.15983498382098471</v>
      </c>
      <c r="AA32" s="8">
        <v>0.21397273948087547</v>
      </c>
      <c r="AB32" s="8">
        <v>0.13566370788056203</v>
      </c>
      <c r="AC32" s="8">
        <v>0.16849177161876194</v>
      </c>
      <c r="AD32" s="8">
        <v>0.15712543793846523</v>
      </c>
      <c r="AE32" s="8">
        <v>0.17594935558755798</v>
      </c>
      <c r="AF32" s="8">
        <v>0.18994617366334965</v>
      </c>
      <c r="AG32" s="8">
        <v>0.15531877483560153</v>
      </c>
      <c r="AH32" s="8">
        <v>0.18024690758508166</v>
      </c>
      <c r="AI32" s="8">
        <v>0.19604139020720224</v>
      </c>
      <c r="AJ32" s="8">
        <v>0.14075312177767585</v>
      </c>
      <c r="AK32" s="8">
        <v>0.22247654761397473</v>
      </c>
      <c r="AL32" s="8">
        <v>0.2182229628258141</v>
      </c>
      <c r="AM32" s="8">
        <v>0.17366307116129054</v>
      </c>
      <c r="AN32" s="8">
        <v>0.10762083284122781</v>
      </c>
      <c r="AO32" s="8">
        <v>0.12904663496252766</v>
      </c>
      <c r="AP32" s="8">
        <v>0.12549014972153083</v>
      </c>
      <c r="AQ32" s="116">
        <f t="shared" ref="AQ32:BK32" si="275">AQ30/AM30-1</f>
        <v>0.12079435169271702</v>
      </c>
      <c r="AR32" s="116">
        <f t="shared" si="275"/>
        <v>0.17313606481398391</v>
      </c>
      <c r="AS32" s="116">
        <f t="shared" si="275"/>
        <v>0.15455972866345147</v>
      </c>
      <c r="AT32" s="116">
        <f t="shared" si="275"/>
        <v>0.25271164646341893</v>
      </c>
      <c r="AU32" s="116">
        <f t="shared" si="275"/>
        <v>0.24109900849093213</v>
      </c>
      <c r="AV32" s="116">
        <f t="shared" si="275"/>
        <v>0.21870809702681249</v>
      </c>
      <c r="AW32" s="116">
        <f t="shared" si="275"/>
        <v>0.19222207047907003</v>
      </c>
      <c r="AX32" s="116">
        <f t="shared" si="275"/>
        <v>0.10034632744981908</v>
      </c>
      <c r="AY32" s="116">
        <f t="shared" si="275"/>
        <v>6.4549730684195783E-2</v>
      </c>
      <c r="AZ32" s="116">
        <f t="shared" si="275"/>
        <v>8.1568364512274893E-2</v>
      </c>
      <c r="BA32" s="116">
        <f t="shared" si="275"/>
        <v>9.6550287776411281E-3</v>
      </c>
      <c r="BB32" s="116">
        <f t="shared" si="275"/>
        <v>4.5248469820384107E-2</v>
      </c>
      <c r="BC32" s="116">
        <f t="shared" si="275"/>
        <v>0.14731802688849482</v>
      </c>
      <c r="BD32" s="116">
        <f t="shared" si="275"/>
        <v>0.11317632151011003</v>
      </c>
      <c r="BE32" s="116">
        <f t="shared" si="275"/>
        <v>0.20006061481191151</v>
      </c>
      <c r="BF32" s="116">
        <f t="shared" si="275"/>
        <v>0.15717280463878236</v>
      </c>
      <c r="BG32" s="116">
        <f t="shared" si="275"/>
        <v>0.13293684861875588</v>
      </c>
      <c r="BH32" s="116">
        <f t="shared" si="275"/>
        <v>9.1738139514344397E-2</v>
      </c>
      <c r="BI32" s="116">
        <f t="shared" si="275"/>
        <v>0.13148611179059855</v>
      </c>
      <c r="BJ32" s="116">
        <f t="shared" si="275"/>
        <v>0.16773512782611233</v>
      </c>
      <c r="BK32" s="116">
        <f t="shared" si="275"/>
        <v>0.17980739466650086</v>
      </c>
      <c r="BL32" s="116">
        <f t="shared" ref="BL32:BV32" si="276">BL30/BH30-1</f>
        <v>0.13446001783115014</v>
      </c>
      <c r="BM32" s="116">
        <f t="shared" si="276"/>
        <v>0.12881567269134386</v>
      </c>
      <c r="BN32" s="116">
        <f t="shared" si="276"/>
        <v>0.10709939648309397</v>
      </c>
      <c r="BO32" s="116">
        <f t="shared" si="276"/>
        <v>-6.0688816890126063E-2</v>
      </c>
      <c r="BP32" s="116">
        <f t="shared" si="276"/>
        <v>-0.73277065070660519</v>
      </c>
      <c r="BQ32" s="116">
        <f t="shared" si="276"/>
        <v>-0.14530954633826176</v>
      </c>
      <c r="BR32" s="116">
        <f t="shared" si="276"/>
        <v>1.6184845554806149E-2</v>
      </c>
      <c r="BS32" s="116">
        <f t="shared" si="276"/>
        <v>-0.11983318066289073</v>
      </c>
      <c r="BT32" s="116">
        <f t="shared" si="276"/>
        <v>3.1856418029931284</v>
      </c>
      <c r="BU32" s="116">
        <f t="shared" si="276"/>
        <v>0.43648781462781394</v>
      </c>
      <c r="BV32" s="116">
        <f t="shared" si="276"/>
        <v>0.21958941509981966</v>
      </c>
      <c r="BW32" s="116">
        <f t="shared" ref="BW32:CC32" si="277">BW30/BS30-1</f>
        <v>0.63415216902164073</v>
      </c>
      <c r="BX32" s="116">
        <f t="shared" si="277"/>
        <v>0.40599134997961239</v>
      </c>
      <c r="BY32" s="116">
        <f t="shared" si="277"/>
        <v>0.10269999879669967</v>
      </c>
      <c r="BZ32" s="116">
        <f t="shared" si="277"/>
        <v>-1.6283582983545042E-3</v>
      </c>
      <c r="CA32" s="116">
        <f t="shared" si="277"/>
        <v>2.1677695976749956E-2</v>
      </c>
      <c r="CB32" s="116">
        <f t="shared" si="277"/>
        <v>-5.9967346244739428E-2</v>
      </c>
      <c r="CC32" s="116">
        <f t="shared" si="277"/>
        <v>7.8703248798230874E-3</v>
      </c>
      <c r="CD32" s="116">
        <f>CD30/BZ30-1</f>
        <v>7.0907635285063053E-2</v>
      </c>
      <c r="CE32" s="116">
        <f t="shared" ref="CE32" si="278">CE30/CA30-1</f>
        <v>8.0464038834082041E-2</v>
      </c>
      <c r="CF32" s="116">
        <f t="shared" ref="CF32" si="279">CF30/CB30-1</f>
        <v>3.1694929561612462E-2</v>
      </c>
      <c r="CG32" s="116">
        <f t="shared" ref="CG32:CH32" si="280">CG30/CC30-1</f>
        <v>0.12133275369048135</v>
      </c>
      <c r="CH32" s="116">
        <f t="shared" si="280"/>
        <v>9.6625864771386683E-2</v>
      </c>
      <c r="CI32" s="116">
        <f t="shared" ref="CI32" si="281">CI30/CE30-1</f>
        <v>0.12007657754288803</v>
      </c>
      <c r="CJ32" s="116">
        <f t="shared" ref="CJ32" si="282">CJ30/CF30-1</f>
        <v>0.18498709220977272</v>
      </c>
      <c r="CK32" s="116">
        <f t="shared" ref="CK32" si="283">CK30/CG30-1</f>
        <v>4.1677605049067035E-2</v>
      </c>
      <c r="CL32" s="192">
        <f t="shared" ref="CL32" si="284">CL30/CH30-1</f>
        <v>4.7244833561032928E-2</v>
      </c>
      <c r="CM32" s="192">
        <f t="shared" ref="CM32" si="285">CM30/CI30-1</f>
        <v>6.4918926779999664E-2</v>
      </c>
      <c r="CN32" s="192">
        <f t="shared" ref="CN32" si="286">CN30/CJ30-1</f>
        <v>5.5272945732635526E-2</v>
      </c>
      <c r="CO32" s="192">
        <f t="shared" ref="CO32" si="287">CO30/CK30-1</f>
        <v>8.2256493109763573E-2</v>
      </c>
      <c r="CP32" s="192">
        <f t="shared" ref="CP32" si="288">CP30/CL30-1</f>
        <v>8.4429681588265693E-2</v>
      </c>
      <c r="CQ32" s="192"/>
      <c r="CR32" s="192"/>
      <c r="CS32" s="192"/>
      <c r="CT32" s="192">
        <v>4.7244833561032928E-2</v>
      </c>
      <c r="CU32" s="727"/>
      <c r="CV32" s="8"/>
      <c r="CW32" s="8"/>
      <c r="CX32" s="8"/>
      <c r="CY32" s="8">
        <v>0.21977625607023432</v>
      </c>
      <c r="CZ32" s="8">
        <v>0.11662369956979624</v>
      </c>
      <c r="DA32" s="8">
        <v>8.177212821334745E-2</v>
      </c>
      <c r="DB32" s="8">
        <v>0.16385637029654032</v>
      </c>
      <c r="DC32" s="8">
        <v>0.17620287458723904</v>
      </c>
      <c r="DD32" s="8">
        <v>0.19517395471129073</v>
      </c>
      <c r="DE32" s="8">
        <v>0.13051739477059243</v>
      </c>
      <c r="DF32" s="116">
        <f t="shared" ref="DF32:DM32" si="289">DF30/DE30-1</f>
        <v>0.18621413529439113</v>
      </c>
      <c r="DG32" s="116">
        <f t="shared" si="289"/>
        <v>0.17409165357777034</v>
      </c>
      <c r="DH32" s="116">
        <f t="shared" si="289"/>
        <v>4.9699753359658372E-2</v>
      </c>
      <c r="DI32" s="116">
        <f t="shared" si="289"/>
        <v>0.15350439497790713</v>
      </c>
      <c r="DJ32" s="116">
        <f t="shared" si="289"/>
        <v>0.13414397083183771</v>
      </c>
      <c r="DK32" s="116">
        <f t="shared" si="289"/>
        <v>0.13215801944924221</v>
      </c>
      <c r="DL32" s="116">
        <f t="shared" si="289"/>
        <v>-0.21406344749007422</v>
      </c>
      <c r="DM32" s="116">
        <f t="shared" si="289"/>
        <v>0.43467075174485803</v>
      </c>
      <c r="DN32" s="116">
        <f t="shared" ref="DN32:DS32" si="290">DN30/DM30-1</f>
        <v>0.21139874783509249</v>
      </c>
      <c r="DO32" s="116">
        <f t="shared" si="290"/>
        <v>1.1277411184285935E-2</v>
      </c>
      <c r="DP32" s="116">
        <f t="shared" si="290"/>
        <v>8.2486071650063053E-2</v>
      </c>
      <c r="DQ32" s="116">
        <f t="shared" si="290"/>
        <v>9.3570740020998855E-2</v>
      </c>
      <c r="DR32" s="116">
        <f t="shared" si="290"/>
        <v>7.2386387847001243E-2</v>
      </c>
      <c r="DS32" s="1166">
        <f t="shared" si="290"/>
        <v>8.5356097910109785E-2</v>
      </c>
      <c r="DT32" s="1166">
        <f t="shared" ref="DT32" si="291">DT30/DS30-1</f>
        <v>7.6949773289581858E-2</v>
      </c>
      <c r="DU32" s="1166">
        <f t="shared" ref="DU32" si="292">DU30/DT30-1</f>
        <v>7.6276370032330121E-2</v>
      </c>
      <c r="DV32" s="1166">
        <f t="shared" ref="DV32" si="293">DV30/DU30-1</f>
        <v>7.5635749647553263E-2</v>
      </c>
      <c r="DY32" s="1166">
        <v>8.8863761228983984E-2</v>
      </c>
      <c r="DZ32" s="1166">
        <v>8.8683720578374592E-2</v>
      </c>
    </row>
    <row r="33" spans="1:130">
      <c r="A33" s="133"/>
      <c r="B33" s="24"/>
      <c r="C33" s="24"/>
      <c r="D33" s="24"/>
      <c r="E33" s="24"/>
      <c r="F33" s="24"/>
      <c r="G33" s="24"/>
      <c r="H33" s="24"/>
      <c r="I33" s="24"/>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116"/>
      <c r="AR33" s="116"/>
      <c r="AS33" s="116"/>
      <c r="AT33" s="116"/>
      <c r="AU33" s="116"/>
      <c r="AV33" s="116"/>
      <c r="AW33" s="116"/>
      <c r="AX33" s="116"/>
      <c r="AY33" s="116"/>
      <c r="AZ33" s="116"/>
      <c r="BA33" s="116"/>
      <c r="BB33" s="116"/>
      <c r="BC33" s="116"/>
      <c r="BD33" s="116"/>
      <c r="BE33" s="116"/>
      <c r="BF33" s="116"/>
      <c r="BG33" s="116"/>
      <c r="BH33" s="116"/>
      <c r="BI33" s="116"/>
      <c r="BJ33" s="116"/>
      <c r="BK33" s="116"/>
      <c r="BL33" s="116"/>
      <c r="BM33" s="116"/>
      <c r="BN33" s="116"/>
      <c r="BO33" s="116"/>
      <c r="BP33" s="116"/>
      <c r="BQ33" s="116"/>
      <c r="BR33" s="116"/>
      <c r="BS33" s="114">
        <f>+BS30/BK30-1</f>
        <v>-0.1732494635944053</v>
      </c>
      <c r="BT33" s="114">
        <f>+BT30/BL30-1</f>
        <v>0.11852633538908597</v>
      </c>
      <c r="BU33" s="114">
        <f>+BU30/BM30-1</f>
        <v>0.22775242196380519</v>
      </c>
      <c r="BV33" s="114">
        <f>+BV30/BN30-1</f>
        <v>0.2393282814234865</v>
      </c>
      <c r="BW33" s="114">
        <f>+BW30/BK30-1</f>
        <v>0.35103618230700762</v>
      </c>
      <c r="BX33" s="114">
        <f>+BX30/BL30-1</f>
        <v>0.57263835228144955</v>
      </c>
      <c r="BY33" s="114">
        <f>+BY30/BM30-1</f>
        <v>0.35384259422213304</v>
      </c>
      <c r="BZ33" s="114">
        <f>+BZ30/BN30-1</f>
        <v>0.2373102109320453</v>
      </c>
      <c r="CA33" s="114">
        <f>+CA30/BO30-1</f>
        <v>0.4695061218697183</v>
      </c>
      <c r="CB33" s="114"/>
      <c r="CC33" s="114"/>
      <c r="CD33" s="114"/>
      <c r="CE33" s="114"/>
      <c r="CF33" s="114"/>
      <c r="CG33" s="114"/>
      <c r="CH33" s="114"/>
      <c r="CI33" s="114"/>
      <c r="CJ33" s="114"/>
      <c r="CK33" s="114"/>
      <c r="CL33" s="192"/>
      <c r="CM33" s="192"/>
      <c r="CN33" s="192"/>
      <c r="CO33" s="192"/>
      <c r="CP33" s="192"/>
      <c r="CQ33" s="192"/>
      <c r="CR33" s="192"/>
      <c r="CS33" s="192"/>
      <c r="CT33" s="168"/>
      <c r="CU33" s="727"/>
      <c r="CV33" s="8"/>
      <c r="CW33" s="8"/>
      <c r="CX33" s="8"/>
      <c r="CY33" s="8"/>
      <c r="CZ33" s="8"/>
      <c r="DA33" s="8"/>
      <c r="DB33" s="8"/>
      <c r="DC33" s="8"/>
      <c r="DD33" s="8"/>
      <c r="DE33" s="8"/>
      <c r="DF33" s="116"/>
      <c r="DG33" s="116"/>
      <c r="DH33" s="116"/>
      <c r="DI33" s="116"/>
      <c r="DJ33" s="116"/>
      <c r="DK33" s="116"/>
      <c r="DL33" s="116"/>
      <c r="DM33" s="116"/>
      <c r="DN33" s="116">
        <f>+DN30/DK30-1</f>
        <v>0.36592499574910864</v>
      </c>
      <c r="DO33" s="116"/>
      <c r="DP33" s="116"/>
      <c r="DQ33" s="116"/>
      <c r="DR33" s="116"/>
      <c r="DS33" s="1166"/>
      <c r="DT33" s="1166"/>
      <c r="DU33" s="1166"/>
      <c r="DV33" s="1166"/>
      <c r="DY33" s="1166"/>
      <c r="DZ33" s="1166"/>
    </row>
    <row r="34" spans="1:130">
      <c r="A34" s="64" t="s">
        <v>173</v>
      </c>
      <c r="B34" s="64"/>
      <c r="C34" s="64"/>
      <c r="D34" s="64"/>
      <c r="E34" s="64"/>
      <c r="F34" s="63"/>
      <c r="G34" s="63">
        <v>12192</v>
      </c>
      <c r="H34" s="63">
        <v>16634</v>
      </c>
      <c r="I34" s="63">
        <v>16454</v>
      </c>
      <c r="J34" s="64">
        <v>20414</v>
      </c>
      <c r="K34" s="64">
        <v>15757</v>
      </c>
      <c r="L34" s="64">
        <v>23151</v>
      </c>
      <c r="M34" s="64">
        <v>26264</v>
      </c>
      <c r="N34" s="64">
        <v>29960</v>
      </c>
      <c r="O34" s="64">
        <v>37200</v>
      </c>
      <c r="P34" s="64">
        <v>46500</v>
      </c>
      <c r="Q34" s="64">
        <v>48599.999999999993</v>
      </c>
      <c r="R34" s="63">
        <v>46778</v>
      </c>
      <c r="S34" s="63">
        <v>48414</v>
      </c>
      <c r="T34" s="63">
        <v>56501</v>
      </c>
      <c r="U34" s="63">
        <v>62336</v>
      </c>
      <c r="V34" s="63">
        <v>59735</v>
      </c>
      <c r="W34" s="63">
        <v>56485</v>
      </c>
      <c r="X34" s="63">
        <v>58682</v>
      </c>
      <c r="Y34" s="63">
        <v>65581</v>
      </c>
      <c r="Z34" s="63">
        <v>66911</v>
      </c>
      <c r="AA34" s="63">
        <v>65449</v>
      </c>
      <c r="AB34" s="63">
        <v>72029</v>
      </c>
      <c r="AC34" s="63">
        <v>75133</v>
      </c>
      <c r="AD34" s="63">
        <v>76043</v>
      </c>
      <c r="AE34" s="63">
        <v>81060</v>
      </c>
      <c r="AF34" s="63">
        <v>86766</v>
      </c>
      <c r="AG34" s="63">
        <v>84846</v>
      </c>
      <c r="AH34" s="63">
        <v>89254</v>
      </c>
      <c r="AI34" s="63">
        <v>90077</v>
      </c>
      <c r="AJ34" s="63">
        <v>100285</v>
      </c>
      <c r="AK34" s="63">
        <v>101798</v>
      </c>
      <c r="AL34" s="63">
        <v>108388</v>
      </c>
      <c r="AM34" s="63">
        <v>107122</v>
      </c>
      <c r="AN34" s="63">
        <v>113199</v>
      </c>
      <c r="AO34" s="63">
        <v>114517</v>
      </c>
      <c r="AP34" s="63">
        <v>121738</v>
      </c>
      <c r="AQ34" s="1229">
        <v>124098</v>
      </c>
      <c r="AR34" s="1229">
        <v>144030</v>
      </c>
      <c r="AS34" s="1229">
        <v>156712</v>
      </c>
      <c r="AT34" s="1229">
        <v>148592</v>
      </c>
      <c r="AU34" s="1229">
        <v>163052</v>
      </c>
      <c r="AV34" s="1229">
        <v>182175</v>
      </c>
      <c r="AW34" s="1229">
        <v>172240</v>
      </c>
      <c r="AX34" s="1229">
        <v>176879</v>
      </c>
      <c r="AY34" s="1229">
        <v>171221</v>
      </c>
      <c r="AZ34" s="1229">
        <v>182892</v>
      </c>
      <c r="BA34" s="1229">
        <v>185411</v>
      </c>
      <c r="BB34" s="619">
        <v>190298</v>
      </c>
      <c r="BC34" s="619">
        <v>180640</v>
      </c>
      <c r="BD34" s="619">
        <v>200676</v>
      </c>
      <c r="BE34" s="619">
        <v>233799</v>
      </c>
      <c r="BF34" s="619">
        <v>229117</v>
      </c>
      <c r="BG34" s="619">
        <v>229466</v>
      </c>
      <c r="BH34" s="619">
        <v>240066</v>
      </c>
      <c r="BI34" s="619">
        <v>231827</v>
      </c>
      <c r="BJ34" s="619">
        <v>239749</v>
      </c>
      <c r="BK34" s="619">
        <v>241780</v>
      </c>
      <c r="BL34" s="619">
        <v>272630</v>
      </c>
      <c r="BM34" s="619">
        <v>293831</v>
      </c>
      <c r="BN34" s="619">
        <v>305503</v>
      </c>
      <c r="BO34" s="619">
        <v>313581</v>
      </c>
      <c r="BP34" s="619">
        <v>268870</v>
      </c>
      <c r="BQ34" s="619">
        <v>138842</v>
      </c>
      <c r="BR34" s="619">
        <v>155316</v>
      </c>
      <c r="BS34" s="619">
        <v>216977</v>
      </c>
      <c r="BT34" s="619">
        <v>231570</v>
      </c>
      <c r="BU34" s="1229">
        <v>256364.9694200001</v>
      </c>
      <c r="BV34" s="1229">
        <v>310917.77997999988</v>
      </c>
      <c r="BW34" s="1229">
        <v>383359</v>
      </c>
      <c r="BX34" s="1229">
        <v>450592</v>
      </c>
      <c r="BY34" s="1229">
        <v>402111</v>
      </c>
      <c r="BZ34" s="1229">
        <v>459280</v>
      </c>
      <c r="CA34" s="1229">
        <v>497293</v>
      </c>
      <c r="CB34" s="1229">
        <v>518779</v>
      </c>
      <c r="CC34" s="1229">
        <v>460990</v>
      </c>
      <c r="CD34" s="1229">
        <v>464447</v>
      </c>
      <c r="CE34" s="1229">
        <v>446953</v>
      </c>
      <c r="CF34" s="1229">
        <v>440468</v>
      </c>
      <c r="CG34" s="1229">
        <v>434557</v>
      </c>
      <c r="CH34" s="1229">
        <v>442438</v>
      </c>
      <c r="CI34" s="1229">
        <v>500736</v>
      </c>
      <c r="CJ34" s="1229">
        <v>517897</v>
      </c>
      <c r="CK34" s="1229">
        <v>484323</v>
      </c>
      <c r="CL34" s="368">
        <f>(Cartao!CL64)*1000/(1+CL45)</f>
        <v>455801.65344907006</v>
      </c>
      <c r="CM34" s="368">
        <f>(Cartao!CM64)*1000/(1+CM45)</f>
        <v>498422.76628405822</v>
      </c>
      <c r="CN34" s="368">
        <f>(Cartao!CN64)*1000/(1+CN45)</f>
        <v>504654.27772334631</v>
      </c>
      <c r="CO34" s="368">
        <f>(Cartao!CO64)*1000/(1+CO45)</f>
        <v>508279.74098700995</v>
      </c>
      <c r="CP34" s="368">
        <f>(Cartao!CP64)*1000/(1+CP45)</f>
        <v>509038.23375507508</v>
      </c>
      <c r="CQ34" s="368"/>
      <c r="CR34" s="368"/>
      <c r="CS34" s="368"/>
      <c r="CT34" s="368">
        <v>455801.65344907006</v>
      </c>
      <c r="CU34" s="1134">
        <f>+CK34/CT34-1</f>
        <v>6.2574030469410902E-2</v>
      </c>
      <c r="CV34" s="128">
        <v>0</v>
      </c>
      <c r="CW34" s="65">
        <v>45280</v>
      </c>
      <c r="CX34" s="63">
        <v>95132</v>
      </c>
      <c r="CY34" s="63">
        <v>179078</v>
      </c>
      <c r="CZ34" s="63">
        <v>226986</v>
      </c>
      <c r="DA34" s="63">
        <v>247659</v>
      </c>
      <c r="DB34" s="63">
        <v>288654</v>
      </c>
      <c r="DC34" s="62">
        <v>341926</v>
      </c>
      <c r="DD34" s="62">
        <v>400548</v>
      </c>
      <c r="DE34" s="62">
        <v>456576</v>
      </c>
      <c r="DF34" s="1235">
        <f>+SUM(AQ34:AT34)</f>
        <v>573432</v>
      </c>
      <c r="DG34" s="1227">
        <f>+SUM(AU34:AX34)</f>
        <v>694346</v>
      </c>
      <c r="DH34" s="1227">
        <f>+SUM(AY34:BB34)</f>
        <v>729822</v>
      </c>
      <c r="DI34" s="1227">
        <f>+SUM(BC34:BF34)</f>
        <v>844232</v>
      </c>
      <c r="DJ34" s="1227">
        <f>+SUM(BG34:BJ34)</f>
        <v>941108</v>
      </c>
      <c r="DK34" s="1227">
        <f>+SUM(BK34:BN34)</f>
        <v>1113744</v>
      </c>
      <c r="DL34" s="1227">
        <f>+SUM(BO34:BR34)</f>
        <v>876609</v>
      </c>
      <c r="DM34" s="1227">
        <f>+SUM(BS34:BV34)</f>
        <v>1015829.7494</v>
      </c>
      <c r="DN34" s="1227">
        <f>+SUM(BW34:BZ34)</f>
        <v>1695342</v>
      </c>
      <c r="DO34" s="1227">
        <f>+SUM(CA34:CD34)</f>
        <v>1941509</v>
      </c>
      <c r="DP34" s="1227">
        <f>+SUM(CE34:CH34)</f>
        <v>1764416</v>
      </c>
      <c r="DQ34" s="1227">
        <f>+SUM(CI34:CL34)</f>
        <v>1958757.6534490702</v>
      </c>
      <c r="DR34" s="1227">
        <f>+SUM(CM34:CP34)</f>
        <v>2020395.0187494897</v>
      </c>
      <c r="DS34" s="1545">
        <f>(Cartao!DR64)*1000/(1+DS45)</f>
        <v>2162635.7827108097</v>
      </c>
      <c r="DT34" s="1545">
        <f>(Cartao!DS64)*1000/(1+DT45)</f>
        <v>2169806.9753214237</v>
      </c>
      <c r="DU34" s="1545">
        <f>(Cartao!DT64)*1000/(1+DU45)</f>
        <v>2178391.2592730173</v>
      </c>
      <c r="DV34" s="1545">
        <f>(Cartao!DU64)*1000/(1+DV45)</f>
        <v>2187820.5285717905</v>
      </c>
      <c r="DY34" s="1545">
        <v>1897636.9733380761</v>
      </c>
      <c r="DZ34" s="1545">
        <v>1903935.2089493948</v>
      </c>
    </row>
    <row r="35" spans="1:130">
      <c r="A35" s="24" t="s">
        <v>183</v>
      </c>
      <c r="B35" s="24"/>
      <c r="C35" s="64"/>
      <c r="D35" s="64"/>
      <c r="E35" s="64"/>
      <c r="F35" s="63"/>
      <c r="G35" s="63"/>
      <c r="H35" s="63"/>
      <c r="I35" s="63"/>
      <c r="J35" s="83">
        <v>4.811501973955571E-2</v>
      </c>
      <c r="K35" s="83">
        <v>5.9069847648752401E-2</v>
      </c>
      <c r="L35" s="83">
        <v>6.078611563304101E-2</v>
      </c>
      <c r="M35" s="83">
        <v>7.5735249591247653E-2</v>
      </c>
      <c r="N35" s="83">
        <v>5.5808165949195195E-2</v>
      </c>
      <c r="O35" s="83">
        <v>0.10703341917106644</v>
      </c>
      <c r="P35" s="83">
        <v>9.4729379553121787E-2</v>
      </c>
      <c r="Q35" s="83">
        <v>0.10945650117564389</v>
      </c>
      <c r="R35" s="83">
        <v>7.2132613723978417E-2</v>
      </c>
      <c r="S35" s="83">
        <v>0.11212213146455395</v>
      </c>
      <c r="T35" s="83">
        <v>9.9763925649822463E-2</v>
      </c>
      <c r="U35" s="83">
        <v>0.12189999413340634</v>
      </c>
      <c r="V35" s="83">
        <v>8.8694314566001423E-2</v>
      </c>
      <c r="W35" s="83">
        <v>0.13476596983303668</v>
      </c>
      <c r="X35" s="83">
        <v>9.5664591939538385E-2</v>
      </c>
      <c r="Y35" s="83">
        <v>0.11873926103228073</v>
      </c>
      <c r="Z35" s="83">
        <v>8.5918931030896192E-2</v>
      </c>
      <c r="AA35" s="83">
        <v>0.12942386220943455</v>
      </c>
      <c r="AB35" s="83">
        <v>0.10260278226484221</v>
      </c>
      <c r="AC35" s="83">
        <v>0.11668916075064492</v>
      </c>
      <c r="AD35" s="83">
        <v>8.4515510940792571E-2</v>
      </c>
      <c r="AE35" s="83">
        <v>0.13537820220553237</v>
      </c>
      <c r="AF35" s="83">
        <v>0.10373508970982247</v>
      </c>
      <c r="AG35" s="83">
        <v>0.11435973053771151</v>
      </c>
      <c r="AH35" s="83">
        <v>8.4088129831906652E-2</v>
      </c>
      <c r="AI35" s="83">
        <v>0.12699851679741031</v>
      </c>
      <c r="AJ35" s="83">
        <v>0.10496057371678803</v>
      </c>
      <c r="AK35" s="83">
        <v>0.11247676944461019</v>
      </c>
      <c r="AL35" s="83">
        <v>8.3844916145801099E-2</v>
      </c>
      <c r="AM35" s="83">
        <v>0.12846628842253971</v>
      </c>
      <c r="AN35" s="83">
        <v>0.10675102461142096</v>
      </c>
      <c r="AO35" s="83">
        <v>0.11211383984296602</v>
      </c>
      <c r="AP35" s="83">
        <v>8.3686443590808221E-2</v>
      </c>
      <c r="AQ35" s="683">
        <f t="shared" ref="AQ35:BV35" si="294">AQ34/AQ26</f>
        <v>0.13221409439876244</v>
      </c>
      <c r="AR35" s="683">
        <f t="shared" si="294"/>
        <v>0.11474409429999968</v>
      </c>
      <c r="AS35" s="683">
        <f t="shared" si="294"/>
        <v>0.13018076878027385</v>
      </c>
      <c r="AT35" s="683">
        <f t="shared" si="294"/>
        <v>8.1715839043026317E-2</v>
      </c>
      <c r="AU35" s="683">
        <f t="shared" si="294"/>
        <v>0.13889213056466773</v>
      </c>
      <c r="AV35" s="683">
        <f t="shared" si="294"/>
        <v>0.11857256015844822</v>
      </c>
      <c r="AW35" s="683">
        <f t="shared" si="294"/>
        <v>0.12124411782304019</v>
      </c>
      <c r="AX35" s="683">
        <f t="shared" si="294"/>
        <v>8.7814044468274718E-2</v>
      </c>
      <c r="AY35" s="683">
        <f t="shared" si="294"/>
        <v>0.1372657168808909</v>
      </c>
      <c r="AZ35" s="683">
        <f t="shared" si="294"/>
        <v>0.11100644581750203</v>
      </c>
      <c r="BA35" s="683">
        <f t="shared" si="294"/>
        <v>0.12823853996565293</v>
      </c>
      <c r="BB35" s="683">
        <f t="shared" si="294"/>
        <v>9.015435839079175E-2</v>
      </c>
      <c r="BC35" s="683">
        <f t="shared" si="294"/>
        <v>0.12763155291650533</v>
      </c>
      <c r="BD35" s="683">
        <f t="shared" si="294"/>
        <v>0.10959122553699023</v>
      </c>
      <c r="BE35" s="683">
        <f t="shared" si="294"/>
        <v>0.13387659136601088</v>
      </c>
      <c r="BF35" s="683">
        <f t="shared" si="294"/>
        <v>9.3460989968476085E-2</v>
      </c>
      <c r="BG35" s="683">
        <f t="shared" si="294"/>
        <v>0.14092496092514517</v>
      </c>
      <c r="BH35" s="683">
        <f t="shared" si="294"/>
        <v>0.11883884783750483</v>
      </c>
      <c r="BI35" s="683">
        <f t="shared" si="294"/>
        <v>0.11929626488713974</v>
      </c>
      <c r="BJ35" s="683">
        <f t="shared" si="294"/>
        <v>8.4571396723166589E-2</v>
      </c>
      <c r="BK35" s="683">
        <f t="shared" si="294"/>
        <v>0.12778279567278344</v>
      </c>
      <c r="BL35" s="683">
        <f t="shared" si="294"/>
        <v>0.11894830899073475</v>
      </c>
      <c r="BM35" s="683">
        <f t="shared" si="294"/>
        <v>0.13201408061534176</v>
      </c>
      <c r="BN35" s="683">
        <f t="shared" si="294"/>
        <v>9.6113618709850149E-2</v>
      </c>
      <c r="BO35" s="683">
        <f t="shared" si="294"/>
        <v>0.16825172326280033</v>
      </c>
      <c r="BP35" s="683">
        <f t="shared" si="294"/>
        <v>0.33255164463838238</v>
      </c>
      <c r="BQ35" s="683">
        <f t="shared" si="294"/>
        <v>7.7563673193712546E-2</v>
      </c>
      <c r="BR35" s="683">
        <f>BR34/BR26</f>
        <v>5.0511338025558121E-2</v>
      </c>
      <c r="BS35" s="683">
        <f t="shared" si="294"/>
        <v>0.13720616114643155</v>
      </c>
      <c r="BT35" s="683">
        <f t="shared" si="294"/>
        <v>9.2989057914068751E-2</v>
      </c>
      <c r="BU35" s="683">
        <f t="shared" si="294"/>
        <v>9.7540619128218362E-2</v>
      </c>
      <c r="BV35" s="683">
        <f t="shared" si="294"/>
        <v>8.0307728357253597E-2</v>
      </c>
      <c r="BW35" s="683">
        <f t="shared" ref="BW35:CD35" si="295">BW34/BW26</f>
        <v>0.14671086067330419</v>
      </c>
      <c r="BX35" s="683">
        <f t="shared" si="295"/>
        <v>0.12425541255542438</v>
      </c>
      <c r="BY35" s="683">
        <f t="shared" si="295"/>
        <v>0.13325382286508097</v>
      </c>
      <c r="BZ35" s="683">
        <f t="shared" si="295"/>
        <v>0.11441542704995138</v>
      </c>
      <c r="CA35" s="683">
        <f t="shared" si="295"/>
        <v>0.17918582981538519</v>
      </c>
      <c r="CB35" s="683">
        <f t="shared" si="295"/>
        <v>0.14804986069108522</v>
      </c>
      <c r="CC35" s="683">
        <f t="shared" si="295"/>
        <v>0.14884588659828432</v>
      </c>
      <c r="CD35" s="683">
        <f t="shared" si="295"/>
        <v>0.10873469873188465</v>
      </c>
      <c r="CE35" s="683">
        <f t="shared" ref="CE35:CH35" si="296">CE34/CE26</f>
        <v>0.15368457102538333</v>
      </c>
      <c r="CF35" s="683">
        <f t="shared" si="296"/>
        <v>0.12511905637754442</v>
      </c>
      <c r="CG35" s="683">
        <f t="shared" si="296"/>
        <v>0.12816866140157718</v>
      </c>
      <c r="CH35" s="683">
        <f t="shared" si="296"/>
        <v>9.5823523130924973E-2</v>
      </c>
      <c r="CI35" s="683">
        <f t="shared" ref="CI35:CL35" si="297">CI34/CI26</f>
        <v>0.15371429553754079</v>
      </c>
      <c r="CJ35" s="683">
        <f t="shared" si="297"/>
        <v>0.12426845789604772</v>
      </c>
      <c r="CK35" s="683">
        <f t="shared" si="297"/>
        <v>0.13591323293686608</v>
      </c>
      <c r="CL35" s="369">
        <f t="shared" si="297"/>
        <v>9.4411535564933813E-2</v>
      </c>
      <c r="CM35" s="369">
        <f t="shared" ref="CM35:CP35" si="298">CM34/CM26</f>
        <v>0.14513361248721501</v>
      </c>
      <c r="CN35" s="369">
        <f t="shared" si="298"/>
        <v>0.11585131821897887</v>
      </c>
      <c r="CO35" s="369">
        <f t="shared" si="298"/>
        <v>0.13234009019246193</v>
      </c>
      <c r="CP35" s="369">
        <f t="shared" si="298"/>
        <v>9.6956304830410928E-2</v>
      </c>
      <c r="CQ35" s="369"/>
      <c r="CR35" s="369"/>
      <c r="CS35" s="369"/>
      <c r="CT35" s="369">
        <v>9.4411535564933813E-2</v>
      </c>
      <c r="CU35" s="1102"/>
      <c r="CV35" s="83">
        <v>0</v>
      </c>
      <c r="CW35" s="83">
        <v>3.766653800593614E-2</v>
      </c>
      <c r="CX35" s="83">
        <v>6.2127507284955051E-2</v>
      </c>
      <c r="CY35" s="83">
        <v>9.2741407159936173E-2</v>
      </c>
      <c r="CZ35" s="83">
        <v>0.10397859466323287</v>
      </c>
      <c r="DA35" s="83">
        <v>0.10477917844940067</v>
      </c>
      <c r="DB35" s="83">
        <v>0.10491404545715576</v>
      </c>
      <c r="DC35" s="83">
        <v>0.10558022715160094</v>
      </c>
      <c r="DD35" s="83">
        <v>0.10370153278646931</v>
      </c>
      <c r="DE35" s="83">
        <v>0.10447050166324133</v>
      </c>
      <c r="DF35" s="683">
        <f t="shared" ref="DF35:DM35" si="299">DF34/DF26</f>
        <v>0.10993618918858813</v>
      </c>
      <c r="DG35" s="683">
        <f t="shared" si="299"/>
        <v>0.11299001268958299</v>
      </c>
      <c r="DH35" s="683">
        <f t="shared" si="299"/>
        <v>0.11312298692723333</v>
      </c>
      <c r="DI35" s="683">
        <f t="shared" si="299"/>
        <v>0.113406422762098</v>
      </c>
      <c r="DJ35" s="683">
        <f t="shared" si="299"/>
        <v>0.11168378579063462</v>
      </c>
      <c r="DK35" s="683">
        <f t="shared" si="299"/>
        <v>0.11615490616458136</v>
      </c>
      <c r="DL35" s="683">
        <f t="shared" si="299"/>
        <v>0.11630463913559183</v>
      </c>
      <c r="DM35" s="683">
        <f t="shared" si="299"/>
        <v>9.6090843646496227E-2</v>
      </c>
      <c r="DN35" s="683">
        <f t="shared" ref="DN35:DS35" si="300">DN34/DN26</f>
        <v>0.12774655253728448</v>
      </c>
      <c r="DO35" s="683">
        <f t="shared" si="300"/>
        <v>0.14225750885725655</v>
      </c>
      <c r="DP35" s="683">
        <f t="shared" si="300"/>
        <v>0.12222023187829957</v>
      </c>
      <c r="DQ35" s="683">
        <f t="shared" si="300"/>
        <v>0.12384321120522011</v>
      </c>
      <c r="DR35" s="683">
        <f t="shared" ref="DR35" si="301">DR34/DR26</f>
        <v>0.11968331200463327</v>
      </c>
      <c r="DS35" s="1550">
        <f t="shared" si="300"/>
        <v>0.11822931306688479</v>
      </c>
      <c r="DT35" s="1550">
        <f t="shared" ref="DT35:DV35" si="302">DT34/DT26</f>
        <v>0.11104330547728715</v>
      </c>
      <c r="DU35" s="1550">
        <f t="shared" si="302"/>
        <v>0.10436046629121248</v>
      </c>
      <c r="DV35" s="1550">
        <f t="shared" si="302"/>
        <v>9.8120927470465802E-2</v>
      </c>
      <c r="DY35" s="1550">
        <v>0.11048644900251499</v>
      </c>
      <c r="DZ35" s="1550">
        <v>0.10271293879905</v>
      </c>
    </row>
    <row r="36" spans="1:130">
      <c r="A36" s="133" t="s">
        <v>184</v>
      </c>
      <c r="B36" s="24"/>
      <c r="C36" s="24"/>
      <c r="D36" s="24"/>
      <c r="E36" s="24"/>
      <c r="F36" s="24"/>
      <c r="G36" s="24"/>
      <c r="H36" s="24"/>
      <c r="I36" s="24"/>
      <c r="J36" s="8"/>
      <c r="K36" s="8"/>
      <c r="L36" s="8"/>
      <c r="M36" s="8"/>
      <c r="N36" s="8">
        <v>0.46762026060546691</v>
      </c>
      <c r="O36" s="8">
        <v>1.3608554927968521</v>
      </c>
      <c r="P36" s="8">
        <v>1.0085525463262925</v>
      </c>
      <c r="Q36" s="8">
        <v>0.8504416692049952</v>
      </c>
      <c r="R36" s="8">
        <v>0.56134846461949262</v>
      </c>
      <c r="S36" s="8">
        <v>0.30145161290322586</v>
      </c>
      <c r="T36" s="8">
        <v>0.2150752688172044</v>
      </c>
      <c r="U36" s="8">
        <v>0.28263374485596726</v>
      </c>
      <c r="V36" s="8">
        <v>0.27698918294924968</v>
      </c>
      <c r="W36" s="8">
        <v>0.16670797703143725</v>
      </c>
      <c r="X36" s="8">
        <v>3.8601086706429921E-2</v>
      </c>
      <c r="Y36" s="8">
        <v>5.2056596509240327E-2</v>
      </c>
      <c r="Z36" s="8">
        <v>0.12013057671381944</v>
      </c>
      <c r="AA36" s="8">
        <v>0.15869699920332825</v>
      </c>
      <c r="AB36" s="8">
        <v>0.22744623564295696</v>
      </c>
      <c r="AC36" s="8">
        <v>0.14565194187340835</v>
      </c>
      <c r="AD36" s="8">
        <v>0.13647980152740202</v>
      </c>
      <c r="AE36" s="8">
        <v>0.23852159696863207</v>
      </c>
      <c r="AF36" s="8">
        <v>0.20459814796817954</v>
      </c>
      <c r="AG36" s="8">
        <v>0.12927741471790033</v>
      </c>
      <c r="AH36" s="8">
        <v>0.17373065239404029</v>
      </c>
      <c r="AI36" s="8">
        <v>0.11123858869972869</v>
      </c>
      <c r="AJ36" s="8">
        <v>0.155809879445866</v>
      </c>
      <c r="AK36" s="8">
        <v>0.19979727977747919</v>
      </c>
      <c r="AL36" s="8">
        <v>0.2143769466914649</v>
      </c>
      <c r="AM36" s="8">
        <v>0.18922699468232729</v>
      </c>
      <c r="AN36" s="8">
        <v>0.12877299695866773</v>
      </c>
      <c r="AO36" s="8">
        <v>0.12494351558969718</v>
      </c>
      <c r="AP36" s="8">
        <v>0.12316861645200583</v>
      </c>
      <c r="AQ36" s="116">
        <f t="shared" ref="AQ36:BK36" si="303">AQ34/AM34-1</f>
        <v>0.15847351617781591</v>
      </c>
      <c r="AR36" s="116">
        <f t="shared" si="303"/>
        <v>0.2723610632602762</v>
      </c>
      <c r="AS36" s="116">
        <f t="shared" si="303"/>
        <v>0.36846057790546372</v>
      </c>
      <c r="AT36" s="116">
        <f t="shared" si="303"/>
        <v>0.22058847689299976</v>
      </c>
      <c r="AU36" s="116">
        <f t="shared" si="303"/>
        <v>0.3138970813389419</v>
      </c>
      <c r="AV36" s="116">
        <f t="shared" si="303"/>
        <v>0.26484065819620906</v>
      </c>
      <c r="AW36" s="116">
        <f t="shared" si="303"/>
        <v>9.9086221859206791E-2</v>
      </c>
      <c r="AX36" s="116">
        <f t="shared" si="303"/>
        <v>0.19036691073543666</v>
      </c>
      <c r="AY36" s="116">
        <f t="shared" si="303"/>
        <v>5.01005814096116E-2</v>
      </c>
      <c r="AZ36" s="116">
        <f t="shared" si="303"/>
        <v>3.9357760395224428E-3</v>
      </c>
      <c r="BA36" s="116">
        <f t="shared" si="303"/>
        <v>7.6468880631676672E-2</v>
      </c>
      <c r="BB36" s="116">
        <f t="shared" si="303"/>
        <v>7.5865422124729243E-2</v>
      </c>
      <c r="BC36" s="116">
        <f t="shared" si="303"/>
        <v>5.5010775547391866E-2</v>
      </c>
      <c r="BD36" s="116">
        <f t="shared" si="303"/>
        <v>9.7237714060757208E-2</v>
      </c>
      <c r="BE36" s="116">
        <f t="shared" si="303"/>
        <v>0.26097696468925791</v>
      </c>
      <c r="BF36" s="116">
        <f t="shared" si="303"/>
        <v>0.20399058319057484</v>
      </c>
      <c r="BG36" s="116">
        <f t="shared" si="303"/>
        <v>0.27029450841452607</v>
      </c>
      <c r="BH36" s="116">
        <f t="shared" si="303"/>
        <v>0.19628655145607854</v>
      </c>
      <c r="BI36" s="116">
        <f t="shared" si="303"/>
        <v>-8.4345955286379004E-3</v>
      </c>
      <c r="BJ36" s="116">
        <f t="shared" si="303"/>
        <v>4.6404238882317816E-2</v>
      </c>
      <c r="BK36" s="116">
        <f t="shared" si="303"/>
        <v>5.3663723601753643E-2</v>
      </c>
      <c r="BL36" s="116">
        <f t="shared" ref="BL36:BV36" si="304">BL34/BH34-1</f>
        <v>0.13564603067489767</v>
      </c>
      <c r="BM36" s="116">
        <f t="shared" si="304"/>
        <v>0.267458061399233</v>
      </c>
      <c r="BN36" s="116">
        <f t="shared" si="304"/>
        <v>0.27426183216614053</v>
      </c>
      <c r="BO36" s="116">
        <f t="shared" si="304"/>
        <v>0.29696831830589798</v>
      </c>
      <c r="BP36" s="116">
        <f t="shared" si="304"/>
        <v>-1.3791585665554051E-2</v>
      </c>
      <c r="BQ36" s="116">
        <f t="shared" si="304"/>
        <v>-0.52747667877113036</v>
      </c>
      <c r="BR36" s="116">
        <f t="shared" si="304"/>
        <v>-0.49160564708038879</v>
      </c>
      <c r="BS36" s="116">
        <f t="shared" si="304"/>
        <v>-0.30806713416948095</v>
      </c>
      <c r="BT36" s="116">
        <f t="shared" si="304"/>
        <v>-0.1387287536727787</v>
      </c>
      <c r="BU36" s="116">
        <f t="shared" si="304"/>
        <v>0.84645114172944846</v>
      </c>
      <c r="BV36" s="116">
        <f t="shared" si="304"/>
        <v>1.0018399905998088</v>
      </c>
      <c r="BW36" s="116">
        <f t="shared" ref="BW36:CD36" si="305">BW34/BS34-1</f>
        <v>0.76681860289339432</v>
      </c>
      <c r="BX36" s="116">
        <f t="shared" si="305"/>
        <v>0.94581336097076485</v>
      </c>
      <c r="BY36" s="116">
        <f t="shared" si="305"/>
        <v>0.56850992906611064</v>
      </c>
      <c r="BZ36" s="116">
        <f t="shared" si="305"/>
        <v>0.47717509120753299</v>
      </c>
      <c r="CA36" s="116">
        <f t="shared" si="305"/>
        <v>0.29719923100801071</v>
      </c>
      <c r="CB36" s="116">
        <f t="shared" si="305"/>
        <v>0.15132758681911795</v>
      </c>
      <c r="CC36" s="116">
        <f t="shared" si="305"/>
        <v>0.14642474341661882</v>
      </c>
      <c r="CD36" s="116">
        <f t="shared" si="305"/>
        <v>1.125021773210233E-2</v>
      </c>
      <c r="CE36" s="116">
        <f t="shared" ref="CE36" si="306">CE34/CA34-1</f>
        <v>-0.10122804865542046</v>
      </c>
      <c r="CF36" s="116">
        <f t="shared" ref="CF36" si="307">CF34/CB34-1</f>
        <v>-0.15095252506365908</v>
      </c>
      <c r="CG36" s="116">
        <f t="shared" ref="CG36:CH36" si="308">CG34/CC34-1</f>
        <v>-5.7339638603874254E-2</v>
      </c>
      <c r="CH36" s="116">
        <f t="shared" si="308"/>
        <v>-4.7387538298234277E-2</v>
      </c>
      <c r="CI36" s="116">
        <f t="shared" ref="CI36" si="309">CI34/CE34-1</f>
        <v>0.12033256293167294</v>
      </c>
      <c r="CJ36" s="116">
        <f t="shared" ref="CJ36" si="310">CJ34/CF34-1</f>
        <v>0.17578802546382488</v>
      </c>
      <c r="CK36" s="116">
        <f t="shared" ref="CK36" si="311">CK34/CG34-1</f>
        <v>0.11452122506368556</v>
      </c>
      <c r="CL36" s="192">
        <f t="shared" ref="CL36" si="312">CL34/CH34-1</f>
        <v>3.0204578831542594E-2</v>
      </c>
      <c r="CM36" s="192">
        <f t="shared" ref="CM36" si="313">CM34/CI34-1</f>
        <v>-4.6196672816449791E-3</v>
      </c>
      <c r="CN36" s="192">
        <f t="shared" ref="CN36" si="314">CN34/CJ34-1</f>
        <v>-2.5570185339273466E-2</v>
      </c>
      <c r="CO36" s="192">
        <f t="shared" ref="CO36" si="315">CO34/CK34-1</f>
        <v>4.9464388408169579E-2</v>
      </c>
      <c r="CP36" s="192">
        <f t="shared" ref="CP36" si="316">CP34/CL34-1</f>
        <v>0.11679769018642561</v>
      </c>
      <c r="CQ36" s="192"/>
      <c r="CR36" s="192"/>
      <c r="CS36" s="192"/>
      <c r="CT36" s="192">
        <v>3.0204578831542594E-2</v>
      </c>
      <c r="CU36" s="727"/>
      <c r="CV36" s="8"/>
      <c r="CW36" s="8"/>
      <c r="CX36" s="8"/>
      <c r="CY36" s="8">
        <v>0.88241601143674053</v>
      </c>
      <c r="CZ36" s="8">
        <v>0.26752588257630761</v>
      </c>
      <c r="DA36" s="8">
        <v>9.107610160979096E-2</v>
      </c>
      <c r="DB36" s="8">
        <v>0.16553002313665166</v>
      </c>
      <c r="DC36" s="8">
        <v>0.18455313281645158</v>
      </c>
      <c r="DD36" s="8">
        <v>0.17144645332615838</v>
      </c>
      <c r="DE36" s="8">
        <v>0.13987836663770636</v>
      </c>
      <c r="DF36" s="116">
        <f t="shared" ref="DF36:DM36" si="317">DF34/DE34-1</f>
        <v>0.25593986543313707</v>
      </c>
      <c r="DG36" s="116">
        <f t="shared" si="317"/>
        <v>0.21086022405446503</v>
      </c>
      <c r="DH36" s="116">
        <f t="shared" si="317"/>
        <v>5.1092682898727704E-2</v>
      </c>
      <c r="DI36" s="116">
        <f t="shared" si="317"/>
        <v>0.15676425210530787</v>
      </c>
      <c r="DJ36" s="116">
        <f t="shared" si="317"/>
        <v>0.11475044774422205</v>
      </c>
      <c r="DK36" s="116">
        <f t="shared" si="317"/>
        <v>0.18343909519417534</v>
      </c>
      <c r="DL36" s="116">
        <f t="shared" si="317"/>
        <v>-0.21291697194328318</v>
      </c>
      <c r="DM36" s="116">
        <f t="shared" si="317"/>
        <v>0.15881738540215751</v>
      </c>
      <c r="DN36" s="116">
        <f t="shared" ref="DN36:DS36" si="318">DN34/DM34-1</f>
        <v>0.66892336142090159</v>
      </c>
      <c r="DO36" s="116">
        <f t="shared" si="318"/>
        <v>0.14520197104772969</v>
      </c>
      <c r="DP36" s="116">
        <f t="shared" si="318"/>
        <v>-9.1214102020644727E-2</v>
      </c>
      <c r="DQ36" s="116">
        <f t="shared" si="318"/>
        <v>0.1101450301114193</v>
      </c>
      <c r="DR36" s="116">
        <f t="shared" si="318"/>
        <v>3.1467581092477381E-2</v>
      </c>
      <c r="DS36" s="1166">
        <f t="shared" si="318"/>
        <v>7.0402452313191199E-2</v>
      </c>
      <c r="DT36" s="1166">
        <f t="shared" ref="DT36" si="319">DT34/DS34-1</f>
        <v>3.3159502251576267E-3</v>
      </c>
      <c r="DU36" s="1166">
        <f t="shared" ref="DU36" si="320">DU34/DT34-1</f>
        <v>3.956243135554427E-3</v>
      </c>
      <c r="DV36" s="1166">
        <f t="shared" ref="DV36" si="321">DV34/DU34-1</f>
        <v>4.3285471600358338E-3</v>
      </c>
      <c r="DY36" s="1166">
        <v>-5.6083488197345543E-2</v>
      </c>
      <c r="DZ36" s="1166">
        <v>3.3189886684383829E-3</v>
      </c>
    </row>
    <row r="37" spans="1:130">
      <c r="A37" s="124"/>
      <c r="B37" s="124"/>
      <c r="C37" s="6"/>
      <c r="D37" s="6"/>
      <c r="E37" s="6"/>
      <c r="F37" s="6"/>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6"/>
      <c r="AQ37" s="682"/>
      <c r="AR37" s="682"/>
      <c r="AS37" s="682"/>
      <c r="AT37" s="682"/>
      <c r="AU37" s="682"/>
      <c r="AV37" s="682"/>
      <c r="AW37" s="682"/>
      <c r="AX37" s="682"/>
      <c r="AY37" s="682"/>
      <c r="AZ37" s="682"/>
      <c r="BA37" s="682"/>
      <c r="BB37" s="682"/>
      <c r="BC37" s="682"/>
      <c r="BD37" s="682"/>
      <c r="BE37" s="682"/>
      <c r="BF37" s="682"/>
      <c r="BG37" s="682"/>
      <c r="BH37" s="682"/>
      <c r="BI37" s="682"/>
      <c r="BJ37" s="682"/>
      <c r="BK37" s="682"/>
      <c r="BL37" s="682"/>
      <c r="BM37" s="682"/>
      <c r="BN37" s="682"/>
      <c r="BO37" s="682"/>
      <c r="BP37" s="682"/>
      <c r="BQ37" s="682"/>
      <c r="BR37" s="682"/>
      <c r="BS37" s="682"/>
      <c r="BT37" s="682"/>
      <c r="BU37" s="682"/>
      <c r="BV37" s="682"/>
      <c r="BW37" s="682"/>
      <c r="BX37" s="682"/>
      <c r="BY37" s="682"/>
      <c r="BZ37" s="682"/>
      <c r="CA37" s="682"/>
      <c r="CB37" s="682"/>
      <c r="CC37" s="682"/>
      <c r="CD37" s="682"/>
      <c r="CE37" s="682"/>
      <c r="CF37" s="682"/>
      <c r="CG37" s="682"/>
      <c r="CH37" s="682"/>
      <c r="CI37" s="682"/>
      <c r="CJ37" s="682"/>
      <c r="CK37" s="682"/>
      <c r="CL37" s="159"/>
      <c r="CM37" s="159"/>
      <c r="CN37" s="159"/>
      <c r="CO37" s="159"/>
      <c r="CP37" s="159"/>
      <c r="CQ37" s="159"/>
      <c r="CR37" s="159"/>
      <c r="CS37" s="159"/>
      <c r="CT37" s="159"/>
      <c r="CU37" s="702"/>
      <c r="CV37" s="6"/>
      <c r="CW37" s="6"/>
      <c r="CX37" s="6"/>
      <c r="CY37" s="6"/>
      <c r="CZ37" s="6"/>
      <c r="DA37" s="6"/>
      <c r="DB37" s="6"/>
      <c r="DC37" s="6"/>
      <c r="DD37" s="6"/>
      <c r="DE37" s="6"/>
      <c r="DF37" s="682"/>
      <c r="DG37" s="682"/>
      <c r="DH37" s="682"/>
      <c r="DI37" s="682"/>
      <c r="DJ37" s="682"/>
      <c r="DK37" s="682"/>
      <c r="DL37" s="682"/>
      <c r="DM37" s="682"/>
      <c r="DN37" s="682"/>
      <c r="DO37" s="682"/>
      <c r="DP37" s="682"/>
      <c r="DQ37" s="682"/>
      <c r="DR37" s="682"/>
      <c r="DS37" s="1547"/>
      <c r="DT37" s="1547"/>
      <c r="DU37" s="1547"/>
      <c r="DV37" s="1547"/>
      <c r="DY37" s="1547"/>
      <c r="DZ37" s="1547"/>
    </row>
    <row r="38" spans="1:130" s="669" customFormat="1">
      <c r="A38" s="664" t="s">
        <v>96</v>
      </c>
      <c r="B38" s="665"/>
      <c r="C38" s="666">
        <v>-91627</v>
      </c>
      <c r="D38" s="666">
        <v>-129428</v>
      </c>
      <c r="E38" s="666">
        <v>-115478</v>
      </c>
      <c r="F38" s="666">
        <v>-181258</v>
      </c>
      <c r="G38" s="666">
        <v>-99565</v>
      </c>
      <c r="H38" s="666">
        <v>-142704</v>
      </c>
      <c r="I38" s="666">
        <v>-139259</v>
      </c>
      <c r="J38" s="666">
        <v>-212094</v>
      </c>
      <c r="K38" s="666">
        <v>-124610</v>
      </c>
      <c r="L38" s="666">
        <v>-188701</v>
      </c>
      <c r="M38" s="666">
        <v>-173772</v>
      </c>
      <c r="N38" s="666">
        <v>-264700</v>
      </c>
      <c r="O38" s="666">
        <v>-157849</v>
      </c>
      <c r="P38" s="666">
        <v>-232147</v>
      </c>
      <c r="Q38" s="666">
        <v>-205376</v>
      </c>
      <c r="R38" s="666">
        <v>-311340</v>
      </c>
      <c r="S38" s="666">
        <v>-191412</v>
      </c>
      <c r="T38" s="666">
        <v>-261493</v>
      </c>
      <c r="U38" s="666">
        <v>-237809</v>
      </c>
      <c r="V38" s="666">
        <v>-331822</v>
      </c>
      <c r="W38" s="666">
        <v>-187018</v>
      </c>
      <c r="X38" s="666">
        <v>-287563</v>
      </c>
      <c r="Y38" s="666">
        <v>-256866</v>
      </c>
      <c r="Z38" s="666">
        <v>-353464</v>
      </c>
      <c r="AA38" s="666">
        <v>-212790</v>
      </c>
      <c r="AB38" s="666">
        <v>-296956</v>
      </c>
      <c r="AC38" s="666">
        <v>-289980</v>
      </c>
      <c r="AD38" s="666">
        <v>-409732</v>
      </c>
      <c r="AE38" s="666">
        <v>-249547</v>
      </c>
      <c r="AF38" s="666">
        <v>-351223</v>
      </c>
      <c r="AG38" s="666">
        <v>-332789</v>
      </c>
      <c r="AH38" s="666">
        <v>-462569</v>
      </c>
      <c r="AI38" s="666">
        <v>-294842</v>
      </c>
      <c r="AJ38" s="666">
        <v>-393264</v>
      </c>
      <c r="AK38" s="666">
        <v>-394603</v>
      </c>
      <c r="AL38" s="666">
        <v>-551538</v>
      </c>
      <c r="AM38" s="666">
        <v>-358005</v>
      </c>
      <c r="AN38" s="666">
        <v>-444292</v>
      </c>
      <c r="AO38" s="666">
        <v>-457550</v>
      </c>
      <c r="AP38" s="666">
        <v>-607795</v>
      </c>
      <c r="AQ38" s="674">
        <f t="shared" ref="AQ38:BW38" si="322">+AQ41+AQ44</f>
        <v>-396256</v>
      </c>
      <c r="AR38" s="674">
        <f t="shared" si="322"/>
        <v>-512414</v>
      </c>
      <c r="AS38" s="674">
        <f t="shared" si="322"/>
        <v>-507111</v>
      </c>
      <c r="AT38" s="674">
        <f t="shared" si="322"/>
        <v>-748983</v>
      </c>
      <c r="AU38" s="674">
        <f t="shared" si="322"/>
        <v>-472175</v>
      </c>
      <c r="AV38" s="674">
        <f t="shared" si="322"/>
        <v>-618617</v>
      </c>
      <c r="AW38" s="674">
        <f t="shared" si="322"/>
        <v>-596697</v>
      </c>
      <c r="AX38" s="674">
        <f t="shared" si="322"/>
        <v>-823863</v>
      </c>
      <c r="AY38" s="674">
        <f t="shared" si="322"/>
        <v>-488424</v>
      </c>
      <c r="AZ38" s="674">
        <f t="shared" si="322"/>
        <v>-637075</v>
      </c>
      <c r="BA38" s="674">
        <f t="shared" si="322"/>
        <v>-594216</v>
      </c>
      <c r="BB38" s="674">
        <f t="shared" si="322"/>
        <v>-855368</v>
      </c>
      <c r="BC38" s="674">
        <f t="shared" si="322"/>
        <v>-569556</v>
      </c>
      <c r="BD38" s="674">
        <f t="shared" si="322"/>
        <v>-712039</v>
      </c>
      <c r="BE38" s="674">
        <f t="shared" si="322"/>
        <v>-702553</v>
      </c>
      <c r="BF38" s="674">
        <f t="shared" si="322"/>
        <v>-960765</v>
      </c>
      <c r="BG38" s="674">
        <f t="shared" si="322"/>
        <v>-619422</v>
      </c>
      <c r="BH38" s="674">
        <f t="shared" si="322"/>
        <v>-765024</v>
      </c>
      <c r="BI38" s="674">
        <f t="shared" si="322"/>
        <v>-789181</v>
      </c>
      <c r="BJ38" s="674">
        <f t="shared" si="322"/>
        <v>-1110890</v>
      </c>
      <c r="BK38" s="674">
        <f t="shared" si="322"/>
        <v>-744031</v>
      </c>
      <c r="BL38" s="674">
        <f t="shared" si="322"/>
        <v>-885492</v>
      </c>
      <c r="BM38" s="674">
        <f t="shared" si="322"/>
        <v>-889197</v>
      </c>
      <c r="BN38" s="674">
        <f t="shared" si="322"/>
        <v>-1211801</v>
      </c>
      <c r="BO38" s="674">
        <f t="shared" si="322"/>
        <v>-696674</v>
      </c>
      <c r="BP38" s="674">
        <f t="shared" si="322"/>
        <v>-304643</v>
      </c>
      <c r="BQ38" s="674">
        <f t="shared" si="322"/>
        <v>-869361</v>
      </c>
      <c r="BR38" s="674">
        <f t="shared" si="322"/>
        <v>-1352892</v>
      </c>
      <c r="BS38" s="674">
        <f t="shared" si="322"/>
        <v>-657400</v>
      </c>
      <c r="BT38" s="674">
        <f t="shared" si="322"/>
        <v>-1020358</v>
      </c>
      <c r="BU38" s="674">
        <f t="shared" si="322"/>
        <v>-1110935</v>
      </c>
      <c r="BV38" s="674">
        <f t="shared" si="322"/>
        <v>-1610198</v>
      </c>
      <c r="BW38" s="674">
        <f t="shared" si="322"/>
        <v>-1018384</v>
      </c>
      <c r="BX38" s="674">
        <f t="shared" ref="BX38:CD38" si="323">+BX41+BX44</f>
        <v>-1421416</v>
      </c>
      <c r="BY38" s="674">
        <f t="shared" si="323"/>
        <v>-1241428</v>
      </c>
      <c r="BZ38" s="674">
        <f t="shared" si="323"/>
        <v>-1605094</v>
      </c>
      <c r="CA38" s="674">
        <f t="shared" si="323"/>
        <v>-1072827</v>
      </c>
      <c r="CB38" s="674">
        <f t="shared" si="323"/>
        <v>-1406297</v>
      </c>
      <c r="CC38" s="674">
        <f t="shared" si="323"/>
        <v>-1249415</v>
      </c>
      <c r="CD38" s="674">
        <f t="shared" si="323"/>
        <v>-1698708</v>
      </c>
      <c r="CE38" s="674">
        <f t="shared" ref="CE38:CH38" si="324">+CE41+CE44</f>
        <v>-1138734</v>
      </c>
      <c r="CF38" s="674">
        <f t="shared" si="324"/>
        <v>-1362822</v>
      </c>
      <c r="CG38" s="674">
        <f t="shared" si="324"/>
        <v>-1347782</v>
      </c>
      <c r="CH38" s="674">
        <f t="shared" si="324"/>
        <v>-1845079</v>
      </c>
      <c r="CI38" s="674">
        <f t="shared" ref="CI38:CL38" si="325">+CI41+CI44</f>
        <v>-1236106</v>
      </c>
      <c r="CJ38" s="674">
        <f t="shared" si="325"/>
        <v>-1563766</v>
      </c>
      <c r="CK38" s="674">
        <f t="shared" si="325"/>
        <v>-1377382</v>
      </c>
      <c r="CL38" s="667">
        <f t="shared" si="325"/>
        <v>-1948240.3129123701</v>
      </c>
      <c r="CM38" s="667">
        <f t="shared" ref="CM38:CP38" si="326">+CM41+CM44</f>
        <v>-1310397.5782917903</v>
      </c>
      <c r="CN38" s="667">
        <f t="shared" si="326"/>
        <v>-1641276.2214287731</v>
      </c>
      <c r="CO38" s="667">
        <f t="shared" si="326"/>
        <v>-1487726.5529583755</v>
      </c>
      <c r="CP38" s="667">
        <f t="shared" si="326"/>
        <v>-2112547.5514985253</v>
      </c>
      <c r="CQ38" s="667"/>
      <c r="CR38" s="667"/>
      <c r="CS38" s="667"/>
      <c r="CT38" s="667">
        <v>-1948240.3129123701</v>
      </c>
      <c r="CU38" s="1435"/>
      <c r="CV38" s="674">
        <v>-517791</v>
      </c>
      <c r="CW38" s="666">
        <v>-593622</v>
      </c>
      <c r="CX38" s="666">
        <v>-751783</v>
      </c>
      <c r="CY38" s="666">
        <v>-906712</v>
      </c>
      <c r="CZ38" s="666">
        <v>-1022536</v>
      </c>
      <c r="DA38" s="666">
        <v>-1084911</v>
      </c>
      <c r="DB38" s="666">
        <v>-1209458</v>
      </c>
      <c r="DC38" s="666">
        <v>-1396128</v>
      </c>
      <c r="DD38" s="666">
        <v>-1634247</v>
      </c>
      <c r="DE38" s="666">
        <v>-1867642</v>
      </c>
      <c r="DF38" s="674">
        <f>+SUM(AQ38:AT38)</f>
        <v>-2164764</v>
      </c>
      <c r="DG38" s="1248">
        <f>+SUM(AU38:AX38)</f>
        <v>-2511352</v>
      </c>
      <c r="DH38" s="1248">
        <f>+SUM(AY38:BB38)</f>
        <v>-2575083</v>
      </c>
      <c r="DI38" s="1248">
        <f>+SUM(BC38:BF38)</f>
        <v>-2944913</v>
      </c>
      <c r="DJ38" s="1248">
        <f>+SUM(BG38:BJ38)</f>
        <v>-3284517</v>
      </c>
      <c r="DK38" s="1248">
        <f>+SUM(BK38:BN38)</f>
        <v>-3730521</v>
      </c>
      <c r="DL38" s="1269">
        <f>+SUM(BO38:BR38)</f>
        <v>-3223570</v>
      </c>
      <c r="DM38" s="1269">
        <f>+SUM(BS38:BV38)</f>
        <v>-4398891</v>
      </c>
      <c r="DN38" s="1269">
        <f>+SUM(BW38:BZ38)</f>
        <v>-5286322</v>
      </c>
      <c r="DO38" s="1269">
        <f>+SUM(CA38:CD38)</f>
        <v>-5427247</v>
      </c>
      <c r="DP38" s="1269">
        <f>+SUM(CE38:CH38)</f>
        <v>-5694417</v>
      </c>
      <c r="DQ38" s="1269">
        <f>+SUM(CI38:CL38)</f>
        <v>-6125494.3129123701</v>
      </c>
      <c r="DR38" s="1269">
        <f>+SUM(CM38:CP38)</f>
        <v>-6551947.9041774645</v>
      </c>
      <c r="DS38" s="1551">
        <f>+DS41+DS44</f>
        <v>-7111569.458745393</v>
      </c>
      <c r="DT38" s="1551">
        <f t="shared" ref="DT38:DV38" si="327">+DT41+DT44</f>
        <v>-7660768.3260159483</v>
      </c>
      <c r="DU38" s="1551">
        <f t="shared" si="327"/>
        <v>-8247040.4743704069</v>
      </c>
      <c r="DV38" s="1551">
        <f t="shared" si="327"/>
        <v>-8872728.5424253847</v>
      </c>
      <c r="DY38" s="1551">
        <v>-6749709.0048144106</v>
      </c>
      <c r="DZ38" s="1551">
        <v>-7346401.0772390654</v>
      </c>
    </row>
    <row r="39" spans="1:130">
      <c r="A39" s="45" t="s">
        <v>185</v>
      </c>
      <c r="B39" s="45"/>
      <c r="C39" s="83">
        <v>-0.51956587072519322</v>
      </c>
      <c r="D39" s="83">
        <v>-0.54047914343819037</v>
      </c>
      <c r="E39" s="83">
        <v>-0.55001309804481913</v>
      </c>
      <c r="F39" s="83">
        <v>-0.55257036768314804</v>
      </c>
      <c r="G39" s="83">
        <v>-0.47365892180929003</v>
      </c>
      <c r="H39" s="83">
        <v>-0.48246343590887886</v>
      </c>
      <c r="I39" s="83">
        <v>-0.51223208407051979</v>
      </c>
      <c r="J39" s="83">
        <v>-0.49989747215838781</v>
      </c>
      <c r="K39" s="83">
        <v>-0.46713801583493281</v>
      </c>
      <c r="L39" s="83">
        <v>-0.49546027411647325</v>
      </c>
      <c r="M39" s="83">
        <v>-0.50109144806466221</v>
      </c>
      <c r="N39" s="83">
        <v>-0.49307147953110708</v>
      </c>
      <c r="O39" s="83">
        <v>-0.45416984362187279</v>
      </c>
      <c r="P39" s="83">
        <v>-0.47292776935738851</v>
      </c>
      <c r="Q39" s="83">
        <v>-0.4625460573137663</v>
      </c>
      <c r="R39" s="83">
        <v>-0.48009252120277562</v>
      </c>
      <c r="S39" s="83">
        <v>-0.44329163935830956</v>
      </c>
      <c r="T39" s="83">
        <v>-0.46171869896017814</v>
      </c>
      <c r="U39" s="83">
        <v>-0.46504292391028024</v>
      </c>
      <c r="V39" s="83">
        <v>-0.49268811999530804</v>
      </c>
      <c r="W39" s="83">
        <v>-0.44620097629874933</v>
      </c>
      <c r="X39" s="83">
        <v>-0.46879106117564973</v>
      </c>
      <c r="Y39" s="83">
        <v>-0.46507493060974703</v>
      </c>
      <c r="Z39" s="83">
        <v>-0.45387528265763016</v>
      </c>
      <c r="AA39" s="83">
        <v>-0.42078723341144364</v>
      </c>
      <c r="AB39" s="83">
        <v>-0.42300339877325083</v>
      </c>
      <c r="AC39" s="83">
        <v>-0.45036831797574989</v>
      </c>
      <c r="AD39" s="83">
        <v>-0.45538326116529887</v>
      </c>
      <c r="AE39" s="83">
        <v>-0.41676812516387846</v>
      </c>
      <c r="AF39" s="83">
        <v>-0.41991274708011178</v>
      </c>
      <c r="AG39" s="83">
        <v>-0.44854984755809912</v>
      </c>
      <c r="AH39" s="83">
        <v>-0.43579629067845954</v>
      </c>
      <c r="AI39" s="83">
        <v>-0.41569431363813242</v>
      </c>
      <c r="AJ39" s="83">
        <v>-0.41159909320595234</v>
      </c>
      <c r="AK39" s="83">
        <v>-0.43599747198522082</v>
      </c>
      <c r="AL39" s="83">
        <v>-0.42664923572003216</v>
      </c>
      <c r="AM39" s="83">
        <v>-0.42933826465815916</v>
      </c>
      <c r="AN39" s="83">
        <v>-0.41898449833176477</v>
      </c>
      <c r="AO39" s="83">
        <v>-0.44794822969645648</v>
      </c>
      <c r="AP39" s="83">
        <v>-0.41781696744053037</v>
      </c>
      <c r="AQ39" s="683">
        <f t="shared" ref="AQ39:BV39" si="328">AQ38/AQ26</f>
        <v>-0.42217141444725947</v>
      </c>
      <c r="AR39" s="683">
        <f t="shared" si="328"/>
        <v>-0.40822384459237682</v>
      </c>
      <c r="AS39" s="683">
        <f t="shared" si="328"/>
        <v>-0.42125746488420446</v>
      </c>
      <c r="AT39" s="683">
        <f t="shared" si="328"/>
        <v>-0.41189144956634932</v>
      </c>
      <c r="AU39" s="683">
        <f t="shared" si="328"/>
        <v>-0.40221151380769321</v>
      </c>
      <c r="AV39" s="683">
        <f t="shared" si="328"/>
        <v>-0.40264032632105812</v>
      </c>
      <c r="AW39" s="683">
        <f t="shared" si="328"/>
        <v>-0.42003019840138534</v>
      </c>
      <c r="AX39" s="683">
        <f t="shared" si="328"/>
        <v>-0.40901826739051106</v>
      </c>
      <c r="AY39" s="683">
        <f t="shared" si="328"/>
        <v>-0.39156336256552793</v>
      </c>
      <c r="AZ39" s="683">
        <f t="shared" si="328"/>
        <v>-0.38667318127192613</v>
      </c>
      <c r="BA39" s="683">
        <f t="shared" si="328"/>
        <v>-0.41098636145768275</v>
      </c>
      <c r="BB39" s="683">
        <f t="shared" si="328"/>
        <v>-0.40523365052714561</v>
      </c>
      <c r="BC39" s="683">
        <f t="shared" si="328"/>
        <v>-0.40242092976590521</v>
      </c>
      <c r="BD39" s="683">
        <f t="shared" si="328"/>
        <v>-0.38885181406911135</v>
      </c>
      <c r="BE39" s="683">
        <f t="shared" si="328"/>
        <v>-0.40229171593533353</v>
      </c>
      <c r="BF39" s="683">
        <f t="shared" si="328"/>
        <v>-0.39191351155550624</v>
      </c>
      <c r="BG39" s="683">
        <f t="shared" si="328"/>
        <v>-0.38041374820746982</v>
      </c>
      <c r="BH39" s="683">
        <f t="shared" si="328"/>
        <v>-0.37870656706088868</v>
      </c>
      <c r="BI39" s="683">
        <f t="shared" si="328"/>
        <v>-0.40610604295400371</v>
      </c>
      <c r="BJ39" s="683">
        <f t="shared" si="328"/>
        <v>-0.39186615546174763</v>
      </c>
      <c r="BK39" s="683">
        <f t="shared" si="328"/>
        <v>-0.39322674020686882</v>
      </c>
      <c r="BL39" s="683">
        <f t="shared" si="328"/>
        <v>-0.38633963989591641</v>
      </c>
      <c r="BM39" s="683">
        <f t="shared" si="328"/>
        <v>-0.39950353924847976</v>
      </c>
      <c r="BN39" s="683">
        <f t="shared" si="328"/>
        <v>-0.38124201486144199</v>
      </c>
      <c r="BO39" s="683">
        <f t="shared" si="328"/>
        <v>-0.37380007415113847</v>
      </c>
      <c r="BP39" s="683">
        <f t="shared" si="328"/>
        <v>-0.37679745110116686</v>
      </c>
      <c r="BQ39" s="683">
        <f t="shared" si="328"/>
        <v>-0.48566595476411406</v>
      </c>
      <c r="BR39" s="683">
        <f t="shared" si="328"/>
        <v>-0.43998290661666134</v>
      </c>
      <c r="BS39" s="683">
        <f t="shared" si="328"/>
        <v>-0.41570917810488722</v>
      </c>
      <c r="BT39" s="683">
        <f t="shared" si="328"/>
        <v>-0.40973411562414541</v>
      </c>
      <c r="BU39" s="683">
        <f t="shared" si="328"/>
        <v>-0.42268367615264968</v>
      </c>
      <c r="BV39" s="683">
        <f t="shared" si="328"/>
        <v>-0.41590205485743248</v>
      </c>
      <c r="BW39" s="683">
        <f t="shared" ref="BW39:CD39" si="329">BW38/BW26</f>
        <v>-0.38973388686824156</v>
      </c>
      <c r="BX39" s="683">
        <f t="shared" si="329"/>
        <v>-0.39197018920194127</v>
      </c>
      <c r="BY39" s="683">
        <f t="shared" si="329"/>
        <v>-0.411391448659081</v>
      </c>
      <c r="BZ39" s="683">
        <f t="shared" si="329"/>
        <v>-0.39985959646689306</v>
      </c>
      <c r="CA39" s="683">
        <f t="shared" si="329"/>
        <v>-0.38656364807739152</v>
      </c>
      <c r="CB39" s="683">
        <f t="shared" si="329"/>
        <v>-0.4013309616239113</v>
      </c>
      <c r="CC39" s="683">
        <f t="shared" si="329"/>
        <v>-0.40341500554067422</v>
      </c>
      <c r="CD39" s="683">
        <f t="shared" si="329"/>
        <v>-0.39769554462283602</v>
      </c>
      <c r="CE39" s="683">
        <f t="shared" ref="CE39:CH39" si="330">CE38/CE26</f>
        <v>-0.39155313042315154</v>
      </c>
      <c r="CF39" s="683">
        <f t="shared" si="330"/>
        <v>-0.38712233953558001</v>
      </c>
      <c r="CG39" s="683">
        <f t="shared" si="330"/>
        <v>-0.39751612515996859</v>
      </c>
      <c r="CH39" s="683">
        <f t="shared" si="330"/>
        <v>-0.39960846544574363</v>
      </c>
      <c r="CI39" s="683">
        <f t="shared" ref="CI39:CL39" si="331">CI38/CI26</f>
        <v>-0.37945576711026852</v>
      </c>
      <c r="CJ39" s="683">
        <f t="shared" si="331"/>
        <v>-0.37522285189964599</v>
      </c>
      <c r="CK39" s="683">
        <f t="shared" si="331"/>
        <v>-0.38652808272381545</v>
      </c>
      <c r="CL39" s="369">
        <f t="shared" si="331"/>
        <v>-0.40354473969041121</v>
      </c>
      <c r="CM39" s="369">
        <f t="shared" ref="CM39:CP39" si="332">CM38/CM26</f>
        <v>-0.38156911601344845</v>
      </c>
      <c r="CN39" s="369">
        <f t="shared" si="332"/>
        <v>-0.37678074318875743</v>
      </c>
      <c r="CO39" s="369">
        <f t="shared" si="332"/>
        <v>-0.38735729623593973</v>
      </c>
      <c r="CP39" s="369">
        <f t="shared" si="332"/>
        <v>-0.40237607077346016</v>
      </c>
      <c r="CQ39" s="369"/>
      <c r="CR39" s="369"/>
      <c r="CS39" s="369"/>
      <c r="CT39" s="369">
        <v>-0.40354473969041121</v>
      </c>
      <c r="CU39" s="1105"/>
      <c r="CV39" s="83">
        <v>-0.54286939455066241</v>
      </c>
      <c r="CW39" s="83">
        <v>-0.49380931148762863</v>
      </c>
      <c r="CX39" s="83">
        <v>-0.49096417408658877</v>
      </c>
      <c r="CY39" s="83">
        <v>-0.46957050429868574</v>
      </c>
      <c r="CZ39" s="83">
        <v>-0.46840711000926705</v>
      </c>
      <c r="DA39" s="83">
        <v>-0.45900243185475886</v>
      </c>
      <c r="DB39" s="83">
        <v>-0.43958902904695824</v>
      </c>
      <c r="DC39" s="83">
        <v>-0.43109769766765416</v>
      </c>
      <c r="DD39" s="83">
        <v>-0.4231051430831988</v>
      </c>
      <c r="DE39" s="83">
        <v>-0.42734067639853907</v>
      </c>
      <c r="DF39" s="683">
        <f t="shared" ref="DF39:DM39" si="333">DF38/DF26</f>
        <v>-0.41502027206825709</v>
      </c>
      <c r="DG39" s="683">
        <f t="shared" si="333"/>
        <v>-0.40866901278038559</v>
      </c>
      <c r="DH39" s="683">
        <f t="shared" si="333"/>
        <v>-0.39913990061349314</v>
      </c>
      <c r="DI39" s="683">
        <f t="shared" si="333"/>
        <v>-0.39559273834159131</v>
      </c>
      <c r="DJ39" s="683">
        <f t="shared" si="333"/>
        <v>-0.38978235553591917</v>
      </c>
      <c r="DK39" s="683">
        <f t="shared" si="333"/>
        <v>-0.38906455765418285</v>
      </c>
      <c r="DL39" s="683">
        <f t="shared" si="333"/>
        <v>-0.42768913572450173</v>
      </c>
      <c r="DM39" s="683">
        <f t="shared" si="333"/>
        <v>-0.41610628902002844</v>
      </c>
      <c r="DN39" s="683">
        <f t="shared" ref="DN39:DS39" si="334">DN38/DN26</f>
        <v>-0.39833226045364462</v>
      </c>
      <c r="DO39" s="683">
        <f t="shared" si="334"/>
        <v>-0.39766317754541392</v>
      </c>
      <c r="DP39" s="683">
        <f t="shared" si="334"/>
        <v>-0.39444947571985917</v>
      </c>
      <c r="DQ39" s="683">
        <f t="shared" si="334"/>
        <v>-0.38728675014726915</v>
      </c>
      <c r="DR39" s="683">
        <f t="shared" ref="DR39" si="335">DR38/DR26</f>
        <v>-0.38812153958839418</v>
      </c>
      <c r="DS39" s="1550">
        <f t="shared" si="334"/>
        <v>-0.38878297430230663</v>
      </c>
      <c r="DT39" s="1550">
        <f t="shared" ref="DT39:DV39" si="336">DT38/DT26</f>
        <v>-0.39205194152834716</v>
      </c>
      <c r="DU39" s="1550">
        <f t="shared" si="336"/>
        <v>-0.39509201378039999</v>
      </c>
      <c r="DV39" s="1550">
        <f t="shared" si="336"/>
        <v>-0.39793042546537438</v>
      </c>
      <c r="DY39" s="1550">
        <v>-0.39298948651406951</v>
      </c>
      <c r="DZ39" s="1550">
        <v>-0.39632149281808204</v>
      </c>
    </row>
    <row r="40" spans="1:130">
      <c r="A40" s="45"/>
      <c r="B40" s="45"/>
      <c r="C40" s="83"/>
      <c r="D40" s="83"/>
      <c r="E40" s="83"/>
      <c r="F40" s="83"/>
      <c r="G40" s="83"/>
      <c r="H40" s="83"/>
      <c r="I40" s="83"/>
      <c r="J40" s="83"/>
      <c r="K40" s="83"/>
      <c r="L40" s="83"/>
      <c r="M40" s="83"/>
      <c r="N40" s="83"/>
      <c r="O40" s="83"/>
      <c r="P40" s="83"/>
      <c r="Q40" s="83"/>
      <c r="R40" s="83"/>
      <c r="S40" s="83"/>
      <c r="T40" s="83"/>
      <c r="U40" s="83"/>
      <c r="V40" s="83"/>
      <c r="W40" s="83"/>
      <c r="X40" s="83"/>
      <c r="Y40" s="83"/>
      <c r="Z40" s="83"/>
      <c r="AA40" s="83"/>
      <c r="AB40" s="83"/>
      <c r="AC40" s="83"/>
      <c r="AD40" s="92"/>
      <c r="AE40" s="83"/>
      <c r="AF40" s="64"/>
      <c r="AG40" s="83"/>
      <c r="AH40" s="83"/>
      <c r="AI40" s="83"/>
      <c r="AJ40" s="83"/>
      <c r="AK40" s="83"/>
      <c r="AL40" s="83"/>
      <c r="AM40" s="64"/>
      <c r="AN40" s="64"/>
      <c r="AO40" s="64"/>
      <c r="AP40" s="83"/>
      <c r="AQ40" s="683"/>
      <c r="AR40" s="683"/>
      <c r="AS40" s="683"/>
      <c r="AT40" s="683"/>
      <c r="AU40" s="683"/>
      <c r="AV40" s="683"/>
      <c r="AW40" s="683"/>
      <c r="AX40" s="683"/>
      <c r="AY40" s="683"/>
      <c r="AZ40" s="683"/>
      <c r="BA40" s="1296"/>
      <c r="BB40" s="1296"/>
      <c r="BC40" s="1296"/>
      <c r="BD40" s="1296"/>
      <c r="BE40" s="1296"/>
      <c r="BF40" s="1296"/>
      <c r="BG40" s="1296"/>
      <c r="BH40" s="1296"/>
      <c r="BI40" s="1296"/>
      <c r="BJ40" s="1296"/>
      <c r="BK40" s="1296"/>
      <c r="BL40" s="1296"/>
      <c r="BM40" s="1296"/>
      <c r="BN40" s="1296"/>
      <c r="BO40" s="1296"/>
      <c r="BP40" s="1296"/>
      <c r="BQ40" s="1296"/>
      <c r="BR40" s="1296"/>
      <c r="BS40" s="1296"/>
      <c r="BT40" s="1296"/>
      <c r="BU40" s="1296"/>
      <c r="BV40" s="1296"/>
      <c r="BW40" s="1296"/>
      <c r="BX40" s="1296"/>
      <c r="BY40" s="1296"/>
      <c r="BZ40" s="1296"/>
      <c r="CA40" s="1296"/>
      <c r="CB40" s="1296"/>
      <c r="CC40" s="1296"/>
      <c r="CD40" s="1296"/>
      <c r="CE40" s="1296"/>
      <c r="CF40" s="1296"/>
      <c r="CG40" s="1296"/>
      <c r="CH40" s="1296"/>
      <c r="CI40" s="1296"/>
      <c r="CJ40" s="1296"/>
      <c r="CK40" s="1296"/>
      <c r="CL40" s="371"/>
      <c r="CM40" s="371"/>
      <c r="CN40" s="371"/>
      <c r="CO40" s="371"/>
      <c r="CP40" s="371"/>
      <c r="CQ40" s="371"/>
      <c r="CR40" s="371"/>
      <c r="CS40" s="371"/>
      <c r="CT40" s="371"/>
      <c r="CU40" s="1105"/>
      <c r="CV40" s="83"/>
      <c r="CW40" s="83"/>
      <c r="CX40" s="83"/>
      <c r="CY40" s="83"/>
      <c r="CZ40" s="83"/>
      <c r="DA40" s="83"/>
      <c r="DB40" s="83"/>
      <c r="DC40" s="131"/>
      <c r="DD40" s="83"/>
      <c r="DE40" s="83"/>
      <c r="DF40" s="1268"/>
      <c r="DG40" s="1268"/>
      <c r="DH40" s="1268"/>
      <c r="DI40" s="1268"/>
      <c r="DJ40" s="1268"/>
      <c r="DK40" s="1268"/>
      <c r="DL40" s="1268"/>
      <c r="DM40" s="1268"/>
      <c r="DN40" s="1268"/>
      <c r="DO40" s="1268"/>
      <c r="DP40" s="1268"/>
      <c r="DQ40" s="1268"/>
      <c r="DR40" s="1268"/>
      <c r="DS40" s="1552"/>
      <c r="DT40" s="1552"/>
      <c r="DU40" s="1552"/>
      <c r="DV40" s="1552"/>
      <c r="DY40" s="1552"/>
      <c r="DZ40" s="1552"/>
    </row>
    <row r="41" spans="1:130">
      <c r="A41" s="94" t="s">
        <v>186</v>
      </c>
      <c r="B41" s="94"/>
      <c r="C41" s="29"/>
      <c r="D41" s="29"/>
      <c r="E41" s="29"/>
      <c r="F41" s="29"/>
      <c r="G41" s="29"/>
      <c r="H41" s="29"/>
      <c r="I41" s="29"/>
      <c r="J41" s="29"/>
      <c r="K41" s="29"/>
      <c r="L41" s="29"/>
      <c r="M41" s="29"/>
      <c r="N41" s="29"/>
      <c r="O41" s="29"/>
      <c r="P41" s="29"/>
      <c r="Q41" s="29"/>
      <c r="R41" s="29"/>
      <c r="S41" s="29"/>
      <c r="T41" s="29"/>
      <c r="U41" s="29"/>
      <c r="V41" s="29"/>
      <c r="W41" s="29">
        <v>-180650</v>
      </c>
      <c r="X41" s="29">
        <v>-279624</v>
      </c>
      <c r="Y41" s="29">
        <v>-248591</v>
      </c>
      <c r="Z41" s="29">
        <v>-346883</v>
      </c>
      <c r="AA41" s="29">
        <v>-206779</v>
      </c>
      <c r="AB41" s="29">
        <v>-290145</v>
      </c>
      <c r="AC41" s="29">
        <v>-282458</v>
      </c>
      <c r="AD41" s="29">
        <v>-402984</v>
      </c>
      <c r="AE41" s="29">
        <v>-243500</v>
      </c>
      <c r="AF41" s="29">
        <v>-345698</v>
      </c>
      <c r="AG41" s="29">
        <v>-327502</v>
      </c>
      <c r="AH41" s="29">
        <v>-458652</v>
      </c>
      <c r="AI41" s="29">
        <v>-290630</v>
      </c>
      <c r="AJ41" s="29">
        <v>-387880</v>
      </c>
      <c r="AK41" s="29">
        <v>-390194</v>
      </c>
      <c r="AL41" s="29">
        <v>-547709</v>
      </c>
      <c r="AM41" s="29">
        <v>-354819</v>
      </c>
      <c r="AN41" s="29">
        <v>-440050</v>
      </c>
      <c r="AO41" s="29">
        <v>-452488</v>
      </c>
      <c r="AP41" s="29">
        <v>-603450</v>
      </c>
      <c r="AQ41" s="1297">
        <v>-392224</v>
      </c>
      <c r="AR41" s="1297">
        <v>-509222</v>
      </c>
      <c r="AS41" s="1297">
        <v>-501369</v>
      </c>
      <c r="AT41" s="1297">
        <v>-740326</v>
      </c>
      <c r="AU41" s="1297">
        <v>-460582</v>
      </c>
      <c r="AV41" s="1297">
        <v>-604983</v>
      </c>
      <c r="AW41" s="1297">
        <v>-586005</v>
      </c>
      <c r="AX41" s="1297">
        <v>-814610</v>
      </c>
      <c r="AY41" s="1297">
        <v>-477582</v>
      </c>
      <c r="AZ41" s="1297">
        <v>-626777</v>
      </c>
      <c r="BA41" s="1297">
        <v>-583810</v>
      </c>
      <c r="BB41" s="1297">
        <v>-848461</v>
      </c>
      <c r="BC41" s="1297">
        <v>-563126</v>
      </c>
      <c r="BD41" s="1297">
        <v>-706711</v>
      </c>
      <c r="BE41" s="1297">
        <v>-696818</v>
      </c>
      <c r="BF41" s="1297">
        <v>-956227</v>
      </c>
      <c r="BG41" s="1297">
        <v>-612639</v>
      </c>
      <c r="BH41" s="1297">
        <v>-757798</v>
      </c>
      <c r="BI41" s="1297">
        <v>-782320</v>
      </c>
      <c r="BJ41" s="1297">
        <v>-1104641</v>
      </c>
      <c r="BK41" s="1297">
        <v>-738430</v>
      </c>
      <c r="BL41" s="1297">
        <v>-879737</v>
      </c>
      <c r="BM41" s="1297">
        <v>-882033</v>
      </c>
      <c r="BN41" s="1297">
        <v>-1207106</v>
      </c>
      <c r="BO41" s="1297">
        <v>-691240</v>
      </c>
      <c r="BP41" s="1297">
        <v>-297841</v>
      </c>
      <c r="BQ41" s="1297">
        <v>-862993</v>
      </c>
      <c r="BR41" s="1297">
        <v>-1349235</v>
      </c>
      <c r="BS41" s="1297">
        <v>-653502</v>
      </c>
      <c r="BT41" s="1297">
        <v>-1016802</v>
      </c>
      <c r="BU41" s="1297">
        <v>-1105494</v>
      </c>
      <c r="BV41" s="1297">
        <v>-1599088</v>
      </c>
      <c r="BW41" s="1297">
        <v>-1001768</v>
      </c>
      <c r="BX41" s="1297">
        <v>-1394013</v>
      </c>
      <c r="BY41" s="1297">
        <v>-1207204</v>
      </c>
      <c r="BZ41" s="1297">
        <v>-1573289</v>
      </c>
      <c r="CA41" s="1297">
        <v>-1044471</v>
      </c>
      <c r="CB41" s="1297">
        <v>-1375910</v>
      </c>
      <c r="CC41" s="1297">
        <v>-1223052</v>
      </c>
      <c r="CD41" s="1297">
        <v>-1678128</v>
      </c>
      <c r="CE41" s="1297">
        <v>-1121075</v>
      </c>
      <c r="CF41" s="1297">
        <v>-1348375</v>
      </c>
      <c r="CG41" s="1297">
        <v>-1340034</v>
      </c>
      <c r="CH41" s="1297">
        <v>-1846711</v>
      </c>
      <c r="CI41" s="1297">
        <v>-1238915</v>
      </c>
      <c r="CJ41" s="1297">
        <v>-1565380</v>
      </c>
      <c r="CK41" s="1297">
        <v>-1383359</v>
      </c>
      <c r="CL41" s="372">
        <f t="shared" ref="CL41:CP41" si="337">+CL53-CL30</f>
        <v>-1953865.3327496792</v>
      </c>
      <c r="CM41" s="372">
        <f t="shared" si="337"/>
        <v>-1316548.5826299691</v>
      </c>
      <c r="CN41" s="372">
        <f t="shared" si="337"/>
        <v>-1647504.1284617912</v>
      </c>
      <c r="CO41" s="372">
        <f t="shared" si="337"/>
        <v>-1493999.2016078911</v>
      </c>
      <c r="CP41" s="372">
        <f t="shared" si="337"/>
        <v>-2118829.5606600852</v>
      </c>
      <c r="CQ41" s="372"/>
      <c r="CR41" s="372"/>
      <c r="CS41" s="372"/>
      <c r="CT41" s="372">
        <v>-1953865.3327496792</v>
      </c>
      <c r="CU41" s="695"/>
      <c r="CV41" s="127"/>
      <c r="CW41" s="29"/>
      <c r="CX41" s="29"/>
      <c r="CY41" s="29"/>
      <c r="CZ41" s="29"/>
      <c r="DA41" s="29"/>
      <c r="DB41" s="29">
        <v>-1182366</v>
      </c>
      <c r="DC41" s="29">
        <v>-1375352</v>
      </c>
      <c r="DD41" s="29">
        <v>-1616413</v>
      </c>
      <c r="DE41" s="29">
        <v>-1850807</v>
      </c>
      <c r="DF41" s="127">
        <f>+SUM(AQ41:AT41)</f>
        <v>-2143141</v>
      </c>
      <c r="DG41" s="1234">
        <f>+SUM(AU41:AX41)</f>
        <v>-2466180</v>
      </c>
      <c r="DH41" s="1227">
        <f>+SUM(AY41:BB41)</f>
        <v>-2536630</v>
      </c>
      <c r="DI41" s="1227">
        <f>+SUM(BC41:BF41)</f>
        <v>-2922882</v>
      </c>
      <c r="DJ41" s="1227">
        <f>+SUM(BG41:BJ41)</f>
        <v>-3257398</v>
      </c>
      <c r="DK41" s="1227">
        <f>+SUM(BK41:BN41)</f>
        <v>-3707306</v>
      </c>
      <c r="DL41" s="1227">
        <f>+SUM(BO41:BR41)</f>
        <v>-3201309</v>
      </c>
      <c r="DM41" s="1227">
        <f>+SUM(BS41:BV41)</f>
        <v>-4374886</v>
      </c>
      <c r="DN41" s="1227">
        <f>+SUM(BW41:BZ41)</f>
        <v>-5176274</v>
      </c>
      <c r="DO41" s="1227">
        <f>+SUM(CA41:CD41)</f>
        <v>-5321561</v>
      </c>
      <c r="DP41" s="1227">
        <f>+SUM(CE41:CH41)</f>
        <v>-5656195</v>
      </c>
      <c r="DQ41" s="1227">
        <f>+SUM(CI41:CL41)</f>
        <v>-6141519.3327496797</v>
      </c>
      <c r="DR41" s="1227">
        <f>+SUM(CM41:CP41)</f>
        <v>-6576881.4733597375</v>
      </c>
      <c r="DS41" s="803">
        <f>+DS53-DS30</f>
        <v>-7138258.4123430178</v>
      </c>
      <c r="DT41" s="803">
        <f t="shared" ref="DT41:DV41" si="338">+DT53-DT30</f>
        <v>-7687545.7788552642</v>
      </c>
      <c r="DU41" s="803">
        <f t="shared" si="338"/>
        <v>-8273923.8653237056</v>
      </c>
      <c r="DV41" s="803">
        <f t="shared" si="338"/>
        <v>-8899728.2994042467</v>
      </c>
      <c r="DY41" s="803">
        <v>-6727483.9605695847</v>
      </c>
      <c r="DZ41" s="803">
        <v>-7324102.2683242355</v>
      </c>
    </row>
    <row r="42" spans="1:130">
      <c r="A42" s="17" t="s">
        <v>187</v>
      </c>
      <c r="B42" s="17"/>
      <c r="C42" s="8"/>
      <c r="D42" s="8"/>
      <c r="E42" s="8"/>
      <c r="F42" s="8"/>
      <c r="G42" s="8"/>
      <c r="H42" s="8"/>
      <c r="I42" s="8"/>
      <c r="J42" s="8"/>
      <c r="K42" s="8"/>
      <c r="L42" s="8"/>
      <c r="M42" s="8"/>
      <c r="N42" s="8"/>
      <c r="O42" s="8"/>
      <c r="P42" s="8"/>
      <c r="Q42" s="8"/>
      <c r="R42" s="8"/>
      <c r="S42" s="8"/>
      <c r="T42" s="8"/>
      <c r="U42" s="8"/>
      <c r="V42" s="8"/>
      <c r="W42" s="8">
        <v>-0.49814007483820444</v>
      </c>
      <c r="X42" s="8">
        <v>-0.50407043401137852</v>
      </c>
      <c r="Y42" s="8">
        <v>-0.51073695888891169</v>
      </c>
      <c r="Z42" s="8">
        <v>-0.48729240944120877</v>
      </c>
      <c r="AA42" s="8">
        <v>-0.4696896735007246</v>
      </c>
      <c r="AB42" s="8">
        <v>-0.46055566049565944</v>
      </c>
      <c r="AC42" s="8">
        <v>-0.49663818264936527</v>
      </c>
      <c r="AD42" s="8">
        <v>-0.48923102697676002</v>
      </c>
      <c r="AE42" s="8">
        <v>-0.47034326366071927</v>
      </c>
      <c r="AF42" s="8">
        <v>-0.46114402263447224</v>
      </c>
      <c r="AG42" s="8">
        <v>-0.49842331785059873</v>
      </c>
      <c r="AH42" s="8">
        <v>-0.47177683145096588</v>
      </c>
      <c r="AI42" s="8">
        <v>-0.46936445310796693</v>
      </c>
      <c r="AJ42" s="8">
        <v>-0.45357116546553955</v>
      </c>
      <c r="AK42" s="8">
        <v>-0.48576301571097774</v>
      </c>
      <c r="AL42" s="8">
        <v>-0.46246238385858018</v>
      </c>
      <c r="AM42" s="8">
        <v>-0.48823980262297878</v>
      </c>
      <c r="AN42" s="8">
        <v>-0.4645783427628502</v>
      </c>
      <c r="AO42" s="8">
        <v>-0.49892934091064461</v>
      </c>
      <c r="AP42" s="8">
        <v>-0.45271629778672035</v>
      </c>
      <c r="AQ42" s="116">
        <f t="shared" ref="AQ42:BP42" si="339">AQ41/AQ30</f>
        <v>-0.48154241291760996</v>
      </c>
      <c r="AR42" s="116">
        <f t="shared" si="339"/>
        <v>-0.45826396375803413</v>
      </c>
      <c r="AS42" s="116">
        <f t="shared" si="339"/>
        <v>-0.47882084747170972</v>
      </c>
      <c r="AT42" s="116">
        <f t="shared" si="339"/>
        <v>-0.44336022067220943</v>
      </c>
      <c r="AU42" s="116">
        <f t="shared" si="339"/>
        <v>-0.45561804143852724</v>
      </c>
      <c r="AV42" s="116">
        <f t="shared" si="339"/>
        <v>-0.44673710296508856</v>
      </c>
      <c r="AW42" s="116">
        <f t="shared" si="339"/>
        <v>-0.46941799874235501</v>
      </c>
      <c r="AX42" s="116">
        <f t="shared" si="339"/>
        <v>-0.44335750198926072</v>
      </c>
      <c r="AY42" s="116">
        <f t="shared" si="339"/>
        <v>-0.44378840085192744</v>
      </c>
      <c r="AZ42" s="116">
        <f t="shared" si="339"/>
        <v>-0.42792526462973685</v>
      </c>
      <c r="BA42" s="116">
        <f t="shared" si="339"/>
        <v>-0.46318760918996715</v>
      </c>
      <c r="BB42" s="116">
        <f t="shared" si="339"/>
        <v>-0.44179080074813692</v>
      </c>
      <c r="BC42" s="116">
        <f t="shared" si="339"/>
        <v>-0.45608916937451199</v>
      </c>
      <c r="BD42" s="116">
        <f t="shared" si="339"/>
        <v>-0.43344377278503682</v>
      </c>
      <c r="BE42" s="116">
        <f t="shared" si="339"/>
        <v>-0.46068235819904824</v>
      </c>
      <c r="BF42" s="116">
        <f t="shared" si="339"/>
        <v>-0.43027644098265128</v>
      </c>
      <c r="BG42" s="116">
        <f t="shared" si="339"/>
        <v>-0.43796874363302185</v>
      </c>
      <c r="BH42" s="116">
        <f t="shared" si="339"/>
        <v>-0.42572179922709213</v>
      </c>
      <c r="BI42" s="116">
        <f t="shared" si="339"/>
        <v>-0.45710653061916107</v>
      </c>
      <c r="BJ42" s="116">
        <f t="shared" si="339"/>
        <v>-0.425660527713148</v>
      </c>
      <c r="BK42" s="116">
        <f t="shared" si="339"/>
        <v>-0.44744194670543047</v>
      </c>
      <c r="BL42" s="116">
        <f t="shared" si="339"/>
        <v>-0.43564837419913299</v>
      </c>
      <c r="BM42" s="116">
        <f t="shared" si="339"/>
        <v>-0.45655677966628089</v>
      </c>
      <c r="BN42" s="116">
        <f t="shared" si="339"/>
        <v>-0.42014675652214467</v>
      </c>
      <c r="BO42" s="116">
        <f t="shared" si="339"/>
        <v>-0.4459095072830252</v>
      </c>
      <c r="BP42" s="116">
        <f t="shared" si="339"/>
        <v>-0.55192944873952077</v>
      </c>
      <c r="BQ42" s="116">
        <f t="shared" ref="BQ42:BV42" si="340">BQ41/BQ30</f>
        <v>-0.52264690403386149</v>
      </c>
      <c r="BR42" s="116">
        <f t="shared" si="340"/>
        <v>-0.46213673439609693</v>
      </c>
      <c r="BS42" s="116">
        <f t="shared" si="340"/>
        <v>-0.47896061101554732</v>
      </c>
      <c r="BT42" s="116">
        <f t="shared" si="340"/>
        <v>-0.45016675351514995</v>
      </c>
      <c r="BU42" s="116">
        <f t="shared" si="340"/>
        <v>-0.46607472563583263</v>
      </c>
      <c r="BV42" s="116">
        <f t="shared" si="340"/>
        <v>-0.44909850609908025</v>
      </c>
      <c r="BW42" s="116">
        <f t="shared" ref="BW42:CD42" si="341">BW41/BW30</f>
        <v>-0.44929081274541244</v>
      </c>
      <c r="BX42" s="116">
        <f t="shared" si="341"/>
        <v>-0.43895621342393676</v>
      </c>
      <c r="BY42" s="116">
        <f t="shared" si="341"/>
        <v>-0.46155393131999323</v>
      </c>
      <c r="BZ42" s="116">
        <f t="shared" si="341"/>
        <v>-0.44257361181749849</v>
      </c>
      <c r="CA42" s="116">
        <f t="shared" si="341"/>
        <v>-0.45850371312717875</v>
      </c>
      <c r="CB42" s="116">
        <f t="shared" si="341"/>
        <v>-0.46089443487162446</v>
      </c>
      <c r="CC42" s="116">
        <f t="shared" si="341"/>
        <v>-0.46396161611103648</v>
      </c>
      <c r="CD42" s="116">
        <f t="shared" si="341"/>
        <v>-0.44080861985678227</v>
      </c>
      <c r="CE42" s="116">
        <f t="shared" ref="CE42:CH42" si="342">CE41/CE30</f>
        <v>-0.45548158368599306</v>
      </c>
      <c r="CF42" s="116">
        <f t="shared" si="342"/>
        <v>-0.43779503578498552</v>
      </c>
      <c r="CG42" s="116">
        <f t="shared" si="342"/>
        <v>-0.4533341542758475</v>
      </c>
      <c r="CH42" s="116">
        <f t="shared" si="342"/>
        <v>-0.44234940340554552</v>
      </c>
      <c r="CI42" s="116">
        <f t="shared" ref="CI42:CL42" si="343">CI41/CI30</f>
        <v>-0.44939677311704707</v>
      </c>
      <c r="CJ42" s="116">
        <f t="shared" si="343"/>
        <v>-0.42891012856234362</v>
      </c>
      <c r="CK42" s="116">
        <f t="shared" si="343"/>
        <v>-0.44926666426340522</v>
      </c>
      <c r="CL42" s="12">
        <f t="shared" si="343"/>
        <v>-0.44690263013383319</v>
      </c>
      <c r="CM42" s="12">
        <f t="shared" ref="CM42:CP42" si="344">CM41/CM30</f>
        <v>-0.44844458326147768</v>
      </c>
      <c r="CN42" s="12">
        <f t="shared" si="344"/>
        <v>-0.42776793642303496</v>
      </c>
      <c r="CO42" s="12">
        <f t="shared" si="344"/>
        <v>-0.4483213902769666</v>
      </c>
      <c r="CP42" s="12">
        <f t="shared" si="344"/>
        <v>-0.44690263013383313</v>
      </c>
      <c r="CQ42" s="12"/>
      <c r="CR42" s="12"/>
      <c r="CS42" s="12"/>
      <c r="CT42" s="12">
        <v>-0.44690263013383319</v>
      </c>
      <c r="CU42" s="695"/>
      <c r="CV42" s="8"/>
      <c r="CW42" s="8"/>
      <c r="CX42" s="8"/>
      <c r="CY42" s="8"/>
      <c r="CZ42" s="8"/>
      <c r="DA42" s="8"/>
      <c r="DB42" s="8">
        <v>-0.48011275502662948</v>
      </c>
      <c r="DC42" s="8">
        <v>-0.47481336842715777</v>
      </c>
      <c r="DD42" s="8">
        <v>-0.46690689667124979</v>
      </c>
      <c r="DE42" s="8">
        <v>-0.47289186025061025</v>
      </c>
      <c r="DF42" s="116">
        <f t="shared" ref="DF42:DL42" si="345">DF41/DF30</f>
        <v>-0.46162397374581376</v>
      </c>
      <c r="DG42" s="116">
        <f t="shared" si="345"/>
        <v>-0.45243936177316868</v>
      </c>
      <c r="DH42" s="116">
        <f t="shared" si="345"/>
        <v>-0.44333052883397028</v>
      </c>
      <c r="DI42" s="116">
        <f t="shared" si="345"/>
        <v>-0.44285601083503168</v>
      </c>
      <c r="DJ42" s="116">
        <f t="shared" si="345"/>
        <v>-0.4351649396901956</v>
      </c>
      <c r="DK42" s="116">
        <f t="shared" si="345"/>
        <v>-0.43745608247991991</v>
      </c>
      <c r="DL42" s="116">
        <f t="shared" si="345"/>
        <v>-0.48063581936143313</v>
      </c>
      <c r="DM42" s="116">
        <f t="shared" ref="DM42:DR42" si="346">+DL42</f>
        <v>-0.48063581936143313</v>
      </c>
      <c r="DN42" s="116">
        <f t="shared" si="346"/>
        <v>-0.48063581936143313</v>
      </c>
      <c r="DO42" s="116">
        <f t="shared" si="346"/>
        <v>-0.48063581936143313</v>
      </c>
      <c r="DP42" s="116">
        <f t="shared" si="346"/>
        <v>-0.48063581936143313</v>
      </c>
      <c r="DQ42" s="116">
        <f t="shared" si="346"/>
        <v>-0.48063581936143313</v>
      </c>
      <c r="DR42" s="116">
        <f t="shared" si="346"/>
        <v>-0.48063581936143313</v>
      </c>
      <c r="DS42" s="1553">
        <f>DS41/DS30</f>
        <v>-0.44256635050307808</v>
      </c>
      <c r="DT42" s="1553">
        <f t="shared" ref="DT42:DV42" si="347">DT41/DT30</f>
        <v>-0.44256635050307813</v>
      </c>
      <c r="DU42" s="1553">
        <f t="shared" si="347"/>
        <v>-0.44256635050307808</v>
      </c>
      <c r="DV42" s="1553">
        <f t="shared" si="347"/>
        <v>-0.44256635050307819</v>
      </c>
      <c r="DY42" s="1553">
        <v>-0.44034795584755665</v>
      </c>
      <c r="DZ42" s="1553">
        <v>-0.44034795584755665</v>
      </c>
    </row>
    <row r="43" spans="1:130">
      <c r="A43" s="130" t="s">
        <v>184</v>
      </c>
      <c r="B43" s="24"/>
      <c r="C43" s="24"/>
      <c r="D43" s="24"/>
      <c r="E43" s="24"/>
      <c r="F43" s="24"/>
      <c r="G43" s="24"/>
      <c r="H43" s="24"/>
      <c r="I43" s="24"/>
      <c r="J43" s="8"/>
      <c r="K43" s="8"/>
      <c r="L43" s="8"/>
      <c r="M43" s="8"/>
      <c r="N43" s="8"/>
      <c r="O43" s="8"/>
      <c r="P43" s="8"/>
      <c r="Q43" s="8"/>
      <c r="R43" s="8"/>
      <c r="S43" s="8"/>
      <c r="T43" s="8"/>
      <c r="U43" s="8"/>
      <c r="V43" s="8"/>
      <c r="W43" s="8"/>
      <c r="X43" s="8"/>
      <c r="Y43" s="8"/>
      <c r="Z43" s="8"/>
      <c r="AA43" s="8">
        <v>0.14463880431774156</v>
      </c>
      <c r="AB43" s="8">
        <v>3.7625525705947904E-2</v>
      </c>
      <c r="AC43" s="8">
        <v>0.13623582511032173</v>
      </c>
      <c r="AD43" s="8">
        <v>0.16172888264919294</v>
      </c>
      <c r="AE43" s="8">
        <v>0.17758573162651903</v>
      </c>
      <c r="AF43" s="8">
        <v>0.19146633579761851</v>
      </c>
      <c r="AG43" s="8">
        <v>0.15947149664728921</v>
      </c>
      <c r="AH43" s="8">
        <v>0.13813947948305638</v>
      </c>
      <c r="AI43" s="8">
        <v>0.19355236139630394</v>
      </c>
      <c r="AJ43" s="8">
        <v>0.12201979762683046</v>
      </c>
      <c r="AK43" s="8">
        <v>0.19142478519215156</v>
      </c>
      <c r="AL43" s="8">
        <v>0.1941711798923802</v>
      </c>
      <c r="AM43" s="8">
        <v>0.22086157657502659</v>
      </c>
      <c r="AN43" s="8">
        <v>0.13450036093637197</v>
      </c>
      <c r="AO43" s="8">
        <v>0.15964879008903266</v>
      </c>
      <c r="AP43" s="8">
        <v>0.10177119601832363</v>
      </c>
      <c r="AQ43" s="116">
        <f t="shared" ref="AQ43:BD43" si="348">AQ41/AM41-1</f>
        <v>0.10541994650793796</v>
      </c>
      <c r="AR43" s="116">
        <f t="shared" si="348"/>
        <v>0.15719122826951493</v>
      </c>
      <c r="AS43" s="116">
        <f t="shared" si="348"/>
        <v>0.10802717420130481</v>
      </c>
      <c r="AT43" s="116">
        <f t="shared" si="348"/>
        <v>0.22682243765017818</v>
      </c>
      <c r="AU43" s="116">
        <f t="shared" si="348"/>
        <v>0.17428306273965899</v>
      </c>
      <c r="AV43" s="116">
        <f t="shared" si="348"/>
        <v>0.18805354049903578</v>
      </c>
      <c r="AW43" s="116">
        <f t="shared" si="348"/>
        <v>0.16880979877096514</v>
      </c>
      <c r="AX43" s="116">
        <f t="shared" si="348"/>
        <v>0.10033958013091526</v>
      </c>
      <c r="AY43" s="116">
        <f t="shared" si="348"/>
        <v>3.6909822789427338E-2</v>
      </c>
      <c r="AZ43" s="116">
        <f t="shared" si="348"/>
        <v>3.6024152744787763E-2</v>
      </c>
      <c r="BA43" s="116">
        <f t="shared" si="348"/>
        <v>-3.7457018284826615E-3</v>
      </c>
      <c r="BB43" s="116">
        <f t="shared" si="348"/>
        <v>4.1554854470237323E-2</v>
      </c>
      <c r="BC43" s="116">
        <f t="shared" si="348"/>
        <v>0.17911897852096614</v>
      </c>
      <c r="BD43" s="116">
        <f t="shared" si="348"/>
        <v>0.12753180158174282</v>
      </c>
      <c r="BE43" s="116">
        <f t="shared" ref="BE43:BP43" si="349">BE41/BA41-1</f>
        <v>0.19356982579948956</v>
      </c>
      <c r="BF43" s="116">
        <f t="shared" si="349"/>
        <v>0.12701349855797739</v>
      </c>
      <c r="BG43" s="116">
        <f t="shared" si="349"/>
        <v>8.7925260066130884E-2</v>
      </c>
      <c r="BH43" s="116">
        <f t="shared" si="349"/>
        <v>7.2288389454812529E-2</v>
      </c>
      <c r="BI43" s="116">
        <f t="shared" si="349"/>
        <v>0.12270348928988639</v>
      </c>
      <c r="BJ43" s="116">
        <f t="shared" si="349"/>
        <v>0.15520791611196927</v>
      </c>
      <c r="BK43" s="116">
        <f t="shared" si="349"/>
        <v>0.20532646468801374</v>
      </c>
      <c r="BL43" s="116">
        <f t="shared" si="349"/>
        <v>0.16091227477507197</v>
      </c>
      <c r="BM43" s="116">
        <f t="shared" si="349"/>
        <v>0.12745807342264026</v>
      </c>
      <c r="BN43" s="116">
        <f t="shared" si="349"/>
        <v>9.275864285319857E-2</v>
      </c>
      <c r="BO43" s="116">
        <f t="shared" si="349"/>
        <v>-6.3905854312527932E-2</v>
      </c>
      <c r="BP43" s="116">
        <f t="shared" si="349"/>
        <v>-0.66144313584628134</v>
      </c>
      <c r="BQ43" s="116">
        <f t="shared" ref="BQ43:CD43" si="350">BQ41/BM41-1</f>
        <v>-2.1586493929365402E-2</v>
      </c>
      <c r="BR43" s="116">
        <f t="shared" si="350"/>
        <v>0.11774359501153997</v>
      </c>
      <c r="BS43" s="116">
        <f t="shared" si="350"/>
        <v>-5.4594641513801334E-2</v>
      </c>
      <c r="BT43" s="116">
        <f t="shared" si="350"/>
        <v>2.4139087634006064</v>
      </c>
      <c r="BU43" s="116">
        <f t="shared" si="350"/>
        <v>0.28099996176098774</v>
      </c>
      <c r="BV43" s="116">
        <f t="shared" si="350"/>
        <v>0.1851812323279487</v>
      </c>
      <c r="BW43" s="116">
        <f t="shared" si="350"/>
        <v>0.5329226230371138</v>
      </c>
      <c r="BX43" s="116">
        <f t="shared" si="350"/>
        <v>0.37097783049207211</v>
      </c>
      <c r="BY43" s="116">
        <f t="shared" si="350"/>
        <v>9.2004117616196979E-2</v>
      </c>
      <c r="BZ43" s="116">
        <f t="shared" si="350"/>
        <v>-1.6133571135547253E-2</v>
      </c>
      <c r="CA43" s="116">
        <f t="shared" si="350"/>
        <v>4.2627634342482512E-2</v>
      </c>
      <c r="CB43" s="116">
        <f t="shared" si="350"/>
        <v>-1.2986249052196808E-2</v>
      </c>
      <c r="CC43" s="116">
        <f t="shared" si="350"/>
        <v>1.3127855772512298E-2</v>
      </c>
      <c r="CD43" s="116">
        <f t="shared" si="350"/>
        <v>6.6636835317605447E-2</v>
      </c>
      <c r="CE43" s="116">
        <f t="shared" ref="CE43" si="351">CE41/CA41-1</f>
        <v>7.3342390549857361E-2</v>
      </c>
      <c r="CF43" s="116">
        <f t="shared" ref="CF43" si="352">CF41/CB41-1</f>
        <v>-2.0012210100951333E-2</v>
      </c>
      <c r="CG43" s="116">
        <f t="shared" ref="CG43:CH43" si="353">CG41/CC41-1</f>
        <v>9.5647609422984559E-2</v>
      </c>
      <c r="CH43" s="116">
        <f t="shared" si="353"/>
        <v>0.10045896379775554</v>
      </c>
      <c r="CI43" s="116">
        <f t="shared" ref="CI43" si="354">CI41/CE41-1</f>
        <v>0.10511339562473521</v>
      </c>
      <c r="CJ43" s="116">
        <f t="shared" ref="CJ43" si="355">CJ41/CF41-1</f>
        <v>0.16093816631130053</v>
      </c>
      <c r="CK43" s="116">
        <f t="shared" ref="CK43" si="356">CK41/CG41-1</f>
        <v>3.2331269206602231E-2</v>
      </c>
      <c r="CL43" s="192">
        <f t="shared" ref="CL43" si="357">CL41/CH41-1</f>
        <v>5.8024418953306345E-2</v>
      </c>
      <c r="CM43" s="192">
        <f t="shared" ref="CM43" si="358">CM41/CI41-1</f>
        <v>6.266255766535167E-2</v>
      </c>
      <c r="CN43" s="192">
        <f t="shared" ref="CN43" si="359">CN41/CJ41-1</f>
        <v>5.2462742887855462E-2</v>
      </c>
      <c r="CO43" s="192">
        <f t="shared" ref="CO43" si="360">CO41/CK41-1</f>
        <v>7.9979384677362209E-2</v>
      </c>
      <c r="CP43" s="192">
        <f t="shared" ref="CP43" si="361">CP41/CL41-1</f>
        <v>8.4429681588265471E-2</v>
      </c>
      <c r="CQ43" s="192"/>
      <c r="CR43" s="192"/>
      <c r="CS43" s="192"/>
      <c r="CT43" s="192">
        <v>5.8024418953306345E-2</v>
      </c>
      <c r="CU43" s="727"/>
      <c r="CV43" s="8"/>
      <c r="CW43" s="8"/>
      <c r="CX43" s="8"/>
      <c r="CY43" s="8"/>
      <c r="CZ43" s="8"/>
      <c r="DA43" s="8"/>
      <c r="DB43" s="8"/>
      <c r="DC43" s="8">
        <v>0.16322018731932419</v>
      </c>
      <c r="DD43" s="8">
        <v>0.17527222122045849</v>
      </c>
      <c r="DE43" s="8">
        <v>0.1450087322979956</v>
      </c>
      <c r="DF43" s="116">
        <f t="shared" ref="DF43:DM43" si="362">DF41/DE41-1</f>
        <v>0.15794947825462091</v>
      </c>
      <c r="DG43" s="116">
        <f t="shared" si="362"/>
        <v>0.15073156642516761</v>
      </c>
      <c r="DH43" s="116">
        <f t="shared" si="362"/>
        <v>2.8566446893576236E-2</v>
      </c>
      <c r="DI43" s="116">
        <f t="shared" si="362"/>
        <v>0.15226974371508661</v>
      </c>
      <c r="DJ43" s="116">
        <f t="shared" si="362"/>
        <v>0.11444731603944325</v>
      </c>
      <c r="DK43" s="116">
        <f t="shared" si="362"/>
        <v>0.13811882981447154</v>
      </c>
      <c r="DL43" s="116">
        <f t="shared" si="362"/>
        <v>-0.13648644055818426</v>
      </c>
      <c r="DM43" s="116">
        <f t="shared" si="362"/>
        <v>0.3665928531110243</v>
      </c>
      <c r="DN43" s="116">
        <f>DN41/DM41-1</f>
        <v>0.1831791731258825</v>
      </c>
      <c r="DO43" s="116">
        <f>DO41/DN41-1</f>
        <v>2.806787275944056E-2</v>
      </c>
      <c r="DP43" s="116">
        <f>DP41/DO41-1</f>
        <v>6.2882676718353903E-2</v>
      </c>
      <c r="DQ43" s="116">
        <f>DQ41/DP41-1</f>
        <v>8.5804031287761484E-2</v>
      </c>
      <c r="DR43" s="116">
        <f>DR41/DQ41-1</f>
        <v>7.0888344890243538E-2</v>
      </c>
      <c r="DS43" s="1166">
        <f>DS41/DO41-1</f>
        <v>0.34138430666171415</v>
      </c>
      <c r="DT43" s="1166">
        <f t="shared" ref="DT43:DV43" si="363">DT41/DP41-1</f>
        <v>0.35913733151973437</v>
      </c>
      <c r="DU43" s="1166">
        <f t="shared" si="363"/>
        <v>0.34721123830107792</v>
      </c>
      <c r="DV43" s="1166">
        <f t="shared" si="363"/>
        <v>0.35318362288470806</v>
      </c>
      <c r="DY43" s="1166">
        <v>0.29967694147751534</v>
      </c>
      <c r="DZ43" s="1166">
        <v>0.37630711521003612</v>
      </c>
    </row>
    <row r="44" spans="1:130">
      <c r="A44" s="94" t="s">
        <v>188</v>
      </c>
      <c r="B44" s="94"/>
      <c r="C44" s="29"/>
      <c r="D44" s="29"/>
      <c r="E44" s="29"/>
      <c r="F44" s="29"/>
      <c r="G44" s="29"/>
      <c r="H44" s="29"/>
      <c r="I44" s="29"/>
      <c r="J44" s="29"/>
      <c r="K44" s="29"/>
      <c r="L44" s="29"/>
      <c r="M44" s="29"/>
      <c r="N44" s="29"/>
      <c r="O44" s="29"/>
      <c r="P44" s="29"/>
      <c r="Q44" s="29"/>
      <c r="R44" s="29"/>
      <c r="S44" s="29"/>
      <c r="T44" s="29"/>
      <c r="U44" s="29"/>
      <c r="V44" s="29"/>
      <c r="W44" s="29">
        <v>-6368</v>
      </c>
      <c r="X44" s="29">
        <v>-7939</v>
      </c>
      <c r="Y44" s="29">
        <v>-8275</v>
      </c>
      <c r="Z44" s="29">
        <v>-6581</v>
      </c>
      <c r="AA44" s="29">
        <v>-6011</v>
      </c>
      <c r="AB44" s="29">
        <v>-6811</v>
      </c>
      <c r="AC44" s="29">
        <v>-7522</v>
      </c>
      <c r="AD44" s="29">
        <v>-6748</v>
      </c>
      <c r="AE44" s="29">
        <v>-6047</v>
      </c>
      <c r="AF44" s="29">
        <v>-5525</v>
      </c>
      <c r="AG44" s="29">
        <v>-5287</v>
      </c>
      <c r="AH44" s="29">
        <v>-3917</v>
      </c>
      <c r="AI44" s="29">
        <v>-4212</v>
      </c>
      <c r="AJ44" s="29">
        <v>-5384</v>
      </c>
      <c r="AK44" s="29">
        <v>-4409</v>
      </c>
      <c r="AL44" s="29">
        <v>-3829</v>
      </c>
      <c r="AM44" s="29">
        <v>-3186</v>
      </c>
      <c r="AN44" s="29">
        <v>-4242</v>
      </c>
      <c r="AO44" s="29">
        <v>-5062</v>
      </c>
      <c r="AP44" s="29">
        <v>-4345</v>
      </c>
      <c r="AQ44" s="1297">
        <v>-4032</v>
      </c>
      <c r="AR44" s="1297">
        <v>-3192</v>
      </c>
      <c r="AS44" s="1297">
        <v>-5742</v>
      </c>
      <c r="AT44" s="1297">
        <v>-8657</v>
      </c>
      <c r="AU44" s="1297">
        <v>-11593</v>
      </c>
      <c r="AV44" s="1297">
        <v>-13634</v>
      </c>
      <c r="AW44" s="1297">
        <v>-10692</v>
      </c>
      <c r="AX44" s="1297">
        <v>-9253</v>
      </c>
      <c r="AY44" s="1297">
        <v>-10842</v>
      </c>
      <c r="AZ44" s="1297">
        <v>-10298</v>
      </c>
      <c r="BA44" s="1297">
        <v>-10406</v>
      </c>
      <c r="BB44" s="1297">
        <v>-6907</v>
      </c>
      <c r="BC44" s="1297">
        <v>-6430</v>
      </c>
      <c r="BD44" s="1297">
        <v>-5328</v>
      </c>
      <c r="BE44" s="1297">
        <v>-5735</v>
      </c>
      <c r="BF44" s="1297">
        <v>-4538</v>
      </c>
      <c r="BG44" s="1297">
        <v>-6783</v>
      </c>
      <c r="BH44" s="1297">
        <v>-7226</v>
      </c>
      <c r="BI44" s="1297">
        <v>-6861</v>
      </c>
      <c r="BJ44" s="1297">
        <v>-6249</v>
      </c>
      <c r="BK44" s="1297">
        <v>-5601</v>
      </c>
      <c r="BL44" s="1297">
        <v>-5755</v>
      </c>
      <c r="BM44" s="1297">
        <v>-7164</v>
      </c>
      <c r="BN44" s="1297">
        <v>-4695</v>
      </c>
      <c r="BO44" s="1297">
        <v>-5434</v>
      </c>
      <c r="BP44" s="1297">
        <v>-6802</v>
      </c>
      <c r="BQ44" s="1297">
        <v>-6368</v>
      </c>
      <c r="BR44" s="1297">
        <v>-3657</v>
      </c>
      <c r="BS44" s="1297">
        <v>-3898</v>
      </c>
      <c r="BT44" s="1297">
        <v>-3556</v>
      </c>
      <c r="BU44" s="1297">
        <v>-5441</v>
      </c>
      <c r="BV44" s="1297">
        <v>-11110</v>
      </c>
      <c r="BW44" s="1297">
        <v>-16616</v>
      </c>
      <c r="BX44" s="1297">
        <v>-27403</v>
      </c>
      <c r="BY44" s="1297">
        <v>-34224</v>
      </c>
      <c r="BZ44" s="1297">
        <v>-31805</v>
      </c>
      <c r="CA44" s="1297">
        <v>-28356</v>
      </c>
      <c r="CB44" s="1297">
        <v>-30387</v>
      </c>
      <c r="CC44" s="1297">
        <v>-26363</v>
      </c>
      <c r="CD44" s="1297">
        <v>-20580</v>
      </c>
      <c r="CE44" s="1297">
        <v>-17659</v>
      </c>
      <c r="CF44" s="1297">
        <v>-14447</v>
      </c>
      <c r="CG44" s="1297">
        <v>-7748</v>
      </c>
      <c r="CH44" s="1297">
        <v>1632</v>
      </c>
      <c r="CI44" s="1297">
        <v>2809</v>
      </c>
      <c r="CJ44" s="1297">
        <v>1614</v>
      </c>
      <c r="CK44" s="1297">
        <v>5977</v>
      </c>
      <c r="CL44" s="372">
        <f t="shared" ref="CL44:CP44" si="364">+CL45*CL34</f>
        <v>5625.0198373091753</v>
      </c>
      <c r="CM44" s="372">
        <f t="shared" si="364"/>
        <v>6151.0043381788928</v>
      </c>
      <c r="CN44" s="372">
        <f t="shared" si="364"/>
        <v>6227.9070330181321</v>
      </c>
      <c r="CO44" s="372">
        <f t="shared" si="364"/>
        <v>6272.6486495156296</v>
      </c>
      <c r="CP44" s="372">
        <f t="shared" si="364"/>
        <v>6282.0091615597103</v>
      </c>
      <c r="CQ44" s="372"/>
      <c r="CR44" s="372"/>
      <c r="CS44" s="372"/>
      <c r="CT44" s="372">
        <v>5625.0198373091753</v>
      </c>
      <c r="CU44" s="695"/>
      <c r="CV44" s="127"/>
      <c r="CW44" s="29"/>
      <c r="CX44" s="29"/>
      <c r="CY44" s="29"/>
      <c r="CZ44" s="29"/>
      <c r="DA44" s="29"/>
      <c r="DB44" s="29">
        <v>-27092</v>
      </c>
      <c r="DC44" s="29">
        <v>-20776</v>
      </c>
      <c r="DD44" s="29">
        <v>-17834</v>
      </c>
      <c r="DE44" s="29">
        <v>-16835</v>
      </c>
      <c r="DF44" s="127">
        <f>+SUM(AQ44:AT44)</f>
        <v>-21623</v>
      </c>
      <c r="DG44" s="1234">
        <f>+SUM(AU44:AX44)</f>
        <v>-45172</v>
      </c>
      <c r="DH44" s="1227">
        <f>+SUM(AY44:BB44)</f>
        <v>-38453</v>
      </c>
      <c r="DI44" s="1227">
        <f>+SUM(BC44:BF44)</f>
        <v>-22031</v>
      </c>
      <c r="DJ44" s="1227">
        <f>+SUM(BG44:BJ44)</f>
        <v>-27119</v>
      </c>
      <c r="DK44" s="1227">
        <f>+SUM(BK44:BN44)</f>
        <v>-23215</v>
      </c>
      <c r="DL44" s="1227">
        <f>+SUM(BO44:BR44)</f>
        <v>-22261</v>
      </c>
      <c r="DM44" s="1227">
        <f>+SUM(BS44:BV44)</f>
        <v>-24005</v>
      </c>
      <c r="DN44" s="1227">
        <f>+SUM(BW44:BZ44)</f>
        <v>-110048</v>
      </c>
      <c r="DO44" s="1227">
        <f>+SUM(CA44:CD44)</f>
        <v>-105686</v>
      </c>
      <c r="DP44" s="1227">
        <f>+SUM(CE44:CH44)</f>
        <v>-38222</v>
      </c>
      <c r="DQ44" s="1227">
        <f>+SUM(CI44:CL44)</f>
        <v>16025.019837309175</v>
      </c>
      <c r="DR44" s="1227">
        <f>+SUM(CM44:CP44)</f>
        <v>24933.569182272367</v>
      </c>
      <c r="DS44" s="803">
        <f t="shared" ref="DS44:DV44" si="365">+DS57-DS34</f>
        <v>26688.953597624786</v>
      </c>
      <c r="DT44" s="803">
        <f t="shared" si="365"/>
        <v>26777.452839315869</v>
      </c>
      <c r="DU44" s="803">
        <f t="shared" si="365"/>
        <v>26883.390953299124</v>
      </c>
      <c r="DV44" s="803">
        <f t="shared" si="365"/>
        <v>26999.756978861988</v>
      </c>
      <c r="DY44" s="1545">
        <v>-22225.044244825607</v>
      </c>
      <c r="DZ44" s="1545">
        <v>-22298.808914829744</v>
      </c>
    </row>
    <row r="45" spans="1:130">
      <c r="A45" s="17" t="s">
        <v>187</v>
      </c>
      <c r="B45" s="17"/>
      <c r="C45" s="8"/>
      <c r="D45" s="8"/>
      <c r="E45" s="8"/>
      <c r="F45" s="8"/>
      <c r="G45" s="8"/>
      <c r="H45" s="8"/>
      <c r="I45" s="8"/>
      <c r="J45" s="8"/>
      <c r="K45" s="8"/>
      <c r="L45" s="8"/>
      <c r="M45" s="8"/>
      <c r="N45" s="8"/>
      <c r="O45" s="8"/>
      <c r="P45" s="8"/>
      <c r="Q45" s="8"/>
      <c r="R45" s="8"/>
      <c r="S45" s="8"/>
      <c r="T45" s="8"/>
      <c r="U45" s="8"/>
      <c r="V45" s="8"/>
      <c r="W45" s="8">
        <v>-0.11273789501637603</v>
      </c>
      <c r="X45" s="8">
        <v>-0.13528850414096316</v>
      </c>
      <c r="Y45" s="8">
        <v>-0.12617983867278632</v>
      </c>
      <c r="Z45" s="8">
        <v>-9.8354530645185401E-2</v>
      </c>
      <c r="AA45" s="8">
        <v>-9.184250332319821E-2</v>
      </c>
      <c r="AB45" s="8">
        <v>-9.4559135903594382E-2</v>
      </c>
      <c r="AC45" s="8">
        <v>-0.10011579465747408</v>
      </c>
      <c r="AD45" s="8">
        <v>-8.8739265941638279E-2</v>
      </c>
      <c r="AE45" s="8">
        <v>-7.4599062422896614E-2</v>
      </c>
      <c r="AF45" s="8">
        <v>-6.3677016342807091E-2</v>
      </c>
      <c r="AG45" s="8">
        <v>-6.231289630624897E-2</v>
      </c>
      <c r="AH45" s="8">
        <v>-4.3885988303045242E-2</v>
      </c>
      <c r="AI45" s="8">
        <v>-4.6759994227161206E-2</v>
      </c>
      <c r="AJ45" s="8">
        <v>-5.3686992072593108E-2</v>
      </c>
      <c r="AK45" s="8">
        <v>-4.3311263482583157E-2</v>
      </c>
      <c r="AL45" s="8">
        <v>-3.5326788943425474E-2</v>
      </c>
      <c r="AM45" s="8">
        <v>-2.9741789735068427E-2</v>
      </c>
      <c r="AN45" s="8">
        <v>-3.7473829274110193E-2</v>
      </c>
      <c r="AO45" s="8">
        <v>-4.4203044089523823E-2</v>
      </c>
      <c r="AP45" s="8">
        <v>-3.5691402848740741E-2</v>
      </c>
      <c r="AQ45" s="116">
        <f t="shared" ref="AQ45:BW45" si="366">AQ44/AQ34</f>
        <v>-3.2490451095102256E-2</v>
      </c>
      <c r="AR45" s="116">
        <f t="shared" si="366"/>
        <v>-2.2162049573005625E-2</v>
      </c>
      <c r="AS45" s="116">
        <f t="shared" si="366"/>
        <v>-3.6640461483485633E-2</v>
      </c>
      <c r="AT45" s="116">
        <f t="shared" si="366"/>
        <v>-5.8260202433509205E-2</v>
      </c>
      <c r="AU45" s="116">
        <f t="shared" si="366"/>
        <v>-7.1100017172435789E-2</v>
      </c>
      <c r="AV45" s="116">
        <f t="shared" si="366"/>
        <v>-7.4840126252229994E-2</v>
      </c>
      <c r="AW45" s="116">
        <f t="shared" si="366"/>
        <v>-6.2076172782164422E-2</v>
      </c>
      <c r="AX45" s="116">
        <f t="shared" si="366"/>
        <v>-5.2312597877645167E-2</v>
      </c>
      <c r="AY45" s="116">
        <f t="shared" si="366"/>
        <v>-6.3321671991169309E-2</v>
      </c>
      <c r="AZ45" s="116">
        <f t="shared" si="366"/>
        <v>-5.630645408219058E-2</v>
      </c>
      <c r="BA45" s="116">
        <f t="shared" si="366"/>
        <v>-5.6123962440200417E-2</v>
      </c>
      <c r="BB45" s="116">
        <f t="shared" si="366"/>
        <v>-3.629570463168294E-2</v>
      </c>
      <c r="BC45" s="116">
        <f t="shared" si="366"/>
        <v>-3.5595659875996458E-2</v>
      </c>
      <c r="BD45" s="116">
        <f t="shared" si="366"/>
        <v>-2.6550260120791723E-2</v>
      </c>
      <c r="BE45" s="116">
        <f t="shared" si="366"/>
        <v>-2.4529617320861081E-2</v>
      </c>
      <c r="BF45" s="116">
        <f t="shared" si="366"/>
        <v>-1.9806474421365503E-2</v>
      </c>
      <c r="BG45" s="116">
        <f t="shared" si="366"/>
        <v>-2.955993480515632E-2</v>
      </c>
      <c r="BH45" s="116">
        <f t="shared" si="366"/>
        <v>-3.0100055817983386E-2</v>
      </c>
      <c r="BI45" s="116">
        <f t="shared" si="366"/>
        <v>-2.9595344804530965E-2</v>
      </c>
      <c r="BJ45" s="116">
        <f t="shared" si="366"/>
        <v>-2.6064759394199766E-2</v>
      </c>
      <c r="BK45" s="116">
        <f t="shared" si="366"/>
        <v>-2.3165687815369346E-2</v>
      </c>
      <c r="BL45" s="116">
        <f t="shared" si="366"/>
        <v>-2.1109195613102007E-2</v>
      </c>
      <c r="BM45" s="116">
        <f t="shared" si="366"/>
        <v>-2.4381362075478762E-2</v>
      </c>
      <c r="BN45" s="116">
        <f t="shared" si="366"/>
        <v>-1.536809785828617E-2</v>
      </c>
      <c r="BO45" s="116">
        <f t="shared" si="366"/>
        <v>-1.7328856021251289E-2</v>
      </c>
      <c r="BP45" s="116">
        <f t="shared" si="366"/>
        <v>-2.5298471380220924E-2</v>
      </c>
      <c r="BQ45" s="116">
        <f t="shared" si="366"/>
        <v>-4.5865084052376083E-2</v>
      </c>
      <c r="BR45" s="116">
        <f t="shared" si="366"/>
        <v>-2.3545545854902265E-2</v>
      </c>
      <c r="BS45" s="116">
        <f t="shared" si="366"/>
        <v>-1.7965037768980122E-2</v>
      </c>
      <c r="BT45" s="116">
        <f t="shared" si="366"/>
        <v>-1.5356047847303191E-2</v>
      </c>
      <c r="BU45" s="116">
        <f t="shared" si="366"/>
        <v>-2.1223648505135917E-2</v>
      </c>
      <c r="BV45" s="116">
        <f t="shared" si="366"/>
        <v>-3.5732919489887847E-2</v>
      </c>
      <c r="BW45" s="116">
        <f t="shared" si="366"/>
        <v>-4.3343184847623249E-2</v>
      </c>
      <c r="BX45" s="116">
        <f t="shared" ref="BX45:CC45" si="367">BX44/BX34</f>
        <v>-6.0815549321781126E-2</v>
      </c>
      <c r="BY45" s="116">
        <f t="shared" si="367"/>
        <v>-8.5110827607302458E-2</v>
      </c>
      <c r="BZ45" s="116">
        <f t="shared" si="367"/>
        <v>-6.9249695175056608E-2</v>
      </c>
      <c r="CA45" s="116">
        <f t="shared" si="367"/>
        <v>-5.7020710124614661E-2</v>
      </c>
      <c r="CB45" s="116">
        <f t="shared" si="367"/>
        <v>-5.85740748950902E-2</v>
      </c>
      <c r="CC45" s="116">
        <f t="shared" si="367"/>
        <v>-5.7187791492223257E-2</v>
      </c>
      <c r="CD45" s="116">
        <f t="shared" ref="CD45:CH45" si="368">CD44/CD34</f>
        <v>-4.4310760969497057E-2</v>
      </c>
      <c r="CE45" s="116">
        <f t="shared" si="368"/>
        <v>-3.9509747109875086E-2</v>
      </c>
      <c r="CF45" s="116">
        <f t="shared" si="368"/>
        <v>-3.2799204482504972E-2</v>
      </c>
      <c r="CG45" s="116">
        <f t="shared" si="368"/>
        <v>-1.7829651806322299E-2</v>
      </c>
      <c r="CH45" s="116">
        <f t="shared" si="368"/>
        <v>3.6886524213562127E-3</v>
      </c>
      <c r="CI45" s="116">
        <f t="shared" ref="CI45:CK45" si="369">CI44/CI34</f>
        <v>5.6097424591002049E-3</v>
      </c>
      <c r="CJ45" s="116">
        <f t="shared" si="369"/>
        <v>3.1164497960019079E-3</v>
      </c>
      <c r="CK45" s="116">
        <f t="shared" si="369"/>
        <v>1.2340937762608837E-2</v>
      </c>
      <c r="CL45" s="373">
        <f t="shared" ref="CL45" si="370">+CK45</f>
        <v>1.2340937762608837E-2</v>
      </c>
      <c r="CM45" s="373">
        <f t="shared" ref="CM45" si="371">+CL45</f>
        <v>1.2340937762608837E-2</v>
      </c>
      <c r="CN45" s="373">
        <f t="shared" ref="CN45" si="372">+CM45</f>
        <v>1.2340937762608837E-2</v>
      </c>
      <c r="CO45" s="373">
        <f t="shared" ref="CO45" si="373">+CN45</f>
        <v>1.2340937762608837E-2</v>
      </c>
      <c r="CP45" s="373">
        <f t="shared" ref="CP45" si="374">+CO45</f>
        <v>1.2340937762608837E-2</v>
      </c>
      <c r="CQ45" s="373"/>
      <c r="CR45" s="373"/>
      <c r="CS45" s="373"/>
      <c r="CT45" s="373">
        <v>1.2340937762608837E-2</v>
      </c>
      <c r="CU45" s="695"/>
      <c r="CV45" s="8"/>
      <c r="CW45" s="8"/>
      <c r="CX45" s="8"/>
      <c r="CY45" s="8"/>
      <c r="CZ45" s="8"/>
      <c r="DA45" s="8"/>
      <c r="DB45" s="8">
        <v>-9.3856312401698921E-2</v>
      </c>
      <c r="DC45" s="8">
        <v>-6.0761685276931265E-2</v>
      </c>
      <c r="DD45" s="8">
        <v>-4.4524002117099573E-2</v>
      </c>
      <c r="DE45" s="8">
        <v>-3.687228413232408E-2</v>
      </c>
      <c r="DF45" s="116">
        <f t="shared" ref="DF45:DL45" si="375">DF44/DF34</f>
        <v>-3.7708045592153912E-2</v>
      </c>
      <c r="DG45" s="116">
        <f t="shared" si="375"/>
        <v>-6.5056902466493649E-2</v>
      </c>
      <c r="DH45" s="116">
        <f t="shared" si="375"/>
        <v>-5.2688189722973545E-2</v>
      </c>
      <c r="DI45" s="116">
        <f t="shared" si="375"/>
        <v>-2.6095907286148832E-2</v>
      </c>
      <c r="DJ45" s="116">
        <f t="shared" si="375"/>
        <v>-2.8816033866463784E-2</v>
      </c>
      <c r="DK45" s="116">
        <f t="shared" si="375"/>
        <v>-2.0844107802152019E-2</v>
      </c>
      <c r="DL45" s="116">
        <f t="shared" si="375"/>
        <v>-2.5394446098545645E-2</v>
      </c>
      <c r="DM45" s="116">
        <f t="shared" ref="DM45:DS45" si="376">DL45</f>
        <v>-2.5394446098545645E-2</v>
      </c>
      <c r="DN45" s="116">
        <f t="shared" si="376"/>
        <v>-2.5394446098545645E-2</v>
      </c>
      <c r="DO45" s="116">
        <f t="shared" si="376"/>
        <v>-2.5394446098545645E-2</v>
      </c>
      <c r="DP45" s="116">
        <f t="shared" si="376"/>
        <v>-2.5394446098545645E-2</v>
      </c>
      <c r="DQ45" s="116">
        <f t="shared" si="376"/>
        <v>-2.5394446098545645E-2</v>
      </c>
      <c r="DR45" s="116">
        <f t="shared" si="376"/>
        <v>-2.5394446098545645E-2</v>
      </c>
      <c r="DS45" s="1554">
        <f t="shared" si="376"/>
        <v>-2.5394446098545645E-2</v>
      </c>
      <c r="DT45" s="1554">
        <f t="shared" ref="DT45" si="377">DS45</f>
        <v>-2.5394446098545645E-2</v>
      </c>
      <c r="DU45" s="1554">
        <f t="shared" ref="DU45" si="378">DT45</f>
        <v>-2.5394446098545645E-2</v>
      </c>
      <c r="DV45" s="1554">
        <f t="shared" ref="DV45" si="379">DU45</f>
        <v>-2.5394446098545645E-2</v>
      </c>
      <c r="DY45" s="1554">
        <v>-2.5394446098545645E-2</v>
      </c>
      <c r="DZ45" s="1554">
        <v>-2.5394446098545645E-2</v>
      </c>
    </row>
    <row r="46" spans="1:130">
      <c r="A46" s="130" t="s">
        <v>184</v>
      </c>
      <c r="B46" s="24"/>
      <c r="C46" s="24"/>
      <c r="D46" s="24"/>
      <c r="E46" s="24"/>
      <c r="F46" s="24"/>
      <c r="G46" s="24"/>
      <c r="H46" s="24"/>
      <c r="I46" s="24"/>
      <c r="J46" s="8"/>
      <c r="K46" s="8"/>
      <c r="L46" s="8"/>
      <c r="M46" s="8"/>
      <c r="N46" s="8"/>
      <c r="O46" s="8"/>
      <c r="P46" s="8"/>
      <c r="Q46" s="8"/>
      <c r="R46" s="8"/>
      <c r="S46" s="8"/>
      <c r="T46" s="8"/>
      <c r="U46" s="8"/>
      <c r="V46" s="8"/>
      <c r="W46" s="8"/>
      <c r="X46" s="8"/>
      <c r="Y46" s="8"/>
      <c r="Z46" s="8"/>
      <c r="AA46" s="8">
        <v>-5.6061557788944727E-2</v>
      </c>
      <c r="AB46" s="8">
        <v>-0.14208338581685354</v>
      </c>
      <c r="AC46" s="8">
        <v>-9.0996978851963783E-2</v>
      </c>
      <c r="AD46" s="8">
        <v>2.5376082662209365E-2</v>
      </c>
      <c r="AE46" s="8">
        <v>5.9890201297621015E-3</v>
      </c>
      <c r="AF46" s="8">
        <v>-0.18881221553369554</v>
      </c>
      <c r="AG46" s="8">
        <v>-0.29712842329167777</v>
      </c>
      <c r="AH46" s="8">
        <v>-0.41953171310017778</v>
      </c>
      <c r="AI46" s="8">
        <v>-0.30345625930213327</v>
      </c>
      <c r="AJ46" s="8">
        <v>-2.5520361990950202E-2</v>
      </c>
      <c r="AK46" s="8">
        <v>-0.16606771325893699</v>
      </c>
      <c r="AL46" s="8">
        <v>-2.2466173091651775E-2</v>
      </c>
      <c r="AM46" s="8">
        <v>-0.24358974358974361</v>
      </c>
      <c r="AN46" s="8">
        <v>-0.21210995542347699</v>
      </c>
      <c r="AO46" s="8">
        <v>0.14810614651848497</v>
      </c>
      <c r="AP46" s="8">
        <v>0.13476103421258823</v>
      </c>
      <c r="AQ46" s="116">
        <f t="shared" ref="AQ46:BD46" si="380">AQ44/AM44-1</f>
        <v>0.26553672316384191</v>
      </c>
      <c r="AR46" s="116">
        <f t="shared" si="380"/>
        <v>-0.24752475247524752</v>
      </c>
      <c r="AS46" s="116">
        <f t="shared" si="380"/>
        <v>0.13433425523508502</v>
      </c>
      <c r="AT46" s="116">
        <f t="shared" si="380"/>
        <v>0.9924050632911392</v>
      </c>
      <c r="AU46" s="116">
        <f t="shared" si="380"/>
        <v>1.8752480158730158</v>
      </c>
      <c r="AV46" s="116">
        <f t="shared" si="380"/>
        <v>3.2713032581453634</v>
      </c>
      <c r="AW46" s="116">
        <f t="shared" si="380"/>
        <v>0.86206896551724133</v>
      </c>
      <c r="AX46" s="116">
        <f t="shared" si="380"/>
        <v>6.8846020561395438E-2</v>
      </c>
      <c r="AY46" s="116">
        <f t="shared" si="380"/>
        <v>-6.4780470973863524E-2</v>
      </c>
      <c r="AZ46" s="116">
        <f t="shared" si="380"/>
        <v>-0.24468241161801374</v>
      </c>
      <c r="BA46" s="116">
        <f t="shared" si="380"/>
        <v>-2.6748971193415683E-2</v>
      </c>
      <c r="BB46" s="116">
        <f t="shared" si="380"/>
        <v>-0.25353939262941749</v>
      </c>
      <c r="BC46" s="116">
        <f t="shared" si="380"/>
        <v>-0.4069359896698026</v>
      </c>
      <c r="BD46" s="116">
        <f t="shared" si="380"/>
        <v>-0.48261798407457757</v>
      </c>
      <c r="BE46" s="116">
        <f>BE44/BA44-1</f>
        <v>-0.44887564866423213</v>
      </c>
      <c r="BF46" s="116">
        <f>BF44/BB44-1</f>
        <v>-0.34298537715361233</v>
      </c>
      <c r="BG46" s="116">
        <f>BG44/BC44-1</f>
        <v>5.4898911353032709E-2</v>
      </c>
      <c r="BH46" s="116">
        <f t="shared" ref="BH46:BN46" si="381">BH44/BD44-1</f>
        <v>0.35623123123123124</v>
      </c>
      <c r="BI46" s="116">
        <f t="shared" si="381"/>
        <v>0.19633827375762869</v>
      </c>
      <c r="BJ46" s="116">
        <f t="shared" si="381"/>
        <v>0.37703834288232696</v>
      </c>
      <c r="BK46" s="116">
        <f t="shared" si="381"/>
        <v>-0.17425917735515262</v>
      </c>
      <c r="BL46" s="116">
        <f t="shared" si="381"/>
        <v>-0.20357044007749792</v>
      </c>
      <c r="BM46" s="116">
        <f t="shared" si="381"/>
        <v>4.4162658504591112E-2</v>
      </c>
      <c r="BN46" s="116">
        <f t="shared" si="381"/>
        <v>-0.24867978876620256</v>
      </c>
      <c r="BO46" s="116">
        <f t="shared" ref="BO46:BV46" si="382">BO44/BK44-1</f>
        <v>-2.9816104267095134E-2</v>
      </c>
      <c r="BP46" s="116">
        <f t="shared" si="382"/>
        <v>0.18192875760208516</v>
      </c>
      <c r="BQ46" s="116">
        <f t="shared" si="382"/>
        <v>-0.11111111111111116</v>
      </c>
      <c r="BR46" s="116">
        <f t="shared" si="382"/>
        <v>-0.2210862619808307</v>
      </c>
      <c r="BS46" s="116">
        <f t="shared" si="382"/>
        <v>-0.28266470371733532</v>
      </c>
      <c r="BT46" s="116">
        <f t="shared" si="382"/>
        <v>-0.47721258453396065</v>
      </c>
      <c r="BU46" s="116">
        <f t="shared" si="382"/>
        <v>-0.14557160804020097</v>
      </c>
      <c r="BV46" s="116">
        <f t="shared" si="382"/>
        <v>2.0380092972381734</v>
      </c>
      <c r="BW46" s="116">
        <f t="shared" ref="BW46:CD46" si="383">BW44/BS44-1</f>
        <v>3.2626988199076452</v>
      </c>
      <c r="BX46" s="116">
        <f t="shared" si="383"/>
        <v>6.706130483689539</v>
      </c>
      <c r="BY46" s="116">
        <f t="shared" si="383"/>
        <v>5.2900202168718984</v>
      </c>
      <c r="BZ46" s="116">
        <f t="shared" si="383"/>
        <v>1.8627362736273629</v>
      </c>
      <c r="CA46" s="116">
        <f t="shared" si="383"/>
        <v>0.70654790563312475</v>
      </c>
      <c r="CB46" s="116">
        <f t="shared" si="383"/>
        <v>0.10889318687734928</v>
      </c>
      <c r="CC46" s="116">
        <f t="shared" si="383"/>
        <v>-0.22969261337073399</v>
      </c>
      <c r="CD46" s="116">
        <f t="shared" si="383"/>
        <v>-0.35293192894199021</v>
      </c>
      <c r="CE46" s="116">
        <f t="shared" ref="CE46" si="384">CE44/CA44-1</f>
        <v>-0.37723938496261811</v>
      </c>
      <c r="CF46" s="116">
        <f t="shared" ref="CF46" si="385">CF44/CB44-1</f>
        <v>-0.52456642643235596</v>
      </c>
      <c r="CG46" s="116">
        <f t="shared" ref="CG46:CI46" si="386">CG44/CC44-1</f>
        <v>-0.70610325076812197</v>
      </c>
      <c r="CH46" s="116">
        <f t="shared" si="386"/>
        <v>-1.0793002915451895</v>
      </c>
      <c r="CI46" s="116">
        <f t="shared" si="386"/>
        <v>-1.1590690299563962</v>
      </c>
      <c r="CJ46" s="116">
        <f t="shared" ref="CJ46" si="387">CJ44/CF44-1</f>
        <v>-1.111718695923029</v>
      </c>
      <c r="CK46" s="116">
        <f t="shared" ref="CK46" si="388">CK44/CG44-1</f>
        <v>-1.7714248838409912</v>
      </c>
      <c r="CL46" s="192">
        <f t="shared" ref="CL46" si="389">CL44/CH44-1</f>
        <v>2.4467033316845437</v>
      </c>
      <c r="CM46" s="192">
        <f t="shared" ref="CM46" si="390">CM44/CI44-1</f>
        <v>1.1897487853965441</v>
      </c>
      <c r="CN46" s="192">
        <f t="shared" ref="CN46" si="391">CN44/CJ44-1</f>
        <v>2.8586784591190408</v>
      </c>
      <c r="CO46" s="192">
        <f t="shared" ref="CO46" si="392">CO44/CK44-1</f>
        <v>4.9464388408169579E-2</v>
      </c>
      <c r="CP46" s="192">
        <f t="shared" ref="CP46" si="393">CP44/CL44-1</f>
        <v>0.11679769018642561</v>
      </c>
      <c r="CQ46" s="192"/>
      <c r="CR46" s="192"/>
      <c r="CS46" s="192"/>
      <c r="CT46" s="192">
        <v>2.4467033316845437</v>
      </c>
      <c r="CU46" s="727"/>
      <c r="CV46" s="8"/>
      <c r="CW46" s="8"/>
      <c r="CX46" s="8"/>
      <c r="CY46" s="8"/>
      <c r="CZ46" s="8"/>
      <c r="DA46" s="8"/>
      <c r="DB46" s="8"/>
      <c r="DC46" s="8">
        <v>-0.23313155174959399</v>
      </c>
      <c r="DD46" s="8">
        <v>-0.14160569888332697</v>
      </c>
      <c r="DE46" s="8">
        <v>-5.6016597510373467E-2</v>
      </c>
      <c r="DF46" s="116">
        <f t="shared" ref="DF46:DM46" si="394">DF44/DE44-1</f>
        <v>0.28440748440748442</v>
      </c>
      <c r="DG46" s="116">
        <f t="shared" si="394"/>
        <v>1.0890718216713684</v>
      </c>
      <c r="DH46" s="116">
        <f t="shared" si="394"/>
        <v>-0.14874258390153194</v>
      </c>
      <c r="DI46" s="116">
        <f t="shared" si="394"/>
        <v>-0.42706680883156056</v>
      </c>
      <c r="DJ46" s="116">
        <f t="shared" si="394"/>
        <v>0.23094730152966281</v>
      </c>
      <c r="DK46" s="116">
        <f t="shared" si="394"/>
        <v>-0.14395811054979901</v>
      </c>
      <c r="DL46" s="116">
        <f t="shared" si="394"/>
        <v>-4.1094120180917515E-2</v>
      </c>
      <c r="DM46" s="116">
        <f t="shared" si="394"/>
        <v>7.8343290957279654E-2</v>
      </c>
      <c r="DN46" s="116">
        <f t="shared" ref="DN46:DS46" si="395">DN44/DM44-1</f>
        <v>3.5843782545303062</v>
      </c>
      <c r="DO46" s="116">
        <f t="shared" si="395"/>
        <v>-3.9637249200348945E-2</v>
      </c>
      <c r="DP46" s="116">
        <f t="shared" si="395"/>
        <v>-0.63834377306360346</v>
      </c>
      <c r="DQ46" s="116">
        <f t="shared" si="395"/>
        <v>-1.4192616774974929</v>
      </c>
      <c r="DR46" s="116">
        <f t="shared" si="395"/>
        <v>0.55591502758845013</v>
      </c>
      <c r="DS46" s="1554">
        <f t="shared" si="395"/>
        <v>7.0402452313184538E-2</v>
      </c>
      <c r="DT46" s="1554">
        <f t="shared" ref="DT46" si="396">DT44/DS44-1</f>
        <v>3.3159502251507433E-3</v>
      </c>
      <c r="DU46" s="1554">
        <f t="shared" ref="DU46" si="397">DU44/DT44-1</f>
        <v>3.9562431355573136E-3</v>
      </c>
      <c r="DV46" s="1554">
        <f t="shared" ref="DV46" si="398">DV44/DU44-1</f>
        <v>4.3285471600293945E-3</v>
      </c>
      <c r="DY46" s="1554">
        <v>-2.333862714288597</v>
      </c>
      <c r="DZ46" s="1554">
        <v>3.3189886684392711E-3</v>
      </c>
    </row>
    <row r="47" spans="1:130">
      <c r="A47" s="130"/>
      <c r="B47" s="24"/>
      <c r="C47" s="24"/>
      <c r="D47" s="24"/>
      <c r="E47" s="24"/>
      <c r="F47" s="24"/>
      <c r="G47" s="24"/>
      <c r="H47" s="24"/>
      <c r="I47" s="24"/>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116"/>
      <c r="AR47" s="116"/>
      <c r="AS47" s="116"/>
      <c r="AT47" s="116"/>
      <c r="AU47" s="116"/>
      <c r="AV47" s="116"/>
      <c r="AW47" s="116"/>
      <c r="AX47" s="116"/>
      <c r="AY47" s="116"/>
      <c r="AZ47" s="116"/>
      <c r="BA47" s="116"/>
      <c r="BB47" s="116"/>
      <c r="BC47" s="116"/>
      <c r="BD47" s="116"/>
      <c r="BE47" s="116"/>
      <c r="BF47" s="116"/>
      <c r="BG47" s="116"/>
      <c r="BH47" s="116"/>
      <c r="BI47" s="116"/>
      <c r="BJ47" s="116"/>
      <c r="BK47" s="116"/>
      <c r="BL47" s="116"/>
      <c r="BM47" s="116"/>
      <c r="BN47" s="116"/>
      <c r="BO47" s="116"/>
      <c r="BP47" s="116"/>
      <c r="BQ47" s="116"/>
      <c r="BR47" s="116"/>
      <c r="BS47" s="116"/>
      <c r="BT47" s="116"/>
      <c r="BU47" s="116"/>
      <c r="BV47" s="116"/>
      <c r="BW47" s="116"/>
      <c r="BX47" s="116"/>
      <c r="BY47" s="116"/>
      <c r="BZ47" s="116"/>
      <c r="CA47" s="116"/>
      <c r="CB47" s="116"/>
      <c r="CC47" s="116"/>
      <c r="CD47" s="116"/>
      <c r="CE47" s="116"/>
      <c r="CF47" s="116"/>
      <c r="CG47" s="116"/>
      <c r="CH47" s="116"/>
      <c r="CI47" s="116"/>
      <c r="CJ47" s="116"/>
      <c r="CK47" s="116"/>
      <c r="CL47" s="192"/>
      <c r="CM47" s="192"/>
      <c r="CN47" s="192"/>
      <c r="CO47" s="192"/>
      <c r="CP47" s="192"/>
      <c r="CQ47" s="192"/>
      <c r="CR47" s="192"/>
      <c r="CS47" s="192"/>
      <c r="CT47" s="192"/>
      <c r="CU47" s="727"/>
      <c r="CV47" s="8"/>
      <c r="CW47" s="8"/>
      <c r="CX47" s="8"/>
      <c r="CY47" s="8"/>
      <c r="CZ47" s="8"/>
      <c r="DA47" s="8"/>
      <c r="DB47" s="8"/>
      <c r="DC47" s="8"/>
      <c r="DD47" s="8"/>
      <c r="DE47" s="8"/>
      <c r="DF47" s="116"/>
      <c r="DG47" s="116"/>
      <c r="DH47" s="116"/>
      <c r="DI47" s="116"/>
      <c r="DJ47" s="116"/>
      <c r="DK47" s="116"/>
      <c r="DL47" s="116"/>
      <c r="DM47" s="116"/>
      <c r="DN47" s="116"/>
      <c r="DO47" s="116"/>
      <c r="DP47" s="116"/>
      <c r="DQ47" s="116"/>
      <c r="DR47" s="116"/>
      <c r="DS47" s="1166"/>
      <c r="DT47" s="1166"/>
      <c r="DU47" s="1166"/>
      <c r="DV47" s="1166"/>
      <c r="DY47" s="1166"/>
      <c r="DZ47" s="1166"/>
    </row>
    <row r="48" spans="1:130">
      <c r="A48" s="124"/>
      <c r="B48" s="124"/>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82"/>
      <c r="AR48" s="682"/>
      <c r="AS48" s="682"/>
      <c r="AT48" s="682"/>
      <c r="AU48" s="682"/>
      <c r="AV48" s="682"/>
      <c r="AW48" s="682"/>
      <c r="AX48" s="682"/>
      <c r="AY48" s="682"/>
      <c r="AZ48" s="682"/>
      <c r="BA48" s="682"/>
      <c r="BB48" s="682"/>
      <c r="BC48" s="682"/>
      <c r="BD48" s="682"/>
      <c r="BE48" s="682"/>
      <c r="BF48" s="682"/>
      <c r="BG48" s="682"/>
      <c r="BH48" s="682"/>
      <c r="BI48" s="682"/>
      <c r="BJ48" s="682"/>
      <c r="BK48" s="682"/>
      <c r="BL48" s="682"/>
      <c r="BM48" s="682"/>
      <c r="BN48" s="682"/>
      <c r="BO48" s="682"/>
      <c r="BP48" s="682"/>
      <c r="BQ48" s="682"/>
      <c r="BR48" s="682"/>
      <c r="BS48" s="682"/>
      <c r="BT48" s="682">
        <f>1468746-BT49</f>
        <v>-1189</v>
      </c>
      <c r="BU48" s="682"/>
      <c r="BV48" s="682"/>
      <c r="BW48" s="682"/>
      <c r="BX48" s="682"/>
      <c r="BY48" s="682"/>
      <c r="BZ48" s="682"/>
      <c r="CA48" s="682"/>
      <c r="CB48" s="682"/>
      <c r="CC48" s="682"/>
      <c r="CD48" s="682"/>
      <c r="CE48" s="682"/>
      <c r="CF48" s="682"/>
      <c r="CG48" s="682"/>
      <c r="CH48" s="682"/>
      <c r="CI48" s="682"/>
      <c r="CJ48" s="682"/>
      <c r="CK48" s="682"/>
      <c r="CL48" s="159"/>
      <c r="CM48" s="159"/>
      <c r="CN48" s="159"/>
      <c r="CO48" s="159"/>
      <c r="CP48" s="159"/>
      <c r="CQ48" s="159"/>
      <c r="CR48" s="159"/>
      <c r="CS48" s="159"/>
      <c r="CT48" s="390"/>
      <c r="CU48" s="702"/>
      <c r="CV48" s="6"/>
      <c r="CW48" s="6"/>
      <c r="CX48" s="6"/>
      <c r="CY48" s="129"/>
      <c r="CZ48" s="129"/>
      <c r="DA48" s="129"/>
      <c r="DB48" s="129"/>
      <c r="DC48" s="6"/>
      <c r="DD48" s="129"/>
      <c r="DE48" s="129"/>
      <c r="DF48" s="682"/>
      <c r="DG48" s="682"/>
      <c r="DH48" s="682"/>
      <c r="DI48" s="682"/>
      <c r="DJ48" s="682"/>
      <c r="DK48" s="682"/>
      <c r="DL48" s="682"/>
      <c r="DM48" s="682"/>
      <c r="DN48" s="682"/>
      <c r="DO48" s="682"/>
      <c r="DP48" s="682"/>
      <c r="DQ48" s="682"/>
      <c r="DR48" s="682"/>
      <c r="DS48" s="1547"/>
      <c r="DT48" s="1547"/>
      <c r="DU48" s="1547"/>
      <c r="DV48" s="1547"/>
      <c r="DY48" s="1547"/>
      <c r="DZ48" s="1547"/>
    </row>
    <row r="49" spans="1:130" s="668" customFormat="1">
      <c r="A49" s="664" t="s">
        <v>97</v>
      </c>
      <c r="B49" s="665"/>
      <c r="C49" s="666">
        <v>84726</v>
      </c>
      <c r="D49" s="666">
        <v>110041</v>
      </c>
      <c r="E49" s="666">
        <v>94477</v>
      </c>
      <c r="F49" s="666">
        <v>146769</v>
      </c>
      <c r="G49" s="666">
        <v>110639</v>
      </c>
      <c r="H49" s="666">
        <v>153078</v>
      </c>
      <c r="I49" s="666">
        <v>132608</v>
      </c>
      <c r="J49" s="666">
        <v>212181</v>
      </c>
      <c r="K49" s="666">
        <v>142142</v>
      </c>
      <c r="L49" s="666">
        <v>192159</v>
      </c>
      <c r="M49" s="666">
        <v>173015</v>
      </c>
      <c r="N49" s="666">
        <v>272139</v>
      </c>
      <c r="O49" s="666">
        <v>189706</v>
      </c>
      <c r="P49" s="666">
        <v>258725</v>
      </c>
      <c r="Q49" s="666">
        <v>238636</v>
      </c>
      <c r="R49" s="666">
        <v>337160</v>
      </c>
      <c r="S49" s="666">
        <v>240385</v>
      </c>
      <c r="T49" s="666">
        <v>304854</v>
      </c>
      <c r="U49" s="666">
        <v>273561</v>
      </c>
      <c r="V49" s="666">
        <v>341671</v>
      </c>
      <c r="W49" s="666">
        <v>232116</v>
      </c>
      <c r="X49" s="666">
        <v>325851</v>
      </c>
      <c r="Y49" s="666">
        <v>295445</v>
      </c>
      <c r="Z49" s="666">
        <v>425305</v>
      </c>
      <c r="AA49" s="666">
        <v>292905</v>
      </c>
      <c r="AB49" s="666">
        <v>405062</v>
      </c>
      <c r="AC49" s="666">
        <v>353893</v>
      </c>
      <c r="AD49" s="666">
        <v>490020</v>
      </c>
      <c r="AE49" s="666">
        <v>349220</v>
      </c>
      <c r="AF49" s="666">
        <v>485196</v>
      </c>
      <c r="AG49" s="666">
        <v>409133</v>
      </c>
      <c r="AH49" s="666">
        <v>598865</v>
      </c>
      <c r="AI49" s="666">
        <v>414434</v>
      </c>
      <c r="AJ49" s="666">
        <v>562190</v>
      </c>
      <c r="AK49" s="666">
        <v>510455</v>
      </c>
      <c r="AL49" s="666">
        <v>741182</v>
      </c>
      <c r="AM49" s="666">
        <v>475848</v>
      </c>
      <c r="AN49" s="666">
        <v>616110</v>
      </c>
      <c r="AO49" s="666">
        <v>563885</v>
      </c>
      <c r="AP49" s="666">
        <v>846897</v>
      </c>
      <c r="AQ49" s="666">
        <f t="shared" ref="AQ49:BP49" si="399">AQ26+AQ38</f>
        <v>542358</v>
      </c>
      <c r="AR49" s="666">
        <f t="shared" si="399"/>
        <v>742814</v>
      </c>
      <c r="AS49" s="666">
        <f t="shared" si="399"/>
        <v>696692</v>
      </c>
      <c r="AT49" s="666">
        <f t="shared" si="399"/>
        <v>1069416</v>
      </c>
      <c r="AU49" s="666">
        <f t="shared" si="399"/>
        <v>701772</v>
      </c>
      <c r="AV49" s="666">
        <f t="shared" si="399"/>
        <v>917784</v>
      </c>
      <c r="AW49" s="666">
        <f t="shared" si="399"/>
        <v>823908</v>
      </c>
      <c r="AX49" s="666">
        <f t="shared" si="399"/>
        <v>1190382</v>
      </c>
      <c r="AY49" s="666">
        <f t="shared" si="399"/>
        <v>758945</v>
      </c>
      <c r="AZ49" s="666">
        <f t="shared" si="399"/>
        <v>1010505</v>
      </c>
      <c r="BA49" s="666">
        <f t="shared" si="399"/>
        <v>851613</v>
      </c>
      <c r="BB49" s="666">
        <f t="shared" si="399"/>
        <v>1255434</v>
      </c>
      <c r="BC49" s="666">
        <f t="shared" si="399"/>
        <v>845768</v>
      </c>
      <c r="BD49" s="666">
        <f t="shared" si="399"/>
        <v>1119093</v>
      </c>
      <c r="BE49" s="666">
        <f t="shared" si="399"/>
        <v>1043824</v>
      </c>
      <c r="BF49" s="666">
        <f t="shared" si="399"/>
        <v>1490707</v>
      </c>
      <c r="BG49" s="666">
        <f t="shared" si="399"/>
        <v>1008863</v>
      </c>
      <c r="BH49" s="666">
        <f t="shared" si="399"/>
        <v>1255073</v>
      </c>
      <c r="BI49" s="666">
        <f t="shared" si="399"/>
        <v>1154107</v>
      </c>
      <c r="BJ49" s="666">
        <f t="shared" si="399"/>
        <v>1723981</v>
      </c>
      <c r="BK49" s="666">
        <f t="shared" si="399"/>
        <v>1148086</v>
      </c>
      <c r="BL49" s="666">
        <f t="shared" si="399"/>
        <v>1406512</v>
      </c>
      <c r="BM49" s="666">
        <f t="shared" si="399"/>
        <v>1336558</v>
      </c>
      <c r="BN49" s="666">
        <f t="shared" si="399"/>
        <v>1966760</v>
      </c>
      <c r="BO49" s="666">
        <f t="shared" si="399"/>
        <v>1167087</v>
      </c>
      <c r="BP49" s="666">
        <f t="shared" si="399"/>
        <v>503863</v>
      </c>
      <c r="BQ49" s="666">
        <f t="shared" ref="BQ49:BY49" si="400">BQ26+BQ38</f>
        <v>920678</v>
      </c>
      <c r="BR49" s="666">
        <f t="shared" si="400"/>
        <v>1721982</v>
      </c>
      <c r="BS49" s="666">
        <f t="shared" si="400"/>
        <v>923994</v>
      </c>
      <c r="BT49" s="666">
        <f t="shared" si="400"/>
        <v>1469935</v>
      </c>
      <c r="BU49" s="666">
        <f t="shared" si="400"/>
        <v>1517354.3394700023</v>
      </c>
      <c r="BV49" s="666">
        <f t="shared" si="400"/>
        <v>2261381.8135499991</v>
      </c>
      <c r="BW49" s="666">
        <f t="shared" si="400"/>
        <v>1594640</v>
      </c>
      <c r="BX49" s="666">
        <f t="shared" si="400"/>
        <v>2204921</v>
      </c>
      <c r="BY49" s="666">
        <f t="shared" si="400"/>
        <v>1776204</v>
      </c>
      <c r="BZ49" s="666">
        <f t="shared" ref="BZ49:CA49" si="401">BZ26+BZ38</f>
        <v>2409050</v>
      </c>
      <c r="CA49" s="666">
        <f t="shared" si="401"/>
        <v>1702465</v>
      </c>
      <c r="CB49" s="666">
        <f t="shared" ref="CB49:CC49" si="402">CB26+CB38</f>
        <v>2097786</v>
      </c>
      <c r="CC49" s="666">
        <f t="shared" si="402"/>
        <v>1847681</v>
      </c>
      <c r="CD49" s="666">
        <f t="shared" ref="CD49:CE49" si="403">CD26+CD38</f>
        <v>2572670</v>
      </c>
      <c r="CE49" s="666">
        <f t="shared" si="403"/>
        <v>1769515</v>
      </c>
      <c r="CF49" s="666">
        <f t="shared" ref="CF49:CH49" si="404">CF26+CF38</f>
        <v>2157569</v>
      </c>
      <c r="CG49" s="666">
        <f t="shared" si="404"/>
        <v>2042727</v>
      </c>
      <c r="CH49" s="666">
        <f t="shared" si="404"/>
        <v>2772138</v>
      </c>
      <c r="CI49" s="666">
        <f t="shared" ref="CI49:CJ49" si="405">CI26+CI38</f>
        <v>2021470</v>
      </c>
      <c r="CJ49" s="666">
        <f t="shared" si="405"/>
        <v>2603800</v>
      </c>
      <c r="CK49" s="666">
        <f t="shared" ref="CK49" si="406">CK26+CK38</f>
        <v>2186090</v>
      </c>
      <c r="CL49" s="667">
        <f t="shared" ref="CL49:CP49" si="407">CL26+CL38</f>
        <v>2879577.079545795</v>
      </c>
      <c r="CM49" s="667">
        <f t="shared" si="407"/>
        <v>2123836.2820964418</v>
      </c>
      <c r="CN49" s="667">
        <f t="shared" si="407"/>
        <v>2714775.0128736552</v>
      </c>
      <c r="CO49" s="667">
        <f t="shared" si="407"/>
        <v>2352982.1865310697</v>
      </c>
      <c r="CP49" s="667">
        <f t="shared" si="407"/>
        <v>3137634.3180090697</v>
      </c>
      <c r="CQ49" s="667"/>
      <c r="CR49" s="667"/>
      <c r="CS49" s="667"/>
      <c r="CT49" s="667">
        <v>2879577.079545795</v>
      </c>
      <c r="CU49" s="1134">
        <f>+CK49/CT49-1</f>
        <v>-0.24082949002191012</v>
      </c>
      <c r="CV49" s="674">
        <v>436013</v>
      </c>
      <c r="CW49" s="666">
        <v>608506</v>
      </c>
      <c r="CX49" s="666">
        <v>779455</v>
      </c>
      <c r="CY49" s="666">
        <v>1024227</v>
      </c>
      <c r="CZ49" s="666">
        <v>1160471</v>
      </c>
      <c r="DA49" s="666">
        <v>1278717</v>
      </c>
      <c r="DB49" s="666">
        <v>1541880</v>
      </c>
      <c r="DC49" s="666">
        <v>1842414</v>
      </c>
      <c r="DD49" s="666">
        <v>2228261</v>
      </c>
      <c r="DE49" s="666">
        <v>2502740</v>
      </c>
      <c r="DF49" s="674">
        <f>+SUM(AQ49:AT49)</f>
        <v>3051280</v>
      </c>
      <c r="DG49" s="674">
        <f>+SUM(AU49:AX49)</f>
        <v>3633846</v>
      </c>
      <c r="DH49" s="1248">
        <f>+SUM(AY49:BB49)</f>
        <v>3876497</v>
      </c>
      <c r="DI49" s="1248">
        <f>+SUM(BC49:BF49)</f>
        <v>4499392</v>
      </c>
      <c r="DJ49" s="1248">
        <f>+SUM(BG49:BJ49)</f>
        <v>5142024</v>
      </c>
      <c r="DK49" s="1248">
        <f>+SUM(BK49:BN49)</f>
        <v>5857916</v>
      </c>
      <c r="DL49" s="1248">
        <f>+SUM(BO49:BR49)</f>
        <v>4313610</v>
      </c>
      <c r="DM49" s="1248">
        <f t="shared" ref="DM49:DS49" si="408">DM26+DM38</f>
        <v>6172665.1530200001</v>
      </c>
      <c r="DN49" s="1248">
        <f t="shared" si="408"/>
        <v>7984815</v>
      </c>
      <c r="DO49" s="1248">
        <f t="shared" si="408"/>
        <v>8220602</v>
      </c>
      <c r="DP49" s="1248">
        <f t="shared" ref="DP49:DQ49" si="409">DP26+DP38</f>
        <v>8741949</v>
      </c>
      <c r="DQ49" s="1248">
        <f t="shared" si="409"/>
        <v>9690937.0795457959</v>
      </c>
      <c r="DR49" s="1248">
        <f t="shared" ref="DR49" si="410">DR26+DR38</f>
        <v>10329227.799510237</v>
      </c>
      <c r="DS49" s="1549">
        <f t="shared" si="408"/>
        <v>11180305.26006788</v>
      </c>
      <c r="DT49" s="1549">
        <f t="shared" ref="DT49:DV49" si="411">DT26+DT38</f>
        <v>11879418.864874519</v>
      </c>
      <c r="DU49" s="1549">
        <f t="shared" si="411"/>
        <v>12626680.549396669</v>
      </c>
      <c r="DV49" s="1549">
        <f t="shared" si="411"/>
        <v>13424457.032286188</v>
      </c>
      <c r="DY49" s="1549">
        <v>10425582.53971591</v>
      </c>
      <c r="DZ49" s="1549">
        <v>11190067.951987118</v>
      </c>
    </row>
    <row r="50" spans="1:130" s="656" customFormat="1" ht="12">
      <c r="A50" s="1416" t="s">
        <v>189</v>
      </c>
      <c r="B50" s="1417"/>
      <c r="C50" s="1418">
        <v>0.48043412927480678</v>
      </c>
      <c r="D50" s="1418">
        <v>0.45952085656180969</v>
      </c>
      <c r="E50" s="1418">
        <v>0.44998690195518087</v>
      </c>
      <c r="F50" s="1418">
        <v>0.44742963231685196</v>
      </c>
      <c r="G50" s="1418">
        <v>0.52634107819070997</v>
      </c>
      <c r="H50" s="1418">
        <v>0.51753656409112114</v>
      </c>
      <c r="I50" s="1418">
        <v>0.48776791592948021</v>
      </c>
      <c r="J50" s="1418">
        <v>0.50010252784161213</v>
      </c>
      <c r="K50" s="1418">
        <v>0.53286198416506714</v>
      </c>
      <c r="L50" s="1418">
        <v>0.5045397258835268</v>
      </c>
      <c r="M50" s="1418">
        <v>0.49890855193533784</v>
      </c>
      <c r="N50" s="1418">
        <v>0.50692852046889292</v>
      </c>
      <c r="O50" s="1418">
        <v>0.54583015637812715</v>
      </c>
      <c r="P50" s="1418">
        <v>0.52707223064261155</v>
      </c>
      <c r="Q50" s="1418">
        <v>0.5374539426862337</v>
      </c>
      <c r="R50" s="1418">
        <v>0.51990747879722432</v>
      </c>
      <c r="S50" s="1418">
        <v>0.55670836064169038</v>
      </c>
      <c r="T50" s="1418">
        <v>0.53828130103982186</v>
      </c>
      <c r="U50" s="1418">
        <v>0.53495707608971976</v>
      </c>
      <c r="V50" s="1418">
        <v>0.50731188000469196</v>
      </c>
      <c r="W50" s="1418">
        <v>0.55379902370125067</v>
      </c>
      <c r="X50" s="1418">
        <v>0.53120893882435027</v>
      </c>
      <c r="Y50" s="1418">
        <v>0.53492506939025297</v>
      </c>
      <c r="Z50" s="1418">
        <v>0.54612471734236978</v>
      </c>
      <c r="AA50" s="1418">
        <v>0.57921276658855636</v>
      </c>
      <c r="AB50" s="1418">
        <v>0.57699660122674912</v>
      </c>
      <c r="AC50" s="1418">
        <v>0.54963168202425017</v>
      </c>
      <c r="AD50" s="1418">
        <v>0.54461673883470108</v>
      </c>
      <c r="AE50" s="1418">
        <v>0.5832318748361216</v>
      </c>
      <c r="AF50" s="1418">
        <v>0.58008725291988827</v>
      </c>
      <c r="AG50" s="1418">
        <v>0.55145015244190088</v>
      </c>
      <c r="AH50" s="1418">
        <v>0.56420370932154051</v>
      </c>
      <c r="AI50" s="1418">
        <v>0.58430568636186764</v>
      </c>
      <c r="AJ50" s="1418">
        <v>0.58840090679404766</v>
      </c>
      <c r="AK50" s="1418">
        <v>0.56400252801477913</v>
      </c>
      <c r="AL50" s="1418">
        <v>0.57335076427996778</v>
      </c>
      <c r="AM50" s="1418">
        <v>0.57066173534184084</v>
      </c>
      <c r="AN50" s="1418">
        <v>0.58101550166823523</v>
      </c>
      <c r="AO50" s="1418">
        <v>0.55205177030354358</v>
      </c>
      <c r="AP50" s="1418">
        <v>0.58218303255946968</v>
      </c>
      <c r="AQ50" s="1419">
        <f t="shared" ref="AQ50:BP50" si="412">AQ49/AQ26</f>
        <v>0.57782858555274053</v>
      </c>
      <c r="AR50" s="1419">
        <f t="shared" si="412"/>
        <v>0.59177615540762318</v>
      </c>
      <c r="AS50" s="1419">
        <f t="shared" si="412"/>
        <v>0.57874253511579554</v>
      </c>
      <c r="AT50" s="1419">
        <f t="shared" si="412"/>
        <v>0.58810855043365073</v>
      </c>
      <c r="AU50" s="1419">
        <f t="shared" si="412"/>
        <v>0.59778848619230684</v>
      </c>
      <c r="AV50" s="1419">
        <f t="shared" si="412"/>
        <v>0.59735967367894194</v>
      </c>
      <c r="AW50" s="1419">
        <f t="shared" si="412"/>
        <v>0.57996980159861466</v>
      </c>
      <c r="AX50" s="1419">
        <f t="shared" si="412"/>
        <v>0.59098173260948894</v>
      </c>
      <c r="AY50" s="1419">
        <f t="shared" si="412"/>
        <v>0.60843663743447207</v>
      </c>
      <c r="AZ50" s="1419">
        <f t="shared" si="412"/>
        <v>0.61332681872807393</v>
      </c>
      <c r="BA50" s="1419">
        <f t="shared" si="412"/>
        <v>0.58901363854231725</v>
      </c>
      <c r="BB50" s="1419">
        <f t="shared" si="412"/>
        <v>0.59476634947285434</v>
      </c>
      <c r="BC50" s="1419">
        <f t="shared" si="412"/>
        <v>0.59757907023409484</v>
      </c>
      <c r="BD50" s="1419">
        <f t="shared" si="412"/>
        <v>0.6111481859308886</v>
      </c>
      <c r="BE50" s="1419">
        <f t="shared" si="412"/>
        <v>0.59770828406466647</v>
      </c>
      <c r="BF50" s="1419">
        <f t="shared" si="412"/>
        <v>0.60808648844449376</v>
      </c>
      <c r="BG50" s="1419">
        <f t="shared" si="412"/>
        <v>0.61958625179253013</v>
      </c>
      <c r="BH50" s="1419">
        <f t="shared" si="412"/>
        <v>0.62129343293911132</v>
      </c>
      <c r="BI50" s="1419">
        <f t="shared" si="412"/>
        <v>0.59389395704599623</v>
      </c>
      <c r="BJ50" s="1419">
        <f t="shared" si="412"/>
        <v>0.60813384453825237</v>
      </c>
      <c r="BK50" s="1419">
        <f t="shared" si="412"/>
        <v>0.60677325979313124</v>
      </c>
      <c r="BL50" s="1419">
        <f t="shared" si="412"/>
        <v>0.61366036010408354</v>
      </c>
      <c r="BM50" s="1419">
        <f t="shared" si="412"/>
        <v>0.6004964607515203</v>
      </c>
      <c r="BN50" s="1419">
        <f t="shared" si="412"/>
        <v>0.61875798513855795</v>
      </c>
      <c r="BO50" s="1419">
        <f t="shared" si="412"/>
        <v>0.62619992584886153</v>
      </c>
      <c r="BP50" s="1419">
        <f t="shared" si="412"/>
        <v>0.6232025488988332</v>
      </c>
      <c r="BQ50" s="1419">
        <f t="shared" ref="BQ50:BY50" si="413">BQ49/BQ26</f>
        <v>0.51433404523588588</v>
      </c>
      <c r="BR50" s="1419">
        <f t="shared" si="413"/>
        <v>0.5600170933833386</v>
      </c>
      <c r="BS50" s="1419">
        <f t="shared" si="413"/>
        <v>0.58429082189511283</v>
      </c>
      <c r="BT50" s="1419">
        <f t="shared" si="413"/>
        <v>0.59026588437585459</v>
      </c>
      <c r="BU50" s="1419">
        <f t="shared" si="413"/>
        <v>0.57731632384735032</v>
      </c>
      <c r="BV50" s="1419">
        <f t="shared" si="413"/>
        <v>0.58409794514256752</v>
      </c>
      <c r="BW50" s="1419">
        <f t="shared" si="413"/>
        <v>0.61026611313175849</v>
      </c>
      <c r="BX50" s="1419">
        <f t="shared" si="413"/>
        <v>0.60802981079805873</v>
      </c>
      <c r="BY50" s="1419">
        <f t="shared" si="413"/>
        <v>0.58860855134091894</v>
      </c>
      <c r="BZ50" s="1419">
        <f t="shared" ref="BZ50:CE50" si="414">BZ49/BZ26</f>
        <v>0.60014040353310694</v>
      </c>
      <c r="CA50" s="1419">
        <f t="shared" si="414"/>
        <v>0.61343635192260848</v>
      </c>
      <c r="CB50" s="1419">
        <f t="shared" si="414"/>
        <v>0.59866903837608865</v>
      </c>
      <c r="CC50" s="1419">
        <f t="shared" si="414"/>
        <v>0.59658499445932578</v>
      </c>
      <c r="CD50" s="1419">
        <f t="shared" si="414"/>
        <v>0.60230445537716404</v>
      </c>
      <c r="CE50" s="1419">
        <f t="shared" si="414"/>
        <v>0.60844686957684846</v>
      </c>
      <c r="CF50" s="1419">
        <f t="shared" ref="CF50:CH50" si="415">CF49/CF26</f>
        <v>0.61287766046442005</v>
      </c>
      <c r="CG50" s="1419">
        <f t="shared" si="415"/>
        <v>0.60248387484003141</v>
      </c>
      <c r="CH50" s="1419">
        <f t="shared" si="415"/>
        <v>0.60039153455425642</v>
      </c>
      <c r="CI50" s="1419">
        <f t="shared" ref="CI50:CJ50" si="416">CI49/CI26</f>
        <v>0.62054423288973148</v>
      </c>
      <c r="CJ50" s="1419">
        <f t="shared" si="416"/>
        <v>0.62477714810035401</v>
      </c>
      <c r="CK50" s="1419">
        <f t="shared" ref="CK50" si="417">CK49/CK26</f>
        <v>0.61347191727618455</v>
      </c>
      <c r="CL50" s="1420">
        <f t="shared" ref="CL50:CP50" si="418">CL49/CL26</f>
        <v>0.59645526030958873</v>
      </c>
      <c r="CM50" s="1420">
        <f t="shared" si="418"/>
        <v>0.61843088398655155</v>
      </c>
      <c r="CN50" s="1420">
        <f t="shared" si="418"/>
        <v>0.62321925681124257</v>
      </c>
      <c r="CO50" s="1420">
        <f t="shared" si="418"/>
        <v>0.61264270376406038</v>
      </c>
      <c r="CP50" s="1420">
        <f t="shared" si="418"/>
        <v>0.59762392922653984</v>
      </c>
      <c r="CQ50" s="1420"/>
      <c r="CR50" s="1420"/>
      <c r="CS50" s="1420"/>
      <c r="CT50" s="1420">
        <v>0.59645526030958873</v>
      </c>
      <c r="CU50" s="1564">
        <f>+CK50-CT50</f>
        <v>1.7016656966595822E-2</v>
      </c>
      <c r="CV50" s="1418">
        <v>0.45713060544933759</v>
      </c>
      <c r="CW50" s="1418">
        <v>0.50619068851237137</v>
      </c>
      <c r="CX50" s="1418">
        <v>0.50903582591341123</v>
      </c>
      <c r="CY50" s="1418">
        <v>0.53042949570131426</v>
      </c>
      <c r="CZ50" s="1418">
        <v>0.53159288999073295</v>
      </c>
      <c r="DA50" s="1418">
        <v>0.54099756814524114</v>
      </c>
      <c r="DB50" s="1418">
        <v>0.56041097095304171</v>
      </c>
      <c r="DC50" s="1418">
        <v>0.56890230233234584</v>
      </c>
      <c r="DD50" s="1418">
        <v>0.5768948569168012</v>
      </c>
      <c r="DE50" s="1418">
        <v>0.57265932360146088</v>
      </c>
      <c r="DF50" s="1419">
        <f t="shared" ref="DF50:DM50" si="419">DF49/DF26</f>
        <v>0.58497972793174291</v>
      </c>
      <c r="DG50" s="1419">
        <f t="shared" si="419"/>
        <v>0.59133098721961441</v>
      </c>
      <c r="DH50" s="1419">
        <f t="shared" si="419"/>
        <v>0.60086009938650686</v>
      </c>
      <c r="DI50" s="1419">
        <f t="shared" si="419"/>
        <v>0.60440726165840863</v>
      </c>
      <c r="DJ50" s="1419">
        <f t="shared" si="419"/>
        <v>0.61021764446408078</v>
      </c>
      <c r="DK50" s="1419">
        <f t="shared" si="419"/>
        <v>0.6109354423458172</v>
      </c>
      <c r="DL50" s="1419">
        <f t="shared" si="419"/>
        <v>0.57231086427549827</v>
      </c>
      <c r="DM50" s="1419">
        <f t="shared" si="419"/>
        <v>0.58389371097997156</v>
      </c>
      <c r="DN50" s="1419">
        <f t="shared" ref="DN50:DS50" si="420">DN49/DN26</f>
        <v>0.60166773954635533</v>
      </c>
      <c r="DO50" s="1419">
        <f t="shared" si="420"/>
        <v>0.60233682245458608</v>
      </c>
      <c r="DP50" s="1419">
        <f t="shared" si="420"/>
        <v>0.60555052428014089</v>
      </c>
      <c r="DQ50" s="1419">
        <f t="shared" si="420"/>
        <v>0.6127132498527309</v>
      </c>
      <c r="DR50" s="1419">
        <f t="shared" ref="DR50" si="421">DR49/DR26</f>
        <v>0.61187846041160576</v>
      </c>
      <c r="DS50" s="1420">
        <f t="shared" si="420"/>
        <v>0.61121702569769332</v>
      </c>
      <c r="DT50" s="1420">
        <f t="shared" ref="DT50:DV50" si="422">DT49/DT26</f>
        <v>0.60794805847165279</v>
      </c>
      <c r="DU50" s="1420">
        <f t="shared" si="422"/>
        <v>0.60490798621959996</v>
      </c>
      <c r="DV50" s="1420">
        <f t="shared" si="422"/>
        <v>0.60206957453462562</v>
      </c>
      <c r="DY50" s="1420">
        <v>0.60701051348593049</v>
      </c>
      <c r="DZ50" s="1420">
        <v>0.60367850718191784</v>
      </c>
    </row>
    <row r="51" spans="1:130">
      <c r="A51" s="40"/>
      <c r="B51" s="40"/>
      <c r="C51" s="95"/>
      <c r="D51" s="95"/>
      <c r="E51" s="95"/>
      <c r="F51" s="95"/>
      <c r="G51" s="95"/>
      <c r="H51" s="95"/>
      <c r="I51" s="95"/>
      <c r="J51" s="95"/>
      <c r="K51" s="95"/>
      <c r="L51" s="95"/>
      <c r="M51" s="95"/>
      <c r="N51" s="95"/>
      <c r="O51" s="95"/>
      <c r="P51" s="95"/>
      <c r="Q51" s="95"/>
      <c r="R51" s="95"/>
      <c r="S51" s="95"/>
      <c r="T51" s="95"/>
      <c r="U51" s="95"/>
      <c r="V51" s="95"/>
      <c r="W51" s="95"/>
      <c r="X51" s="95"/>
      <c r="Y51" s="95"/>
      <c r="Z51" s="95"/>
      <c r="AA51" s="95"/>
      <c r="AB51" s="95"/>
      <c r="AC51" s="95"/>
      <c r="AD51" s="95"/>
      <c r="AE51" s="95"/>
      <c r="AF51" s="95"/>
      <c r="AG51" s="95"/>
      <c r="AH51" s="95"/>
      <c r="AI51" s="11">
        <v>1.0738115257460379E-3</v>
      </c>
      <c r="AJ51" s="11">
        <v>8.3136538741593879E-3</v>
      </c>
      <c r="AK51" s="11">
        <v>1.2552375572878249E-2</v>
      </c>
      <c r="AL51" s="11">
        <v>9.1470549584272698E-3</v>
      </c>
      <c r="AM51" s="11">
        <v>-1.3643951020026801E-2</v>
      </c>
      <c r="AN51" s="11">
        <v>-7.3854051258124276E-3</v>
      </c>
      <c r="AO51" s="11">
        <v>-1.1950757711235549E-2</v>
      </c>
      <c r="AP51" s="11">
        <v>8.8322682795018981E-3</v>
      </c>
      <c r="AQ51" s="1219">
        <f t="shared" ref="AQ51:BD51" si="423">+AQ50-AM50</f>
        <v>7.166850210899689E-3</v>
      </c>
      <c r="AR51" s="1219">
        <f t="shared" si="423"/>
        <v>1.0760653739387949E-2</v>
      </c>
      <c r="AS51" s="1219">
        <f t="shared" si="423"/>
        <v>2.6690764812251966E-2</v>
      </c>
      <c r="AT51" s="1219">
        <f t="shared" si="423"/>
        <v>5.9255178741810521E-3</v>
      </c>
      <c r="AU51" s="1219">
        <f t="shared" si="423"/>
        <v>1.9959900639566319E-2</v>
      </c>
      <c r="AV51" s="1219">
        <f t="shared" si="423"/>
        <v>5.5835182713187548E-3</v>
      </c>
      <c r="AW51" s="1219">
        <f t="shared" si="423"/>
        <v>1.2272664828191227E-3</v>
      </c>
      <c r="AX51" s="1219">
        <f t="shared" si="423"/>
        <v>2.873182175838207E-3</v>
      </c>
      <c r="AY51" s="1219">
        <f t="shared" si="423"/>
        <v>1.0648151242165227E-2</v>
      </c>
      <c r="AZ51" s="1219">
        <f t="shared" si="423"/>
        <v>1.5967145049131992E-2</v>
      </c>
      <c r="BA51" s="1219">
        <f t="shared" si="423"/>
        <v>9.0438369437025878E-3</v>
      </c>
      <c r="BB51" s="1219">
        <f t="shared" si="423"/>
        <v>3.7846168633653976E-3</v>
      </c>
      <c r="BC51" s="1219">
        <f t="shared" si="423"/>
        <v>-1.0857567200377227E-2</v>
      </c>
      <c r="BD51" s="1219">
        <f t="shared" si="423"/>
        <v>-2.1786327971853314E-3</v>
      </c>
      <c r="BE51" s="1219">
        <f t="shared" ref="BE51:BQ51" si="424">+BE50-BA50</f>
        <v>8.6946455223492203E-3</v>
      </c>
      <c r="BF51" s="1219">
        <f t="shared" si="424"/>
        <v>1.3320138971639417E-2</v>
      </c>
      <c r="BG51" s="1219">
        <f t="shared" si="424"/>
        <v>2.2007181558435285E-2</v>
      </c>
      <c r="BH51" s="1219">
        <f t="shared" si="424"/>
        <v>1.0145247008222724E-2</v>
      </c>
      <c r="BI51" s="1219">
        <f t="shared" si="424"/>
        <v>-3.8143270186702383E-3</v>
      </c>
      <c r="BJ51" s="1219">
        <f t="shared" si="424"/>
        <v>4.7356093758610385E-5</v>
      </c>
      <c r="BK51" s="1219">
        <f t="shared" si="424"/>
        <v>-1.2812991999398893E-2</v>
      </c>
      <c r="BL51" s="1219">
        <f t="shared" si="424"/>
        <v>-7.6330728350277877E-3</v>
      </c>
      <c r="BM51" s="1219">
        <f t="shared" si="424"/>
        <v>6.6025037055240654E-3</v>
      </c>
      <c r="BN51" s="1219">
        <f t="shared" si="424"/>
        <v>1.0624140600305587E-2</v>
      </c>
      <c r="BO51" s="1219">
        <f t="shared" si="424"/>
        <v>1.9426666055730291E-2</v>
      </c>
      <c r="BP51" s="1219">
        <f t="shared" si="424"/>
        <v>9.542188794749662E-3</v>
      </c>
      <c r="BQ51" s="1219">
        <f t="shared" si="424"/>
        <v>-8.6162415515634416E-2</v>
      </c>
      <c r="BR51" s="1219">
        <f t="shared" ref="BR51:CK51" si="425">+BR50-BN50</f>
        <v>-5.8740891755219349E-2</v>
      </c>
      <c r="BS51" s="1219">
        <f t="shared" si="425"/>
        <v>-4.1909103953748694E-2</v>
      </c>
      <c r="BT51" s="1219">
        <f t="shared" si="425"/>
        <v>-3.2936664522978609E-2</v>
      </c>
      <c r="BU51" s="1219">
        <f t="shared" si="425"/>
        <v>6.2982278611464437E-2</v>
      </c>
      <c r="BV51" s="1219">
        <f t="shared" si="425"/>
        <v>2.4080851759228916E-2</v>
      </c>
      <c r="BW51" s="1219">
        <f t="shared" si="425"/>
        <v>2.5975291236645659E-2</v>
      </c>
      <c r="BX51" s="1219">
        <f t="shared" si="425"/>
        <v>1.7763926422204146E-2</v>
      </c>
      <c r="BY51" s="1219">
        <f t="shared" si="425"/>
        <v>1.1292227493568618E-2</v>
      </c>
      <c r="BZ51" s="1219">
        <f t="shared" si="425"/>
        <v>1.6042458390539416E-2</v>
      </c>
      <c r="CA51" s="1219">
        <f t="shared" si="425"/>
        <v>3.1702387908499885E-3</v>
      </c>
      <c r="CB51" s="1219">
        <f t="shared" si="425"/>
        <v>-9.3607724219700872E-3</v>
      </c>
      <c r="CC51" s="1219">
        <f t="shared" si="425"/>
        <v>7.9764431184068396E-3</v>
      </c>
      <c r="CD51" s="1219">
        <f t="shared" si="425"/>
        <v>2.1640518440571022E-3</v>
      </c>
      <c r="CE51" s="1219">
        <f t="shared" si="425"/>
        <v>-4.9894823457600213E-3</v>
      </c>
      <c r="CF51" s="1219">
        <f t="shared" si="425"/>
        <v>1.4208622088331402E-2</v>
      </c>
      <c r="CG51" s="1219">
        <f t="shared" si="425"/>
        <v>5.8988803807056289E-3</v>
      </c>
      <c r="CH51" s="1219">
        <f t="shared" si="425"/>
        <v>-1.9129208229076156E-3</v>
      </c>
      <c r="CI51" s="1219">
        <f t="shared" si="425"/>
        <v>1.2097363312883025E-2</v>
      </c>
      <c r="CJ51" s="1219">
        <f t="shared" si="425"/>
        <v>1.1899487635933959E-2</v>
      </c>
      <c r="CK51" s="1219">
        <f t="shared" si="425"/>
        <v>1.0988042436153145E-2</v>
      </c>
      <c r="CL51" s="373">
        <f t="shared" ref="CL51" si="426">+CL50-CH50</f>
        <v>-3.9362742446676924E-3</v>
      </c>
      <c r="CM51" s="373">
        <f t="shared" ref="CM51" si="427">+CM50-CI50</f>
        <v>-2.1133489031799346E-3</v>
      </c>
      <c r="CN51" s="373">
        <f t="shared" ref="CN51" si="428">+CN50-CJ50</f>
        <v>-1.5578912891114349E-3</v>
      </c>
      <c r="CO51" s="373">
        <f t="shared" ref="CO51" si="429">+CO50-CK50</f>
        <v>-8.2921351212417171E-4</v>
      </c>
      <c r="CP51" s="373">
        <f t="shared" ref="CP51" si="430">+CP50-CL50</f>
        <v>1.16866891695111E-3</v>
      </c>
      <c r="CQ51" s="373"/>
      <c r="CR51" s="373"/>
      <c r="CS51" s="373"/>
      <c r="CT51" s="373">
        <v>-3.9362742446676924E-3</v>
      </c>
      <c r="CU51" s="1106"/>
      <c r="CV51" s="95"/>
      <c r="CW51" s="95"/>
      <c r="CX51" s="95"/>
      <c r="CY51" s="95"/>
      <c r="CZ51" s="95"/>
      <c r="DA51" s="95"/>
      <c r="DB51" s="95"/>
      <c r="DC51" s="95"/>
      <c r="DD51" s="95"/>
      <c r="DE51" s="95"/>
      <c r="DF51" s="1247"/>
      <c r="DG51" s="1247"/>
      <c r="DH51" s="1247"/>
      <c r="DI51" s="1247"/>
      <c r="DJ51" s="1247"/>
      <c r="DK51" s="1247"/>
      <c r="DL51" s="1247"/>
      <c r="DM51" s="1247">
        <f t="shared" ref="DM51:DR51" si="431">+DM50-$DK$50</f>
        <v>-2.7041731365845645E-2</v>
      </c>
      <c r="DN51" s="1247">
        <f t="shared" si="431"/>
        <v>-9.2677027994618744E-3</v>
      </c>
      <c r="DO51" s="1247">
        <f t="shared" si="431"/>
        <v>-8.5986198912311185E-3</v>
      </c>
      <c r="DP51" s="1247">
        <f t="shared" si="431"/>
        <v>-5.384918065676314E-3</v>
      </c>
      <c r="DQ51" s="1247">
        <f t="shared" si="431"/>
        <v>1.7778075069136978E-3</v>
      </c>
      <c r="DR51" s="1247">
        <f t="shared" si="431"/>
        <v>9.4301806578855896E-4</v>
      </c>
      <c r="DS51" s="385"/>
      <c r="DT51" s="385"/>
      <c r="DU51" s="385"/>
      <c r="DV51" s="385"/>
      <c r="DY51" s="385"/>
      <c r="DZ51" s="385"/>
    </row>
    <row r="52" spans="1:130">
      <c r="A52" s="44"/>
      <c r="B52" s="44"/>
      <c r="C52" s="83"/>
      <c r="D52" s="83"/>
      <c r="E52" s="83"/>
      <c r="F52" s="83"/>
      <c r="G52" s="83"/>
      <c r="H52" s="83"/>
      <c r="I52" s="83"/>
      <c r="J52" s="83"/>
      <c r="K52" s="83"/>
      <c r="L52" s="83"/>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683"/>
      <c r="AR52" s="683"/>
      <c r="AS52" s="683"/>
      <c r="AT52" s="683"/>
      <c r="AU52" s="683"/>
      <c r="AV52" s="683"/>
      <c r="AW52" s="683"/>
      <c r="AX52" s="683"/>
      <c r="AY52" s="683"/>
      <c r="AZ52" s="683"/>
      <c r="BA52" s="683"/>
      <c r="BB52" s="683"/>
      <c r="BC52" s="683"/>
      <c r="BD52" s="683"/>
      <c r="BE52" s="683"/>
      <c r="BF52" s="683"/>
      <c r="BG52" s="683"/>
      <c r="BH52" s="683"/>
      <c r="BI52" s="683"/>
      <c r="BJ52" s="683"/>
      <c r="BK52" s="683"/>
      <c r="BL52" s="683"/>
      <c r="BM52" s="683"/>
      <c r="BN52" s="1293"/>
      <c r="BO52" s="1293"/>
      <c r="BP52" s="1293"/>
      <c r="BQ52" s="1293"/>
      <c r="BR52" s="1293"/>
      <c r="BS52" s="1293"/>
      <c r="BT52" s="1293"/>
      <c r="BU52" s="1293"/>
      <c r="BV52" s="1293"/>
      <c r="BW52" s="1935"/>
      <c r="BX52" s="1935"/>
      <c r="BY52" s="1935"/>
      <c r="BZ52" s="1935"/>
      <c r="CA52" s="1935"/>
      <c r="CB52" s="1935"/>
      <c r="CC52" s="1935"/>
      <c r="CD52" s="1935"/>
      <c r="CE52" s="1935"/>
      <c r="CF52" s="1935"/>
      <c r="CG52" s="1935"/>
      <c r="CH52" s="1935"/>
      <c r="CI52" s="1935"/>
      <c r="CJ52" s="1935"/>
      <c r="CK52" s="1935"/>
      <c r="CL52" s="369"/>
      <c r="CM52" s="369"/>
      <c r="CN52" s="369"/>
      <c r="CO52" s="369"/>
      <c r="CP52" s="369"/>
      <c r="CQ52" s="369"/>
      <c r="CR52" s="369"/>
      <c r="CS52" s="369"/>
      <c r="CT52" s="369"/>
      <c r="CU52" s="716"/>
      <c r="CV52" s="83"/>
      <c r="CW52" s="83"/>
      <c r="CX52" s="83"/>
      <c r="CY52" s="83"/>
      <c r="CZ52" s="83"/>
      <c r="DA52" s="83"/>
      <c r="DB52" s="83"/>
      <c r="DC52" s="83"/>
      <c r="DD52" s="83"/>
      <c r="DE52" s="83"/>
      <c r="DF52" s="683"/>
      <c r="DG52" s="683"/>
      <c r="DH52" s="683"/>
      <c r="DI52" s="683"/>
      <c r="DJ52" s="683"/>
      <c r="DK52" s="683"/>
      <c r="DL52" s="683"/>
      <c r="DM52" s="683"/>
      <c r="DN52" s="683"/>
      <c r="DO52" s="683"/>
      <c r="DP52" s="683"/>
      <c r="DQ52" s="683"/>
      <c r="DR52" s="683"/>
      <c r="DS52" s="369"/>
      <c r="DT52" s="369"/>
      <c r="DU52" s="369"/>
      <c r="DV52" s="369"/>
      <c r="DY52" s="369"/>
      <c r="DZ52" s="369"/>
    </row>
    <row r="53" spans="1:130" s="1407" customFormat="1" ht="12">
      <c r="A53" s="87" t="s">
        <v>190</v>
      </c>
      <c r="B53" s="87"/>
      <c r="C53" s="1404"/>
      <c r="D53" s="1404"/>
      <c r="E53" s="1404"/>
      <c r="F53" s="1404"/>
      <c r="G53" s="1404"/>
      <c r="H53" s="1404"/>
      <c r="I53" s="1404"/>
      <c r="J53" s="1404">
        <v>191767</v>
      </c>
      <c r="K53" s="1404">
        <v>126385</v>
      </c>
      <c r="L53" s="1404">
        <v>169008</v>
      </c>
      <c r="M53" s="1404">
        <v>146751</v>
      </c>
      <c r="N53" s="1404">
        <v>242179</v>
      </c>
      <c r="O53" s="1404">
        <v>152444</v>
      </c>
      <c r="P53" s="1404">
        <v>212208</v>
      </c>
      <c r="Q53" s="1404">
        <v>189982</v>
      </c>
      <c r="R53" s="1404">
        <v>290382</v>
      </c>
      <c r="S53" s="1404">
        <v>191971</v>
      </c>
      <c r="T53" s="1404">
        <v>248353</v>
      </c>
      <c r="U53" s="1404">
        <v>211225</v>
      </c>
      <c r="V53" s="1404">
        <v>281936</v>
      </c>
      <c r="W53" s="1404">
        <v>181999</v>
      </c>
      <c r="X53" s="1404">
        <v>275108</v>
      </c>
      <c r="Y53" s="1404">
        <v>238139</v>
      </c>
      <c r="Z53" s="1404">
        <v>364975</v>
      </c>
      <c r="AA53" s="1404">
        <v>233467</v>
      </c>
      <c r="AB53" s="1404">
        <v>339844</v>
      </c>
      <c r="AC53" s="1404">
        <v>286282</v>
      </c>
      <c r="AD53" s="1404">
        <v>420725</v>
      </c>
      <c r="AE53" s="1404">
        <v>274207</v>
      </c>
      <c r="AF53" s="1404">
        <v>403955</v>
      </c>
      <c r="AG53" s="1404">
        <v>329574</v>
      </c>
      <c r="AH53" s="1404">
        <v>513528</v>
      </c>
      <c r="AI53" s="1404">
        <v>328569</v>
      </c>
      <c r="AJ53" s="1404">
        <v>467289</v>
      </c>
      <c r="AK53" s="1404">
        <v>413066</v>
      </c>
      <c r="AL53" s="1404">
        <v>636623</v>
      </c>
      <c r="AM53" s="1404">
        <v>371912</v>
      </c>
      <c r="AN53" s="1404">
        <v>507153</v>
      </c>
      <c r="AO53" s="1404">
        <v>454430</v>
      </c>
      <c r="AP53" s="1404">
        <v>729504</v>
      </c>
      <c r="AQ53" s="1405">
        <f t="shared" ref="AQ53:BP53" si="432">+AQ30+AQ41</f>
        <v>422292</v>
      </c>
      <c r="AR53" s="1405">
        <f t="shared" si="432"/>
        <v>601976</v>
      </c>
      <c r="AS53" s="1405">
        <f t="shared" si="432"/>
        <v>545722</v>
      </c>
      <c r="AT53" s="1405">
        <f t="shared" si="432"/>
        <v>929481</v>
      </c>
      <c r="AU53" s="1405">
        <f t="shared" si="432"/>
        <v>550313</v>
      </c>
      <c r="AV53" s="1405">
        <f t="shared" si="432"/>
        <v>749243</v>
      </c>
      <c r="AW53" s="1405">
        <f t="shared" si="432"/>
        <v>662360</v>
      </c>
      <c r="AX53" s="1405">
        <f t="shared" si="432"/>
        <v>1022756</v>
      </c>
      <c r="AY53" s="1405">
        <f t="shared" si="432"/>
        <v>598566</v>
      </c>
      <c r="AZ53" s="1405">
        <f t="shared" si="432"/>
        <v>837911</v>
      </c>
      <c r="BA53" s="1405">
        <f t="shared" si="432"/>
        <v>676608</v>
      </c>
      <c r="BB53" s="1405">
        <f t="shared" si="432"/>
        <v>1072043</v>
      </c>
      <c r="BC53" s="1405">
        <f t="shared" si="432"/>
        <v>671558</v>
      </c>
      <c r="BD53" s="1405">
        <f t="shared" si="432"/>
        <v>923745</v>
      </c>
      <c r="BE53" s="1405">
        <f t="shared" si="432"/>
        <v>815760</v>
      </c>
      <c r="BF53" s="1405">
        <f t="shared" si="432"/>
        <v>1266128</v>
      </c>
      <c r="BG53" s="1405">
        <f t="shared" si="432"/>
        <v>786180</v>
      </c>
      <c r="BH53" s="1405">
        <f t="shared" si="432"/>
        <v>1022233</v>
      </c>
      <c r="BI53" s="1405">
        <f t="shared" si="432"/>
        <v>929141</v>
      </c>
      <c r="BJ53" s="1405">
        <f t="shared" si="432"/>
        <v>1490481</v>
      </c>
      <c r="BK53" s="1405">
        <f t="shared" si="432"/>
        <v>911907</v>
      </c>
      <c r="BL53" s="1405">
        <f t="shared" si="432"/>
        <v>1139637</v>
      </c>
      <c r="BM53" s="1405">
        <f t="shared" si="432"/>
        <v>1049891</v>
      </c>
      <c r="BN53" s="1405">
        <f t="shared" si="432"/>
        <v>1665952</v>
      </c>
      <c r="BO53" s="1405">
        <f t="shared" si="432"/>
        <v>858940</v>
      </c>
      <c r="BP53" s="1405">
        <f t="shared" si="432"/>
        <v>241795</v>
      </c>
      <c r="BQ53" s="1405">
        <f t="shared" ref="BQ53:BY53" si="433">+BQ30+BQ41</f>
        <v>788204</v>
      </c>
      <c r="BR53" s="1405">
        <f t="shared" si="433"/>
        <v>1570323</v>
      </c>
      <c r="BS53" s="1405">
        <f t="shared" si="433"/>
        <v>710915</v>
      </c>
      <c r="BT53" s="1405">
        <f t="shared" si="433"/>
        <v>1241921</v>
      </c>
      <c r="BU53" s="1405">
        <f t="shared" si="433"/>
        <v>1266430.3700500024</v>
      </c>
      <c r="BV53" s="1405">
        <f t="shared" si="433"/>
        <v>1961574.0335699995</v>
      </c>
      <c r="BW53" s="1405">
        <f t="shared" si="433"/>
        <v>1227897</v>
      </c>
      <c r="BX53" s="1405">
        <f t="shared" si="433"/>
        <v>1781732</v>
      </c>
      <c r="BY53" s="1405">
        <f t="shared" si="433"/>
        <v>1408317</v>
      </c>
      <c r="BZ53" s="1405">
        <f>+BZ30+BZ41</f>
        <v>1981575</v>
      </c>
      <c r="CA53" s="1405">
        <f t="shared" ref="CA53:CB53" si="434">+CA30+CA41</f>
        <v>1233528</v>
      </c>
      <c r="CB53" s="1405">
        <f t="shared" si="434"/>
        <v>1609394</v>
      </c>
      <c r="CC53" s="1405">
        <f t="shared" ref="CC53:CD53" si="435">+CC30+CC41</f>
        <v>1413054</v>
      </c>
      <c r="CD53" s="1405">
        <f t="shared" si="435"/>
        <v>2128803</v>
      </c>
      <c r="CE53" s="1405">
        <f t="shared" ref="CE53:CF53" si="436">+CE30+CE41</f>
        <v>1340221</v>
      </c>
      <c r="CF53" s="1405">
        <f t="shared" si="436"/>
        <v>1731548</v>
      </c>
      <c r="CG53" s="1405">
        <f t="shared" ref="CG53:CH53" si="437">+CG30+CG41</f>
        <v>1615918</v>
      </c>
      <c r="CH53" s="1405">
        <f t="shared" si="437"/>
        <v>2328068</v>
      </c>
      <c r="CI53" s="1405">
        <f t="shared" ref="CI53:CJ53" si="438">+CI30+CI41</f>
        <v>1517925</v>
      </c>
      <c r="CJ53" s="1405">
        <f t="shared" si="438"/>
        <v>2084289</v>
      </c>
      <c r="CK53" s="1405">
        <f t="shared" ref="CK53" si="439">+CK30+CK41</f>
        <v>1695790</v>
      </c>
      <c r="CL53" s="1406">
        <f>+CL258</f>
        <v>2418150.4062594161</v>
      </c>
      <c r="CM53" s="1406">
        <f t="shared" ref="CM53:CP53" si="440">+CM258</f>
        <v>1619262.5114742049</v>
      </c>
      <c r="CN53" s="1406">
        <f t="shared" si="440"/>
        <v>2203892.828117291</v>
      </c>
      <c r="CO53" s="1406">
        <f t="shared" si="440"/>
        <v>1838429.796894544</v>
      </c>
      <c r="CP53" s="1406">
        <f t="shared" si="440"/>
        <v>2622314.0750924344</v>
      </c>
      <c r="CQ53" s="1406"/>
      <c r="CR53" s="1406"/>
      <c r="CS53" s="1406"/>
      <c r="CT53" s="1406">
        <v>2418150.4062594161</v>
      </c>
      <c r="CU53" s="1134">
        <f>+CK53/CT53-1</f>
        <v>-0.29872434915114299</v>
      </c>
      <c r="CV53" s="1405"/>
      <c r="CW53" s="1404"/>
      <c r="CX53" s="1404">
        <v>684323</v>
      </c>
      <c r="CY53" s="1404">
        <v>845016</v>
      </c>
      <c r="CZ53" s="1404">
        <v>933485</v>
      </c>
      <c r="DA53" s="1404">
        <v>1060221</v>
      </c>
      <c r="DB53" s="1404">
        <v>1280318</v>
      </c>
      <c r="DC53" s="1404">
        <v>1521264</v>
      </c>
      <c r="DD53" s="1404">
        <v>1845547</v>
      </c>
      <c r="DE53" s="1404">
        <v>2062999</v>
      </c>
      <c r="DF53" s="1405">
        <f>+SUM(AQ53:AT53)</f>
        <v>2499471</v>
      </c>
      <c r="DG53" s="1267">
        <f>+SUM(AU53:AX53)</f>
        <v>2984672</v>
      </c>
      <c r="DH53" s="1267">
        <f>+SUM(AY53:BB53)</f>
        <v>3185128</v>
      </c>
      <c r="DI53" s="1267">
        <f>+SUM(BC53:BF53)</f>
        <v>3677191</v>
      </c>
      <c r="DJ53" s="1267">
        <f>+SUM(BG53:BJ53)</f>
        <v>4228035</v>
      </c>
      <c r="DK53" s="1267">
        <f>+SUM(BK53:BN53)</f>
        <v>4767387</v>
      </c>
      <c r="DL53" s="1267">
        <f>+SUM(BO53:BR53)</f>
        <v>3459262</v>
      </c>
      <c r="DM53" s="1267">
        <f t="shared" ref="DM53:DR53" si="441">+DM30+DM41</f>
        <v>5180840.4036200009</v>
      </c>
      <c r="DN53" s="1267">
        <f t="shared" si="441"/>
        <v>6399521</v>
      </c>
      <c r="DO53" s="1267">
        <f t="shared" si="441"/>
        <v>6384779</v>
      </c>
      <c r="DP53" s="1267">
        <f t="shared" si="441"/>
        <v>7015755</v>
      </c>
      <c r="DQ53" s="1267">
        <f t="shared" si="441"/>
        <v>7716154.4062594157</v>
      </c>
      <c r="DR53" s="1267">
        <f t="shared" si="441"/>
        <v>8283899.2115784734</v>
      </c>
      <c r="DS53" s="1406">
        <f>+DS54*DS30</f>
        <v>8990980.523759447</v>
      </c>
      <c r="DT53" s="1406">
        <f t="shared" ref="DT53:DV53" si="442">+DT54*DT30</f>
        <v>9682834.4367137812</v>
      </c>
      <c r="DU53" s="1406">
        <f t="shared" si="442"/>
        <v>10421405.899170352</v>
      </c>
      <c r="DV53" s="1406">
        <f t="shared" si="442"/>
        <v>11209636.746735534</v>
      </c>
      <c r="DY53" s="1406">
        <v>8550170.6106226612</v>
      </c>
      <c r="DZ53" s="1406">
        <v>9308431.5519525521</v>
      </c>
    </row>
    <row r="54" spans="1:130">
      <c r="A54" s="1415" t="s">
        <v>191</v>
      </c>
      <c r="B54" s="126"/>
      <c r="C54" s="125"/>
      <c r="D54" s="125"/>
      <c r="E54" s="125"/>
      <c r="F54" s="125"/>
      <c r="G54" s="125"/>
      <c r="H54" s="125"/>
      <c r="I54" s="125"/>
      <c r="J54" s="125">
        <v>0.47483416323933236</v>
      </c>
      <c r="K54" s="125">
        <v>0.50353592701049821</v>
      </c>
      <c r="L54" s="125">
        <v>0.47247343511066259</v>
      </c>
      <c r="M54" s="125">
        <v>0.45784857872913959</v>
      </c>
      <c r="N54" s="125">
        <v>0.4777846389374979</v>
      </c>
      <c r="O54" s="125">
        <v>0.49129048995626712</v>
      </c>
      <c r="P54" s="125">
        <v>0.47756410977709263</v>
      </c>
      <c r="Q54" s="125">
        <v>0.4805315688565806</v>
      </c>
      <c r="R54" s="125">
        <v>0.48258498110423087</v>
      </c>
      <c r="S54" s="125">
        <v>0.50072903597707774</v>
      </c>
      <c r="T54" s="125">
        <v>0.48711375591845379</v>
      </c>
      <c r="U54" s="125">
        <v>0.47039867805110525</v>
      </c>
      <c r="V54" s="125">
        <v>0.4593602038588499</v>
      </c>
      <c r="W54" s="125">
        <v>0.50185992516179556</v>
      </c>
      <c r="X54" s="125">
        <v>0.49592956598862153</v>
      </c>
      <c r="Y54" s="125">
        <v>0.48926304111108826</v>
      </c>
      <c r="Z54" s="125">
        <v>0.51270759055879123</v>
      </c>
      <c r="AA54" s="125">
        <v>0.53031032649927545</v>
      </c>
      <c r="AB54" s="125">
        <v>0.53944433950434056</v>
      </c>
      <c r="AC54" s="125">
        <v>0.50336181735063479</v>
      </c>
      <c r="AD54" s="125">
        <v>0.51076897302323998</v>
      </c>
      <c r="AE54" s="125">
        <v>0.52965673633928068</v>
      </c>
      <c r="AF54" s="125">
        <v>0.53885597736552782</v>
      </c>
      <c r="AG54" s="125">
        <v>0.50157668214940132</v>
      </c>
      <c r="AH54" s="125">
        <v>0.52822316854903417</v>
      </c>
      <c r="AI54" s="125">
        <v>0.53063554689203307</v>
      </c>
      <c r="AJ54" s="125">
        <v>0.54642883453446045</v>
      </c>
      <c r="AK54" s="125">
        <v>0.5142369842890222</v>
      </c>
      <c r="AL54" s="125">
        <v>0.53753761614141982</v>
      </c>
      <c r="AM54" s="125">
        <v>0.51176019737702116</v>
      </c>
      <c r="AN54" s="125">
        <v>0.53542165723714985</v>
      </c>
      <c r="AO54" s="125">
        <v>0.50107065908935533</v>
      </c>
      <c r="AP54" s="125">
        <v>0.54728370221327971</v>
      </c>
      <c r="AQ54" s="1270">
        <f t="shared" ref="AQ54:BP54" si="443">AQ53/AQ30</f>
        <v>0.51845758708238998</v>
      </c>
      <c r="AR54" s="1270">
        <f t="shared" si="443"/>
        <v>0.54173603624196587</v>
      </c>
      <c r="AS54" s="1270">
        <f t="shared" si="443"/>
        <v>0.52117915252829028</v>
      </c>
      <c r="AT54" s="1270">
        <f t="shared" si="443"/>
        <v>0.55663977932779063</v>
      </c>
      <c r="AU54" s="1270">
        <f t="shared" si="443"/>
        <v>0.54438195856147276</v>
      </c>
      <c r="AV54" s="1270">
        <f t="shared" si="443"/>
        <v>0.55326289703491149</v>
      </c>
      <c r="AW54" s="1270">
        <f t="shared" si="443"/>
        <v>0.53058200125764499</v>
      </c>
      <c r="AX54" s="1270">
        <f t="shared" si="443"/>
        <v>0.55664249801073928</v>
      </c>
      <c r="AY54" s="1270">
        <f t="shared" si="443"/>
        <v>0.55621159914807261</v>
      </c>
      <c r="AZ54" s="1270">
        <f t="shared" si="443"/>
        <v>0.57207473537026321</v>
      </c>
      <c r="BA54" s="1270">
        <f t="shared" si="443"/>
        <v>0.53681239081003285</v>
      </c>
      <c r="BB54" s="1270">
        <f t="shared" si="443"/>
        <v>0.55820919925186308</v>
      </c>
      <c r="BC54" s="1270">
        <f t="shared" si="443"/>
        <v>0.54391083062548795</v>
      </c>
      <c r="BD54" s="1270">
        <f t="shared" si="443"/>
        <v>0.56655622721496313</v>
      </c>
      <c r="BE54" s="1270">
        <f t="shared" si="443"/>
        <v>0.53931764180095176</v>
      </c>
      <c r="BF54" s="1270">
        <f t="shared" si="443"/>
        <v>0.56972355901734872</v>
      </c>
      <c r="BG54" s="1270">
        <f t="shared" si="443"/>
        <v>0.56203125636697815</v>
      </c>
      <c r="BH54" s="1270">
        <f t="shared" si="443"/>
        <v>0.57427820077290792</v>
      </c>
      <c r="BI54" s="1270">
        <f t="shared" si="443"/>
        <v>0.54289346938083893</v>
      </c>
      <c r="BJ54" s="1270">
        <f t="shared" si="443"/>
        <v>0.574339472286852</v>
      </c>
      <c r="BK54" s="1270">
        <f t="shared" si="443"/>
        <v>0.55255805329456953</v>
      </c>
      <c r="BL54" s="1270">
        <f t="shared" si="443"/>
        <v>0.56435162580086695</v>
      </c>
      <c r="BM54" s="1270">
        <f t="shared" si="443"/>
        <v>0.54344322033371917</v>
      </c>
      <c r="BN54" s="1585">
        <f t="shared" si="443"/>
        <v>0.57985324347785527</v>
      </c>
      <c r="BO54" s="1270">
        <f t="shared" si="443"/>
        <v>0.55409049271697486</v>
      </c>
      <c r="BP54" s="1270">
        <f t="shared" si="443"/>
        <v>0.44807055126047929</v>
      </c>
      <c r="BQ54" s="1270">
        <f t="shared" ref="BQ54:BY54" si="444">BQ53/BQ30</f>
        <v>0.47735309596613851</v>
      </c>
      <c r="BR54" s="1270">
        <f t="shared" si="444"/>
        <v>0.53786326560390307</v>
      </c>
      <c r="BS54" s="1270">
        <f t="shared" si="444"/>
        <v>0.52103938898445268</v>
      </c>
      <c r="BT54" s="1270">
        <f t="shared" si="444"/>
        <v>0.5498332464848501</v>
      </c>
      <c r="BU54" s="1270">
        <f t="shared" si="444"/>
        <v>0.53392527436416737</v>
      </c>
      <c r="BV54" s="1270">
        <f t="shared" si="444"/>
        <v>0.55090149390091969</v>
      </c>
      <c r="BW54" s="1270">
        <f t="shared" si="444"/>
        <v>0.55070918725458762</v>
      </c>
      <c r="BX54" s="1270">
        <f t="shared" si="444"/>
        <v>0.56104378657606324</v>
      </c>
      <c r="BY54" s="1270">
        <f t="shared" si="444"/>
        <v>0.53844606868000677</v>
      </c>
      <c r="BZ54" s="1270">
        <f t="shared" ref="BZ54" si="445">BZ53/BZ30</f>
        <v>0.55742638818250145</v>
      </c>
      <c r="CA54" s="1270">
        <f t="shared" ref="CA54:CF54" si="446">CA53/CA30</f>
        <v>0.54149628687282125</v>
      </c>
      <c r="CB54" s="1270">
        <f t="shared" si="446"/>
        <v>0.53910556512837549</v>
      </c>
      <c r="CC54" s="1270">
        <f t="shared" si="446"/>
        <v>0.53603838388896352</v>
      </c>
      <c r="CD54" s="1270">
        <f t="shared" si="446"/>
        <v>0.55919138014321768</v>
      </c>
      <c r="CE54" s="1270">
        <f t="shared" si="446"/>
        <v>0.54451841631400688</v>
      </c>
      <c r="CF54" s="1270">
        <f t="shared" si="446"/>
        <v>0.56220496421501442</v>
      </c>
      <c r="CG54" s="1270">
        <f t="shared" ref="CG54:CH54" si="447">CG53/CG30</f>
        <v>0.54666584572415244</v>
      </c>
      <c r="CH54" s="1270">
        <f t="shared" si="447"/>
        <v>0.55765059659445448</v>
      </c>
      <c r="CI54" s="1270">
        <f t="shared" ref="CI54:CL54" si="448">CI53/CI30</f>
        <v>0.55060322688295293</v>
      </c>
      <c r="CJ54" s="1270">
        <f t="shared" ref="CJ54:CK54" si="449">CJ53/CJ30</f>
        <v>0.57108987143765644</v>
      </c>
      <c r="CK54" s="1270">
        <f t="shared" si="449"/>
        <v>0.55073333573659478</v>
      </c>
      <c r="CL54" s="1270">
        <f t="shared" si="448"/>
        <v>0.55309736986616675</v>
      </c>
      <c r="CM54" s="1270">
        <f>CM53/CM30</f>
        <v>0.55155541673852237</v>
      </c>
      <c r="CN54" s="1270">
        <f t="shared" ref="CN54:CP54" si="450">CN53/CN30</f>
        <v>0.57223206357696499</v>
      </c>
      <c r="CO54" s="1270">
        <f t="shared" si="450"/>
        <v>0.5516786097230334</v>
      </c>
      <c r="CP54" s="1270">
        <f t="shared" si="450"/>
        <v>0.55309736986616687</v>
      </c>
      <c r="CQ54" s="802"/>
      <c r="CR54" s="802"/>
      <c r="CS54" s="802"/>
      <c r="CT54" s="802">
        <v>0.55309736986616675</v>
      </c>
      <c r="CU54" s="2062">
        <f>+CK54-CT54</f>
        <v>-2.3640341295719791E-3</v>
      </c>
      <c r="CV54" s="125"/>
      <c r="CW54" s="125"/>
      <c r="CX54" s="125">
        <v>0.47651287579050572</v>
      </c>
      <c r="CY54" s="125">
        <v>0.48238996008512736</v>
      </c>
      <c r="CZ54" s="125">
        <v>0.47723669633403731</v>
      </c>
      <c r="DA54" s="125">
        <v>0.50105696255474441</v>
      </c>
      <c r="DB54" s="125">
        <v>0.51988724497337047</v>
      </c>
      <c r="DC54" s="125">
        <v>0.52518663157284229</v>
      </c>
      <c r="DD54" s="125">
        <v>0.53309310332875015</v>
      </c>
      <c r="DE54" s="125">
        <v>0.52710813974938975</v>
      </c>
      <c r="DF54" s="1270">
        <f t="shared" ref="DF54:DM54" si="451">DF53/DF30</f>
        <v>0.53837602625418624</v>
      </c>
      <c r="DG54" s="1270">
        <f t="shared" si="451"/>
        <v>0.54756063822683132</v>
      </c>
      <c r="DH54" s="1270">
        <f t="shared" si="451"/>
        <v>0.55666947116602972</v>
      </c>
      <c r="DI54" s="1270">
        <f t="shared" si="451"/>
        <v>0.55714398916496832</v>
      </c>
      <c r="DJ54" s="1270">
        <f t="shared" si="451"/>
        <v>0.56483506030980435</v>
      </c>
      <c r="DK54" s="1270">
        <f t="shared" si="451"/>
        <v>0.56254391752008004</v>
      </c>
      <c r="DL54" s="1270">
        <f t="shared" si="451"/>
        <v>0.51936418063856682</v>
      </c>
      <c r="DM54" s="1270">
        <f t="shared" si="451"/>
        <v>0.54217127874834725</v>
      </c>
      <c r="DN54" s="1270">
        <f>DN53/DN30</f>
        <v>0.55283641425923657</v>
      </c>
      <c r="DO54" s="1270">
        <f>DO53/DO30</f>
        <v>0.54541205876473775</v>
      </c>
      <c r="DP54" s="1270">
        <f>DP53/DP30</f>
        <v>0.55364446671585665</v>
      </c>
      <c r="DQ54" s="1270">
        <f>DQ53/DQ30</f>
        <v>0.55681455283065173</v>
      </c>
      <c r="DR54" s="1270">
        <f>DR53/DR30</f>
        <v>0.55743364949692187</v>
      </c>
      <c r="DS54" s="802">
        <f>+DR54+DS55</f>
        <v>0.55743364949692187</v>
      </c>
      <c r="DT54" s="802">
        <f t="shared" ref="DT54:DV54" si="452">+DS54+DT55</f>
        <v>0.55743364949692187</v>
      </c>
      <c r="DU54" s="802">
        <f t="shared" si="452"/>
        <v>0.55743364949692187</v>
      </c>
      <c r="DV54" s="802">
        <f t="shared" si="452"/>
        <v>0.55743364949692187</v>
      </c>
      <c r="DY54" s="802">
        <v>0.55965204415244341</v>
      </c>
      <c r="DZ54" s="802">
        <v>0.55965204415244341</v>
      </c>
    </row>
    <row r="55" spans="1:130">
      <c r="A55" s="801" t="s">
        <v>192</v>
      </c>
      <c r="B55" s="126"/>
      <c r="C55" s="125"/>
      <c r="D55" s="125"/>
      <c r="E55" s="125"/>
      <c r="F55" s="125"/>
      <c r="G55" s="125"/>
      <c r="H55" s="125"/>
      <c r="I55" s="125"/>
      <c r="J55" s="125"/>
      <c r="K55" s="125"/>
      <c r="L55" s="125"/>
      <c r="M55" s="125"/>
      <c r="N55" s="125"/>
      <c r="O55" s="125"/>
      <c r="P55" s="125"/>
      <c r="Q55" s="125"/>
      <c r="R55" s="125"/>
      <c r="S55" s="125"/>
      <c r="T55" s="125"/>
      <c r="U55" s="125"/>
      <c r="V55" s="125"/>
      <c r="W55" s="125"/>
      <c r="X55" s="125"/>
      <c r="Y55" s="125"/>
      <c r="Z55" s="125"/>
      <c r="AA55" s="125"/>
      <c r="AB55" s="125"/>
      <c r="AC55" s="125"/>
      <c r="AD55" s="125"/>
      <c r="AE55" s="125"/>
      <c r="AF55" s="125"/>
      <c r="AG55" s="125"/>
      <c r="AH55" s="125"/>
      <c r="AI55" s="125"/>
      <c r="AJ55" s="125"/>
      <c r="AK55" s="125"/>
      <c r="AL55" s="125"/>
      <c r="AM55" s="125"/>
      <c r="AN55" s="125"/>
      <c r="AO55" s="125"/>
      <c r="AP55" s="125"/>
      <c r="AQ55" s="1271">
        <f>+AQ54-AM54</f>
        <v>6.6973897053688169E-3</v>
      </c>
      <c r="AR55" s="1271">
        <f>+AR54-AN54</f>
        <v>6.3143790048160175E-3</v>
      </c>
      <c r="AS55" s="1271">
        <f>+AS54-AO54</f>
        <v>2.0108493438934949E-2</v>
      </c>
      <c r="AT55" s="1271">
        <f>+AT54-AP54</f>
        <v>9.3560771145109189E-3</v>
      </c>
      <c r="AU55" s="1271">
        <f t="shared" ref="AU55:CK55" si="453">+AU54-AQ54</f>
        <v>2.5924371479082775E-2</v>
      </c>
      <c r="AV55" s="1271">
        <f t="shared" si="453"/>
        <v>1.1526860792945626E-2</v>
      </c>
      <c r="AW55" s="1271">
        <f t="shared" si="453"/>
        <v>9.4028487293547069E-3</v>
      </c>
      <c r="AX55" s="1271">
        <f t="shared" si="453"/>
        <v>2.7186829486547381E-6</v>
      </c>
      <c r="AY55" s="1271">
        <f t="shared" si="453"/>
        <v>1.1829640586599854E-2</v>
      </c>
      <c r="AZ55" s="1271">
        <f t="shared" si="453"/>
        <v>1.8811838335351716E-2</v>
      </c>
      <c r="BA55" s="1271">
        <f t="shared" si="453"/>
        <v>6.2303895523878605E-3</v>
      </c>
      <c r="BB55" s="1271">
        <f t="shared" si="453"/>
        <v>1.5667012411237913E-3</v>
      </c>
      <c r="BC55" s="1271">
        <f t="shared" si="453"/>
        <v>-1.230076852258466E-2</v>
      </c>
      <c r="BD55" s="1271">
        <f t="shared" si="453"/>
        <v>-5.5185081553000837E-3</v>
      </c>
      <c r="BE55" s="1271">
        <f t="shared" si="453"/>
        <v>2.5052509909189169E-3</v>
      </c>
      <c r="BF55" s="1271">
        <f t="shared" si="453"/>
        <v>1.1514359765485649E-2</v>
      </c>
      <c r="BG55" s="1271">
        <f t="shared" si="453"/>
        <v>1.8120425741490198E-2</v>
      </c>
      <c r="BH55" s="1271">
        <f t="shared" si="453"/>
        <v>7.7219735579447946E-3</v>
      </c>
      <c r="BI55" s="1271">
        <f t="shared" si="453"/>
        <v>3.5758275798871697E-3</v>
      </c>
      <c r="BJ55" s="1271">
        <f t="shared" si="453"/>
        <v>4.6159132695032801E-3</v>
      </c>
      <c r="BK55" s="1271">
        <f t="shared" si="453"/>
        <v>-9.4732030724086203E-3</v>
      </c>
      <c r="BL55" s="1271">
        <f t="shared" si="453"/>
        <v>-9.9265749720409691E-3</v>
      </c>
      <c r="BM55" s="1271">
        <f t="shared" si="453"/>
        <v>5.4975095288023468E-4</v>
      </c>
      <c r="BN55" s="1271">
        <f t="shared" si="453"/>
        <v>5.5137711910032694E-3</v>
      </c>
      <c r="BO55" s="1271">
        <f t="shared" si="453"/>
        <v>1.5324394224053295E-3</v>
      </c>
      <c r="BP55" s="1271">
        <f t="shared" si="453"/>
        <v>-0.11628107454038766</v>
      </c>
      <c r="BQ55" s="1271">
        <f t="shared" si="453"/>
        <v>-6.609012436758066E-2</v>
      </c>
      <c r="BR55" s="1271">
        <f t="shared" si="453"/>
        <v>-4.19899778739522E-2</v>
      </c>
      <c r="BS55" s="1271">
        <f t="shared" si="453"/>
        <v>-3.305110373252218E-2</v>
      </c>
      <c r="BT55" s="1271">
        <f t="shared" si="453"/>
        <v>0.10176269522437081</v>
      </c>
      <c r="BU55" s="1271">
        <f t="shared" si="453"/>
        <v>5.6572178398028861E-2</v>
      </c>
      <c r="BV55" s="1271">
        <f t="shared" si="453"/>
        <v>1.3038228297016619E-2</v>
      </c>
      <c r="BW55" s="1271">
        <f t="shared" si="453"/>
        <v>2.9669798270134939E-2</v>
      </c>
      <c r="BX55" s="1271">
        <f t="shared" si="453"/>
        <v>1.1210540091213139E-2</v>
      </c>
      <c r="BY55" s="1271">
        <f t="shared" si="453"/>
        <v>4.5207943158394048E-3</v>
      </c>
      <c r="BZ55" s="1271">
        <f t="shared" si="453"/>
        <v>6.5248942815817612E-3</v>
      </c>
      <c r="CA55" s="1271">
        <f t="shared" si="453"/>
        <v>-9.2129003817663646E-3</v>
      </c>
      <c r="CB55" s="1271">
        <f t="shared" si="453"/>
        <v>-2.1938221447687756E-2</v>
      </c>
      <c r="CC55" s="1271">
        <f t="shared" si="453"/>
        <v>-2.4076847910432519E-3</v>
      </c>
      <c r="CD55" s="1271">
        <f t="shared" si="453"/>
        <v>1.7649919607162223E-3</v>
      </c>
      <c r="CE55" s="1271">
        <f t="shared" si="453"/>
        <v>3.0221294411856281E-3</v>
      </c>
      <c r="CF55" s="1271">
        <f t="shared" si="453"/>
        <v>2.3099399086638939E-2</v>
      </c>
      <c r="CG55" s="1271">
        <f t="shared" si="453"/>
        <v>1.0627461835188923E-2</v>
      </c>
      <c r="CH55" s="1271">
        <f t="shared" si="453"/>
        <v>-1.5407835487631916E-3</v>
      </c>
      <c r="CI55" s="1271">
        <f t="shared" si="453"/>
        <v>6.084810568946053E-3</v>
      </c>
      <c r="CJ55" s="1271">
        <f t="shared" si="453"/>
        <v>8.8849072226420134E-3</v>
      </c>
      <c r="CK55" s="1271">
        <f t="shared" si="453"/>
        <v>4.0674900124423319E-3</v>
      </c>
      <c r="CL55" s="1271">
        <f t="shared" ref="CL55" si="454">+CL54-CH54</f>
        <v>-4.5532267282877292E-3</v>
      </c>
      <c r="CM55" s="1271">
        <f t="shared" ref="CM55" si="455">+CM54-CI54</f>
        <v>9.521898555694408E-4</v>
      </c>
      <c r="CN55" s="1271">
        <f t="shared" ref="CN55" si="456">+CN54-CJ54</f>
        <v>1.142192139308551E-3</v>
      </c>
      <c r="CO55" s="1271">
        <f t="shared" ref="CO55" si="457">+CO54-CK54</f>
        <v>9.4527398643862171E-4</v>
      </c>
      <c r="CP55" s="1271">
        <f t="shared" ref="CP55" si="458">+CP54-CL54</f>
        <v>0</v>
      </c>
      <c r="CQ55" s="580"/>
      <c r="CR55" s="580"/>
      <c r="CS55" s="580"/>
      <c r="CT55" s="580">
        <v>-4.5532267282877292E-3</v>
      </c>
      <c r="CU55" s="1107"/>
      <c r="CV55" s="125"/>
      <c r="CW55" s="125"/>
      <c r="CX55" s="125"/>
      <c r="CY55" s="125"/>
      <c r="CZ55" s="125"/>
      <c r="DA55" s="125"/>
      <c r="DB55" s="125"/>
      <c r="DC55" s="125"/>
      <c r="DD55" s="125"/>
      <c r="DE55" s="125"/>
      <c r="DF55" s="1270"/>
      <c r="DG55" s="1271">
        <f>+DG54-DF54</f>
        <v>9.1846119726450848E-3</v>
      </c>
      <c r="DH55" s="1271">
        <f t="shared" ref="DH55:DM55" si="459">+DH54-DG54</f>
        <v>9.1088329391983969E-3</v>
      </c>
      <c r="DI55" s="1271">
        <f t="shared" si="459"/>
        <v>4.7451799893860613E-4</v>
      </c>
      <c r="DJ55" s="1271">
        <f t="shared" si="459"/>
        <v>7.6910711448360258E-3</v>
      </c>
      <c r="DK55" s="1271">
        <f t="shared" si="459"/>
        <v>-2.2911427897243097E-3</v>
      </c>
      <c r="DL55" s="1271">
        <f t="shared" si="459"/>
        <v>-4.317973688151322E-2</v>
      </c>
      <c r="DM55" s="1271">
        <f t="shared" si="459"/>
        <v>2.2807098109780433E-2</v>
      </c>
      <c r="DN55" s="1271">
        <f>+DN54-DM54</f>
        <v>1.0665135510889323E-2</v>
      </c>
      <c r="DO55" s="1271">
        <f>+DO54-DN54</f>
        <v>-7.4243554944988244E-3</v>
      </c>
      <c r="DP55" s="1271">
        <f>+DP54-DO54</f>
        <v>8.232407951118903E-3</v>
      </c>
      <c r="DQ55" s="1271">
        <f>+DQ54-DP54</f>
        <v>3.1700861147950787E-3</v>
      </c>
      <c r="DR55" s="1271">
        <f>+DR54-DQ54</f>
        <v>6.1909666627013582E-4</v>
      </c>
      <c r="DS55" s="580">
        <v>0</v>
      </c>
      <c r="DT55" s="580">
        <v>0</v>
      </c>
      <c r="DU55" s="580">
        <v>0</v>
      </c>
      <c r="DV55" s="580">
        <v>0</v>
      </c>
      <c r="DY55" s="580">
        <v>0</v>
      </c>
      <c r="DZ55" s="580">
        <v>0</v>
      </c>
    </row>
    <row r="56" spans="1:130">
      <c r="A56" s="801"/>
      <c r="B56" s="126"/>
      <c r="C56" s="125"/>
      <c r="D56" s="125"/>
      <c r="E56" s="125"/>
      <c r="F56" s="125"/>
      <c r="G56" s="125"/>
      <c r="H56" s="125"/>
      <c r="I56" s="125"/>
      <c r="J56" s="125"/>
      <c r="K56" s="125"/>
      <c r="L56" s="125"/>
      <c r="M56" s="125"/>
      <c r="N56" s="125"/>
      <c r="O56" s="125"/>
      <c r="P56" s="125"/>
      <c r="Q56" s="125"/>
      <c r="R56" s="125"/>
      <c r="S56" s="125"/>
      <c r="T56" s="125"/>
      <c r="U56" s="125"/>
      <c r="V56" s="125"/>
      <c r="W56" s="125"/>
      <c r="X56" s="125"/>
      <c r="Y56" s="125"/>
      <c r="Z56" s="125"/>
      <c r="AA56" s="125"/>
      <c r="AB56" s="125"/>
      <c r="AC56" s="125"/>
      <c r="AD56" s="125"/>
      <c r="AE56" s="125"/>
      <c r="AF56" s="125"/>
      <c r="AG56" s="125"/>
      <c r="AH56" s="125"/>
      <c r="AI56" s="125"/>
      <c r="AJ56" s="125"/>
      <c r="AK56" s="125"/>
      <c r="AL56" s="125"/>
      <c r="AM56" s="125"/>
      <c r="AN56" s="125"/>
      <c r="AO56" s="125"/>
      <c r="AP56" s="125"/>
      <c r="AQ56" s="1271"/>
      <c r="AR56" s="1271"/>
      <c r="AS56" s="1271"/>
      <c r="AT56" s="1271"/>
      <c r="AU56" s="1271"/>
      <c r="AV56" s="1271"/>
      <c r="AW56" s="1271"/>
      <c r="AX56" s="1271"/>
      <c r="AY56" s="1271"/>
      <c r="AZ56" s="1271"/>
      <c r="BA56" s="1271"/>
      <c r="BB56" s="1271"/>
      <c r="BC56" s="1271"/>
      <c r="BD56" s="1271"/>
      <c r="BE56" s="1271"/>
      <c r="BF56" s="1271"/>
      <c r="BG56" s="1271"/>
      <c r="BH56" s="1271"/>
      <c r="BI56" s="1271"/>
      <c r="BJ56" s="1271"/>
      <c r="BK56" s="1271"/>
      <c r="BL56" s="1271"/>
      <c r="BM56" s="1271"/>
      <c r="BN56" s="1271"/>
      <c r="BO56" s="1271"/>
      <c r="BP56" s="1271"/>
      <c r="BQ56" s="1271"/>
      <c r="BR56" s="1271"/>
      <c r="BS56" s="1271"/>
      <c r="BT56" s="1271"/>
      <c r="BU56" s="1271"/>
      <c r="BV56" s="1271">
        <f>+BV54-BN54</f>
        <v>-2.8951749576935581E-2</v>
      </c>
      <c r="BW56" s="1271">
        <f>+BW54-BK54</f>
        <v>-1.8488660399819112E-3</v>
      </c>
      <c r="BX56" s="1271">
        <f>+BX54-BL54</f>
        <v>-3.3078392248037103E-3</v>
      </c>
      <c r="BY56" s="1271">
        <f>+BY54-BM54</f>
        <v>-4.997151653712395E-3</v>
      </c>
      <c r="BZ56" s="1271">
        <f>+BZ54-BN54</f>
        <v>-2.242685529535382E-2</v>
      </c>
      <c r="CA56" s="1271">
        <f>+CA54-BK54</f>
        <v>-1.1061766421748276E-2</v>
      </c>
      <c r="CB56" s="1271">
        <f>+CB54-BL54</f>
        <v>-2.5246060672491466E-2</v>
      </c>
      <c r="CC56" s="1271">
        <f>+CC54-BM54</f>
        <v>-7.404836444755647E-3</v>
      </c>
      <c r="CD56" s="1271"/>
      <c r="CE56" s="1271"/>
      <c r="CF56" s="1271"/>
      <c r="CG56" s="1271"/>
      <c r="CH56" s="1271"/>
      <c r="CI56" s="1271"/>
      <c r="CJ56" s="1271"/>
      <c r="CK56" s="1271"/>
      <c r="CL56" s="580"/>
      <c r="CM56" s="580"/>
      <c r="CN56" s="580"/>
      <c r="CO56" s="580"/>
      <c r="CP56" s="580"/>
      <c r="CQ56" s="580"/>
      <c r="CR56" s="580"/>
      <c r="CS56" s="580"/>
      <c r="CT56" s="580"/>
      <c r="CU56" s="1107"/>
      <c r="CV56" s="125"/>
      <c r="CW56" s="125"/>
      <c r="CX56" s="125"/>
      <c r="CY56" s="125"/>
      <c r="CZ56" s="125"/>
      <c r="DA56" s="125"/>
      <c r="DB56" s="125"/>
      <c r="DC56" s="125"/>
      <c r="DD56" s="125"/>
      <c r="DE56" s="125"/>
      <c r="DF56" s="1270"/>
      <c r="DG56" s="1271"/>
      <c r="DH56" s="1271"/>
      <c r="DI56" s="1271"/>
      <c r="DJ56" s="1271"/>
      <c r="DK56" s="1271"/>
      <c r="DL56" s="1271"/>
      <c r="DM56" s="1271"/>
      <c r="DN56" s="1271"/>
      <c r="DO56" s="1271">
        <f>+DO54-DK54</f>
        <v>-1.7131858755342289E-2</v>
      </c>
      <c r="DP56" s="1271">
        <f>+DP54-DL54</f>
        <v>3.4280286077289834E-2</v>
      </c>
      <c r="DQ56" s="1271">
        <f>+DQ54-DM54</f>
        <v>1.464327408230448E-2</v>
      </c>
      <c r="DR56" s="1271">
        <f>+DR54-DN54</f>
        <v>4.5972352376852932E-3</v>
      </c>
      <c r="DS56" s="580"/>
      <c r="DT56" s="580"/>
      <c r="DU56" s="580"/>
      <c r="DV56" s="580"/>
      <c r="DY56" s="580"/>
      <c r="DZ56" s="580"/>
    </row>
    <row r="57" spans="1:130" s="1407" customFormat="1" ht="12">
      <c r="A57" s="87" t="s">
        <v>193</v>
      </c>
      <c r="B57" s="87"/>
      <c r="C57" s="1404"/>
      <c r="D57" s="1404"/>
      <c r="E57" s="1404"/>
      <c r="F57" s="1404"/>
      <c r="G57" s="1404"/>
      <c r="H57" s="1404"/>
      <c r="I57" s="1404"/>
      <c r="J57" s="1404">
        <v>191767</v>
      </c>
      <c r="K57" s="1404">
        <v>126385</v>
      </c>
      <c r="L57" s="1404">
        <v>169008</v>
      </c>
      <c r="M57" s="1404">
        <v>146751</v>
      </c>
      <c r="N57" s="1404">
        <v>242179</v>
      </c>
      <c r="O57" s="1404">
        <v>152444</v>
      </c>
      <c r="P57" s="1404">
        <v>212208</v>
      </c>
      <c r="Q57" s="1404">
        <v>189982</v>
      </c>
      <c r="R57" s="1404">
        <v>290382</v>
      </c>
      <c r="S57" s="1404">
        <v>191971</v>
      </c>
      <c r="T57" s="1404">
        <v>248353</v>
      </c>
      <c r="U57" s="1404">
        <v>211225</v>
      </c>
      <c r="V57" s="1404">
        <v>281936</v>
      </c>
      <c r="W57" s="1404">
        <v>181999</v>
      </c>
      <c r="X57" s="1404">
        <v>275108</v>
      </c>
      <c r="Y57" s="1404">
        <v>238139</v>
      </c>
      <c r="Z57" s="1404">
        <v>364975</v>
      </c>
      <c r="AA57" s="1404">
        <v>233467</v>
      </c>
      <c r="AB57" s="1404">
        <v>339844</v>
      </c>
      <c r="AC57" s="1404">
        <v>286282</v>
      </c>
      <c r="AD57" s="1404">
        <v>420725</v>
      </c>
      <c r="AE57" s="1404">
        <v>274207</v>
      </c>
      <c r="AF57" s="1404">
        <v>403955</v>
      </c>
      <c r="AG57" s="1404">
        <v>329574</v>
      </c>
      <c r="AH57" s="1404">
        <v>513528</v>
      </c>
      <c r="AI57" s="1404">
        <v>328569</v>
      </c>
      <c r="AJ57" s="1404">
        <v>467289</v>
      </c>
      <c r="AK57" s="1404">
        <v>413066</v>
      </c>
      <c r="AL57" s="1404">
        <v>636623</v>
      </c>
      <c r="AM57" s="1404">
        <v>371912</v>
      </c>
      <c r="AN57" s="1404">
        <v>507153</v>
      </c>
      <c r="AO57" s="1404">
        <v>454430</v>
      </c>
      <c r="AP57" s="1404">
        <v>729504</v>
      </c>
      <c r="AQ57" s="1405">
        <f t="shared" ref="AQ57:BU57" si="460">+AQ34+AQ44</f>
        <v>120066</v>
      </c>
      <c r="AR57" s="1405">
        <f t="shared" si="460"/>
        <v>140838</v>
      </c>
      <c r="AS57" s="1405">
        <f t="shared" si="460"/>
        <v>150970</v>
      </c>
      <c r="AT57" s="1405">
        <f t="shared" si="460"/>
        <v>139935</v>
      </c>
      <c r="AU57" s="1405">
        <f t="shared" si="460"/>
        <v>151459</v>
      </c>
      <c r="AV57" s="1405">
        <f t="shared" si="460"/>
        <v>168541</v>
      </c>
      <c r="AW57" s="1405">
        <f t="shared" si="460"/>
        <v>161548</v>
      </c>
      <c r="AX57" s="1405">
        <f t="shared" si="460"/>
        <v>167626</v>
      </c>
      <c r="AY57" s="1405">
        <f t="shared" si="460"/>
        <v>160379</v>
      </c>
      <c r="AZ57" s="1405">
        <f t="shared" si="460"/>
        <v>172594</v>
      </c>
      <c r="BA57" s="1405">
        <f t="shared" si="460"/>
        <v>175005</v>
      </c>
      <c r="BB57" s="1405">
        <f t="shared" si="460"/>
        <v>183391</v>
      </c>
      <c r="BC57" s="1405">
        <f t="shared" si="460"/>
        <v>174210</v>
      </c>
      <c r="BD57" s="1405">
        <f t="shared" si="460"/>
        <v>195348</v>
      </c>
      <c r="BE57" s="1405">
        <f t="shared" si="460"/>
        <v>228064</v>
      </c>
      <c r="BF57" s="1405">
        <f t="shared" si="460"/>
        <v>224579</v>
      </c>
      <c r="BG57" s="1405">
        <f t="shared" si="460"/>
        <v>222683</v>
      </c>
      <c r="BH57" s="1405">
        <f t="shared" si="460"/>
        <v>232840</v>
      </c>
      <c r="BI57" s="1405">
        <f t="shared" si="460"/>
        <v>224966</v>
      </c>
      <c r="BJ57" s="1405">
        <f t="shared" si="460"/>
        <v>233500</v>
      </c>
      <c r="BK57" s="1405">
        <f t="shared" si="460"/>
        <v>236179</v>
      </c>
      <c r="BL57" s="1405">
        <f t="shared" si="460"/>
        <v>266875</v>
      </c>
      <c r="BM57" s="1405">
        <f t="shared" si="460"/>
        <v>286667</v>
      </c>
      <c r="BN57" s="1405">
        <f t="shared" si="460"/>
        <v>300808</v>
      </c>
      <c r="BO57" s="1405">
        <f t="shared" si="460"/>
        <v>308147</v>
      </c>
      <c r="BP57" s="1405">
        <f t="shared" si="460"/>
        <v>262068</v>
      </c>
      <c r="BQ57" s="1405">
        <f t="shared" si="460"/>
        <v>132474</v>
      </c>
      <c r="BR57" s="1405">
        <f t="shared" si="460"/>
        <v>151659</v>
      </c>
      <c r="BS57" s="1405">
        <f t="shared" si="460"/>
        <v>213079</v>
      </c>
      <c r="BT57" s="1405">
        <f t="shared" si="460"/>
        <v>228014</v>
      </c>
      <c r="BU57" s="1405">
        <f t="shared" si="460"/>
        <v>250923.9694200001</v>
      </c>
      <c r="BV57" s="1405">
        <f t="shared" ref="BV57:CA57" si="461">+BV34+BV44</f>
        <v>299807.77997999988</v>
      </c>
      <c r="BW57" s="1405">
        <f t="shared" si="461"/>
        <v>366743</v>
      </c>
      <c r="BX57" s="1405">
        <f t="shared" si="461"/>
        <v>423189</v>
      </c>
      <c r="BY57" s="1405">
        <f t="shared" si="461"/>
        <v>367887</v>
      </c>
      <c r="BZ57" s="1405">
        <f t="shared" si="461"/>
        <v>427475</v>
      </c>
      <c r="CA57" s="1405">
        <f t="shared" si="461"/>
        <v>468937</v>
      </c>
      <c r="CB57" s="1405">
        <f t="shared" ref="CB57:CC57" si="462">+CB34+CB44</f>
        <v>488392</v>
      </c>
      <c r="CC57" s="1405">
        <f t="shared" si="462"/>
        <v>434627</v>
      </c>
      <c r="CD57" s="1405">
        <f t="shared" ref="CD57:CE57" si="463">+CD34+CD44</f>
        <v>443867</v>
      </c>
      <c r="CE57" s="1405">
        <f t="shared" si="463"/>
        <v>429294</v>
      </c>
      <c r="CF57" s="1405">
        <f t="shared" ref="CF57:CH57" si="464">+CF34+CF44</f>
        <v>426021</v>
      </c>
      <c r="CG57" s="1405">
        <f t="shared" si="464"/>
        <v>426809</v>
      </c>
      <c r="CH57" s="1405">
        <f t="shared" si="464"/>
        <v>444070</v>
      </c>
      <c r="CI57" s="1405">
        <f t="shared" ref="CI57:CJ57" si="465">+CI34+CI44</f>
        <v>503545</v>
      </c>
      <c r="CJ57" s="1405">
        <f t="shared" si="465"/>
        <v>519511</v>
      </c>
      <c r="CK57" s="1405">
        <f t="shared" ref="CK57" si="466">+CK34+CK44</f>
        <v>490300</v>
      </c>
      <c r="CL57" s="1406">
        <f t="shared" ref="CL57:CP57" si="467">+CL34+CL44</f>
        <v>461426.67328637926</v>
      </c>
      <c r="CM57" s="1406">
        <f t="shared" si="467"/>
        <v>504573.77062223712</v>
      </c>
      <c r="CN57" s="1406">
        <f t="shared" si="467"/>
        <v>510882.18475636444</v>
      </c>
      <c r="CO57" s="1406">
        <f t="shared" si="467"/>
        <v>514552.38963652559</v>
      </c>
      <c r="CP57" s="1406">
        <f t="shared" si="467"/>
        <v>515320.24291663477</v>
      </c>
      <c r="CQ57" s="1406"/>
      <c r="CR57" s="1406"/>
      <c r="CS57" s="1406"/>
      <c r="CT57" s="1406">
        <v>461426.67328637926</v>
      </c>
      <c r="CU57" s="1106"/>
      <c r="CV57" s="1405"/>
      <c r="CW57" s="1404"/>
      <c r="CX57" s="1404">
        <v>684323</v>
      </c>
      <c r="CY57" s="1404">
        <v>845016</v>
      </c>
      <c r="CZ57" s="1404">
        <v>933485</v>
      </c>
      <c r="DA57" s="1404">
        <v>1060221</v>
      </c>
      <c r="DB57" s="1404">
        <v>1280318</v>
      </c>
      <c r="DC57" s="1404">
        <v>1521264</v>
      </c>
      <c r="DD57" s="1404">
        <v>1845547</v>
      </c>
      <c r="DE57" s="1404">
        <v>2062999</v>
      </c>
      <c r="DF57" s="1267">
        <f t="shared" ref="DF57:DN57" si="468">+DF34+DF44</f>
        <v>551809</v>
      </c>
      <c r="DG57" s="1267">
        <f t="shared" si="468"/>
        <v>649174</v>
      </c>
      <c r="DH57" s="1267">
        <f t="shared" si="468"/>
        <v>691369</v>
      </c>
      <c r="DI57" s="1267">
        <f t="shared" si="468"/>
        <v>822201</v>
      </c>
      <c r="DJ57" s="1267">
        <f t="shared" si="468"/>
        <v>913989</v>
      </c>
      <c r="DK57" s="1267">
        <f t="shared" si="468"/>
        <v>1090529</v>
      </c>
      <c r="DL57" s="1267">
        <f t="shared" si="468"/>
        <v>854348</v>
      </c>
      <c r="DM57" s="1267">
        <f t="shared" si="468"/>
        <v>991824.74939999997</v>
      </c>
      <c r="DN57" s="1267">
        <f t="shared" si="468"/>
        <v>1585294</v>
      </c>
      <c r="DO57" s="1267">
        <f>+DO34+DO44</f>
        <v>1835823</v>
      </c>
      <c r="DP57" s="1267">
        <f>+DP34+DP44</f>
        <v>1726194</v>
      </c>
      <c r="DQ57" s="1267">
        <f>+DQ34+DQ44</f>
        <v>1974782.6732863793</v>
      </c>
      <c r="DR57" s="1267">
        <f>+DR34+DR44</f>
        <v>2045328.587931762</v>
      </c>
      <c r="DS57" s="1406">
        <f>+DS58*DS34</f>
        <v>2189324.7363084345</v>
      </c>
      <c r="DT57" s="1406">
        <f t="shared" ref="DT57:DV57" si="469">+DT58*DT34</f>
        <v>2196584.4281607396</v>
      </c>
      <c r="DU57" s="1406">
        <f t="shared" si="469"/>
        <v>2205274.6502263164</v>
      </c>
      <c r="DV57" s="1406">
        <f t="shared" si="469"/>
        <v>2214820.2855506525</v>
      </c>
      <c r="DY57" s="1406">
        <v>1875411.9290932505</v>
      </c>
      <c r="DZ57" s="1406">
        <v>1881636.400034565</v>
      </c>
    </row>
    <row r="58" spans="1:130">
      <c r="A58" s="1415" t="s">
        <v>191</v>
      </c>
      <c r="B58" s="126"/>
      <c r="C58" s="125"/>
      <c r="D58" s="125"/>
      <c r="E58" s="125"/>
      <c r="F58" s="125"/>
      <c r="G58" s="125"/>
      <c r="H58" s="125"/>
      <c r="I58" s="125"/>
      <c r="J58" s="125">
        <v>0.47483416323933236</v>
      </c>
      <c r="K58" s="125">
        <v>0.50353592701049821</v>
      </c>
      <c r="L58" s="125">
        <v>0.47247343511066259</v>
      </c>
      <c r="M58" s="125">
        <v>0.45784857872913959</v>
      </c>
      <c r="N58" s="125">
        <v>0.4777846389374979</v>
      </c>
      <c r="O58" s="125">
        <v>0.49129048995626712</v>
      </c>
      <c r="P58" s="125">
        <v>0.47756410977709263</v>
      </c>
      <c r="Q58" s="125">
        <v>0.4805315688565806</v>
      </c>
      <c r="R58" s="125">
        <v>0.48258498110423087</v>
      </c>
      <c r="S58" s="125">
        <v>0.50072903597707774</v>
      </c>
      <c r="T58" s="125">
        <v>0.48711375591845379</v>
      </c>
      <c r="U58" s="125">
        <v>0.47039867805110525</v>
      </c>
      <c r="V58" s="125">
        <v>0.4593602038588499</v>
      </c>
      <c r="W58" s="125">
        <v>0.50185992516179556</v>
      </c>
      <c r="X58" s="125">
        <v>0.49592956598862153</v>
      </c>
      <c r="Y58" s="125">
        <v>0.48926304111108826</v>
      </c>
      <c r="Z58" s="125">
        <v>0.51270759055879123</v>
      </c>
      <c r="AA58" s="125">
        <v>0.53031032649927545</v>
      </c>
      <c r="AB58" s="125">
        <v>0.53944433950434056</v>
      </c>
      <c r="AC58" s="125">
        <v>0.50336181735063479</v>
      </c>
      <c r="AD58" s="125">
        <v>0.51076897302323998</v>
      </c>
      <c r="AE58" s="125">
        <v>0.52965673633928068</v>
      </c>
      <c r="AF58" s="125">
        <v>0.53885597736552782</v>
      </c>
      <c r="AG58" s="125">
        <v>0.50157668214940132</v>
      </c>
      <c r="AH58" s="125">
        <v>0.52822316854903417</v>
      </c>
      <c r="AI58" s="125">
        <v>0.53063554689203307</v>
      </c>
      <c r="AJ58" s="125">
        <v>0.54642883453446045</v>
      </c>
      <c r="AK58" s="125">
        <v>0.5142369842890222</v>
      </c>
      <c r="AL58" s="125">
        <v>0.53753761614141982</v>
      </c>
      <c r="AM58" s="125">
        <v>0.51176019737702116</v>
      </c>
      <c r="AN58" s="125">
        <v>0.53542165723714985</v>
      </c>
      <c r="AO58" s="125">
        <v>0.50107065908935533</v>
      </c>
      <c r="AP58" s="125">
        <v>0.54728370221327971</v>
      </c>
      <c r="AQ58" s="1270">
        <f>AQ57/AQ34</f>
        <v>0.96750954890489771</v>
      </c>
      <c r="AR58" s="1270">
        <f t="shared" ref="AR58:BV58" si="470">AR57/AR34</f>
        <v>0.9778379504269944</v>
      </c>
      <c r="AS58" s="1270">
        <f t="shared" si="470"/>
        <v>0.96335953851651435</v>
      </c>
      <c r="AT58" s="1270">
        <f t="shared" si="470"/>
        <v>0.94173979756649084</v>
      </c>
      <c r="AU58" s="1270">
        <f t="shared" si="470"/>
        <v>0.92889998282756425</v>
      </c>
      <c r="AV58" s="1270">
        <f t="shared" si="470"/>
        <v>0.92515987374776998</v>
      </c>
      <c r="AW58" s="1270">
        <f t="shared" si="470"/>
        <v>0.93792382721783563</v>
      </c>
      <c r="AX58" s="1270">
        <f t="shared" si="470"/>
        <v>0.94768740212235481</v>
      </c>
      <c r="AY58" s="1270">
        <f t="shared" si="470"/>
        <v>0.93667832800883066</v>
      </c>
      <c r="AZ58" s="1270">
        <f t="shared" si="470"/>
        <v>0.94369354591780941</v>
      </c>
      <c r="BA58" s="1270">
        <f t="shared" si="470"/>
        <v>0.94387603755979954</v>
      </c>
      <c r="BB58" s="1270">
        <f t="shared" si="470"/>
        <v>0.96370429536831703</v>
      </c>
      <c r="BC58" s="1270">
        <f t="shared" si="470"/>
        <v>0.96440434012400356</v>
      </c>
      <c r="BD58" s="1270">
        <f t="shared" si="470"/>
        <v>0.97344973987920824</v>
      </c>
      <c r="BE58" s="1270">
        <f t="shared" si="470"/>
        <v>0.97547038267913888</v>
      </c>
      <c r="BF58" s="1270">
        <f t="shared" si="470"/>
        <v>0.98019352557863448</v>
      </c>
      <c r="BG58" s="1270">
        <f t="shared" si="470"/>
        <v>0.97044006519484372</v>
      </c>
      <c r="BH58" s="1270">
        <f t="shared" si="470"/>
        <v>0.96989994418201664</v>
      </c>
      <c r="BI58" s="1270">
        <f t="shared" si="470"/>
        <v>0.97040465519546903</v>
      </c>
      <c r="BJ58" s="1270">
        <f t="shared" si="470"/>
        <v>0.97393524060580028</v>
      </c>
      <c r="BK58" s="1270">
        <f t="shared" si="470"/>
        <v>0.97683431218463068</v>
      </c>
      <c r="BL58" s="1270">
        <f t="shared" si="470"/>
        <v>0.97889080438689802</v>
      </c>
      <c r="BM58" s="1270">
        <f t="shared" si="470"/>
        <v>0.97561863792452119</v>
      </c>
      <c r="BN58" s="1270">
        <f t="shared" si="470"/>
        <v>0.98463190214171381</v>
      </c>
      <c r="BO58" s="1270">
        <f t="shared" si="470"/>
        <v>0.98267114397874866</v>
      </c>
      <c r="BP58" s="1270">
        <f t="shared" si="470"/>
        <v>0.9747015286197791</v>
      </c>
      <c r="BQ58" s="1270">
        <f t="shared" si="470"/>
        <v>0.9541349159476239</v>
      </c>
      <c r="BR58" s="1270">
        <f t="shared" si="470"/>
        <v>0.97645445414509768</v>
      </c>
      <c r="BS58" s="1270">
        <f t="shared" si="470"/>
        <v>0.98203496223101983</v>
      </c>
      <c r="BT58" s="1270">
        <f t="shared" si="470"/>
        <v>0.98464395215269684</v>
      </c>
      <c r="BU58" s="1270">
        <f t="shared" si="470"/>
        <v>0.97877635149486408</v>
      </c>
      <c r="BV58" s="1270">
        <f t="shared" si="470"/>
        <v>0.96426708051011212</v>
      </c>
      <c r="BW58" s="1270">
        <f t="shared" ref="BW58:CB58" si="471">BW57/BW34</f>
        <v>0.95665681515237677</v>
      </c>
      <c r="BX58" s="1270">
        <f t="shared" si="471"/>
        <v>0.93918445067821887</v>
      </c>
      <c r="BY58" s="1270">
        <f t="shared" si="471"/>
        <v>0.91488917239269751</v>
      </c>
      <c r="BZ58" s="1270">
        <f t="shared" si="471"/>
        <v>0.93075030482494336</v>
      </c>
      <c r="CA58" s="1270">
        <f t="shared" si="471"/>
        <v>0.94297928987538537</v>
      </c>
      <c r="CB58" s="1270">
        <f t="shared" si="471"/>
        <v>0.94142592510490974</v>
      </c>
      <c r="CC58" s="1270">
        <f t="shared" ref="CC58:CD58" si="472">CC57/CC34</f>
        <v>0.94281220850777669</v>
      </c>
      <c r="CD58" s="1270">
        <f t="shared" si="472"/>
        <v>0.95568923903050296</v>
      </c>
      <c r="CE58" s="1270">
        <f t="shared" ref="CE58:CF58" si="473">CE57/CE34</f>
        <v>0.96049025289012491</v>
      </c>
      <c r="CF58" s="1270">
        <f t="shared" si="473"/>
        <v>0.96720079551749505</v>
      </c>
      <c r="CG58" s="1270">
        <f t="shared" ref="CG58:CH58" si="474">CG57/CG34</f>
        <v>0.98217034819367766</v>
      </c>
      <c r="CH58" s="1270">
        <f t="shared" si="474"/>
        <v>1.0036886524213562</v>
      </c>
      <c r="CI58" s="1270">
        <f t="shared" ref="CI58:CJ58" si="475">CI57/CI34</f>
        <v>1.0056097424591002</v>
      </c>
      <c r="CJ58" s="1270">
        <f t="shared" si="475"/>
        <v>1.0031164497960019</v>
      </c>
      <c r="CK58" s="1270">
        <f t="shared" ref="CK58" si="476">CK57/CK34</f>
        <v>1.0123409377626089</v>
      </c>
      <c r="CL58" s="802">
        <f t="shared" ref="CL58:CP58" si="477">CL57/CL34</f>
        <v>1.0123409377626089</v>
      </c>
      <c r="CM58" s="802">
        <f t="shared" si="477"/>
        <v>1.0123409377626089</v>
      </c>
      <c r="CN58" s="802">
        <f t="shared" si="477"/>
        <v>1.0123409377626089</v>
      </c>
      <c r="CO58" s="802">
        <f t="shared" si="477"/>
        <v>1.0123409377626089</v>
      </c>
      <c r="CP58" s="802">
        <f t="shared" si="477"/>
        <v>1.0123409377626087</v>
      </c>
      <c r="CQ58" s="802"/>
      <c r="CR58" s="802"/>
      <c r="CS58" s="802"/>
      <c r="CT58" s="802">
        <v>1.0123409377626089</v>
      </c>
      <c r="CU58" s="1107"/>
      <c r="CV58" s="125"/>
      <c r="CW58" s="125"/>
      <c r="CX58" s="125">
        <v>0.47651287579050572</v>
      </c>
      <c r="CY58" s="125">
        <v>0.48238996008512736</v>
      </c>
      <c r="CZ58" s="125">
        <v>0.47723669633403731</v>
      </c>
      <c r="DA58" s="125">
        <v>0.50105696255474441</v>
      </c>
      <c r="DB58" s="125">
        <v>0.51988724497337047</v>
      </c>
      <c r="DC58" s="125">
        <v>0.52518663157284229</v>
      </c>
      <c r="DD58" s="125">
        <v>0.53309310332875015</v>
      </c>
      <c r="DE58" s="125">
        <v>0.52710813974938975</v>
      </c>
      <c r="DF58" s="1270">
        <f t="shared" ref="DF58:DO58" si="478">DF57/DF34</f>
        <v>0.9622919544078461</v>
      </c>
      <c r="DG58" s="1270">
        <f t="shared" si="478"/>
        <v>0.93494309753350635</v>
      </c>
      <c r="DH58" s="1270">
        <f t="shared" si="478"/>
        <v>0.94731181027702649</v>
      </c>
      <c r="DI58" s="1270">
        <f t="shared" si="478"/>
        <v>0.97390409271385114</v>
      </c>
      <c r="DJ58" s="1270">
        <f t="shared" si="478"/>
        <v>0.97118396613353619</v>
      </c>
      <c r="DK58" s="1270">
        <f t="shared" si="478"/>
        <v>0.97915589219784793</v>
      </c>
      <c r="DL58" s="1270">
        <f t="shared" si="478"/>
        <v>0.97460555390145431</v>
      </c>
      <c r="DM58" s="1270">
        <f t="shared" si="478"/>
        <v>0.97636907167349785</v>
      </c>
      <c r="DN58" s="1270">
        <f t="shared" si="478"/>
        <v>0.9350880235374337</v>
      </c>
      <c r="DO58" s="1270">
        <f t="shared" si="478"/>
        <v>0.94556502184640912</v>
      </c>
      <c r="DP58" s="1270">
        <f t="shared" ref="DP58:DQ58" si="479">DP57/DP34</f>
        <v>0.97833730820849507</v>
      </c>
      <c r="DQ58" s="1270">
        <f t="shared" si="479"/>
        <v>1.0081812161954244</v>
      </c>
      <c r="DR58" s="1270">
        <f t="shared" ref="DR58" si="480">DR57/DR34</f>
        <v>1.0123409377626087</v>
      </c>
      <c r="DS58" s="802">
        <f>+DR58+DS59</f>
        <v>1.0123409377626087</v>
      </c>
      <c r="DT58" s="802">
        <f t="shared" ref="DT58:DV58" si="481">+DS58+DT59</f>
        <v>1.0123409377626087</v>
      </c>
      <c r="DU58" s="802">
        <f t="shared" si="481"/>
        <v>1.0123409377626087</v>
      </c>
      <c r="DV58" s="802">
        <f t="shared" si="481"/>
        <v>1.0123409377626087</v>
      </c>
      <c r="DY58" s="802">
        <v>0.98828804215079646</v>
      </c>
      <c r="DZ58" s="802">
        <v>0.98828804215079646</v>
      </c>
    </row>
    <row r="59" spans="1:130">
      <c r="A59" s="801" t="s">
        <v>192</v>
      </c>
      <c r="B59" s="126"/>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25"/>
      <c r="AK59" s="125"/>
      <c r="AL59" s="125"/>
      <c r="AM59" s="125"/>
      <c r="AN59" s="125"/>
      <c r="AO59" s="125"/>
      <c r="AP59" s="125"/>
      <c r="AQ59" s="1271">
        <f t="shared" ref="AQ59:CK59" si="482">+AQ58-AM58</f>
        <v>0.45574935152787655</v>
      </c>
      <c r="AR59" s="1271">
        <f t="shared" si="482"/>
        <v>0.44241629318984454</v>
      </c>
      <c r="AS59" s="1271">
        <f t="shared" si="482"/>
        <v>0.46228887942715902</v>
      </c>
      <c r="AT59" s="1271">
        <f t="shared" si="482"/>
        <v>0.39445609535321113</v>
      </c>
      <c r="AU59" s="1271">
        <f t="shared" si="482"/>
        <v>-3.8609566077333457E-2</v>
      </c>
      <c r="AV59" s="1271">
        <f t="shared" si="482"/>
        <v>-5.2678076679224417E-2</v>
      </c>
      <c r="AW59" s="1271">
        <f t="shared" si="482"/>
        <v>-2.543571129867872E-2</v>
      </c>
      <c r="AX59" s="1271">
        <f t="shared" si="482"/>
        <v>5.9476045558639612E-3</v>
      </c>
      <c r="AY59" s="1271">
        <f t="shared" si="482"/>
        <v>7.7783451812664106E-3</v>
      </c>
      <c r="AZ59" s="1271">
        <f t="shared" si="482"/>
        <v>1.8533672170039428E-2</v>
      </c>
      <c r="BA59" s="1271">
        <f t="shared" si="482"/>
        <v>5.952210341963915E-3</v>
      </c>
      <c r="BB59" s="1271">
        <f t="shared" si="482"/>
        <v>1.6016893245962227E-2</v>
      </c>
      <c r="BC59" s="1271">
        <f t="shared" si="482"/>
        <v>2.7726012115172893E-2</v>
      </c>
      <c r="BD59" s="1271">
        <f t="shared" si="482"/>
        <v>2.9756193961398836E-2</v>
      </c>
      <c r="BE59" s="1271">
        <f t="shared" si="482"/>
        <v>3.159434511933934E-2</v>
      </c>
      <c r="BF59" s="1271">
        <f t="shared" si="482"/>
        <v>1.6489230210317452E-2</v>
      </c>
      <c r="BG59" s="1271">
        <f t="shared" si="482"/>
        <v>6.0357250708401589E-3</v>
      </c>
      <c r="BH59" s="1271">
        <f t="shared" si="482"/>
        <v>-3.5497956971916045E-3</v>
      </c>
      <c r="BI59" s="1271">
        <f t="shared" si="482"/>
        <v>-5.0657274836698463E-3</v>
      </c>
      <c r="BJ59" s="1271">
        <f t="shared" si="482"/>
        <v>-6.2582849728342049E-3</v>
      </c>
      <c r="BK59" s="1271">
        <f t="shared" si="482"/>
        <v>6.3942469897869669E-3</v>
      </c>
      <c r="BL59" s="1271">
        <f t="shared" si="482"/>
        <v>8.990860204881379E-3</v>
      </c>
      <c r="BM59" s="1271">
        <f t="shared" si="482"/>
        <v>5.2139827290521579E-3</v>
      </c>
      <c r="BN59" s="1271">
        <f t="shared" si="482"/>
        <v>1.0696661535913532E-2</v>
      </c>
      <c r="BO59" s="1271">
        <f t="shared" si="482"/>
        <v>5.8368317941179804E-3</v>
      </c>
      <c r="BP59" s="1271">
        <f t="shared" si="482"/>
        <v>-4.1892757671189162E-3</v>
      </c>
      <c r="BQ59" s="1271">
        <f t="shared" si="482"/>
        <v>-2.1483721976897296E-2</v>
      </c>
      <c r="BR59" s="1271">
        <f t="shared" si="482"/>
        <v>-8.1774479966161273E-3</v>
      </c>
      <c r="BS59" s="1271">
        <f t="shared" si="482"/>
        <v>-6.3618174772883673E-4</v>
      </c>
      <c r="BT59" s="1271">
        <f t="shared" si="482"/>
        <v>9.9424235329177435E-3</v>
      </c>
      <c r="BU59" s="1271">
        <f t="shared" si="482"/>
        <v>2.4641435547240187E-2</v>
      </c>
      <c r="BV59" s="1271">
        <f t="shared" si="482"/>
        <v>-1.2187373634985565E-2</v>
      </c>
      <c r="BW59" s="1271">
        <f t="shared" si="482"/>
        <v>-2.5378147078643054E-2</v>
      </c>
      <c r="BX59" s="1271">
        <f t="shared" si="482"/>
        <v>-4.545950147447797E-2</v>
      </c>
      <c r="BY59" s="1271">
        <f t="shared" si="482"/>
        <v>-6.3887179102166569E-2</v>
      </c>
      <c r="BZ59" s="1271">
        <f t="shared" si="482"/>
        <v>-3.3516775685168754E-2</v>
      </c>
      <c r="CA59" s="1271">
        <f t="shared" si="482"/>
        <v>-1.3677525276991398E-2</v>
      </c>
      <c r="CB59" s="1271">
        <f t="shared" si="482"/>
        <v>2.2414744266908704E-3</v>
      </c>
      <c r="CC59" s="1271">
        <f t="shared" si="482"/>
        <v>2.7923036115079181E-2</v>
      </c>
      <c r="CD59" s="1271">
        <f t="shared" si="482"/>
        <v>2.4938934205559593E-2</v>
      </c>
      <c r="CE59" s="1271">
        <f t="shared" si="482"/>
        <v>1.7510963014739533E-2</v>
      </c>
      <c r="CF59" s="1271">
        <f t="shared" si="482"/>
        <v>2.5774870412585305E-2</v>
      </c>
      <c r="CG59" s="1271">
        <f t="shared" si="482"/>
        <v>3.9358139685900961E-2</v>
      </c>
      <c r="CH59" s="1271">
        <f t="shared" si="482"/>
        <v>4.7999413390853229E-2</v>
      </c>
      <c r="CI59" s="1271">
        <f t="shared" si="482"/>
        <v>4.5119489568975268E-2</v>
      </c>
      <c r="CJ59" s="1271">
        <f t="shared" si="482"/>
        <v>3.5915654278506848E-2</v>
      </c>
      <c r="CK59" s="1271">
        <f t="shared" si="482"/>
        <v>3.0170589568931261E-2</v>
      </c>
      <c r="CL59" s="569">
        <f t="shared" ref="CL59" si="483">+CL58-CH58</f>
        <v>8.6522853412527301E-3</v>
      </c>
      <c r="CM59" s="569">
        <f t="shared" ref="CM59" si="484">+CM58-CI58</f>
        <v>6.7311953035087413E-3</v>
      </c>
      <c r="CN59" s="569">
        <f t="shared" ref="CN59" si="485">+CN58-CJ58</f>
        <v>9.2244879666070201E-3</v>
      </c>
      <c r="CO59" s="569">
        <f t="shared" ref="CO59" si="486">+CO58-CK58</f>
        <v>0</v>
      </c>
      <c r="CP59" s="569">
        <f t="shared" ref="CP59" si="487">+CP58-CL58</f>
        <v>0</v>
      </c>
      <c r="CQ59" s="569"/>
      <c r="CR59" s="580"/>
      <c r="CS59" s="580"/>
      <c r="CT59" s="569">
        <v>8.6522853412527301E-3</v>
      </c>
      <c r="CU59" s="1107"/>
      <c r="CV59" s="125"/>
      <c r="CW59" s="125"/>
      <c r="CX59" s="125"/>
      <c r="CY59" s="125"/>
      <c r="CZ59" s="125"/>
      <c r="DA59" s="125"/>
      <c r="DB59" s="125"/>
      <c r="DC59" s="125"/>
      <c r="DD59" s="125"/>
      <c r="DE59" s="125"/>
      <c r="DF59" s="1270"/>
      <c r="DG59" s="1271">
        <f t="shared" ref="DG59:DR59" si="488">+DG58-DF58</f>
        <v>-2.7348856874339744E-2</v>
      </c>
      <c r="DH59" s="1271">
        <f t="shared" si="488"/>
        <v>1.2368712743520138E-2</v>
      </c>
      <c r="DI59" s="1271">
        <f t="shared" si="488"/>
        <v>2.6592282436824655E-2</v>
      </c>
      <c r="DJ59" s="1271">
        <f t="shared" si="488"/>
        <v>-2.7201265803149521E-3</v>
      </c>
      <c r="DK59" s="1271">
        <f t="shared" si="488"/>
        <v>7.9719260643117407E-3</v>
      </c>
      <c r="DL59" s="1271">
        <f t="shared" si="488"/>
        <v>-4.550338296393619E-3</v>
      </c>
      <c r="DM59" s="1271">
        <f t="shared" si="488"/>
        <v>1.7635177720435324E-3</v>
      </c>
      <c r="DN59" s="1271">
        <f t="shared" si="488"/>
        <v>-4.1281048136064147E-2</v>
      </c>
      <c r="DO59" s="1271">
        <f t="shared" si="488"/>
        <v>1.0476998308975416E-2</v>
      </c>
      <c r="DP59" s="1271">
        <f t="shared" si="488"/>
        <v>3.2772286362085956E-2</v>
      </c>
      <c r="DQ59" s="1271">
        <f t="shared" si="488"/>
        <v>2.9843907986929374E-2</v>
      </c>
      <c r="DR59" s="1271">
        <f t="shared" si="488"/>
        <v>4.1597215671842491E-3</v>
      </c>
      <c r="DS59" s="580">
        <v>0</v>
      </c>
      <c r="DT59" s="580">
        <v>0</v>
      </c>
      <c r="DU59" s="580">
        <v>0</v>
      </c>
      <c r="DV59" s="580">
        <v>0</v>
      </c>
      <c r="DY59" s="580">
        <v>-0.02</v>
      </c>
      <c r="DZ59" s="580">
        <v>0</v>
      </c>
    </row>
    <row r="60" spans="1:130">
      <c r="A60" s="801"/>
      <c r="B60" s="126"/>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5"/>
      <c r="AL60" s="125"/>
      <c r="AM60" s="125"/>
      <c r="AN60" s="125"/>
      <c r="AO60" s="125"/>
      <c r="AP60" s="125"/>
      <c r="AQ60" s="1271"/>
      <c r="AR60" s="1271"/>
      <c r="AS60" s="1271"/>
      <c r="AT60" s="1271"/>
      <c r="AU60" s="1271"/>
      <c r="AV60" s="1271"/>
      <c r="AW60" s="1271"/>
      <c r="AX60" s="1271"/>
      <c r="AY60" s="1271"/>
      <c r="AZ60" s="1271"/>
      <c r="BA60" s="1271"/>
      <c r="BB60" s="1271"/>
      <c r="BC60" s="1271"/>
      <c r="BD60" s="1271"/>
      <c r="BE60" s="1271"/>
      <c r="BF60" s="1271"/>
      <c r="BG60" s="1271"/>
      <c r="BH60" s="1271"/>
      <c r="BI60" s="1271"/>
      <c r="BJ60" s="1271"/>
      <c r="BK60" s="1271"/>
      <c r="BL60" s="1271"/>
      <c r="BM60" s="1271"/>
      <c r="BN60" s="1271"/>
      <c r="BO60" s="1271"/>
      <c r="BP60" s="1271"/>
      <c r="BQ60" s="1271"/>
      <c r="BR60" s="1271"/>
      <c r="BS60" s="1271"/>
      <c r="BT60" s="1271"/>
      <c r="BU60" s="1271"/>
      <c r="BV60" s="1271"/>
      <c r="BW60" s="1271"/>
      <c r="BX60" s="1271"/>
      <c r="BY60" s="1271"/>
      <c r="BZ60" s="1271"/>
      <c r="CA60" s="1271"/>
      <c r="CB60" s="1271"/>
      <c r="CC60" s="1271"/>
      <c r="CD60" s="1271"/>
      <c r="CE60" s="1271"/>
      <c r="CF60" s="1271"/>
      <c r="CG60" s="1271"/>
      <c r="CH60" s="1271"/>
      <c r="CI60" s="1271"/>
      <c r="CJ60" s="1271"/>
      <c r="CK60" s="1271"/>
      <c r="CL60" s="569"/>
      <c r="CM60" s="569"/>
      <c r="CN60" s="569"/>
      <c r="CO60" s="569"/>
      <c r="CP60" s="569"/>
      <c r="CQ60" s="569"/>
      <c r="CR60" s="580"/>
      <c r="CS60" s="580"/>
      <c r="CT60" s="569"/>
      <c r="CU60" s="1107"/>
      <c r="CV60" s="125"/>
      <c r="CW60" s="125"/>
      <c r="CX60" s="125"/>
      <c r="CY60" s="125"/>
      <c r="CZ60" s="125"/>
      <c r="DA60" s="125"/>
      <c r="DB60" s="125"/>
      <c r="DC60" s="125"/>
      <c r="DD60" s="125"/>
      <c r="DE60" s="125"/>
      <c r="DF60" s="1270"/>
      <c r="DG60" s="1271"/>
      <c r="DH60" s="1271"/>
      <c r="DI60" s="1271"/>
      <c r="DJ60" s="1271"/>
      <c r="DK60" s="1271"/>
      <c r="DL60" s="1271"/>
      <c r="DM60" s="1271"/>
      <c r="DN60" s="1271"/>
      <c r="DO60" s="1271"/>
      <c r="DP60" s="1271"/>
      <c r="DQ60" s="1271"/>
      <c r="DR60" s="1271"/>
      <c r="DS60" s="580"/>
      <c r="DT60" s="580"/>
      <c r="DU60" s="580"/>
      <c r="DV60" s="580"/>
      <c r="DY60" s="580"/>
      <c r="DZ60" s="580"/>
    </row>
    <row r="61" spans="1:130" s="1203" customFormat="1">
      <c r="A61" s="1413" t="s">
        <v>194</v>
      </c>
      <c r="B61" s="1408"/>
      <c r="C61" s="1409"/>
      <c r="D61" s="1409"/>
      <c r="E61" s="1409"/>
      <c r="F61" s="1409"/>
      <c r="G61" s="1409"/>
      <c r="H61" s="1409"/>
      <c r="I61" s="1409"/>
      <c r="J61" s="1409"/>
      <c r="K61" s="1409"/>
      <c r="L61" s="1409"/>
      <c r="M61" s="1409"/>
      <c r="N61" s="1409"/>
      <c r="O61" s="1409"/>
      <c r="P61" s="1409"/>
      <c r="Q61" s="1409"/>
      <c r="R61" s="1409"/>
      <c r="S61" s="1409"/>
      <c r="T61" s="1409"/>
      <c r="U61" s="1409"/>
      <c r="V61" s="1409"/>
      <c r="W61" s="1409"/>
      <c r="X61" s="1409"/>
      <c r="Y61" s="1409"/>
      <c r="Z61" s="1409"/>
      <c r="AA61" s="1409"/>
      <c r="AB61" s="1409"/>
      <c r="AC61" s="1409"/>
      <c r="AD61" s="1409"/>
      <c r="AE61" s="1409"/>
      <c r="AF61" s="1409"/>
      <c r="AG61" s="1409"/>
      <c r="AH61" s="1409"/>
      <c r="AI61" s="1409"/>
      <c r="AJ61" s="1409"/>
      <c r="AK61" s="1409"/>
      <c r="AL61" s="1409"/>
      <c r="AM61" s="1409"/>
      <c r="AN61" s="1409"/>
      <c r="AO61" s="1409"/>
      <c r="AP61" s="1409"/>
      <c r="AQ61" s="1414">
        <f>+Cartao!AQ21</f>
        <v>1129443</v>
      </c>
      <c r="AR61" s="1414">
        <f>+Cartao!AR21</f>
        <v>1197445</v>
      </c>
      <c r="AS61" s="1414">
        <f>+Cartao!AS21</f>
        <v>1183199</v>
      </c>
      <c r="AT61" s="1414">
        <f>+Cartao!AT21</f>
        <v>1576372</v>
      </c>
      <c r="AU61" s="1414">
        <f>+Cartao!AU21</f>
        <v>1392225</v>
      </c>
      <c r="AV61" s="1414">
        <f>+Cartao!AV21</f>
        <v>1472249.4282799999</v>
      </c>
      <c r="AW61" s="1414">
        <f>+Cartao!AW21</f>
        <v>1423136</v>
      </c>
      <c r="AX61" s="1414">
        <f>+Cartao!AX21</f>
        <v>1762658</v>
      </c>
      <c r="AY61" s="1414">
        <f>+Cartao!AY21</f>
        <v>1492170</v>
      </c>
      <c r="AZ61" s="1414">
        <f>+Cartao!AZ21</f>
        <v>1570170</v>
      </c>
      <c r="BA61" s="1414">
        <f>+Cartao!BA21</f>
        <v>1478979</v>
      </c>
      <c r="BB61" s="1414">
        <f>+Cartao!BB21</f>
        <v>1825405</v>
      </c>
      <c r="BC61" s="1414">
        <f>+Cartao!BC21</f>
        <v>1635655</v>
      </c>
      <c r="BD61" s="1414">
        <f>+Cartao!BD21</f>
        <v>1852089</v>
      </c>
      <c r="BE61" s="1414">
        <f>+Cartao!BE21</f>
        <v>1819546.8431500001</v>
      </c>
      <c r="BF61" s="1414">
        <f>+Cartao!BF21</f>
        <v>2286651.6244600001</v>
      </c>
      <c r="BG61" s="1414">
        <f>+Cartao!BG21</f>
        <v>2082285.9108</v>
      </c>
      <c r="BH61" s="1414">
        <f>+Cartao!BH21</f>
        <v>2185728.0381800001</v>
      </c>
      <c r="BI61" s="1414">
        <f>+Cartao!BI21</f>
        <v>2182801.1979799997</v>
      </c>
      <c r="BJ61" s="1414">
        <f>+Cartao!BJ21</f>
        <v>2761210.7797699999</v>
      </c>
      <c r="BK61" s="1414">
        <f>+Cartao!BK21</f>
        <v>2560557.2160198218</v>
      </c>
      <c r="BL61" s="1414">
        <f>+Cartao!BL21</f>
        <v>2673294.2436991963</v>
      </c>
      <c r="BM61" s="1414">
        <f>+Cartao!BM21</f>
        <v>2793383.4471604768</v>
      </c>
      <c r="BN61" s="1414">
        <f>+Cartao!BN21</f>
        <v>3417337.8496167916</v>
      </c>
      <c r="BO61" s="1414">
        <f>+Cartao!BO21</f>
        <v>3249187.5514299991</v>
      </c>
      <c r="BP61" s="1414">
        <f>+Cartao!BP21</f>
        <v>2656011.4753300003</v>
      </c>
      <c r="BQ61" s="1414">
        <f>+Cartao!BQ21</f>
        <v>2867332.9017600003</v>
      </c>
      <c r="BR61" s="1414">
        <f>+Cartao!BR21</f>
        <v>3535836.4253900005</v>
      </c>
      <c r="BS61" s="1414">
        <f>+Cartao!BS21</f>
        <v>3046404</v>
      </c>
      <c r="BT61" s="1414">
        <f>+Cartao!BT21</f>
        <v>3418532</v>
      </c>
      <c r="BU61" s="1414">
        <f>+Cartao!BU21</f>
        <v>3717541</v>
      </c>
      <c r="BV61" s="1414">
        <f>+Cartao!BV21</f>
        <v>4811666</v>
      </c>
      <c r="BW61" s="1414">
        <f>+Cartao!BW21</f>
        <v>4935589</v>
      </c>
      <c r="BX61" s="1414">
        <f>+Cartao!BX21</f>
        <v>5499902</v>
      </c>
      <c r="BY61" s="1414">
        <f>+Cartao!BY21</f>
        <v>5651328</v>
      </c>
      <c r="BZ61" s="1414">
        <f>+Cartao!BZ21</f>
        <v>6368525</v>
      </c>
      <c r="CA61" s="1414">
        <f>+Cartao!CA21</f>
        <v>6175230</v>
      </c>
      <c r="CB61" s="1414">
        <f>+Cartao!CB21</f>
        <v>6209023</v>
      </c>
      <c r="CC61" s="1414">
        <f>+Cartao!CC21</f>
        <v>5821044</v>
      </c>
      <c r="CD61" s="1414">
        <f>+Cartao!CD21</f>
        <v>6186858</v>
      </c>
      <c r="CE61" s="1414">
        <f>+Cartao!CE21</f>
        <v>5749932</v>
      </c>
      <c r="CF61" s="1414">
        <f>+Cartao!CF21</f>
        <v>5801184.0457786657</v>
      </c>
      <c r="CG61" s="1414">
        <f>+Cartao!CG21</f>
        <v>5734545.3906081431</v>
      </c>
      <c r="CH61" s="1414">
        <f>+Cartao!CH21</f>
        <v>6182188.4025662439</v>
      </c>
      <c r="CI61" s="1414">
        <f>+Cartao!CI21</f>
        <v>6111623.318900045</v>
      </c>
      <c r="CJ61" s="1414">
        <f>+Cartao!CJ21</f>
        <v>6511546.7584300004</v>
      </c>
      <c r="CK61" s="1414">
        <f>+Cartao!CK21</f>
        <v>6395676.9893299993</v>
      </c>
      <c r="CL61" s="1414">
        <f>+Cartao!CL21</f>
        <v>6568557.0239881864</v>
      </c>
      <c r="CM61" s="1414">
        <f>+Cartao!CM21</f>
        <v>6492167.5259392494</v>
      </c>
      <c r="CN61" s="1414">
        <f>+Cartao!CN21</f>
        <v>6917265.7591044009</v>
      </c>
      <c r="CO61" s="1414">
        <f>+Cartao!CO21</f>
        <v>6793193.3813065998</v>
      </c>
      <c r="CP61" s="1414">
        <f>+Cartao!CP21</f>
        <v>6979342.7480768841</v>
      </c>
      <c r="CQ61" s="1414"/>
      <c r="CR61" s="258"/>
      <c r="CS61" s="258"/>
      <c r="CT61" s="1414">
        <v>6568557.0239881864</v>
      </c>
      <c r="CU61" s="1412"/>
      <c r="CV61" s="1409"/>
      <c r="CW61" s="1409"/>
      <c r="CX61" s="1409"/>
      <c r="CY61" s="1409"/>
      <c r="CZ61" s="1409"/>
      <c r="DA61" s="1409"/>
      <c r="DB61" s="1409"/>
      <c r="DC61" s="1409"/>
      <c r="DD61" s="1409"/>
      <c r="DE61" s="1409"/>
      <c r="DF61" s="1414">
        <f>+(Cartao!DE166+Cartao!DE240)</f>
        <v>1576372</v>
      </c>
      <c r="DG61" s="1414">
        <f>+(Cartao!DF166+Cartao!DF240)</f>
        <v>1762658</v>
      </c>
      <c r="DH61" s="1414">
        <f>+Cartao!DH21</f>
        <v>2286651.6244600001</v>
      </c>
      <c r="DI61" s="1414">
        <f>+Cartao!DI21</f>
        <v>2761210.7797699999</v>
      </c>
      <c r="DJ61" s="1414">
        <f>+Cartao!DJ21</f>
        <v>3417337.8496167916</v>
      </c>
      <c r="DK61" s="1414">
        <f>+Cartao!DK21</f>
        <v>3535836.4253900005</v>
      </c>
      <c r="DL61" s="1414">
        <f>+Cartao!DL21</f>
        <v>4811666</v>
      </c>
      <c r="DM61" s="1414">
        <f>+Cartao!DM21</f>
        <v>6368525</v>
      </c>
      <c r="DN61" s="1414">
        <f>+Cartao!DN21</f>
        <v>6186858</v>
      </c>
      <c r="DO61" s="1414">
        <f>+Cartao!DO21</f>
        <v>6182188.4025662439</v>
      </c>
      <c r="DP61" s="1414">
        <f>+Cartao!DP21</f>
        <v>6568557.0239881864</v>
      </c>
      <c r="DQ61" s="1414">
        <f>+Cartao!DQ21</f>
        <v>6979342.7480768841</v>
      </c>
      <c r="DR61" s="1414">
        <f>+Cartao!DR21</f>
        <v>0</v>
      </c>
      <c r="DS61" s="1414">
        <f>+Cartao!DS21</f>
        <v>0</v>
      </c>
      <c r="DT61" s="1414">
        <f>+Cartao!DT21</f>
        <v>0</v>
      </c>
      <c r="DU61" s="1414">
        <f>+Cartao!DU21</f>
        <v>0</v>
      </c>
      <c r="DV61" s="1414">
        <f>+Cartao!DV21</f>
        <v>0</v>
      </c>
      <c r="DY61" s="1414">
        <v>0</v>
      </c>
      <c r="DZ61" s="1414">
        <v>0</v>
      </c>
    </row>
    <row r="62" spans="1:130" s="1203" customFormat="1">
      <c r="A62" s="1408" t="s">
        <v>195</v>
      </c>
      <c r="B62" s="1408"/>
      <c r="C62" s="1409"/>
      <c r="D62" s="1409"/>
      <c r="E62" s="1409"/>
      <c r="F62" s="1409"/>
      <c r="G62" s="1409"/>
      <c r="H62" s="1409"/>
      <c r="I62" s="1409"/>
      <c r="J62" s="1409"/>
      <c r="K62" s="1409"/>
      <c r="L62" s="1409">
        <v>0.48528184470612973</v>
      </c>
      <c r="M62" s="1409"/>
      <c r="N62" s="1409">
        <v>0.47006171123589258</v>
      </c>
      <c r="O62" s="1409"/>
      <c r="P62" s="1409">
        <v>0.48320806521716086</v>
      </c>
      <c r="Q62" s="1409"/>
      <c r="R62" s="1409">
        <v>0.48177077065029889</v>
      </c>
      <c r="S62" s="1409"/>
      <c r="T62" s="1409">
        <v>0.4929575730299845</v>
      </c>
      <c r="U62" s="1409"/>
      <c r="V62" s="1409">
        <v>0.46402400469706206</v>
      </c>
      <c r="W62" s="1409"/>
      <c r="X62" s="1409">
        <v>0.49827389056455279</v>
      </c>
      <c r="Y62" s="1409"/>
      <c r="Z62" s="1409">
        <v>0.50318708346821428</v>
      </c>
      <c r="AA62" s="1409"/>
      <c r="AB62" s="1409">
        <v>0.53568702200918494</v>
      </c>
      <c r="AC62" s="1409"/>
      <c r="AD62" s="1409">
        <v>0.50774355111031</v>
      </c>
      <c r="AE62" s="1409">
        <v>0.51805852919601381</v>
      </c>
      <c r="AF62" s="1409">
        <v>0.53509815679838402</v>
      </c>
      <c r="AG62" s="1409">
        <v>0.52144300714636582</v>
      </c>
      <c r="AH62" s="1409">
        <v>0.51747668874627439</v>
      </c>
      <c r="AI62" s="1409">
        <v>0.52916181500447101</v>
      </c>
      <c r="AJ62" s="1409">
        <v>0.53979603463992709</v>
      </c>
      <c r="AK62" s="1409">
        <v>0.53083671354034445</v>
      </c>
      <c r="AL62" s="1409">
        <v>0.52812096245104634</v>
      </c>
      <c r="AM62" s="1409">
        <v>0.52773508774959277</v>
      </c>
      <c r="AN62" s="1409">
        <v>0.52514913969129007</v>
      </c>
      <c r="AO62" s="1409">
        <v>0.51861933498407065</v>
      </c>
      <c r="AP62" s="1409">
        <v>0.5285721684096234</v>
      </c>
      <c r="AQ62" s="1410">
        <f>+AQ57/AQ61/3</f>
        <v>3.543516582952836E-2</v>
      </c>
      <c r="AR62" s="1410">
        <f t="shared" ref="AR62:CA62" si="489">+AR57/AR61/3</f>
        <v>3.9205140945930715E-2</v>
      </c>
      <c r="AS62" s="1410">
        <f t="shared" si="489"/>
        <v>4.2531588797263466E-2</v>
      </c>
      <c r="AT62" s="1410">
        <f t="shared" si="489"/>
        <v>2.9590096753811915E-2</v>
      </c>
      <c r="AU62" s="1410">
        <f t="shared" si="489"/>
        <v>3.6263056139153753E-2</v>
      </c>
      <c r="AV62" s="1410">
        <f t="shared" si="489"/>
        <v>3.8159521242923974E-2</v>
      </c>
      <c r="AW62" s="1410">
        <f t="shared" si="489"/>
        <v>3.7838501262938563E-2</v>
      </c>
      <c r="AX62" s="1410">
        <f t="shared" si="489"/>
        <v>3.1699475073062013E-2</v>
      </c>
      <c r="AY62" s="1410">
        <f t="shared" si="489"/>
        <v>3.5826793640581618E-2</v>
      </c>
      <c r="AZ62" s="1410">
        <f t="shared" si="489"/>
        <v>3.6640193949275132E-2</v>
      </c>
      <c r="BA62" s="1410">
        <f t="shared" si="489"/>
        <v>3.9442750708427905E-2</v>
      </c>
      <c r="BB62" s="1410">
        <f t="shared" si="489"/>
        <v>3.3488641333475767E-2</v>
      </c>
      <c r="BC62" s="1410">
        <f t="shared" si="489"/>
        <v>3.5502596819011342E-2</v>
      </c>
      <c r="BD62" s="1410">
        <f t="shared" si="489"/>
        <v>3.5158137648892682E-2</v>
      </c>
      <c r="BE62" s="1410">
        <f t="shared" si="489"/>
        <v>4.1780366149697566E-2</v>
      </c>
      <c r="BF62" s="1410">
        <f t="shared" si="489"/>
        <v>3.2737678912652474E-2</v>
      </c>
      <c r="BG62" s="1410">
        <f t="shared" si="489"/>
        <v>3.5647202087704132E-2</v>
      </c>
      <c r="BH62" s="1410">
        <f t="shared" si="489"/>
        <v>3.5509144768971337E-2</v>
      </c>
      <c r="BI62" s="1410">
        <f t="shared" si="489"/>
        <v>3.4354327245221604E-2</v>
      </c>
      <c r="BJ62" s="1410">
        <f t="shared" si="489"/>
        <v>2.8188117293898366E-2</v>
      </c>
      <c r="BK62" s="1410">
        <f t="shared" si="489"/>
        <v>3.074578175437416E-2</v>
      </c>
      <c r="BL62" s="1410">
        <f t="shared" si="489"/>
        <v>3.327667111205701E-2</v>
      </c>
      <c r="BM62" s="1410">
        <f t="shared" si="489"/>
        <v>3.4207858847234408E-2</v>
      </c>
      <c r="BN62" s="1410">
        <f t="shared" si="489"/>
        <v>2.9341358023637371E-2</v>
      </c>
      <c r="BO62" s="1410">
        <f t="shared" si="489"/>
        <v>3.1612723193359678E-2</v>
      </c>
      <c r="BP62" s="1410">
        <f t="shared" si="489"/>
        <v>3.2889918139057103E-2</v>
      </c>
      <c r="BQ62" s="1410">
        <f t="shared" si="489"/>
        <v>1.5400374324479498E-2</v>
      </c>
      <c r="BR62" s="1410">
        <f t="shared" si="489"/>
        <v>1.4297324287116601E-2</v>
      </c>
      <c r="BS62" s="1410">
        <f t="shared" si="489"/>
        <v>2.3314810948690104E-2</v>
      </c>
      <c r="BT62" s="1410">
        <f t="shared" si="489"/>
        <v>2.2233130088197703E-2</v>
      </c>
      <c r="BU62" s="1410">
        <f t="shared" si="489"/>
        <v>2.2499099038853918E-2</v>
      </c>
      <c r="BV62" s="1410">
        <f t="shared" si="489"/>
        <v>2.0769506166886886E-2</v>
      </c>
      <c r="BW62" s="1410">
        <f>+BW57/BW61/3</f>
        <v>2.4768607488724583E-2</v>
      </c>
      <c r="BX62" s="1410">
        <f>+BX57/BX61/3</f>
        <v>2.5648275187448794E-2</v>
      </c>
      <c r="BY62" s="1410">
        <f>+BY57/BY61/3</f>
        <v>2.1699147527802314E-2</v>
      </c>
      <c r="BZ62" s="1410">
        <f>+BZ57/BZ61/3</f>
        <v>2.2374359316586909E-2</v>
      </c>
      <c r="CA62" s="1410">
        <f t="shared" si="489"/>
        <v>2.5312795366866227E-2</v>
      </c>
      <c r="CB62" s="1410">
        <f t="shared" ref="CB62:CC62" si="490">+CB57/CB61/3</f>
        <v>2.6219476612235667E-2</v>
      </c>
      <c r="CC62" s="1410">
        <f t="shared" si="490"/>
        <v>2.4888261739074064E-2</v>
      </c>
      <c r="CD62" s="1410">
        <f t="shared" ref="CD62:CE62" si="491">+CD57/CD61/3</f>
        <v>2.3914508247428124E-2</v>
      </c>
      <c r="CE62" s="1410">
        <f t="shared" si="491"/>
        <v>2.4886903010331252E-2</v>
      </c>
      <c r="CF62" s="1410">
        <f t="shared" ref="CF62:CH62" si="492">+CF57/CF61/3</f>
        <v>2.4478968238101997E-2</v>
      </c>
      <c r="CG62" s="1410">
        <f t="shared" si="492"/>
        <v>2.4809231940106608E-2</v>
      </c>
      <c r="CH62" s="1410">
        <f t="shared" si="492"/>
        <v>2.3943517035470551E-2</v>
      </c>
      <c r="CI62" s="1410">
        <f t="shared" ref="CI62:CJ62" si="493">+CI57/CI61/3</f>
        <v>2.7463789009094602E-2</v>
      </c>
      <c r="CJ62" s="1410">
        <f t="shared" si="493"/>
        <v>2.6594346897554407E-2</v>
      </c>
      <c r="CK62" s="1410">
        <f t="shared" ref="CK62" si="494">+CK57/CK61/3</f>
        <v>2.5553719114644397E-2</v>
      </c>
      <c r="CL62" s="1410">
        <f t="shared" ref="CL62:CP62" si="495">+CL57/CL61/3</f>
        <v>2.3415932987070676E-2</v>
      </c>
      <c r="CM62" s="1410">
        <f t="shared" si="495"/>
        <v>2.5906795565899404E-2</v>
      </c>
      <c r="CN62" s="1410">
        <f t="shared" si="495"/>
        <v>2.4618695813633639E-2</v>
      </c>
      <c r="CO62" s="1410">
        <f t="shared" si="495"/>
        <v>2.5248429359328143E-2</v>
      </c>
      <c r="CP62" s="1410">
        <f t="shared" si="495"/>
        <v>2.4611689166988689E-2</v>
      </c>
      <c r="CQ62" s="1410"/>
      <c r="CR62" s="1411"/>
      <c r="CS62" s="1411"/>
      <c r="CT62" s="1410">
        <v>2.3415932987070676E-2</v>
      </c>
      <c r="CU62" s="1412"/>
      <c r="CV62" s="1409"/>
      <c r="CW62" s="1409"/>
      <c r="CX62" s="1409"/>
      <c r="CY62" s="1409"/>
      <c r="CZ62" s="1409"/>
      <c r="DA62" s="1409"/>
      <c r="DB62" s="1409"/>
      <c r="DC62" s="1409"/>
      <c r="DD62" s="1409"/>
      <c r="DE62" s="1409"/>
      <c r="DF62" s="1410">
        <f>+DF57/DF61/12</f>
        <v>2.9170832350062889E-2</v>
      </c>
      <c r="DG62" s="1410">
        <f t="shared" ref="DG62:DS62" si="496">+DG57/DG61/12</f>
        <v>3.0691054834989736E-2</v>
      </c>
      <c r="DH62" s="1410">
        <f t="shared" si="496"/>
        <v>2.519582900912555E-2</v>
      </c>
      <c r="DI62" s="1410">
        <f t="shared" si="496"/>
        <v>2.4814023797816415E-2</v>
      </c>
      <c r="DJ62" s="1410">
        <f t="shared" si="496"/>
        <v>2.2288036287820053E-2</v>
      </c>
      <c r="DK62" s="1410">
        <f t="shared" si="496"/>
        <v>2.5701815845919102E-2</v>
      </c>
      <c r="DL62" s="1410">
        <f t="shared" si="496"/>
        <v>1.4796468970761201E-2</v>
      </c>
      <c r="DM62" s="1410">
        <f t="shared" si="496"/>
        <v>1.2978211194899917E-2</v>
      </c>
      <c r="DN62" s="1410">
        <f t="shared" si="496"/>
        <v>2.1352976475835284E-2</v>
      </c>
      <c r="DO62" s="1410">
        <f t="shared" si="496"/>
        <v>2.4746131958142101E-2</v>
      </c>
      <c r="DP62" s="1410">
        <f t="shared" ref="DP62:DQ62" si="497">+DP57/DP61/12</f>
        <v>2.1899710921997884E-2</v>
      </c>
      <c r="DQ62" s="1410">
        <f t="shared" si="497"/>
        <v>2.3578899720781001E-2</v>
      </c>
      <c r="DR62" s="1410" t="e">
        <f t="shared" ref="DR62" si="498">+DR57/DR61/12</f>
        <v>#DIV/0!</v>
      </c>
      <c r="DS62" s="1410" t="e">
        <f t="shared" si="496"/>
        <v>#DIV/0!</v>
      </c>
      <c r="DT62" s="1410" t="e">
        <f t="shared" ref="DT62:DV62" si="499">+DT57/DT61/12</f>
        <v>#DIV/0!</v>
      </c>
      <c r="DU62" s="1410" t="e">
        <f t="shared" si="499"/>
        <v>#DIV/0!</v>
      </c>
      <c r="DV62" s="1410" t="e">
        <f t="shared" si="499"/>
        <v>#DIV/0!</v>
      </c>
      <c r="DY62" s="1410" t="e">
        <v>#DIV/0!</v>
      </c>
      <c r="DZ62" s="1410" t="e">
        <v>#DIV/0!</v>
      </c>
    </row>
    <row r="63" spans="1:130">
      <c r="A63" s="124"/>
      <c r="B63" s="124"/>
      <c r="C63" s="6"/>
      <c r="D63" s="6"/>
      <c r="E63" s="6"/>
      <c r="F63" s="6"/>
      <c r="G63" s="6"/>
      <c r="H63" s="6"/>
      <c r="I63" s="6"/>
      <c r="J63" s="6"/>
      <c r="K63" s="6"/>
      <c r="L63" s="6"/>
      <c r="M63" s="6"/>
      <c r="N63" s="6"/>
      <c r="O63" s="6"/>
      <c r="P63" s="6"/>
      <c r="Q63" s="6"/>
      <c r="R63" s="6"/>
      <c r="S63" s="123"/>
      <c r="T63" s="6"/>
      <c r="U63" s="6"/>
      <c r="V63" s="6"/>
      <c r="W63" s="6"/>
      <c r="X63" s="6"/>
      <c r="Y63" s="6"/>
      <c r="Z63" s="6"/>
      <c r="AA63" s="6"/>
      <c r="AB63" s="123"/>
      <c r="AC63" s="6"/>
      <c r="AD63" s="123"/>
      <c r="AE63" s="123"/>
      <c r="AF63" s="123"/>
      <c r="AG63" s="123"/>
      <c r="AH63" s="123"/>
      <c r="AI63" s="123"/>
      <c r="AJ63" s="123"/>
      <c r="AK63" s="123"/>
      <c r="AL63" s="123"/>
      <c r="AM63" s="123"/>
      <c r="AN63" s="123"/>
      <c r="AO63" s="123"/>
      <c r="AP63" s="123"/>
      <c r="AQ63" s="1368"/>
      <c r="AR63" s="1368"/>
      <c r="AS63" s="1368"/>
      <c r="AT63" s="1368"/>
      <c r="AU63" s="1368"/>
      <c r="AV63" s="1368"/>
      <c r="AW63" s="1368"/>
      <c r="AX63" s="1368"/>
      <c r="AY63" s="1368"/>
      <c r="AZ63" s="1368"/>
      <c r="BA63" s="1368"/>
      <c r="BB63" s="1368"/>
      <c r="BC63" s="1368"/>
      <c r="BD63" s="1368"/>
      <c r="BE63" s="1368"/>
      <c r="BF63" s="1368"/>
      <c r="BG63" s="1368"/>
      <c r="BH63" s="1368"/>
      <c r="BI63" s="1368"/>
      <c r="BJ63" s="1368"/>
      <c r="BK63" s="1368"/>
      <c r="BL63" s="1368"/>
      <c r="BM63" s="1368"/>
      <c r="BN63" s="1368"/>
      <c r="BO63" s="1368"/>
      <c r="BP63" s="1368"/>
      <c r="BQ63" s="1368"/>
      <c r="BR63" s="1368"/>
      <c r="BS63" s="1368"/>
      <c r="BT63" s="1368"/>
      <c r="BU63" s="1368"/>
      <c r="BV63" s="1368"/>
      <c r="BW63" s="1368"/>
      <c r="BX63" s="1368"/>
      <c r="BY63" s="1368"/>
      <c r="BZ63" s="1368"/>
      <c r="CA63" s="1368"/>
      <c r="CB63" s="1368"/>
      <c r="CC63" s="1368"/>
      <c r="CD63" s="1368"/>
      <c r="CE63" s="1368"/>
      <c r="CF63" s="1368"/>
      <c r="CG63" s="1368"/>
      <c r="CH63" s="1368"/>
      <c r="CI63" s="1368"/>
      <c r="CJ63" s="1368"/>
      <c r="CK63" s="1368"/>
      <c r="CL63" s="374"/>
      <c r="CM63" s="374"/>
      <c r="CN63" s="374"/>
      <c r="CO63" s="374"/>
      <c r="CP63" s="374"/>
      <c r="CQ63" s="374"/>
      <c r="CR63" s="374"/>
      <c r="CS63" s="374"/>
      <c r="CT63" s="1236"/>
      <c r="CU63" s="702"/>
      <c r="CV63" s="6"/>
      <c r="CW63" s="6"/>
      <c r="CX63" s="6"/>
      <c r="CY63" s="73"/>
      <c r="CZ63" s="6"/>
      <c r="DA63" s="17"/>
      <c r="DB63" s="8"/>
      <c r="DC63" s="8"/>
      <c r="DD63" s="8"/>
      <c r="DE63" s="8"/>
      <c r="DF63" s="682"/>
      <c r="DG63" s="682"/>
      <c r="DH63" s="682"/>
      <c r="DI63" s="682"/>
      <c r="DJ63" s="682"/>
      <c r="DK63" s="682"/>
      <c r="DL63" s="682"/>
      <c r="DM63" s="682"/>
      <c r="DN63" s="682"/>
      <c r="DO63" s="682"/>
      <c r="DP63" s="682"/>
      <c r="DQ63" s="682"/>
      <c r="DR63" s="682"/>
      <c r="DS63" s="682"/>
      <c r="DT63" s="682"/>
      <c r="DU63" s="682"/>
      <c r="DV63" s="682"/>
      <c r="DY63" s="682"/>
      <c r="DZ63" s="682"/>
    </row>
    <row r="64" spans="1:130" s="669" customFormat="1">
      <c r="A64" s="676" t="s">
        <v>196</v>
      </c>
      <c r="B64" s="677"/>
      <c r="C64" s="674">
        <v>-84750</v>
      </c>
      <c r="D64" s="674">
        <v>-91784</v>
      </c>
      <c r="E64" s="674">
        <v>-95129</v>
      </c>
      <c r="F64" s="674">
        <v>-135134</v>
      </c>
      <c r="G64" s="674">
        <v>-95514</v>
      </c>
      <c r="H64" s="674">
        <v>-117471</v>
      </c>
      <c r="I64" s="674">
        <v>-111847</v>
      </c>
      <c r="J64" s="674">
        <v>-162929</v>
      </c>
      <c r="K64" s="674">
        <v>-117831</v>
      </c>
      <c r="L64" s="674">
        <v>-151756</v>
      </c>
      <c r="M64" s="674">
        <v>-141088</v>
      </c>
      <c r="N64" s="674">
        <v>-208668</v>
      </c>
      <c r="O64" s="674">
        <v>-164909</v>
      </c>
      <c r="P64" s="674">
        <v>-201551</v>
      </c>
      <c r="Q64" s="674">
        <v>-193465</v>
      </c>
      <c r="R64" s="674">
        <v>-263324</v>
      </c>
      <c r="S64" s="674">
        <v>-204130</v>
      </c>
      <c r="T64" s="674">
        <v>-247727</v>
      </c>
      <c r="U64" s="674">
        <v>-232710</v>
      </c>
      <c r="V64" s="674">
        <v>-276144</v>
      </c>
      <c r="W64" s="674">
        <v>-214414</v>
      </c>
      <c r="X64" s="674">
        <v>-254160</v>
      </c>
      <c r="Y64" s="674">
        <v>-249284</v>
      </c>
      <c r="Z64" s="674">
        <v>-290240</v>
      </c>
      <c r="AA64" s="674">
        <v>-242834</v>
      </c>
      <c r="AB64" s="674">
        <v>-275480</v>
      </c>
      <c r="AC64" s="674">
        <v>-275741</v>
      </c>
      <c r="AD64" s="674">
        <v>-336298</v>
      </c>
      <c r="AE64" s="674">
        <v>-290161</v>
      </c>
      <c r="AF64" s="674">
        <v>-333704</v>
      </c>
      <c r="AG64" s="674">
        <v>-332503</v>
      </c>
      <c r="AH64" s="674">
        <v>-409791</v>
      </c>
      <c r="AI64" s="674">
        <v>-365206</v>
      </c>
      <c r="AJ64" s="674">
        <v>-407715</v>
      </c>
      <c r="AK64" s="674">
        <v>-400138</v>
      </c>
      <c r="AL64" s="674">
        <v>-495952</v>
      </c>
      <c r="AM64" s="674">
        <v>-429671</v>
      </c>
      <c r="AN64" s="674">
        <v>-458689</v>
      </c>
      <c r="AO64" s="674">
        <v>-453196</v>
      </c>
      <c r="AP64" s="674">
        <v>-510750</v>
      </c>
      <c r="AQ64" s="674">
        <f>AQ73+AQ82+AQ89+AQ94+AQ96</f>
        <v>-458621.48</v>
      </c>
      <c r="AR64" s="674">
        <f t="shared" ref="AR64:CD64" si="500">AR73+AR82+AR89+AR94+AR96</f>
        <v>-553031</v>
      </c>
      <c r="AS64" s="674">
        <f t="shared" si="500"/>
        <v>-554792</v>
      </c>
      <c r="AT64" s="674">
        <f t="shared" si="500"/>
        <v>-682411.73100000003</v>
      </c>
      <c r="AU64" s="674">
        <f t="shared" si="500"/>
        <v>-571198.72048999986</v>
      </c>
      <c r="AV64" s="674">
        <f t="shared" si="500"/>
        <v>-663910.35935999989</v>
      </c>
      <c r="AW64" s="674">
        <f t="shared" si="500"/>
        <v>-667252</v>
      </c>
      <c r="AX64" s="674">
        <f t="shared" si="500"/>
        <v>-798231.69659000007</v>
      </c>
      <c r="AY64" s="674">
        <f t="shared" si="500"/>
        <v>-653402</v>
      </c>
      <c r="AZ64" s="674">
        <f t="shared" si="500"/>
        <v>-738046</v>
      </c>
      <c r="BA64" s="674">
        <f t="shared" si="500"/>
        <v>-718719</v>
      </c>
      <c r="BB64" s="674">
        <f t="shared" si="500"/>
        <v>-790639</v>
      </c>
      <c r="BC64" s="674">
        <f t="shared" si="500"/>
        <v>-741732</v>
      </c>
      <c r="BD64" s="674">
        <f t="shared" si="500"/>
        <v>-824385</v>
      </c>
      <c r="BE64" s="674">
        <f t="shared" si="500"/>
        <v>-837896</v>
      </c>
      <c r="BF64" s="674">
        <f t="shared" si="500"/>
        <v>-1008140</v>
      </c>
      <c r="BG64" s="674">
        <f t="shared" si="500"/>
        <v>-838808</v>
      </c>
      <c r="BH64" s="674">
        <f t="shared" si="500"/>
        <v>-903099.03514000005</v>
      </c>
      <c r="BI64" s="674">
        <f t="shared" si="500"/>
        <v>-895618.56825000001</v>
      </c>
      <c r="BJ64" s="674">
        <f t="shared" si="500"/>
        <v>-1080676.7492</v>
      </c>
      <c r="BK64" s="674">
        <f t="shared" si="500"/>
        <v>-900210</v>
      </c>
      <c r="BL64" s="674">
        <f t="shared" si="500"/>
        <v>-1032648</v>
      </c>
      <c r="BM64" s="674">
        <f t="shared" si="500"/>
        <v>-1046514</v>
      </c>
      <c r="BN64" s="674">
        <f t="shared" si="500"/>
        <v>-1202165</v>
      </c>
      <c r="BO64" s="674">
        <f t="shared" si="500"/>
        <v>-1134752</v>
      </c>
      <c r="BP64" s="674">
        <f t="shared" si="500"/>
        <v>-83607</v>
      </c>
      <c r="BQ64" s="674">
        <f t="shared" si="500"/>
        <v>-1047291</v>
      </c>
      <c r="BR64" s="674">
        <f t="shared" si="500"/>
        <v>-1191081</v>
      </c>
      <c r="BS64" s="674">
        <f t="shared" si="500"/>
        <v>-1097357</v>
      </c>
      <c r="BT64" s="674">
        <f t="shared" si="500"/>
        <v>-1209341</v>
      </c>
      <c r="BU64" s="674">
        <f t="shared" si="500"/>
        <v>-1309314</v>
      </c>
      <c r="BV64" s="674">
        <f t="shared" si="500"/>
        <v>-1742422</v>
      </c>
      <c r="BW64" s="674">
        <f>BW73+BW82+BW89+BW94+BW96</f>
        <v>-1450798</v>
      </c>
      <c r="BX64" s="674">
        <f t="shared" si="500"/>
        <v>-1770282</v>
      </c>
      <c r="BY64" s="674">
        <f>BY73+BY82+BY89+BY94+BY96</f>
        <v>-1575209</v>
      </c>
      <c r="BZ64" s="674">
        <f t="shared" si="500"/>
        <v>-1781126</v>
      </c>
      <c r="CA64" s="674">
        <f t="shared" si="500"/>
        <v>-1729126</v>
      </c>
      <c r="CB64" s="674">
        <f t="shared" ref="CB64" si="501">CB73+CB82+CB89+CB94+CB96</f>
        <v>-1873356</v>
      </c>
      <c r="CC64" s="674">
        <f t="shared" si="500"/>
        <v>-1755853</v>
      </c>
      <c r="CD64" s="674">
        <f t="shared" si="500"/>
        <v>-1973190</v>
      </c>
      <c r="CE64" s="674">
        <f t="shared" ref="CE64" si="502">CE73+CE82+CE89+CE94+CE96</f>
        <v>-1693305</v>
      </c>
      <c r="CF64" s="674">
        <f t="shared" ref="CF64:CG64" si="503">CF73+CF82+CF89+CF94+CF96</f>
        <v>-1802851</v>
      </c>
      <c r="CG64" s="674">
        <f t="shared" si="503"/>
        <v>-1769774</v>
      </c>
      <c r="CH64" s="674">
        <f>CH73+CH82+CH89+CH94+CH96</f>
        <v>-2216676</v>
      </c>
      <c r="CI64" s="674">
        <f t="shared" ref="CI64:CK64" si="504">CI73+CI82+CI89+CI94+CI96</f>
        <v>-1748464</v>
      </c>
      <c r="CJ64" s="674">
        <f t="shared" si="504"/>
        <v>-2045899</v>
      </c>
      <c r="CK64" s="674">
        <f t="shared" si="504"/>
        <v>-1907387</v>
      </c>
      <c r="CL64" s="678">
        <f>CL73+CL82+CL89+CL94+CL96</f>
        <v>-2233803.0928387139</v>
      </c>
      <c r="CM64" s="678">
        <f t="shared" ref="CM64:CP64" si="505">CM73+CM82+CM89+CM94+CM96</f>
        <v>-1925932.4237410128</v>
      </c>
      <c r="CN64" s="678">
        <f t="shared" si="505"/>
        <v>-2228221.2582785059</v>
      </c>
      <c r="CO64" s="678">
        <f t="shared" si="505"/>
        <v>-2068335.1711191668</v>
      </c>
      <c r="CP64" s="678">
        <f t="shared" si="505"/>
        <v>-2398421.4284498105</v>
      </c>
      <c r="CQ64" s="678"/>
      <c r="CR64" s="678"/>
      <c r="CS64" s="678"/>
      <c r="CT64" s="678">
        <v>-2233803.0928387139</v>
      </c>
      <c r="CU64" s="1134">
        <f>+CK64/CT64-1</f>
        <v>-0.14612572338410756</v>
      </c>
      <c r="CV64" s="674">
        <v>-406797</v>
      </c>
      <c r="CW64" s="674">
        <v>-487761</v>
      </c>
      <c r="CX64" s="674">
        <v>-619343</v>
      </c>
      <c r="CY64" s="674">
        <v>-823249</v>
      </c>
      <c r="CZ64" s="674">
        <v>-960711</v>
      </c>
      <c r="DA64" s="674">
        <v>-1008098</v>
      </c>
      <c r="DB64" s="674">
        <v>-1130353</v>
      </c>
      <c r="DC64" s="674">
        <v>-1366159</v>
      </c>
      <c r="DD64" s="674">
        <v>-1669011</v>
      </c>
      <c r="DE64" s="674">
        <v>-1852306</v>
      </c>
      <c r="DF64" s="674">
        <f t="shared" ref="DF64:DS64" si="506">DF73+DF82+DF89+DF94+DF96</f>
        <v>-2248856.2110000001</v>
      </c>
      <c r="DG64" s="674">
        <f t="shared" si="506"/>
        <v>-2700592.7764399997</v>
      </c>
      <c r="DH64" s="674">
        <f t="shared" si="506"/>
        <v>-2900806</v>
      </c>
      <c r="DI64" s="674">
        <f t="shared" si="506"/>
        <v>-3412153</v>
      </c>
      <c r="DJ64" s="674">
        <f t="shared" si="506"/>
        <v>-3718202.3525900003</v>
      </c>
      <c r="DK64" s="674">
        <f t="shared" si="506"/>
        <v>-4181537</v>
      </c>
      <c r="DL64" s="674">
        <f t="shared" si="506"/>
        <v>-3456731</v>
      </c>
      <c r="DM64" s="674">
        <f t="shared" si="506"/>
        <v>-5358434</v>
      </c>
      <c r="DN64" s="674">
        <f t="shared" si="506"/>
        <v>-6577415</v>
      </c>
      <c r="DO64" s="674">
        <f>DO73+DO82+DO89+DO94+DO96</f>
        <v>-7331525</v>
      </c>
      <c r="DP64" s="674">
        <f t="shared" ref="DP64:DQ64" si="507">DP73+DP82+DP89+DP94+DP96</f>
        <v>-7482606</v>
      </c>
      <c r="DQ64" s="674">
        <f t="shared" si="507"/>
        <v>-7935553.0928387139</v>
      </c>
      <c r="DR64" s="674">
        <f t="shared" ref="DR64" si="508">DR73+DR82+DR89+DR94+DR96</f>
        <v>-8620910.2815884948</v>
      </c>
      <c r="DS64" s="678">
        <f t="shared" si="506"/>
        <v>-8834921.5107636414</v>
      </c>
      <c r="DT64" s="678">
        <f t="shared" ref="DT64:DV64" si="509">DT73+DT82+DT89+DT94+DT96</f>
        <v>-9249750.8705707639</v>
      </c>
      <c r="DU64" s="678">
        <f t="shared" si="509"/>
        <v>-9711825.3716966063</v>
      </c>
      <c r="DV64" s="678">
        <f t="shared" si="509"/>
        <v>-10214422.58274707</v>
      </c>
      <c r="DY64" s="678">
        <v>-8430181.8280610535</v>
      </c>
      <c r="DZ64" s="678">
        <v>-8645911.8625866491</v>
      </c>
    </row>
    <row r="65" spans="1:130">
      <c r="A65" s="144" t="s">
        <v>185</v>
      </c>
      <c r="B65" s="144"/>
      <c r="C65" s="116">
        <v>-0.4805702199565644</v>
      </c>
      <c r="D65" s="116">
        <v>-0.38328134330539654</v>
      </c>
      <c r="E65" s="116">
        <v>-0.45309232930866139</v>
      </c>
      <c r="F65" s="116">
        <v>-0.41195999109829373</v>
      </c>
      <c r="G65" s="116">
        <v>-0.45438716675229779</v>
      </c>
      <c r="H65" s="116">
        <v>-0.39715398502951499</v>
      </c>
      <c r="I65" s="116">
        <v>-0.41140337003019861</v>
      </c>
      <c r="J65" s="116">
        <v>-0.38401744151788347</v>
      </c>
      <c r="K65" s="116">
        <v>-0.44172489803262954</v>
      </c>
      <c r="L65" s="116">
        <v>-0.39845612561046051</v>
      </c>
      <c r="M65" s="116">
        <v>-0.40684339378350398</v>
      </c>
      <c r="N65" s="116">
        <v>-0.38869754246617699</v>
      </c>
      <c r="O65" s="116">
        <v>-0.47448317532476875</v>
      </c>
      <c r="P65" s="116">
        <v>-0.41059787480239246</v>
      </c>
      <c r="Q65" s="116">
        <v>-0.4357202057602047</v>
      </c>
      <c r="R65" s="116">
        <v>-0.40605088666152661</v>
      </c>
      <c r="S65" s="116">
        <v>-0.47274529466392773</v>
      </c>
      <c r="T65" s="116">
        <v>-0.43741204597181588</v>
      </c>
      <c r="U65" s="116">
        <v>-0.45507167021921507</v>
      </c>
      <c r="V65" s="116">
        <v>-0.41001762453358831</v>
      </c>
      <c r="W65" s="116">
        <v>-0.51156432071843372</v>
      </c>
      <c r="X65" s="116">
        <v>-0.41433681004998257</v>
      </c>
      <c r="Y65" s="116">
        <v>-0.45134715767022565</v>
      </c>
      <c r="Z65" s="116">
        <v>-0.37269074655000389</v>
      </c>
      <c r="AA65" s="116">
        <v>-0.4801985386448353</v>
      </c>
      <c r="AB65" s="116">
        <v>-0.39241159058599639</v>
      </c>
      <c r="AC65" s="116">
        <v>-0.42825370841765381</v>
      </c>
      <c r="AD65" s="116">
        <v>-0.37376743813850927</v>
      </c>
      <c r="AE65" s="116">
        <v>-0.48459751455908556</v>
      </c>
      <c r="AF65" s="116">
        <v>-0.39896750312941243</v>
      </c>
      <c r="AG65" s="116">
        <v>-0.44816436229145384</v>
      </c>
      <c r="AH65" s="116">
        <v>-0.38607299182049942</v>
      </c>
      <c r="AI65" s="116">
        <v>-0.51489970053970524</v>
      </c>
      <c r="AJ65" s="116">
        <v>-0.42672384018487547</v>
      </c>
      <c r="AK65" s="116">
        <v>-0.44211310214373001</v>
      </c>
      <c r="AL65" s="116">
        <v>-0.38364997834024384</v>
      </c>
      <c r="AM65" s="116">
        <v>-0.51528386897930456</v>
      </c>
      <c r="AN65" s="116">
        <v>-0.43256142481813503</v>
      </c>
      <c r="AO65" s="116">
        <v>-0.4436855991815436</v>
      </c>
      <c r="AP65" s="116">
        <v>-0.35110525114594704</v>
      </c>
      <c r="AQ65" s="116">
        <f t="shared" ref="AQ65:CD65" si="510">AQ64/AQ26</f>
        <v>-0.4886156396559182</v>
      </c>
      <c r="AR65" s="116">
        <f t="shared" si="510"/>
        <v>-0.44058210938570525</v>
      </c>
      <c r="AS65" s="116">
        <f t="shared" si="510"/>
        <v>-0.46086610516837057</v>
      </c>
      <c r="AT65" s="116">
        <f t="shared" si="510"/>
        <v>-0.37528162465993437</v>
      </c>
      <c r="AU65" s="116">
        <f t="shared" si="510"/>
        <v>-0.4865626135506968</v>
      </c>
      <c r="AV65" s="116">
        <f t="shared" si="510"/>
        <v>-0.43212049416786363</v>
      </c>
      <c r="AW65" s="116">
        <f t="shared" si="510"/>
        <v>-0.46969565783592204</v>
      </c>
      <c r="AX65" s="116">
        <f t="shared" si="510"/>
        <v>-0.3962932496245492</v>
      </c>
      <c r="AY65" s="116">
        <f t="shared" si="510"/>
        <v>-0.52382414506052344</v>
      </c>
      <c r="AZ65" s="116">
        <f t="shared" si="510"/>
        <v>-0.44795761055608835</v>
      </c>
      <c r="BA65" s="116">
        <f t="shared" si="510"/>
        <v>-0.49709820455946035</v>
      </c>
      <c r="BB65" s="116">
        <f t="shared" si="510"/>
        <v>-0.37456805517523672</v>
      </c>
      <c r="BC65" s="116">
        <f t="shared" si="510"/>
        <v>-0.52407222657144226</v>
      </c>
      <c r="BD65" s="116">
        <f t="shared" si="510"/>
        <v>-0.45020511901927335</v>
      </c>
      <c r="BE65" s="116">
        <f t="shared" si="510"/>
        <v>-0.47979101877773239</v>
      </c>
      <c r="BF65" s="116">
        <f t="shared" si="510"/>
        <v>-0.41123863539946609</v>
      </c>
      <c r="BG65" s="116">
        <f t="shared" si="510"/>
        <v>-0.51514814666965547</v>
      </c>
      <c r="BH65" s="116">
        <f t="shared" si="510"/>
        <v>-0.44705726266609974</v>
      </c>
      <c r="BI65" s="116">
        <f t="shared" si="510"/>
        <v>-0.46087793896221252</v>
      </c>
      <c r="BJ65" s="116">
        <f t="shared" si="510"/>
        <v>-0.3812084391847107</v>
      </c>
      <c r="BK65" s="116">
        <f t="shared" si="510"/>
        <v>-0.47576867603853251</v>
      </c>
      <c r="BL65" s="116">
        <f t="shared" si="510"/>
        <v>-0.4505437163285928</v>
      </c>
      <c r="BM65" s="116">
        <f t="shared" si="510"/>
        <v>-0.47018382526378688</v>
      </c>
      <c r="BN65" s="116">
        <f t="shared" si="510"/>
        <v>-0.37821045435340078</v>
      </c>
      <c r="BO65" s="116">
        <f t="shared" si="510"/>
        <v>-0.60885059833315536</v>
      </c>
      <c r="BP65" s="116">
        <f t="shared" si="510"/>
        <v>-0.10340925113728285</v>
      </c>
      <c r="BQ65" s="116">
        <f t="shared" si="510"/>
        <v>-0.58506602370115957</v>
      </c>
      <c r="BR65" s="116">
        <f t="shared" si="510"/>
        <v>-0.38735928691712246</v>
      </c>
      <c r="BS65" s="116">
        <f t="shared" si="510"/>
        <v>-0.69391751834141269</v>
      </c>
      <c r="BT65" s="116">
        <f t="shared" si="510"/>
        <v>-0.48562197299675181</v>
      </c>
      <c r="BU65" s="116">
        <f t="shared" si="510"/>
        <v>-0.4981620479669201</v>
      </c>
      <c r="BV65" s="116">
        <f t="shared" si="510"/>
        <v>-0.45005452138730595</v>
      </c>
      <c r="BW65" s="116">
        <f t="shared" si="510"/>
        <v>-0.5552180156018468</v>
      </c>
      <c r="BX65" s="116">
        <f t="shared" si="510"/>
        <v>-0.48817360328066584</v>
      </c>
      <c r="BY65" s="116">
        <f>BY64/BY26</f>
        <v>-0.52200168874137076</v>
      </c>
      <c r="BZ65" s="116">
        <f t="shared" si="510"/>
        <v>-0.44371253248513259</v>
      </c>
      <c r="CA65" s="116">
        <f t="shared" si="510"/>
        <v>-0.62304290863808209</v>
      </c>
      <c r="CB65" s="116">
        <f t="shared" ref="CB65" si="511">CB64/CB26</f>
        <v>-0.53462089796388956</v>
      </c>
      <c r="CC65" s="116">
        <f t="shared" si="510"/>
        <v>-0.56693528389174896</v>
      </c>
      <c r="CD65" s="116">
        <f t="shared" si="510"/>
        <v>-0.46195630543585697</v>
      </c>
      <c r="CE65" s="116">
        <f t="shared" ref="CE65" si="512">CE64/CE26</f>
        <v>-0.58224209825224726</v>
      </c>
      <c r="CF65" s="116">
        <f t="shared" ref="CF65:CH65" si="513">CF64/CF26</f>
        <v>-0.51211669385588132</v>
      </c>
      <c r="CG65" s="116">
        <f t="shared" si="513"/>
        <v>-0.52197885332261318</v>
      </c>
      <c r="CH65" s="116">
        <f t="shared" si="513"/>
        <v>-0.48008919658746818</v>
      </c>
      <c r="CI65" s="116">
        <f t="shared" ref="CI65:CL65" si="514">CI64/CI26</f>
        <v>-0.53673774610323755</v>
      </c>
      <c r="CJ65" s="116">
        <f t="shared" si="514"/>
        <v>-0.49090980202833018</v>
      </c>
      <c r="CK65" s="116">
        <f t="shared" si="514"/>
        <v>-0.53526083549975978</v>
      </c>
      <c r="CL65" s="116">
        <f t="shared" si="514"/>
        <v>-0.46269419724289429</v>
      </c>
      <c r="CM65" s="116">
        <f t="shared" ref="CM65:CP65" si="515">CM64/CM26</f>
        <v>-0.56080409839162515</v>
      </c>
      <c r="CN65" s="116">
        <f t="shared" si="515"/>
        <v>-0.51152319805883317</v>
      </c>
      <c r="CO65" s="116">
        <f t="shared" si="515"/>
        <v>-0.53852955571791572</v>
      </c>
      <c r="CP65" s="116">
        <f t="shared" si="515"/>
        <v>-0.45682635155546603</v>
      </c>
      <c r="CQ65" s="116"/>
      <c r="CR65" s="116"/>
      <c r="CS65" s="116"/>
      <c r="CT65" s="116">
        <v>-0.46269419724289429</v>
      </c>
      <c r="CU65" s="1135">
        <f>+CK65-CT65</f>
        <v>-7.256663825686549E-2</v>
      </c>
      <c r="CV65" s="116">
        <v>-0.42649957433602709</v>
      </c>
      <c r="CW65" s="116">
        <v>-0.40574797359349418</v>
      </c>
      <c r="CX65" s="116">
        <v>-0.40447206769946931</v>
      </c>
      <c r="CY65" s="116">
        <v>-0.42634645630959861</v>
      </c>
      <c r="CZ65" s="116">
        <v>-0.44008608309547337</v>
      </c>
      <c r="DA65" s="116">
        <v>-0.4265045091698017</v>
      </c>
      <c r="DB65" s="116">
        <v>-0.41083756339642746</v>
      </c>
      <c r="DC65" s="116">
        <v>-0.42184384207461256</v>
      </c>
      <c r="DD65" s="116">
        <v>-0.43210551279117093</v>
      </c>
      <c r="DE65" s="116">
        <v>-0.4238316009904855</v>
      </c>
      <c r="DF65" s="116">
        <f t="shared" ref="DF65:DS65" si="516">DF64/DF26</f>
        <v>-0.4311421090389575</v>
      </c>
      <c r="DG65" s="116">
        <f t="shared" si="516"/>
        <v>-0.43946391579897015</v>
      </c>
      <c r="DH65" s="116">
        <f t="shared" si="516"/>
        <v>-0.44962722309883779</v>
      </c>
      <c r="DI65" s="116">
        <f t="shared" si="516"/>
        <v>-0.45835749609936721</v>
      </c>
      <c r="DJ65" s="116">
        <f t="shared" si="516"/>
        <v>-0.44124894812592741</v>
      </c>
      <c r="DK65" s="116">
        <f t="shared" si="516"/>
        <v>-0.43610204666307972</v>
      </c>
      <c r="DL65" s="116">
        <f t="shared" si="516"/>
        <v>-0.45862391504514949</v>
      </c>
      <c r="DM65" s="116">
        <f t="shared" si="516"/>
        <v>-0.50687277468315239</v>
      </c>
      <c r="DN65" s="116">
        <f t="shared" si="516"/>
        <v>-0.49561804689379668</v>
      </c>
      <c r="DO65" s="116">
        <f t="shared" si="516"/>
        <v>-0.53719271073412378</v>
      </c>
      <c r="DP65" s="116">
        <f t="shared" ref="DP65:DQ65" si="517">DP64/DP26</f>
        <v>-0.51831645166103435</v>
      </c>
      <c r="DQ65" s="116">
        <f t="shared" si="517"/>
        <v>-0.50172841748756714</v>
      </c>
      <c r="DR65" s="116">
        <f t="shared" ref="DR65" si="518">DR64/DR26</f>
        <v>-0.51068186439794316</v>
      </c>
      <c r="DS65" s="679">
        <f t="shared" si="516"/>
        <v>-0.48299704904915436</v>
      </c>
      <c r="DT65" s="679">
        <f t="shared" ref="DT65:DV65" si="519">DT64/DT26</f>
        <v>-0.4733706376611862</v>
      </c>
      <c r="DU65" s="679">
        <f t="shared" si="519"/>
        <v>-0.46526564960021272</v>
      </c>
      <c r="DV65" s="679">
        <f t="shared" si="519"/>
        <v>-0.45810367180743167</v>
      </c>
      <c r="DY65" s="679">
        <v>-0.49083194926875912</v>
      </c>
      <c r="DZ65" s="679">
        <v>-0.46642711990912422</v>
      </c>
    </row>
    <row r="66" spans="1:130">
      <c r="A66" s="116" t="s">
        <v>170</v>
      </c>
      <c r="B66" s="116"/>
      <c r="C66" s="116"/>
      <c r="D66" s="116">
        <v>8.299705014749259E-2</v>
      </c>
      <c r="E66" s="116">
        <v>3.6444260437549003E-2</v>
      </c>
      <c r="F66" s="116">
        <v>0.42053422195124512</v>
      </c>
      <c r="G66" s="116">
        <v>-0.29319046279988747</v>
      </c>
      <c r="H66" s="116">
        <v>0.22988253030969275</v>
      </c>
      <c r="I66" s="116">
        <v>-4.7875645904095432E-2</v>
      </c>
      <c r="J66" s="116">
        <v>0.45671318855221865</v>
      </c>
      <c r="K66" s="116">
        <v>-0.27679541395331708</v>
      </c>
      <c r="L66" s="116">
        <v>0.28791234904227236</v>
      </c>
      <c r="M66" s="116">
        <v>-7.029705580010015E-2</v>
      </c>
      <c r="N66" s="116">
        <v>0.47899183488319341</v>
      </c>
      <c r="O66" s="116">
        <v>-0.20970632775509424</v>
      </c>
      <c r="P66" s="116">
        <v>0.22219527133146166</v>
      </c>
      <c r="Q66" s="116">
        <v>-4.0118878100331878E-2</v>
      </c>
      <c r="R66" s="116">
        <v>0.36109373788540555</v>
      </c>
      <c r="S66" s="116">
        <v>-0.22479530920083246</v>
      </c>
      <c r="T66" s="116">
        <v>0.21357468280017633</v>
      </c>
      <c r="U66" s="116">
        <v>-6.0619149305485509E-2</v>
      </c>
      <c r="V66" s="116">
        <v>0.18664432125821828</v>
      </c>
      <c r="W66" s="116">
        <v>-0.22354278926936666</v>
      </c>
      <c r="X66" s="116">
        <v>0.18537035827884374</v>
      </c>
      <c r="Y66" s="116">
        <v>-1.9184765502045953E-2</v>
      </c>
      <c r="Z66" s="116">
        <v>0.16429453956130358</v>
      </c>
      <c r="AA66" s="116">
        <v>-0.16333379272326354</v>
      </c>
      <c r="AB66" s="116">
        <v>0.13443751698691297</v>
      </c>
      <c r="AC66" s="116">
        <v>9.4743720052270497E-4</v>
      </c>
      <c r="AD66" s="116">
        <v>0.21961550875640556</v>
      </c>
      <c r="AE66" s="116">
        <v>-0.13719082480419154</v>
      </c>
      <c r="AF66" s="116">
        <v>0.15006496393381608</v>
      </c>
      <c r="AG66" s="116">
        <v>-3.5989979143192796E-3</v>
      </c>
      <c r="AH66" s="116">
        <v>0.23244301555173941</v>
      </c>
      <c r="AI66" s="116">
        <v>-0.108799363578019</v>
      </c>
      <c r="AJ66" s="116">
        <v>0.11639732096405875</v>
      </c>
      <c r="AK66" s="116">
        <v>-1.8584059943833275E-2</v>
      </c>
      <c r="AL66" s="116">
        <v>0.23945238892582066</v>
      </c>
      <c r="AM66" s="116">
        <v>-0.13364398167564606</v>
      </c>
      <c r="AN66" s="116">
        <v>6.7535393359104967E-2</v>
      </c>
      <c r="AO66" s="116">
        <v>-1.1975434335682822E-2</v>
      </c>
      <c r="AP66" s="116">
        <v>0.12699582520587116</v>
      </c>
      <c r="AQ66" s="116">
        <f t="shared" ref="AQ66:BV66" si="520">AQ64/AP64-1</f>
        <v>-0.1020626921194322</v>
      </c>
      <c r="AR66" s="116">
        <f t="shared" si="520"/>
        <v>0.20585498960929605</v>
      </c>
      <c r="AS66" s="116">
        <f t="shared" si="520"/>
        <v>3.1842699595501234E-3</v>
      </c>
      <c r="AT66" s="116">
        <f t="shared" si="520"/>
        <v>0.23003167132907465</v>
      </c>
      <c r="AU66" s="116">
        <f t="shared" si="520"/>
        <v>-0.162970543233525</v>
      </c>
      <c r="AV66" s="116">
        <f t="shared" si="520"/>
        <v>0.16231065572147618</v>
      </c>
      <c r="AW66" s="116">
        <f t="shared" si="520"/>
        <v>5.0332708217135647E-3</v>
      </c>
      <c r="AX66" s="116">
        <f t="shared" si="520"/>
        <v>0.1962971959469586</v>
      </c>
      <c r="AY66" s="116">
        <f t="shared" si="520"/>
        <v>-0.181438167901255</v>
      </c>
      <c r="AZ66" s="116">
        <f t="shared" si="520"/>
        <v>0.12954352756802101</v>
      </c>
      <c r="BA66" s="116">
        <f t="shared" si="520"/>
        <v>-2.6186714649222398E-2</v>
      </c>
      <c r="BB66" s="116">
        <f t="shared" si="520"/>
        <v>0.10006692462561873</v>
      </c>
      <c r="BC66" s="116">
        <f t="shared" si="520"/>
        <v>-6.1857560783113441E-2</v>
      </c>
      <c r="BD66" s="116">
        <f t="shared" si="520"/>
        <v>0.11143243112067425</v>
      </c>
      <c r="BE66" s="116">
        <f t="shared" si="520"/>
        <v>1.6389187090982915E-2</v>
      </c>
      <c r="BF66" s="116">
        <f t="shared" si="520"/>
        <v>0.20318034696430098</v>
      </c>
      <c r="BG66" s="116">
        <f t="shared" si="520"/>
        <v>-0.16796476679826211</v>
      </c>
      <c r="BH66" s="116">
        <f t="shared" si="520"/>
        <v>7.6645710508245202E-2</v>
      </c>
      <c r="BI66" s="116">
        <f t="shared" si="520"/>
        <v>-8.2831080523083633E-3</v>
      </c>
      <c r="BJ66" s="116">
        <f t="shared" si="520"/>
        <v>0.20662611016606736</v>
      </c>
      <c r="BK66" s="116">
        <f t="shared" si="520"/>
        <v>-0.16699420000809251</v>
      </c>
      <c r="BL66" s="116">
        <f t="shared" si="520"/>
        <v>0.14711900556536817</v>
      </c>
      <c r="BM66" s="116">
        <f t="shared" si="520"/>
        <v>1.342761521835123E-2</v>
      </c>
      <c r="BN66" s="116">
        <f t="shared" si="520"/>
        <v>0.14873284065000569</v>
      </c>
      <c r="BO66" s="116">
        <f t="shared" si="520"/>
        <v>-5.6076328956507604E-2</v>
      </c>
      <c r="BP66" s="116">
        <f t="shared" si="520"/>
        <v>-0.92632134598573079</v>
      </c>
      <c r="BQ66" s="116">
        <f t="shared" si="520"/>
        <v>11.526355448706449</v>
      </c>
      <c r="BR66" s="116">
        <f t="shared" si="520"/>
        <v>0.13729708361859316</v>
      </c>
      <c r="BS66" s="116">
        <f t="shared" si="520"/>
        <v>-7.8688183255378963E-2</v>
      </c>
      <c r="BT66" s="116">
        <f t="shared" si="520"/>
        <v>0.1020488318751327</v>
      </c>
      <c r="BU66" s="116">
        <f t="shared" si="520"/>
        <v>8.2667337004203034E-2</v>
      </c>
      <c r="BV66" s="116">
        <f t="shared" si="520"/>
        <v>0.33079001675686648</v>
      </c>
      <c r="BW66" s="116">
        <f t="shared" ref="BW66:CE66" si="521">BW64/BV64-1</f>
        <v>-0.16736703278539866</v>
      </c>
      <c r="BX66" s="116">
        <f t="shared" si="521"/>
        <v>0.22021260023793809</v>
      </c>
      <c r="BY66" s="116">
        <f t="shared" si="521"/>
        <v>-0.11019317826199437</v>
      </c>
      <c r="BZ66" s="116">
        <f t="shared" si="521"/>
        <v>0.1307236055659915</v>
      </c>
      <c r="CA66" s="116">
        <f t="shared" si="521"/>
        <v>-2.9195014838927724E-2</v>
      </c>
      <c r="CB66" s="116">
        <f t="shared" si="521"/>
        <v>8.3412082173305979E-2</v>
      </c>
      <c r="CC66" s="116">
        <f t="shared" si="521"/>
        <v>-6.2723262423159287E-2</v>
      </c>
      <c r="CD66" s="116">
        <f t="shared" si="521"/>
        <v>0.12377858510934581</v>
      </c>
      <c r="CE66" s="116">
        <f t="shared" si="521"/>
        <v>-0.14184391771699634</v>
      </c>
      <c r="CF66" s="116">
        <f t="shared" ref="CF66" si="522">CF64/CE64-1</f>
        <v>6.4693602156729035E-2</v>
      </c>
      <c r="CG66" s="116">
        <f t="shared" ref="CG66:CH66" si="523">CG64/CF64-1</f>
        <v>-1.8347051420222749E-2</v>
      </c>
      <c r="CH66" s="116">
        <f t="shared" si="523"/>
        <v>0.25251924822039418</v>
      </c>
      <c r="CI66" s="116">
        <f t="shared" ref="CI66" si="524">CI64/CH64-1</f>
        <v>-0.21122256928843008</v>
      </c>
      <c r="CJ66" s="116">
        <f t="shared" ref="CJ66" si="525">CJ64/CI64-1</f>
        <v>0.17011216702202625</v>
      </c>
      <c r="CK66" s="116">
        <f t="shared" ref="CK66" si="526">CK64/CJ64-1</f>
        <v>-6.7702266827443625E-2</v>
      </c>
      <c r="CL66" s="116">
        <f t="shared" ref="CL66" si="527">CL64/CK64-1</f>
        <v>0.17113259807197689</v>
      </c>
      <c r="CM66" s="116">
        <f t="shared" ref="CM66" si="528">CM64/CL64-1</f>
        <v>-0.13782354858612877</v>
      </c>
      <c r="CN66" s="116">
        <f t="shared" ref="CN66" si="529">CN64/CM64-1</f>
        <v>0.15695713453450999</v>
      </c>
      <c r="CO66" s="116">
        <f t="shared" ref="CO66" si="530">CO64/CN64-1</f>
        <v>-7.1755031761462029E-2</v>
      </c>
      <c r="CP66" s="116">
        <f t="shared" ref="CP66" si="531">CP64/CO64-1</f>
        <v>0.15959031299169735</v>
      </c>
      <c r="CQ66" s="116"/>
      <c r="CR66" s="116"/>
      <c r="CS66" s="116"/>
      <c r="CT66" s="116">
        <v>0.17113259807197689</v>
      </c>
      <c r="CU66" s="694"/>
      <c r="CV66" s="116"/>
      <c r="CW66" s="116"/>
      <c r="CX66" s="116"/>
      <c r="CY66" s="116"/>
      <c r="CZ66" s="116"/>
      <c r="DA66" s="116"/>
      <c r="DB66" s="114"/>
      <c r="DC66" s="114"/>
      <c r="DD66" s="114"/>
      <c r="DE66" s="114"/>
      <c r="DF66" s="114"/>
      <c r="DG66" s="114"/>
      <c r="DH66" s="114"/>
      <c r="DI66" s="114"/>
      <c r="DJ66" s="114"/>
      <c r="DK66" s="114"/>
      <c r="DL66" s="114"/>
      <c r="DM66" s="680"/>
      <c r="DN66" s="680"/>
      <c r="DO66" s="680"/>
      <c r="DP66" s="680"/>
      <c r="DQ66" s="680"/>
      <c r="DR66" s="680"/>
      <c r="DS66" s="680"/>
      <c r="DT66" s="680"/>
      <c r="DU66" s="680"/>
      <c r="DV66" s="680"/>
      <c r="DY66" s="680"/>
      <c r="DZ66" s="680"/>
    </row>
    <row r="67" spans="1:130">
      <c r="A67" s="116" t="s">
        <v>169</v>
      </c>
      <c r="B67" s="116"/>
      <c r="C67" s="116"/>
      <c r="D67" s="116"/>
      <c r="E67" s="116"/>
      <c r="F67" s="116"/>
      <c r="G67" s="116">
        <v>0.12700884955752212</v>
      </c>
      <c r="H67" s="116">
        <v>0.27986359278305595</v>
      </c>
      <c r="I67" s="116">
        <v>0.17574031052570716</v>
      </c>
      <c r="J67" s="116">
        <v>0.20568472775171309</v>
      </c>
      <c r="K67" s="116">
        <v>0.23365161128211565</v>
      </c>
      <c r="L67" s="116">
        <v>0.29185926739365464</v>
      </c>
      <c r="M67" s="116">
        <v>0.26143749944120098</v>
      </c>
      <c r="N67" s="116">
        <v>0.2807296429733197</v>
      </c>
      <c r="O67" s="116">
        <v>0.39953832183381288</v>
      </c>
      <c r="P67" s="116">
        <v>0.32812541184533073</v>
      </c>
      <c r="Q67" s="116">
        <v>0.37123639147198917</v>
      </c>
      <c r="R67" s="116">
        <v>0.26192803879847415</v>
      </c>
      <c r="S67" s="116">
        <v>0.23783419946758522</v>
      </c>
      <c r="T67" s="116">
        <v>0.22910330387842293</v>
      </c>
      <c r="U67" s="116">
        <v>0.20285322926627547</v>
      </c>
      <c r="V67" s="116">
        <v>4.8685269857665858E-2</v>
      </c>
      <c r="W67" s="116">
        <v>5.0379660020575034E-2</v>
      </c>
      <c r="X67" s="116">
        <v>2.5968101983231628E-2</v>
      </c>
      <c r="Y67" s="116">
        <v>7.1221692234970657E-2</v>
      </c>
      <c r="Z67" s="116">
        <v>5.1045831160553945E-2</v>
      </c>
      <c r="AA67" s="116">
        <v>0.13254731500741546</v>
      </c>
      <c r="AB67" s="116">
        <v>8.3884167453572633E-2</v>
      </c>
      <c r="AC67" s="116">
        <v>0.10613196193899332</v>
      </c>
      <c r="AD67" s="116">
        <v>0.15868936052921723</v>
      </c>
      <c r="AE67" s="116">
        <v>0.19489445464803112</v>
      </c>
      <c r="AF67" s="116">
        <v>0.21135472629591989</v>
      </c>
      <c r="AG67" s="116">
        <v>0.20585259355699725</v>
      </c>
      <c r="AH67" s="116">
        <v>0.2185353466270985</v>
      </c>
      <c r="AI67" s="116">
        <v>0.2586322765637008</v>
      </c>
      <c r="AJ67" s="116">
        <v>0.22178637355260955</v>
      </c>
      <c r="AK67" s="116">
        <v>0.20341169854106589</v>
      </c>
      <c r="AL67" s="116">
        <v>0.21025595974533351</v>
      </c>
      <c r="AM67" s="116">
        <v>0.1765168151673302</v>
      </c>
      <c r="AN67" s="116">
        <v>0.12502360717658179</v>
      </c>
      <c r="AO67" s="116">
        <v>0.13259925325762612</v>
      </c>
      <c r="AP67" s="116">
        <v>2.9837564925637938E-2</v>
      </c>
      <c r="AQ67" s="116">
        <f t="shared" ref="AQ67:BV67" si="532">AQ64/AM64-1</f>
        <v>6.737824987024954E-2</v>
      </c>
      <c r="AR67" s="116">
        <f t="shared" si="532"/>
        <v>0.2056774851805907</v>
      </c>
      <c r="AS67" s="116">
        <f t="shared" si="532"/>
        <v>0.22417673589352072</v>
      </c>
      <c r="AT67" s="116">
        <f t="shared" si="532"/>
        <v>0.33609736857562411</v>
      </c>
      <c r="AU67" s="116">
        <f t="shared" si="532"/>
        <v>0.24546874797490936</v>
      </c>
      <c r="AV67" s="116">
        <f t="shared" si="532"/>
        <v>0.20049393137093552</v>
      </c>
      <c r="AW67" s="116">
        <f t="shared" si="532"/>
        <v>0.20270659995097251</v>
      </c>
      <c r="AX67" s="116">
        <f t="shared" si="532"/>
        <v>0.16972153368506504</v>
      </c>
      <c r="AY67" s="116">
        <f t="shared" si="532"/>
        <v>0.143913626836353</v>
      </c>
      <c r="AZ67" s="116">
        <f t="shared" si="532"/>
        <v>0.11166513610582274</v>
      </c>
      <c r="BA67" s="116">
        <f t="shared" si="532"/>
        <v>7.7132777421423881E-2</v>
      </c>
      <c r="BB67" s="116">
        <f t="shared" si="532"/>
        <v>-9.5118956343572814E-3</v>
      </c>
      <c r="BC67" s="116">
        <f t="shared" si="532"/>
        <v>0.13518477139647578</v>
      </c>
      <c r="BD67" s="116">
        <f t="shared" si="532"/>
        <v>0.11698322326792643</v>
      </c>
      <c r="BE67" s="116">
        <f t="shared" si="532"/>
        <v>0.16581863009048048</v>
      </c>
      <c r="BF67" s="116">
        <f t="shared" si="532"/>
        <v>0.27509520780027286</v>
      </c>
      <c r="BG67" s="116">
        <f t="shared" si="532"/>
        <v>0.130877459783318</v>
      </c>
      <c r="BH67" s="116">
        <f t="shared" si="532"/>
        <v>9.5482129272124183E-2</v>
      </c>
      <c r="BI67" s="116">
        <f t="shared" si="532"/>
        <v>6.8889895941739887E-2</v>
      </c>
      <c r="BJ67" s="116">
        <f t="shared" si="532"/>
        <v>7.1951067510464872E-2</v>
      </c>
      <c r="BK67" s="116">
        <f t="shared" si="532"/>
        <v>7.3201495455455845E-2</v>
      </c>
      <c r="BL67" s="116">
        <f t="shared" si="532"/>
        <v>0.14344934477747184</v>
      </c>
      <c r="BM67" s="116">
        <f t="shared" si="532"/>
        <v>0.16848180363750509</v>
      </c>
      <c r="BN67" s="116">
        <f t="shared" si="532"/>
        <v>0.11241867736113975</v>
      </c>
      <c r="BO67" s="116">
        <f t="shared" si="532"/>
        <v>0.26054142922207046</v>
      </c>
      <c r="BP67" s="116">
        <f t="shared" si="532"/>
        <v>-0.91903630278662241</v>
      </c>
      <c r="BQ67" s="116">
        <f t="shared" si="532"/>
        <v>7.4246498374597181E-4</v>
      </c>
      <c r="BR67" s="116">
        <f t="shared" si="532"/>
        <v>-9.2200321919203576E-3</v>
      </c>
      <c r="BS67" s="116">
        <f t="shared" si="532"/>
        <v>-3.2954337159132541E-2</v>
      </c>
      <c r="BT67" s="116">
        <f t="shared" si="532"/>
        <v>13.46459028550241</v>
      </c>
      <c r="BU67" s="116">
        <f t="shared" si="532"/>
        <v>0.25019120760132574</v>
      </c>
      <c r="BV67" s="116">
        <f t="shared" si="532"/>
        <v>0.4628912727178085</v>
      </c>
      <c r="BW67" s="116">
        <f t="shared" ref="BW67:CE67" si="533">BW64/BS64-1</f>
        <v>0.32208387972191366</v>
      </c>
      <c r="BX67" s="116">
        <f t="shared" si="533"/>
        <v>0.46384022372515288</v>
      </c>
      <c r="BY67" s="116">
        <f t="shared" si="533"/>
        <v>0.20307962795784662</v>
      </c>
      <c r="BZ67" s="116">
        <f t="shared" si="533"/>
        <v>2.2212759021637662E-2</v>
      </c>
      <c r="CA67" s="116">
        <f t="shared" si="533"/>
        <v>0.19184476405398954</v>
      </c>
      <c r="CB67" s="116">
        <f t="shared" si="533"/>
        <v>5.8224621839910284E-2</v>
      </c>
      <c r="CC67" s="116">
        <f t="shared" si="533"/>
        <v>0.11467938540219103</v>
      </c>
      <c r="CD67" s="116">
        <f t="shared" si="533"/>
        <v>0.10783291019276575</v>
      </c>
      <c r="CE67" s="116">
        <f t="shared" si="533"/>
        <v>-2.0716246242321268E-2</v>
      </c>
      <c r="CF67" s="116">
        <f t="shared" ref="CF67" si="534">CF64/CB64-1</f>
        <v>-3.76356656182808E-2</v>
      </c>
      <c r="CG67" s="116">
        <f t="shared" ref="CG67:CH67" si="535">CG64/CC64-1</f>
        <v>7.9283402426058025E-3</v>
      </c>
      <c r="CH67" s="116">
        <f t="shared" si="535"/>
        <v>0.12339713864351642</v>
      </c>
      <c r="CI67" s="116">
        <f t="shared" ref="CI67" si="536">CI64/CE64-1</f>
        <v>3.2574757648504038E-2</v>
      </c>
      <c r="CJ67" s="116">
        <f t="shared" ref="CJ67" si="537">CJ64/CF64-1</f>
        <v>0.13481313763588898</v>
      </c>
      <c r="CK67" s="116">
        <f t="shared" ref="CK67" si="538">CK64/CG64-1</f>
        <v>7.7757385971316095E-2</v>
      </c>
      <c r="CL67" s="116">
        <f t="shared" ref="CL67" si="539">CL64/CH64-1</f>
        <v>7.7264755150117104E-3</v>
      </c>
      <c r="CM67" s="116">
        <f t="shared" ref="CM67" si="540">CM64/CI64-1</f>
        <v>0.1014996155145389</v>
      </c>
      <c r="CN67" s="116">
        <f t="shared" ref="CN67" si="541">CN64/CJ64-1</f>
        <v>8.9115962361048018E-2</v>
      </c>
      <c r="CO67" s="116">
        <f t="shared" ref="CO67" si="542">CO64/CK64-1</f>
        <v>8.4381497367428171E-2</v>
      </c>
      <c r="CP67" s="116">
        <f t="shared" ref="CP67" si="543">CP64/CL64-1</f>
        <v>7.3694201668375259E-2</v>
      </c>
      <c r="CQ67" s="116"/>
      <c r="CR67" s="116"/>
      <c r="CS67" s="116"/>
      <c r="CT67" s="116">
        <v>7.7264755150117104E-3</v>
      </c>
      <c r="CU67" s="694"/>
      <c r="CV67" s="116"/>
      <c r="CW67" s="116">
        <v>0.19902801643079959</v>
      </c>
      <c r="CX67" s="116">
        <v>0.2697673655745334</v>
      </c>
      <c r="CY67" s="116">
        <v>0.32922952225180557</v>
      </c>
      <c r="CZ67" s="116">
        <v>0.16697499784390879</v>
      </c>
      <c r="DA67" s="116">
        <v>4.9324927059230195E-2</v>
      </c>
      <c r="DB67" s="116">
        <v>0.12127293179829746</v>
      </c>
      <c r="DC67" s="116">
        <v>0.20861270771166174</v>
      </c>
      <c r="DD67" s="116">
        <v>0.22168137090924267</v>
      </c>
      <c r="DE67" s="116">
        <v>0.1098225236382504</v>
      </c>
      <c r="DF67" s="116">
        <f t="shared" ref="DF67:DM67" si="544">DF64/DE64-1</f>
        <v>0.21408461182979499</v>
      </c>
      <c r="DG67" s="116">
        <f t="shared" si="544"/>
        <v>0.20087392125400738</v>
      </c>
      <c r="DH67" s="116">
        <f t="shared" si="544"/>
        <v>7.4136769270310765E-2</v>
      </c>
      <c r="DI67" s="116">
        <f t="shared" si="544"/>
        <v>0.17627755871988682</v>
      </c>
      <c r="DJ67" s="116">
        <f t="shared" si="544"/>
        <v>8.9693912491614514E-2</v>
      </c>
      <c r="DK67" s="116">
        <f t="shared" si="544"/>
        <v>0.12461254215689821</v>
      </c>
      <c r="DL67" s="116">
        <f t="shared" si="544"/>
        <v>-0.17333482879620576</v>
      </c>
      <c r="DM67" s="116">
        <f t="shared" si="544"/>
        <v>0.55014492015722372</v>
      </c>
      <c r="DN67" s="116">
        <f t="shared" ref="DN67:DS67" si="545">DN64/DM64-1</f>
        <v>0.22748829228838119</v>
      </c>
      <c r="DO67" s="116">
        <f t="shared" si="545"/>
        <v>0.11465142460982003</v>
      </c>
      <c r="DP67" s="116">
        <f t="shared" si="545"/>
        <v>2.0607036053208683E-2</v>
      </c>
      <c r="DQ67" s="116">
        <f t="shared" si="545"/>
        <v>6.0533334621482693E-2</v>
      </c>
      <c r="DR67" s="116">
        <f t="shared" si="545"/>
        <v>8.6365396429427088E-2</v>
      </c>
      <c r="DS67" s="679">
        <f t="shared" si="545"/>
        <v>2.4824667254942367E-2</v>
      </c>
      <c r="DT67" s="679">
        <f t="shared" ref="DT67:DV67" si="546">DT64/DS64-1</f>
        <v>4.6953372398581328E-2</v>
      </c>
      <c r="DU67" s="679">
        <f t="shared" si="546"/>
        <v>4.9955345564602238E-2</v>
      </c>
      <c r="DV67" s="679">
        <f t="shared" si="546"/>
        <v>5.1751055215139452E-2</v>
      </c>
      <c r="DY67" s="679">
        <v>5.9308118184131065E-2</v>
      </c>
      <c r="DZ67" s="679">
        <v>2.5590199467288688E-2</v>
      </c>
    </row>
    <row r="68" spans="1:130">
      <c r="A68" s="681"/>
      <c r="B68" s="681"/>
      <c r="C68" s="682"/>
      <c r="D68" s="682"/>
      <c r="E68" s="682"/>
      <c r="F68" s="682"/>
      <c r="G68" s="682"/>
      <c r="H68" s="682"/>
      <c r="I68" s="682"/>
      <c r="J68" s="682"/>
      <c r="K68" s="682"/>
      <c r="L68" s="682"/>
      <c r="M68" s="682"/>
      <c r="N68" s="682"/>
      <c r="O68" s="682"/>
      <c r="P68" s="682"/>
      <c r="Q68" s="682"/>
      <c r="R68" s="682"/>
      <c r="S68" s="682"/>
      <c r="T68" s="127"/>
      <c r="U68" s="127"/>
      <c r="V68" s="127"/>
      <c r="W68" s="127"/>
      <c r="X68" s="127"/>
      <c r="Y68" s="127"/>
      <c r="Z68" s="127"/>
      <c r="AA68" s="127"/>
      <c r="AB68" s="127"/>
      <c r="AC68" s="683"/>
      <c r="AD68" s="127"/>
      <c r="AE68" s="127"/>
      <c r="AF68" s="127"/>
      <c r="AG68" s="114"/>
      <c r="AH68" s="114"/>
      <c r="AI68" s="114"/>
      <c r="AJ68" s="114"/>
      <c r="AK68" s="114"/>
      <c r="AL68" s="127"/>
      <c r="AM68" s="127"/>
      <c r="AN68" s="127"/>
      <c r="AO68" s="127"/>
      <c r="AP68" s="127"/>
      <c r="AQ68" s="684"/>
      <c r="AR68" s="127"/>
      <c r="AS68" s="127"/>
      <c r="AT68" s="127"/>
      <c r="AU68" s="127"/>
      <c r="AV68" s="127"/>
      <c r="AW68" s="127"/>
      <c r="AX68" s="127"/>
      <c r="AY68" s="127"/>
      <c r="AZ68" s="127"/>
      <c r="BA68" s="127"/>
      <c r="BB68" s="127"/>
      <c r="BC68" s="127"/>
      <c r="BD68" s="127"/>
      <c r="BE68" s="127"/>
      <c r="BF68" s="127"/>
      <c r="BG68" s="127"/>
      <c r="BH68" s="127"/>
      <c r="BI68" s="127"/>
      <c r="BJ68" s="127"/>
      <c r="BK68" s="127"/>
      <c r="BL68" s="127"/>
      <c r="BM68" s="127"/>
      <c r="BN68" s="127"/>
      <c r="BO68" s="127"/>
      <c r="BP68" s="127"/>
      <c r="BQ68" s="127"/>
      <c r="BR68" s="127"/>
      <c r="BS68" s="127"/>
      <c r="BT68" s="127"/>
      <c r="BU68" s="127"/>
      <c r="BV68" s="127"/>
      <c r="BW68" s="127"/>
      <c r="BX68" s="127"/>
      <c r="BY68" s="127"/>
      <c r="BZ68" s="127"/>
      <c r="CA68" s="127"/>
      <c r="CB68" s="127"/>
      <c r="CC68" s="127"/>
      <c r="CD68" s="127"/>
      <c r="CE68" s="127"/>
      <c r="CF68" s="127"/>
      <c r="CG68" s="127"/>
      <c r="CH68" s="127"/>
      <c r="CI68" s="127"/>
      <c r="CJ68" s="127"/>
      <c r="CK68" s="127"/>
      <c r="CL68" s="127"/>
      <c r="CM68" s="127"/>
      <c r="CN68" s="127"/>
      <c r="CO68" s="127"/>
      <c r="CP68" s="127"/>
      <c r="CQ68" s="127"/>
      <c r="CR68" s="127"/>
      <c r="CS68" s="127"/>
      <c r="CT68" s="127"/>
      <c r="CU68" s="1134"/>
      <c r="CV68" s="682"/>
      <c r="CW68" s="682"/>
      <c r="CX68" s="682"/>
      <c r="CY68" s="682"/>
      <c r="CZ68" s="682"/>
      <c r="DA68" s="682"/>
      <c r="DB68" s="682"/>
      <c r="DC68" s="682"/>
      <c r="DD68" s="682"/>
      <c r="DE68" s="682"/>
      <c r="DF68" s="682"/>
      <c r="DG68" s="682"/>
      <c r="DH68" s="682"/>
      <c r="DI68" s="682"/>
      <c r="DJ68" s="1179"/>
      <c r="DK68" s="1179"/>
      <c r="DL68" s="1179"/>
      <c r="DM68" s="1179"/>
      <c r="DN68" s="1179"/>
      <c r="DO68" s="1179"/>
      <c r="DP68" s="1179"/>
      <c r="DQ68" s="1179"/>
      <c r="DR68" s="1179"/>
      <c r="DS68" s="685"/>
      <c r="DT68" s="685"/>
      <c r="DU68" s="685"/>
      <c r="DV68" s="685"/>
      <c r="DY68" s="685"/>
      <c r="DZ68" s="685"/>
    </row>
    <row r="69" spans="1:130">
      <c r="A69" s="681" t="s">
        <v>197</v>
      </c>
      <c r="B69" s="681"/>
      <c r="C69" s="682"/>
      <c r="D69" s="682"/>
      <c r="E69" s="682"/>
      <c r="F69" s="682"/>
      <c r="G69" s="682"/>
      <c r="H69" s="682"/>
      <c r="I69" s="682"/>
      <c r="J69" s="682"/>
      <c r="K69" s="682"/>
      <c r="L69" s="682"/>
      <c r="M69" s="682"/>
      <c r="N69" s="682"/>
      <c r="O69" s="682"/>
      <c r="P69" s="682"/>
      <c r="Q69" s="682"/>
      <c r="R69" s="682"/>
      <c r="S69" s="682"/>
      <c r="T69" s="127"/>
      <c r="U69" s="127"/>
      <c r="V69" s="127"/>
      <c r="W69" s="127"/>
      <c r="X69" s="127"/>
      <c r="Y69" s="127"/>
      <c r="Z69" s="127"/>
      <c r="AA69" s="127"/>
      <c r="AB69" s="127"/>
      <c r="AC69" s="683"/>
      <c r="AD69" s="127"/>
      <c r="AE69" s="127"/>
      <c r="AF69" s="127"/>
      <c r="AG69" s="114"/>
      <c r="AH69" s="114"/>
      <c r="AI69" s="114"/>
      <c r="AJ69" s="114"/>
      <c r="AK69" s="114"/>
      <c r="AL69" s="127"/>
      <c r="AM69" s="127"/>
      <c r="AN69" s="127"/>
      <c r="AO69" s="127"/>
      <c r="AP69" s="127"/>
      <c r="AQ69" s="1179">
        <f t="shared" ref="AQ69:CA69" si="547">+AQ64-AQ94-AQ99-AQ114-AQ117-AQ120</f>
        <v>-396953.18999999994</v>
      </c>
      <c r="AR69" s="1179">
        <f t="shared" si="547"/>
        <v>-457896</v>
      </c>
      <c r="AS69" s="1179">
        <f t="shared" si="547"/>
        <v>-458088</v>
      </c>
      <c r="AT69" s="1179">
        <f t="shared" si="547"/>
        <v>-563692.52500000002</v>
      </c>
      <c r="AU69" s="1179">
        <f t="shared" si="547"/>
        <v>-480995.81633999996</v>
      </c>
      <c r="AV69" s="1179">
        <f t="shared" si="547"/>
        <v>-540741.02186999982</v>
      </c>
      <c r="AW69" s="1179">
        <f t="shared" si="547"/>
        <v>-547937</v>
      </c>
      <c r="AX69" s="1179">
        <f t="shared" si="547"/>
        <v>-641008.00000000012</v>
      </c>
      <c r="AY69" s="1179">
        <f t="shared" si="547"/>
        <v>-554968</v>
      </c>
      <c r="AZ69" s="1179">
        <f t="shared" si="547"/>
        <v>-612994</v>
      </c>
      <c r="BA69" s="1179">
        <f t="shared" si="547"/>
        <v>-591035</v>
      </c>
      <c r="BB69" s="1179">
        <f t="shared" si="547"/>
        <v>-649550</v>
      </c>
      <c r="BC69" s="1179">
        <f t="shared" si="547"/>
        <v>-639289</v>
      </c>
      <c r="BD69" s="1179">
        <f t="shared" si="547"/>
        <v>-699953</v>
      </c>
      <c r="BE69" s="1179">
        <f t="shared" si="547"/>
        <v>-697479</v>
      </c>
      <c r="BF69" s="1179">
        <f t="shared" si="547"/>
        <v>-826193</v>
      </c>
      <c r="BG69" s="1179">
        <f t="shared" si="547"/>
        <v>-713552</v>
      </c>
      <c r="BH69" s="1179">
        <f t="shared" si="547"/>
        <v>-745870</v>
      </c>
      <c r="BI69" s="1179">
        <f t="shared" si="547"/>
        <v>-750274</v>
      </c>
      <c r="BJ69" s="1179">
        <f t="shared" si="547"/>
        <v>-909849</v>
      </c>
      <c r="BK69" s="1179">
        <f t="shared" si="547"/>
        <v>-756734</v>
      </c>
      <c r="BL69" s="1179">
        <f t="shared" si="547"/>
        <v>-851986</v>
      </c>
      <c r="BM69" s="1179">
        <f t="shared" si="547"/>
        <v>-856492</v>
      </c>
      <c r="BN69" s="1179">
        <f t="shared" si="547"/>
        <v>-968478</v>
      </c>
      <c r="BO69" s="1179">
        <f t="shared" si="547"/>
        <v>-843042</v>
      </c>
      <c r="BP69" s="1179">
        <f t="shared" si="547"/>
        <v>139896</v>
      </c>
      <c r="BQ69" s="1179">
        <f t="shared" si="547"/>
        <v>-848619</v>
      </c>
      <c r="BR69" s="1179">
        <f t="shared" si="547"/>
        <v>-1090188</v>
      </c>
      <c r="BS69" s="1179">
        <f t="shared" si="547"/>
        <v>-950579</v>
      </c>
      <c r="BT69" s="1179">
        <f t="shared" si="547"/>
        <v>-1029229</v>
      </c>
      <c r="BU69" s="1179">
        <f t="shared" si="547"/>
        <v>-1130089</v>
      </c>
      <c r="BV69" s="1179">
        <f t="shared" si="547"/>
        <v>-1473194</v>
      </c>
      <c r="BW69" s="1179">
        <f t="shared" si="547"/>
        <v>-1165359</v>
      </c>
      <c r="BX69" s="1179">
        <f t="shared" si="547"/>
        <v>-1343614</v>
      </c>
      <c r="BY69" s="1179">
        <f t="shared" si="547"/>
        <v>-1219612</v>
      </c>
      <c r="BZ69" s="1179">
        <f t="shared" si="547"/>
        <v>-1285506</v>
      </c>
      <c r="CA69" s="1179">
        <f t="shared" si="547"/>
        <v>-1228709</v>
      </c>
      <c r="CB69" s="1179">
        <f t="shared" ref="CB69" si="548">+CB64-CB94-CB99-CB114-CB117-CB120</f>
        <v>-1322402</v>
      </c>
      <c r="CC69" s="1179">
        <f>+CC64-CC94-CC99-CC114-CC117-CC120</f>
        <v>-1280395</v>
      </c>
      <c r="CD69" s="1179">
        <f>+CD64-CD94-CD99-CD114-CD117-CD120</f>
        <v>-1406571</v>
      </c>
      <c r="CE69" s="1179">
        <f t="shared" ref="CE69:CH69" si="549">+CE64-CE94-CE99-CE114-CE117-CE120</f>
        <v>-1272128</v>
      </c>
      <c r="CF69" s="1179">
        <f t="shared" si="549"/>
        <v>-1395659</v>
      </c>
      <c r="CG69" s="1179">
        <f t="shared" si="549"/>
        <v>-1394235</v>
      </c>
      <c r="CH69" s="1179">
        <f t="shared" si="549"/>
        <v>-1674539</v>
      </c>
      <c r="CI69" s="1179">
        <f>+CI73+CI82+CI108</f>
        <v>-1143625</v>
      </c>
      <c r="CJ69" s="1179">
        <f t="shared" ref="CJ69:CL69" si="550">+CJ64-CJ94-CJ99-CJ114-CJ117-CJ120</f>
        <v>-1635493</v>
      </c>
      <c r="CK69" s="1179">
        <f t="shared" si="550"/>
        <v>-1489490</v>
      </c>
      <c r="CL69" s="1179">
        <f t="shared" si="550"/>
        <v>-1713024.5090232182</v>
      </c>
      <c r="CM69" s="1179">
        <f>+CM64-CM94-CM99-CM114-CM117-CM120</f>
        <v>-1520052.7823383887</v>
      </c>
      <c r="CN69" s="1179">
        <f t="shared" ref="CN69:CP69" si="551">+CN64-CN94-CN99-CN114-CN117-CN120</f>
        <v>-1683342.4264615637</v>
      </c>
      <c r="CO69" s="1179">
        <f t="shared" si="551"/>
        <v>-1587485.3878333613</v>
      </c>
      <c r="CP69" s="1179">
        <f t="shared" si="551"/>
        <v>-1825725.7112218468</v>
      </c>
      <c r="CQ69" s="1179"/>
      <c r="CR69" s="127"/>
      <c r="CS69" s="127"/>
      <c r="CT69" s="1179">
        <v>-1713024.5090232182</v>
      </c>
      <c r="CU69" s="1134">
        <f>+CK69/CT69-1</f>
        <v>-0.1304911329906655</v>
      </c>
      <c r="CV69" s="682"/>
      <c r="CW69" s="682"/>
      <c r="CX69" s="682"/>
      <c r="CY69" s="682"/>
      <c r="CZ69" s="682"/>
      <c r="DA69" s="682"/>
      <c r="DB69" s="682"/>
      <c r="DC69" s="682"/>
      <c r="DD69" s="682"/>
      <c r="DE69" s="682"/>
      <c r="DF69" s="682"/>
      <c r="DG69" s="682"/>
      <c r="DH69" s="682"/>
      <c r="DI69" s="682"/>
      <c r="DJ69" s="1179"/>
      <c r="DK69" s="1179"/>
      <c r="DL69" s="1179"/>
      <c r="DM69" s="1179"/>
      <c r="DN69" s="1179"/>
      <c r="DO69" s="1179"/>
      <c r="DP69" s="1179"/>
      <c r="DQ69" s="1179"/>
      <c r="DR69" s="1179"/>
      <c r="DS69" s="685"/>
      <c r="DT69" s="685"/>
      <c r="DU69" s="685"/>
      <c r="DV69" s="685"/>
      <c r="DY69" s="685"/>
      <c r="DZ69" s="685"/>
    </row>
    <row r="70" spans="1:130">
      <c r="A70" s="1555" t="s">
        <v>198</v>
      </c>
      <c r="B70" s="681"/>
      <c r="C70" s="682"/>
      <c r="D70" s="682"/>
      <c r="E70" s="682"/>
      <c r="F70" s="682"/>
      <c r="G70" s="682"/>
      <c r="H70" s="682"/>
      <c r="I70" s="682"/>
      <c r="J70" s="682"/>
      <c r="K70" s="682"/>
      <c r="L70" s="682"/>
      <c r="M70" s="682"/>
      <c r="N70" s="682"/>
      <c r="O70" s="682"/>
      <c r="P70" s="682"/>
      <c r="Q70" s="682"/>
      <c r="R70" s="682"/>
      <c r="S70" s="682"/>
      <c r="T70" s="127"/>
      <c r="U70" s="127"/>
      <c r="V70" s="127"/>
      <c r="W70" s="127"/>
      <c r="X70" s="127"/>
      <c r="Y70" s="127"/>
      <c r="Z70" s="127"/>
      <c r="AA70" s="127"/>
      <c r="AB70" s="127"/>
      <c r="AC70" s="683"/>
      <c r="AD70" s="127"/>
      <c r="AE70" s="127"/>
      <c r="AF70" s="127"/>
      <c r="AG70" s="114"/>
      <c r="AH70" s="114"/>
      <c r="AI70" s="114"/>
      <c r="AJ70" s="114"/>
      <c r="AK70" s="114"/>
      <c r="AL70" s="127"/>
      <c r="AM70" s="127"/>
      <c r="AN70" s="127"/>
      <c r="AO70" s="127"/>
      <c r="AP70" s="127"/>
      <c r="AQ70" s="1556">
        <f>+AQ69/AQ30</f>
        <v>-0.48734854809481942</v>
      </c>
      <c r="AR70" s="1556">
        <f t="shared" ref="AR70:CD70" si="552">+AR69/AR30</f>
        <v>-0.41207417579945249</v>
      </c>
      <c r="AS70" s="1556">
        <f t="shared" si="552"/>
        <v>-0.43748633117847446</v>
      </c>
      <c r="AT70" s="1556">
        <f t="shared" si="552"/>
        <v>-0.33757944780444687</v>
      </c>
      <c r="AU70" s="1556">
        <f t="shared" si="552"/>
        <v>-0.47581184627483564</v>
      </c>
      <c r="AV70" s="1556">
        <f t="shared" si="552"/>
        <v>-0.39929895148224875</v>
      </c>
      <c r="AW70" s="1556">
        <f t="shared" si="552"/>
        <v>-0.43892371221557797</v>
      </c>
      <c r="AX70" s="1556">
        <f t="shared" si="552"/>
        <v>-0.34887333280358956</v>
      </c>
      <c r="AY70" s="1556">
        <f t="shared" si="552"/>
        <v>-0.5156985842096069</v>
      </c>
      <c r="AZ70" s="1556">
        <f t="shared" si="552"/>
        <v>-0.41851506942092787</v>
      </c>
      <c r="BA70" s="1556">
        <f t="shared" si="552"/>
        <v>-0.46891983453108416</v>
      </c>
      <c r="BB70" s="1556">
        <f t="shared" si="552"/>
        <v>-0.33821850930797331</v>
      </c>
      <c r="BC70" s="1556">
        <f t="shared" si="552"/>
        <v>-0.5177753984015343</v>
      </c>
      <c r="BD70" s="1556">
        <f t="shared" si="552"/>
        <v>-0.42929892005672032</v>
      </c>
      <c r="BE70" s="1556">
        <f t="shared" si="552"/>
        <v>-0.46111936045612195</v>
      </c>
      <c r="BF70" s="1556">
        <f t="shared" si="552"/>
        <v>-0.3717646370629355</v>
      </c>
      <c r="BG70" s="1556">
        <f t="shared" si="552"/>
        <v>-0.51011031448672062</v>
      </c>
      <c r="BH70" s="1556">
        <f t="shared" si="552"/>
        <v>-0.4190207923345155</v>
      </c>
      <c r="BI70" s="1556">
        <f t="shared" si="552"/>
        <v>-0.4383821775664184</v>
      </c>
      <c r="BJ70" s="1556">
        <f t="shared" si="552"/>
        <v>-0.35059970205639657</v>
      </c>
      <c r="BK70" s="1556">
        <f t="shared" si="552"/>
        <v>-0.45853301477213443</v>
      </c>
      <c r="BL70" s="1556">
        <f t="shared" si="552"/>
        <v>-0.42190599661083089</v>
      </c>
      <c r="BM70" s="1556">
        <f t="shared" si="552"/>
        <v>-0.44333628030916328</v>
      </c>
      <c r="BN70" s="1556">
        <f t="shared" si="552"/>
        <v>-0.33708960974682722</v>
      </c>
      <c r="BO70" s="1556">
        <f t="shared" si="552"/>
        <v>-0.54383490949438129</v>
      </c>
      <c r="BP70" s="1556">
        <f t="shared" si="552"/>
        <v>0.25924141458316347</v>
      </c>
      <c r="BQ70" s="1556">
        <f t="shared" si="552"/>
        <v>-0.51394170410920081</v>
      </c>
      <c r="BR70" s="1556">
        <f t="shared" si="552"/>
        <v>-0.37340857759975998</v>
      </c>
      <c r="BS70" s="1556">
        <f t="shared" si="552"/>
        <v>-0.69669243347158527</v>
      </c>
      <c r="BT70" s="1556">
        <f t="shared" si="552"/>
        <v>-0.45566853483140696</v>
      </c>
      <c r="BU70" s="1556">
        <f t="shared" si="552"/>
        <v>-0.47644394326796208</v>
      </c>
      <c r="BV70" s="1556">
        <f t="shared" si="552"/>
        <v>-0.41374159808223715</v>
      </c>
      <c r="BW70" s="1556">
        <f t="shared" si="552"/>
        <v>-0.52266102755346655</v>
      </c>
      <c r="BX70" s="1556">
        <f t="shared" si="552"/>
        <v>-0.423086236457902</v>
      </c>
      <c r="BY70" s="1556">
        <f>+BY69/BY30</f>
        <v>-0.4662979192290943</v>
      </c>
      <c r="BZ70" s="1556">
        <f t="shared" si="552"/>
        <v>-0.36161889737553954</v>
      </c>
      <c r="CA70" s="1556">
        <f t="shared" si="552"/>
        <v>-0.5393808337931667</v>
      </c>
      <c r="CB70" s="1556">
        <f t="shared" ref="CB70" si="553">+CB69/CB30</f>
        <v>-0.44297063213662663</v>
      </c>
      <c r="CC70" s="1556">
        <f t="shared" si="552"/>
        <v>-0.48571453499973066</v>
      </c>
      <c r="CD70" s="1556">
        <f t="shared" si="552"/>
        <v>-0.36947635772752385</v>
      </c>
      <c r="CE70" s="1556">
        <f t="shared" ref="CE70:CH70" si="554">+CE69/CE30</f>
        <v>-0.51685291001163614</v>
      </c>
      <c r="CF70" s="1556">
        <f t="shared" si="554"/>
        <v>-0.45314736764523011</v>
      </c>
      <c r="CG70" s="1556">
        <f t="shared" si="554"/>
        <v>-0.4716703789506731</v>
      </c>
      <c r="CH70" s="1556">
        <f t="shared" si="554"/>
        <v>-0.40110841795457913</v>
      </c>
      <c r="CI70" s="1556">
        <f t="shared" ref="CI70:CL70" si="555">+CI69/CI30</f>
        <v>-0.41483183645042876</v>
      </c>
      <c r="CJ70" s="1556">
        <f t="shared" si="555"/>
        <v>-0.44812091178679492</v>
      </c>
      <c r="CK70" s="1556">
        <f t="shared" si="555"/>
        <v>-0.48373430451075933</v>
      </c>
      <c r="CL70" s="1556">
        <f t="shared" si="555"/>
        <v>-0.39181572329185399</v>
      </c>
      <c r="CM70" s="1556">
        <f t="shared" ref="CM70:CP70" si="556">+CM69/CM30</f>
        <v>-0.51776246277937499</v>
      </c>
      <c r="CN70" s="1556">
        <f t="shared" si="556"/>
        <v>-0.43707320887451578</v>
      </c>
      <c r="CO70" s="1556">
        <f t="shared" si="556"/>
        <v>-0.47637485706275018</v>
      </c>
      <c r="CP70" s="1556">
        <f t="shared" si="556"/>
        <v>-0.3850812908206831</v>
      </c>
      <c r="CQ70" s="1556"/>
      <c r="CR70" s="127"/>
      <c r="CS70" s="127"/>
      <c r="CT70" s="1556">
        <v>-0.39181572329185399</v>
      </c>
      <c r="CU70" s="702"/>
      <c r="CV70" s="682"/>
      <c r="CW70" s="682"/>
      <c r="CX70" s="682"/>
      <c r="CY70" s="682"/>
      <c r="CZ70" s="682"/>
      <c r="DA70" s="682"/>
      <c r="DB70" s="682"/>
      <c r="DC70" s="682"/>
      <c r="DD70" s="682"/>
      <c r="DE70" s="682"/>
      <c r="DF70" s="682"/>
      <c r="DG70" s="682"/>
      <c r="DH70" s="682"/>
      <c r="DI70" s="682"/>
      <c r="DJ70" s="1179"/>
      <c r="DK70" s="1179"/>
      <c r="DL70" s="1179"/>
      <c r="DM70" s="1179"/>
      <c r="DN70" s="1179"/>
      <c r="DO70" s="1179"/>
      <c r="DP70" s="1179"/>
      <c r="DQ70" s="1179"/>
      <c r="DR70" s="1179"/>
      <c r="DS70" s="685"/>
      <c r="DT70" s="685"/>
      <c r="DU70" s="685"/>
      <c r="DV70" s="685"/>
      <c r="DY70" s="685"/>
      <c r="DZ70" s="685"/>
    </row>
    <row r="71" spans="1:130">
      <c r="A71" s="1555" t="s">
        <v>120</v>
      </c>
      <c r="B71" s="681"/>
      <c r="C71" s="682"/>
      <c r="D71" s="682"/>
      <c r="E71" s="682"/>
      <c r="F71" s="682"/>
      <c r="G71" s="682"/>
      <c r="H71" s="682"/>
      <c r="I71" s="682"/>
      <c r="J71" s="682"/>
      <c r="K71" s="682"/>
      <c r="L71" s="682"/>
      <c r="M71" s="682"/>
      <c r="N71" s="682"/>
      <c r="O71" s="682"/>
      <c r="P71" s="682"/>
      <c r="Q71" s="682"/>
      <c r="R71" s="682"/>
      <c r="S71" s="682"/>
      <c r="T71" s="127"/>
      <c r="U71" s="127"/>
      <c r="V71" s="127"/>
      <c r="W71" s="127"/>
      <c r="X71" s="127"/>
      <c r="Y71" s="127"/>
      <c r="Z71" s="127"/>
      <c r="AA71" s="127"/>
      <c r="AB71" s="127"/>
      <c r="AC71" s="683"/>
      <c r="AD71" s="127"/>
      <c r="AE71" s="127"/>
      <c r="AF71" s="127"/>
      <c r="AG71" s="114"/>
      <c r="AH71" s="114"/>
      <c r="AI71" s="114"/>
      <c r="AJ71" s="114"/>
      <c r="AK71" s="114"/>
      <c r="AL71" s="127"/>
      <c r="AM71" s="127"/>
      <c r="AN71" s="127"/>
      <c r="AO71" s="127"/>
      <c r="AP71" s="127"/>
      <c r="AQ71" s="684"/>
      <c r="AR71" s="127"/>
      <c r="AS71" s="127"/>
      <c r="AT71" s="127"/>
      <c r="AU71" s="1556">
        <f t="shared" ref="AU71:BW71" si="557">+AU69/AQ69-1</f>
        <v>0.2117192365679188</v>
      </c>
      <c r="AV71" s="1556">
        <f t="shared" si="557"/>
        <v>0.18092541072645285</v>
      </c>
      <c r="AW71" s="1556">
        <f t="shared" si="557"/>
        <v>0.1961391697665078</v>
      </c>
      <c r="AX71" s="1556">
        <f t="shared" si="557"/>
        <v>0.13715895026282299</v>
      </c>
      <c r="AY71" s="1556">
        <f t="shared" si="557"/>
        <v>0.15378966125499849</v>
      </c>
      <c r="AZ71" s="1556">
        <f t="shared" si="557"/>
        <v>0.13361845173153997</v>
      </c>
      <c r="BA71" s="1556">
        <f t="shared" si="557"/>
        <v>7.8655027859042104E-2</v>
      </c>
      <c r="BB71" s="1556">
        <f t="shared" si="557"/>
        <v>1.3325886728402514E-2</v>
      </c>
      <c r="BC71" s="1556">
        <f t="shared" si="557"/>
        <v>0.15193849014717964</v>
      </c>
      <c r="BD71" s="1556">
        <f t="shared" si="557"/>
        <v>0.14185946355102996</v>
      </c>
      <c r="BE71" s="1556">
        <f t="shared" si="557"/>
        <v>0.18009762535213647</v>
      </c>
      <c r="BF71" s="1556">
        <f t="shared" si="557"/>
        <v>0.27194673235316769</v>
      </c>
      <c r="BG71" s="1556">
        <f t="shared" si="557"/>
        <v>0.11616498954307053</v>
      </c>
      <c r="BH71" s="1556">
        <f t="shared" si="557"/>
        <v>6.5600118865123846E-2</v>
      </c>
      <c r="BI71" s="1556">
        <f t="shared" si="557"/>
        <v>7.5694035232601875E-2</v>
      </c>
      <c r="BJ71" s="1556">
        <f t="shared" si="557"/>
        <v>0.10125479155596806</v>
      </c>
      <c r="BK71" s="1556">
        <f t="shared" si="557"/>
        <v>6.0516963024418668E-2</v>
      </c>
      <c r="BL71" s="1556">
        <f t="shared" si="557"/>
        <v>0.14227144140399806</v>
      </c>
      <c r="BM71" s="1556">
        <f t="shared" si="557"/>
        <v>0.14157227892743185</v>
      </c>
      <c r="BN71" s="1556">
        <f t="shared" si="557"/>
        <v>6.4438165014194748E-2</v>
      </c>
      <c r="BO71" s="1556">
        <f t="shared" si="557"/>
        <v>0.11405328688812721</v>
      </c>
      <c r="BP71" s="1556">
        <f t="shared" si="557"/>
        <v>-1.1641998812187055</v>
      </c>
      <c r="BQ71" s="1556">
        <f t="shared" si="557"/>
        <v>-9.1921465699621452E-3</v>
      </c>
      <c r="BR71" s="1556">
        <f t="shared" si="557"/>
        <v>0.12567141432226658</v>
      </c>
      <c r="BS71" s="1556">
        <f t="shared" si="557"/>
        <v>0.12755829484177528</v>
      </c>
      <c r="BT71" s="1556">
        <f t="shared" si="557"/>
        <v>-8.3571009893063426</v>
      </c>
      <c r="BU71" s="1556">
        <f t="shared" si="557"/>
        <v>0.33168005901352671</v>
      </c>
      <c r="BV71" s="1556">
        <f t="shared" si="557"/>
        <v>0.35132105655171397</v>
      </c>
      <c r="BW71" s="1556">
        <f t="shared" si="557"/>
        <v>0.22594650207925904</v>
      </c>
      <c r="BX71" s="1556">
        <f>+BX69/BT69-1</f>
        <v>0.30545680310212786</v>
      </c>
      <c r="BY71" s="1556">
        <f>+BY69/BU69-1</f>
        <v>7.9217654538713322E-2</v>
      </c>
      <c r="BZ71" s="1556">
        <f t="shared" ref="BZ71:CD71" si="558">+BZ69/BV69-1</f>
        <v>-0.12740209368216271</v>
      </c>
      <c r="CA71" s="1556">
        <f t="shared" si="558"/>
        <v>5.4360930837621613E-2</v>
      </c>
      <c r="CB71" s="1556">
        <f t="shared" si="558"/>
        <v>-1.5787272237413386E-2</v>
      </c>
      <c r="CC71" s="1556">
        <f t="shared" si="558"/>
        <v>4.9837981259613695E-2</v>
      </c>
      <c r="CD71" s="1556">
        <f t="shared" si="558"/>
        <v>9.4176923328245898E-2</v>
      </c>
      <c r="CE71" s="1556">
        <f t="shared" ref="CE71" si="559">+CE69/CA69-1</f>
        <v>3.5337089579387859E-2</v>
      </c>
      <c r="CF71" s="1556">
        <f t="shared" ref="CF71" si="560">+CF69/CB69-1</f>
        <v>5.5396921662247856E-2</v>
      </c>
      <c r="CG71" s="1556">
        <f t="shared" ref="CG71:CH71" si="561">+CG69/CC69-1</f>
        <v>8.8910062910273702E-2</v>
      </c>
      <c r="CH71" s="1556">
        <f t="shared" si="561"/>
        <v>0.19051153478921434</v>
      </c>
      <c r="CI71" s="1556">
        <f t="shared" ref="CI71" si="562">+CI69/CE69-1</f>
        <v>-0.10101420611762335</v>
      </c>
      <c r="CJ71" s="1556">
        <f t="shared" ref="CJ71" si="563">+CJ69/CF69-1</f>
        <v>0.17184283553504121</v>
      </c>
      <c r="CK71" s="1556">
        <f t="shared" ref="CK71" si="564">+CK69/CG69-1</f>
        <v>6.8320620268462529E-2</v>
      </c>
      <c r="CL71" s="1556">
        <f t="shared" ref="CL71" si="565">+CL69/CH69-1</f>
        <v>2.2982748698727296E-2</v>
      </c>
      <c r="CM71" s="1556">
        <f t="shared" ref="CM71" si="566">+CM69/CI69-1</f>
        <v>0.32915315976687176</v>
      </c>
      <c r="CN71" s="1556">
        <f t="shared" ref="CN71" si="567">+CN69/CJ69-1</f>
        <v>2.9256882457805444E-2</v>
      </c>
      <c r="CO71" s="1556">
        <f t="shared" ref="CO71" si="568">+CO69/CK69-1</f>
        <v>6.5791235814514515E-2</v>
      </c>
      <c r="CP71" s="1556">
        <f t="shared" ref="CP71" si="569">+CP69/CL69-1</f>
        <v>6.5790770420962597E-2</v>
      </c>
      <c r="CQ71" s="1556"/>
      <c r="CR71" s="127"/>
      <c r="CS71" s="127"/>
      <c r="CT71" s="1556">
        <v>2.2982748698727296E-2</v>
      </c>
      <c r="CU71" s="702"/>
      <c r="CV71" s="682"/>
      <c r="CW71" s="682"/>
      <c r="CX71" s="682"/>
      <c r="CY71" s="682"/>
      <c r="CZ71" s="682"/>
      <c r="DA71" s="682"/>
      <c r="DB71" s="682"/>
      <c r="DC71" s="682"/>
      <c r="DD71" s="682"/>
      <c r="DE71" s="682"/>
      <c r="DF71" s="682"/>
      <c r="DG71" s="682"/>
      <c r="DH71" s="682"/>
      <c r="DI71" s="682"/>
      <c r="DJ71" s="1179"/>
      <c r="DK71" s="1179"/>
      <c r="DL71" s="1179"/>
      <c r="DM71" s="1179"/>
      <c r="DN71" s="1179"/>
      <c r="DO71" s="1179"/>
      <c r="DP71" s="1179"/>
      <c r="DQ71" s="1179"/>
      <c r="DR71" s="1179"/>
      <c r="DS71" s="685"/>
      <c r="DT71" s="685"/>
      <c r="DU71" s="685"/>
      <c r="DV71" s="685"/>
      <c r="DY71" s="685"/>
      <c r="DZ71" s="685"/>
    </row>
    <row r="72" spans="1:130">
      <c r="A72" s="681"/>
      <c r="B72" s="681"/>
      <c r="C72" s="682"/>
      <c r="D72" s="682"/>
      <c r="E72" s="682"/>
      <c r="F72" s="682"/>
      <c r="G72" s="682"/>
      <c r="H72" s="682"/>
      <c r="I72" s="682"/>
      <c r="J72" s="682"/>
      <c r="K72" s="682"/>
      <c r="L72" s="682"/>
      <c r="M72" s="682"/>
      <c r="N72" s="682"/>
      <c r="O72" s="682"/>
      <c r="P72" s="682"/>
      <c r="Q72" s="682"/>
      <c r="R72" s="682"/>
      <c r="S72" s="682"/>
      <c r="T72" s="127"/>
      <c r="U72" s="127"/>
      <c r="V72" s="127"/>
      <c r="W72" s="127"/>
      <c r="X72" s="127"/>
      <c r="Y72" s="127"/>
      <c r="Z72" s="127"/>
      <c r="AA72" s="127"/>
      <c r="AB72" s="127"/>
      <c r="AC72" s="683"/>
      <c r="AD72" s="127"/>
      <c r="AE72" s="127"/>
      <c r="AF72" s="127"/>
      <c r="AG72" s="114"/>
      <c r="AH72" s="114"/>
      <c r="AI72" s="114"/>
      <c r="AJ72" s="114"/>
      <c r="AK72" s="114"/>
      <c r="AL72" s="127"/>
      <c r="AM72" s="127"/>
      <c r="AN72" s="127"/>
      <c r="AO72" s="127"/>
      <c r="AP72" s="127"/>
      <c r="AQ72" s="684"/>
      <c r="AR72" s="127"/>
      <c r="AS72" s="127"/>
      <c r="AT72" s="127"/>
      <c r="AU72" s="127"/>
      <c r="AV72" s="127"/>
      <c r="AW72" s="127"/>
      <c r="AX72" s="127"/>
      <c r="AY72" s="127"/>
      <c r="AZ72" s="127"/>
      <c r="BA72" s="127"/>
      <c r="BB72" s="127"/>
      <c r="BC72" s="127"/>
      <c r="BD72" s="127"/>
      <c r="BE72" s="127"/>
      <c r="BF72" s="127"/>
      <c r="BG72" s="127"/>
      <c r="BH72" s="127"/>
      <c r="BI72" s="127"/>
      <c r="BJ72" s="127"/>
      <c r="BK72" s="127"/>
      <c r="BL72" s="127"/>
      <c r="BM72" s="127"/>
      <c r="BN72" s="127"/>
      <c r="BO72" s="127"/>
      <c r="BP72" s="127"/>
      <c r="BQ72" s="127"/>
      <c r="BR72" s="127"/>
      <c r="BS72" s="127"/>
      <c r="BT72" s="127"/>
      <c r="BU72" s="127"/>
      <c r="BV72" s="127"/>
      <c r="BW72" s="127"/>
      <c r="BX72" s="127"/>
      <c r="BY72" s="127"/>
      <c r="BZ72" s="127"/>
      <c r="CA72" s="127">
        <f>+CA73-BW73</f>
        <v>-44226</v>
      </c>
      <c r="CB72" s="127">
        <f>+CB73-BX73</f>
        <v>-9260</v>
      </c>
      <c r="CC72" s="127">
        <f t="shared" ref="CC72:CD72" si="570">+CC73-BY73</f>
        <v>-14976</v>
      </c>
      <c r="CD72" s="127">
        <f t="shared" si="570"/>
        <v>-46702</v>
      </c>
      <c r="CE72" s="127">
        <f t="shared" ref="CE72" si="571">+CE73-CA73</f>
        <v>-23560</v>
      </c>
      <c r="CF72" s="127">
        <f t="shared" ref="CF72" si="572">+CF73-CB73</f>
        <v>-24628</v>
      </c>
      <c r="CG72" s="127">
        <f t="shared" ref="CG72" si="573">+CG73-CC73</f>
        <v>-55450</v>
      </c>
      <c r="CH72" s="127">
        <f>+CH73+CH82+CH108+CH111</f>
        <v>-1368069</v>
      </c>
      <c r="CI72" s="127">
        <f t="shared" ref="CI72" si="574">+CI73-CE73</f>
        <v>-59764</v>
      </c>
      <c r="CJ72" s="127">
        <f t="shared" ref="CJ72" si="575">+CJ73-CF73</f>
        <v>-97647</v>
      </c>
      <c r="CK72" s="127">
        <f t="shared" ref="CK72" si="576">+CK73-CG73</f>
        <v>-57138</v>
      </c>
      <c r="CL72" s="127">
        <f t="shared" ref="CL72" si="577">+CL73-CH73</f>
        <v>-41613.356801928021</v>
      </c>
      <c r="CM72" s="127">
        <f t="shared" ref="CM72" si="578">+CM73-CI73</f>
        <v>-41069.242133873631</v>
      </c>
      <c r="CN72" s="127">
        <f t="shared" ref="CN72" si="579">+CN73-CJ73</f>
        <v>-38950.133839737042</v>
      </c>
      <c r="CO72" s="127">
        <f t="shared" ref="CO72" si="580">+CO73-CK73</f>
        <v>-62476.589534953935</v>
      </c>
      <c r="CP72" s="127">
        <f t="shared" ref="CP72" si="581">+CP73-CL73</f>
        <v>-83456.65209246485</v>
      </c>
      <c r="CQ72" s="127"/>
      <c r="CR72" s="127"/>
      <c r="CS72" s="127"/>
      <c r="CT72" s="127">
        <v>-41613.356801928021</v>
      </c>
      <c r="CU72" s="1134">
        <f>+CK72/CT72-1</f>
        <v>0.37306875463006861</v>
      </c>
      <c r="CV72" s="682"/>
      <c r="CW72" s="682"/>
      <c r="CX72" s="682"/>
      <c r="CY72" s="682"/>
      <c r="CZ72" s="682"/>
      <c r="DA72" s="682"/>
      <c r="DB72" s="682"/>
      <c r="DC72" s="682"/>
      <c r="DD72" s="682"/>
      <c r="DE72" s="682"/>
      <c r="DF72" s="682"/>
      <c r="DG72" s="682"/>
      <c r="DH72" s="682"/>
      <c r="DI72" s="682"/>
      <c r="DJ72" s="1179"/>
      <c r="DK72" s="1179"/>
      <c r="DL72" s="1179"/>
      <c r="DM72" s="1179"/>
      <c r="DN72" s="1179"/>
      <c r="DO72" s="1179"/>
      <c r="DP72" s="1179"/>
      <c r="DQ72" s="1179"/>
      <c r="DR72" s="1179"/>
      <c r="DS72" s="685"/>
      <c r="DT72" s="685"/>
      <c r="DU72" s="685"/>
      <c r="DV72" s="685"/>
      <c r="DY72" s="685"/>
      <c r="DZ72" s="685"/>
    </row>
    <row r="73" spans="1:130" s="692" customFormat="1">
      <c r="A73" s="687" t="s">
        <v>199</v>
      </c>
      <c r="B73" s="687"/>
      <c r="C73" s="688">
        <v>-51603</v>
      </c>
      <c r="D73" s="688">
        <v>-64147</v>
      </c>
      <c r="E73" s="688">
        <v>-58677</v>
      </c>
      <c r="F73" s="688">
        <v>-76991</v>
      </c>
      <c r="G73" s="688">
        <v>-59875</v>
      </c>
      <c r="H73" s="688">
        <v>-74554</v>
      </c>
      <c r="I73" s="688">
        <v>-71689</v>
      </c>
      <c r="J73" s="688">
        <v>-92534</v>
      </c>
      <c r="K73" s="688">
        <v>-75638</v>
      </c>
      <c r="L73" s="688">
        <v>-94012</v>
      </c>
      <c r="M73" s="688">
        <v>-89403</v>
      </c>
      <c r="N73" s="688">
        <v>-119546</v>
      </c>
      <c r="O73" s="688">
        <v>-91089</v>
      </c>
      <c r="P73" s="688">
        <v>-107330</v>
      </c>
      <c r="Q73" s="688">
        <v>-104190</v>
      </c>
      <c r="R73" s="688">
        <v>-137318</v>
      </c>
      <c r="S73" s="688">
        <v>-113624</v>
      </c>
      <c r="T73" s="688">
        <v>-130237</v>
      </c>
      <c r="U73" s="688">
        <v>-121301</v>
      </c>
      <c r="V73" s="688">
        <v>-149932</v>
      </c>
      <c r="W73" s="688">
        <v>-120897</v>
      </c>
      <c r="X73" s="688">
        <v>-136055</v>
      </c>
      <c r="Y73" s="688">
        <v>-137375</v>
      </c>
      <c r="Z73" s="688">
        <v>-160143</v>
      </c>
      <c r="AA73" s="688">
        <v>-137053</v>
      </c>
      <c r="AB73" s="688">
        <v>-148731</v>
      </c>
      <c r="AC73" s="688">
        <v>-159934</v>
      </c>
      <c r="AD73" s="688">
        <v>-195985</v>
      </c>
      <c r="AE73" s="688">
        <v>-167000</v>
      </c>
      <c r="AF73" s="688">
        <v>-185211</v>
      </c>
      <c r="AG73" s="688">
        <v>-189434</v>
      </c>
      <c r="AH73" s="688">
        <v>-233896</v>
      </c>
      <c r="AI73" s="688">
        <v>-208242</v>
      </c>
      <c r="AJ73" s="688">
        <v>-226085</v>
      </c>
      <c r="AK73" s="688">
        <v>-217724</v>
      </c>
      <c r="AL73" s="688">
        <v>-277504</v>
      </c>
      <c r="AM73" s="688">
        <v>-240057</v>
      </c>
      <c r="AN73" s="688">
        <v>-249580</v>
      </c>
      <c r="AO73" s="688">
        <v>-249297</v>
      </c>
      <c r="AP73" s="688">
        <v>-291122</v>
      </c>
      <c r="AQ73" s="689">
        <v>-256198</v>
      </c>
      <c r="AR73" s="689">
        <v>-286169</v>
      </c>
      <c r="AS73" s="689">
        <v>-287355</v>
      </c>
      <c r="AT73" s="689">
        <v>-342031</v>
      </c>
      <c r="AU73" s="689">
        <v>-307292</v>
      </c>
      <c r="AV73" s="689">
        <v>-343999</v>
      </c>
      <c r="AW73" s="689">
        <v>-339070</v>
      </c>
      <c r="AX73" s="689">
        <v>-399367</v>
      </c>
      <c r="AY73" s="689">
        <v>-353110</v>
      </c>
      <c r="AZ73" s="689">
        <v>-394357</v>
      </c>
      <c r="BA73" s="689">
        <v>-375259</v>
      </c>
      <c r="BB73" s="689">
        <v>-424735</v>
      </c>
      <c r="BC73" s="689">
        <v>-418444.63346000004</v>
      </c>
      <c r="BD73" s="689">
        <v>-463130.49000999995</v>
      </c>
      <c r="BE73" s="689">
        <v>-455512.74192999996</v>
      </c>
      <c r="BF73" s="689">
        <v>-528912.49598000001</v>
      </c>
      <c r="BG73" s="689">
        <v>-478099</v>
      </c>
      <c r="BH73" s="689">
        <v>-507826</v>
      </c>
      <c r="BI73" s="689">
        <v>-504648</v>
      </c>
      <c r="BJ73" s="689">
        <v>-584814</v>
      </c>
      <c r="BK73" s="689">
        <v>-439174</v>
      </c>
      <c r="BL73" s="689">
        <v>-495829</v>
      </c>
      <c r="BM73" s="689">
        <v>-481346</v>
      </c>
      <c r="BN73" s="689">
        <v>-559371</v>
      </c>
      <c r="BO73" s="689">
        <v>-475090</v>
      </c>
      <c r="BP73" s="689">
        <v>-271005</v>
      </c>
      <c r="BQ73" s="689">
        <v>-478255</v>
      </c>
      <c r="BR73" s="689">
        <v>-661278</v>
      </c>
      <c r="BS73" s="689">
        <v>-538038</v>
      </c>
      <c r="BT73" s="689">
        <v>-600683</v>
      </c>
      <c r="BU73" s="689">
        <v>-629903</v>
      </c>
      <c r="BV73" s="689">
        <v>-776488</v>
      </c>
      <c r="BW73" s="689">
        <v>-629768</v>
      </c>
      <c r="BX73" s="689">
        <v>-729685</v>
      </c>
      <c r="BY73" s="689">
        <v>-675481</v>
      </c>
      <c r="BZ73" s="689">
        <v>-794501</v>
      </c>
      <c r="CA73" s="689">
        <v>-673994</v>
      </c>
      <c r="CB73" s="689">
        <v>-738945</v>
      </c>
      <c r="CC73" s="689">
        <v>-690457</v>
      </c>
      <c r="CD73" s="689">
        <v>-841203</v>
      </c>
      <c r="CE73" s="689">
        <v>-697554</v>
      </c>
      <c r="CF73" s="689">
        <v>-763573</v>
      </c>
      <c r="CG73" s="689">
        <v>-745907</v>
      </c>
      <c r="CH73" s="689">
        <v>-912334</v>
      </c>
      <c r="CI73" s="689">
        <v>-757318</v>
      </c>
      <c r="CJ73" s="689">
        <v>-861220</v>
      </c>
      <c r="CK73" s="689">
        <v>-803045</v>
      </c>
      <c r="CL73" s="690">
        <f t="shared" ref="CL73:CP73" si="582">+CL74*CL26</f>
        <v>-953947.35680192802</v>
      </c>
      <c r="CM73" s="690">
        <f t="shared" si="582"/>
        <v>-798387.24213387363</v>
      </c>
      <c r="CN73" s="690">
        <f t="shared" si="582"/>
        <v>-900170.13383973704</v>
      </c>
      <c r="CO73" s="690">
        <f t="shared" si="582"/>
        <v>-865521.58953495394</v>
      </c>
      <c r="CP73" s="690">
        <f t="shared" si="582"/>
        <v>-1037404.0088943929</v>
      </c>
      <c r="CQ73" s="690"/>
      <c r="CR73" s="690"/>
      <c r="CS73" s="690"/>
      <c r="CT73" s="690">
        <v>-953947.35680192802</v>
      </c>
      <c r="CU73" s="1134">
        <f>+CK73/CT73-1</f>
        <v>-0.15818730009150861</v>
      </c>
      <c r="CV73" s="688">
        <v>-251418</v>
      </c>
      <c r="CW73" s="688">
        <v>-298652</v>
      </c>
      <c r="CX73" s="688">
        <v>-378599</v>
      </c>
      <c r="CY73" s="688">
        <v>-439927</v>
      </c>
      <c r="CZ73" s="688">
        <v>-515094</v>
      </c>
      <c r="DA73" s="688">
        <v>-554470</v>
      </c>
      <c r="DB73" s="688">
        <v>-641703</v>
      </c>
      <c r="DC73" s="688">
        <v>-775541</v>
      </c>
      <c r="DD73" s="688">
        <v>-929555</v>
      </c>
      <c r="DE73" s="688">
        <v>-1030056</v>
      </c>
      <c r="DF73" s="688">
        <f>+SUM(AQ73:AT73)</f>
        <v>-1171753</v>
      </c>
      <c r="DG73" s="688">
        <f>+SUM(AU73:AX73)</f>
        <v>-1389728</v>
      </c>
      <c r="DH73" s="688">
        <f>+SUM(AY73:BB73)</f>
        <v>-1547461</v>
      </c>
      <c r="DI73" s="688">
        <f>+SUM(BC73:BF73)</f>
        <v>-1866000.3613800001</v>
      </c>
      <c r="DJ73" s="688">
        <f>+SUM(BG73:BJ73)</f>
        <v>-2075387</v>
      </c>
      <c r="DK73" s="688">
        <f>+SUM(BK73:BN73)</f>
        <v>-1975720</v>
      </c>
      <c r="DL73" s="688">
        <f>+SUM(BO73:BR73)</f>
        <v>-1885628</v>
      </c>
      <c r="DM73" s="688">
        <f>+SUM(BS73:BV73)</f>
        <v>-2545112</v>
      </c>
      <c r="DN73" s="688">
        <f>+SUM(BW73:BZ73)</f>
        <v>-2829435</v>
      </c>
      <c r="DO73" s="688">
        <f>+SUM(CA73:CD73)</f>
        <v>-2944599</v>
      </c>
      <c r="DP73" s="688">
        <f>+SUM(CE73:CH73)</f>
        <v>-3119368</v>
      </c>
      <c r="DQ73" s="688">
        <f>+SUM(CI73:CL73)</f>
        <v>-3375530.356801928</v>
      </c>
      <c r="DR73" s="688">
        <f>+SUM(CM73:CP73)</f>
        <v>-3601482.9744029571</v>
      </c>
      <c r="DS73" s="691">
        <f t="shared" ref="DS73:DV73" si="583">+DS74*DS26</f>
        <v>-3810986.55351792</v>
      </c>
      <c r="DT73" s="691">
        <f t="shared" si="583"/>
        <v>-4071063.8894282733</v>
      </c>
      <c r="DU73" s="691">
        <f t="shared" si="583"/>
        <v>-4348896.5109543232</v>
      </c>
      <c r="DV73" s="691">
        <f t="shared" si="583"/>
        <v>-4645465.5803608317</v>
      </c>
      <c r="DY73" s="691">
        <v>-3623986.5158958975</v>
      </c>
      <c r="DZ73" s="691">
        <v>-3707293.8058452369</v>
      </c>
    </row>
    <row r="74" spans="1:130" s="692" customFormat="1">
      <c r="A74" s="693" t="s">
        <v>200</v>
      </c>
      <c r="B74" s="693"/>
      <c r="C74" s="694">
        <v>-0.29261197711408371</v>
      </c>
      <c r="D74" s="694">
        <v>-0.26787183309739465</v>
      </c>
      <c r="E74" s="694">
        <v>-0.27947417303707939</v>
      </c>
      <c r="F74" s="694">
        <v>-0.23470933795083943</v>
      </c>
      <c r="G74" s="694">
        <v>-0.28484234362809463</v>
      </c>
      <c r="H74" s="694">
        <v>-0.25205725838624393</v>
      </c>
      <c r="I74" s="694">
        <v>-0.26369143735723716</v>
      </c>
      <c r="J74" s="694">
        <v>-0.21809911024689177</v>
      </c>
      <c r="K74" s="694">
        <v>-0.2835517634357006</v>
      </c>
      <c r="L74" s="694">
        <v>-0.24684135902956467</v>
      </c>
      <c r="M74" s="694">
        <v>-0.25780378157197359</v>
      </c>
      <c r="N74" s="694">
        <v>-0.22268501357017653</v>
      </c>
      <c r="O74" s="694">
        <v>-0.26208513760412022</v>
      </c>
      <c r="P74" s="694">
        <v>-0.21865170553627014</v>
      </c>
      <c r="Q74" s="694">
        <v>-0.23465582011296993</v>
      </c>
      <c r="R74" s="694">
        <v>-0.21174710871241326</v>
      </c>
      <c r="S74" s="694">
        <v>-0.26314217097386039</v>
      </c>
      <c r="T74" s="694">
        <v>-0.2299597243386122</v>
      </c>
      <c r="U74" s="694">
        <v>-0.23720789252400415</v>
      </c>
      <c r="V74" s="694">
        <v>-0.22261849789084667</v>
      </c>
      <c r="W74" s="694">
        <v>-0.28844474559448768</v>
      </c>
      <c r="X74" s="694">
        <v>-0.22179963287437196</v>
      </c>
      <c r="Y74" s="694">
        <v>-0.24872761904072163</v>
      </c>
      <c r="Z74" s="694">
        <v>-0.20563607436865103</v>
      </c>
      <c r="AA74" s="694">
        <v>-0.27101909253601481</v>
      </c>
      <c r="AB74" s="694">
        <v>-0.2118620890062648</v>
      </c>
      <c r="AC74" s="694">
        <v>-0.24839370496976887</v>
      </c>
      <c r="AD74" s="694">
        <v>-0.21782113293440858</v>
      </c>
      <c r="AE74" s="694">
        <v>-0.27890648616239705</v>
      </c>
      <c r="AF74" s="694">
        <v>-0.22143327686243378</v>
      </c>
      <c r="AG74" s="694">
        <v>-0.25532872727860878</v>
      </c>
      <c r="AH74" s="694">
        <v>-0.2203584961476644</v>
      </c>
      <c r="AI74" s="694">
        <v>-0.29359797878399946</v>
      </c>
      <c r="AJ74" s="694">
        <v>-0.23662572975779053</v>
      </c>
      <c r="AK74" s="694">
        <v>-0.24056358818992815</v>
      </c>
      <c r="AL74" s="694">
        <v>-0.21466674918002351</v>
      </c>
      <c r="AM74" s="694">
        <v>-0.28788887249910955</v>
      </c>
      <c r="AN74" s="694">
        <v>-0.23536356966508928</v>
      </c>
      <c r="AO74" s="694">
        <v>-0.24406545693069065</v>
      </c>
      <c r="AP74" s="694">
        <v>-0.20012621228411237</v>
      </c>
      <c r="AQ74" s="694">
        <f t="shared" ref="AQ74:CD74" si="584">AQ73/AQ26</f>
        <v>-0.27295352509125159</v>
      </c>
      <c r="AR74" s="694">
        <f t="shared" si="584"/>
        <v>-0.22798168938232735</v>
      </c>
      <c r="AS74" s="694">
        <f t="shared" si="584"/>
        <v>-0.23870600089881816</v>
      </c>
      <c r="AT74" s="694">
        <f t="shared" si="584"/>
        <v>-0.1880945821021679</v>
      </c>
      <c r="AU74" s="694">
        <f t="shared" si="584"/>
        <v>-0.26175968761792484</v>
      </c>
      <c r="AV74" s="694">
        <f t="shared" si="584"/>
        <v>-0.22389922943294102</v>
      </c>
      <c r="AW74" s="694">
        <f t="shared" si="584"/>
        <v>-0.23867999901450437</v>
      </c>
      <c r="AX74" s="694">
        <f t="shared" si="584"/>
        <v>-0.1982713125761762</v>
      </c>
      <c r="AY74" s="694">
        <f t="shared" si="584"/>
        <v>-0.28308383485560407</v>
      </c>
      <c r="AZ74" s="694">
        <f t="shared" si="584"/>
        <v>-0.23935529685963655</v>
      </c>
      <c r="BA74" s="694">
        <f t="shared" si="584"/>
        <v>-0.25954590757274892</v>
      </c>
      <c r="BB74" s="694">
        <f t="shared" si="584"/>
        <v>-0.20121972596198032</v>
      </c>
      <c r="BC74" s="694">
        <f t="shared" si="584"/>
        <v>-0.29565289181841053</v>
      </c>
      <c r="BD74" s="694">
        <f t="shared" si="584"/>
        <v>-0.25292031923968339</v>
      </c>
      <c r="BE74" s="694">
        <f t="shared" si="584"/>
        <v>-0.26083299421029937</v>
      </c>
      <c r="BF74" s="694">
        <f t="shared" si="584"/>
        <v>-0.21575302348140218</v>
      </c>
      <c r="BG74" s="694">
        <f t="shared" si="584"/>
        <v>-0.29362120267643566</v>
      </c>
      <c r="BH74" s="694">
        <f t="shared" si="584"/>
        <v>-0.2513869383499901</v>
      </c>
      <c r="BI74" s="694">
        <f t="shared" si="584"/>
        <v>-0.25968770455022622</v>
      </c>
      <c r="BJ74" s="694">
        <f t="shared" si="584"/>
        <v>-0.20629298476015312</v>
      </c>
      <c r="BK74" s="694">
        <f t="shared" si="584"/>
        <v>-0.2321072111291215</v>
      </c>
      <c r="BL74" s="694">
        <f t="shared" si="584"/>
        <v>-0.21632990169301625</v>
      </c>
      <c r="BM74" s="694">
        <f t="shared" si="584"/>
        <v>-0.21626189764821374</v>
      </c>
      <c r="BN74" s="694">
        <f t="shared" si="584"/>
        <v>-0.17598246502112119</v>
      </c>
      <c r="BO74" s="694">
        <f t="shared" si="584"/>
        <v>-0.25490929362724085</v>
      </c>
      <c r="BP74" s="694">
        <f t="shared" si="584"/>
        <v>-0.33519231768224356</v>
      </c>
      <c r="BQ74" s="694">
        <f t="shared" si="584"/>
        <v>-0.26717574309833475</v>
      </c>
      <c r="BR74" s="694">
        <f t="shared" si="584"/>
        <v>-0.21505856825352843</v>
      </c>
      <c r="BS74" s="694">
        <f t="shared" si="584"/>
        <v>-0.34023020196105463</v>
      </c>
      <c r="BT74" s="694">
        <f t="shared" si="584"/>
        <v>-0.24120976929220778</v>
      </c>
      <c r="BU74" s="694">
        <f t="shared" si="584"/>
        <v>-0.23966273063643012</v>
      </c>
      <c r="BV74" s="694">
        <f t="shared" si="584"/>
        <v>-0.2005610209254626</v>
      </c>
      <c r="BW74" s="694">
        <f t="shared" si="584"/>
        <v>-0.241011180915292</v>
      </c>
      <c r="BX74" s="694">
        <f>BX73/BX26</f>
        <v>-0.20121819897047627</v>
      </c>
      <c r="BY74" s="694">
        <f>BY73/BY26</f>
        <v>-0.22384472327971072</v>
      </c>
      <c r="BZ74" s="694">
        <f>BZ73/BZ26</f>
        <v>-0.19792538583568503</v>
      </c>
      <c r="CA74" s="694">
        <f t="shared" si="584"/>
        <v>-0.24285516623115694</v>
      </c>
      <c r="CB74" s="694">
        <f t="shared" ref="CB74:CC74" si="585">CB73/CB26</f>
        <v>-0.21088113495028513</v>
      </c>
      <c r="CC74" s="694">
        <f t="shared" si="585"/>
        <v>-0.22293690605651229</v>
      </c>
      <c r="CD74" s="694">
        <f t="shared" si="584"/>
        <v>-0.19693948884879775</v>
      </c>
      <c r="CE74" s="694">
        <f t="shared" ref="CE74" si="586">CE73/CE26</f>
        <v>-0.23985360263168662</v>
      </c>
      <c r="CF74" s="694">
        <f t="shared" ref="CF74:CK74" si="587">CF73/CF26</f>
        <v>-0.21690005456780226</v>
      </c>
      <c r="CG74" s="694">
        <f t="shared" si="587"/>
        <v>-0.21999853119398888</v>
      </c>
      <c r="CH74" s="694">
        <f t="shared" si="587"/>
        <v>-0.19759391858775535</v>
      </c>
      <c r="CI74" s="694">
        <f t="shared" si="587"/>
        <v>-0.23247899665272584</v>
      </c>
      <c r="CJ74" s="694">
        <f t="shared" si="587"/>
        <v>-0.20664819705314805</v>
      </c>
      <c r="CK74" s="694">
        <f t="shared" si="587"/>
        <v>-0.22535465411261826</v>
      </c>
      <c r="CL74" s="724">
        <f>+CH74</f>
        <v>-0.19759391858775535</v>
      </c>
      <c r="CM74" s="724">
        <f t="shared" ref="CM74:CP74" si="588">+CI74</f>
        <v>-0.23247899665272584</v>
      </c>
      <c r="CN74" s="724">
        <f t="shared" si="588"/>
        <v>-0.20664819705314805</v>
      </c>
      <c r="CO74" s="724">
        <f t="shared" si="588"/>
        <v>-0.22535465411261826</v>
      </c>
      <c r="CP74" s="724">
        <f t="shared" si="588"/>
        <v>-0.19759391858775535</v>
      </c>
      <c r="CQ74" s="694"/>
      <c r="CR74" s="694"/>
      <c r="CS74" s="694"/>
      <c r="CT74" s="694">
        <v>-0.19759391858775535</v>
      </c>
      <c r="CU74" s="1135">
        <f>+CK74-CT74</f>
        <v>-2.7760735524862912E-2</v>
      </c>
      <c r="CV74" s="694">
        <v>-0.26359503629676539</v>
      </c>
      <c r="CW74" s="694">
        <v>-0.24843610663756271</v>
      </c>
      <c r="CX74" s="694">
        <v>-0.24725026416533549</v>
      </c>
      <c r="CY74" s="694">
        <v>-0.22783060469543576</v>
      </c>
      <c r="CZ74" s="694">
        <v>-0.23595618337458377</v>
      </c>
      <c r="DA74" s="694">
        <v>-0.23458429160595493</v>
      </c>
      <c r="DB74" s="694">
        <v>-0.23323306696596346</v>
      </c>
      <c r="DC74" s="694">
        <v>-0.23947226869375168</v>
      </c>
      <c r="DD74" s="694">
        <v>-0.2406609902167193</v>
      </c>
      <c r="DE74" s="694">
        <v>-0.23569015248552644</v>
      </c>
      <c r="DF74" s="694">
        <f>DF73/DF26</f>
        <v>-0.22464400223617745</v>
      </c>
      <c r="DG74" s="694">
        <f>DG73/DG26</f>
        <v>-0.22614861229857849</v>
      </c>
      <c r="DH74" s="694">
        <f>DH73/DH26</f>
        <v>-0.23985767827415919</v>
      </c>
      <c r="DI74" s="694">
        <f>DI73/DI26</f>
        <v>-0.2506614601873513</v>
      </c>
      <c r="DJ74" s="694">
        <f>DJ73/DJ26</f>
        <v>-0.24629168718220204</v>
      </c>
      <c r="DK74" s="694">
        <f>DK73/DK$26</f>
        <v>-0.20605235243241415</v>
      </c>
      <c r="DL74" s="694">
        <f t="shared" ref="DL74:DO74" si="589">DL73/DL26</f>
        <v>-0.25017685659623362</v>
      </c>
      <c r="DM74" s="694">
        <f t="shared" si="589"/>
        <v>-0.24075093232824876</v>
      </c>
      <c r="DN74" s="694">
        <f t="shared" si="589"/>
        <v>-0.2132021544197758</v>
      </c>
      <c r="DO74" s="694">
        <f t="shared" si="589"/>
        <v>-0.21575553774078246</v>
      </c>
      <c r="DP74" s="694">
        <f t="shared" ref="DP74:DQ74" si="590">DP73/DP26</f>
        <v>-0.21607709308561449</v>
      </c>
      <c r="DQ74" s="694">
        <f t="shared" si="590"/>
        <v>-0.21341921404669706</v>
      </c>
      <c r="DR74" s="694">
        <f t="shared" ref="DR74" si="591">DR73/DR26</f>
        <v>-0.21334313661673526</v>
      </c>
      <c r="DS74" s="724">
        <f>+DR74+0.5%</f>
        <v>-0.20834313661673526</v>
      </c>
      <c r="DT74" s="724">
        <f t="shared" ref="DT74:DV74" si="592">+DS74</f>
        <v>-0.20834313661673526</v>
      </c>
      <c r="DU74" s="724">
        <f t="shared" si="592"/>
        <v>-0.20834313661673526</v>
      </c>
      <c r="DV74" s="724">
        <f t="shared" si="592"/>
        <v>-0.20834313661673526</v>
      </c>
      <c r="DY74" s="696">
        <v>-0.21099999999999999</v>
      </c>
      <c r="DZ74" s="696">
        <v>-0.2</v>
      </c>
    </row>
    <row r="75" spans="1:130" s="692" customFormat="1">
      <c r="A75" s="693" t="s">
        <v>201</v>
      </c>
      <c r="B75" s="693"/>
      <c r="C75" s="694" t="e">
        <v>#DIV/0!</v>
      </c>
      <c r="D75" s="694" t="e">
        <v>#DIV/0!</v>
      </c>
      <c r="E75" s="694" t="e">
        <v>#DIV/0!</v>
      </c>
      <c r="F75" s="694" t="e">
        <v>#DIV/0!</v>
      </c>
      <c r="G75" s="694">
        <v>-0.30238066379815365</v>
      </c>
      <c r="H75" s="694">
        <v>-0.26707696275810683</v>
      </c>
      <c r="I75" s="694">
        <v>-0.28067874383841074</v>
      </c>
      <c r="J75" s="694">
        <v>-0.22912338651169586</v>
      </c>
      <c r="K75" s="694">
        <v>-0.30135261658598778</v>
      </c>
      <c r="L75" s="694">
        <v>-0.2628169825193104</v>
      </c>
      <c r="M75" s="694">
        <v>-0.27892850123080093</v>
      </c>
      <c r="N75" s="694">
        <v>-0.23584721402938374</v>
      </c>
      <c r="O75" s="694">
        <v>-0.29355802419003973</v>
      </c>
      <c r="P75" s="694">
        <v>-0.24154111014841737</v>
      </c>
      <c r="Q75" s="694">
        <v>-0.26353330399283686</v>
      </c>
      <c r="R75" s="694">
        <v>-0.22820837529623314</v>
      </c>
      <c r="S75" s="694">
        <v>-0.29637203527542955</v>
      </c>
      <c r="T75" s="694">
        <v>-0.25544380067706718</v>
      </c>
      <c r="U75" s="694">
        <v>-0.27013767331649718</v>
      </c>
      <c r="V75" s="694">
        <v>-0.24428520687306723</v>
      </c>
      <c r="W75" s="694">
        <v>-0.33337193815507554</v>
      </c>
      <c r="X75" s="694">
        <v>-0.24526257724450726</v>
      </c>
      <c r="Y75" s="694">
        <v>-0.28224066731041852</v>
      </c>
      <c r="Z75" s="694">
        <v>-0.22496481039757929</v>
      </c>
      <c r="AA75" s="694">
        <v>-0.3113100402956529</v>
      </c>
      <c r="AB75" s="694">
        <v>-0.23608507450130081</v>
      </c>
      <c r="AC75" s="694">
        <v>-0.28120758167176568</v>
      </c>
      <c r="AD75" s="694">
        <v>-0.23792990000109263</v>
      </c>
      <c r="AE75" s="694">
        <v>-0.32257628349626333</v>
      </c>
      <c r="AF75" s="694">
        <v>-0.24706230749426736</v>
      </c>
      <c r="AG75" s="694">
        <v>-0.28829846166957857</v>
      </c>
      <c r="AH75" s="694">
        <v>-0.24058919130202225</v>
      </c>
      <c r="AI75" s="694">
        <v>-0.33630868266906117</v>
      </c>
      <c r="AJ75" s="694">
        <v>-0.26437464407620015</v>
      </c>
      <c r="AK75" s="694">
        <v>-0.27105046933744992</v>
      </c>
      <c r="AL75" s="694">
        <v>-0.23431267583751852</v>
      </c>
      <c r="AM75" s="694">
        <v>-0.33032442540637458</v>
      </c>
      <c r="AN75" s="694">
        <v>-0.26349156411033325</v>
      </c>
      <c r="AO75" s="694">
        <v>-0.27488372708447734</v>
      </c>
      <c r="AP75" s="694">
        <v>-0.2184036358343949</v>
      </c>
      <c r="AQ75" s="694">
        <f t="shared" ref="AQ75:BU75" si="593">AQ73/AQ$30</f>
        <v>-0.31454016864002671</v>
      </c>
      <c r="AR75" s="694">
        <f t="shared" si="593"/>
        <v>-0.25753196100064973</v>
      </c>
      <c r="AS75" s="694">
        <f t="shared" si="593"/>
        <v>-0.27443173515959929</v>
      </c>
      <c r="AT75" s="694">
        <f t="shared" si="593"/>
        <v>-0.20483265431274392</v>
      </c>
      <c r="AU75" s="694">
        <f t="shared" si="593"/>
        <v>-0.30398013641377197</v>
      </c>
      <c r="AV75" s="694">
        <f t="shared" si="593"/>
        <v>-0.25401890083339118</v>
      </c>
      <c r="AW75" s="694">
        <f t="shared" si="593"/>
        <v>-0.27161126753793963</v>
      </c>
      <c r="AX75" s="694">
        <f t="shared" si="593"/>
        <v>-0.21735843593491988</v>
      </c>
      <c r="AY75" s="694">
        <f t="shared" si="593"/>
        <v>-0.32812401268227048</v>
      </c>
      <c r="AZ75" s="694">
        <f t="shared" si="593"/>
        <v>-0.26924300601902929</v>
      </c>
      <c r="BA75" s="694">
        <f t="shared" si="593"/>
        <v>-0.29772583381068818</v>
      </c>
      <c r="BB75" s="694">
        <f t="shared" si="593"/>
        <v>-0.22115809183422686</v>
      </c>
      <c r="BC75" s="694">
        <f t="shared" si="593"/>
        <v>-0.33890828216774499</v>
      </c>
      <c r="BD75" s="694">
        <f t="shared" si="593"/>
        <v>-0.2840496707730843</v>
      </c>
      <c r="BE75" s="694">
        <f t="shared" si="593"/>
        <v>-0.30114991883393777</v>
      </c>
      <c r="BF75" s="694">
        <f t="shared" si="593"/>
        <v>-0.23799640290592639</v>
      </c>
      <c r="BG75" s="694">
        <f t="shared" si="593"/>
        <v>-0.34178760797501323</v>
      </c>
      <c r="BH75" s="694">
        <f t="shared" si="593"/>
        <v>-0.28529053707491608</v>
      </c>
      <c r="BI75" s="694">
        <f t="shared" si="593"/>
        <v>-0.29486386192849268</v>
      </c>
      <c r="BJ75" s="694">
        <f t="shared" si="593"/>
        <v>-0.2253512551625704</v>
      </c>
      <c r="BK75" s="694">
        <f t="shared" si="593"/>
        <v>-0.26611170930543276</v>
      </c>
      <c r="BL75" s="694">
        <f t="shared" si="593"/>
        <v>-0.24553599283738425</v>
      </c>
      <c r="BM75" s="694">
        <f t="shared" si="593"/>
        <v>-0.2491536934165112</v>
      </c>
      <c r="BN75" s="694">
        <f t="shared" si="593"/>
        <v>-0.1946953385556435</v>
      </c>
      <c r="BO75" s="694">
        <f t="shared" si="593"/>
        <v>-0.30647408688023325</v>
      </c>
      <c r="BP75" s="694">
        <f t="shared" si="593"/>
        <v>-0.50219963086228492</v>
      </c>
      <c r="BQ75" s="694">
        <f>BQ73/BQ$30</f>
        <v>-0.28964139348605888</v>
      </c>
      <c r="BR75" s="694">
        <f t="shared" si="593"/>
        <v>-0.22649935366928831</v>
      </c>
      <c r="BS75" s="694">
        <f>BS73/BS$30</f>
        <v>-0.39433545609590032</v>
      </c>
      <c r="BT75" s="694">
        <f>BT73/BT$30</f>
        <v>-0.2659392054714102</v>
      </c>
      <c r="BU75" s="694">
        <f t="shared" si="593"/>
        <v>-0.26556622460383128</v>
      </c>
      <c r="BV75" s="694">
        <f t="shared" ref="BV75:CD75" si="594">BV73/BV$30</f>
        <v>-0.21807405271246025</v>
      </c>
      <c r="BW75" s="694">
        <f t="shared" si="594"/>
        <v>-0.28244960565824911</v>
      </c>
      <c r="BX75" s="694">
        <f t="shared" si="594"/>
        <v>-0.22976813314671046</v>
      </c>
      <c r="BY75" s="694">
        <f t="shared" si="594"/>
        <v>-0.25825867962826526</v>
      </c>
      <c r="BZ75" s="694">
        <f t="shared" ref="BZ75" si="595">BZ73/BZ$30</f>
        <v>-0.22349687639245833</v>
      </c>
      <c r="CA75" s="694">
        <f t="shared" si="594"/>
        <v>-0.29587106930248874</v>
      </c>
      <c r="CB75" s="694">
        <f t="shared" ref="CB75:CC75" si="596">CB73/CB$30</f>
        <v>-0.24752755498267512</v>
      </c>
      <c r="CC75" s="694">
        <f t="shared" si="596"/>
        <v>-0.26192307896571687</v>
      </c>
      <c r="CD75" s="694">
        <f t="shared" si="594"/>
        <v>-0.22096617984407912</v>
      </c>
      <c r="CE75" s="694">
        <f t="shared" ref="CE75" si="597">CE73/CE$30</f>
        <v>-0.28340922830898846</v>
      </c>
      <c r="CF75" s="694">
        <f t="shared" ref="CF75:CH75" si="598">CF73/CF$30</f>
        <v>-0.24791950967605358</v>
      </c>
      <c r="CG75" s="694">
        <f t="shared" si="598"/>
        <v>-0.2523407010668644</v>
      </c>
      <c r="CH75" s="694">
        <f t="shared" si="598"/>
        <v>-0.21853468171608606</v>
      </c>
      <c r="CI75" s="694">
        <f t="shared" ref="CI75:CL75" si="599">CI73/CI$30</f>
        <v>-0.27470509714020402</v>
      </c>
      <c r="CJ75" s="694">
        <f t="shared" si="599"/>
        <v>-0.23597208404378589</v>
      </c>
      <c r="CK75" s="694">
        <f t="shared" si="599"/>
        <v>-0.26080095506907913</v>
      </c>
      <c r="CL75" s="694">
        <f t="shared" si="599"/>
        <v>-0.2181939438804805</v>
      </c>
      <c r="CM75" s="694">
        <f t="shared" ref="CM75:CP75" si="600">CM73/CM$30</f>
        <v>-0.27194775703969176</v>
      </c>
      <c r="CN75" s="694">
        <f t="shared" si="600"/>
        <v>-0.2337256179999927</v>
      </c>
      <c r="CO75" s="694">
        <f t="shared" si="600"/>
        <v>-0.25972694089623871</v>
      </c>
      <c r="CP75" s="694">
        <f t="shared" si="600"/>
        <v>-0.21880881251338316</v>
      </c>
      <c r="CQ75" s="694"/>
      <c r="CR75" s="694"/>
      <c r="CS75" s="694"/>
      <c r="CT75" s="694">
        <v>-0.2181939438804805</v>
      </c>
      <c r="CU75" s="695"/>
      <c r="CV75" s="694" t="e">
        <v>#DIV/0!</v>
      </c>
      <c r="CW75" s="694" t="e">
        <v>#DIV/0!</v>
      </c>
      <c r="CX75" s="694">
        <v>-0.26362886862111851</v>
      </c>
      <c r="CY75" s="694">
        <v>-0.25113887544184943</v>
      </c>
      <c r="CZ75" s="694">
        <v>-0.26333766355269189</v>
      </c>
      <c r="DA75" s="694">
        <v>-0.26204070097435267</v>
      </c>
      <c r="DB75" s="694">
        <v>-0.26057058071599931</v>
      </c>
      <c r="DC75" s="694">
        <v>-0.26774035633304516</v>
      </c>
      <c r="DD75" s="694">
        <v>-0.26850541311858023</v>
      </c>
      <c r="DE75" s="694">
        <v>-0.26318524730147586</v>
      </c>
      <c r="DF75" s="694">
        <f t="shared" ref="DF75:DM75" si="601">DF73/DF$30</f>
        <v>-0.25239089547005006</v>
      </c>
      <c r="DG75" s="694">
        <f t="shared" si="601"/>
        <v>-0.2549561059445386</v>
      </c>
      <c r="DH75" s="694">
        <f t="shared" si="601"/>
        <v>-0.27045201841811556</v>
      </c>
      <c r="DI75" s="694">
        <f t="shared" si="601"/>
        <v>-0.28272420038081397</v>
      </c>
      <c r="DJ75" s="694">
        <f t="shared" si="601"/>
        <v>-0.27725677325546833</v>
      </c>
      <c r="DK75" s="694">
        <f t="shared" si="601"/>
        <v>-0.23313174884329144</v>
      </c>
      <c r="DL75" s="694">
        <f t="shared" si="601"/>
        <v>-0.28310305527859397</v>
      </c>
      <c r="DM75" s="694">
        <f t="shared" si="601"/>
        <v>-0.26634416814569262</v>
      </c>
      <c r="DN75" s="694">
        <f t="shared" ref="DN75:DQ75" si="602">DN73/DN$30</f>
        <v>-0.24442684066191567</v>
      </c>
      <c r="DO75" s="694">
        <f t="shared" si="602"/>
        <v>-0.25153882426104146</v>
      </c>
      <c r="DP75" s="694">
        <f t="shared" si="602"/>
        <v>-0.24616321876270028</v>
      </c>
      <c r="DQ75" s="694">
        <f t="shared" si="602"/>
        <v>-0.2435856421774365</v>
      </c>
      <c r="DR75" s="694">
        <f t="shared" ref="DR75" si="603">DR73/DR$30</f>
        <v>-0.24234816802411693</v>
      </c>
      <c r="DS75" s="694">
        <f t="shared" ref="DS75:DV75" si="604">DS73/DS$30</f>
        <v>-0.23627813864098057</v>
      </c>
      <c r="DT75" s="694">
        <f t="shared" si="604"/>
        <v>-0.23436815077768908</v>
      </c>
      <c r="DU75" s="694">
        <f t="shared" si="604"/>
        <v>-0.23261940632968639</v>
      </c>
      <c r="DV75" s="694">
        <f t="shared" si="604"/>
        <v>-0.23101005773688421</v>
      </c>
      <c r="DY75" s="696">
        <v>-0.23720830308137322</v>
      </c>
      <c r="DZ75" s="696">
        <v>-0.22289410897368267</v>
      </c>
    </row>
    <row r="76" spans="1:130" s="692" customFormat="1">
      <c r="A76" s="694" t="s">
        <v>169</v>
      </c>
      <c r="B76" s="694"/>
      <c r="C76" s="694"/>
      <c r="D76" s="694"/>
      <c r="E76" s="694"/>
      <c r="F76" s="694"/>
      <c r="G76" s="694">
        <v>0.16030075770788521</v>
      </c>
      <c r="H76" s="694">
        <v>0.16223673749356937</v>
      </c>
      <c r="I76" s="694">
        <v>0.22175639518039447</v>
      </c>
      <c r="J76" s="694">
        <v>0.20188073930719175</v>
      </c>
      <c r="K76" s="694">
        <v>0.2632651356993736</v>
      </c>
      <c r="L76" s="694">
        <v>0.26099203262065074</v>
      </c>
      <c r="M76" s="694">
        <v>0.24709509129713059</v>
      </c>
      <c r="N76" s="694">
        <v>0.29191432338383727</v>
      </c>
      <c r="O76" s="694">
        <v>0.20427562865226467</v>
      </c>
      <c r="P76" s="694">
        <v>0.14166276645534603</v>
      </c>
      <c r="Q76" s="694">
        <v>0.16539713432435144</v>
      </c>
      <c r="R76" s="694">
        <v>0.14866243956301339</v>
      </c>
      <c r="S76" s="694">
        <v>0.24739540449450548</v>
      </c>
      <c r="T76" s="694">
        <v>0.21342588279139107</v>
      </c>
      <c r="U76" s="694">
        <v>0.16422881274594481</v>
      </c>
      <c r="V76" s="694">
        <v>9.1859770751103298E-2</v>
      </c>
      <c r="W76" s="694">
        <v>6.4009364218827081E-2</v>
      </c>
      <c r="X76" s="694">
        <v>4.4672404923332021E-2</v>
      </c>
      <c r="Y76" s="694">
        <v>0.13251333459740655</v>
      </c>
      <c r="Z76" s="694">
        <v>6.8104207240615722E-2</v>
      </c>
      <c r="AA76" s="694">
        <v>0.13363441607318616</v>
      </c>
      <c r="AB76" s="694">
        <v>9.3168204035132929E-2</v>
      </c>
      <c r="AC76" s="694">
        <v>0.16421474067333941</v>
      </c>
      <c r="AD76" s="694">
        <v>0.22381246760707607</v>
      </c>
      <c r="AE76" s="694">
        <v>0.21850670908334724</v>
      </c>
      <c r="AF76" s="694">
        <v>0.2452750267261028</v>
      </c>
      <c r="AG76" s="694">
        <v>0.18445108607300509</v>
      </c>
      <c r="AH76" s="694">
        <v>0.19343827333724528</v>
      </c>
      <c r="AI76" s="694">
        <v>0.24695808383233531</v>
      </c>
      <c r="AJ76" s="694">
        <v>0.22068883597626487</v>
      </c>
      <c r="AK76" s="694">
        <v>0.14933961168533627</v>
      </c>
      <c r="AL76" s="694">
        <v>0.18644183739781783</v>
      </c>
      <c r="AM76" s="694">
        <v>0.15277897830408849</v>
      </c>
      <c r="AN76" s="694">
        <v>0.10392109162483143</v>
      </c>
      <c r="AO76" s="694">
        <v>0.14501387077217021</v>
      </c>
      <c r="AP76" s="694">
        <v>4.9073166512915156E-2</v>
      </c>
      <c r="AQ76" s="694">
        <f t="shared" ref="AQ76:BT76" si="605">AQ73/AM73-1</f>
        <v>6.7238197594737814E-2</v>
      </c>
      <c r="AR76" s="694">
        <f t="shared" si="605"/>
        <v>0.14660229185030849</v>
      </c>
      <c r="AS76" s="694">
        <f t="shared" si="605"/>
        <v>0.15266128352928443</v>
      </c>
      <c r="AT76" s="694">
        <f t="shared" si="605"/>
        <v>0.17487170327216761</v>
      </c>
      <c r="AU76" s="694">
        <f t="shared" si="605"/>
        <v>0.19943168955261159</v>
      </c>
      <c r="AV76" s="694">
        <f t="shared" si="605"/>
        <v>0.20208338429389627</v>
      </c>
      <c r="AW76" s="694">
        <f t="shared" si="605"/>
        <v>0.17996902785752811</v>
      </c>
      <c r="AX76" s="694">
        <f t="shared" si="605"/>
        <v>0.16763392791881437</v>
      </c>
      <c r="AY76" s="694">
        <f t="shared" si="605"/>
        <v>0.14910248232951062</v>
      </c>
      <c r="AZ76" s="694">
        <f t="shared" si="605"/>
        <v>0.14638996043593155</v>
      </c>
      <c r="BA76" s="694">
        <f t="shared" si="605"/>
        <v>0.10673017371044335</v>
      </c>
      <c r="BB76" s="694">
        <f t="shared" si="605"/>
        <v>6.35205212248382E-2</v>
      </c>
      <c r="BC76" s="694">
        <f t="shared" si="605"/>
        <v>0.18502629056101516</v>
      </c>
      <c r="BD76" s="694">
        <f t="shared" si="605"/>
        <v>0.17439398821372509</v>
      </c>
      <c r="BE76" s="694">
        <f t="shared" si="605"/>
        <v>0.2138622709382052</v>
      </c>
      <c r="BF76" s="694">
        <f t="shared" si="605"/>
        <v>0.24527645703791778</v>
      </c>
      <c r="BG76" s="694">
        <f t="shared" si="605"/>
        <v>0.1425621498517855</v>
      </c>
      <c r="BH76" s="694">
        <f t="shared" si="605"/>
        <v>9.6507379570355933E-2</v>
      </c>
      <c r="BI76" s="694">
        <f t="shared" si="605"/>
        <v>0.10786802112673022</v>
      </c>
      <c r="BJ76" s="694">
        <f t="shared" si="605"/>
        <v>0.10569140348333494</v>
      </c>
      <c r="BK76" s="694">
        <f t="shared" si="605"/>
        <v>-8.1416192043907265E-2</v>
      </c>
      <c r="BL76" s="694">
        <f t="shared" si="605"/>
        <v>-2.3624233497300251E-2</v>
      </c>
      <c r="BM76" s="694">
        <f t="shared" si="605"/>
        <v>-4.6174759436280355E-2</v>
      </c>
      <c r="BN76" s="694">
        <f t="shared" si="605"/>
        <v>-4.3506140413875127E-2</v>
      </c>
      <c r="BO76" s="694">
        <f t="shared" si="605"/>
        <v>8.1780797588199672E-2</v>
      </c>
      <c r="BP76" s="694">
        <f t="shared" si="605"/>
        <v>-0.45343051737595019</v>
      </c>
      <c r="BQ76" s="694">
        <f t="shared" si="605"/>
        <v>-6.4215761635081359E-3</v>
      </c>
      <c r="BR76" s="694">
        <f t="shared" si="605"/>
        <v>0.18218141448162317</v>
      </c>
      <c r="BS76" s="694">
        <f t="shared" si="605"/>
        <v>0.13249700056831326</v>
      </c>
      <c r="BT76" s="694">
        <f t="shared" si="605"/>
        <v>1.2165015405619823</v>
      </c>
      <c r="BU76" s="694">
        <f t="shared" ref="BU76:CH76" si="606">BU73/BQ73-1</f>
        <v>0.31708607332908167</v>
      </c>
      <c r="BV76" s="694">
        <f t="shared" si="606"/>
        <v>0.17422324650147147</v>
      </c>
      <c r="BW76" s="694">
        <f t="shared" si="606"/>
        <v>0.17048981670439645</v>
      </c>
      <c r="BX76" s="694">
        <f t="shared" si="606"/>
        <v>0.21475886615735762</v>
      </c>
      <c r="BY76" s="694">
        <f t="shared" si="606"/>
        <v>7.2357172453536567E-2</v>
      </c>
      <c r="BZ76" s="694">
        <f t="shared" si="606"/>
        <v>2.3198040407578668E-2</v>
      </c>
      <c r="CA76" s="694">
        <f t="shared" si="606"/>
        <v>7.0225860951969699E-2</v>
      </c>
      <c r="CB76" s="694">
        <f t="shared" si="606"/>
        <v>1.2690407504608148E-2</v>
      </c>
      <c r="CC76" s="694">
        <f t="shared" si="606"/>
        <v>2.2170867870450861E-2</v>
      </c>
      <c r="CD76" s="694">
        <f t="shared" si="606"/>
        <v>5.8781549677092926E-2</v>
      </c>
      <c r="CE76" s="694">
        <f t="shared" si="606"/>
        <v>3.4955800793478931E-2</v>
      </c>
      <c r="CF76" s="694">
        <f t="shared" si="606"/>
        <v>3.3328596850915826E-2</v>
      </c>
      <c r="CG76" s="694">
        <f t="shared" si="606"/>
        <v>8.0309128591642853E-2</v>
      </c>
      <c r="CH76" s="694">
        <f t="shared" si="606"/>
        <v>8.4558661821225067E-2</v>
      </c>
      <c r="CI76" s="694">
        <f t="shared" ref="CI76" si="607">CI73/CE73-1</f>
        <v>8.5676521100875425E-2</v>
      </c>
      <c r="CJ76" s="694">
        <f t="shared" ref="CJ76" si="608">CJ73/CF73-1</f>
        <v>0.12788168256342214</v>
      </c>
      <c r="CK76" s="694">
        <f t="shared" ref="CK76" si="609">CK73/CG73-1</f>
        <v>7.6602042882021548E-2</v>
      </c>
      <c r="CL76" s="694">
        <f t="shared" ref="CL76" si="610">CL73/CH73-1</f>
        <v>4.561197631780467E-2</v>
      </c>
      <c r="CM76" s="694">
        <f t="shared" ref="CM76" si="611">CM73/CI73-1</f>
        <v>5.4229850781142952E-2</v>
      </c>
      <c r="CN76" s="694">
        <f t="shared" ref="CN76" si="612">CN73/CJ73-1</f>
        <v>4.5226694502841447E-2</v>
      </c>
      <c r="CO76" s="694">
        <f t="shared" ref="CO76" si="613">CO73/CK73-1</f>
        <v>7.7799612144965558E-2</v>
      </c>
      <c r="CP76" s="694">
        <f t="shared" ref="CP76" si="614">CP73/CL73-1</f>
        <v>8.7485594983196968E-2</v>
      </c>
      <c r="CQ76" s="697"/>
      <c r="CR76" s="697"/>
      <c r="CS76" s="697"/>
      <c r="CT76" s="697">
        <v>4.561197631780467E-2</v>
      </c>
      <c r="CU76" s="694"/>
      <c r="CV76" s="694"/>
      <c r="CW76" s="694">
        <v>0.18787039909632575</v>
      </c>
      <c r="CX76" s="694">
        <v>0.26769283313019843</v>
      </c>
      <c r="CY76" s="694">
        <v>0.16198669304461988</v>
      </c>
      <c r="CZ76" s="694">
        <v>0.17086243854093985</v>
      </c>
      <c r="DA76" s="694">
        <v>7.6444299487083978E-2</v>
      </c>
      <c r="DB76" s="694">
        <v>0.15732681659963577</v>
      </c>
      <c r="DC76" s="694">
        <v>0.20856689153705066</v>
      </c>
      <c r="DD76" s="694">
        <v>0.19858911392176548</v>
      </c>
      <c r="DE76" s="694">
        <v>0.10811732495656523</v>
      </c>
      <c r="DF76" s="694">
        <f t="shared" ref="DF76:DM76" si="615">DF73/DE73-1</f>
        <v>0.13756242379055128</v>
      </c>
      <c r="DG76" s="694">
        <f t="shared" si="615"/>
        <v>0.18602469974474145</v>
      </c>
      <c r="DH76" s="694">
        <f t="shared" si="615"/>
        <v>0.11349918833037842</v>
      </c>
      <c r="DI76" s="694">
        <f t="shared" si="615"/>
        <v>0.20584645518045375</v>
      </c>
      <c r="DJ76" s="694">
        <f t="shared" si="615"/>
        <v>0.11221146734674159</v>
      </c>
      <c r="DK76" s="694">
        <f t="shared" si="615"/>
        <v>-4.8023332515815143E-2</v>
      </c>
      <c r="DL76" s="694">
        <f t="shared" si="615"/>
        <v>-4.5599578887696612E-2</v>
      </c>
      <c r="DM76" s="694">
        <f t="shared" si="615"/>
        <v>0.34974236699921724</v>
      </c>
      <c r="DN76" s="694">
        <f>DN73/DM73-1</f>
        <v>0.11171335485432476</v>
      </c>
      <c r="DO76" s="694">
        <f>DO73/DN73-1</f>
        <v>4.0702118974282886E-2</v>
      </c>
      <c r="DP76" s="694">
        <f>DP73/DO73-1</f>
        <v>5.935239399320591E-2</v>
      </c>
      <c r="DQ76" s="694">
        <f>DQ73/DP73-1</f>
        <v>8.2119954042590759E-2</v>
      </c>
      <c r="DR76" s="694">
        <f>DR73/DQ73-1</f>
        <v>6.6938404848209565E-2</v>
      </c>
      <c r="DS76" s="694">
        <f t="shared" ref="DS76:DV76" si="616">DS73/DR73-1</f>
        <v>5.8171475640446113E-2</v>
      </c>
      <c r="DT76" s="694">
        <f t="shared" si="616"/>
        <v>6.8244096970186297E-2</v>
      </c>
      <c r="DU76" s="694">
        <f t="shared" si="616"/>
        <v>6.8245704089175518E-2</v>
      </c>
      <c r="DV76" s="694">
        <f t="shared" si="616"/>
        <v>6.8194096746033939E-2</v>
      </c>
      <c r="DY76" s="724">
        <v>5.9662186912212034E-2</v>
      </c>
      <c r="DZ76" s="724">
        <v>2.2987748321890322E-2</v>
      </c>
    </row>
    <row r="77" spans="1:130" s="692" customFormat="1">
      <c r="A77" s="694" t="s">
        <v>170</v>
      </c>
      <c r="B77" s="694"/>
      <c r="C77" s="694"/>
      <c r="D77" s="694">
        <v>0.24308664224948151</v>
      </c>
      <c r="E77" s="694">
        <v>-8.5272888833460625E-2</v>
      </c>
      <c r="F77" s="694">
        <v>0.31211547965983266</v>
      </c>
      <c r="G77" s="694">
        <v>-0.22231169876998613</v>
      </c>
      <c r="H77" s="694">
        <v>0.24516075156576211</v>
      </c>
      <c r="I77" s="694">
        <v>-3.8428521608498523E-2</v>
      </c>
      <c r="J77" s="694">
        <v>0.29076985311554071</v>
      </c>
      <c r="K77" s="694">
        <v>-0.18259234443555883</v>
      </c>
      <c r="L77" s="694">
        <v>0.24292022528358759</v>
      </c>
      <c r="M77" s="694">
        <v>-4.9025656299195863E-2</v>
      </c>
      <c r="N77" s="694">
        <v>0.3371587083207499</v>
      </c>
      <c r="O77" s="694">
        <v>-0.23804225988322492</v>
      </c>
      <c r="P77" s="694">
        <v>0.17829814796517685</v>
      </c>
      <c r="Q77" s="694">
        <v>-2.9255566943072742E-2</v>
      </c>
      <c r="R77" s="694">
        <v>0.31795757750263931</v>
      </c>
      <c r="S77" s="694">
        <v>-0.17254839132524502</v>
      </c>
      <c r="T77" s="694">
        <v>0.1462103076814758</v>
      </c>
      <c r="U77" s="694">
        <v>-6.8613374079562695E-2</v>
      </c>
      <c r="V77" s="694">
        <v>0.23603267903809533</v>
      </c>
      <c r="W77" s="694">
        <v>-0.19365445668703141</v>
      </c>
      <c r="X77" s="694">
        <v>0.12537945523875704</v>
      </c>
      <c r="Y77" s="694">
        <v>9.7019587666753448E-3</v>
      </c>
      <c r="Z77" s="694">
        <v>0.1657361237488626</v>
      </c>
      <c r="AA77" s="694">
        <v>-0.14418363587543637</v>
      </c>
      <c r="AB77" s="694">
        <v>8.5207912267516894E-2</v>
      </c>
      <c r="AC77" s="694">
        <v>7.5323906919203099E-2</v>
      </c>
      <c r="AD77" s="694">
        <v>0.22541173233959011</v>
      </c>
      <c r="AE77" s="694">
        <v>-0.14789397147740901</v>
      </c>
      <c r="AF77" s="694">
        <v>0.10904790419161681</v>
      </c>
      <c r="AG77" s="694">
        <v>2.2801021537597554E-2</v>
      </c>
      <c r="AH77" s="694">
        <v>0.2347097142012522</v>
      </c>
      <c r="AI77" s="694">
        <v>-0.10968122584396489</v>
      </c>
      <c r="AJ77" s="694">
        <v>8.5683963849751743E-2</v>
      </c>
      <c r="AK77" s="694">
        <v>-3.6981666187495876E-2</v>
      </c>
      <c r="AL77" s="694">
        <v>0.27456780143668125</v>
      </c>
      <c r="AM77" s="694">
        <v>-0.13494219903136528</v>
      </c>
      <c r="AN77" s="694">
        <v>3.9669745102205001E-2</v>
      </c>
      <c r="AO77" s="694">
        <v>-1.1339049603333873E-3</v>
      </c>
      <c r="AP77" s="694">
        <v>0.16777177422913225</v>
      </c>
      <c r="AQ77" s="694">
        <f t="shared" ref="AQ77:BZ77" si="617">AQ73/AP73-1</f>
        <v>-0.11996345174875134</v>
      </c>
      <c r="AR77" s="694">
        <f t="shared" si="617"/>
        <v>0.11698373913925941</v>
      </c>
      <c r="AS77" s="694">
        <f t="shared" si="617"/>
        <v>4.1444041807463528E-3</v>
      </c>
      <c r="AT77" s="694">
        <f t="shared" si="617"/>
        <v>0.19027335525743427</v>
      </c>
      <c r="AU77" s="694">
        <f t="shared" si="617"/>
        <v>-0.1015668170428996</v>
      </c>
      <c r="AV77" s="694">
        <f t="shared" si="617"/>
        <v>0.11945315855928573</v>
      </c>
      <c r="AW77" s="694">
        <f t="shared" si="617"/>
        <v>-1.4328530024796615E-2</v>
      </c>
      <c r="AX77" s="694">
        <f t="shared" si="617"/>
        <v>0.17783053646739622</v>
      </c>
      <c r="AY77" s="694">
        <f t="shared" si="617"/>
        <v>-0.11582579431951068</v>
      </c>
      <c r="AZ77" s="694">
        <f t="shared" si="617"/>
        <v>0.11681062558409572</v>
      </c>
      <c r="BA77" s="694">
        <f t="shared" si="617"/>
        <v>-4.8428200843398272E-2</v>
      </c>
      <c r="BB77" s="694">
        <f t="shared" si="617"/>
        <v>0.13184493909539818</v>
      </c>
      <c r="BC77" s="694">
        <f t="shared" si="617"/>
        <v>-1.4810096978115639E-2</v>
      </c>
      <c r="BD77" s="694">
        <f t="shared" si="617"/>
        <v>0.10679036837085287</v>
      </c>
      <c r="BE77" s="694">
        <f t="shared" si="617"/>
        <v>-1.64483838665761E-2</v>
      </c>
      <c r="BF77" s="694">
        <f t="shared" si="617"/>
        <v>0.1611365551246855</v>
      </c>
      <c r="BG77" s="694">
        <f t="shared" si="617"/>
        <v>-9.60716495946079E-2</v>
      </c>
      <c r="BH77" s="694">
        <f t="shared" si="617"/>
        <v>6.2177498802549191E-2</v>
      </c>
      <c r="BI77" s="694">
        <f t="shared" si="617"/>
        <v>-6.2580490167891689E-3</v>
      </c>
      <c r="BJ77" s="694">
        <f t="shared" si="617"/>
        <v>0.15885528130498883</v>
      </c>
      <c r="BK77" s="694">
        <f t="shared" si="617"/>
        <v>-0.24903644577592188</v>
      </c>
      <c r="BL77" s="694">
        <f t="shared" si="617"/>
        <v>0.1290035384608379</v>
      </c>
      <c r="BM77" s="694">
        <f t="shared" si="617"/>
        <v>-2.9209667042468301E-2</v>
      </c>
      <c r="BN77" s="694">
        <f t="shared" si="617"/>
        <v>0.1620975348294158</v>
      </c>
      <c r="BO77" s="694">
        <f t="shared" si="617"/>
        <v>-0.15067102155814294</v>
      </c>
      <c r="BP77" s="694">
        <f t="shared" si="617"/>
        <v>-0.42957123913363782</v>
      </c>
      <c r="BQ77" s="694">
        <f t="shared" si="617"/>
        <v>0.76474603789597984</v>
      </c>
      <c r="BR77" s="694">
        <f t="shared" si="617"/>
        <v>0.38268915118503721</v>
      </c>
      <c r="BS77" s="694">
        <f t="shared" si="617"/>
        <v>-0.1863663996080317</v>
      </c>
      <c r="BT77" s="694">
        <f t="shared" si="617"/>
        <v>0.11643229660358556</v>
      </c>
      <c r="BU77" s="694">
        <f t="shared" si="617"/>
        <v>4.8644626200508467E-2</v>
      </c>
      <c r="BV77" s="694">
        <f t="shared" si="617"/>
        <v>0.23271043319368223</v>
      </c>
      <c r="BW77" s="694">
        <f t="shared" si="617"/>
        <v>-0.18895333862210362</v>
      </c>
      <c r="BX77" s="694">
        <f t="shared" si="617"/>
        <v>0.15865683870885783</v>
      </c>
      <c r="BY77" s="694">
        <f t="shared" si="617"/>
        <v>-7.4284108896304546E-2</v>
      </c>
      <c r="BZ77" s="694">
        <f t="shared" si="617"/>
        <v>0.17620036684969675</v>
      </c>
      <c r="CA77" s="694">
        <f>CA73/BZ73-1</f>
        <v>-0.15167633520914381</v>
      </c>
      <c r="CB77" s="694">
        <f>CB73/CA73-1</f>
        <v>9.6367326712107237E-2</v>
      </c>
      <c r="CC77" s="694">
        <f>CC73/CB73-1</f>
        <v>-6.5617874131362997E-2</v>
      </c>
      <c r="CD77" s="694">
        <f>CD73/CC73-1</f>
        <v>0.21832786111227787</v>
      </c>
      <c r="CE77" s="694">
        <f t="shared" ref="CE77:CH77" si="618">CE73/CD73-1</f>
        <v>-0.17076615275979756</v>
      </c>
      <c r="CF77" s="694">
        <f t="shared" si="618"/>
        <v>9.4643568813310486E-2</v>
      </c>
      <c r="CG77" s="694">
        <f t="shared" si="618"/>
        <v>-2.3135967353481557E-2</v>
      </c>
      <c r="CH77" s="694">
        <f t="shared" si="618"/>
        <v>0.22312030856393616</v>
      </c>
      <c r="CI77" s="694">
        <f t="shared" ref="CI77" si="619">CI73/CH73-1</f>
        <v>-0.16991145786521167</v>
      </c>
      <c r="CJ77" s="694">
        <f t="shared" ref="CJ77" si="620">CJ73/CI73-1</f>
        <v>0.13719732001616225</v>
      </c>
      <c r="CK77" s="694">
        <f t="shared" ref="CK77" si="621">CK73/CJ73-1</f>
        <v>-6.7549522770023906E-2</v>
      </c>
      <c r="CL77" s="694">
        <f t="shared" ref="CL77" si="622">CL73/CK73-1</f>
        <v>0.18791270327556742</v>
      </c>
      <c r="CM77" s="694">
        <f t="shared" ref="CM77" si="623">CM73/CL73-1</f>
        <v>-0.1630699152934012</v>
      </c>
      <c r="CN77" s="694">
        <f t="shared" ref="CN77" si="624">CN73/CM73-1</f>
        <v>0.12748561892575494</v>
      </c>
      <c r="CO77" s="694">
        <f t="shared" ref="CO77" si="625">CO73/CN73-1</f>
        <v>-3.8491106294526123E-2</v>
      </c>
      <c r="CP77" s="694">
        <f t="shared" ref="CP77" si="626">CP73/CO73-1</f>
        <v>0.19858825179830775</v>
      </c>
      <c r="CQ77" s="694"/>
      <c r="CR77" s="694"/>
      <c r="CS77" s="694"/>
      <c r="CT77" s="694">
        <v>0.18791270327556742</v>
      </c>
      <c r="CU77" s="694"/>
      <c r="CV77" s="694"/>
      <c r="CW77" s="698">
        <v>0.26035118326197004</v>
      </c>
      <c r="CX77" s="698">
        <v>0.27377284282538961</v>
      </c>
      <c r="CY77" s="698">
        <v>0.26103127012260674</v>
      </c>
      <c r="CZ77" s="698">
        <v>0.13054166910503118</v>
      </c>
      <c r="DA77" s="698">
        <v>8.2739542291893731E-2</v>
      </c>
      <c r="DB77" s="698">
        <v>0.1640317342661366</v>
      </c>
      <c r="DC77" s="698">
        <v>0.17707893395867758</v>
      </c>
      <c r="DD77" s="698">
        <v>0.19266879972530848</v>
      </c>
      <c r="DE77" s="698">
        <v>0.1314881419015832</v>
      </c>
      <c r="DF77" s="698">
        <f>+DF27</f>
        <v>0.19349841730082185</v>
      </c>
      <c r="DG77" s="694"/>
      <c r="DH77" s="694"/>
      <c r="DI77" s="694"/>
      <c r="DJ77" s="694"/>
      <c r="DK77" s="694"/>
      <c r="DL77" s="694"/>
      <c r="DM77" s="694"/>
      <c r="DN77" s="694"/>
      <c r="DO77" s="694"/>
      <c r="DP77" s="694"/>
      <c r="DQ77" s="694"/>
      <c r="DR77" s="694"/>
      <c r="DS77" s="696"/>
      <c r="DT77" s="696"/>
      <c r="DU77" s="696"/>
      <c r="DV77" s="696"/>
      <c r="DY77" s="696"/>
      <c r="DZ77" s="696"/>
    </row>
    <row r="78" spans="1:130" s="692" customFormat="1">
      <c r="A78" s="699" t="s">
        <v>202</v>
      </c>
      <c r="B78" s="694"/>
      <c r="C78" s="700"/>
      <c r="D78" s="700"/>
      <c r="E78" s="700"/>
      <c r="F78" s="700"/>
      <c r="G78" s="700"/>
      <c r="H78" s="700"/>
      <c r="I78" s="700"/>
      <c r="J78" s="700"/>
      <c r="K78" s="700"/>
      <c r="L78" s="700"/>
      <c r="M78" s="700"/>
      <c r="N78" s="700">
        <v>1.1443904031928394</v>
      </c>
      <c r="O78" s="700">
        <v>0.86465245731011475</v>
      </c>
      <c r="P78" s="700">
        <v>0.58483999868401737</v>
      </c>
      <c r="Q78" s="700">
        <v>0.70840630300052243</v>
      </c>
      <c r="R78" s="700">
        <v>0.79451165297661019</v>
      </c>
      <c r="S78" s="700">
        <v>1.0502813277714271</v>
      </c>
      <c r="T78" s="700">
        <v>1.4480899382780619</v>
      </c>
      <c r="U78" s="700">
        <v>1.2096500288697221</v>
      </c>
      <c r="V78" s="700">
        <v>4.5923932349531125</v>
      </c>
      <c r="W78" s="700">
        <v>-1.183568152903762</v>
      </c>
      <c r="X78" s="700">
        <v>0.50741984049683897</v>
      </c>
      <c r="Y78" s="700">
        <v>1.5784961982070218</v>
      </c>
      <c r="Z78" s="700">
        <v>0.42609074441983541</v>
      </c>
      <c r="AA78" s="700">
        <v>0.62453944552656526</v>
      </c>
      <c r="AB78" s="700">
        <v>0.68675849636336028</v>
      </c>
      <c r="AC78" s="700">
        <v>0.97461578743975719</v>
      </c>
      <c r="AD78" s="700">
        <v>1.4244190536145227</v>
      </c>
      <c r="AE78" s="700">
        <v>1.2418727443114241</v>
      </c>
      <c r="AF78" s="700">
        <v>1.2912870103970351</v>
      </c>
      <c r="AG78" s="700">
        <v>1.1875646474049186</v>
      </c>
      <c r="AH78" s="700">
        <v>1.0731849768126365</v>
      </c>
      <c r="AI78" s="701">
        <v>1.2597242019724388</v>
      </c>
      <c r="AJ78" s="701">
        <v>1.5679143253735437</v>
      </c>
      <c r="AK78" s="701">
        <v>0.67126001948061331</v>
      </c>
      <c r="AL78" s="701">
        <v>0.85436397244150697</v>
      </c>
      <c r="AM78" s="701">
        <v>0.87974361666214096</v>
      </c>
      <c r="AN78" s="701">
        <v>0.96562244391980701</v>
      </c>
      <c r="AO78" s="701">
        <v>1.1237322911541172</v>
      </c>
      <c r="AP78" s="701">
        <v>0.39105194010694116</v>
      </c>
      <c r="AQ78" s="701">
        <f t="shared" ref="AQ78:CB78" si="627">+AQ76/AQ32</f>
        <v>0.55663362278545814</v>
      </c>
      <c r="AR78" s="701">
        <f t="shared" si="627"/>
        <v>0.84674612425676232</v>
      </c>
      <c r="AS78" s="701">
        <f t="shared" si="627"/>
        <v>0.98771707772403738</v>
      </c>
      <c r="AT78" s="701">
        <f t="shared" si="627"/>
        <v>0.69198117981270413</v>
      </c>
      <c r="AU78" s="701">
        <f t="shared" si="627"/>
        <v>0.8271775599612734</v>
      </c>
      <c r="AV78" s="701">
        <f t="shared" si="627"/>
        <v>0.92398675239317674</v>
      </c>
      <c r="AW78" s="701">
        <f t="shared" si="627"/>
        <v>0.93625579731295172</v>
      </c>
      <c r="AX78" s="701">
        <f t="shared" si="627"/>
        <v>1.6705536931846787</v>
      </c>
      <c r="AY78" s="701">
        <f t="shared" si="627"/>
        <v>2.3098854286314872</v>
      </c>
      <c r="AZ78" s="701">
        <f t="shared" si="627"/>
        <v>1.7946903963472496</v>
      </c>
      <c r="BA78" s="701">
        <f t="shared" si="627"/>
        <v>11.054361014190491</v>
      </c>
      <c r="BB78" s="701">
        <f t="shared" si="627"/>
        <v>1.4038158964708827</v>
      </c>
      <c r="BC78" s="701">
        <f t="shared" si="627"/>
        <v>1.2559650333971806</v>
      </c>
      <c r="BD78" s="701">
        <f t="shared" si="627"/>
        <v>1.5409052519713364</v>
      </c>
      <c r="BE78" s="701">
        <f t="shared" si="627"/>
        <v>1.0689873723484726</v>
      </c>
      <c r="BF78" s="701">
        <f t="shared" si="627"/>
        <v>1.5605527788450233</v>
      </c>
      <c r="BG78" s="701">
        <f t="shared" si="627"/>
        <v>1.0724050655107196</v>
      </c>
      <c r="BH78" s="701">
        <f t="shared" si="627"/>
        <v>1.0519875384573916</v>
      </c>
      <c r="BI78" s="701">
        <f t="shared" si="627"/>
        <v>0.82037577701375863</v>
      </c>
      <c r="BJ78" s="701">
        <f t="shared" si="627"/>
        <v>0.63010893933263112</v>
      </c>
      <c r="BK78" s="701">
        <f t="shared" si="627"/>
        <v>-0.45279668389008454</v>
      </c>
      <c r="BL78" s="701">
        <f t="shared" si="627"/>
        <v>-0.17569708734507741</v>
      </c>
      <c r="BM78" s="701">
        <f t="shared" si="627"/>
        <v>-0.358456067274671</v>
      </c>
      <c r="BN78" s="701">
        <f t="shared" si="627"/>
        <v>-0.40622208754222749</v>
      </c>
      <c r="BO78" s="701">
        <f t="shared" si="627"/>
        <v>-1.3475431187966564</v>
      </c>
      <c r="BP78" s="701">
        <f t="shared" si="627"/>
        <v>0.61878913537095215</v>
      </c>
      <c r="BQ78" s="701">
        <f t="shared" si="627"/>
        <v>4.4192390144550724E-2</v>
      </c>
      <c r="BR78" s="701">
        <f t="shared" si="627"/>
        <v>11.256296136080442</v>
      </c>
      <c r="BS78" s="701">
        <f t="shared" si="627"/>
        <v>-1.1056787430273407</v>
      </c>
      <c r="BT78" s="701">
        <f t="shared" si="627"/>
        <v>0.38187015860320389</v>
      </c>
      <c r="BU78" s="701">
        <f t="shared" si="627"/>
        <v>0.72644885539234538</v>
      </c>
      <c r="BV78" s="701">
        <f t="shared" si="627"/>
        <v>0.79340457472539871</v>
      </c>
      <c r="BW78" s="701">
        <f t="shared" si="627"/>
        <v>0.26884685574351225</v>
      </c>
      <c r="BX78" s="701">
        <f>+BX76/BX32</f>
        <v>0.52897399456451999</v>
      </c>
      <c r="BY78" s="701">
        <f>+BY76/BY32</f>
        <v>0.70454891237897277</v>
      </c>
      <c r="BZ78" s="701">
        <f>+BZ76/BZ32</f>
        <v>-14.246275178516212</v>
      </c>
      <c r="CA78" s="701">
        <f t="shared" si="627"/>
        <v>3.2395445082027745</v>
      </c>
      <c r="CB78" s="701">
        <f t="shared" si="627"/>
        <v>-0.21162196260638097</v>
      </c>
      <c r="CC78" s="701">
        <f t="shared" ref="CC78:CD78" si="628">+CC76/CC32</f>
        <v>2.817020670555753</v>
      </c>
      <c r="CD78" s="701">
        <f t="shared" si="628"/>
        <v>0.82898758985233667</v>
      </c>
      <c r="CE78" s="701">
        <f t="shared" ref="CE78:CF78" si="629">+CE76/CE32</f>
        <v>0.43442761884670339</v>
      </c>
      <c r="CF78" s="701">
        <f t="shared" si="629"/>
        <v>1.0515434901386242</v>
      </c>
      <c r="CG78" s="701">
        <f t="shared" ref="CG78:CH78" si="630">+CG76/CG32</f>
        <v>0.66189158449754337</v>
      </c>
      <c r="CH78" s="701">
        <f t="shared" si="630"/>
        <v>0.87511415314406571</v>
      </c>
      <c r="CI78" s="701">
        <f t="shared" ref="CI78:CL78" si="631">+CI76/CI32</f>
        <v>0.7135156818595545</v>
      </c>
      <c r="CJ78" s="701">
        <f t="shared" si="631"/>
        <v>0.69130057149288093</v>
      </c>
      <c r="CK78" s="701">
        <f t="shared" si="631"/>
        <v>1.8379665240322227</v>
      </c>
      <c r="CL78" s="701">
        <f t="shared" si="631"/>
        <v>0.96543839568999934</v>
      </c>
      <c r="CM78" s="701">
        <f t="shared" ref="CM78:CP78" si="632">+CM76/CM32</f>
        <v>0.83534730888142439</v>
      </c>
      <c r="CN78" s="701">
        <f t="shared" si="632"/>
        <v>0.81824288362720032</v>
      </c>
      <c r="CO78" s="701">
        <f t="shared" si="632"/>
        <v>0.9458172747669813</v>
      </c>
      <c r="CP78" s="701">
        <f t="shared" si="632"/>
        <v>1.0361947757879024</v>
      </c>
      <c r="CQ78" s="701"/>
      <c r="CR78" s="701"/>
      <c r="CS78" s="700"/>
      <c r="CT78" s="701">
        <v>0.96543839568999934</v>
      </c>
      <c r="CU78" s="694"/>
      <c r="CV78" s="694"/>
      <c r="CW78" s="698"/>
      <c r="CX78" s="698"/>
      <c r="CY78" s="698"/>
      <c r="CZ78" s="700">
        <v>1.4650747590002764</v>
      </c>
      <c r="DA78" s="700">
        <v>0.93484541930518295</v>
      </c>
      <c r="DB78" s="700">
        <v>0.96015074857884597</v>
      </c>
      <c r="DC78" s="700">
        <v>1.1836747387102815</v>
      </c>
      <c r="DD78" s="700">
        <v>1.0174980274162431</v>
      </c>
      <c r="DE78" s="700">
        <v>0.82837483192643158</v>
      </c>
      <c r="DF78" s="700">
        <f t="shared" ref="DF78:DS78" si="633">+DF76/DF32</f>
        <v>0.73873244677733518</v>
      </c>
      <c r="DG78" s="701">
        <f t="shared" si="633"/>
        <v>1.0685446195824682</v>
      </c>
      <c r="DH78" s="701">
        <f t="shared" si="633"/>
        <v>2.2836972149344001</v>
      </c>
      <c r="DI78" s="701">
        <f t="shared" si="633"/>
        <v>1.3409808573238562</v>
      </c>
      <c r="DJ78" s="701">
        <f t="shared" si="633"/>
        <v>0.83650026647421516</v>
      </c>
      <c r="DK78" s="701">
        <f t="shared" si="633"/>
        <v>-0.36337811898171957</v>
      </c>
      <c r="DL78" s="701">
        <f t="shared" si="633"/>
        <v>0.21301898769901381</v>
      </c>
      <c r="DM78" s="701">
        <f t="shared" si="633"/>
        <v>0.8046144480512647</v>
      </c>
      <c r="DN78" s="701">
        <f t="shared" si="633"/>
        <v>0.52844851730848419</v>
      </c>
      <c r="DO78" s="701">
        <f t="shared" si="633"/>
        <v>3.6091722035459393</v>
      </c>
      <c r="DP78" s="701">
        <f t="shared" ref="DP78:DQ78" si="634">+DP76/DP32</f>
        <v>0.71954443708995008</v>
      </c>
      <c r="DQ78" s="701">
        <f t="shared" si="634"/>
        <v>0.87762428750869825</v>
      </c>
      <c r="DR78" s="701">
        <f t="shared" ref="DR78" si="635">+DR76/DR32</f>
        <v>0.92473746569166082</v>
      </c>
      <c r="DS78" s="701">
        <f t="shared" si="633"/>
        <v>0.68151517073458134</v>
      </c>
      <c r="DT78" s="701">
        <f t="shared" ref="DT78:DV78" si="636">+DT76/DT32</f>
        <v>0.88686547149874173</v>
      </c>
      <c r="DU78" s="701">
        <f t="shared" si="636"/>
        <v>0.8947162018885958</v>
      </c>
      <c r="DV78" s="701">
        <f t="shared" si="636"/>
        <v>0.90161196344062344</v>
      </c>
      <c r="DY78" s="701">
        <v>0.67138939526174923</v>
      </c>
      <c r="DZ78" s="701">
        <v>0.25921046356613792</v>
      </c>
    </row>
    <row r="79" spans="1:130" s="692" customFormat="1">
      <c r="A79" s="699"/>
      <c r="B79" s="694"/>
      <c r="C79" s="700"/>
      <c r="D79" s="700"/>
      <c r="E79" s="700"/>
      <c r="F79" s="700"/>
      <c r="G79" s="700"/>
      <c r="H79" s="700"/>
      <c r="I79" s="700"/>
      <c r="J79" s="700"/>
      <c r="K79" s="700"/>
      <c r="L79" s="700"/>
      <c r="M79" s="700"/>
      <c r="N79" s="700"/>
      <c r="O79" s="700"/>
      <c r="P79" s="700"/>
      <c r="Q79" s="700"/>
      <c r="R79" s="700"/>
      <c r="S79" s="700"/>
      <c r="T79" s="700"/>
      <c r="U79" s="700"/>
      <c r="V79" s="700"/>
      <c r="W79" s="700"/>
      <c r="X79" s="700"/>
      <c r="Y79" s="700"/>
      <c r="Z79" s="700"/>
      <c r="AA79" s="700"/>
      <c r="AB79" s="700"/>
      <c r="AC79" s="700"/>
      <c r="AD79" s="700"/>
      <c r="AE79" s="700"/>
      <c r="AF79" s="700"/>
      <c r="AG79" s="700"/>
      <c r="AH79" s="700"/>
      <c r="AI79" s="701"/>
      <c r="AJ79" s="701"/>
      <c r="AK79" s="701"/>
      <c r="AL79" s="701"/>
      <c r="AM79" s="701"/>
      <c r="AN79" s="701"/>
      <c r="AO79" s="701"/>
      <c r="AP79" s="701"/>
      <c r="AQ79" s="701"/>
      <c r="AR79" s="701"/>
      <c r="AS79" s="701"/>
      <c r="AT79" s="701"/>
      <c r="AU79" s="701"/>
      <c r="AV79" s="701"/>
      <c r="AW79" s="701"/>
      <c r="AX79" s="701"/>
      <c r="AY79" s="701"/>
      <c r="AZ79" s="701"/>
      <c r="BA79" s="701"/>
      <c r="BB79" s="701"/>
      <c r="BC79" s="701"/>
      <c r="BD79" s="701"/>
      <c r="BE79" s="701"/>
      <c r="BF79" s="701"/>
      <c r="BG79" s="701"/>
      <c r="BH79" s="701"/>
      <c r="BI79" s="701"/>
      <c r="BJ79" s="701"/>
      <c r="BK79" s="701"/>
      <c r="BL79" s="701"/>
      <c r="BM79" s="701"/>
      <c r="BN79" s="701"/>
      <c r="BO79" s="701"/>
      <c r="BP79" s="701"/>
      <c r="BQ79" s="701"/>
      <c r="BR79" s="701"/>
      <c r="BS79" s="701"/>
      <c r="BT79" s="701"/>
      <c r="BU79" s="701"/>
      <c r="BV79" s="701"/>
      <c r="BW79" s="701"/>
      <c r="BX79" s="701"/>
      <c r="BY79" s="701"/>
      <c r="BZ79" s="701"/>
      <c r="CA79" s="701"/>
      <c r="CB79" s="701"/>
      <c r="CC79" s="701"/>
      <c r="CD79" s="701"/>
      <c r="CE79" s="701"/>
      <c r="CF79" s="701"/>
      <c r="CG79" s="701"/>
      <c r="CH79" s="701"/>
      <c r="CI79" s="701"/>
      <c r="CJ79" s="701"/>
      <c r="CK79" s="701"/>
      <c r="CL79" s="701"/>
      <c r="CM79" s="701"/>
      <c r="CN79" s="701"/>
      <c r="CO79" s="701"/>
      <c r="CP79" s="701"/>
      <c r="CQ79" s="701"/>
      <c r="CR79" s="701"/>
      <c r="CS79" s="700"/>
      <c r="CT79" s="701"/>
      <c r="CU79" s="694"/>
      <c r="CV79" s="694"/>
      <c r="CW79" s="698"/>
      <c r="CX79" s="698"/>
      <c r="CY79" s="698"/>
      <c r="CZ79" s="700"/>
      <c r="DA79" s="700"/>
      <c r="DB79" s="700"/>
      <c r="DC79" s="700"/>
      <c r="DD79" s="700"/>
      <c r="DE79" s="700"/>
      <c r="DF79" s="700"/>
      <c r="DG79" s="701"/>
      <c r="DH79" s="701"/>
      <c r="DI79" s="701"/>
      <c r="DJ79" s="701"/>
      <c r="DK79" s="701"/>
      <c r="DL79" s="701"/>
      <c r="DM79" s="701"/>
      <c r="DN79" s="701"/>
      <c r="DO79" s="701"/>
      <c r="DP79" s="701"/>
      <c r="DQ79" s="701"/>
      <c r="DR79" s="701"/>
      <c r="DS79" s="701"/>
      <c r="DT79" s="701"/>
      <c r="DU79" s="701"/>
      <c r="DV79" s="701"/>
      <c r="DY79" s="701"/>
      <c r="DZ79" s="701"/>
    </row>
    <row r="80" spans="1:130" s="692" customFormat="1">
      <c r="A80" s="687"/>
      <c r="B80" s="687"/>
      <c r="C80" s="702"/>
      <c r="D80" s="703"/>
      <c r="E80" s="703"/>
      <c r="F80" s="703"/>
      <c r="G80" s="703"/>
      <c r="H80" s="703"/>
      <c r="I80" s="703"/>
      <c r="J80" s="703"/>
      <c r="K80" s="703"/>
      <c r="L80" s="703"/>
      <c r="M80" s="703"/>
      <c r="N80" s="703"/>
      <c r="O80" s="703"/>
      <c r="P80" s="703"/>
      <c r="Q80" s="703"/>
      <c r="R80" s="703"/>
      <c r="S80" s="703"/>
      <c r="T80" s="695"/>
      <c r="U80" s="695"/>
      <c r="V80" s="695"/>
      <c r="W80" s="695"/>
      <c r="X80" s="695"/>
      <c r="Y80" s="695"/>
      <c r="Z80" s="695"/>
      <c r="AA80" s="695"/>
      <c r="AB80" s="695"/>
      <c r="AC80" s="695"/>
      <c r="AD80" s="704"/>
      <c r="AE80" s="704"/>
      <c r="AF80" s="704"/>
      <c r="AG80" s="704"/>
      <c r="AH80" s="704"/>
      <c r="AI80" s="704"/>
      <c r="AJ80" s="704"/>
      <c r="AK80" s="704"/>
      <c r="AL80" s="704"/>
      <c r="AM80" s="704"/>
      <c r="AN80" s="704"/>
      <c r="AO80" s="704"/>
      <c r="AP80" s="704"/>
      <c r="AQ80" s="704"/>
      <c r="AR80" s="704"/>
      <c r="AS80" s="704"/>
      <c r="AT80" s="704"/>
      <c r="AU80" s="704"/>
      <c r="AV80" s="704"/>
      <c r="AW80" s="704"/>
      <c r="AX80" s="704"/>
      <c r="AY80" s="704"/>
      <c r="AZ80" s="704"/>
      <c r="BA80" s="694"/>
      <c r="BB80" s="704"/>
      <c r="BC80" s="694"/>
      <c r="BD80" s="704"/>
      <c r="BE80" s="704"/>
      <c r="BF80" s="704"/>
      <c r="BG80" s="704"/>
      <c r="BH80" s="704"/>
      <c r="BI80" s="704"/>
      <c r="BJ80" s="704"/>
      <c r="BK80" s="704"/>
      <c r="BL80" s="704"/>
      <c r="BM80" s="704"/>
      <c r="BN80" s="704"/>
      <c r="BO80" s="704"/>
      <c r="BP80" s="704"/>
      <c r="BQ80" s="704"/>
      <c r="BR80" s="704"/>
      <c r="BS80" s="704"/>
      <c r="BT80" s="704">
        <f>-236832-BT82</f>
        <v>0</v>
      </c>
      <c r="BU80" s="704"/>
      <c r="BV80" s="704"/>
      <c r="BW80" s="704"/>
      <c r="BX80" s="704"/>
      <c r="BY80" s="704"/>
      <c r="BZ80" s="704"/>
      <c r="CA80" s="704">
        <f t="shared" ref="CA80:CB80" si="637">+CA81/BW82-1</f>
        <v>6.7778366451837879E-2</v>
      </c>
      <c r="CB80" s="704">
        <f t="shared" si="637"/>
        <v>2.5277762524481551E-2</v>
      </c>
      <c r="CC80" s="704">
        <f>+CC81/BY81-1</f>
        <v>1.6238680301180253E-2</v>
      </c>
      <c r="CD80" s="704">
        <f>+CD81/BZ81-1</f>
        <v>0.1028842540398347</v>
      </c>
      <c r="CE80" s="704"/>
      <c r="CF80" s="1986">
        <f>90000*0.4</f>
        <v>36000</v>
      </c>
      <c r="CG80" s="704"/>
      <c r="CH80" s="704"/>
      <c r="CI80" s="704"/>
      <c r="CJ80" s="704"/>
      <c r="CK80" s="704"/>
      <c r="CL80" s="704"/>
      <c r="CM80" s="704"/>
      <c r="CN80" s="704"/>
      <c r="CO80" s="704"/>
      <c r="CP80" s="704"/>
      <c r="CQ80" s="704"/>
      <c r="CR80" s="704"/>
      <c r="CS80" s="704"/>
      <c r="CT80" s="704"/>
      <c r="CU80" s="703"/>
      <c r="CV80" s="703"/>
      <c r="CW80" s="705"/>
      <c r="CX80" s="705"/>
      <c r="CY80" s="705"/>
      <c r="CZ80" s="705"/>
      <c r="DA80" s="705"/>
      <c r="DB80" s="705"/>
      <c r="DC80" s="705"/>
      <c r="DD80" s="705"/>
      <c r="DE80" s="705"/>
      <c r="DF80" s="705"/>
      <c r="DG80" s="705"/>
      <c r="DH80" s="705"/>
      <c r="DI80" s="705"/>
      <c r="DJ80" s="705"/>
      <c r="DK80" s="705"/>
      <c r="DL80" s="705"/>
      <c r="DM80" s="726"/>
      <c r="DN80" s="726"/>
      <c r="DO80" s="1642"/>
      <c r="DP80" s="726"/>
      <c r="DQ80" s="726"/>
      <c r="DR80" s="726"/>
      <c r="DS80" s="706"/>
      <c r="DT80" s="706"/>
      <c r="DU80" s="706"/>
      <c r="DV80" s="706"/>
      <c r="DY80" s="706"/>
      <c r="DZ80" s="706"/>
    </row>
    <row r="81" spans="1:130" s="692" customFormat="1">
      <c r="A81" s="687"/>
      <c r="B81" s="687"/>
      <c r="C81" s="702"/>
      <c r="D81" s="703"/>
      <c r="E81" s="703"/>
      <c r="F81" s="703"/>
      <c r="G81" s="703"/>
      <c r="H81" s="703"/>
      <c r="I81" s="703"/>
      <c r="J81" s="703"/>
      <c r="K81" s="703"/>
      <c r="L81" s="703"/>
      <c r="M81" s="703"/>
      <c r="N81" s="703"/>
      <c r="O81" s="703"/>
      <c r="P81" s="703"/>
      <c r="Q81" s="703"/>
      <c r="R81" s="703"/>
      <c r="S81" s="703"/>
      <c r="T81" s="695"/>
      <c r="U81" s="695"/>
      <c r="V81" s="695"/>
      <c r="W81" s="695"/>
      <c r="X81" s="695"/>
      <c r="Y81" s="695"/>
      <c r="Z81" s="695"/>
      <c r="AA81" s="695"/>
      <c r="AB81" s="695"/>
      <c r="AC81" s="695"/>
      <c r="AD81" s="704"/>
      <c r="AE81" s="704"/>
      <c r="AF81" s="704"/>
      <c r="AG81" s="704"/>
      <c r="AH81" s="704"/>
      <c r="AI81" s="704"/>
      <c r="AJ81" s="704"/>
      <c r="AK81" s="704"/>
      <c r="AL81" s="704"/>
      <c r="AM81" s="704"/>
      <c r="AN81" s="704"/>
      <c r="AO81" s="704"/>
      <c r="AP81" s="704"/>
      <c r="AQ81" s="704"/>
      <c r="AR81" s="704"/>
      <c r="AS81" s="704"/>
      <c r="AT81" s="704"/>
      <c r="AU81" s="704"/>
      <c r="AV81" s="704"/>
      <c r="AW81" s="704"/>
      <c r="AX81" s="704"/>
      <c r="AY81" s="704"/>
      <c r="AZ81" s="704"/>
      <c r="BA81" s="694"/>
      <c r="BB81" s="704"/>
      <c r="BC81" s="694"/>
      <c r="BD81" s="704"/>
      <c r="BE81" s="704"/>
      <c r="BF81" s="704"/>
      <c r="BG81" s="704"/>
      <c r="BH81" s="704"/>
      <c r="BI81" s="704"/>
      <c r="BJ81" s="704"/>
      <c r="BK81" s="704"/>
      <c r="BL81" s="704"/>
      <c r="BM81" s="704"/>
      <c r="BN81" s="704"/>
      <c r="BO81" s="704"/>
      <c r="BP81" s="704"/>
      <c r="BQ81" s="704"/>
      <c r="BR81" s="704"/>
      <c r="BS81" s="704"/>
      <c r="BT81" s="704"/>
      <c r="BU81" s="704"/>
      <c r="BV81" s="704"/>
      <c r="BW81" s="704"/>
      <c r="BX81" s="704"/>
      <c r="BY81" s="1826">
        <f>+BY82+18000</f>
        <v>-314496</v>
      </c>
      <c r="BZ81" s="1826">
        <f>+BZ82+18000</f>
        <v>-319320</v>
      </c>
      <c r="CA81" s="1826">
        <f>+CA82+17000</f>
        <v>-318435</v>
      </c>
      <c r="CB81" s="1826">
        <f>+CB82+18000</f>
        <v>-336084</v>
      </c>
      <c r="CC81" s="1826">
        <f>+CC82+27000</f>
        <v>-319603</v>
      </c>
      <c r="CD81" s="1826">
        <f>+CD82+28000</f>
        <v>-352173</v>
      </c>
      <c r="CE81" s="1826"/>
      <c r="CF81" s="1826"/>
      <c r="CG81" s="1826"/>
      <c r="CH81" s="1826"/>
      <c r="CI81" s="1826"/>
      <c r="CJ81" s="1826"/>
      <c r="CK81" s="1826"/>
      <c r="CL81" s="704"/>
      <c r="CM81" s="704"/>
      <c r="CN81" s="704"/>
      <c r="CO81" s="704"/>
      <c r="CP81" s="704"/>
      <c r="CQ81" s="704"/>
      <c r="CR81" s="704"/>
      <c r="CS81" s="704"/>
      <c r="CT81" s="704"/>
      <c r="CU81" s="703"/>
      <c r="CV81" s="703"/>
      <c r="CW81" s="705"/>
      <c r="CX81" s="705"/>
      <c r="CY81" s="705"/>
      <c r="CZ81" s="705"/>
      <c r="DA81" s="705"/>
      <c r="DB81" s="705"/>
      <c r="DC81" s="705"/>
      <c r="DD81" s="705"/>
      <c r="DE81" s="705"/>
      <c r="DF81" s="705"/>
      <c r="DG81" s="705"/>
      <c r="DH81" s="705"/>
      <c r="DI81" s="705"/>
      <c r="DJ81" s="705"/>
      <c r="DK81" s="705"/>
      <c r="DL81" s="705"/>
      <c r="DM81" s="726"/>
      <c r="DN81" s="726"/>
      <c r="DO81" s="1642"/>
      <c r="DP81" s="726"/>
      <c r="DQ81" s="2016"/>
      <c r="DR81" s="2016"/>
      <c r="DS81" s="706"/>
      <c r="DT81" s="706"/>
      <c r="DU81" s="706"/>
      <c r="DV81" s="706"/>
      <c r="DY81" s="706"/>
      <c r="DZ81" s="706"/>
    </row>
    <row r="82" spans="1:130" s="692" customFormat="1">
      <c r="A82" s="687" t="s">
        <v>203</v>
      </c>
      <c r="B82" s="687"/>
      <c r="C82" s="688">
        <v>-15655</v>
      </c>
      <c r="D82" s="688">
        <v>-19373</v>
      </c>
      <c r="E82" s="688">
        <v>-19823</v>
      </c>
      <c r="F82" s="688">
        <v>-31015</v>
      </c>
      <c r="G82" s="688">
        <v>-17328</v>
      </c>
      <c r="H82" s="688">
        <v>-22856</v>
      </c>
      <c r="I82" s="688">
        <v>-22355</v>
      </c>
      <c r="J82" s="688">
        <v>-27692</v>
      </c>
      <c r="K82" s="688">
        <v>-23220</v>
      </c>
      <c r="L82" s="688">
        <v>-32309</v>
      </c>
      <c r="M82" s="688">
        <v>-31618</v>
      </c>
      <c r="N82" s="688">
        <v>-41292</v>
      </c>
      <c r="O82" s="688">
        <v>-32044</v>
      </c>
      <c r="P82" s="688">
        <v>-34024</v>
      </c>
      <c r="Q82" s="688">
        <v>-36511</v>
      </c>
      <c r="R82" s="688">
        <v>-48809</v>
      </c>
      <c r="S82" s="688">
        <v>-36682</v>
      </c>
      <c r="T82" s="688">
        <v>-43903</v>
      </c>
      <c r="U82" s="688">
        <v>-46977</v>
      </c>
      <c r="V82" s="688">
        <v>-51406</v>
      </c>
      <c r="W82" s="688">
        <v>-38003</v>
      </c>
      <c r="X82" s="688">
        <v>-46198</v>
      </c>
      <c r="Y82" s="688">
        <v>-43957</v>
      </c>
      <c r="Z82" s="688">
        <v>-52188</v>
      </c>
      <c r="AA82" s="688">
        <v>-40966</v>
      </c>
      <c r="AB82" s="688">
        <v>-50098</v>
      </c>
      <c r="AC82" s="688">
        <v>-56810</v>
      </c>
      <c r="AD82" s="688">
        <v>-63890</v>
      </c>
      <c r="AE82" s="688">
        <v>-51523</v>
      </c>
      <c r="AF82" s="688">
        <v>-60560</v>
      </c>
      <c r="AG82" s="688">
        <v>-63936</v>
      </c>
      <c r="AH82" s="688">
        <v>-74662</v>
      </c>
      <c r="AI82" s="688">
        <v>-64196</v>
      </c>
      <c r="AJ82" s="688">
        <v>-68973</v>
      </c>
      <c r="AK82" s="688">
        <v>-74110</v>
      </c>
      <c r="AL82" s="688">
        <v>-86652</v>
      </c>
      <c r="AM82" s="688">
        <v>-78755</v>
      </c>
      <c r="AN82" s="688">
        <v>-79154</v>
      </c>
      <c r="AO82" s="688">
        <v>-86293</v>
      </c>
      <c r="AP82" s="688">
        <v>-86053</v>
      </c>
      <c r="AQ82" s="689">
        <v>-81634</v>
      </c>
      <c r="AR82" s="689">
        <v>-92299</v>
      </c>
      <c r="AS82" s="689">
        <v>-98792</v>
      </c>
      <c r="AT82" s="689">
        <v>-125275</v>
      </c>
      <c r="AU82" s="689">
        <v>-100353</v>
      </c>
      <c r="AV82" s="689">
        <v>-116651</v>
      </c>
      <c r="AW82" s="689">
        <v>-122131</v>
      </c>
      <c r="AX82" s="689">
        <v>-130254</v>
      </c>
      <c r="AY82" s="689">
        <v>-120667</v>
      </c>
      <c r="AZ82" s="689">
        <v>-130629</v>
      </c>
      <c r="BA82" s="689">
        <v>-134271</v>
      </c>
      <c r="BB82" s="689">
        <v>-135497</v>
      </c>
      <c r="BC82" s="689">
        <v>-129705.13443000001</v>
      </c>
      <c r="BD82" s="689">
        <v>-135603.50086</v>
      </c>
      <c r="BE82" s="689">
        <v>-150096.68736000001</v>
      </c>
      <c r="BF82" s="689">
        <v>-169379.93951</v>
      </c>
      <c r="BG82" s="689">
        <v>-149298</v>
      </c>
      <c r="BH82" s="689">
        <v>-161412</v>
      </c>
      <c r="BI82" s="689">
        <v>-176513</v>
      </c>
      <c r="BJ82" s="689">
        <v>-200229</v>
      </c>
      <c r="BK82" s="689">
        <v>-170241</v>
      </c>
      <c r="BL82" s="689">
        <v>-182454</v>
      </c>
      <c r="BM82" s="689">
        <v>-196024</v>
      </c>
      <c r="BN82" s="689">
        <v>-212317</v>
      </c>
      <c r="BO82" s="689">
        <v>-190264</v>
      </c>
      <c r="BP82" s="689">
        <v>-150478</v>
      </c>
      <c r="BQ82" s="689">
        <v>-175639</v>
      </c>
      <c r="BR82" s="689">
        <v>-206902</v>
      </c>
      <c r="BS82" s="689">
        <v>-211525</v>
      </c>
      <c r="BT82" s="689">
        <v>-236832</v>
      </c>
      <c r="BU82" s="689">
        <v>-236494</v>
      </c>
      <c r="BV82" s="689">
        <v>-299809</v>
      </c>
      <c r="BW82" s="689">
        <v>-298222</v>
      </c>
      <c r="BX82" s="689">
        <v>-327798</v>
      </c>
      <c r="BY82" s="689">
        <v>-332496</v>
      </c>
      <c r="BZ82" s="689">
        <v>-337320</v>
      </c>
      <c r="CA82" s="689">
        <v>-335435</v>
      </c>
      <c r="CB82" s="689">
        <v>-354084</v>
      </c>
      <c r="CC82" s="689">
        <v>-346603</v>
      </c>
      <c r="CD82" s="689">
        <v>-380173</v>
      </c>
      <c r="CE82" s="689">
        <v>-338911</v>
      </c>
      <c r="CF82" s="689">
        <v>-357670</v>
      </c>
      <c r="CG82" s="689">
        <v>-357141</v>
      </c>
      <c r="CH82" s="689">
        <v>-393110</v>
      </c>
      <c r="CI82" s="689">
        <v>-363661</v>
      </c>
      <c r="CJ82" s="689">
        <v>-414964</v>
      </c>
      <c r="CK82" s="689">
        <v>-372974</v>
      </c>
      <c r="CL82" s="690">
        <f t="shared" ref="CL82" si="638">+CH82*(1+CL85)</f>
        <v>-412765.5</v>
      </c>
      <c r="CM82" s="690">
        <f t="shared" ref="CM82" si="639">+CI82*(1+CM85)</f>
        <v>-374570.83</v>
      </c>
      <c r="CN82" s="690">
        <f t="shared" ref="CN82" si="640">+CJ82*(1+CN85)</f>
        <v>-427412.92</v>
      </c>
      <c r="CO82" s="690">
        <f t="shared" ref="CO82" si="641">+CK82*(1+CO85)</f>
        <v>-384163.22000000003</v>
      </c>
      <c r="CP82" s="690">
        <f t="shared" ref="CP82" si="642">+CL82*(1+CP85)</f>
        <v>-425148.46500000003</v>
      </c>
      <c r="CQ82" s="690"/>
      <c r="CR82" s="690"/>
      <c r="CS82" s="690"/>
      <c r="CT82" s="690">
        <v>-412765.5</v>
      </c>
      <c r="CU82" s="1134">
        <f>+CK82/CT82-1</f>
        <v>-9.6402194466349567E-2</v>
      </c>
      <c r="CV82" s="688">
        <v>-85866</v>
      </c>
      <c r="CW82" s="688">
        <v>-90231</v>
      </c>
      <c r="CX82" s="688">
        <v>-128439</v>
      </c>
      <c r="CY82" s="688">
        <v>-151388</v>
      </c>
      <c r="CZ82" s="688">
        <v>-178968</v>
      </c>
      <c r="DA82" s="688">
        <v>-180346</v>
      </c>
      <c r="DB82" s="688">
        <v>-211764</v>
      </c>
      <c r="DC82" s="688">
        <v>-250681</v>
      </c>
      <c r="DD82" s="688">
        <v>-293931</v>
      </c>
      <c r="DE82" s="688">
        <v>-330255</v>
      </c>
      <c r="DF82" s="688">
        <f>+SUM(AQ82:AT82)</f>
        <v>-398000</v>
      </c>
      <c r="DG82" s="688">
        <f>+SUM(AU82:AX82)</f>
        <v>-469389</v>
      </c>
      <c r="DH82" s="688">
        <f>+SUM(AY82:BB82)</f>
        <v>-521064</v>
      </c>
      <c r="DI82" s="688">
        <f>+SUM(BC82:BF82)</f>
        <v>-584785.26215999993</v>
      </c>
      <c r="DJ82" s="688">
        <f>+SUM(BG82:BJ82)</f>
        <v>-687452</v>
      </c>
      <c r="DK82" s="688">
        <f>+SUM(BK82:BN82)</f>
        <v>-761036</v>
      </c>
      <c r="DL82" s="688">
        <f>+SUM(BO82:BR82)</f>
        <v>-723283</v>
      </c>
      <c r="DM82" s="688">
        <f>+SUM(BS82:BV82)</f>
        <v>-984660</v>
      </c>
      <c r="DN82" s="688">
        <f>+SUM(BW82:BZ82)</f>
        <v>-1295836</v>
      </c>
      <c r="DO82" s="688">
        <f>+SUM(CA82:CD82)</f>
        <v>-1416295</v>
      </c>
      <c r="DP82" s="688">
        <f>+SUM(CE82:CH82)</f>
        <v>-1446832</v>
      </c>
      <c r="DQ82" s="688">
        <f>+SUM(CI82:CL82)</f>
        <v>-1564364.5</v>
      </c>
      <c r="DR82" s="688">
        <f>+SUM(CM82:CP82)</f>
        <v>-1611295.4350000001</v>
      </c>
      <c r="DS82" s="691">
        <f>+DR82*(1+DS85)</f>
        <v>-1691860.2067500001</v>
      </c>
      <c r="DT82" s="691">
        <f t="shared" ref="DT82:DV82" si="643">+DS82*(1+DT85)</f>
        <v>-1776453.2170875003</v>
      </c>
      <c r="DU82" s="691">
        <f t="shared" si="643"/>
        <v>-1865275.8779418753</v>
      </c>
      <c r="DV82" s="691">
        <f t="shared" si="643"/>
        <v>-1958539.671838969</v>
      </c>
      <c r="DY82" s="691">
        <v>-1642582.7250000001</v>
      </c>
      <c r="DZ82" s="691">
        <v>-1724711.8612500001</v>
      </c>
    </row>
    <row r="83" spans="1:130" s="692" customFormat="1">
      <c r="A83" s="693" t="s">
        <v>185</v>
      </c>
      <c r="B83" s="693"/>
      <c r="C83" s="694">
        <v>-8.8770817621475109E-2</v>
      </c>
      <c r="D83" s="694">
        <v>-8.0899824194363368E-2</v>
      </c>
      <c r="E83" s="694">
        <v>-9.4415469981662739E-2</v>
      </c>
      <c r="F83" s="694">
        <v>-9.4550143738167891E-2</v>
      </c>
      <c r="G83" s="694">
        <v>-8.2434206770565732E-2</v>
      </c>
      <c r="H83" s="694">
        <v>-7.7273126829894984E-2</v>
      </c>
      <c r="I83" s="694">
        <v>-8.2227706930226907E-2</v>
      </c>
      <c r="J83" s="694">
        <v>-6.5268988274114662E-2</v>
      </c>
      <c r="K83" s="694">
        <v>-8.7047144913627639E-2</v>
      </c>
      <c r="L83" s="694">
        <v>-8.4831696686446467E-2</v>
      </c>
      <c r="M83" s="694">
        <v>-9.1174121290590479E-2</v>
      </c>
      <c r="N83" s="694">
        <v>-7.6916915499805338E-2</v>
      </c>
      <c r="O83" s="694">
        <v>-9.2198357094560576E-2</v>
      </c>
      <c r="P83" s="694">
        <v>-6.9313385159471302E-2</v>
      </c>
      <c r="Q83" s="694">
        <v>-8.222975955604804E-2</v>
      </c>
      <c r="R83" s="694">
        <v>-7.5264456437933697E-2</v>
      </c>
      <c r="S83" s="694">
        <v>-8.4951956590712766E-2</v>
      </c>
      <c r="T83" s="694">
        <v>-7.7519612534364971E-2</v>
      </c>
      <c r="U83" s="694">
        <v>-9.1864990124567336E-2</v>
      </c>
      <c r="V83" s="694">
        <v>-7.6327445125636051E-2</v>
      </c>
      <c r="W83" s="694">
        <v>-9.0670286829510366E-2</v>
      </c>
      <c r="X83" s="694">
        <v>-7.5312920800633829E-2</v>
      </c>
      <c r="Y83" s="694">
        <v>-7.9587406370686078E-2</v>
      </c>
      <c r="Z83" s="694">
        <v>-6.7013453283322783E-2</v>
      </c>
      <c r="AA83" s="694">
        <v>-8.1009304027130982E-2</v>
      </c>
      <c r="AB83" s="694">
        <v>-7.1362842548196775E-2</v>
      </c>
      <c r="AC83" s="694">
        <v>-8.8231685441073002E-2</v>
      </c>
      <c r="AD83" s="694">
        <v>-7.1008455663338341E-2</v>
      </c>
      <c r="AE83" s="694">
        <v>-8.604849632661786E-2</v>
      </c>
      <c r="AF83" s="694">
        <v>-7.2403902828606231E-2</v>
      </c>
      <c r="AG83" s="694">
        <v>-8.6176174853960383E-2</v>
      </c>
      <c r="AH83" s="694">
        <v>-7.0340690047614826E-2</v>
      </c>
      <c r="AI83" s="694">
        <v>-9.0509195292100678E-2</v>
      </c>
      <c r="AJ83" s="694">
        <v>-7.2188718661494955E-2</v>
      </c>
      <c r="AK83" s="694">
        <v>-8.1884254931728129E-2</v>
      </c>
      <c r="AL83" s="694">
        <v>-6.7030756853765708E-2</v>
      </c>
      <c r="AM83" s="694">
        <v>-9.4447102786702208E-2</v>
      </c>
      <c r="AN83" s="694">
        <v>-7.4645276036823777E-2</v>
      </c>
      <c r="AO83" s="694">
        <v>-8.4482125636971522E-2</v>
      </c>
      <c r="AP83" s="694">
        <v>-5.9155477585633248E-2</v>
      </c>
      <c r="AQ83" s="694">
        <f t="shared" ref="AQ83:CD83" si="644">AQ82/AQ26</f>
        <v>-8.6972919645349422E-2</v>
      </c>
      <c r="AR83" s="694">
        <f t="shared" si="644"/>
        <v>-7.3531661180279595E-2</v>
      </c>
      <c r="AS83" s="694">
        <f t="shared" si="644"/>
        <v>-8.2066583984256564E-2</v>
      </c>
      <c r="AT83" s="694">
        <f t="shared" si="644"/>
        <v>-6.8893020728673954E-2</v>
      </c>
      <c r="AU83" s="694">
        <f t="shared" si="644"/>
        <v>-8.5483416201923942E-2</v>
      </c>
      <c r="AV83" s="694">
        <f t="shared" si="644"/>
        <v>-7.5924839934366092E-2</v>
      </c>
      <c r="AW83" s="694">
        <f t="shared" si="644"/>
        <v>-8.597111793918788E-2</v>
      </c>
      <c r="AX83" s="694">
        <f t="shared" si="644"/>
        <v>-6.4666413470059497E-2</v>
      </c>
      <c r="AY83" s="694">
        <f t="shared" si="644"/>
        <v>-9.6737212484838089E-2</v>
      </c>
      <c r="AZ83" s="694">
        <f t="shared" si="644"/>
        <v>-7.9285376127411114E-2</v>
      </c>
      <c r="BA83" s="694">
        <f t="shared" si="644"/>
        <v>-9.2867828768132335E-2</v>
      </c>
      <c r="BB83" s="694">
        <f t="shared" si="644"/>
        <v>-6.4192188561504104E-2</v>
      </c>
      <c r="BC83" s="694">
        <f t="shared" si="644"/>
        <v>-9.1643421880784892E-2</v>
      </c>
      <c r="BD83" s="694">
        <f t="shared" si="644"/>
        <v>-7.4054465139596709E-2</v>
      </c>
      <c r="BE83" s="694">
        <f t="shared" si="644"/>
        <v>-8.5947471456621349E-2</v>
      </c>
      <c r="BF83" s="694">
        <f t="shared" si="644"/>
        <v>-6.9093156891043422E-2</v>
      </c>
      <c r="BG83" s="694">
        <f t="shared" si="644"/>
        <v>-9.1690336765369695E-2</v>
      </c>
      <c r="BH83" s="694">
        <f t="shared" si="644"/>
        <v>-7.9903093762329236E-2</v>
      </c>
      <c r="BI83" s="694">
        <f t="shared" si="644"/>
        <v>-9.0832136049828954E-2</v>
      </c>
      <c r="BJ83" s="694">
        <f t="shared" si="644"/>
        <v>-7.0630727112450623E-2</v>
      </c>
      <c r="BK83" s="694">
        <f t="shared" si="644"/>
        <v>-8.9973822971835246E-2</v>
      </c>
      <c r="BL83" s="694">
        <f t="shared" si="644"/>
        <v>-7.9604573115928251E-2</v>
      </c>
      <c r="BM83" s="694">
        <f t="shared" si="644"/>
        <v>-8.8070789462452073E-2</v>
      </c>
      <c r="BN83" s="694">
        <f t="shared" si="644"/>
        <v>-6.6796578703381806E-2</v>
      </c>
      <c r="BO83" s="694">
        <f t="shared" si="644"/>
        <v>-0.10208605073289977</v>
      </c>
      <c r="BP83" s="694">
        <f t="shared" si="644"/>
        <v>-0.1861185940487764</v>
      </c>
      <c r="BQ83" s="694">
        <f t="shared" si="644"/>
        <v>-9.8120208554115296E-2</v>
      </c>
      <c r="BR83" s="694">
        <f t="shared" si="644"/>
        <v>-6.7287960417239862E-2</v>
      </c>
      <c r="BS83" s="694">
        <f t="shared" si="644"/>
        <v>-0.13375856997054497</v>
      </c>
      <c r="BT83" s="694">
        <f t="shared" si="644"/>
        <v>-9.5102062287449704E-2</v>
      </c>
      <c r="BU83" s="694">
        <f t="shared" si="644"/>
        <v>-8.9980199838914726E-2</v>
      </c>
      <c r="BV83" s="694">
        <f t="shared" si="644"/>
        <v>-7.7438413887454816E-2</v>
      </c>
      <c r="BW83" s="694">
        <f t="shared" si="644"/>
        <v>-0.11412907037975924</v>
      </c>
      <c r="BX83" s="694">
        <f>BX82/BX26</f>
        <v>-9.0393694794499241E-2</v>
      </c>
      <c r="BY83" s="694">
        <f>BY82/BY26</f>
        <v>-0.11018440949724817</v>
      </c>
      <c r="BZ83" s="694">
        <f>BZ82/BZ26</f>
        <v>-8.4032859807719906E-2</v>
      </c>
      <c r="CA83" s="694">
        <f t="shared" si="644"/>
        <v>-0.12086475945594194</v>
      </c>
      <c r="CB83" s="694">
        <f t="shared" ref="CB83:CC83" si="645">CB82/CB26</f>
        <v>-0.10104897629422591</v>
      </c>
      <c r="CC83" s="694">
        <f t="shared" si="645"/>
        <v>-0.11191225586807771</v>
      </c>
      <c r="CD83" s="694">
        <f t="shared" si="644"/>
        <v>-8.9004766143385108E-2</v>
      </c>
      <c r="CE83" s="694">
        <f t="shared" ref="CE83" si="646">CE82/CE26</f>
        <v>-0.11653438202849893</v>
      </c>
      <c r="CF83" s="694">
        <f t="shared" ref="CF83:CH83" si="647">CF82/CF26</f>
        <v>-0.10159950982717544</v>
      </c>
      <c r="CG83" s="694">
        <f t="shared" si="647"/>
        <v>-0.10533551157068156</v>
      </c>
      <c r="CH83" s="694">
        <f t="shared" si="647"/>
        <v>-8.5140031321898013E-2</v>
      </c>
      <c r="CI83" s="694">
        <f t="shared" ref="CI83:CL83" si="648">CI82/CI26</f>
        <v>-0.11163546145968659</v>
      </c>
      <c r="CJ83" s="694">
        <f t="shared" si="648"/>
        <v>-9.9569868839509676E-2</v>
      </c>
      <c r="CK83" s="694">
        <f t="shared" si="648"/>
        <v>-0.10466589887615224</v>
      </c>
      <c r="CL83" s="694">
        <f t="shared" si="648"/>
        <v>-8.54973306664015E-2</v>
      </c>
      <c r="CM83" s="694">
        <f t="shared" ref="CM83:CP83" si="649">CM82/CM26</f>
        <v>-0.10906969217223186</v>
      </c>
      <c r="CN83" s="694">
        <f t="shared" si="649"/>
        <v>-9.8119350992538365E-2</v>
      </c>
      <c r="CO83" s="694">
        <f t="shared" si="649"/>
        <v>-0.10002404401305053</v>
      </c>
      <c r="CP83" s="694">
        <f t="shared" si="649"/>
        <v>-8.0977854780461905E-2</v>
      </c>
      <c r="CQ83" s="694"/>
      <c r="CR83" s="694"/>
      <c r="CS83" s="694"/>
      <c r="CT83" s="694">
        <v>-8.54973306664015E-2</v>
      </c>
      <c r="CU83" s="1135">
        <f>+CK83-CT83</f>
        <v>-1.9168568209750741E-2</v>
      </c>
      <c r="CV83" s="694">
        <v>-9.0024784966303353E-2</v>
      </c>
      <c r="CW83" s="694">
        <v>-7.5059394673445759E-2</v>
      </c>
      <c r="CX83" s="694">
        <v>-8.3879187951187206E-2</v>
      </c>
      <c r="CY83" s="694">
        <v>-7.8401233803864337E-2</v>
      </c>
      <c r="CZ83" s="694">
        <v>-8.1982329878007715E-2</v>
      </c>
      <c r="DA83" s="694">
        <v>-7.6300500755618061E-2</v>
      </c>
      <c r="DB83" s="694">
        <v>-7.6967642652411294E-2</v>
      </c>
      <c r="DC83" s="694">
        <v>-7.7405511492517315E-2</v>
      </c>
      <c r="DD83" s="694">
        <v>-7.6098483161717717E-2</v>
      </c>
      <c r="DE83" s="694">
        <v>-7.5566620949839167E-2</v>
      </c>
      <c r="DF83" s="694">
        <f t="shared" ref="DF83:DN83" si="650">DF82/DF26</f>
        <v>-7.63030373210042E-2</v>
      </c>
      <c r="DG83" s="694">
        <f t="shared" si="650"/>
        <v>-7.6383055517495121E-2</v>
      </c>
      <c r="DH83" s="694">
        <f t="shared" si="650"/>
        <v>-8.0765331903192711E-2</v>
      </c>
      <c r="DI83" s="694">
        <f t="shared" si="650"/>
        <v>-7.8554715606090814E-2</v>
      </c>
      <c r="DJ83" s="694">
        <f t="shared" si="650"/>
        <v>-8.1581754601324552E-2</v>
      </c>
      <c r="DK83" s="694">
        <f t="shared" si="650"/>
        <v>-7.9370183065289993E-2</v>
      </c>
      <c r="DL83" s="694">
        <f t="shared" si="650"/>
        <v>-9.5962017624628845E-2</v>
      </c>
      <c r="DM83" s="694">
        <f t="shared" si="650"/>
        <v>-9.3142389421893193E-2</v>
      </c>
      <c r="DN83" s="694">
        <f t="shared" si="650"/>
        <v>-9.7643178576183792E-2</v>
      </c>
      <c r="DO83" s="694">
        <f>DO82/DO$26</f>
        <v>-0.10377422845167762</v>
      </c>
      <c r="DP83" s="694">
        <f>DP82/DP$26</f>
        <v>-0.1002213437924752</v>
      </c>
      <c r="DQ83" s="694">
        <f>DQ82/DQ$26</f>
        <v>-9.8907551342203803E-2</v>
      </c>
      <c r="DR83" s="694">
        <f>DR82/DR$26</f>
        <v>-9.5449242593216521E-2</v>
      </c>
      <c r="DS83" s="696">
        <f>DS82/DS$26</f>
        <v>-9.2492444473715671E-2</v>
      </c>
      <c r="DT83" s="696">
        <f t="shared" ref="DT83:DV83" si="651">DT82/DT$26</f>
        <v>-9.0912804454384821E-2</v>
      </c>
      <c r="DU83" s="696">
        <f t="shared" si="651"/>
        <v>-8.9360008012852571E-2</v>
      </c>
      <c r="DV83" s="696">
        <f t="shared" si="651"/>
        <v>-8.7837976917600452E-2</v>
      </c>
      <c r="DY83" s="696">
        <v>-9.5636380945341243E-2</v>
      </c>
      <c r="DZ83" s="696">
        <v>-9.3044250149835528E-2</v>
      </c>
    </row>
    <row r="84" spans="1:130" s="692" customFormat="1">
      <c r="A84" s="693" t="s">
        <v>201</v>
      </c>
      <c r="B84" s="693"/>
      <c r="C84" s="694"/>
      <c r="D84" s="694"/>
      <c r="E84" s="694"/>
      <c r="F84" s="694"/>
      <c r="G84" s="694"/>
      <c r="H84" s="694"/>
      <c r="I84" s="694"/>
      <c r="J84" s="694">
        <v>-6.8568145971014779E-2</v>
      </c>
      <c r="K84" s="694">
        <v>-9.2511803023964626E-2</v>
      </c>
      <c r="L84" s="694">
        <v>-9.0322021531468316E-2</v>
      </c>
      <c r="M84" s="694">
        <v>-9.8645027033941401E-2</v>
      </c>
      <c r="N84" s="694">
        <v>-8.1463228896837311E-2</v>
      </c>
      <c r="O84" s="694">
        <v>-0.10327013500143413</v>
      </c>
      <c r="P84" s="694">
        <v>-7.6569409593680735E-2</v>
      </c>
      <c r="Q84" s="694">
        <v>-9.2349212612366519E-2</v>
      </c>
      <c r="R84" s="694">
        <v>-8.1115531757190204E-2</v>
      </c>
      <c r="S84" s="694">
        <v>-9.5679777141918138E-2</v>
      </c>
      <c r="T84" s="694">
        <v>-8.6110315663945586E-2</v>
      </c>
      <c r="U84" s="694">
        <v>-0.10461791312016462</v>
      </c>
      <c r="V84" s="694">
        <v>-8.3756138412859796E-2</v>
      </c>
      <c r="W84" s="694">
        <v>-0.10479278861929855</v>
      </c>
      <c r="X84" s="694">
        <v>-8.3279854055652094E-2</v>
      </c>
      <c r="Y84" s="694">
        <v>-9.0310849957882189E-2</v>
      </c>
      <c r="Z84" s="694">
        <v>-7.3312374097081162E-2</v>
      </c>
      <c r="AA84" s="694">
        <v>-9.3052520636189767E-2</v>
      </c>
      <c r="AB84" s="694">
        <v>-7.9522023400408579E-2</v>
      </c>
      <c r="AC84" s="694">
        <v>-9.9887470548932725E-2</v>
      </c>
      <c r="AD84" s="694">
        <v>-7.7563799837078382E-2</v>
      </c>
      <c r="AE84" s="694">
        <v>-9.9521544039389079E-2</v>
      </c>
      <c r="AF84" s="694">
        <v>-8.0784042750445872E-2</v>
      </c>
      <c r="AG84" s="694">
        <v>-9.7303812648765128E-2</v>
      </c>
      <c r="AH84" s="694">
        <v>-7.6798535250673747E-2</v>
      </c>
      <c r="AI84" s="694">
        <v>-0.10367587802951878</v>
      </c>
      <c r="AJ84" s="694">
        <v>-8.0654233256818239E-2</v>
      </c>
      <c r="AK84" s="694">
        <v>-9.2261534247939647E-2</v>
      </c>
      <c r="AL84" s="694">
        <v>-7.3165294866642125E-2</v>
      </c>
      <c r="AM84" s="694">
        <v>-0.10836884624434626</v>
      </c>
      <c r="AN84" s="694">
        <v>-8.3566036002842056E-2</v>
      </c>
      <c r="AO84" s="694">
        <v>-9.5149726877181845E-2</v>
      </c>
      <c r="AP84" s="694">
        <v>-6.4558116784225114E-2</v>
      </c>
      <c r="AQ84" s="694">
        <f t="shared" ref="AQ84:BU84" si="652">AQ82/AQ$30</f>
        <v>-0.10022393666913848</v>
      </c>
      <c r="AR84" s="694">
        <f t="shared" si="652"/>
        <v>-8.3062604504327758E-2</v>
      </c>
      <c r="AS84" s="694">
        <f t="shared" si="652"/>
        <v>-9.4349010735456609E-2</v>
      </c>
      <c r="AT84" s="694">
        <f t="shared" si="652"/>
        <v>-7.502364045665158E-2</v>
      </c>
      <c r="AU84" s="694">
        <f t="shared" si="652"/>
        <v>-9.9271437686406602E-2</v>
      </c>
      <c r="AV84" s="694">
        <f t="shared" si="652"/>
        <v>-8.6138502731449546E-2</v>
      </c>
      <c r="AW84" s="694">
        <f t="shared" si="652"/>
        <v>-9.7832765256956097E-2</v>
      </c>
      <c r="AX84" s="694">
        <f t="shared" si="652"/>
        <v>-7.0891700401553098E-2</v>
      </c>
      <c r="AY84" s="694">
        <f t="shared" si="652"/>
        <v>-0.11212862914766371</v>
      </c>
      <c r="AZ84" s="694">
        <f t="shared" si="652"/>
        <v>-8.918554668297958E-2</v>
      </c>
      <c r="BA84" s="694">
        <f t="shared" si="652"/>
        <v>-0.10652894515946297</v>
      </c>
      <c r="BB84" s="694">
        <f t="shared" si="652"/>
        <v>-7.0552834047729135E-2</v>
      </c>
      <c r="BC84" s="694">
        <f t="shared" si="652"/>
        <v>-0.10505127986594141</v>
      </c>
      <c r="BD84" s="694">
        <f t="shared" si="652"/>
        <v>-8.3169064887368929E-2</v>
      </c>
      <c r="BE84" s="694">
        <f t="shared" si="652"/>
        <v>-9.9232361808779451E-2</v>
      </c>
      <c r="BF84" s="694">
        <f t="shared" si="652"/>
        <v>-7.6216418848473799E-2</v>
      </c>
      <c r="BG84" s="694">
        <f t="shared" si="652"/>
        <v>-0.10673146418514476</v>
      </c>
      <c r="BH84" s="694">
        <f t="shared" si="652"/>
        <v>-9.0679319629826671E-2</v>
      </c>
      <c r="BI84" s="694">
        <f t="shared" si="652"/>
        <v>-0.10313585877796806</v>
      </c>
      <c r="BJ84" s="694">
        <f t="shared" si="652"/>
        <v>-7.7155910203836275E-2</v>
      </c>
      <c r="BK84" s="694">
        <f t="shared" si="652"/>
        <v>-0.10315529494884984</v>
      </c>
      <c r="BL84" s="694">
        <f t="shared" si="652"/>
        <v>-9.0351762476886407E-2</v>
      </c>
      <c r="BM84" s="694">
        <f t="shared" si="652"/>
        <v>-0.10146568912648737</v>
      </c>
      <c r="BN84" s="694">
        <f t="shared" si="652"/>
        <v>-7.3899308680855036E-2</v>
      </c>
      <c r="BO84" s="694">
        <f t="shared" si="652"/>
        <v>-0.12273671444606432</v>
      </c>
      <c r="BP84" s="694">
        <f t="shared" si="652"/>
        <v>-0.27885092914483095</v>
      </c>
      <c r="BQ84" s="694">
        <f>BQ82/BQ$30</f>
        <v>-0.1063707116715934</v>
      </c>
      <c r="BR84" s="694">
        <f t="shared" si="652"/>
        <v>-7.0867576530420015E-2</v>
      </c>
      <c r="BS84" s="694">
        <f>BS82/BS$30</f>
        <v>-0.15502958406410944</v>
      </c>
      <c r="BT84" s="694">
        <f>BT82/BT$30</f>
        <v>-0.10485216646751284</v>
      </c>
      <c r="BU84" s="694">
        <f t="shared" si="652"/>
        <v>-9.9705539934654197E-2</v>
      </c>
      <c r="BV84" s="694">
        <f t="shared" ref="BV84:CD84" si="653">BV82/BV$30</f>
        <v>-8.4200352960599509E-2</v>
      </c>
      <c r="BW84" s="694">
        <f t="shared" si="653"/>
        <v>-0.13375193134394628</v>
      </c>
      <c r="BX84" s="694">
        <f t="shared" si="653"/>
        <v>-0.10321924461819196</v>
      </c>
      <c r="BY84" s="694">
        <f t="shared" si="653"/>
        <v>-0.12712419437656972</v>
      </c>
      <c r="BZ84" s="694">
        <f t="shared" ref="BZ84" si="654">BZ82/BZ$30</f>
        <v>-9.4889706047826303E-2</v>
      </c>
      <c r="CA84" s="694">
        <f t="shared" si="653"/>
        <v>-0.14724984514918577</v>
      </c>
      <c r="CB84" s="694">
        <f t="shared" ref="CB84:CC84" si="655">CB82/CB$30</f>
        <v>-0.11860902608243583</v>
      </c>
      <c r="CC84" s="694">
        <f t="shared" si="655"/>
        <v>-0.13148295250646219</v>
      </c>
      <c r="CD84" s="694">
        <f t="shared" si="653"/>
        <v>-9.986338076524108E-2</v>
      </c>
      <c r="CE84" s="694">
        <f t="shared" ref="CE84" si="656">CE82/CE$30</f>
        <v>-0.13769615682144692</v>
      </c>
      <c r="CF84" s="694">
        <f t="shared" ref="CF84:CH84" si="657">CF82/CF$30</f>
        <v>-0.11612952661478874</v>
      </c>
      <c r="CG84" s="694">
        <f t="shared" si="657"/>
        <v>-0.12082097408888913</v>
      </c>
      <c r="CH84" s="694">
        <f t="shared" si="657"/>
        <v>-9.416306827259599E-2</v>
      </c>
      <c r="CI84" s="694">
        <f t="shared" ref="CI84:CL84" si="658">CI82/CI$30</f>
        <v>-0.13191226186503388</v>
      </c>
      <c r="CJ84" s="694">
        <f t="shared" si="658"/>
        <v>-0.11369907791638091</v>
      </c>
      <c r="CK84" s="694">
        <f t="shared" si="658"/>
        <v>-0.12112892230937834</v>
      </c>
      <c r="CL84" s="694">
        <f t="shared" si="658"/>
        <v>-9.4410799192034045E-2</v>
      </c>
      <c r="CM84" s="694">
        <f t="shared" ref="CM84:CP84" si="659">CM82/CM$30</f>
        <v>-0.12758682966769549</v>
      </c>
      <c r="CN84" s="694">
        <f t="shared" si="659"/>
        <v>-0.11097607564701407</v>
      </c>
      <c r="CO84" s="694">
        <f t="shared" si="659"/>
        <v>-0.11528024158133292</v>
      </c>
      <c r="CP84" s="694">
        <f t="shared" si="659"/>
        <v>-8.9672133489902162E-2</v>
      </c>
      <c r="CQ84" s="694"/>
      <c r="CR84" s="694"/>
      <c r="CS84" s="694"/>
      <c r="CT84" s="694">
        <v>-9.4410799192034045E-2</v>
      </c>
      <c r="CU84" s="695"/>
      <c r="CV84" s="694">
        <v>4.8410999853094937E-7</v>
      </c>
      <c r="CW84" s="694"/>
      <c r="CX84" s="694">
        <v>-8.9435598764993671E-2</v>
      </c>
      <c r="CY84" s="694">
        <v>-8.6422092927669142E-2</v>
      </c>
      <c r="CZ84" s="694">
        <v>-9.149595019685372E-2</v>
      </c>
      <c r="DA84" s="694">
        <v>-8.5230927296193845E-2</v>
      </c>
      <c r="DB84" s="694">
        <v>-8.5989107818948751E-2</v>
      </c>
      <c r="DC84" s="694">
        <v>-8.6542710528423508E-2</v>
      </c>
      <c r="DD84" s="694">
        <v>-8.4903060693942156E-2</v>
      </c>
      <c r="DE84" s="694">
        <v>-8.4382056749874673E-2</v>
      </c>
      <c r="DF84" s="694">
        <f t="shared" ref="DF84:DM84" si="660">DF82/DF$30</f>
        <v>-8.5727603340533309E-2</v>
      </c>
      <c r="DG84" s="694">
        <f t="shared" si="660"/>
        <v>-8.6112959955617949E-2</v>
      </c>
      <c r="DH84" s="694">
        <f t="shared" si="660"/>
        <v>-9.1067116085650601E-2</v>
      </c>
      <c r="DI84" s="694">
        <f t="shared" si="660"/>
        <v>-8.860284759880685E-2</v>
      </c>
      <c r="DJ84" s="694">
        <f t="shared" si="660"/>
        <v>-9.1838641799345477E-2</v>
      </c>
      <c r="DK84" s="694">
        <f t="shared" si="660"/>
        <v>-8.9801011080873377E-2</v>
      </c>
      <c r="DL84" s="694">
        <f t="shared" si="660"/>
        <v>-0.10859174085825374</v>
      </c>
      <c r="DM84" s="694">
        <f t="shared" si="660"/>
        <v>-0.10304397158409441</v>
      </c>
      <c r="DN84" s="694">
        <f t="shared" ref="DN84:DS84" si="661">DN82/DN$30</f>
        <v>-0.11194358573212466</v>
      </c>
      <c r="DO84" s="694">
        <f t="shared" si="661"/>
        <v>-0.12098529514775754</v>
      </c>
      <c r="DP84" s="694">
        <f t="shared" si="661"/>
        <v>-0.1141759555553802</v>
      </c>
      <c r="DQ84" s="694">
        <f t="shared" si="661"/>
        <v>-0.11288795864751404</v>
      </c>
      <c r="DR84" s="694">
        <f t="shared" ref="DR84" si="662">DR82/DR$30</f>
        <v>-0.10842602883125044</v>
      </c>
      <c r="DS84" s="696">
        <f t="shared" si="661"/>
        <v>-0.10489398870290578</v>
      </c>
      <c r="DT84" s="696">
        <f t="shared" ref="DT84:DV84" si="663">DT82/DT$30</f>
        <v>-0.10226910378710467</v>
      </c>
      <c r="DU84" s="696">
        <f t="shared" si="663"/>
        <v>-9.9772290804112179E-2</v>
      </c>
      <c r="DV84" s="696">
        <f t="shared" si="663"/>
        <v>-9.739440640443954E-2</v>
      </c>
      <c r="DY84" s="696">
        <v>-0.10751537268667381</v>
      </c>
      <c r="DZ84" s="696">
        <v>-0.10369507616136016</v>
      </c>
    </row>
    <row r="85" spans="1:130" s="692" customFormat="1">
      <c r="A85" s="694" t="s">
        <v>169</v>
      </c>
      <c r="B85" s="694"/>
      <c r="C85" s="694"/>
      <c r="D85" s="694"/>
      <c r="E85" s="694"/>
      <c r="F85" s="694"/>
      <c r="G85" s="694">
        <v>0.1068668157138295</v>
      </c>
      <c r="H85" s="694">
        <v>0.17978630052134403</v>
      </c>
      <c r="I85" s="694">
        <v>0.12773041416536346</v>
      </c>
      <c r="J85" s="694">
        <v>-0.10714170562630987</v>
      </c>
      <c r="K85" s="694">
        <v>0.34002770083102485</v>
      </c>
      <c r="L85" s="694">
        <v>0.41358942947147348</v>
      </c>
      <c r="M85" s="694">
        <v>0.41435920375754876</v>
      </c>
      <c r="N85" s="694">
        <v>0.49111656796186631</v>
      </c>
      <c r="O85" s="694">
        <v>0.38001722652885439</v>
      </c>
      <c r="P85" s="694">
        <v>5.3081184809186333E-2</v>
      </c>
      <c r="Q85" s="694">
        <v>0.15475362135492432</v>
      </c>
      <c r="R85" s="694">
        <v>0.18204494817398054</v>
      </c>
      <c r="S85" s="694">
        <v>0.14473848458369742</v>
      </c>
      <c r="T85" s="694">
        <v>0.29035386785798267</v>
      </c>
      <c r="U85" s="694">
        <v>0.28665333735038745</v>
      </c>
      <c r="V85" s="694">
        <v>5.3207400274539518E-2</v>
      </c>
      <c r="W85" s="694">
        <v>3.6012213074532395E-2</v>
      </c>
      <c r="X85" s="694">
        <v>5.2274332050201489E-2</v>
      </c>
      <c r="Y85" s="694">
        <v>-6.4286778636354014E-2</v>
      </c>
      <c r="Z85" s="694">
        <v>1.521223203517108E-2</v>
      </c>
      <c r="AA85" s="694">
        <v>7.796752887929892E-2</v>
      </c>
      <c r="AB85" s="694">
        <v>8.4419238928092222E-2</v>
      </c>
      <c r="AC85" s="694">
        <v>0.29239939031326068</v>
      </c>
      <c r="AD85" s="694">
        <v>0.22422779182953945</v>
      </c>
      <c r="AE85" s="694">
        <v>0.25770150856808094</v>
      </c>
      <c r="AF85" s="694">
        <v>0.20883069184398573</v>
      </c>
      <c r="AG85" s="694">
        <v>0.12543566273543383</v>
      </c>
      <c r="AH85" s="694">
        <v>0.16860228517764919</v>
      </c>
      <c r="AI85" s="694">
        <v>0.24596782019680541</v>
      </c>
      <c r="AJ85" s="694">
        <v>0.13892007926023786</v>
      </c>
      <c r="AK85" s="694">
        <v>0.15912787787787797</v>
      </c>
      <c r="AL85" s="694">
        <v>0.16059039404248487</v>
      </c>
      <c r="AM85" s="694">
        <v>0.22678983114212725</v>
      </c>
      <c r="AN85" s="694">
        <v>0.14760848447943409</v>
      </c>
      <c r="AO85" s="694">
        <v>0.164390770476319</v>
      </c>
      <c r="AP85" s="694">
        <v>-6.9127083044823179E-3</v>
      </c>
      <c r="AQ85" s="694">
        <f t="shared" ref="AQ85:CK85" si="664">AQ82/AM82-1</f>
        <v>3.6556409116881516E-2</v>
      </c>
      <c r="AR85" s="694">
        <f t="shared" si="664"/>
        <v>0.16606867625135813</v>
      </c>
      <c r="AS85" s="694">
        <f t="shared" si="664"/>
        <v>0.14484373008239371</v>
      </c>
      <c r="AT85" s="694">
        <f t="shared" si="664"/>
        <v>0.45578887429839754</v>
      </c>
      <c r="AU85" s="694">
        <f t="shared" si="664"/>
        <v>0.22930396648455309</v>
      </c>
      <c r="AV85" s="694">
        <f t="shared" si="664"/>
        <v>0.26383817809510401</v>
      </c>
      <c r="AW85" s="694">
        <f t="shared" si="664"/>
        <v>0.23624382541096445</v>
      </c>
      <c r="AX85" s="694">
        <f t="shared" si="664"/>
        <v>3.9744561963679814E-2</v>
      </c>
      <c r="AY85" s="694">
        <f t="shared" si="664"/>
        <v>0.20242543820314296</v>
      </c>
      <c r="AZ85" s="694">
        <f t="shared" si="664"/>
        <v>0.11982751969550187</v>
      </c>
      <c r="BA85" s="694">
        <f t="shared" si="664"/>
        <v>9.9401462364182791E-2</v>
      </c>
      <c r="BB85" s="694">
        <f t="shared" si="664"/>
        <v>4.0252122775500165E-2</v>
      </c>
      <c r="BC85" s="694">
        <f t="shared" si="664"/>
        <v>7.4901459636851797E-2</v>
      </c>
      <c r="BD85" s="694">
        <f t="shared" si="664"/>
        <v>3.8081137113504582E-2</v>
      </c>
      <c r="BE85" s="694">
        <f t="shared" si="664"/>
        <v>0.11786377817994964</v>
      </c>
      <c r="BF85" s="694">
        <f t="shared" si="664"/>
        <v>0.25006413064495892</v>
      </c>
      <c r="BG85" s="694">
        <f t="shared" si="664"/>
        <v>0.15105697747512048</v>
      </c>
      <c r="BH85" s="694">
        <f t="shared" si="664"/>
        <v>0.19032325106890302</v>
      </c>
      <c r="BI85" s="694">
        <f t="shared" si="664"/>
        <v>0.17599530745566483</v>
      </c>
      <c r="BJ85" s="694">
        <f t="shared" si="664"/>
        <v>0.18212936301219251</v>
      </c>
      <c r="BK85" s="694">
        <f t="shared" si="664"/>
        <v>0.14027649399188191</v>
      </c>
      <c r="BL85" s="694">
        <f t="shared" si="664"/>
        <v>0.13036205486580932</v>
      </c>
      <c r="BM85" s="694">
        <f t="shared" si="664"/>
        <v>0.11053576790378039</v>
      </c>
      <c r="BN85" s="694">
        <f t="shared" si="664"/>
        <v>6.0370875347726782E-2</v>
      </c>
      <c r="BO85" s="694">
        <f t="shared" si="664"/>
        <v>0.11761561550977739</v>
      </c>
      <c r="BP85" s="694">
        <f t="shared" si="664"/>
        <v>-0.17525513280059635</v>
      </c>
      <c r="BQ85" s="694">
        <f t="shared" si="664"/>
        <v>-0.10399236828143488</v>
      </c>
      <c r="BR85" s="694">
        <f t="shared" si="664"/>
        <v>-2.5504316658581327E-2</v>
      </c>
      <c r="BS85" s="694">
        <f t="shared" si="664"/>
        <v>0.11174473363326753</v>
      </c>
      <c r="BT85" s="694">
        <f t="shared" si="664"/>
        <v>0.57386461808370659</v>
      </c>
      <c r="BU85" s="694">
        <f t="shared" si="664"/>
        <v>0.34647771850215503</v>
      </c>
      <c r="BV85" s="694">
        <f t="shared" si="664"/>
        <v>0.4490386753148834</v>
      </c>
      <c r="BW85" s="694">
        <f t="shared" si="664"/>
        <v>0.40986644604656663</v>
      </c>
      <c r="BX85" s="694">
        <f t="shared" si="664"/>
        <v>0.38409505472233474</v>
      </c>
      <c r="BY85" s="694">
        <f t="shared" si="664"/>
        <v>0.40593841704229283</v>
      </c>
      <c r="BZ85" s="694">
        <f t="shared" si="664"/>
        <v>0.12511632405965134</v>
      </c>
      <c r="CA85" s="694">
        <f t="shared" si="664"/>
        <v>0.12478287986801773</v>
      </c>
      <c r="CB85" s="694">
        <f t="shared" si="664"/>
        <v>8.0189628978822425E-2</v>
      </c>
      <c r="CC85" s="694">
        <f t="shared" si="664"/>
        <v>4.2427578076127181E-2</v>
      </c>
      <c r="CD85" s="694">
        <f t="shared" si="664"/>
        <v>0.12703960630854971</v>
      </c>
      <c r="CE85" s="694">
        <f t="shared" si="664"/>
        <v>1.0362663407217587E-2</v>
      </c>
      <c r="CF85" s="694">
        <f t="shared" si="664"/>
        <v>1.0127540357655285E-2</v>
      </c>
      <c r="CG85" s="694">
        <f t="shared" si="664"/>
        <v>3.0403660672296606E-2</v>
      </c>
      <c r="CH85" s="694">
        <f t="shared" si="664"/>
        <v>3.4029244580756624E-2</v>
      </c>
      <c r="CI85" s="694">
        <f t="shared" si="664"/>
        <v>7.30280221060986E-2</v>
      </c>
      <c r="CJ85" s="694">
        <f t="shared" si="664"/>
        <v>0.16018676433584034</v>
      </c>
      <c r="CK85" s="694">
        <f t="shared" si="664"/>
        <v>4.4332630529678729E-2</v>
      </c>
      <c r="CL85" s="708">
        <v>0.05</v>
      </c>
      <c r="CM85" s="708">
        <v>0.03</v>
      </c>
      <c r="CN85" s="708">
        <v>0.03</v>
      </c>
      <c r="CO85" s="708">
        <v>0.03</v>
      </c>
      <c r="CP85" s="708">
        <v>0.03</v>
      </c>
      <c r="CQ85" s="708"/>
      <c r="CR85" s="708"/>
      <c r="CS85" s="708"/>
      <c r="CT85" s="708">
        <v>0.05</v>
      </c>
      <c r="CU85" s="694"/>
      <c r="CV85" s="694"/>
      <c r="CW85" s="694">
        <v>5.0835022011040509E-2</v>
      </c>
      <c r="CX85" s="694">
        <v>0.42344648734913726</v>
      </c>
      <c r="CY85" s="694">
        <v>0.17867625876875404</v>
      </c>
      <c r="CZ85" s="694">
        <v>0.18218088619969874</v>
      </c>
      <c r="DA85" s="694">
        <v>7.6997005051182565E-3</v>
      </c>
      <c r="DB85" s="694">
        <v>0.17420957492819356</v>
      </c>
      <c r="DC85" s="694">
        <v>0.18377533480667152</v>
      </c>
      <c r="DD85" s="694">
        <v>0.17253002820317453</v>
      </c>
      <c r="DE85" s="694">
        <v>0.12358002388315614</v>
      </c>
      <c r="DF85" s="694">
        <f t="shared" ref="DF85:DM85" si="665">DF82/DE82-1</f>
        <v>0.20512936972945139</v>
      </c>
      <c r="DG85" s="694">
        <f t="shared" si="665"/>
        <v>0.17936934673366833</v>
      </c>
      <c r="DH85" s="694">
        <f t="shared" si="665"/>
        <v>0.11008992541367602</v>
      </c>
      <c r="DI85" s="694">
        <f t="shared" si="665"/>
        <v>0.1222906632582561</v>
      </c>
      <c r="DJ85" s="694">
        <f t="shared" si="665"/>
        <v>0.17556314169201825</v>
      </c>
      <c r="DK85" s="694">
        <f t="shared" si="665"/>
        <v>0.10703874597790097</v>
      </c>
      <c r="DL85" s="694">
        <f t="shared" si="665"/>
        <v>-4.960737731197995E-2</v>
      </c>
      <c r="DM85" s="694">
        <f t="shared" si="665"/>
        <v>0.36137583767349701</v>
      </c>
      <c r="DN85" s="694">
        <f>DN82/DM82-1</f>
        <v>0.31602380517132822</v>
      </c>
      <c r="DO85" s="694">
        <f>DO82/DN82-1</f>
        <v>9.295852252908543E-2</v>
      </c>
      <c r="DP85" s="694">
        <f>DP82/DO82-1</f>
        <v>2.1561186052340808E-2</v>
      </c>
      <c r="DQ85" s="694">
        <f>DQ82/DP82-1</f>
        <v>8.1234379665365397E-2</v>
      </c>
      <c r="DR85" s="694">
        <f>DR82/DQ82-1</f>
        <v>3.0000000000000027E-2</v>
      </c>
      <c r="DS85" s="724">
        <v>0.05</v>
      </c>
      <c r="DT85" s="724">
        <v>0.05</v>
      </c>
      <c r="DU85" s="724">
        <v>0.05</v>
      </c>
      <c r="DV85" s="724">
        <v>0.05</v>
      </c>
      <c r="DY85" s="724">
        <v>0.05</v>
      </c>
      <c r="DZ85" s="724">
        <v>0.05</v>
      </c>
    </row>
    <row r="86" spans="1:130" s="692" customFormat="1">
      <c r="A86" s="694" t="s">
        <v>170</v>
      </c>
      <c r="B86" s="694"/>
      <c r="C86" s="694"/>
      <c r="D86" s="694">
        <v>0.23749600766528256</v>
      </c>
      <c r="E86" s="694">
        <v>2.3228204201724001E-2</v>
      </c>
      <c r="F86" s="694">
        <v>0.56459668062351809</v>
      </c>
      <c r="G86" s="694">
        <v>-0.44130259551829765</v>
      </c>
      <c r="H86" s="694">
        <v>0.31902123730378573</v>
      </c>
      <c r="I86" s="694">
        <v>-2.1919845992299569E-2</v>
      </c>
      <c r="J86" s="694">
        <v>0.23873853723999106</v>
      </c>
      <c r="K86" s="694">
        <v>-0.16149068322981364</v>
      </c>
      <c r="L86" s="694">
        <v>0.39142980189491827</v>
      </c>
      <c r="M86" s="694">
        <v>-2.1387229564517662E-2</v>
      </c>
      <c r="N86" s="694">
        <v>0.30596495667025114</v>
      </c>
      <c r="O86" s="694">
        <v>-0.22396590138525618</v>
      </c>
      <c r="P86" s="694">
        <v>6.1790038696792005E-2</v>
      </c>
      <c r="Q86" s="694">
        <v>7.3095462026804503E-2</v>
      </c>
      <c r="R86" s="694">
        <v>0.33682999643942924</v>
      </c>
      <c r="S86" s="694">
        <v>-0.24845827613759752</v>
      </c>
      <c r="T86" s="694">
        <v>0.19685404285480623</v>
      </c>
      <c r="U86" s="694">
        <v>7.0017994214518264E-2</v>
      </c>
      <c r="V86" s="694">
        <v>9.4280179662387997E-2</v>
      </c>
      <c r="W86" s="694">
        <v>-0.26072831965140253</v>
      </c>
      <c r="X86" s="694">
        <v>0.21564087045759539</v>
      </c>
      <c r="Y86" s="694">
        <v>-4.8508593445603654E-2</v>
      </c>
      <c r="Z86" s="694">
        <v>0.18725117728689411</v>
      </c>
      <c r="AA86" s="694">
        <v>-0.21503027515904038</v>
      </c>
      <c r="AB86" s="694">
        <v>0.22291656495630519</v>
      </c>
      <c r="AC86" s="694">
        <v>0.1339774042875963</v>
      </c>
      <c r="AD86" s="694">
        <v>0.12462594613624356</v>
      </c>
      <c r="AE86" s="694">
        <v>-0.19356706839881044</v>
      </c>
      <c r="AF86" s="694">
        <v>0.17539739533800436</v>
      </c>
      <c r="AG86" s="694">
        <v>5.5746367239101646E-2</v>
      </c>
      <c r="AH86" s="694">
        <v>0.16776151151151142</v>
      </c>
      <c r="AI86" s="694">
        <v>-0.14017840400739334</v>
      </c>
      <c r="AJ86" s="694">
        <v>7.441273599601228E-2</v>
      </c>
      <c r="AK86" s="694">
        <v>7.4478419091528636E-2</v>
      </c>
      <c r="AL86" s="694">
        <v>0.16923492106328442</v>
      </c>
      <c r="AM86" s="694">
        <v>-9.1134653556755763E-2</v>
      </c>
      <c r="AN86" s="694">
        <v>5.0663449939687411E-3</v>
      </c>
      <c r="AO86" s="694">
        <v>9.0191272708896486E-2</v>
      </c>
      <c r="AP86" s="694">
        <v>-2.7812221153511452E-3</v>
      </c>
      <c r="AQ86" s="694">
        <f t="shared" ref="AQ86:BZ86" si="666">AQ82/AP82-1</f>
        <v>-5.1352073722008562E-2</v>
      </c>
      <c r="AR86" s="694">
        <f t="shared" si="666"/>
        <v>0.13064409437244295</v>
      </c>
      <c r="AS86" s="694">
        <f t="shared" si="666"/>
        <v>7.0347457718935136E-2</v>
      </c>
      <c r="AT86" s="694">
        <f t="shared" si="666"/>
        <v>0.26806826463681266</v>
      </c>
      <c r="AU86" s="694">
        <f t="shared" si="666"/>
        <v>-0.19893833566154462</v>
      </c>
      <c r="AV86" s="694">
        <f t="shared" si="666"/>
        <v>0.16240670433370208</v>
      </c>
      <c r="AW86" s="694">
        <f t="shared" si="666"/>
        <v>4.6977737010398535E-2</v>
      </c>
      <c r="AX86" s="694">
        <f t="shared" si="666"/>
        <v>6.651055014697338E-2</v>
      </c>
      <c r="AY86" s="694">
        <f t="shared" si="666"/>
        <v>-7.3602346185145939E-2</v>
      </c>
      <c r="AZ86" s="694">
        <f t="shared" si="666"/>
        <v>8.2557782989549855E-2</v>
      </c>
      <c r="BA86" s="694">
        <f t="shared" si="666"/>
        <v>2.7880485956410794E-2</v>
      </c>
      <c r="BB86" s="694">
        <f t="shared" si="666"/>
        <v>9.1307877352517774E-3</v>
      </c>
      <c r="BC86" s="694">
        <f t="shared" si="666"/>
        <v>-4.2745341741883491E-2</v>
      </c>
      <c r="BD86" s="694">
        <f t="shared" si="666"/>
        <v>4.5475196151030239E-2</v>
      </c>
      <c r="BE86" s="694">
        <f t="shared" si="666"/>
        <v>0.10687914698428824</v>
      </c>
      <c r="BF86" s="694">
        <f t="shared" si="666"/>
        <v>0.12847220341212462</v>
      </c>
      <c r="BG86" s="694">
        <f t="shared" si="666"/>
        <v>-0.11856149888880074</v>
      </c>
      <c r="BH86" s="694">
        <f t="shared" si="666"/>
        <v>8.1139733954908921E-2</v>
      </c>
      <c r="BI86" s="694">
        <f t="shared" si="666"/>
        <v>9.3555621639035413E-2</v>
      </c>
      <c r="BJ86" s="694">
        <f t="shared" si="666"/>
        <v>0.13435837587033239</v>
      </c>
      <c r="BK86" s="694">
        <f t="shared" si="666"/>
        <v>-0.14976851505026745</v>
      </c>
      <c r="BL86" s="694">
        <f t="shared" si="666"/>
        <v>7.173947521454882E-2</v>
      </c>
      <c r="BM86" s="694">
        <f t="shared" si="666"/>
        <v>7.4374910936455318E-2</v>
      </c>
      <c r="BN86" s="694">
        <f t="shared" si="666"/>
        <v>8.311737338285119E-2</v>
      </c>
      <c r="BO86" s="694">
        <f t="shared" si="666"/>
        <v>-0.10386827244167918</v>
      </c>
      <c r="BP86" s="694">
        <f t="shared" si="666"/>
        <v>-0.20910944792498842</v>
      </c>
      <c r="BQ86" s="694">
        <f t="shared" si="666"/>
        <v>0.16720716649609901</v>
      </c>
      <c r="BR86" s="694">
        <f t="shared" si="666"/>
        <v>0.17799577542573108</v>
      </c>
      <c r="BS86" s="694">
        <f t="shared" si="666"/>
        <v>2.2343911610327671E-2</v>
      </c>
      <c r="BT86" s="694">
        <f t="shared" si="666"/>
        <v>0.11964070440846242</v>
      </c>
      <c r="BU86" s="694">
        <f t="shared" si="666"/>
        <v>-1.4271720037832836E-3</v>
      </c>
      <c r="BV86" s="694">
        <f t="shared" si="666"/>
        <v>0.26772349404213225</v>
      </c>
      <c r="BW86" s="694">
        <f t="shared" si="666"/>
        <v>-5.293370112304796E-3</v>
      </c>
      <c r="BX86" s="694">
        <f t="shared" si="666"/>
        <v>9.9174440517466822E-2</v>
      </c>
      <c r="BY86" s="694">
        <f t="shared" si="666"/>
        <v>1.4331997144582997E-2</v>
      </c>
      <c r="BZ86" s="694">
        <f t="shared" si="666"/>
        <v>1.450844521437844E-2</v>
      </c>
      <c r="CA86" s="694">
        <f>CA82/BZ82-1</f>
        <v>-5.5881655401399666E-3</v>
      </c>
      <c r="CB86" s="694">
        <f>CB82/CA82-1</f>
        <v>5.5596464292634984E-2</v>
      </c>
      <c r="CC86" s="694">
        <f>CC82/CB82-1</f>
        <v>-2.1127754995989623E-2</v>
      </c>
      <c r="CD86" s="694">
        <f>CD82/CC82-1</f>
        <v>9.6854326131049051E-2</v>
      </c>
      <c r="CE86" s="694">
        <f t="shared" ref="CE86:CI86" si="667">CE82/CD82-1</f>
        <v>-0.10853479863114945</v>
      </c>
      <c r="CF86" s="694">
        <f t="shared" si="667"/>
        <v>5.5350814815689153E-2</v>
      </c>
      <c r="CG86" s="694">
        <f t="shared" si="667"/>
        <v>-1.4790169709508749E-3</v>
      </c>
      <c r="CH86" s="694">
        <f t="shared" si="667"/>
        <v>0.10071372371136333</v>
      </c>
      <c r="CI86" s="694">
        <f t="shared" si="667"/>
        <v>-7.4912874259113194E-2</v>
      </c>
      <c r="CJ86" s="694">
        <f t="shared" ref="CJ86" si="668">CJ82/CI82-1</f>
        <v>0.14107369225734967</v>
      </c>
      <c r="CK86" s="694">
        <f t="shared" ref="CK86" si="669">CK82/CJ82-1</f>
        <v>-0.10118950077597089</v>
      </c>
      <c r="CL86" s="694">
        <f t="shared" ref="CL86" si="670">CL82/CK82-1</f>
        <v>0.10668706129649785</v>
      </c>
      <c r="CM86" s="694">
        <f t="shared" ref="CM86" si="671">CM82/CL82-1</f>
        <v>-9.2533581416082478E-2</v>
      </c>
      <c r="CN86" s="694">
        <f t="shared" ref="CN86" si="672">CN82/CM82-1</f>
        <v>0.14107369225734945</v>
      </c>
      <c r="CO86" s="694">
        <f t="shared" ref="CO86" si="673">CO82/CN82-1</f>
        <v>-0.10118950077597078</v>
      </c>
      <c r="CP86" s="694">
        <f t="shared" ref="CP86" si="674">CP82/CO82-1</f>
        <v>0.10668706129649785</v>
      </c>
      <c r="CQ86" s="694"/>
      <c r="CR86" s="694"/>
      <c r="CS86" s="694"/>
      <c r="CT86" s="694">
        <v>0.10668706129649785</v>
      </c>
      <c r="CU86" s="694"/>
      <c r="CV86" s="694"/>
      <c r="CW86" s="694"/>
      <c r="CX86" s="694"/>
      <c r="CY86" s="694"/>
      <c r="CZ86" s="694"/>
      <c r="DA86" s="694"/>
      <c r="DB86" s="704"/>
      <c r="DC86" s="704"/>
      <c r="DD86" s="704"/>
      <c r="DE86" s="704"/>
      <c r="DF86" s="704"/>
      <c r="DG86" s="704"/>
      <c r="DH86" s="704"/>
      <c r="DI86" s="704"/>
      <c r="DJ86" s="704"/>
      <c r="DK86" s="704"/>
      <c r="DL86" s="704"/>
      <c r="DM86" s="704"/>
      <c r="DN86" s="704"/>
      <c r="DO86" s="704"/>
      <c r="DP86" s="704"/>
      <c r="DQ86" s="704"/>
      <c r="DR86" s="704"/>
      <c r="DS86" s="709"/>
      <c r="DT86" s="709"/>
      <c r="DU86" s="709"/>
      <c r="DV86" s="709"/>
      <c r="DY86" s="709"/>
      <c r="DZ86" s="709"/>
    </row>
    <row r="87" spans="1:130" s="692" customFormat="1">
      <c r="A87" s="699" t="s">
        <v>202</v>
      </c>
      <c r="B87" s="707"/>
      <c r="C87" s="710"/>
      <c r="D87" s="710"/>
      <c r="E87" s="710"/>
      <c r="F87" s="710"/>
      <c r="G87" s="710">
        <v>0.55674229864940405</v>
      </c>
      <c r="H87" s="710">
        <v>0.7645347539563816</v>
      </c>
      <c r="I87" s="710">
        <v>0.43315737023660822</v>
      </c>
      <c r="J87" s="710">
        <v>-0.36515431252058783</v>
      </c>
      <c r="K87" s="710">
        <v>1.2639736653017748</v>
      </c>
      <c r="L87" s="710">
        <v>1.4378841607458024</v>
      </c>
      <c r="M87" s="710">
        <v>1.5036117678584291</v>
      </c>
      <c r="N87" s="710">
        <v>1.8511112067092577</v>
      </c>
      <c r="O87" s="710">
        <v>1.2545370247518652</v>
      </c>
      <c r="P87" s="710">
        <v>0.18376631682386196</v>
      </c>
      <c r="Q87" s="710">
        <v>0.55198296825723969</v>
      </c>
      <c r="R87" s="710">
        <v>0.87522794827891182</v>
      </c>
      <c r="S87" s="710">
        <v>0.59714375263511044</v>
      </c>
      <c r="T87" s="710">
        <v>1.8883946183926281</v>
      </c>
      <c r="U87" s="710">
        <v>1.8895680041512553</v>
      </c>
      <c r="V87" s="710">
        <v>1.3805865273492115</v>
      </c>
      <c r="W87" s="710">
        <v>-1.2279843298542112</v>
      </c>
      <c r="X87" s="710">
        <v>0.62900569684992513</v>
      </c>
      <c r="Y87" s="710">
        <v>-0.80296841775414229</v>
      </c>
      <c r="Z87" s="710">
        <v>9.7318779114551057E-2</v>
      </c>
      <c r="AA87" s="710">
        <v>0.37752385311278847</v>
      </c>
      <c r="AB87" s="710">
        <v>0.58444249726690434</v>
      </c>
      <c r="AC87" s="710">
        <v>1.7637819145858249</v>
      </c>
      <c r="AD87" s="710">
        <v>1.4433569444905372</v>
      </c>
      <c r="AE87" s="710">
        <v>1.4001887181465498</v>
      </c>
      <c r="AF87" s="710">
        <v>1.0907873053543584</v>
      </c>
      <c r="AG87" s="710">
        <v>0.82371708505392227</v>
      </c>
      <c r="AH87" s="710">
        <v>0.93826303047438897</v>
      </c>
      <c r="AI87" s="701">
        <v>1.25467290319067</v>
      </c>
      <c r="AJ87" s="701">
        <v>0.98697689618328088</v>
      </c>
      <c r="AK87" s="701">
        <v>0.71525686453021198</v>
      </c>
      <c r="AL87" s="701">
        <v>0.73590053018695545</v>
      </c>
      <c r="AM87" s="701">
        <v>1.3059185791520118</v>
      </c>
      <c r="AN87" s="701">
        <v>1.371560510939362</v>
      </c>
      <c r="AO87" s="701">
        <v>1.2738865335314982</v>
      </c>
      <c r="AP87" s="701">
        <v>-5.5085664650348871E-2</v>
      </c>
      <c r="AQ87" s="701">
        <f t="shared" ref="AQ87:CA87" si="675">+AQ85/AQ32</f>
        <v>0.3026334311547581</v>
      </c>
      <c r="AR87" s="701">
        <f t="shared" si="675"/>
        <v>0.95918014787838146</v>
      </c>
      <c r="AS87" s="701">
        <f t="shared" si="675"/>
        <v>0.93713757998233793</v>
      </c>
      <c r="AT87" s="701">
        <f t="shared" si="675"/>
        <v>1.8035926744055895</v>
      </c>
      <c r="AU87" s="701">
        <f t="shared" si="675"/>
        <v>0.95107801529253211</v>
      </c>
      <c r="AV87" s="701">
        <f t="shared" si="675"/>
        <v>1.2063484694065021</v>
      </c>
      <c r="AW87" s="701">
        <f t="shared" si="675"/>
        <v>1.2290150908383213</v>
      </c>
      <c r="AX87" s="701">
        <f t="shared" si="675"/>
        <v>0.39607390697537154</v>
      </c>
      <c r="AY87" s="701">
        <f t="shared" si="675"/>
        <v>3.1359610033617749</v>
      </c>
      <c r="AZ87" s="701">
        <f t="shared" si="675"/>
        <v>1.4690440394629896</v>
      </c>
      <c r="BA87" s="701">
        <f t="shared" si="675"/>
        <v>10.295304618291164</v>
      </c>
      <c r="BB87" s="701">
        <f t="shared" si="675"/>
        <v>0.88957975673614664</v>
      </c>
      <c r="BC87" s="701">
        <f t="shared" si="675"/>
        <v>0.508433768893367</v>
      </c>
      <c r="BD87" s="701">
        <f t="shared" si="675"/>
        <v>0.33647618693900383</v>
      </c>
      <c r="BE87" s="701">
        <f t="shared" si="675"/>
        <v>0.58914033774593844</v>
      </c>
      <c r="BF87" s="701">
        <f t="shared" si="675"/>
        <v>1.5910139875639506</v>
      </c>
      <c r="BG87" s="701">
        <f t="shared" si="675"/>
        <v>1.1363062916312283</v>
      </c>
      <c r="BH87" s="701">
        <f t="shared" si="675"/>
        <v>2.074636046430216</v>
      </c>
      <c r="BI87" s="701">
        <f t="shared" si="675"/>
        <v>1.3385087220158316</v>
      </c>
      <c r="BJ87" s="701">
        <f t="shared" si="675"/>
        <v>1.0858152694228869</v>
      </c>
      <c r="BK87" s="701">
        <f t="shared" si="675"/>
        <v>0.78014863766899467</v>
      </c>
      <c r="BL87" s="701">
        <f t="shared" si="675"/>
        <v>0.96952281405698693</v>
      </c>
      <c r="BM87" s="701">
        <f t="shared" si="675"/>
        <v>0.85809254102671129</v>
      </c>
      <c r="BN87" s="701">
        <f t="shared" si="675"/>
        <v>0.56369015447492787</v>
      </c>
      <c r="BO87" s="701">
        <f t="shared" si="675"/>
        <v>-1.9380113427275132</v>
      </c>
      <c r="BP87" s="701">
        <f t="shared" si="675"/>
        <v>0.23916778412399453</v>
      </c>
      <c r="BQ87" s="701">
        <f t="shared" si="675"/>
        <v>0.71566095209845426</v>
      </c>
      <c r="BR87" s="701">
        <f t="shared" si="675"/>
        <v>-1.575814645386451</v>
      </c>
      <c r="BS87" s="701">
        <f t="shared" si="675"/>
        <v>-0.93250244227116663</v>
      </c>
      <c r="BT87" s="701">
        <f t="shared" si="675"/>
        <v>0.18014097427542591</v>
      </c>
      <c r="BU87" s="701">
        <f t="shared" si="675"/>
        <v>0.79378554656237299</v>
      </c>
      <c r="BV87" s="701">
        <f t="shared" si="675"/>
        <v>2.044901276825033</v>
      </c>
      <c r="BW87" s="701">
        <f t="shared" si="675"/>
        <v>0.6463219177802414</v>
      </c>
      <c r="BX87" s="701">
        <f>+BX85/BX32</f>
        <v>0.94606708921661209</v>
      </c>
      <c r="BY87" s="701">
        <f>+BY85/BY32</f>
        <v>3.9526623349418961</v>
      </c>
      <c r="BZ87" s="701">
        <f>+BZ85/BZ32</f>
        <v>-76.835868485507419</v>
      </c>
      <c r="CA87" s="701">
        <f t="shared" si="675"/>
        <v>5.7562796342310314</v>
      </c>
      <c r="CB87" s="701">
        <f t="shared" ref="CB87:CC87" si="676">+CB85/CB32</f>
        <v>-1.337221571412408</v>
      </c>
      <c r="CC87" s="701">
        <f t="shared" si="676"/>
        <v>5.3908293144159112</v>
      </c>
      <c r="CD87" s="701">
        <f t="shared" ref="CD87" si="677">+CD85/CD32</f>
        <v>1.7916209699819317</v>
      </c>
      <c r="CE87" s="701">
        <f t="shared" ref="CE87:CF87" si="678">+CE85/CE32</f>
        <v>0.12878626970969656</v>
      </c>
      <c r="CF87" s="701">
        <f t="shared" si="678"/>
        <v>0.31953187773988073</v>
      </c>
      <c r="CG87" s="701">
        <f t="shared" ref="CG87:CH87" si="679">+CG85/CG32</f>
        <v>0.25058081801931276</v>
      </c>
      <c r="CH87" s="701">
        <f t="shared" si="679"/>
        <v>0.35217531725349721</v>
      </c>
      <c r="CI87" s="701">
        <f t="shared" ref="CI87:CL87" si="680">+CI85/CI32</f>
        <v>0.60817874393542748</v>
      </c>
      <c r="CJ87" s="701">
        <f t="shared" si="680"/>
        <v>0.86593481968023389</v>
      </c>
      <c r="CK87" s="701">
        <f t="shared" si="680"/>
        <v>1.0637038879150069</v>
      </c>
      <c r="CL87" s="701">
        <f t="shared" si="680"/>
        <v>1.058316777334136</v>
      </c>
      <c r="CM87" s="701">
        <f t="shared" ref="CM87:CP87" si="681">+CM85/CM32</f>
        <v>0.46211484828862653</v>
      </c>
      <c r="CN87" s="701">
        <f t="shared" si="681"/>
        <v>0.54276101268629706</v>
      </c>
      <c r="CO87" s="701">
        <f t="shared" si="681"/>
        <v>0.36471284959799849</v>
      </c>
      <c r="CP87" s="701">
        <f t="shared" si="681"/>
        <v>0.35532527703112282</v>
      </c>
      <c r="CQ87" s="701"/>
      <c r="CR87" s="701"/>
      <c r="CS87" s="711"/>
      <c r="CT87" s="701">
        <v>1.058316777334136</v>
      </c>
      <c r="CU87" s="695"/>
      <c r="CV87" s="710"/>
      <c r="CW87" s="710">
        <v>0.19525558276372187</v>
      </c>
      <c r="CX87" s="710">
        <v>1.5467074198415234</v>
      </c>
      <c r="CY87" s="710">
        <v>0.68450135757616148</v>
      </c>
      <c r="CZ87" s="710">
        <v>1.3955765040289143</v>
      </c>
      <c r="DA87" s="710">
        <v>9.3059500836429235E-2</v>
      </c>
      <c r="DB87" s="710">
        <v>1.0620479976486972</v>
      </c>
      <c r="DC87" s="710">
        <v>1.0378159089751273</v>
      </c>
      <c r="DD87" s="710">
        <v>0.89547466143534304</v>
      </c>
      <c r="DE87" s="710">
        <v>0.93985679693955859</v>
      </c>
      <c r="DF87" s="710">
        <f>+DF85/DF27</f>
        <v>1.0601087729340313</v>
      </c>
      <c r="DG87" s="712">
        <f t="shared" ref="DG87:DO87" si="682">+DG85/DG32</f>
        <v>1.0303156012791868</v>
      </c>
      <c r="DH87" s="712">
        <f t="shared" si="682"/>
        <v>2.2151000351449786</v>
      </c>
      <c r="DI87" s="712">
        <f t="shared" si="682"/>
        <v>0.79665903556609297</v>
      </c>
      <c r="DJ87" s="712">
        <f t="shared" si="682"/>
        <v>1.3087665483833293</v>
      </c>
      <c r="DK87" s="712">
        <f t="shared" si="682"/>
        <v>0.80993000972605544</v>
      </c>
      <c r="DL87" s="712">
        <f t="shared" si="682"/>
        <v>0.23174146681104987</v>
      </c>
      <c r="DM87" s="712">
        <f t="shared" si="682"/>
        <v>0.83137831616887004</v>
      </c>
      <c r="DN87" s="712">
        <f t="shared" si="682"/>
        <v>1.4949180560797428</v>
      </c>
      <c r="DO87" s="712">
        <f t="shared" si="682"/>
        <v>8.2428955555522201</v>
      </c>
      <c r="DP87" s="712">
        <f t="shared" ref="DP87:DQ87" si="683">+DP85/DP32</f>
        <v>0.26139184011346145</v>
      </c>
      <c r="DQ87" s="712">
        <f t="shared" si="683"/>
        <v>0.86816006421596137</v>
      </c>
      <c r="DR87" s="712">
        <f t="shared" ref="DR87" si="684">+DR85/DR32</f>
        <v>0.41444256154084141</v>
      </c>
      <c r="DS87" s="713">
        <v>0.8</v>
      </c>
      <c r="DT87" s="713">
        <v>0.8</v>
      </c>
      <c r="DU87" s="713">
        <v>0.8</v>
      </c>
      <c r="DV87" s="713">
        <v>0.8</v>
      </c>
      <c r="DY87" s="713">
        <v>0.8</v>
      </c>
      <c r="DZ87" s="713">
        <v>0.8</v>
      </c>
    </row>
    <row r="88" spans="1:130" s="692" customFormat="1">
      <c r="A88" s="687"/>
      <c r="B88" s="687"/>
      <c r="C88" s="702"/>
      <c r="D88" s="703"/>
      <c r="E88" s="703"/>
      <c r="F88" s="703"/>
      <c r="G88" s="703"/>
      <c r="H88" s="703"/>
      <c r="I88" s="703"/>
      <c r="J88" s="703"/>
      <c r="K88" s="703"/>
      <c r="L88" s="703"/>
      <c r="M88" s="703"/>
      <c r="N88" s="703"/>
      <c r="O88" s="703"/>
      <c r="P88" s="703"/>
      <c r="Q88" s="703"/>
      <c r="R88" s="703"/>
      <c r="S88" s="703"/>
      <c r="T88" s="703"/>
      <c r="U88" s="703"/>
      <c r="V88" s="698"/>
      <c r="W88" s="698"/>
      <c r="X88" s="698"/>
      <c r="Y88" s="698"/>
      <c r="Z88" s="698"/>
      <c r="AA88" s="698"/>
      <c r="AB88" s="698"/>
      <c r="AC88" s="698"/>
      <c r="AD88" s="698"/>
      <c r="AE88" s="698"/>
      <c r="AF88" s="698"/>
      <c r="AG88" s="698"/>
      <c r="AH88" s="698"/>
      <c r="AI88" s="698"/>
      <c r="AJ88" s="698"/>
      <c r="AK88" s="698"/>
      <c r="AL88" s="714"/>
      <c r="AM88" s="698"/>
      <c r="AN88" s="698"/>
      <c r="AO88" s="698"/>
      <c r="AP88" s="698"/>
      <c r="AQ88" s="698"/>
      <c r="AR88" s="698"/>
      <c r="AS88" s="698"/>
      <c r="AT88" s="698"/>
      <c r="AU88" s="698"/>
      <c r="AV88" s="698"/>
      <c r="AW88" s="698"/>
      <c r="AX88" s="698"/>
      <c r="AY88" s="698"/>
      <c r="AZ88" s="698"/>
      <c r="BA88" s="694"/>
      <c r="BB88" s="694"/>
      <c r="BC88" s="698"/>
      <c r="BD88" s="694"/>
      <c r="BE88" s="698"/>
      <c r="BF88" s="698"/>
      <c r="BG88" s="694"/>
      <c r="BH88" s="694"/>
      <c r="BI88" s="694"/>
      <c r="BJ88" s="694"/>
      <c r="BK88" s="694"/>
      <c r="BL88" s="694"/>
      <c r="BM88" s="694"/>
      <c r="BN88" s="694"/>
      <c r="BO88" s="694"/>
      <c r="BP88" s="694"/>
      <c r="BQ88" s="694"/>
      <c r="BR88" s="694"/>
      <c r="BS88" s="694"/>
      <c r="BT88" s="694"/>
      <c r="BU88" s="694"/>
      <c r="BV88" s="694"/>
      <c r="BW88" s="694"/>
      <c r="BX88" s="694"/>
      <c r="BY88" s="694"/>
      <c r="BZ88" s="694"/>
      <c r="CA88" s="694"/>
      <c r="CB88" s="694"/>
      <c r="CC88" s="694"/>
      <c r="CD88" s="694"/>
      <c r="CE88" s="694"/>
      <c r="CF88" s="694"/>
      <c r="CG88" s="694"/>
      <c r="CH88" s="694"/>
      <c r="CI88" s="694"/>
      <c r="CJ88" s="694"/>
      <c r="CK88" s="694"/>
      <c r="CL88" s="698"/>
      <c r="CM88" s="698"/>
      <c r="CN88" s="698"/>
      <c r="CO88" s="698"/>
      <c r="CP88" s="698"/>
      <c r="CQ88" s="698"/>
      <c r="CR88" s="698"/>
      <c r="CS88" s="698"/>
      <c r="CT88" s="698"/>
      <c r="CU88" s="703"/>
      <c r="CV88" s="703"/>
      <c r="CW88" s="703"/>
      <c r="CX88" s="703"/>
      <c r="CY88" s="703"/>
      <c r="CZ88" s="703"/>
      <c r="DA88" s="703"/>
      <c r="DB88" s="703"/>
      <c r="DC88" s="703"/>
      <c r="DD88" s="703"/>
      <c r="DE88" s="703"/>
      <c r="DF88" s="702"/>
      <c r="DG88" s="702"/>
      <c r="DH88" s="702"/>
      <c r="DI88" s="702"/>
      <c r="DJ88" s="702"/>
      <c r="DK88" s="702"/>
      <c r="DL88" s="702"/>
      <c r="DM88" s="702"/>
      <c r="DN88" s="702"/>
      <c r="DO88" s="702"/>
      <c r="DP88" s="702"/>
      <c r="DQ88" s="702"/>
      <c r="DR88" s="702"/>
      <c r="DS88" s="715"/>
      <c r="DT88" s="715"/>
      <c r="DU88" s="715"/>
      <c r="DV88" s="715"/>
      <c r="DY88" s="715"/>
      <c r="DZ88" s="715"/>
    </row>
    <row r="89" spans="1:130" s="692" customFormat="1">
      <c r="A89" s="687" t="s">
        <v>204</v>
      </c>
      <c r="B89" s="687"/>
      <c r="C89" s="688">
        <v>-6509</v>
      </c>
      <c r="D89" s="688">
        <v>-6762</v>
      </c>
      <c r="E89" s="688">
        <v>-6894</v>
      </c>
      <c r="F89" s="688">
        <v>-7178</v>
      </c>
      <c r="G89" s="688">
        <v>-7112</v>
      </c>
      <c r="H89" s="688">
        <v>-7870</v>
      </c>
      <c r="I89" s="688">
        <v>-7917</v>
      </c>
      <c r="J89" s="688">
        <v>-8159</v>
      </c>
      <c r="K89" s="688">
        <v>-8540</v>
      </c>
      <c r="L89" s="688">
        <v>-9355</v>
      </c>
      <c r="M89" s="688">
        <v>-10043</v>
      </c>
      <c r="N89" s="688">
        <v>-10721</v>
      </c>
      <c r="O89" s="688">
        <v>-11703</v>
      </c>
      <c r="P89" s="688">
        <v>-12100</v>
      </c>
      <c r="Q89" s="688">
        <v>-12625</v>
      </c>
      <c r="R89" s="688">
        <v>-13279</v>
      </c>
      <c r="S89" s="688">
        <v>-14580</v>
      </c>
      <c r="T89" s="688">
        <v>-15315</v>
      </c>
      <c r="U89" s="688">
        <v>-15975</v>
      </c>
      <c r="V89" s="688">
        <v>-16157</v>
      </c>
      <c r="W89" s="688">
        <v>-18139</v>
      </c>
      <c r="X89" s="688">
        <v>-18343</v>
      </c>
      <c r="Y89" s="688">
        <v>-18799</v>
      </c>
      <c r="Z89" s="688">
        <v>-18793</v>
      </c>
      <c r="AA89" s="688">
        <v>-18795</v>
      </c>
      <c r="AB89" s="688">
        <v>-17923</v>
      </c>
      <c r="AC89" s="688">
        <v>-18294</v>
      </c>
      <c r="AD89" s="688">
        <v>-20775</v>
      </c>
      <c r="AE89" s="688">
        <v>-21515</v>
      </c>
      <c r="AF89" s="688">
        <v>-22579</v>
      </c>
      <c r="AG89" s="688">
        <v>-24173</v>
      </c>
      <c r="AH89" s="688">
        <v>-29371</v>
      </c>
      <c r="AI89" s="688">
        <v>-30147</v>
      </c>
      <c r="AJ89" s="688">
        <v>-31930</v>
      </c>
      <c r="AK89" s="688">
        <v>-33749</v>
      </c>
      <c r="AL89" s="688">
        <v>-37124</v>
      </c>
      <c r="AM89" s="688">
        <v>-39291</v>
      </c>
      <c r="AN89" s="688">
        <v>-40586</v>
      </c>
      <c r="AO89" s="688">
        <v>-42276</v>
      </c>
      <c r="AP89" s="688">
        <v>-45284</v>
      </c>
      <c r="AQ89" s="689">
        <v>-48304</v>
      </c>
      <c r="AR89" s="689">
        <v>-51633</v>
      </c>
      <c r="AS89" s="689">
        <v>-55024</v>
      </c>
      <c r="AT89" s="689">
        <f>-212732-AS89-AR89-AQ89</f>
        <v>-57771</v>
      </c>
      <c r="AU89" s="689">
        <v>-61385.209040000002</v>
      </c>
      <c r="AV89" s="689">
        <v>-63684.935679999799</v>
      </c>
      <c r="AW89" s="689">
        <v>-68235</v>
      </c>
      <c r="AX89" s="689">
        <v>-71475</v>
      </c>
      <c r="AY89" s="689">
        <v>-73366</v>
      </c>
      <c r="AZ89" s="689">
        <v>-76912</v>
      </c>
      <c r="BA89" s="689">
        <v>-78601</v>
      </c>
      <c r="BB89" s="689">
        <v>-82382</v>
      </c>
      <c r="BC89" s="689">
        <v>-79114</v>
      </c>
      <c r="BD89" s="689">
        <v>-79710</v>
      </c>
      <c r="BE89" s="689">
        <v>-82769</v>
      </c>
      <c r="BF89" s="689">
        <v>-87459</v>
      </c>
      <c r="BG89" s="689">
        <v>-73848</v>
      </c>
      <c r="BH89" s="689">
        <v>-76281</v>
      </c>
      <c r="BI89" s="689">
        <v>-81285</v>
      </c>
      <c r="BJ89" s="689">
        <v>-83160</v>
      </c>
      <c r="BK89" s="689">
        <v>-162480</v>
      </c>
      <c r="BL89" s="689">
        <v>-164860</v>
      </c>
      <c r="BM89" s="689">
        <v>-167149</v>
      </c>
      <c r="BN89" s="689">
        <v>-167262</v>
      </c>
      <c r="BO89" s="689">
        <v>-181578</v>
      </c>
      <c r="BP89" s="689">
        <v>-183013</v>
      </c>
      <c r="BQ89" s="689">
        <v>-198282</v>
      </c>
      <c r="BR89" s="689">
        <v>-196768</v>
      </c>
      <c r="BS89" s="689">
        <v>-201478</v>
      </c>
      <c r="BT89" s="689">
        <v>-212132</v>
      </c>
      <c r="BU89" s="689">
        <v>-226399</v>
      </c>
      <c r="BV89" s="689">
        <v>-237007</v>
      </c>
      <c r="BW89" s="689">
        <v>-235030</v>
      </c>
      <c r="BX89" s="689">
        <v>-251053</v>
      </c>
      <c r="BY89" s="689">
        <v>-251178</v>
      </c>
      <c r="BZ89" s="689">
        <v>-256589</v>
      </c>
      <c r="CA89" s="689">
        <v>-256590</v>
      </c>
      <c r="CB89" s="689">
        <v>-247648</v>
      </c>
      <c r="CC89" s="689">
        <v>-264253</v>
      </c>
      <c r="CD89" s="689">
        <v>-281753</v>
      </c>
      <c r="CE89" s="689">
        <v>-295856</v>
      </c>
      <c r="CF89" s="689">
        <v>-299295</v>
      </c>
      <c r="CG89" s="689">
        <v>-296223</v>
      </c>
      <c r="CH89" s="689">
        <v>-306470</v>
      </c>
      <c r="CI89" s="689">
        <v>-304951</v>
      </c>
      <c r="CJ89" s="689">
        <v>-323073</v>
      </c>
      <c r="CK89" s="689">
        <v>-307242</v>
      </c>
      <c r="CL89" s="690">
        <f t="shared" ref="CL89:CP89" si="685">-CL130</f>
        <v>-307689.11308162496</v>
      </c>
      <c r="CM89" s="690">
        <f>-CM130</f>
        <v>-340391.79030566674</v>
      </c>
      <c r="CN89" s="690">
        <f t="shared" si="685"/>
        <v>-329862.65835028631</v>
      </c>
      <c r="CO89" s="690">
        <f t="shared" si="685"/>
        <v>-321580.08214348613</v>
      </c>
      <c r="CP89" s="690">
        <f t="shared" si="685"/>
        <v>-321171.78237139306</v>
      </c>
      <c r="CQ89" s="690"/>
      <c r="CR89" s="690"/>
      <c r="CS89" s="690"/>
      <c r="CT89" s="690">
        <v>-307689.11308162496</v>
      </c>
      <c r="CU89" s="1134">
        <f>+CK89/CT89-1</f>
        <v>-1.4531326024082025E-3</v>
      </c>
      <c r="CV89" s="688">
        <v>-27343</v>
      </c>
      <c r="CW89" s="688">
        <v>-31058</v>
      </c>
      <c r="CX89" s="688">
        <v>-38659</v>
      </c>
      <c r="CY89" s="688">
        <v>-49707</v>
      </c>
      <c r="CZ89" s="688">
        <v>-62027</v>
      </c>
      <c r="DA89" s="688">
        <v>-74074</v>
      </c>
      <c r="DB89" s="688">
        <v>-75787</v>
      </c>
      <c r="DC89" s="688">
        <v>-97638</v>
      </c>
      <c r="DD89" s="688">
        <v>-132950</v>
      </c>
      <c r="DE89" s="688">
        <v>-167437</v>
      </c>
      <c r="DF89" s="688">
        <f>+SUM(AQ89:AT89)</f>
        <v>-212732</v>
      </c>
      <c r="DG89" s="688">
        <f>+SUM(AU89:AX89)</f>
        <v>-264780.14471999981</v>
      </c>
      <c r="DH89" s="688">
        <f>-DH130</f>
        <v>-311261</v>
      </c>
      <c r="DI89" s="688">
        <f>-DI130</f>
        <v>-329052</v>
      </c>
      <c r="DJ89" s="688">
        <f>-DJ130</f>
        <v>-314574</v>
      </c>
      <c r="DK89" s="688">
        <f>-DK130</f>
        <v>-661751</v>
      </c>
      <c r="DL89" s="688">
        <f>+SUM(BO89:BR89)</f>
        <v>-759641</v>
      </c>
      <c r="DM89" s="688">
        <f>+SUM(BS89:BV89)</f>
        <v>-877016</v>
      </c>
      <c r="DN89" s="688">
        <f>+SUM(BW89:BZ89)</f>
        <v>-993850</v>
      </c>
      <c r="DO89" s="688">
        <f>+SUM(CA89:CD89)</f>
        <v>-1050244</v>
      </c>
      <c r="DP89" s="688">
        <f>+SUM(CE89:CH89)</f>
        <v>-1197844</v>
      </c>
      <c r="DQ89" s="688">
        <f>+SUM(CI89:CL89)</f>
        <v>-1242955.113081625</v>
      </c>
      <c r="DR89" s="688">
        <f>+SUM(CM89:CP89)</f>
        <v>-1313006.3131708321</v>
      </c>
      <c r="DS89" s="691">
        <f>-DS130</f>
        <v>-1363267.3431589883</v>
      </c>
      <c r="DT89" s="691">
        <f t="shared" ref="DT89:DV89" si="686">-DT130</f>
        <v>-1432873.7523466065</v>
      </c>
      <c r="DU89" s="691">
        <f t="shared" si="686"/>
        <v>-1517234.6640351291</v>
      </c>
      <c r="DV89" s="691">
        <f t="shared" si="686"/>
        <v>-1614729.752238086</v>
      </c>
      <c r="DY89" s="691">
        <v>-1301368.9558081548</v>
      </c>
      <c r="DZ89" s="691">
        <v>-1372549.8951953696</v>
      </c>
    </row>
    <row r="90" spans="1:130" s="692" customFormat="1">
      <c r="A90" s="693" t="s">
        <v>200</v>
      </c>
      <c r="B90" s="693"/>
      <c r="C90" s="694">
        <v>-3.6908926981678795E-2</v>
      </c>
      <c r="D90" s="694">
        <v>-2.8237475414354257E-2</v>
      </c>
      <c r="E90" s="694">
        <v>-3.2835607630206473E-2</v>
      </c>
      <c r="F90" s="694">
        <v>-2.1882345050864716E-2</v>
      </c>
      <c r="G90" s="694">
        <v>-3.3833799547106622E-2</v>
      </c>
      <c r="H90" s="694">
        <v>-2.6607433853310884E-2</v>
      </c>
      <c r="I90" s="694">
        <v>-2.9120856889582037E-2</v>
      </c>
      <c r="J90" s="694">
        <v>-1.9230451947439751E-2</v>
      </c>
      <c r="K90" s="694">
        <v>-3.2014755278310943E-2</v>
      </c>
      <c r="L90" s="694">
        <v>-2.456283148663551E-2</v>
      </c>
      <c r="M90" s="694">
        <v>-2.8960139797627939E-2</v>
      </c>
      <c r="N90" s="694">
        <v>-1.9970605712327158E-2</v>
      </c>
      <c r="O90" s="694">
        <v>-3.3672368402123405E-2</v>
      </c>
      <c r="P90" s="694">
        <v>-2.4650010593392981E-2</v>
      </c>
      <c r="Q90" s="694">
        <v>-2.8433916200463049E-2</v>
      </c>
      <c r="R90" s="694">
        <v>-2.0476484194294525E-2</v>
      </c>
      <c r="S90" s="694">
        <v>-3.3765866830941391E-2</v>
      </c>
      <c r="T90" s="694">
        <v>-2.7041725302685456E-2</v>
      </c>
      <c r="U90" s="694">
        <v>-3.1239611240393452E-2</v>
      </c>
      <c r="V90" s="694">
        <v>-2.3989855870810834E-2</v>
      </c>
      <c r="W90" s="694">
        <v>-4.3277328968778478E-2</v>
      </c>
      <c r="X90" s="694">
        <v>-2.9903132305425049E-2</v>
      </c>
      <c r="Y90" s="694">
        <v>-3.4036982786871887E-2</v>
      </c>
      <c r="Z90" s="694">
        <v>-2.4131674475999943E-2</v>
      </c>
      <c r="AA90" s="694">
        <v>-3.7166671610358019E-2</v>
      </c>
      <c r="AB90" s="694">
        <v>-2.553068439840574E-2</v>
      </c>
      <c r="AC90" s="694">
        <v>-2.8412435371571725E-2</v>
      </c>
      <c r="AD90" s="694">
        <v>-2.3089695827294632E-2</v>
      </c>
      <c r="AE90" s="694">
        <v>-3.5932173950802233E-2</v>
      </c>
      <c r="AF90" s="694">
        <v>-2.6994843493512222E-2</v>
      </c>
      <c r="AG90" s="694">
        <v>-3.2581592135022278E-2</v>
      </c>
      <c r="AH90" s="694">
        <v>-2.7671056325687702E-2</v>
      </c>
      <c r="AI90" s="694">
        <v>-4.2503905390849257E-2</v>
      </c>
      <c r="AJ90" s="694">
        <v>-3.3418667984015979E-2</v>
      </c>
      <c r="AK90" s="694">
        <v>-3.7289322894223355E-2</v>
      </c>
      <c r="AL90" s="694">
        <v>-2.8717742434556593E-2</v>
      </c>
      <c r="AM90" s="694">
        <v>-4.7119816082690835E-2</v>
      </c>
      <c r="AN90" s="694">
        <v>-3.8274163949143812E-2</v>
      </c>
      <c r="AO90" s="694">
        <v>-4.1388830419948404E-2</v>
      </c>
      <c r="AP90" s="694">
        <v>-3.1129613691420588E-2</v>
      </c>
      <c r="AQ90" s="694">
        <f t="shared" ref="AQ90:CD90" si="687">AQ89/AQ26</f>
        <v>-5.146311476283115E-2</v>
      </c>
      <c r="AR90" s="694">
        <f t="shared" si="687"/>
        <v>-4.1134359654182349E-2</v>
      </c>
      <c r="AS90" s="694">
        <f t="shared" si="687"/>
        <v>-4.5708475556216425E-2</v>
      </c>
      <c r="AT90" s="694">
        <f t="shared" si="687"/>
        <v>-3.1770255043035107E-2</v>
      </c>
      <c r="AU90" s="694">
        <f t="shared" si="687"/>
        <v>-5.2289591472187417E-2</v>
      </c>
      <c r="AV90" s="694">
        <f t="shared" si="687"/>
        <v>-4.145072522082438E-2</v>
      </c>
      <c r="AW90" s="694">
        <f t="shared" si="687"/>
        <v>-4.8032352413232393E-2</v>
      </c>
      <c r="AX90" s="694">
        <f t="shared" si="687"/>
        <v>-3.5484759798336346E-2</v>
      </c>
      <c r="AY90" s="694">
        <f t="shared" si="687"/>
        <v>-5.8816597173731271E-2</v>
      </c>
      <c r="AZ90" s="694">
        <f t="shared" si="687"/>
        <v>-4.6681799973294164E-2</v>
      </c>
      <c r="BA90" s="694">
        <f t="shared" si="687"/>
        <v>-5.4363966969814548E-2</v>
      </c>
      <c r="BB90" s="694">
        <f t="shared" si="687"/>
        <v>-3.9028767264764765E-2</v>
      </c>
      <c r="BC90" s="694">
        <f t="shared" si="687"/>
        <v>-5.5898154768802055E-2</v>
      </c>
      <c r="BD90" s="694">
        <f t="shared" si="687"/>
        <v>-4.3530450016710971E-2</v>
      </c>
      <c r="BE90" s="694">
        <f t="shared" si="687"/>
        <v>-4.7394691982315384E-2</v>
      </c>
      <c r="BF90" s="694">
        <f t="shared" si="687"/>
        <v>-3.5676116227311594E-2</v>
      </c>
      <c r="BG90" s="694">
        <f t="shared" si="687"/>
        <v>-4.5353239758396106E-2</v>
      </c>
      <c r="BH90" s="694">
        <f t="shared" si="687"/>
        <v>-3.7761058008600579E-2</v>
      </c>
      <c r="BI90" s="694">
        <f t="shared" si="687"/>
        <v>-4.1828591541758095E-2</v>
      </c>
      <c r="BJ90" s="694">
        <f t="shared" si="687"/>
        <v>-2.9334668138338571E-2</v>
      </c>
      <c r="BK90" s="694">
        <f t="shared" si="687"/>
        <v>-8.5872068164917922E-2</v>
      </c>
      <c r="BL90" s="694">
        <f t="shared" si="687"/>
        <v>-7.1928321242022267E-2</v>
      </c>
      <c r="BM90" s="694">
        <f t="shared" si="687"/>
        <v>-7.5097663489467614E-2</v>
      </c>
      <c r="BN90" s="694">
        <f t="shared" si="687"/>
        <v>-5.2621925456204866E-2</v>
      </c>
      <c r="BO90" s="694">
        <f t="shared" si="687"/>
        <v>-9.7425581928154953E-2</v>
      </c>
      <c r="BP90" s="694">
        <f t="shared" si="687"/>
        <v>-0.22635948279913817</v>
      </c>
      <c r="BQ90" s="694">
        <f t="shared" si="687"/>
        <v>-0.11076965362207192</v>
      </c>
      <c r="BR90" s="694">
        <f t="shared" si="687"/>
        <v>-6.3992215615989473E-2</v>
      </c>
      <c r="BS90" s="694">
        <f t="shared" si="687"/>
        <v>-0.12740531455159182</v>
      </c>
      <c r="BT90" s="694">
        <f t="shared" si="687"/>
        <v>-8.5183550690621543E-2</v>
      </c>
      <c r="BU90" s="694">
        <f t="shared" si="687"/>
        <v>-8.61392985163702E-2</v>
      </c>
      <c r="BV90" s="694">
        <f t="shared" si="687"/>
        <v>-6.1217128772731985E-2</v>
      </c>
      <c r="BW90" s="694">
        <f t="shared" si="687"/>
        <v>-8.9945595601111969E-2</v>
      </c>
      <c r="BX90" s="694">
        <f t="shared" si="687"/>
        <v>-6.9230465894372206E-2</v>
      </c>
      <c r="BY90" s="694">
        <f t="shared" si="687"/>
        <v>-8.3236789641679299E-2</v>
      </c>
      <c r="BZ90" s="694">
        <f t="shared" si="687"/>
        <v>-6.3921224549991232E-2</v>
      </c>
      <c r="CA90" s="694">
        <f t="shared" si="687"/>
        <v>-9.2455136252329484E-2</v>
      </c>
      <c r="CB90" s="694">
        <f t="shared" si="687"/>
        <v>-7.0674125013591285E-2</v>
      </c>
      <c r="CC90" s="694">
        <f t="shared" si="687"/>
        <v>-8.5322831452431566E-2</v>
      </c>
      <c r="CD90" s="694">
        <f t="shared" si="687"/>
        <v>-6.5963021769555402E-2</v>
      </c>
      <c r="CE90" s="694">
        <f t="shared" ref="CE90:CH90" si="688">CE89/CE26</f>
        <v>-0.1017299412808188</v>
      </c>
      <c r="CF90" s="694">
        <f t="shared" si="688"/>
        <v>-8.5017544926117586E-2</v>
      </c>
      <c r="CG90" s="694">
        <f t="shared" si="688"/>
        <v>-8.7368297798354172E-2</v>
      </c>
      <c r="CH90" s="694">
        <f t="shared" si="688"/>
        <v>-6.6375481161054378E-2</v>
      </c>
      <c r="CI90" s="694">
        <f t="shared" ref="CI90:CL90" si="689">CI89/CI26</f>
        <v>-9.3612858149740782E-2</v>
      </c>
      <c r="CJ90" s="694">
        <f t="shared" si="689"/>
        <v>-7.7520787913136824E-2</v>
      </c>
      <c r="CK90" s="694">
        <f t="shared" si="689"/>
        <v>-8.6219844017295488E-2</v>
      </c>
      <c r="CL90" s="694">
        <f t="shared" si="689"/>
        <v>-6.3732549943228037E-2</v>
      </c>
      <c r="CM90" s="694">
        <f t="shared" ref="CM90:CP90" si="690">CM89/CM26</f>
        <v>-9.9117242489475135E-2</v>
      </c>
      <c r="CN90" s="694">
        <f t="shared" si="690"/>
        <v>-7.5725155790806492E-2</v>
      </c>
      <c r="CO90" s="694">
        <f t="shared" si="690"/>
        <v>-8.3729359333359538E-2</v>
      </c>
      <c r="CP90" s="694">
        <f t="shared" si="690"/>
        <v>-6.1173458435167534E-2</v>
      </c>
      <c r="CQ90" s="694"/>
      <c r="CR90" s="694"/>
      <c r="CS90" s="694"/>
      <c r="CT90" s="694">
        <v>-6.3732549943228037E-2</v>
      </c>
      <c r="CU90" s="1135">
        <f>+CK90-CT90</f>
        <v>-2.2487294074067452E-2</v>
      </c>
      <c r="CV90" s="694">
        <v>-2.8667315297482503E-2</v>
      </c>
      <c r="CW90" s="694">
        <v>-2.5835851090732435E-2</v>
      </c>
      <c r="CX90" s="694">
        <v>-2.5246891730743359E-2</v>
      </c>
      <c r="CY90" s="694">
        <v>-2.5742397869637518E-2</v>
      </c>
      <c r="CZ90" s="694">
        <v>-2.8413559828255247E-2</v>
      </c>
      <c r="DA90" s="694">
        <v>-3.1339110892238543E-2</v>
      </c>
      <c r="DB90" s="694">
        <v>-2.7545506949709558E-2</v>
      </c>
      <c r="DC90" s="694">
        <v>-3.0148752123640824E-2</v>
      </c>
      <c r="DD90" s="694">
        <v>-3.4420640682168165E-2</v>
      </c>
      <c r="DE90" s="694">
        <v>-3.8311753983976689E-2</v>
      </c>
      <c r="DF90" s="694">
        <f t="shared" ref="DF90:DS90" si="691">DF89/DF26</f>
        <v>-4.0784165164250916E-2</v>
      </c>
      <c r="DG90" s="694">
        <f t="shared" si="691"/>
        <v>-4.3087325212303948E-2</v>
      </c>
      <c r="DH90" s="694">
        <f t="shared" si="691"/>
        <v>-4.8245701053075372E-2</v>
      </c>
      <c r="DI90" s="694">
        <f t="shared" si="691"/>
        <v>-4.4201842885265984E-2</v>
      </c>
      <c r="DJ90" s="694">
        <f t="shared" si="691"/>
        <v>-3.7331332037665275E-2</v>
      </c>
      <c r="DK90" s="694">
        <f t="shared" si="691"/>
        <v>-6.9015523593678504E-2</v>
      </c>
      <c r="DL90" s="694">
        <f t="shared" si="691"/>
        <v>-0.10078583767403725</v>
      </c>
      <c r="DM90" s="694">
        <f t="shared" si="691"/>
        <v>-8.2959971768154575E-2</v>
      </c>
      <c r="DN90" s="694">
        <f t="shared" si="691"/>
        <v>-7.4888082309752357E-2</v>
      </c>
      <c r="DO90" s="694">
        <f t="shared" si="691"/>
        <v>-7.6953078833155317E-2</v>
      </c>
      <c r="DP90" s="694">
        <f t="shared" ref="DP90:DQ90" si="692">DP89/DP26</f>
        <v>-8.2974067019359304E-2</v>
      </c>
      <c r="DQ90" s="694">
        <f t="shared" si="692"/>
        <v>-7.8586318382432963E-2</v>
      </c>
      <c r="DR90" s="694">
        <f t="shared" ref="DR90" si="693">DR89/DR26</f>
        <v>-7.7779316809314727E-2</v>
      </c>
      <c r="DS90" s="696">
        <f t="shared" si="691"/>
        <v>-7.4528574250339791E-2</v>
      </c>
      <c r="DT90" s="696">
        <f t="shared" ref="DT90:DV90" si="694">DT89/DT26</f>
        <v>-7.3329581664120624E-2</v>
      </c>
      <c r="DU90" s="696">
        <f t="shared" si="694"/>
        <v>-7.2686353444485874E-2</v>
      </c>
      <c r="DV90" s="696">
        <f t="shared" si="694"/>
        <v>-7.2418545687193678E-2</v>
      </c>
      <c r="DY90" s="696">
        <v>-7.5769832054035285E-2</v>
      </c>
      <c r="DZ90" s="696">
        <v>-7.4045919588638487E-2</v>
      </c>
    </row>
    <row r="91" spans="1:130" s="692" customFormat="1">
      <c r="A91" s="694" t="s">
        <v>169</v>
      </c>
      <c r="B91" s="694"/>
      <c r="C91" s="694"/>
      <c r="D91" s="694"/>
      <c r="E91" s="694"/>
      <c r="F91" s="694"/>
      <c r="G91" s="694">
        <v>9.2640958672607132E-2</v>
      </c>
      <c r="H91" s="694">
        <v>0.16385684708666082</v>
      </c>
      <c r="I91" s="694">
        <v>0.14838990426457799</v>
      </c>
      <c r="J91" s="694">
        <v>0.13666759543048212</v>
      </c>
      <c r="K91" s="694">
        <v>0.20078740157480324</v>
      </c>
      <c r="L91" s="694">
        <v>0.18869123252858966</v>
      </c>
      <c r="M91" s="694">
        <v>0.26853606163950983</v>
      </c>
      <c r="N91" s="694">
        <v>0.31400906973893861</v>
      </c>
      <c r="O91" s="694">
        <v>0.37037470725995325</v>
      </c>
      <c r="P91" s="694">
        <v>0.293425975414217</v>
      </c>
      <c r="Q91" s="694">
        <v>0.25709449367718817</v>
      </c>
      <c r="R91" s="694">
        <v>0.23859714578863911</v>
      </c>
      <c r="S91" s="694">
        <v>0.24583440143552937</v>
      </c>
      <c r="T91" s="694">
        <v>0.26570247933884295</v>
      </c>
      <c r="U91" s="694">
        <v>0.26534653465346536</v>
      </c>
      <c r="V91" s="694">
        <v>0.21673318774004069</v>
      </c>
      <c r="W91" s="694">
        <v>0.24410150891632365</v>
      </c>
      <c r="X91" s="694">
        <v>0.19771465883121131</v>
      </c>
      <c r="Y91" s="694">
        <v>0.17677621283255096</v>
      </c>
      <c r="Z91" s="694">
        <v>0.16314909946153366</v>
      </c>
      <c r="AA91" s="694">
        <v>3.6165168972931205E-2</v>
      </c>
      <c r="AB91" s="694">
        <v>-2.289701793599741E-2</v>
      </c>
      <c r="AC91" s="694">
        <v>-2.6863131017607289E-2</v>
      </c>
      <c r="AD91" s="694">
        <v>0.10546480072367381</v>
      </c>
      <c r="AE91" s="694">
        <v>0.14471934025006661</v>
      </c>
      <c r="AF91" s="694">
        <v>0.25977793896111145</v>
      </c>
      <c r="AG91" s="694">
        <v>0.32136219525527498</v>
      </c>
      <c r="AH91" s="694">
        <v>0.41376654632972332</v>
      </c>
      <c r="AI91" s="694">
        <v>0.40120845921450154</v>
      </c>
      <c r="AJ91" s="694">
        <v>0.41414588777182337</v>
      </c>
      <c r="AK91" s="694">
        <v>0.39614445869358383</v>
      </c>
      <c r="AL91" s="694">
        <v>0.26396785945320222</v>
      </c>
      <c r="AM91" s="694">
        <v>0.30331376256343923</v>
      </c>
      <c r="AN91" s="694">
        <v>0.27109301597243962</v>
      </c>
      <c r="AO91" s="694">
        <v>0.25265933805446084</v>
      </c>
      <c r="AP91" s="694">
        <v>0.21980390044176268</v>
      </c>
      <c r="AQ91" s="694">
        <f t="shared" ref="AQ91:BV91" si="695">AQ89/AM89-1</f>
        <v>0.22939095467155335</v>
      </c>
      <c r="AR91" s="694">
        <f t="shared" si="695"/>
        <v>0.27218745380180365</v>
      </c>
      <c r="AS91" s="694">
        <f t="shared" si="695"/>
        <v>0.30154224619169279</v>
      </c>
      <c r="AT91" s="694">
        <f t="shared" si="695"/>
        <v>0.27574860878014307</v>
      </c>
      <c r="AU91" s="694">
        <f t="shared" si="695"/>
        <v>0.27081005796621405</v>
      </c>
      <c r="AV91" s="694">
        <f t="shared" si="695"/>
        <v>0.23341536769120141</v>
      </c>
      <c r="AW91" s="694">
        <f t="shared" si="695"/>
        <v>0.24009523117185227</v>
      </c>
      <c r="AX91" s="694">
        <f t="shared" si="695"/>
        <v>0.2372124422288</v>
      </c>
      <c r="AY91" s="694">
        <f t="shared" si="695"/>
        <v>0.19517390503945409</v>
      </c>
      <c r="AZ91" s="694">
        <f t="shared" si="695"/>
        <v>0.20769533923160033</v>
      </c>
      <c r="BA91" s="694">
        <f t="shared" si="695"/>
        <v>0.15191617205246577</v>
      </c>
      <c r="BB91" s="694">
        <f t="shared" si="695"/>
        <v>0.15259881077299764</v>
      </c>
      <c r="BC91" s="694">
        <f t="shared" si="695"/>
        <v>7.8346918190987713E-2</v>
      </c>
      <c r="BD91" s="694">
        <f t="shared" si="695"/>
        <v>3.6379238610359854E-2</v>
      </c>
      <c r="BE91" s="694">
        <f t="shared" si="695"/>
        <v>5.3027315174107192E-2</v>
      </c>
      <c r="BF91" s="694">
        <f t="shared" si="695"/>
        <v>6.1627539996601088E-2</v>
      </c>
      <c r="BG91" s="694">
        <f t="shared" si="695"/>
        <v>-6.6562176100310899E-2</v>
      </c>
      <c r="BH91" s="694">
        <f t="shared" si="695"/>
        <v>-4.3018441851712441E-2</v>
      </c>
      <c r="BI91" s="694">
        <f t="shared" si="695"/>
        <v>-1.7929418018823418E-2</v>
      </c>
      <c r="BJ91" s="694">
        <f t="shared" si="695"/>
        <v>-4.9154460947415379E-2</v>
      </c>
      <c r="BK91" s="694">
        <f t="shared" si="695"/>
        <v>1.2001949951251221</v>
      </c>
      <c r="BL91" s="694">
        <f t="shared" si="695"/>
        <v>1.1612197008429361</v>
      </c>
      <c r="BM91" s="694">
        <f t="shared" si="695"/>
        <v>1.0563326567017284</v>
      </c>
      <c r="BN91" s="694">
        <f t="shared" si="695"/>
        <v>1.0113275613275614</v>
      </c>
      <c r="BO91" s="694">
        <f t="shared" si="695"/>
        <v>0.11754062038404722</v>
      </c>
      <c r="BP91" s="694">
        <f t="shared" si="695"/>
        <v>0.11011160985078239</v>
      </c>
      <c r="BQ91" s="694">
        <f t="shared" si="695"/>
        <v>0.18625896655080187</v>
      </c>
      <c r="BR91" s="694">
        <f t="shared" si="695"/>
        <v>0.17640587820305864</v>
      </c>
      <c r="BS91" s="694">
        <f t="shared" si="695"/>
        <v>0.10959477469737533</v>
      </c>
      <c r="BT91" s="694">
        <f t="shared" si="695"/>
        <v>0.15910891576008268</v>
      </c>
      <c r="BU91" s="694">
        <f t="shared" si="695"/>
        <v>0.14180308853047685</v>
      </c>
      <c r="BV91" s="694">
        <f t="shared" si="695"/>
        <v>0.2044997154008783</v>
      </c>
      <c r="BW91" s="694">
        <f t="shared" ref="BW91:CD91" si="696">BW89/BS89-1</f>
        <v>0.16652934811741238</v>
      </c>
      <c r="BX91" s="694">
        <f t="shared" si="696"/>
        <v>0.18347538325193757</v>
      </c>
      <c r="BY91" s="694">
        <f t="shared" si="696"/>
        <v>0.10944836328782381</v>
      </c>
      <c r="BZ91" s="694">
        <f t="shared" si="696"/>
        <v>8.2622032260650569E-2</v>
      </c>
      <c r="CA91" s="694">
        <f t="shared" si="696"/>
        <v>9.1732970259115865E-2</v>
      </c>
      <c r="CB91" s="694">
        <f t="shared" si="696"/>
        <v>-1.3562873178173507E-2</v>
      </c>
      <c r="CC91" s="694">
        <f t="shared" si="696"/>
        <v>5.2054718167992453E-2</v>
      </c>
      <c r="CD91" s="694">
        <f t="shared" si="696"/>
        <v>9.8071234542400409E-2</v>
      </c>
      <c r="CE91" s="694">
        <f t="shared" ref="CE91" si="697">CE89/CA89-1</f>
        <v>0.1530301258817568</v>
      </c>
      <c r="CF91" s="694">
        <f t="shared" ref="CF91" si="698">CF89/CB89-1</f>
        <v>0.20855003876469835</v>
      </c>
      <c r="CG91" s="694">
        <f t="shared" ref="CG91:CH91" si="699">CG89/CC89-1</f>
        <v>0.12098254324454216</v>
      </c>
      <c r="CH91" s="694">
        <f t="shared" si="699"/>
        <v>8.7725773993533318E-2</v>
      </c>
      <c r="CI91" s="694">
        <f t="shared" ref="CI91" si="700">CI89/CE89-1</f>
        <v>3.0741306581580252E-2</v>
      </c>
      <c r="CJ91" s="694">
        <f t="shared" ref="CJ91" si="701">CJ89/CF89-1</f>
        <v>7.944669974439944E-2</v>
      </c>
      <c r="CK91" s="694">
        <f t="shared" ref="CK91" si="702">CK89/CG89-1</f>
        <v>3.7198326936125792E-2</v>
      </c>
      <c r="CL91" s="694">
        <f t="shared" ref="CL91" si="703">CL89/CH89-1</f>
        <v>3.9779198016933748E-3</v>
      </c>
      <c r="CM91" s="694">
        <f t="shared" ref="CM91" si="704">CM89/CI89-1</f>
        <v>0.11621798356347979</v>
      </c>
      <c r="CN91" s="694">
        <f t="shared" ref="CN91" si="705">CN89/CJ89-1</f>
        <v>2.1015864372096349E-2</v>
      </c>
      <c r="CO91" s="694">
        <f t="shared" ref="CO91" si="706">CO89/CK89-1</f>
        <v>4.6667064214808374E-2</v>
      </c>
      <c r="CP91" s="694">
        <f t="shared" ref="CP91" si="707">CP89/CL89-1</f>
        <v>4.3819130143195384E-2</v>
      </c>
      <c r="CQ91" s="694"/>
      <c r="CR91" s="694"/>
      <c r="CS91" s="694"/>
      <c r="CT91" s="694">
        <v>3.9779198016933748E-3</v>
      </c>
      <c r="CU91" s="694"/>
      <c r="CV91" s="694"/>
      <c r="CW91" s="694">
        <v>0.13586658376915484</v>
      </c>
      <c r="CX91" s="694">
        <v>0.24473565586966317</v>
      </c>
      <c r="CY91" s="694">
        <v>0.2857808013657881</v>
      </c>
      <c r="CZ91" s="694">
        <v>0.24785241515279544</v>
      </c>
      <c r="DA91" s="694">
        <v>0.19422187112064093</v>
      </c>
      <c r="DB91" s="694">
        <v>2.3125523125523184E-2</v>
      </c>
      <c r="DC91" s="694">
        <v>0.28832121603969019</v>
      </c>
      <c r="DD91" s="694">
        <v>0.3616624674819231</v>
      </c>
      <c r="DE91" s="694">
        <v>0.25939827002632576</v>
      </c>
      <c r="DF91" s="694">
        <f t="shared" ref="DF91:DM91" si="708">DF89/DE89-1</f>
        <v>0.27051965814007661</v>
      </c>
      <c r="DG91" s="694">
        <f t="shared" si="708"/>
        <v>0.24466532877047076</v>
      </c>
      <c r="DH91" s="694">
        <f t="shared" si="708"/>
        <v>0.17554509356867687</v>
      </c>
      <c r="DI91" s="694">
        <f t="shared" si="708"/>
        <v>5.7157819322048109E-2</v>
      </c>
      <c r="DJ91" s="694">
        <f t="shared" si="708"/>
        <v>-4.3999124758396846E-2</v>
      </c>
      <c r="DK91" s="694">
        <f t="shared" si="708"/>
        <v>1.1036417504307412</v>
      </c>
      <c r="DL91" s="694">
        <f t="shared" si="708"/>
        <v>0.14792573037290468</v>
      </c>
      <c r="DM91" s="694">
        <f t="shared" si="708"/>
        <v>0.15451377690251045</v>
      </c>
      <c r="DN91" s="694">
        <f t="shared" ref="DN91:DS91" si="709">DN89/DM89-1</f>
        <v>0.1332176379906409</v>
      </c>
      <c r="DO91" s="694">
        <f t="shared" si="709"/>
        <v>5.6742969260954901E-2</v>
      </c>
      <c r="DP91" s="694">
        <f t="shared" si="709"/>
        <v>0.14053877003820059</v>
      </c>
      <c r="DQ91" s="694">
        <f t="shared" si="709"/>
        <v>3.7660257163391053E-2</v>
      </c>
      <c r="DR91" s="694">
        <f t="shared" si="709"/>
        <v>5.6358591997365926E-2</v>
      </c>
      <c r="DS91" s="696">
        <f t="shared" si="709"/>
        <v>3.8279351351159008E-2</v>
      </c>
      <c r="DT91" s="696">
        <f t="shared" ref="DT91:DV91" si="710">DT89/DS89-1</f>
        <v>5.1058517272426496E-2</v>
      </c>
      <c r="DU91" s="696">
        <f t="shared" si="710"/>
        <v>5.8875327676541911E-2</v>
      </c>
      <c r="DV91" s="696">
        <f t="shared" si="710"/>
        <v>6.4258410721823145E-2</v>
      </c>
      <c r="DY91" s="696">
        <v>4.6995939042163704E-2</v>
      </c>
      <c r="DZ91" s="696">
        <v>5.4696970501352693E-2</v>
      </c>
    </row>
    <row r="92" spans="1:130" s="692" customFormat="1">
      <c r="A92" s="694" t="s">
        <v>170</v>
      </c>
      <c r="B92" s="694"/>
      <c r="C92" s="694"/>
      <c r="D92" s="694">
        <v>3.8869257950530089E-2</v>
      </c>
      <c r="E92" s="694">
        <v>1.9520851818988438E-2</v>
      </c>
      <c r="F92" s="694">
        <v>4.1195242239628671E-2</v>
      </c>
      <c r="G92" s="694">
        <v>-9.194761772081339E-3</v>
      </c>
      <c r="H92" s="694">
        <v>0.10658042744656915</v>
      </c>
      <c r="I92" s="694">
        <v>5.9720457433289909E-3</v>
      </c>
      <c r="J92" s="694">
        <v>3.0567134015409891E-2</v>
      </c>
      <c r="K92" s="694">
        <v>4.6696899129795355E-2</v>
      </c>
      <c r="L92" s="694">
        <v>9.5433255269320894E-2</v>
      </c>
      <c r="M92" s="694">
        <v>7.3543559593800101E-2</v>
      </c>
      <c r="N92" s="694">
        <v>6.7509708254505529E-2</v>
      </c>
      <c r="O92" s="694">
        <v>9.1595933215185221E-2</v>
      </c>
      <c r="P92" s="694">
        <v>3.3922925745535348E-2</v>
      </c>
      <c r="Q92" s="694">
        <v>4.3388429752066138E-2</v>
      </c>
      <c r="R92" s="694">
        <v>5.1801980198019848E-2</v>
      </c>
      <c r="S92" s="694">
        <v>9.7974245048572994E-2</v>
      </c>
      <c r="T92" s="694">
        <v>5.0411522633744932E-2</v>
      </c>
      <c r="U92" s="694">
        <v>4.3095004897159672E-2</v>
      </c>
      <c r="V92" s="694">
        <v>1.1392801251956186E-2</v>
      </c>
      <c r="W92" s="694">
        <v>0.12267128798663118</v>
      </c>
      <c r="X92" s="694">
        <v>1.1246485473289658E-2</v>
      </c>
      <c r="Y92" s="694">
        <v>2.4859619473368566E-2</v>
      </c>
      <c r="Z92" s="694">
        <v>-3.1916591308045472E-4</v>
      </c>
      <c r="AA92" s="694">
        <v>1.0642260416116045E-4</v>
      </c>
      <c r="AB92" s="694">
        <v>-4.6395317903697775E-2</v>
      </c>
      <c r="AC92" s="694">
        <v>2.0699659655191605E-2</v>
      </c>
      <c r="AD92" s="694">
        <v>0.13561823548704499</v>
      </c>
      <c r="AE92" s="694">
        <v>3.5619735258724416E-2</v>
      </c>
      <c r="AF92" s="694">
        <v>4.9453869393446537E-2</v>
      </c>
      <c r="AG92" s="694">
        <v>7.0596572035962701E-2</v>
      </c>
      <c r="AH92" s="694">
        <v>0.21503330161750722</v>
      </c>
      <c r="AI92" s="694">
        <v>2.6420618977903265E-2</v>
      </c>
      <c r="AJ92" s="694">
        <v>5.9143530036156244E-2</v>
      </c>
      <c r="AK92" s="694">
        <v>5.696836830566876E-2</v>
      </c>
      <c r="AL92" s="694">
        <v>0.10000296305075707</v>
      </c>
      <c r="AM92" s="694">
        <v>5.8371942678590694E-2</v>
      </c>
      <c r="AN92" s="694">
        <v>3.2959201852841513E-2</v>
      </c>
      <c r="AO92" s="694">
        <v>4.1639974375400346E-2</v>
      </c>
      <c r="AP92" s="694">
        <v>7.1151480745576645E-2</v>
      </c>
      <c r="AQ92" s="694">
        <f t="shared" ref="AQ92:BV92" si="711">AQ89/AP89-1</f>
        <v>6.6690221711863007E-2</v>
      </c>
      <c r="AR92" s="694">
        <f t="shared" si="711"/>
        <v>6.8917687976151054E-2</v>
      </c>
      <c r="AS92" s="694">
        <f t="shared" si="711"/>
        <v>6.5675052776325238E-2</v>
      </c>
      <c r="AT92" s="694">
        <f t="shared" si="711"/>
        <v>4.9923669671416038E-2</v>
      </c>
      <c r="AU92" s="694">
        <f t="shared" si="711"/>
        <v>6.2560956881480445E-2</v>
      </c>
      <c r="AV92" s="694">
        <f t="shared" si="711"/>
        <v>3.7463856130248718E-2</v>
      </c>
      <c r="AW92" s="694">
        <f t="shared" si="711"/>
        <v>7.1446477434837785E-2</v>
      </c>
      <c r="AX92" s="694">
        <f t="shared" si="711"/>
        <v>4.7482963288634883E-2</v>
      </c>
      <c r="AY92" s="694">
        <f t="shared" si="711"/>
        <v>2.6456803077999247E-2</v>
      </c>
      <c r="AZ92" s="694">
        <f t="shared" si="711"/>
        <v>4.8333015293187565E-2</v>
      </c>
      <c r="BA92" s="694">
        <f t="shared" si="711"/>
        <v>2.1960162263365834E-2</v>
      </c>
      <c r="BB92" s="694">
        <f t="shared" si="711"/>
        <v>4.8103713693210093E-2</v>
      </c>
      <c r="BC92" s="694">
        <f t="shared" si="711"/>
        <v>-3.9668859702362114E-2</v>
      </c>
      <c r="BD92" s="694">
        <f t="shared" si="711"/>
        <v>7.5334327679046353E-3</v>
      </c>
      <c r="BE92" s="694">
        <f t="shared" si="711"/>
        <v>3.837661523020941E-2</v>
      </c>
      <c r="BF92" s="694">
        <f t="shared" si="711"/>
        <v>5.6663726757602451E-2</v>
      </c>
      <c r="BG92" s="694">
        <f t="shared" si="711"/>
        <v>-0.15562720817754605</v>
      </c>
      <c r="BH92" s="694">
        <f t="shared" si="711"/>
        <v>3.294605134871631E-2</v>
      </c>
      <c r="BI92" s="694">
        <f t="shared" si="711"/>
        <v>6.55995595233414E-2</v>
      </c>
      <c r="BJ92" s="694">
        <f t="shared" si="711"/>
        <v>2.3066986528879951E-2</v>
      </c>
      <c r="BK92" s="694">
        <f t="shared" si="711"/>
        <v>0.95382395382395391</v>
      </c>
      <c r="BL92" s="694">
        <f t="shared" si="711"/>
        <v>1.4647956671590245E-2</v>
      </c>
      <c r="BM92" s="694">
        <f t="shared" si="711"/>
        <v>1.3884508067451229E-2</v>
      </c>
      <c r="BN92" s="694">
        <f t="shared" si="711"/>
        <v>6.7604353002415074E-4</v>
      </c>
      <c r="BO92" s="694">
        <f t="shared" si="711"/>
        <v>8.5590271550023411E-2</v>
      </c>
      <c r="BP92" s="694">
        <f t="shared" si="711"/>
        <v>7.9029397834540216E-3</v>
      </c>
      <c r="BQ92" s="694">
        <f t="shared" si="711"/>
        <v>8.3431231661138749E-2</v>
      </c>
      <c r="BR92" s="694">
        <f t="shared" si="711"/>
        <v>-7.6355897156574759E-3</v>
      </c>
      <c r="BS92" s="694">
        <f t="shared" si="711"/>
        <v>2.3936818994958475E-2</v>
      </c>
      <c r="BT92" s="694">
        <f t="shared" si="711"/>
        <v>5.287922254538957E-2</v>
      </c>
      <c r="BU92" s="694">
        <f t="shared" si="711"/>
        <v>6.7255293873625943E-2</v>
      </c>
      <c r="BV92" s="694">
        <f t="shared" si="711"/>
        <v>4.685533063308589E-2</v>
      </c>
      <c r="BW92" s="694">
        <f t="shared" ref="BW92:CD92" si="712">BW89/BV89-1</f>
        <v>-8.3415257777196272E-3</v>
      </c>
      <c r="BX92" s="694">
        <f t="shared" si="712"/>
        <v>6.8174275624388381E-2</v>
      </c>
      <c r="BY92" s="694">
        <f t="shared" si="712"/>
        <v>4.9790283326633933E-4</v>
      </c>
      <c r="BZ92" s="694">
        <f t="shared" si="712"/>
        <v>2.1542491778738571E-2</v>
      </c>
      <c r="CA92" s="694">
        <f t="shared" si="712"/>
        <v>3.8972832039352312E-6</v>
      </c>
      <c r="CB92" s="694">
        <f t="shared" si="712"/>
        <v>-3.4849370591215512E-2</v>
      </c>
      <c r="CC92" s="694">
        <f t="shared" si="712"/>
        <v>6.7050814058663866E-2</v>
      </c>
      <c r="CD92" s="694">
        <f t="shared" si="712"/>
        <v>6.6224413724725872E-2</v>
      </c>
      <c r="CE92" s="694">
        <f t="shared" ref="CE92" si="713">CE89/CD89-1</f>
        <v>5.0054480342711427E-2</v>
      </c>
      <c r="CF92" s="694">
        <f t="shared" ref="CF92" si="714">CF89/CE89-1</f>
        <v>1.1623898112595343E-2</v>
      </c>
      <c r="CG92" s="694">
        <f t="shared" ref="CG92:CH92" si="715">CG89/CF89-1</f>
        <v>-1.0264120683606492E-2</v>
      </c>
      <c r="CH92" s="694">
        <f t="shared" si="715"/>
        <v>3.4592182241081959E-2</v>
      </c>
      <c r="CI92" s="694">
        <f t="shared" ref="CI92" si="716">CI89/CH89-1</f>
        <v>-4.956439455737871E-3</v>
      </c>
      <c r="CJ92" s="694">
        <f t="shared" ref="CJ92" si="717">CJ89/CI89-1</f>
        <v>5.9425940560942525E-2</v>
      </c>
      <c r="CK92" s="694">
        <f t="shared" ref="CK92" si="718">CK89/CJ89-1</f>
        <v>-4.900130930161295E-2</v>
      </c>
      <c r="CL92" s="694">
        <f t="shared" ref="CL92" si="719">CL89/CK89-1</f>
        <v>1.4552472696602869E-3</v>
      </c>
      <c r="CM92" s="694">
        <f t="shared" ref="CM92" si="720">CM89/CL89-1</f>
        <v>0.10628480447849409</v>
      </c>
      <c r="CN92" s="694">
        <f t="shared" ref="CN92" si="721">CN89/CM89-1</f>
        <v>-3.0932391013089422E-2</v>
      </c>
      <c r="CO92" s="694">
        <f t="shared" ref="CO92" si="722">CO89/CN89-1</f>
        <v>-2.5109165882016171E-2</v>
      </c>
      <c r="CP92" s="694">
        <f t="shared" ref="CP92" si="723">CP89/CO89-1</f>
        <v>-1.2696674786931705E-3</v>
      </c>
      <c r="CQ92" s="694"/>
      <c r="CR92" s="694"/>
      <c r="CS92" s="694"/>
      <c r="CT92" s="694">
        <v>1.4552472696602869E-3</v>
      </c>
      <c r="CU92" s="694"/>
      <c r="CV92" s="694"/>
      <c r="CW92" s="694"/>
      <c r="CX92" s="694"/>
      <c r="CY92" s="694"/>
      <c r="CZ92" s="694"/>
      <c r="DA92" s="694"/>
      <c r="DB92" s="704"/>
      <c r="DC92" s="704"/>
      <c r="DD92" s="704"/>
      <c r="DE92" s="704"/>
      <c r="DF92" s="704"/>
      <c r="DG92" s="704"/>
      <c r="DH92" s="704"/>
      <c r="DI92" s="704"/>
      <c r="DJ92" s="704"/>
      <c r="DK92" s="704"/>
      <c r="DL92" s="704"/>
      <c r="DM92" s="709"/>
      <c r="DN92" s="709"/>
      <c r="DO92" s="709"/>
      <c r="DP92" s="709"/>
      <c r="DQ92" s="709"/>
      <c r="DR92" s="709"/>
      <c r="DS92" s="709"/>
      <c r="DT92" s="709"/>
      <c r="DU92" s="709"/>
      <c r="DV92" s="709"/>
      <c r="DY92" s="709"/>
      <c r="DZ92" s="709"/>
    </row>
    <row r="93" spans="1:130" s="692" customFormat="1">
      <c r="A93" s="694"/>
      <c r="B93" s="694"/>
      <c r="C93" s="694"/>
      <c r="D93" s="694"/>
      <c r="E93" s="694"/>
      <c r="F93" s="694"/>
      <c r="G93" s="694"/>
      <c r="H93" s="694"/>
      <c r="I93" s="694"/>
      <c r="J93" s="694"/>
      <c r="K93" s="694"/>
      <c r="L93" s="694"/>
      <c r="M93" s="694"/>
      <c r="N93" s="694"/>
      <c r="O93" s="694"/>
      <c r="P93" s="694"/>
      <c r="Q93" s="694"/>
      <c r="R93" s="694"/>
      <c r="S93" s="694"/>
      <c r="T93" s="694"/>
      <c r="U93" s="694"/>
      <c r="V93" s="694"/>
      <c r="W93" s="694"/>
      <c r="X93" s="694"/>
      <c r="Y93" s="694"/>
      <c r="Z93" s="694"/>
      <c r="AA93" s="694"/>
      <c r="AB93" s="694"/>
      <c r="AC93" s="694"/>
      <c r="AD93" s="694"/>
      <c r="AE93" s="694"/>
      <c r="AF93" s="694"/>
      <c r="AG93" s="694"/>
      <c r="AH93" s="694"/>
      <c r="AI93" s="694"/>
      <c r="AJ93" s="694"/>
      <c r="AK93" s="694"/>
      <c r="AL93" s="694"/>
      <c r="AM93" s="694"/>
      <c r="AN93" s="694"/>
      <c r="AO93" s="694"/>
      <c r="AP93" s="694"/>
      <c r="AQ93" s="694"/>
      <c r="AR93" s="694"/>
      <c r="AS93" s="694"/>
      <c r="AT93" s="694"/>
      <c r="AU93" s="694"/>
      <c r="AV93" s="694"/>
      <c r="AW93" s="694"/>
      <c r="AX93" s="694"/>
      <c r="AY93" s="694"/>
      <c r="AZ93" s="694"/>
      <c r="BA93" s="694"/>
      <c r="BB93" s="694"/>
      <c r="BC93" s="694"/>
      <c r="BD93" s="694"/>
      <c r="BE93" s="694"/>
      <c r="BF93" s="694"/>
      <c r="BG93" s="694"/>
      <c r="BH93" s="694"/>
      <c r="BI93" s="694"/>
      <c r="BJ93" s="694"/>
      <c r="BK93" s="694"/>
      <c r="BL93" s="694"/>
      <c r="BM93" s="694"/>
      <c r="BN93" s="694"/>
      <c r="BO93" s="694"/>
      <c r="BP93" s="694"/>
      <c r="BQ93" s="694"/>
      <c r="BR93" s="694"/>
      <c r="BS93" s="694"/>
      <c r="BT93" s="694"/>
      <c r="BU93" s="694"/>
      <c r="BV93" s="694"/>
      <c r="BW93" s="694"/>
      <c r="BX93" s="694"/>
      <c r="BY93" s="694"/>
      <c r="BZ93" s="694"/>
      <c r="CA93" s="694"/>
      <c r="CB93" s="694"/>
      <c r="CC93" s="694"/>
      <c r="CD93" s="694"/>
      <c r="CE93" s="694"/>
      <c r="CF93" s="694"/>
      <c r="CG93" s="694"/>
      <c r="CH93" s="694"/>
      <c r="CI93" s="694"/>
      <c r="CJ93" s="694"/>
      <c r="CK93" s="694"/>
      <c r="CL93" s="694"/>
      <c r="CM93" s="694"/>
      <c r="CN93" s="694"/>
      <c r="CO93" s="694"/>
      <c r="CP93" s="694"/>
      <c r="CQ93" s="694"/>
      <c r="CR93" s="694"/>
      <c r="CS93" s="694"/>
      <c r="CT93" s="694"/>
      <c r="CU93" s="694"/>
      <c r="CV93" s="694"/>
      <c r="CW93" s="694"/>
      <c r="CX93" s="694"/>
      <c r="CY93" s="694"/>
      <c r="CZ93" s="694"/>
      <c r="DA93" s="694"/>
      <c r="DB93" s="704"/>
      <c r="DC93" s="704"/>
      <c r="DD93" s="704"/>
      <c r="DE93" s="704"/>
      <c r="DF93" s="704"/>
      <c r="DG93" s="704"/>
      <c r="DH93" s="704"/>
      <c r="DI93" s="704"/>
      <c r="DJ93" s="704"/>
      <c r="DK93" s="704"/>
      <c r="DL93" s="704"/>
      <c r="DM93" s="709"/>
      <c r="DN93" s="709"/>
      <c r="DO93" s="709"/>
      <c r="DP93" s="709"/>
      <c r="DQ93" s="709"/>
      <c r="DR93" s="709"/>
      <c r="DS93" s="709"/>
      <c r="DT93" s="709"/>
      <c r="DU93" s="709"/>
      <c r="DV93" s="709"/>
      <c r="DY93" s="709"/>
      <c r="DZ93" s="709"/>
    </row>
    <row r="94" spans="1:130" s="1367" customFormat="1" ht="12.75">
      <c r="A94" s="687" t="s">
        <v>205</v>
      </c>
      <c r="B94" s="687"/>
      <c r="C94" s="1103">
        <v>0</v>
      </c>
      <c r="D94" s="1103">
        <v>0</v>
      </c>
      <c r="E94" s="1103">
        <v>0</v>
      </c>
      <c r="F94" s="1103">
        <v>0</v>
      </c>
      <c r="G94" s="1103">
        <v>-6073</v>
      </c>
      <c r="H94" s="1103">
        <v>-9448</v>
      </c>
      <c r="I94" s="1103">
        <v>-8298</v>
      </c>
      <c r="J94" s="1103">
        <v>-15100</v>
      </c>
      <c r="K94" s="1103">
        <v>-8250</v>
      </c>
      <c r="L94" s="1103">
        <v>-12081</v>
      </c>
      <c r="M94" s="1103">
        <v>-11360</v>
      </c>
      <c r="N94" s="1103">
        <v>-20307</v>
      </c>
      <c r="O94" s="1103">
        <v>-16190</v>
      </c>
      <c r="P94" s="1103">
        <v>-27243</v>
      </c>
      <c r="Q94" s="1103">
        <v>-23773</v>
      </c>
      <c r="R94" s="1103">
        <v>-32999</v>
      </c>
      <c r="S94" s="1103">
        <v>-22079</v>
      </c>
      <c r="T94" s="1103">
        <v>-29959</v>
      </c>
      <c r="U94" s="1103">
        <v>-26464</v>
      </c>
      <c r="V94" s="1103">
        <v>-32625</v>
      </c>
      <c r="W94" s="1103">
        <v>-22262</v>
      </c>
      <c r="X94" s="1103">
        <v>-32035</v>
      </c>
      <c r="Y94" s="1103">
        <v>-28487</v>
      </c>
      <c r="Z94" s="1103">
        <v>-29635</v>
      </c>
      <c r="AA94" s="1103">
        <v>-23584</v>
      </c>
      <c r="AB94" s="1103">
        <v>-28568</v>
      </c>
      <c r="AC94" s="1103">
        <v>-18758</v>
      </c>
      <c r="AD94" s="1103">
        <v>-17262</v>
      </c>
      <c r="AE94" s="1103">
        <v>-18809</v>
      </c>
      <c r="AF94" s="1103">
        <v>-28926</v>
      </c>
      <c r="AG94" s="1103">
        <v>-24384</v>
      </c>
      <c r="AH94" s="1103">
        <v>-37307</v>
      </c>
      <c r="AI94" s="1103">
        <v>-20227</v>
      </c>
      <c r="AJ94" s="1103">
        <v>-33397</v>
      </c>
      <c r="AK94" s="1103">
        <v>-29018</v>
      </c>
      <c r="AL94" s="1103">
        <v>-43438</v>
      </c>
      <c r="AM94" s="1103">
        <v>-28825</v>
      </c>
      <c r="AN94" s="1103">
        <v>-37145</v>
      </c>
      <c r="AO94" s="1103">
        <v>-33115</v>
      </c>
      <c r="AP94" s="688">
        <v>-43403</v>
      </c>
      <c r="AQ94" s="689">
        <v>-29171</v>
      </c>
      <c r="AR94" s="1364">
        <v>-54043</v>
      </c>
      <c r="AS94" s="1364">
        <v>-51852</v>
      </c>
      <c r="AT94" s="1364">
        <v>-53392</v>
      </c>
      <c r="AU94" s="1364">
        <v>-45737</v>
      </c>
      <c r="AV94" s="1364">
        <v>-74136</v>
      </c>
      <c r="AW94" s="1364">
        <v>-76307</v>
      </c>
      <c r="AX94" s="1364">
        <v>-84962</v>
      </c>
      <c r="AY94" s="1364">
        <v>-50177</v>
      </c>
      <c r="AZ94" s="1364">
        <v>-77523</v>
      </c>
      <c r="BA94" s="689">
        <v>-68812</v>
      </c>
      <c r="BB94" s="689">
        <v>-65692</v>
      </c>
      <c r="BC94" s="689">
        <v>-46366</v>
      </c>
      <c r="BD94" s="689">
        <v>-59277</v>
      </c>
      <c r="BE94" s="689">
        <v>-71408</v>
      </c>
      <c r="BF94" s="689">
        <v>-78784</v>
      </c>
      <c r="BG94" s="689">
        <v>-57423</v>
      </c>
      <c r="BH94" s="689">
        <v>-79119</v>
      </c>
      <c r="BI94" s="689">
        <v>-68260</v>
      </c>
      <c r="BJ94" s="689">
        <v>-75871</v>
      </c>
      <c r="BK94" s="689">
        <v>-72516</v>
      </c>
      <c r="BL94" s="689">
        <v>-98456</v>
      </c>
      <c r="BM94" s="689">
        <v>-101371</v>
      </c>
      <c r="BN94" s="689">
        <v>-108707</v>
      </c>
      <c r="BO94" s="689">
        <v>-199325</v>
      </c>
      <c r="BP94" s="689">
        <v>-133866</v>
      </c>
      <c r="BQ94" s="689">
        <v>-91399</v>
      </c>
      <c r="BR94" s="689">
        <v>11954</v>
      </c>
      <c r="BS94" s="689">
        <v>-52105</v>
      </c>
      <c r="BT94" s="689">
        <v>-77434</v>
      </c>
      <c r="BU94" s="689">
        <v>-74765</v>
      </c>
      <c r="BV94" s="689">
        <v>-135497</v>
      </c>
      <c r="BW94" s="689">
        <v>-167454</v>
      </c>
      <c r="BX94" s="689">
        <v>-281521</v>
      </c>
      <c r="BY94" s="689">
        <v>-236888</v>
      </c>
      <c r="BZ94" s="689">
        <v>-305880</v>
      </c>
      <c r="CA94" s="689">
        <v>-346812</v>
      </c>
      <c r="CB94" s="689">
        <v>-396108</v>
      </c>
      <c r="CC94" s="689">
        <v>-329561</v>
      </c>
      <c r="CD94" s="689">
        <v>-270796</v>
      </c>
      <c r="CE94" s="689">
        <v>-264539</v>
      </c>
      <c r="CF94" s="689">
        <v>-253546</v>
      </c>
      <c r="CG94" s="689">
        <v>-224796</v>
      </c>
      <c r="CH94" s="689">
        <v>-214399</v>
      </c>
      <c r="CI94" s="689">
        <v>-177141</v>
      </c>
      <c r="CJ94" s="689">
        <v>-255735</v>
      </c>
      <c r="CK94" s="689">
        <v>-263131</v>
      </c>
      <c r="CL94" s="690">
        <f>+Cartao!CL99*1000</f>
        <v>-214314.69854770394</v>
      </c>
      <c r="CM94" s="690">
        <f>+Cartao!CM99*1000</f>
        <v>-259626.26866214589</v>
      </c>
      <c r="CN94" s="690">
        <f>+Cartao!CN99*1000</f>
        <v>-386239.61370677722</v>
      </c>
      <c r="CO94" s="690">
        <f>+Cartao!CO99*1000</f>
        <v>-321963.18277390726</v>
      </c>
      <c r="CP94" s="690">
        <f>+Cartao!CP99*1000</f>
        <v>-251004.8815766667</v>
      </c>
      <c r="CQ94" s="690"/>
      <c r="CR94" s="690"/>
      <c r="CS94" s="690"/>
      <c r="CT94" s="690">
        <v>-214314.69854770394</v>
      </c>
      <c r="CU94" s="688"/>
      <c r="CV94" s="1365"/>
      <c r="CW94" s="688">
        <v>-38919</v>
      </c>
      <c r="CX94" s="688">
        <v>-51998</v>
      </c>
      <c r="CY94" s="688">
        <v>-100205</v>
      </c>
      <c r="CZ94" s="688">
        <v>-111127</v>
      </c>
      <c r="DA94" s="688">
        <v>-112419</v>
      </c>
      <c r="DB94" s="688">
        <v>-88172</v>
      </c>
      <c r="DC94" s="688">
        <v>-109426</v>
      </c>
      <c r="DD94" s="688">
        <v>-126080</v>
      </c>
      <c r="DE94" s="688">
        <v>-142488</v>
      </c>
      <c r="DF94" s="688">
        <f>+SUM(AQ94:AT94)</f>
        <v>-188458</v>
      </c>
      <c r="DG94" s="688">
        <f>+SUM(AU94:AX94)</f>
        <v>-281142</v>
      </c>
      <c r="DH94" s="688">
        <f>+SUM(AY94:BB94)</f>
        <v>-262204</v>
      </c>
      <c r="DI94" s="688">
        <f>+SUM(BC94:BF94)</f>
        <v>-255835</v>
      </c>
      <c r="DJ94" s="688">
        <f>+SUM(BG94:BJ94)</f>
        <v>-280673</v>
      </c>
      <c r="DK94" s="688">
        <f>+SUM(BK94:BN94)</f>
        <v>-381050</v>
      </c>
      <c r="DL94" s="688">
        <f>+SUM(BO94:BR94)</f>
        <v>-412636</v>
      </c>
      <c r="DM94" s="688">
        <f>+SUM(BS94:BV94)</f>
        <v>-339801</v>
      </c>
      <c r="DN94" s="688">
        <f>+SUM(BW94:BZ94)</f>
        <v>-991743</v>
      </c>
      <c r="DO94" s="688">
        <f>+SUM(CA94:CD94)</f>
        <v>-1343277</v>
      </c>
      <c r="DP94" s="688">
        <f>+SUM(CE94:CH94)</f>
        <v>-957280</v>
      </c>
      <c r="DQ94" s="688">
        <f>+SUM(CI94:CL94)</f>
        <v>-910321.69854770391</v>
      </c>
      <c r="DR94" s="688">
        <f>+SUM(CM94:CP94)</f>
        <v>-1218833.946719497</v>
      </c>
      <c r="DS94" s="1366">
        <f>+Cartao!DR99*1000</f>
        <v>-1052085.0341828673</v>
      </c>
      <c r="DT94" s="1366">
        <f>+Cartao!DS99*1000</f>
        <v>-1014195.4281480772</v>
      </c>
      <c r="DU94" s="1366">
        <f>+Cartao!DT99*1000</f>
        <v>-984911.14014153974</v>
      </c>
      <c r="DV94" s="1366">
        <f>+Cartao!DU99*1000</f>
        <v>-957846.74154102441</v>
      </c>
      <c r="DY94" s="1366">
        <v>-1028288.1310937016</v>
      </c>
      <c r="DZ94" s="1366">
        <v>-971759.93264977948</v>
      </c>
    </row>
    <row r="95" spans="1:130" s="692" customFormat="1">
      <c r="A95" s="687"/>
      <c r="B95" s="687"/>
      <c r="C95" s="702"/>
      <c r="D95" s="703"/>
      <c r="E95" s="703"/>
      <c r="F95" s="703"/>
      <c r="G95" s="703"/>
      <c r="H95" s="703"/>
      <c r="I95" s="703"/>
      <c r="J95" s="703"/>
      <c r="K95" s="703"/>
      <c r="L95" s="703"/>
      <c r="M95" s="703"/>
      <c r="N95" s="703"/>
      <c r="O95" s="703"/>
      <c r="P95" s="703"/>
      <c r="Q95" s="703"/>
      <c r="R95" s="703"/>
      <c r="S95" s="703"/>
      <c r="T95" s="703"/>
      <c r="U95" s="703"/>
      <c r="V95" s="703"/>
      <c r="W95" s="703"/>
      <c r="X95" s="703"/>
      <c r="Y95" s="703"/>
      <c r="Z95" s="703"/>
      <c r="AA95" s="703"/>
      <c r="AB95" s="703"/>
      <c r="AC95" s="703"/>
      <c r="AD95" s="703"/>
      <c r="AE95" s="703"/>
      <c r="AF95" s="703"/>
      <c r="AG95" s="703"/>
      <c r="AH95" s="703"/>
      <c r="AI95" s="703"/>
      <c r="AJ95" s="703"/>
      <c r="AK95" s="703"/>
      <c r="AL95" s="703"/>
      <c r="AM95" s="703"/>
      <c r="AN95" s="703"/>
      <c r="AO95" s="703"/>
      <c r="AP95" s="703"/>
      <c r="AQ95" s="703"/>
      <c r="AR95" s="703"/>
      <c r="AS95" s="703"/>
      <c r="AT95" s="703"/>
      <c r="AU95" s="703"/>
      <c r="AV95" s="703"/>
      <c r="AW95" s="703"/>
      <c r="AX95" s="703"/>
      <c r="AY95" s="703"/>
      <c r="AZ95" s="703"/>
      <c r="BA95" s="703"/>
      <c r="BB95" s="703"/>
      <c r="BC95" s="703"/>
      <c r="BD95" s="703"/>
      <c r="BE95" s="703"/>
      <c r="BF95" s="703"/>
      <c r="BG95" s="703"/>
      <c r="BH95" s="703"/>
      <c r="BI95" s="703"/>
      <c r="BJ95" s="703"/>
      <c r="BK95" s="703"/>
      <c r="BL95" s="703"/>
      <c r="BM95" s="703"/>
      <c r="BN95" s="703"/>
      <c r="BO95" s="703"/>
      <c r="BP95" s="703"/>
      <c r="BQ95" s="703"/>
      <c r="BR95" s="703"/>
      <c r="BS95" s="703"/>
      <c r="BT95" s="703"/>
      <c r="BU95" s="703"/>
      <c r="BV95" s="703"/>
      <c r="BW95" s="703"/>
      <c r="BX95" s="703"/>
      <c r="BY95" s="703"/>
      <c r="BZ95" s="703"/>
      <c r="CA95" s="703"/>
      <c r="CB95" s="703"/>
      <c r="CC95" s="703"/>
      <c r="CD95" s="703"/>
      <c r="CE95" s="703"/>
      <c r="CF95" s="703"/>
      <c r="CG95" s="703"/>
      <c r="CH95" s="703"/>
      <c r="CI95" s="703"/>
      <c r="CJ95" s="703"/>
      <c r="CK95" s="703"/>
      <c r="CL95" s="703"/>
      <c r="CM95" s="703"/>
      <c r="CN95" s="703"/>
      <c r="CO95" s="703"/>
      <c r="CP95" s="703"/>
      <c r="CQ95" s="703"/>
      <c r="CR95" s="703"/>
      <c r="CS95" s="703"/>
      <c r="CT95" s="703"/>
      <c r="CU95" s="703"/>
      <c r="CV95" s="703"/>
      <c r="CW95" s="703"/>
      <c r="CX95" s="703"/>
      <c r="CY95" s="703"/>
      <c r="CZ95" s="703"/>
      <c r="DA95" s="703"/>
      <c r="DB95" s="703"/>
      <c r="DC95" s="703"/>
      <c r="DD95" s="703"/>
      <c r="DE95" s="703"/>
      <c r="DF95" s="702"/>
      <c r="DG95" s="702"/>
      <c r="DH95" s="702"/>
      <c r="DI95" s="702"/>
      <c r="DJ95" s="702"/>
      <c r="DK95" s="702"/>
      <c r="DL95" s="702"/>
      <c r="DM95" s="715"/>
      <c r="DN95" s="715"/>
      <c r="DO95" s="715"/>
      <c r="DP95" s="715"/>
      <c r="DQ95" s="715"/>
      <c r="DR95" s="715"/>
      <c r="DS95" s="715"/>
      <c r="DT95" s="715"/>
      <c r="DU95" s="715"/>
      <c r="DV95" s="715"/>
      <c r="DY95" s="715"/>
      <c r="DZ95" s="715"/>
    </row>
    <row r="96" spans="1:130" s="692" customFormat="1">
      <c r="A96" s="687" t="s">
        <v>206</v>
      </c>
      <c r="B96" s="687"/>
      <c r="C96" s="688">
        <v>-5655</v>
      </c>
      <c r="D96" s="688">
        <v>3826</v>
      </c>
      <c r="E96" s="688">
        <v>-4407</v>
      </c>
      <c r="F96" s="688">
        <v>-14622</v>
      </c>
      <c r="G96" s="688">
        <v>-8450</v>
      </c>
      <c r="H96" s="688">
        <v>-12133</v>
      </c>
      <c r="I96" s="688">
        <v>-9857</v>
      </c>
      <c r="J96" s="688">
        <v>-34515</v>
      </c>
      <c r="K96" s="688">
        <v>-10404</v>
      </c>
      <c r="L96" s="688">
        <v>-16051</v>
      </c>
      <c r="M96" s="688">
        <v>-9995</v>
      </c>
      <c r="N96" s="688">
        <v>-37109</v>
      </c>
      <c r="O96" s="688">
        <v>-30073.000000000004</v>
      </c>
      <c r="P96" s="688">
        <v>-48097</v>
      </c>
      <c r="Q96" s="688">
        <v>-40139</v>
      </c>
      <c r="R96" s="688">
        <v>-63918</v>
      </c>
      <c r="S96" s="688">
        <v>-39244</v>
      </c>
      <c r="T96" s="688">
        <v>-58272</v>
      </c>
      <c r="U96" s="688">
        <v>-48457</v>
      </c>
      <c r="V96" s="688">
        <v>-58649.000000000007</v>
      </c>
      <c r="W96" s="688">
        <v>-37375</v>
      </c>
      <c r="X96" s="688">
        <v>-53564</v>
      </c>
      <c r="Y96" s="688">
        <v>-49153</v>
      </c>
      <c r="Z96" s="688">
        <v>-59116</v>
      </c>
      <c r="AA96" s="688">
        <v>-46020</v>
      </c>
      <c r="AB96" s="688">
        <v>-58728</v>
      </c>
      <c r="AC96" s="688">
        <v>-40703</v>
      </c>
      <c r="AD96" s="688">
        <v>-55648</v>
      </c>
      <c r="AE96" s="688">
        <v>-50123</v>
      </c>
      <c r="AF96" s="688">
        <v>-65354</v>
      </c>
      <c r="AG96" s="688">
        <v>-54960</v>
      </c>
      <c r="AH96" s="688">
        <v>-71862</v>
      </c>
      <c r="AI96" s="688">
        <v>-62621</v>
      </c>
      <c r="AJ96" s="688">
        <v>-80727</v>
      </c>
      <c r="AK96" s="688">
        <v>-74555</v>
      </c>
      <c r="AL96" s="688">
        <v>-94672</v>
      </c>
      <c r="AM96" s="688">
        <v>-71568</v>
      </c>
      <c r="AN96" s="688">
        <v>-89369</v>
      </c>
      <c r="AO96" s="688">
        <v>-75330</v>
      </c>
      <c r="AP96" s="688">
        <v>-88291</v>
      </c>
      <c r="AQ96" s="688">
        <f>+AQ117+AQ99+AQ102+AQ105+AQ108+AQ111+AQ120+AQ114</f>
        <v>-43314.48</v>
      </c>
      <c r="AR96" s="688">
        <f t="shared" ref="AR96:CD96" si="724">+AR117+AR99+AR102+AR105+AR108+AR111+AR120+AR114</f>
        <v>-68887</v>
      </c>
      <c r="AS96" s="688">
        <f t="shared" si="724"/>
        <v>-61769</v>
      </c>
      <c r="AT96" s="688">
        <f t="shared" si="724"/>
        <v>-103942.731</v>
      </c>
      <c r="AU96" s="688">
        <f t="shared" si="724"/>
        <v>-56431.511449999896</v>
      </c>
      <c r="AV96" s="688">
        <f t="shared" si="724"/>
        <v>-65439.423680000094</v>
      </c>
      <c r="AW96" s="688">
        <f t="shared" si="724"/>
        <v>-61509</v>
      </c>
      <c r="AX96" s="688">
        <f t="shared" si="724"/>
        <v>-112173.69659000001</v>
      </c>
      <c r="AY96" s="688">
        <f t="shared" si="724"/>
        <v>-56082</v>
      </c>
      <c r="AZ96" s="688">
        <f t="shared" si="724"/>
        <v>-58625</v>
      </c>
      <c r="BA96" s="688">
        <f t="shared" si="724"/>
        <v>-61776</v>
      </c>
      <c r="BB96" s="688">
        <f t="shared" si="724"/>
        <v>-82333</v>
      </c>
      <c r="BC96" s="688">
        <f t="shared" si="724"/>
        <v>-68102.232110000041</v>
      </c>
      <c r="BD96" s="688">
        <f t="shared" si="724"/>
        <v>-86664.009129999962</v>
      </c>
      <c r="BE96" s="688">
        <f t="shared" si="724"/>
        <v>-78109.57071</v>
      </c>
      <c r="BF96" s="688">
        <f t="shared" si="724"/>
        <v>-143604.56450999988</v>
      </c>
      <c r="BG96" s="688">
        <f t="shared" si="724"/>
        <v>-80140</v>
      </c>
      <c r="BH96" s="688">
        <f t="shared" si="724"/>
        <v>-78461.035139999993</v>
      </c>
      <c r="BI96" s="688">
        <f t="shared" si="724"/>
        <v>-64912.568249999997</v>
      </c>
      <c r="BJ96" s="688">
        <f t="shared" si="724"/>
        <v>-136602.74919999999</v>
      </c>
      <c r="BK96" s="688">
        <f t="shared" si="724"/>
        <v>-55799</v>
      </c>
      <c r="BL96" s="688">
        <f t="shared" si="724"/>
        <v>-91049</v>
      </c>
      <c r="BM96" s="688">
        <f t="shared" si="724"/>
        <v>-100624</v>
      </c>
      <c r="BN96" s="688">
        <f t="shared" si="724"/>
        <v>-154508</v>
      </c>
      <c r="BO96" s="688">
        <f t="shared" si="724"/>
        <v>-88495</v>
      </c>
      <c r="BP96" s="688">
        <f t="shared" si="724"/>
        <v>654755</v>
      </c>
      <c r="BQ96" s="688">
        <f t="shared" si="724"/>
        <v>-103716</v>
      </c>
      <c r="BR96" s="688">
        <f t="shared" si="724"/>
        <v>-138087</v>
      </c>
      <c r="BS96" s="688">
        <f t="shared" si="724"/>
        <v>-94211</v>
      </c>
      <c r="BT96" s="688">
        <f t="shared" si="724"/>
        <v>-82260</v>
      </c>
      <c r="BU96" s="688">
        <f t="shared" si="724"/>
        <v>-141753</v>
      </c>
      <c r="BV96" s="688">
        <f t="shared" si="724"/>
        <v>-293621</v>
      </c>
      <c r="BW96" s="688">
        <f t="shared" si="724"/>
        <v>-120324</v>
      </c>
      <c r="BX96" s="688">
        <f t="shared" si="724"/>
        <v>-180225</v>
      </c>
      <c r="BY96" s="688">
        <f t="shared" si="724"/>
        <v>-79166</v>
      </c>
      <c r="BZ96" s="688">
        <f t="shared" si="724"/>
        <v>-86836</v>
      </c>
      <c r="CA96" s="688">
        <f t="shared" si="724"/>
        <v>-116295</v>
      </c>
      <c r="CB96" s="688">
        <f t="shared" si="724"/>
        <v>-136571</v>
      </c>
      <c r="CC96" s="688">
        <f t="shared" si="724"/>
        <v>-124979</v>
      </c>
      <c r="CD96" s="688">
        <f t="shared" si="724"/>
        <v>-199265</v>
      </c>
      <c r="CE96" s="688">
        <f>+CE117+CE99+CE102+CE105+CE108+CE111+CE120+CE114</f>
        <v>-96445</v>
      </c>
      <c r="CF96" s="688">
        <f t="shared" ref="CF96:CH96" si="725">+CF117+CF99+CF102+CF105+CF108+CF111+CF120+CF114</f>
        <v>-128767</v>
      </c>
      <c r="CG96" s="688">
        <f t="shared" si="725"/>
        <v>-145707</v>
      </c>
      <c r="CH96" s="688">
        <f t="shared" si="725"/>
        <v>-390363</v>
      </c>
      <c r="CI96" s="688">
        <f t="shared" ref="CI96:CK96" si="726">+CI117+CI99+CI102+CI105+CI108+CI111+CI120+CI114</f>
        <v>-145393</v>
      </c>
      <c r="CJ96" s="688">
        <f t="shared" si="726"/>
        <v>-190907</v>
      </c>
      <c r="CK96" s="688">
        <f t="shared" si="726"/>
        <v>-160995</v>
      </c>
      <c r="CL96" s="688">
        <f>+CL117+CL99+CL102+CL105+CL108+CL111+CL120+CL114</f>
        <v>-345086.42440745718</v>
      </c>
      <c r="CM96" s="688">
        <f t="shared" ref="CM96:CP96" si="727">+CM117+CM99+CM102+CM105+CM108+CM111+CM120+CM114</f>
        <v>-152956.29263932674</v>
      </c>
      <c r="CN96" s="688">
        <f t="shared" si="727"/>
        <v>-184535.93238170526</v>
      </c>
      <c r="CO96" s="688">
        <f t="shared" si="727"/>
        <v>-175107.09666681956</v>
      </c>
      <c r="CP96" s="688">
        <f t="shared" si="727"/>
        <v>-363692.29060735786</v>
      </c>
      <c r="CQ96" s="688"/>
      <c r="CR96" s="688"/>
      <c r="CS96" s="688"/>
      <c r="CT96" s="688">
        <v>-345086.42440745718</v>
      </c>
      <c r="CU96" s="688"/>
      <c r="CV96" s="688">
        <v>-20858</v>
      </c>
      <c r="CW96" s="688">
        <v>-64955</v>
      </c>
      <c r="CX96" s="688">
        <v>-73559</v>
      </c>
      <c r="CY96" s="688">
        <v>-182227</v>
      </c>
      <c r="CZ96" s="688">
        <v>-204622</v>
      </c>
      <c r="DA96" s="688">
        <v>-199208</v>
      </c>
      <c r="DB96" s="688">
        <v>-201099</v>
      </c>
      <c r="DC96" s="688">
        <v>-242299</v>
      </c>
      <c r="DD96" s="688">
        <v>-312575</v>
      </c>
      <c r="DE96" s="688">
        <v>-324558</v>
      </c>
      <c r="DF96" s="688">
        <f t="shared" ref="DF96:DS96" si="728">+DF117+DF99+DF102+DF105+DF108+DF111+DF120+DF114</f>
        <v>-277913.21100000001</v>
      </c>
      <c r="DG96" s="688">
        <f t="shared" si="728"/>
        <v>-295553.63171999995</v>
      </c>
      <c r="DH96" s="688">
        <f t="shared" si="728"/>
        <v>-258816</v>
      </c>
      <c r="DI96" s="688">
        <f t="shared" si="728"/>
        <v>-376480.37645999988</v>
      </c>
      <c r="DJ96" s="688">
        <f t="shared" si="728"/>
        <v>-360116.35259000002</v>
      </c>
      <c r="DK96" s="688">
        <f t="shared" si="728"/>
        <v>-401980</v>
      </c>
      <c r="DL96" s="688">
        <f t="shared" si="728"/>
        <v>324457</v>
      </c>
      <c r="DM96" s="688">
        <f t="shared" si="728"/>
        <v>-611845</v>
      </c>
      <c r="DN96" s="688">
        <f t="shared" si="728"/>
        <v>-466551</v>
      </c>
      <c r="DO96" s="688">
        <f t="shared" si="728"/>
        <v>-577110</v>
      </c>
      <c r="DP96" s="688">
        <f t="shared" ref="DP96:DQ96" si="729">+DP117+DP99+DP102+DP105+DP108+DP111+DP120+DP114</f>
        <v>-761282</v>
      </c>
      <c r="DQ96" s="688">
        <f t="shared" si="729"/>
        <v>-842381.42440745723</v>
      </c>
      <c r="DR96" s="688">
        <f t="shared" ref="DR96" si="730">+DR117+DR99+DR102+DR105+DR108+DR111+DR120+DR114</f>
        <v>-876291.61229520943</v>
      </c>
      <c r="DS96" s="691">
        <f t="shared" si="728"/>
        <v>-916722.37315386534</v>
      </c>
      <c r="DT96" s="691">
        <f t="shared" ref="DT96:DV96" si="731">+DT117+DT99+DT102+DT105+DT108+DT111+DT120+DT114</f>
        <v>-955164.58356030844</v>
      </c>
      <c r="DU96" s="691">
        <f t="shared" si="731"/>
        <v>-995507.17862373753</v>
      </c>
      <c r="DV96" s="691">
        <f t="shared" si="731"/>
        <v>-1037840.8367681603</v>
      </c>
      <c r="DY96" s="691">
        <v>-833955.50026329979</v>
      </c>
      <c r="DZ96" s="691">
        <v>-869596.36764626473</v>
      </c>
    </row>
    <row r="97" spans="1:130" s="692" customFormat="1">
      <c r="A97" s="707" t="s">
        <v>207</v>
      </c>
      <c r="B97" s="707"/>
      <c r="C97" s="694">
        <v>-3.2066366889137131E-2</v>
      </c>
      <c r="D97" s="694">
        <v>1.5977015814155487E-2</v>
      </c>
      <c r="E97" s="694">
        <v>-2.0990212188326071E-2</v>
      </c>
      <c r="F97" s="694">
        <v>-4.4575598959841721E-2</v>
      </c>
      <c r="G97" s="694">
        <v>-4.0199044737493105E-2</v>
      </c>
      <c r="H97" s="694">
        <v>-4.1020075596216135E-2</v>
      </c>
      <c r="I97" s="694">
        <v>-3.6256699047696114E-2</v>
      </c>
      <c r="J97" s="694">
        <v>-8.135053915502917E-2</v>
      </c>
      <c r="K97" s="694">
        <v>-3.9002519193857964E-2</v>
      </c>
      <c r="L97" s="694">
        <v>-4.214409494302368E-2</v>
      </c>
      <c r="M97" s="694">
        <v>-2.8821726304619263E-2</v>
      </c>
      <c r="N97" s="694">
        <v>-6.9125007683867978E-2</v>
      </c>
      <c r="O97" s="694">
        <v>-8.6527312223964564E-2</v>
      </c>
      <c r="P97" s="694">
        <v>-9.7982773513258042E-2</v>
      </c>
      <c r="Q97" s="694">
        <v>-9.0400709890723671E-2</v>
      </c>
      <c r="R97" s="694">
        <v>-9.8562837316885116E-2</v>
      </c>
      <c r="S97" s="694">
        <v>-9.0885300268413169E-2</v>
      </c>
      <c r="T97" s="694">
        <v>-0.10289098379615325</v>
      </c>
      <c r="U97" s="694">
        <v>-9.4759176330250106E-2</v>
      </c>
      <c r="V97" s="694">
        <v>-8.7081825646294769E-2</v>
      </c>
      <c r="W97" s="694">
        <v>-8.9171959325657191E-2</v>
      </c>
      <c r="X97" s="694">
        <v>-8.7321124069551725E-2</v>
      </c>
      <c r="Y97" s="694">
        <v>-8.8995149471946061E-2</v>
      </c>
      <c r="Z97" s="694">
        <v>-7.5909544422030156E-2</v>
      </c>
      <c r="AA97" s="694">
        <v>-9.1003470471331532E-2</v>
      </c>
      <c r="AB97" s="694">
        <v>-8.3655974633129071E-2</v>
      </c>
      <c r="AC97" s="694">
        <v>-6.3215882635240181E-2</v>
      </c>
      <c r="AD97" s="694">
        <v>-6.1848153713467711E-2</v>
      </c>
      <c r="AE97" s="694">
        <v>-8.3710358119268427E-2</v>
      </c>
      <c r="AF97" s="694">
        <v>-7.813547994486017E-2</v>
      </c>
      <c r="AG97" s="694">
        <v>-7.4077868023862348E-2</v>
      </c>
      <c r="AH97" s="694">
        <v>-6.7702749299532516E-2</v>
      </c>
      <c r="AI97" s="694">
        <v>-8.8288621072755882E-2</v>
      </c>
      <c r="AJ97" s="694">
        <v>-8.449072378157399E-2</v>
      </c>
      <c r="AK97" s="694">
        <v>-8.2375936127850366E-2</v>
      </c>
      <c r="AL97" s="694">
        <v>-7.3234729871898011E-2</v>
      </c>
      <c r="AM97" s="694">
        <v>-8.5828077610801898E-2</v>
      </c>
      <c r="AN97" s="694">
        <v>-8.4278415167078152E-2</v>
      </c>
      <c r="AO97" s="694">
        <v>-7.3749186193933045E-2</v>
      </c>
      <c r="AP97" s="694">
        <v>-6.0693947584780833E-2</v>
      </c>
      <c r="AQ97" s="694">
        <f t="shared" ref="AQ97:CD97" si="732">AQ96/AQ26</f>
        <v>-4.6147276729305131E-2</v>
      </c>
      <c r="AR97" s="694">
        <f t="shared" si="732"/>
        <v>-5.4880069596917852E-2</v>
      </c>
      <c r="AS97" s="694">
        <f t="shared" si="732"/>
        <v>-5.131155180706478E-2</v>
      </c>
      <c r="AT97" s="694">
        <f t="shared" si="732"/>
        <v>-5.7161674088030183E-2</v>
      </c>
      <c r="AU97" s="694">
        <f t="shared" si="732"/>
        <v>-4.8069897065199617E-2</v>
      </c>
      <c r="AV97" s="694">
        <f t="shared" si="732"/>
        <v>-4.2592671887092037E-2</v>
      </c>
      <c r="AW97" s="694">
        <f t="shared" si="732"/>
        <v>-4.3297749902330346E-2</v>
      </c>
      <c r="AX97" s="694">
        <f t="shared" si="732"/>
        <v>-5.5690194881953294E-2</v>
      </c>
      <c r="AY97" s="694">
        <f t="shared" si="732"/>
        <v>-4.4960232296938595E-2</v>
      </c>
      <c r="AZ97" s="694">
        <f t="shared" si="732"/>
        <v>-3.5582490683305212E-2</v>
      </c>
      <c r="BA97" s="694">
        <f t="shared" si="732"/>
        <v>-4.2727044484513726E-2</v>
      </c>
      <c r="BB97" s="694">
        <f t="shared" si="732"/>
        <v>-3.9005553339441598E-2</v>
      </c>
      <c r="BC97" s="694">
        <f t="shared" si="732"/>
        <v>-4.8117768164745348E-2</v>
      </c>
      <c r="BD97" s="694">
        <f t="shared" si="732"/>
        <v>-4.7328105854739018E-2</v>
      </c>
      <c r="BE97" s="694">
        <f t="shared" si="732"/>
        <v>-4.4726637324014232E-2</v>
      </c>
      <c r="BF97" s="694">
        <f t="shared" si="732"/>
        <v>-5.8578912796066966E-2</v>
      </c>
      <c r="BG97" s="694">
        <f t="shared" si="732"/>
        <v>-4.9217428152933916E-2</v>
      </c>
      <c r="BH97" s="694">
        <f t="shared" si="732"/>
        <v>-3.8840231503734717E-2</v>
      </c>
      <c r="BI97" s="694">
        <f t="shared" si="732"/>
        <v>-3.3403473005545241E-2</v>
      </c>
      <c r="BJ97" s="694">
        <f t="shared" si="732"/>
        <v>-4.8186583869248366E-2</v>
      </c>
      <c r="BK97" s="694">
        <f t="shared" si="732"/>
        <v>-2.9490248224607676E-2</v>
      </c>
      <c r="BL97" s="694">
        <f t="shared" si="732"/>
        <v>-3.9724625262434095E-2</v>
      </c>
      <c r="BM97" s="694">
        <f t="shared" si="732"/>
        <v>-4.52089291049554E-2</v>
      </c>
      <c r="BN97" s="694">
        <f t="shared" si="732"/>
        <v>-4.8609417909550895E-2</v>
      </c>
      <c r="BO97" s="694">
        <f t="shared" si="732"/>
        <v>-4.7481946451288552E-2</v>
      </c>
      <c r="BP97" s="694">
        <f t="shared" si="732"/>
        <v>0.80983319851677049</v>
      </c>
      <c r="BQ97" s="694">
        <f t="shared" si="732"/>
        <v>-5.7940637047572706E-2</v>
      </c>
      <c r="BR97" s="694">
        <f t="shared" si="732"/>
        <v>-4.4908181603538877E-2</v>
      </c>
      <c r="BS97" s="694">
        <f t="shared" si="732"/>
        <v>-5.9574653754851735E-2</v>
      </c>
      <c r="BT97" s="694">
        <f t="shared" si="732"/>
        <v>-3.3032257650003435E-2</v>
      </c>
      <c r="BU97" s="694">
        <f t="shared" si="732"/>
        <v>-5.3933559700312397E-2</v>
      </c>
      <c r="BV97" s="694">
        <f t="shared" si="732"/>
        <v>-7.5840099943792122E-2</v>
      </c>
      <c r="BW97" s="694">
        <f t="shared" si="732"/>
        <v>-4.6047797494397295E-2</v>
      </c>
      <c r="BX97" s="694">
        <f t="shared" si="732"/>
        <v>-4.9698911049910692E-2</v>
      </c>
      <c r="BY97" s="694">
        <f t="shared" si="732"/>
        <v>-2.6234477895250314E-2</v>
      </c>
      <c r="BZ97" s="694">
        <f t="shared" si="732"/>
        <v>-2.1632507453643916E-2</v>
      </c>
      <c r="CA97" s="694">
        <f t="shared" si="732"/>
        <v>-4.1903698781966009E-2</v>
      </c>
      <c r="CB97" s="694">
        <f t="shared" si="732"/>
        <v>-3.8974818804234944E-2</v>
      </c>
      <c r="CC97" s="694">
        <f t="shared" si="732"/>
        <v>-4.0353608670832292E-2</v>
      </c>
      <c r="CD97" s="694">
        <f t="shared" si="732"/>
        <v>-4.6651221221816475E-2</v>
      </c>
      <c r="CE97" s="694">
        <f t="shared" ref="CE97:CH97" si="733">CE96/CE26</f>
        <v>-3.3162566203925457E-2</v>
      </c>
      <c r="CF97" s="694">
        <f t="shared" si="733"/>
        <v>-3.6577471082047418E-2</v>
      </c>
      <c r="CG97" s="694">
        <f t="shared" si="733"/>
        <v>-4.2974963346211439E-2</v>
      </c>
      <c r="CH97" s="694">
        <f t="shared" si="733"/>
        <v>-8.4545084192490849E-2</v>
      </c>
      <c r="CI97" s="694">
        <f t="shared" ref="CI97:CL97" si="734">CI96/CI26</f>
        <v>-4.4632266445970868E-2</v>
      </c>
      <c r="CJ97" s="694">
        <f t="shared" si="734"/>
        <v>-4.5807792845992124E-2</v>
      </c>
      <c r="CK97" s="694">
        <f t="shared" si="734"/>
        <v>-4.5179252145098936E-2</v>
      </c>
      <c r="CL97" s="694">
        <f t="shared" si="734"/>
        <v>-7.1478764906588679E-2</v>
      </c>
      <c r="CM97" s="694">
        <f t="shared" ref="CM97:CP97" si="735">CM96/CM26</f>
        <v>-4.4538694467951979E-2</v>
      </c>
      <c r="CN97" s="694">
        <f t="shared" si="735"/>
        <v>-4.2363122574993445E-2</v>
      </c>
      <c r="CO97" s="694">
        <f t="shared" si="735"/>
        <v>-4.5592391546487587E-2</v>
      </c>
      <c r="CP97" s="694">
        <f t="shared" si="735"/>
        <v>-6.9272322301754452E-2</v>
      </c>
      <c r="CQ97" s="694"/>
      <c r="CR97" s="694"/>
      <c r="CS97" s="694"/>
      <c r="CT97" s="694">
        <v>-7.1478764906588679E-2</v>
      </c>
      <c r="CU97" s="695"/>
      <c r="CV97" s="694">
        <v>-2.1868224498953662E-2</v>
      </c>
      <c r="CW97" s="694">
        <v>-5.4033347530379458E-2</v>
      </c>
      <c r="CX97" s="694">
        <v>-4.8038907080414674E-2</v>
      </c>
      <c r="CY97" s="694">
        <v>-9.4372219940661001E-2</v>
      </c>
      <c r="CZ97" s="694">
        <v>-9.3734010014626612E-2</v>
      </c>
      <c r="DA97" s="694">
        <v>-8.4280605915990167E-2</v>
      </c>
      <c r="DB97" s="694">
        <v>-7.3091346828343159E-2</v>
      </c>
      <c r="DC97" s="694">
        <v>-7.4817309764702758E-2</v>
      </c>
      <c r="DD97" s="694">
        <v>-8.0925398730565742E-2</v>
      </c>
      <c r="DE97" s="694">
        <v>-7.4263073571143215E-2</v>
      </c>
      <c r="DF97" s="694">
        <f t="shared" ref="DF97:DS97" si="736">DF96/DF26</f>
        <v>-5.3280457565158576E-2</v>
      </c>
      <c r="DG97" s="694">
        <f t="shared" si="736"/>
        <v>-4.8095054336735762E-2</v>
      </c>
      <c r="DH97" s="694">
        <f t="shared" si="736"/>
        <v>-4.0116684595091434E-2</v>
      </c>
      <c r="DI97" s="694">
        <f t="shared" si="736"/>
        <v>-5.0572938166826842E-2</v>
      </c>
      <c r="DJ97" s="694">
        <f t="shared" si="736"/>
        <v>-4.2735963972643107E-2</v>
      </c>
      <c r="DK97" s="694">
        <f t="shared" si="736"/>
        <v>-4.1923412543671087E-2</v>
      </c>
      <c r="DL97" s="694">
        <f t="shared" si="736"/>
        <v>4.3047532366216543E-2</v>
      </c>
      <c r="DM97" s="694">
        <f t="shared" si="736"/>
        <v>-5.7876531245138668E-2</v>
      </c>
      <c r="DN97" s="694">
        <f t="shared" si="736"/>
        <v>-3.5155314876185818E-2</v>
      </c>
      <c r="DO97" s="694">
        <f t="shared" si="736"/>
        <v>-4.22857843752521E-2</v>
      </c>
      <c r="DP97" s="694">
        <f t="shared" ref="DP97:DQ97" si="737">DP96/DP26</f>
        <v>-5.2733631164518825E-2</v>
      </c>
      <c r="DQ97" s="694">
        <f t="shared" si="737"/>
        <v>-5.325989178628085E-2</v>
      </c>
      <c r="DR97" s="694">
        <f t="shared" ref="DR97" si="738">DR96/DR26</f>
        <v>-5.1909394681780553E-2</v>
      </c>
      <c r="DS97" s="696">
        <f t="shared" si="736"/>
        <v>-5.0116370642480527E-2</v>
      </c>
      <c r="DT97" s="696">
        <f t="shared" ref="DT97:DV97" si="739">DT96/DT26</f>
        <v>-4.8882059021706871E-2</v>
      </c>
      <c r="DU97" s="696">
        <f t="shared" si="739"/>
        <v>-4.7691888642673763E-2</v>
      </c>
      <c r="DV97" s="696">
        <f t="shared" si="739"/>
        <v>-4.6545822264906431E-2</v>
      </c>
      <c r="DY97" s="696">
        <v>-4.8555536777999148E-2</v>
      </c>
      <c r="DZ97" s="696">
        <v>-4.6912730049891632E-2</v>
      </c>
    </row>
    <row r="98" spans="1:130" s="692" customFormat="1">
      <c r="A98" s="1358"/>
      <c r="B98" s="707"/>
      <c r="C98" s="727"/>
      <c r="D98" s="727"/>
      <c r="E98" s="727"/>
      <c r="F98" s="727"/>
      <c r="G98" s="727"/>
      <c r="H98" s="727"/>
      <c r="I98" s="727"/>
      <c r="J98" s="727"/>
      <c r="K98" s="727"/>
      <c r="L98" s="727"/>
      <c r="M98" s="727"/>
      <c r="N98" s="727"/>
      <c r="O98" s="727"/>
      <c r="P98" s="727"/>
      <c r="Q98" s="727"/>
      <c r="R98" s="727"/>
      <c r="S98" s="727"/>
      <c r="T98" s="727"/>
      <c r="U98" s="727"/>
      <c r="V98" s="727"/>
      <c r="W98" s="727"/>
      <c r="X98" s="727"/>
      <c r="Y98" s="727"/>
      <c r="Z98" s="727"/>
      <c r="AA98" s="727"/>
      <c r="AB98" s="727"/>
      <c r="AC98" s="727"/>
      <c r="AD98" s="727"/>
      <c r="AE98" s="727"/>
      <c r="AF98" s="727"/>
      <c r="AG98" s="727"/>
      <c r="AH98" s="727"/>
      <c r="AI98" s="727"/>
      <c r="AJ98" s="727"/>
      <c r="AK98" s="727"/>
      <c r="AL98" s="727"/>
      <c r="AM98" s="727"/>
      <c r="AN98" s="727"/>
      <c r="AO98" s="727"/>
      <c r="AP98" s="727" t="s">
        <v>179</v>
      </c>
      <c r="AQ98" s="727" t="s">
        <v>179</v>
      </c>
      <c r="AR98" s="727" t="s">
        <v>179</v>
      </c>
      <c r="AS98" s="727" t="s">
        <v>179</v>
      </c>
      <c r="AT98" s="727" t="s">
        <v>179</v>
      </c>
      <c r="AU98" s="727" t="s">
        <v>179</v>
      </c>
      <c r="AV98" s="727" t="s">
        <v>179</v>
      </c>
      <c r="AW98" s="727" t="s">
        <v>179</v>
      </c>
      <c r="AX98" s="727" t="s">
        <v>179</v>
      </c>
      <c r="AY98" s="727" t="s">
        <v>179</v>
      </c>
      <c r="AZ98" s="727" t="s">
        <v>179</v>
      </c>
      <c r="BA98" s="727" t="s">
        <v>179</v>
      </c>
      <c r="BB98" s="727" t="s">
        <v>179</v>
      </c>
      <c r="BC98" s="727" t="s">
        <v>179</v>
      </c>
      <c r="BD98" s="727" t="s">
        <v>179</v>
      </c>
      <c r="BE98" s="727" t="s">
        <v>179</v>
      </c>
      <c r="BF98" s="727" t="s">
        <v>179</v>
      </c>
      <c r="BG98" s="727" t="s">
        <v>179</v>
      </c>
      <c r="BH98" s="727" t="s">
        <v>179</v>
      </c>
      <c r="BI98" s="727" t="s">
        <v>179</v>
      </c>
      <c r="BJ98" s="727" t="s">
        <v>179</v>
      </c>
      <c r="BK98" s="727" t="s">
        <v>179</v>
      </c>
      <c r="BL98" s="727" t="s">
        <v>179</v>
      </c>
      <c r="BM98" s="727" t="s">
        <v>179</v>
      </c>
      <c r="BN98" s="727" t="s">
        <v>179</v>
      </c>
      <c r="BO98" s="727" t="s">
        <v>179</v>
      </c>
      <c r="BP98" s="727" t="s">
        <v>179</v>
      </c>
      <c r="BQ98" s="727" t="s">
        <v>179</v>
      </c>
      <c r="BR98" s="727" t="s">
        <v>179</v>
      </c>
      <c r="BS98" s="727" t="s">
        <v>179</v>
      </c>
      <c r="BT98" s="727"/>
      <c r="BU98" s="727" t="s">
        <v>179</v>
      </c>
      <c r="BV98" s="727" t="s">
        <v>179</v>
      </c>
      <c r="BW98" s="727" t="s">
        <v>179</v>
      </c>
      <c r="BX98" s="727" t="s">
        <v>179</v>
      </c>
      <c r="BY98" s="727" t="s">
        <v>179</v>
      </c>
      <c r="BZ98" s="727" t="s">
        <v>179</v>
      </c>
      <c r="CA98" s="727" t="s">
        <v>179</v>
      </c>
      <c r="CB98" s="727" t="s">
        <v>179</v>
      </c>
      <c r="CC98" s="727" t="s">
        <v>179</v>
      </c>
      <c r="CD98" s="727" t="s">
        <v>179</v>
      </c>
      <c r="CE98" s="727" t="s">
        <v>179</v>
      </c>
      <c r="CF98" s="727" t="s">
        <v>179</v>
      </c>
      <c r="CG98" s="727" t="s">
        <v>179</v>
      </c>
      <c r="CH98" s="727" t="s">
        <v>179</v>
      </c>
      <c r="CI98" s="727" t="s">
        <v>179</v>
      </c>
      <c r="CJ98" s="727" t="s">
        <v>179</v>
      </c>
      <c r="CK98" s="727" t="s">
        <v>179</v>
      </c>
      <c r="CL98" s="727" t="s">
        <v>179</v>
      </c>
      <c r="CM98" s="727" t="s">
        <v>179</v>
      </c>
      <c r="CN98" s="727" t="s">
        <v>179</v>
      </c>
      <c r="CO98" s="727" t="s">
        <v>179</v>
      </c>
      <c r="CP98" s="727" t="s">
        <v>179</v>
      </c>
      <c r="CQ98" s="727"/>
      <c r="CR98" s="727"/>
      <c r="CS98" s="727"/>
      <c r="CT98" s="727" t="s">
        <v>179</v>
      </c>
      <c r="CU98" s="695"/>
      <c r="CV98" s="694"/>
      <c r="CW98" s="695"/>
      <c r="CX98" s="695"/>
      <c r="CY98" s="695"/>
      <c r="CZ98" s="695"/>
      <c r="DA98" s="695"/>
      <c r="DB98" s="695"/>
      <c r="DC98" s="695"/>
      <c r="DD98" s="695"/>
      <c r="DE98" s="695"/>
      <c r="DF98" s="727"/>
      <c r="DG98" s="727"/>
      <c r="DH98" s="727"/>
      <c r="DI98" s="727"/>
      <c r="DJ98" s="727"/>
      <c r="DK98" s="727"/>
      <c r="DL98" s="727"/>
      <c r="DM98" s="727"/>
      <c r="DN98" s="727"/>
      <c r="DO98" s="727"/>
      <c r="DP98" s="727"/>
      <c r="DQ98" s="727"/>
      <c r="DR98" s="727"/>
      <c r="DS98" s="727"/>
      <c r="DT98" s="727"/>
      <c r="DU98" s="727"/>
      <c r="DV98" s="727"/>
      <c r="DY98" s="727"/>
      <c r="DZ98" s="727"/>
    </row>
    <row r="99" spans="1:130" s="723" customFormat="1" ht="12.75">
      <c r="A99" s="1359" t="s">
        <v>208</v>
      </c>
      <c r="B99" s="728"/>
      <c r="C99" s="718"/>
      <c r="D99" s="718"/>
      <c r="E99" s="718"/>
      <c r="F99" s="718"/>
      <c r="G99" s="718">
        <v>-2379</v>
      </c>
      <c r="H99" s="718">
        <v>-2775</v>
      </c>
      <c r="I99" s="718">
        <v>-3034</v>
      </c>
      <c r="J99" s="718">
        <v>-3290</v>
      </c>
      <c r="K99" s="718">
        <v>-2910</v>
      </c>
      <c r="L99" s="718">
        <v>-4254</v>
      </c>
      <c r="M99" s="718">
        <v>-4230</v>
      </c>
      <c r="N99" s="718">
        <v>-4706</v>
      </c>
      <c r="O99" s="718">
        <v>-5112</v>
      </c>
      <c r="P99" s="718">
        <v>-7000</v>
      </c>
      <c r="Q99" s="718">
        <v>-7056</v>
      </c>
      <c r="R99" s="718">
        <v>-9905</v>
      </c>
      <c r="S99" s="718">
        <v>-7829</v>
      </c>
      <c r="T99" s="718">
        <v>-10547</v>
      </c>
      <c r="U99" s="718">
        <v>-9061</v>
      </c>
      <c r="V99" s="718">
        <v>-10648</v>
      </c>
      <c r="W99" s="718">
        <v>-7767</v>
      </c>
      <c r="X99" s="718">
        <v>-9636</v>
      </c>
      <c r="Y99" s="718">
        <v>-9667</v>
      </c>
      <c r="Z99" s="718">
        <v>-11431</v>
      </c>
      <c r="AA99" s="718">
        <v>-9571</v>
      </c>
      <c r="AB99" s="718">
        <v>-11872</v>
      </c>
      <c r="AC99" s="718">
        <v>-12363</v>
      </c>
      <c r="AD99" s="718">
        <v>-18540</v>
      </c>
      <c r="AE99" s="718">
        <v>-17629</v>
      </c>
      <c r="AF99" s="718">
        <v>-20167</v>
      </c>
      <c r="AG99" s="718">
        <v>-21205</v>
      </c>
      <c r="AH99" s="718">
        <v>-27541</v>
      </c>
      <c r="AI99" s="718">
        <v>-24735</v>
      </c>
      <c r="AJ99" s="718">
        <v>-29247</v>
      </c>
      <c r="AK99" s="718">
        <v>-25387</v>
      </c>
      <c r="AL99" s="718">
        <v>-28405</v>
      </c>
      <c r="AM99" s="718">
        <v>-27545</v>
      </c>
      <c r="AN99" s="718">
        <v>-30667</v>
      </c>
      <c r="AO99" s="718">
        <v>-31322</v>
      </c>
      <c r="AP99" s="718">
        <v>-33864</v>
      </c>
      <c r="AQ99" s="725">
        <v>-29477.52</v>
      </c>
      <c r="AR99" s="725">
        <v>-34028</v>
      </c>
      <c r="AS99" s="725">
        <v>-37435</v>
      </c>
      <c r="AT99" s="725">
        <v>-44477.508999999998</v>
      </c>
      <c r="AU99" s="725">
        <v>-37620.853289999897</v>
      </c>
      <c r="AV99" s="725">
        <v>-40432.8753800001</v>
      </c>
      <c r="AW99" s="725">
        <v>-37366</v>
      </c>
      <c r="AX99" s="725">
        <v>-44218</v>
      </c>
      <c r="AY99" s="725">
        <v>-41368</v>
      </c>
      <c r="AZ99" s="725">
        <v>-40828</v>
      </c>
      <c r="BA99" s="721">
        <v>-40858</v>
      </c>
      <c r="BB99" s="721">
        <v>-54845</v>
      </c>
      <c r="BC99" s="721">
        <v>-48785</v>
      </c>
      <c r="BD99" s="721">
        <v>-56839</v>
      </c>
      <c r="BE99" s="721">
        <v>-58469</v>
      </c>
      <c r="BF99" s="721">
        <v>-69772</v>
      </c>
      <c r="BG99" s="721">
        <v>-62226</v>
      </c>
      <c r="BH99" s="721">
        <v>-72174</v>
      </c>
      <c r="BI99" s="721">
        <v>-69896</v>
      </c>
      <c r="BJ99" s="721">
        <v>-78766</v>
      </c>
      <c r="BK99" s="721">
        <v>-65655</v>
      </c>
      <c r="BL99" s="721">
        <v>-76757</v>
      </c>
      <c r="BM99" s="721">
        <v>-81478</v>
      </c>
      <c r="BN99" s="721">
        <v>-92209</v>
      </c>
      <c r="BO99" s="721">
        <v>-87571</v>
      </c>
      <c r="BP99" s="721">
        <v>-74857</v>
      </c>
      <c r="BQ99" s="721">
        <v>-91593</v>
      </c>
      <c r="BR99" s="721">
        <v>-103393</v>
      </c>
      <c r="BS99" s="721">
        <v>-91006</v>
      </c>
      <c r="BT99" s="721">
        <v>-98211</v>
      </c>
      <c r="BU99" s="721">
        <v>-101114</v>
      </c>
      <c r="BV99" s="721">
        <v>-114112</v>
      </c>
      <c r="BW99" s="721">
        <v>-113611</v>
      </c>
      <c r="BX99" s="721">
        <v>-129208</v>
      </c>
      <c r="BY99" s="721">
        <v>-111354</v>
      </c>
      <c r="BZ99" s="721">
        <v>-155622</v>
      </c>
      <c r="CA99" s="721">
        <v>-131754</v>
      </c>
      <c r="CB99" s="721">
        <v>-145323</v>
      </c>
      <c r="CC99" s="721">
        <v>-139401</v>
      </c>
      <c r="CD99" s="721">
        <v>-169393</v>
      </c>
      <c r="CE99" s="721">
        <v>-150799</v>
      </c>
      <c r="CF99" s="721">
        <v>-137174</v>
      </c>
      <c r="CG99" s="721">
        <v>-143163</v>
      </c>
      <c r="CH99" s="721">
        <v>-167749</v>
      </c>
      <c r="CI99" s="721">
        <v>-135328</v>
      </c>
      <c r="CJ99" s="721">
        <v>-144714</v>
      </c>
      <c r="CK99" s="721">
        <v>-146804</v>
      </c>
      <c r="CL99" s="722">
        <f>+Cartao!CL124*1000</f>
        <v>-171654.78</v>
      </c>
      <c r="CM99" s="722">
        <f>+Cartao!CM124*1000</f>
        <v>-138657.64666560004</v>
      </c>
      <c r="CN99" s="722">
        <f>+Cartao!CN124*1000</f>
        <v>-148231.89591300001</v>
      </c>
      <c r="CO99" s="722">
        <f>+Cartao!CO124*1000</f>
        <v>-150305.16</v>
      </c>
      <c r="CP99" s="722">
        <f>+Cartao!CP124*1000</f>
        <v>-175087.8756</v>
      </c>
      <c r="CQ99" s="722"/>
      <c r="CR99" s="722"/>
      <c r="CS99" s="722"/>
      <c r="CT99" s="722">
        <v>-171654.78</v>
      </c>
      <c r="CU99" s="718"/>
      <c r="CV99" s="718"/>
      <c r="CW99" s="703">
        <v>-11478</v>
      </c>
      <c r="CX99" s="703">
        <v>-16100</v>
      </c>
      <c r="CY99" s="703">
        <v>-29073</v>
      </c>
      <c r="CZ99" s="703">
        <v>-38085</v>
      </c>
      <c r="DA99" s="703">
        <v>-38501</v>
      </c>
      <c r="DB99" s="703">
        <v>-52346</v>
      </c>
      <c r="DC99" s="703">
        <v>-86542</v>
      </c>
      <c r="DD99" s="703">
        <v>-107774</v>
      </c>
      <c r="DE99" s="703">
        <v>-123398</v>
      </c>
      <c r="DF99" s="703">
        <f>+SUM(AQ99:AT99)</f>
        <v>-145418.02900000001</v>
      </c>
      <c r="DG99" s="703">
        <f>+SUM(AU99:AX99)</f>
        <v>-159637.72866999998</v>
      </c>
      <c r="DH99" s="703">
        <f>+SUM(AY99:BB99)</f>
        <v>-177899</v>
      </c>
      <c r="DI99" s="703">
        <f>+SUM(BC99:BF99)</f>
        <v>-233865</v>
      </c>
      <c r="DJ99" s="703">
        <f>+SUM(BG99:BJ99)</f>
        <v>-283062</v>
      </c>
      <c r="DK99" s="703">
        <f>+SUM(BK99:BN99)</f>
        <v>-316099</v>
      </c>
      <c r="DL99" s="703">
        <f>+SUM(BO99:BR99)</f>
        <v>-357414</v>
      </c>
      <c r="DM99" s="703">
        <f>+SUM(BS99:BV99)</f>
        <v>-404443</v>
      </c>
      <c r="DN99" s="703">
        <f>+SUM(BW99:BZ99)</f>
        <v>-509795</v>
      </c>
      <c r="DO99" s="703">
        <f>+SUM(CA99:CD99)</f>
        <v>-585871</v>
      </c>
      <c r="DP99" s="703">
        <f>+SUM(CE99:CH99)</f>
        <v>-598885</v>
      </c>
      <c r="DQ99" s="703">
        <f>+SUM(CI99:CL99)</f>
        <v>-598500.78</v>
      </c>
      <c r="DR99" s="703">
        <f>+SUM(CM99:CP99)</f>
        <v>-612282.57817860006</v>
      </c>
      <c r="DS99" s="1403">
        <f>+Cartao!DR124*1000</f>
        <v>-630651.05552395806</v>
      </c>
      <c r="DT99" s="1403">
        <f>+Cartao!DS124*1000</f>
        <v>-649570.58718967671</v>
      </c>
      <c r="DU99" s="1403">
        <f>+Cartao!DT124*1000</f>
        <v>-669057.70480536704</v>
      </c>
      <c r="DV99" s="1403">
        <f>+Cartao!DU124*1000</f>
        <v>-689129.43594952812</v>
      </c>
      <c r="DY99" s="1403">
        <v>-618285.34855290013</v>
      </c>
      <c r="DZ99" s="1403">
        <v>-636833.90900948714</v>
      </c>
    </row>
    <row r="100" spans="1:130" s="1983" customFormat="1">
      <c r="A100" s="1358" t="s">
        <v>209</v>
      </c>
      <c r="B100" s="707"/>
      <c r="C100" s="694"/>
      <c r="D100" s="694"/>
      <c r="E100" s="694"/>
      <c r="F100" s="694"/>
      <c r="G100" s="694">
        <f t="shared" ref="G100:BR100" si="740">+G99/G34</f>
        <v>-0.1951279527559055</v>
      </c>
      <c r="H100" s="694">
        <f t="shared" si="740"/>
        <v>-0.16682698088252976</v>
      </c>
      <c r="I100" s="694">
        <f t="shared" si="740"/>
        <v>-0.18439285280175033</v>
      </c>
      <c r="J100" s="694">
        <f t="shared" si="740"/>
        <v>-0.16116390712256295</v>
      </c>
      <c r="K100" s="694">
        <f t="shared" si="740"/>
        <v>-0.18467982483975376</v>
      </c>
      <c r="L100" s="694">
        <f t="shared" si="740"/>
        <v>-0.18375016198004407</v>
      </c>
      <c r="M100" s="694">
        <f t="shared" si="740"/>
        <v>-0.16105696009747184</v>
      </c>
      <c r="N100" s="694">
        <f t="shared" si="740"/>
        <v>-0.15707610146862483</v>
      </c>
      <c r="O100" s="694">
        <f t="shared" si="740"/>
        <v>-0.13741935483870968</v>
      </c>
      <c r="P100" s="694">
        <f t="shared" si="740"/>
        <v>-0.15053763440860216</v>
      </c>
      <c r="Q100" s="694">
        <f t="shared" si="740"/>
        <v>-0.14518518518518519</v>
      </c>
      <c r="R100" s="694">
        <f t="shared" si="740"/>
        <v>-0.21174483731668733</v>
      </c>
      <c r="S100" s="694">
        <f t="shared" si="740"/>
        <v>-0.16170942289420415</v>
      </c>
      <c r="T100" s="694">
        <f t="shared" si="740"/>
        <v>-0.18666926249092936</v>
      </c>
      <c r="U100" s="694">
        <f t="shared" si="740"/>
        <v>-0.1453574178644764</v>
      </c>
      <c r="V100" s="694">
        <f t="shared" si="740"/>
        <v>-0.17825395496777433</v>
      </c>
      <c r="W100" s="694">
        <f t="shared" si="740"/>
        <v>-0.13750553244224131</v>
      </c>
      <c r="X100" s="694">
        <f t="shared" si="740"/>
        <v>-0.16420708223986913</v>
      </c>
      <c r="Y100" s="694">
        <f t="shared" si="740"/>
        <v>-0.14740549854378554</v>
      </c>
      <c r="Z100" s="694">
        <f t="shared" si="740"/>
        <v>-0.17083887552121474</v>
      </c>
      <c r="AA100" s="694">
        <f t="shared" si="740"/>
        <v>-0.1462360005500466</v>
      </c>
      <c r="AB100" s="694">
        <f t="shared" si="740"/>
        <v>-0.16482250204778631</v>
      </c>
      <c r="AC100" s="694">
        <f t="shared" si="740"/>
        <v>-0.16454820118988994</v>
      </c>
      <c r="AD100" s="694">
        <f t="shared" si="740"/>
        <v>-0.24380942361558591</v>
      </c>
      <c r="AE100" s="694">
        <f t="shared" si="740"/>
        <v>-0.21748087836170737</v>
      </c>
      <c r="AF100" s="694">
        <f t="shared" si="740"/>
        <v>-0.23242975359011595</v>
      </c>
      <c r="AG100" s="694">
        <f t="shared" si="740"/>
        <v>-0.24992339061358226</v>
      </c>
      <c r="AH100" s="694">
        <f t="shared" si="740"/>
        <v>-0.30856880363905259</v>
      </c>
      <c r="AI100" s="694">
        <f t="shared" si="740"/>
        <v>-0.27459839914739614</v>
      </c>
      <c r="AJ100" s="694">
        <f t="shared" si="740"/>
        <v>-0.29163882933639129</v>
      </c>
      <c r="AK100" s="694">
        <f t="shared" si="740"/>
        <v>-0.2493860390184483</v>
      </c>
      <c r="AL100" s="694">
        <f t="shared" si="740"/>
        <v>-0.26206775657821901</v>
      </c>
      <c r="AM100" s="694">
        <f t="shared" si="740"/>
        <v>-0.25713672261533577</v>
      </c>
      <c r="AN100" s="694">
        <f t="shared" si="740"/>
        <v>-0.27091228721101779</v>
      </c>
      <c r="AO100" s="694">
        <f t="shared" si="740"/>
        <v>-0.27351397609088607</v>
      </c>
      <c r="AP100" s="694">
        <f t="shared" si="740"/>
        <v>-0.27817115444643414</v>
      </c>
      <c r="AQ100" s="694">
        <f t="shared" si="740"/>
        <v>-0.23753420683653242</v>
      </c>
      <c r="AR100" s="694">
        <f t="shared" si="740"/>
        <v>-0.23625633548566272</v>
      </c>
      <c r="AS100" s="694">
        <f t="shared" si="740"/>
        <v>-0.23887768645668486</v>
      </c>
      <c r="AT100" s="694">
        <f t="shared" si="740"/>
        <v>-0.2993264038440831</v>
      </c>
      <c r="AU100" s="694">
        <f t="shared" si="740"/>
        <v>-0.23072917406716811</v>
      </c>
      <c r="AV100" s="694">
        <f t="shared" si="740"/>
        <v>-0.22194524704267929</v>
      </c>
      <c r="AW100" s="694">
        <f t="shared" si="740"/>
        <v>-0.21694147700882491</v>
      </c>
      <c r="AX100" s="694">
        <f t="shared" si="740"/>
        <v>-0.24999010623081316</v>
      </c>
      <c r="AY100" s="694">
        <f t="shared" si="740"/>
        <v>-0.24160587778368309</v>
      </c>
      <c r="AZ100" s="694">
        <f t="shared" si="740"/>
        <v>-0.22323557071933162</v>
      </c>
      <c r="BA100" s="694">
        <f t="shared" si="740"/>
        <v>-0.22036448754388899</v>
      </c>
      <c r="BB100" s="694">
        <f t="shared" si="740"/>
        <v>-0.28820586658819325</v>
      </c>
      <c r="BC100" s="694">
        <f t="shared" si="740"/>
        <v>-0.27006753764393271</v>
      </c>
      <c r="BD100" s="694">
        <f t="shared" si="740"/>
        <v>-0.28323765672028545</v>
      </c>
      <c r="BE100" s="694">
        <f t="shared" si="740"/>
        <v>-0.25008233568150418</v>
      </c>
      <c r="BF100" s="694">
        <f t="shared" si="740"/>
        <v>-0.30452563537406652</v>
      </c>
      <c r="BG100" s="694">
        <f t="shared" si="740"/>
        <v>-0.27117742933593647</v>
      </c>
      <c r="BH100" s="694">
        <f t="shared" si="740"/>
        <v>-0.30064232336107571</v>
      </c>
      <c r="BI100" s="694">
        <f t="shared" si="740"/>
        <v>-0.30150068801304419</v>
      </c>
      <c r="BJ100" s="694">
        <f t="shared" si="740"/>
        <v>-0.32853525979253301</v>
      </c>
      <c r="BK100" s="694">
        <f t="shared" si="740"/>
        <v>-0.2715485151790884</v>
      </c>
      <c r="BL100" s="694">
        <f t="shared" si="740"/>
        <v>-0.28154275024758829</v>
      </c>
      <c r="BM100" s="694">
        <f t="shared" si="740"/>
        <v>-0.2772954521476631</v>
      </c>
      <c r="BN100" s="694">
        <f t="shared" si="740"/>
        <v>-0.30182682330451749</v>
      </c>
      <c r="BO100" s="694">
        <f t="shared" si="740"/>
        <v>-0.27926117972708808</v>
      </c>
      <c r="BP100" s="694">
        <f t="shared" si="740"/>
        <v>-0.27841335961617136</v>
      </c>
      <c r="BQ100" s="694">
        <f t="shared" si="740"/>
        <v>-0.65969231212457324</v>
      </c>
      <c r="BR100" s="694">
        <f t="shared" si="740"/>
        <v>-0.66569445517525561</v>
      </c>
      <c r="BS100" s="694">
        <f t="shared" ref="BS100:CH100" si="741">+BS99/BS34</f>
        <v>-0.41942694386962676</v>
      </c>
      <c r="BT100" s="694">
        <f t="shared" si="741"/>
        <v>-0.42410934058815908</v>
      </c>
      <c r="BU100" s="694">
        <f t="shared" si="741"/>
        <v>-0.39441426115572747</v>
      </c>
      <c r="BV100" s="694">
        <f t="shared" si="741"/>
        <v>-0.36701664345905333</v>
      </c>
      <c r="BW100" s="694">
        <f t="shared" si="741"/>
        <v>-0.29635667872672872</v>
      </c>
      <c r="BX100" s="694">
        <f t="shared" si="741"/>
        <v>-0.2867516511611391</v>
      </c>
      <c r="BY100" s="694">
        <f t="shared" si="741"/>
        <v>-0.27692353603855652</v>
      </c>
      <c r="BZ100" s="694">
        <f t="shared" si="741"/>
        <v>-0.33883905242989026</v>
      </c>
      <c r="CA100" s="694">
        <f t="shared" si="741"/>
        <v>-0.2649423981435492</v>
      </c>
      <c r="CB100" s="694">
        <f t="shared" si="741"/>
        <v>-0.28012506288805061</v>
      </c>
      <c r="CC100" s="694">
        <f t="shared" si="741"/>
        <v>-0.30239484587518167</v>
      </c>
      <c r="CD100" s="694">
        <f t="shared" si="741"/>
        <v>-0.36471976350369362</v>
      </c>
      <c r="CE100" s="694">
        <f t="shared" si="741"/>
        <v>-0.33739341720494104</v>
      </c>
      <c r="CF100" s="694">
        <f t="shared" si="741"/>
        <v>-0.31142784492857595</v>
      </c>
      <c r="CG100" s="694">
        <f t="shared" si="741"/>
        <v>-0.32944584945128025</v>
      </c>
      <c r="CH100" s="694">
        <f t="shared" si="741"/>
        <v>-0.37914690871941381</v>
      </c>
      <c r="CI100" s="694">
        <f t="shared" ref="CI100:CL100" si="742">+CI99/CI34</f>
        <v>-0.27025817995910023</v>
      </c>
      <c r="CJ100" s="694">
        <f t="shared" si="742"/>
        <v>-0.27942621795453537</v>
      </c>
      <c r="CK100" s="694">
        <f t="shared" si="742"/>
        <v>-0.30311176632123604</v>
      </c>
      <c r="CL100" s="694">
        <f t="shared" si="742"/>
        <v>-0.37659973082826959</v>
      </c>
      <c r="CM100" s="694">
        <f t="shared" ref="CM100:CP100" si="743">+CM99/CM34</f>
        <v>-0.27819284359610708</v>
      </c>
      <c r="CN100" s="694">
        <f t="shared" si="743"/>
        <v>-0.29372959361747725</v>
      </c>
      <c r="CO100" s="694">
        <f t="shared" si="743"/>
        <v>-0.295713458317516</v>
      </c>
      <c r="CP100" s="694">
        <f t="shared" si="743"/>
        <v>-0.34395820193782128</v>
      </c>
      <c r="CQ100" s="694"/>
      <c r="CR100" s="694"/>
      <c r="CS100" s="694"/>
      <c r="CT100" s="694">
        <v>-0.37659973082826959</v>
      </c>
      <c r="CU100" s="695"/>
      <c r="CV100" s="695"/>
      <c r="CW100" s="694"/>
      <c r="CX100" s="694"/>
      <c r="CY100" s="694"/>
      <c r="CZ100" s="694"/>
      <c r="DA100" s="694"/>
      <c r="DB100" s="694"/>
      <c r="DC100" s="694"/>
      <c r="DD100" s="694"/>
      <c r="DE100" s="694"/>
      <c r="DF100" s="694"/>
      <c r="DG100" s="694"/>
      <c r="DH100" s="694"/>
      <c r="DI100" s="694">
        <f>+DI99/DI34</f>
        <v>-0.27701508590055812</v>
      </c>
      <c r="DJ100" s="694">
        <f t="shared" ref="DJ100:DP100" si="744">+DJ99/DJ34</f>
        <v>-0.3007752563999031</v>
      </c>
      <c r="DK100" s="694">
        <f t="shared" si="744"/>
        <v>-0.28381656825985146</v>
      </c>
      <c r="DL100" s="694">
        <f t="shared" si="744"/>
        <v>-0.40772339777483463</v>
      </c>
      <c r="DM100" s="694">
        <f t="shared" si="744"/>
        <v>-0.39814053510333236</v>
      </c>
      <c r="DN100" s="694">
        <f t="shared" si="744"/>
        <v>-0.3007033389133284</v>
      </c>
      <c r="DO100" s="694">
        <f t="shared" si="744"/>
        <v>-0.30176064082113446</v>
      </c>
      <c r="DP100" s="694">
        <f t="shared" si="744"/>
        <v>-0.33942392270303601</v>
      </c>
      <c r="DQ100" s="694">
        <f t="shared" ref="DQ100:DR100" si="745">+DQ99/DQ34</f>
        <v>-0.30555121453954881</v>
      </c>
      <c r="DR100" s="694">
        <f t="shared" si="745"/>
        <v>-0.30305092444623444</v>
      </c>
      <c r="DS100" s="694">
        <f t="shared" ref="DS100" si="746">+DS99/DS34</f>
        <v>-0.29161223566432104</v>
      </c>
      <c r="DT100" s="694">
        <f t="shared" ref="DT100" si="747">+DT99/DT34</f>
        <v>-0.29936791363363219</v>
      </c>
      <c r="DU100" s="694">
        <f t="shared" ref="DU100" si="748">+DU99/DU34</f>
        <v>-0.30713385483774297</v>
      </c>
      <c r="DV100" s="694">
        <f t="shared" ref="DV100" si="749">+DV99/DV34</f>
        <v>-0.3149844454560411</v>
      </c>
      <c r="DY100" s="694">
        <v>-0.32581856131591541</v>
      </c>
      <c r="DZ100" s="694">
        <v>-0.33448297295835855</v>
      </c>
    </row>
    <row r="101" spans="1:130" s="692" customFormat="1">
      <c r="A101" s="1358"/>
      <c r="B101" s="707"/>
      <c r="C101" s="694"/>
      <c r="D101" s="694"/>
      <c r="E101" s="694"/>
      <c r="F101" s="694"/>
      <c r="G101" s="694"/>
      <c r="H101" s="694"/>
      <c r="I101" s="694"/>
      <c r="J101" s="694"/>
      <c r="K101" s="694"/>
      <c r="L101" s="694"/>
      <c r="M101" s="694"/>
      <c r="N101" s="694"/>
      <c r="O101" s="694"/>
      <c r="P101" s="694"/>
      <c r="Q101" s="694"/>
      <c r="R101" s="694"/>
      <c r="S101" s="694"/>
      <c r="T101" s="694"/>
      <c r="U101" s="694"/>
      <c r="V101" s="694"/>
      <c r="W101" s="694"/>
      <c r="X101" s="694"/>
      <c r="Y101" s="694"/>
      <c r="Z101" s="694"/>
      <c r="AA101" s="694"/>
      <c r="AB101" s="694"/>
      <c r="AC101" s="694"/>
      <c r="AD101" s="694"/>
      <c r="AE101" s="694"/>
      <c r="AF101" s="694"/>
      <c r="AG101" s="694"/>
      <c r="AH101" s="694"/>
      <c r="AI101" s="694"/>
      <c r="AJ101" s="694"/>
      <c r="AK101" s="694"/>
      <c r="AL101" s="694"/>
      <c r="AM101" s="694"/>
      <c r="AN101" s="694"/>
      <c r="AO101" s="694"/>
      <c r="AP101" s="694"/>
      <c r="AQ101" s="694"/>
      <c r="AR101" s="694"/>
      <c r="AS101" s="694"/>
      <c r="AT101" s="727"/>
      <c r="AU101" s="727"/>
      <c r="AV101" s="727"/>
      <c r="AW101" s="727"/>
      <c r="AX101" s="727"/>
      <c r="AY101" s="727"/>
      <c r="AZ101" s="727"/>
      <c r="BA101" s="694"/>
      <c r="BB101" s="694"/>
      <c r="BC101" s="708"/>
      <c r="BD101" s="708"/>
      <c r="BE101" s="708"/>
      <c r="BF101" s="708"/>
      <c r="BG101" s="708"/>
      <c r="BH101" s="708"/>
      <c r="BI101" s="708"/>
      <c r="BJ101" s="708"/>
      <c r="BK101" s="708"/>
      <c r="BL101" s="708"/>
      <c r="BM101" s="708"/>
      <c r="BN101" s="708"/>
      <c r="BO101" s="708"/>
      <c r="BP101" s="708"/>
      <c r="BQ101" s="708"/>
      <c r="BR101" s="708"/>
      <c r="BS101" s="708"/>
      <c r="BT101" s="708"/>
      <c r="BU101" s="708"/>
      <c r="BV101" s="708"/>
      <c r="BW101" s="708"/>
      <c r="BX101" s="708"/>
      <c r="BY101" s="708"/>
      <c r="BZ101" s="708"/>
      <c r="CA101" s="708"/>
      <c r="CB101" s="708"/>
      <c r="CC101" s="708"/>
      <c r="CD101" s="708"/>
      <c r="CE101" s="708"/>
      <c r="CF101" s="708"/>
      <c r="CG101" s="708"/>
      <c r="CH101" s="708"/>
      <c r="CI101" s="708"/>
      <c r="CJ101" s="708"/>
      <c r="CK101" s="708"/>
      <c r="CL101" s="708"/>
      <c r="CM101" s="708"/>
      <c r="CN101" s="708"/>
      <c r="CO101" s="708"/>
      <c r="CP101" s="708"/>
      <c r="CQ101" s="708"/>
      <c r="CR101" s="708"/>
      <c r="CS101" s="708"/>
      <c r="CT101" s="708"/>
      <c r="CU101" s="695"/>
      <c r="CV101" s="695"/>
      <c r="CW101" s="694"/>
      <c r="CX101" s="694"/>
      <c r="CY101" s="694"/>
      <c r="CZ101" s="694"/>
      <c r="DA101" s="694"/>
      <c r="DB101" s="694"/>
      <c r="DC101" s="694"/>
      <c r="DD101" s="694"/>
      <c r="DE101" s="694"/>
      <c r="DF101" s="708"/>
      <c r="DG101" s="708"/>
      <c r="DH101" s="708"/>
      <c r="DI101" s="708"/>
      <c r="DJ101" s="708"/>
      <c r="DK101" s="708"/>
      <c r="DL101" s="708"/>
      <c r="DM101" s="708"/>
      <c r="DN101" s="708"/>
      <c r="DO101" s="708"/>
      <c r="DP101" s="708"/>
      <c r="DQ101" s="708"/>
      <c r="DR101" s="708"/>
      <c r="DS101" s="708"/>
      <c r="DT101" s="708"/>
      <c r="DU101" s="708"/>
      <c r="DV101" s="708"/>
      <c r="DY101" s="708"/>
      <c r="DZ101" s="708"/>
    </row>
    <row r="102" spans="1:130" s="723" customFormat="1" ht="12.75">
      <c r="A102" s="1359" t="s">
        <v>210</v>
      </c>
      <c r="B102" s="728"/>
      <c r="C102" s="718"/>
      <c r="D102" s="718"/>
      <c r="E102" s="718"/>
      <c r="F102" s="718"/>
      <c r="G102" s="718">
        <v>-250</v>
      </c>
      <c r="H102" s="718">
        <v>-777</v>
      </c>
      <c r="I102" s="718">
        <v>-726</v>
      </c>
      <c r="J102" s="718">
        <v>-1363</v>
      </c>
      <c r="K102" s="718">
        <v>-856</v>
      </c>
      <c r="L102" s="718">
        <v>-884</v>
      </c>
      <c r="M102" s="718">
        <v>-914</v>
      </c>
      <c r="N102" s="718">
        <v>-1677</v>
      </c>
      <c r="O102" s="718">
        <v>-1176</v>
      </c>
      <c r="P102" s="718">
        <v>-1470</v>
      </c>
      <c r="Q102" s="718">
        <v>-959</v>
      </c>
      <c r="R102" s="718">
        <v>-1823</v>
      </c>
      <c r="S102" s="718">
        <v>-1023</v>
      </c>
      <c r="T102" s="718">
        <v>-1137</v>
      </c>
      <c r="U102" s="718">
        <v>-1157</v>
      </c>
      <c r="V102" s="718">
        <v>-1215</v>
      </c>
      <c r="W102" s="718">
        <v>-1335</v>
      </c>
      <c r="X102" s="718">
        <v>-1334</v>
      </c>
      <c r="Y102" s="718">
        <v>-1252</v>
      </c>
      <c r="Z102" s="718">
        <v>-2105</v>
      </c>
      <c r="AA102" s="718">
        <v>-1801</v>
      </c>
      <c r="AB102" s="718">
        <v>-1908</v>
      </c>
      <c r="AC102" s="718">
        <v>-1441</v>
      </c>
      <c r="AD102" s="718">
        <v>-1961</v>
      </c>
      <c r="AE102" s="718">
        <v>-1413</v>
      </c>
      <c r="AF102" s="718">
        <v>-1607</v>
      </c>
      <c r="AG102" s="718">
        <v>-1528</v>
      </c>
      <c r="AH102" s="718">
        <v>-1565</v>
      </c>
      <c r="AI102" s="718">
        <v>-1653</v>
      </c>
      <c r="AJ102" s="718">
        <v>-1752</v>
      </c>
      <c r="AK102" s="718">
        <v>-1764</v>
      </c>
      <c r="AL102" s="718">
        <v>-1762</v>
      </c>
      <c r="AM102" s="718">
        <v>-1873</v>
      </c>
      <c r="AN102" s="718">
        <v>-1887</v>
      </c>
      <c r="AO102" s="718">
        <v>-1916</v>
      </c>
      <c r="AP102" s="718">
        <v>-1827</v>
      </c>
      <c r="AQ102" s="725">
        <v>-2033</v>
      </c>
      <c r="AR102" s="725">
        <v>-4019</v>
      </c>
      <c r="AS102" s="725">
        <v>-2102</v>
      </c>
      <c r="AT102" s="725">
        <f>-11858-AS102-AR102-AQ102</f>
        <v>-3704</v>
      </c>
      <c r="AU102" s="725">
        <v>-2294.39</v>
      </c>
      <c r="AV102" s="725">
        <v>-2673.2147</v>
      </c>
      <c r="AW102" s="725">
        <v>-2285</v>
      </c>
      <c r="AX102" s="725">
        <v>-2719</v>
      </c>
      <c r="AY102" s="725">
        <v>-2065</v>
      </c>
      <c r="AZ102" s="725">
        <v>-2526</v>
      </c>
      <c r="BA102" s="721">
        <v>-2598</v>
      </c>
      <c r="BB102" s="721">
        <v>-2608</v>
      </c>
      <c r="BC102" s="721">
        <v>-2786</v>
      </c>
      <c r="BD102" s="721">
        <v>-3483</v>
      </c>
      <c r="BE102" s="721">
        <v>-2962</v>
      </c>
      <c r="BF102" s="721">
        <v>-2985</v>
      </c>
      <c r="BG102" s="721">
        <v>-3050</v>
      </c>
      <c r="BH102" s="721">
        <v>-3091</v>
      </c>
      <c r="BI102" s="721">
        <v>-3077</v>
      </c>
      <c r="BJ102" s="721">
        <v>-2901</v>
      </c>
      <c r="BK102" s="897"/>
      <c r="BL102" s="721"/>
      <c r="BM102" s="721"/>
      <c r="BN102" s="721"/>
      <c r="BO102" s="721"/>
      <c r="BP102" s="721"/>
      <c r="BQ102" s="721"/>
      <c r="BR102" s="721"/>
      <c r="BS102" s="721"/>
      <c r="BT102" s="721"/>
      <c r="BU102" s="721"/>
      <c r="BV102" s="721"/>
      <c r="BW102" s="721"/>
      <c r="BX102" s="721"/>
      <c r="BY102" s="721"/>
      <c r="BZ102" s="721"/>
      <c r="CA102" s="721"/>
      <c r="CB102" s="721"/>
      <c r="CC102" s="721"/>
      <c r="CD102" s="721"/>
      <c r="CE102" s="721"/>
      <c r="CF102" s="721"/>
      <c r="CG102" s="721"/>
      <c r="CH102" s="721"/>
      <c r="CI102" s="721"/>
      <c r="CJ102" s="721"/>
      <c r="CK102" s="721"/>
      <c r="CL102" s="722"/>
      <c r="CM102" s="722"/>
      <c r="CN102" s="722"/>
      <c r="CO102" s="722"/>
      <c r="CP102" s="722"/>
      <c r="CQ102" s="722"/>
      <c r="CR102" s="722"/>
      <c r="CS102" s="722"/>
      <c r="CT102" s="722"/>
      <c r="CU102" s="718"/>
      <c r="CV102" s="718"/>
      <c r="CW102" s="703">
        <v>-3116</v>
      </c>
      <c r="CX102" s="703">
        <v>-4331</v>
      </c>
      <c r="CY102" s="703">
        <v>-5428</v>
      </c>
      <c r="CZ102" s="703">
        <v>-4532</v>
      </c>
      <c r="DA102" s="703">
        <v>-6026</v>
      </c>
      <c r="DB102" s="703">
        <v>-7111</v>
      </c>
      <c r="DC102" s="703">
        <v>-6113</v>
      </c>
      <c r="DD102" s="703">
        <v>-6931</v>
      </c>
      <c r="DE102" s="703">
        <v>-7503</v>
      </c>
      <c r="DF102" s="703">
        <f>+SUM(AQ102:AT102)</f>
        <v>-11858</v>
      </c>
      <c r="DG102" s="703">
        <f>+SUM(AU102:AX102)</f>
        <v>-9971.6046999999999</v>
      </c>
      <c r="DH102" s="703">
        <f>+SUM(AY102:BB102)</f>
        <v>-9797</v>
      </c>
      <c r="DI102" s="703">
        <f>+SUM(BC102:BF102)</f>
        <v>-12216</v>
      </c>
      <c r="DJ102" s="1402">
        <f>+SUM(BG102:BJ102)</f>
        <v>-12119</v>
      </c>
      <c r="DK102" s="703"/>
      <c r="DL102" s="703"/>
      <c r="DM102" s="703"/>
      <c r="DN102" s="703"/>
      <c r="DO102" s="703"/>
      <c r="DP102" s="703"/>
      <c r="DQ102" s="703"/>
      <c r="DR102" s="703"/>
      <c r="DS102" s="719"/>
      <c r="DT102" s="719"/>
      <c r="DU102" s="719"/>
      <c r="DV102" s="719"/>
      <c r="DY102" s="719"/>
      <c r="DZ102" s="719"/>
    </row>
    <row r="103" spans="1:130" s="692" customFormat="1">
      <c r="A103" s="1360" t="s">
        <v>211</v>
      </c>
      <c r="B103" s="729"/>
      <c r="C103" s="727"/>
      <c r="D103" s="727"/>
      <c r="E103" s="727"/>
      <c r="F103" s="727"/>
      <c r="G103" s="694">
        <v>-1.1893208502216895E-3</v>
      </c>
      <c r="H103" s="694">
        <v>-2.6269347019088384E-3</v>
      </c>
      <c r="I103" s="694">
        <v>-2.6704234055622785E-3</v>
      </c>
      <c r="J103" s="694">
        <v>-3.2125390371810737E-3</v>
      </c>
      <c r="K103" s="694">
        <v>-3.2089731285988485E-3</v>
      </c>
      <c r="L103" s="694">
        <v>-2.3210628577430025E-3</v>
      </c>
      <c r="M103" s="694">
        <v>-2.6356235960402208E-3</v>
      </c>
      <c r="N103" s="694">
        <v>-3.1238415986916002E-3</v>
      </c>
      <c r="O103" s="694">
        <v>-3.3836371221821005E-3</v>
      </c>
      <c r="P103" s="694">
        <v>-2.9946707084535277E-3</v>
      </c>
      <c r="Q103" s="694">
        <v>-2.1598515355440843E-3</v>
      </c>
      <c r="R103" s="694">
        <v>-2.8111025443330762E-3</v>
      </c>
      <c r="S103" s="694">
        <v>-2.3691688455454761E-3</v>
      </c>
      <c r="T103" s="694">
        <v>-2.0076031125793904E-3</v>
      </c>
      <c r="U103" s="694">
        <v>-2.2625496216047091E-3</v>
      </c>
      <c r="V103" s="694">
        <v>-1.8040276587878419E-3</v>
      </c>
      <c r="W103" s="694">
        <v>-3.1851388815987251E-3</v>
      </c>
      <c r="X103" s="694">
        <v>-2.1747139778355239E-3</v>
      </c>
      <c r="Y103" s="694">
        <v>-2.2668387919125275E-3</v>
      </c>
      <c r="Z103" s="694">
        <v>-2.70298381163092E-3</v>
      </c>
      <c r="AA103" s="694">
        <v>-3.5614352524743174E-3</v>
      </c>
      <c r="AB103" s="694">
        <v>-2.7178790287428526E-3</v>
      </c>
      <c r="AC103" s="694">
        <v>-2.2380189882166206E-3</v>
      </c>
      <c r="AD103" s="694">
        <v>-2.1794894593176787E-3</v>
      </c>
      <c r="AE103" s="694">
        <v>-2.3598494907033957E-3</v>
      </c>
      <c r="AF103" s="694">
        <v>-1.9212858627075664E-3</v>
      </c>
      <c r="AG103" s="694">
        <v>-2.0595156903286328E-3</v>
      </c>
      <c r="AH103" s="694">
        <v>-1.4744204538388633E-3</v>
      </c>
      <c r="AI103" s="694">
        <v>-2.3305455140171104E-3</v>
      </c>
      <c r="AJ103" s="694">
        <v>-1.8336832542435325E-3</v>
      </c>
      <c r="AK103" s="694">
        <v>-1.9490463594598357E-3</v>
      </c>
      <c r="AL103" s="694">
        <v>-1.3630175134599913E-3</v>
      </c>
      <c r="AM103" s="694">
        <v>-2.2461992701351438E-3</v>
      </c>
      <c r="AN103" s="694">
        <v>-1.7795138070279008E-3</v>
      </c>
      <c r="AO103" s="694">
        <v>-1.8757923901178244E-3</v>
      </c>
      <c r="AP103" s="694">
        <v>-1.2559359644515814E-3</v>
      </c>
      <c r="AQ103" s="694">
        <f t="shared" ref="AQ103:BD103" si="750">+AQ102/AQ$26</f>
        <v>-2.1659595957443634E-3</v>
      </c>
      <c r="AR103" s="694">
        <f t="shared" si="750"/>
        <v>-3.2018087550628252E-3</v>
      </c>
      <c r="AS103" s="694">
        <f t="shared" si="750"/>
        <v>-1.7461328805460695E-3</v>
      </c>
      <c r="AT103" s="694">
        <f t="shared" si="750"/>
        <v>-2.036956685523914E-3</v>
      </c>
      <c r="AU103" s="694">
        <f t="shared" si="750"/>
        <v>-1.9544238368512374E-3</v>
      </c>
      <c r="AV103" s="694">
        <f t="shared" si="750"/>
        <v>-1.7399199167404864E-3</v>
      </c>
      <c r="AW103" s="694">
        <f t="shared" si="750"/>
        <v>-1.6084696308966955E-3</v>
      </c>
      <c r="AX103" s="694">
        <f t="shared" si="750"/>
        <v>-1.349885440946856E-3</v>
      </c>
      <c r="AY103" s="694">
        <f t="shared" si="750"/>
        <v>-1.6554844636991941E-3</v>
      </c>
      <c r="AZ103" s="694">
        <f t="shared" si="750"/>
        <v>-1.5331577222350357E-3</v>
      </c>
      <c r="BA103" s="694">
        <f t="shared" si="750"/>
        <v>-1.796892993569779E-3</v>
      </c>
      <c r="BB103" s="694">
        <f t="shared" si="750"/>
        <v>-1.2355493314863261E-3</v>
      </c>
      <c r="BC103" s="694">
        <f t="shared" si="750"/>
        <v>-1.9684538663938436E-3</v>
      </c>
      <c r="BD103" s="694">
        <f t="shared" si="750"/>
        <v>-1.9021020876703592E-3</v>
      </c>
      <c r="BE103" s="694">
        <f t="shared" ref="BE103:BJ103" si="751">+BE102/BE$26</f>
        <v>-1.6960828045719796E-3</v>
      </c>
      <c r="BF103" s="694">
        <f t="shared" si="751"/>
        <v>-1.2176357714874981E-3</v>
      </c>
      <c r="BG103" s="694">
        <f t="shared" si="751"/>
        <v>-1.8731364595264343E-3</v>
      </c>
      <c r="BH103" s="694">
        <f t="shared" si="751"/>
        <v>-1.5301245435243951E-3</v>
      </c>
      <c r="BI103" s="694">
        <f t="shared" si="751"/>
        <v>-1.5833988580179572E-3</v>
      </c>
      <c r="BJ103" s="694">
        <f t="shared" si="751"/>
        <v>-1.0233269873655628E-3</v>
      </c>
      <c r="BK103" s="898"/>
      <c r="BL103" s="694"/>
      <c r="BM103" s="694"/>
      <c r="BN103" s="694"/>
      <c r="BO103" s="694"/>
      <c r="BP103" s="694"/>
      <c r="BQ103" s="694"/>
      <c r="BR103" s="694"/>
      <c r="BS103" s="694"/>
      <c r="BT103" s="694"/>
      <c r="BU103" s="694"/>
      <c r="BV103" s="694"/>
      <c r="BW103" s="694"/>
      <c r="BX103" s="694"/>
      <c r="BY103" s="694"/>
      <c r="BZ103" s="694"/>
      <c r="CA103" s="694"/>
      <c r="CB103" s="694"/>
      <c r="CC103" s="694"/>
      <c r="CD103" s="694"/>
      <c r="CE103" s="694"/>
      <c r="CF103" s="694"/>
      <c r="CG103" s="694"/>
      <c r="CH103" s="694"/>
      <c r="CI103" s="694"/>
      <c r="CJ103" s="694"/>
      <c r="CK103" s="694"/>
      <c r="CL103" s="724"/>
      <c r="CM103" s="724"/>
      <c r="CN103" s="724"/>
      <c r="CO103" s="724"/>
      <c r="CP103" s="724"/>
      <c r="CQ103" s="724"/>
      <c r="CR103" s="724"/>
      <c r="CS103" s="724"/>
      <c r="CT103" s="724"/>
      <c r="CU103" s="727"/>
      <c r="CV103" s="727"/>
      <c r="CW103" s="695"/>
      <c r="CX103" s="695"/>
      <c r="CY103" s="695"/>
      <c r="CZ103" s="694">
        <v>-2.0760354868307796E-3</v>
      </c>
      <c r="DA103" s="694">
        <v>-2.5494705596650572E-3</v>
      </c>
      <c r="DB103" s="694">
        <v>-2.5845606755694867E-3</v>
      </c>
      <c r="DC103" s="694">
        <v>-1.8875778050740117E-3</v>
      </c>
      <c r="DD103" s="694">
        <v>-1.7944299403392821E-3</v>
      </c>
      <c r="DE103" s="694">
        <v>-1.7167835672030501E-3</v>
      </c>
      <c r="DF103" s="694">
        <f>+DF102/DF$26</f>
        <v>-2.2733703933479088E-3</v>
      </c>
      <c r="DG103" s="694">
        <f>+DG102/DG$26</f>
        <v>-1.6226661370390345E-3</v>
      </c>
      <c r="DH103" s="694">
        <f>+DH102/DH$26</f>
        <v>-1.5185427445679972E-3</v>
      </c>
      <c r="DI103" s="694">
        <f>+DI102/DI$26</f>
        <v>-1.6409859617519701E-3</v>
      </c>
      <c r="DJ103" s="1363">
        <f>+DJ102/DJ$26</f>
        <v>-1.4381939161038913E-3</v>
      </c>
      <c r="DK103" s="694"/>
      <c r="DL103" s="694"/>
      <c r="DM103" s="694"/>
      <c r="DN103" s="694"/>
      <c r="DO103" s="694"/>
      <c r="DP103" s="694"/>
      <c r="DQ103" s="694"/>
      <c r="DR103" s="694"/>
      <c r="DS103" s="724"/>
      <c r="DT103" s="724"/>
      <c r="DU103" s="724"/>
      <c r="DV103" s="724"/>
      <c r="DY103" s="724"/>
      <c r="DZ103" s="724"/>
    </row>
    <row r="104" spans="1:130" s="692" customFormat="1">
      <c r="A104" s="1358"/>
      <c r="B104" s="707"/>
      <c r="C104" s="694"/>
      <c r="D104" s="694"/>
      <c r="E104" s="694"/>
      <c r="F104" s="694"/>
      <c r="G104" s="694"/>
      <c r="H104" s="694"/>
      <c r="I104" s="694"/>
      <c r="J104" s="694"/>
      <c r="K104" s="694"/>
      <c r="L104" s="694"/>
      <c r="M104" s="694"/>
      <c r="N104" s="694"/>
      <c r="O104" s="694"/>
      <c r="P104" s="694"/>
      <c r="Q104" s="694"/>
      <c r="R104" s="694"/>
      <c r="S104" s="694"/>
      <c r="T104" s="694"/>
      <c r="U104" s="694"/>
      <c r="V104" s="694"/>
      <c r="W104" s="694"/>
      <c r="X104" s="694"/>
      <c r="Y104" s="694"/>
      <c r="Z104" s="694"/>
      <c r="AA104" s="694"/>
      <c r="AB104" s="694"/>
      <c r="AC104" s="694"/>
      <c r="AD104" s="694"/>
      <c r="AE104" s="694"/>
      <c r="AF104" s="694"/>
      <c r="AG104" s="694"/>
      <c r="AH104" s="694"/>
      <c r="AI104" s="694"/>
      <c r="AJ104" s="694"/>
      <c r="AK104" s="694"/>
      <c r="AL104" s="694"/>
      <c r="AM104" s="694"/>
      <c r="AN104" s="694"/>
      <c r="AO104" s="694"/>
      <c r="AP104" s="694"/>
      <c r="AQ104" s="694"/>
      <c r="AR104" s="694"/>
      <c r="AS104" s="694"/>
      <c r="AT104" s="694"/>
      <c r="AU104" s="694"/>
      <c r="AV104" s="694"/>
      <c r="AW104" s="694"/>
      <c r="AX104" s="694"/>
      <c r="AY104" s="694"/>
      <c r="AZ104" s="694"/>
      <c r="BA104" s="708"/>
      <c r="BB104" s="694"/>
      <c r="BC104" s="708"/>
      <c r="BD104" s="708"/>
      <c r="BE104" s="708"/>
      <c r="BF104" s="708"/>
      <c r="BG104" s="708"/>
      <c r="BH104" s="708"/>
      <c r="BI104" s="708"/>
      <c r="BJ104" s="708"/>
      <c r="BK104" s="708"/>
      <c r="BL104" s="708"/>
      <c r="BM104" s="708"/>
      <c r="BN104" s="708"/>
      <c r="BO104" s="708"/>
      <c r="BP104" s="708"/>
      <c r="BQ104" s="708"/>
      <c r="BR104" s="708"/>
      <c r="BS104" s="708"/>
      <c r="BT104" s="708"/>
      <c r="BU104" s="708"/>
      <c r="BV104" s="708"/>
      <c r="BW104" s="708"/>
      <c r="BX104" s="708"/>
      <c r="BY104" s="708"/>
      <c r="BZ104" s="708"/>
      <c r="CA104" s="708"/>
      <c r="CB104" s="708"/>
      <c r="CC104" s="708"/>
      <c r="CD104" s="708"/>
      <c r="CE104" s="708"/>
      <c r="CF104" s="708"/>
      <c r="CG104" s="708"/>
      <c r="CH104" s="708"/>
      <c r="CI104" s="708"/>
      <c r="CJ104" s="708"/>
      <c r="CK104" s="708"/>
      <c r="CL104" s="708"/>
      <c r="CM104" s="708"/>
      <c r="CN104" s="708"/>
      <c r="CO104" s="708"/>
      <c r="CP104" s="708"/>
      <c r="CQ104" s="708"/>
      <c r="CR104" s="708"/>
      <c r="CS104" s="708"/>
      <c r="CT104" s="708"/>
      <c r="CU104" s="695"/>
      <c r="CV104" s="695"/>
      <c r="CW104" s="694"/>
      <c r="CX104" s="694"/>
      <c r="CY104" s="694"/>
      <c r="CZ104" s="694"/>
      <c r="DA104" s="694"/>
      <c r="DB104" s="694"/>
      <c r="DC104" s="694"/>
      <c r="DD104" s="694"/>
      <c r="DE104" s="694"/>
      <c r="DF104" s="708"/>
      <c r="DG104" s="708"/>
      <c r="DH104" s="708"/>
      <c r="DI104" s="708"/>
      <c r="DJ104" s="708"/>
      <c r="DK104" s="708"/>
      <c r="DL104" s="708"/>
      <c r="DM104" s="708"/>
      <c r="DN104" s="708"/>
      <c r="DO104" s="708"/>
      <c r="DP104" s="708"/>
      <c r="DQ104" s="708"/>
      <c r="DR104" s="708"/>
      <c r="DS104" s="708"/>
      <c r="DT104" s="708"/>
      <c r="DU104" s="708"/>
      <c r="DV104" s="708"/>
      <c r="DY104" s="708"/>
      <c r="DZ104" s="708"/>
    </row>
    <row r="105" spans="1:130" s="723" customFormat="1" ht="12.75">
      <c r="A105" s="1359" t="s">
        <v>212</v>
      </c>
      <c r="B105" s="728"/>
      <c r="C105" s="718"/>
      <c r="D105" s="718"/>
      <c r="E105" s="718"/>
      <c r="F105" s="718"/>
      <c r="G105" s="718">
        <v>-3702</v>
      </c>
      <c r="H105" s="718">
        <v>-3266</v>
      </c>
      <c r="I105" s="718">
        <v>-4226</v>
      </c>
      <c r="J105" s="718">
        <v>-4162</v>
      </c>
      <c r="K105" s="718">
        <v>-2495</v>
      </c>
      <c r="L105" s="718">
        <v>-2353</v>
      </c>
      <c r="M105" s="718">
        <v>-3145</v>
      </c>
      <c r="N105" s="718">
        <v>-2430</v>
      </c>
      <c r="O105" s="718">
        <v>-2631</v>
      </c>
      <c r="P105" s="718">
        <v>-3184</v>
      </c>
      <c r="Q105" s="718">
        <v>-3039</v>
      </c>
      <c r="R105" s="718">
        <v>-411</v>
      </c>
      <c r="S105" s="718">
        <v>-3238</v>
      </c>
      <c r="T105" s="718">
        <v>-3746</v>
      </c>
      <c r="U105" s="718">
        <v>-3382</v>
      </c>
      <c r="V105" s="718">
        <v>-2583</v>
      </c>
      <c r="W105" s="718">
        <v>-3388</v>
      </c>
      <c r="X105" s="718">
        <v>-4248</v>
      </c>
      <c r="Y105" s="718">
        <v>-3643</v>
      </c>
      <c r="Z105" s="718">
        <v>-2391</v>
      </c>
      <c r="AA105" s="718">
        <v>-5158</v>
      </c>
      <c r="AB105" s="718">
        <v>-6429</v>
      </c>
      <c r="AC105" s="718">
        <v>-5611</v>
      </c>
      <c r="AD105" s="718">
        <v>-6362</v>
      </c>
      <c r="AE105" s="718">
        <v>-6128</v>
      </c>
      <c r="AF105" s="718">
        <v>-5092</v>
      </c>
      <c r="AG105" s="718">
        <v>-6701</v>
      </c>
      <c r="AH105" s="718">
        <v>-7195</v>
      </c>
      <c r="AI105" s="718">
        <v>-7654</v>
      </c>
      <c r="AJ105" s="718">
        <v>-8333</v>
      </c>
      <c r="AK105" s="718">
        <v>-8559</v>
      </c>
      <c r="AL105" s="718">
        <v>-8032</v>
      </c>
      <c r="AM105" s="718">
        <v>-8299</v>
      </c>
      <c r="AN105" s="718">
        <v>-8061</v>
      </c>
      <c r="AO105" s="718">
        <v>-7907</v>
      </c>
      <c r="AP105" s="718">
        <v>-5106</v>
      </c>
      <c r="AQ105" s="725">
        <v>-6601.49</v>
      </c>
      <c r="AR105" s="725">
        <v>-8227</v>
      </c>
      <c r="AS105" s="725">
        <v>-8537</v>
      </c>
      <c r="AT105" s="725">
        <v>-7094.4459999999999</v>
      </c>
      <c r="AU105" s="725">
        <v>-9380</v>
      </c>
      <c r="AV105" s="725">
        <v>-10230.751130000001</v>
      </c>
      <c r="AW105" s="725">
        <v>-11128</v>
      </c>
      <c r="AX105" s="725">
        <v>-9083</v>
      </c>
      <c r="AY105" s="725">
        <v>-10504</v>
      </c>
      <c r="AZ105" s="725">
        <v>-11761</v>
      </c>
      <c r="BA105" s="721">
        <v>-11953</v>
      </c>
      <c r="BB105" s="1362">
        <v>-8860</v>
      </c>
      <c r="BC105" s="703"/>
      <c r="BD105" s="703"/>
      <c r="BE105" s="703"/>
      <c r="BF105" s="703"/>
      <c r="BG105" s="703"/>
      <c r="BH105" s="703"/>
      <c r="BI105" s="703"/>
      <c r="BJ105" s="703"/>
      <c r="BK105" s="703"/>
      <c r="BL105" s="703"/>
      <c r="BM105" s="703"/>
      <c r="BN105" s="703"/>
      <c r="BO105" s="703"/>
      <c r="BP105" s="703"/>
      <c r="BQ105" s="703"/>
      <c r="BR105" s="703"/>
      <c r="BS105" s="703"/>
      <c r="BT105" s="703"/>
      <c r="BU105" s="703"/>
      <c r="BV105" s="703"/>
      <c r="BW105" s="703"/>
      <c r="BX105" s="703"/>
      <c r="BY105" s="703"/>
      <c r="BZ105" s="703"/>
      <c r="CA105" s="703"/>
      <c r="CB105" s="703"/>
      <c r="CC105" s="703"/>
      <c r="CD105" s="703"/>
      <c r="CE105" s="703"/>
      <c r="CF105" s="703"/>
      <c r="CG105" s="703"/>
      <c r="CH105" s="703"/>
      <c r="CI105" s="703"/>
      <c r="CJ105" s="703"/>
      <c r="CK105" s="703"/>
      <c r="CL105" s="722"/>
      <c r="CM105" s="722"/>
      <c r="CN105" s="722"/>
      <c r="CO105" s="722"/>
      <c r="CP105" s="722"/>
      <c r="CQ105" s="722"/>
      <c r="CR105" s="722"/>
      <c r="CS105" s="722"/>
      <c r="CT105" s="722"/>
      <c r="CU105" s="718"/>
      <c r="CV105" s="718"/>
      <c r="CW105" s="703">
        <v>-15356</v>
      </c>
      <c r="CX105" s="703">
        <v>-10423</v>
      </c>
      <c r="CY105" s="703">
        <v>-9265</v>
      </c>
      <c r="CZ105" s="703">
        <v>-12949</v>
      </c>
      <c r="DA105" s="703">
        <v>-13670</v>
      </c>
      <c r="DB105" s="703">
        <v>-23560</v>
      </c>
      <c r="DC105" s="703">
        <v>-25116</v>
      </c>
      <c r="DD105" s="703">
        <v>-32578</v>
      </c>
      <c r="DE105" s="703">
        <v>-29373</v>
      </c>
      <c r="DF105" s="703">
        <f>+SUM(AQ105:AT105)</f>
        <v>-30459.935999999998</v>
      </c>
      <c r="DG105" s="703">
        <f>+SUM(AU105:AX105)</f>
        <v>-39821.751130000004</v>
      </c>
      <c r="DH105" s="1402">
        <f>+SUM(AY105:BB105)</f>
        <v>-43078</v>
      </c>
      <c r="DI105" s="703"/>
      <c r="DJ105" s="703"/>
      <c r="DK105" s="703"/>
      <c r="DL105" s="703"/>
      <c r="DM105" s="703"/>
      <c r="DN105" s="703"/>
      <c r="DO105" s="703"/>
      <c r="DP105" s="703"/>
      <c r="DQ105" s="703"/>
      <c r="DR105" s="703"/>
      <c r="DS105" s="730"/>
      <c r="DT105" s="730"/>
      <c r="DU105" s="730"/>
      <c r="DV105" s="730"/>
      <c r="DY105" s="730"/>
      <c r="DZ105" s="730"/>
    </row>
    <row r="106" spans="1:130" s="692" customFormat="1">
      <c r="A106" s="1360" t="s">
        <v>211</v>
      </c>
      <c r="B106" s="729"/>
      <c r="C106" s="727"/>
      <c r="D106" s="727"/>
      <c r="E106" s="727"/>
      <c r="F106" s="727"/>
      <c r="G106" s="694">
        <v>-1.7611463150082777E-2</v>
      </c>
      <c r="H106" s="694">
        <v>-1.1041916005706906E-2</v>
      </c>
      <c r="I106" s="694">
        <v>-1.5544365443396956E-2</v>
      </c>
      <c r="J106" s="694">
        <v>-9.8096753285015614E-3</v>
      </c>
      <c r="K106" s="694">
        <v>-9.3532569577735123E-3</v>
      </c>
      <c r="L106" s="694">
        <v>-6.1781231948747567E-3</v>
      </c>
      <c r="M106" s="694">
        <v>-9.0689674065060101E-3</v>
      </c>
      <c r="N106" s="694">
        <v>-4.5264967709126944E-3</v>
      </c>
      <c r="O106" s="694">
        <v>-7.5700248881471997E-3</v>
      </c>
      <c r="P106" s="694">
        <v>-6.486416010691178E-3</v>
      </c>
      <c r="Q106" s="694">
        <v>-6.8444096105510664E-3</v>
      </c>
      <c r="R106" s="694">
        <v>-6.3377023901310713E-4</v>
      </c>
      <c r="S106" s="694">
        <v>-7.4988941562817713E-3</v>
      </c>
      <c r="T106" s="694">
        <v>-6.6143194896415092E-3</v>
      </c>
      <c r="U106" s="694">
        <v>-6.6136065862291487E-3</v>
      </c>
      <c r="V106" s="694">
        <v>-3.8352291709045231E-3</v>
      </c>
      <c r="W106" s="694">
        <v>-8.0833337309786368E-3</v>
      </c>
      <c r="X106" s="694">
        <v>-6.9251761453113228E-3</v>
      </c>
      <c r="Y106" s="694">
        <v>-6.5959215007486728E-3</v>
      </c>
      <c r="Z106" s="694">
        <v>-3.0702300682230546E-3</v>
      </c>
      <c r="AA106" s="694">
        <v>-1.0199824004587745E-2</v>
      </c>
      <c r="AB106" s="694">
        <v>-9.1578848405596443E-3</v>
      </c>
      <c r="AC106" s="694">
        <v>-8.7144514523826901E-3</v>
      </c>
      <c r="AD106" s="694">
        <v>-7.0708372973886137E-3</v>
      </c>
      <c r="AE106" s="694">
        <v>-1.023436495331239E-2</v>
      </c>
      <c r="AF106" s="694">
        <v>-6.0878578798425195E-3</v>
      </c>
      <c r="AG106" s="694">
        <v>-9.0319467545105815E-3</v>
      </c>
      <c r="AH106" s="694">
        <v>-6.7785656008757965E-3</v>
      </c>
      <c r="AI106" s="694">
        <v>-1.0791285761819095E-2</v>
      </c>
      <c r="AJ106" s="694">
        <v>-8.7215083091389013E-3</v>
      </c>
      <c r="AK106" s="694">
        <v>-9.4568524890117547E-3</v>
      </c>
      <c r="AL106" s="694">
        <v>-6.2132557707778946E-3</v>
      </c>
      <c r="AM106" s="694">
        <v>-9.9525935626543285E-3</v>
      </c>
      <c r="AN106" s="694">
        <v>-7.6018340214371533E-3</v>
      </c>
      <c r="AO106" s="694">
        <v>-7.7410701610968885E-3</v>
      </c>
      <c r="AP106" s="694">
        <v>-3.5100213653474414E-3</v>
      </c>
      <c r="AQ106" s="694">
        <f t="shared" ref="AQ106:BB106" si="752">+AQ105/AQ$26</f>
        <v>-7.0332319782146864E-3</v>
      </c>
      <c r="AR106" s="694">
        <f t="shared" si="752"/>
        <v>-6.5541877650912824E-3</v>
      </c>
      <c r="AS106" s="694">
        <f t="shared" si="752"/>
        <v>-7.091691913045573E-3</v>
      </c>
      <c r="AT106" s="694">
        <f t="shared" si="752"/>
        <v>-3.9014792683014013E-3</v>
      </c>
      <c r="AU106" s="694">
        <f t="shared" si="752"/>
        <v>-7.9901392481943386E-3</v>
      </c>
      <c r="AV106" s="694">
        <f t="shared" si="752"/>
        <v>-6.6589068413780003E-3</v>
      </c>
      <c r="AW106" s="694">
        <f t="shared" si="752"/>
        <v>-7.8332822987389177E-3</v>
      </c>
      <c r="AX106" s="694">
        <f t="shared" si="752"/>
        <v>-4.5093819272233517E-3</v>
      </c>
      <c r="AY106" s="694">
        <f t="shared" si="752"/>
        <v>-8.4209243615962874E-3</v>
      </c>
      <c r="AZ106" s="694">
        <f t="shared" si="752"/>
        <v>-7.1383483654814941E-3</v>
      </c>
      <c r="BA106" s="694">
        <f t="shared" si="752"/>
        <v>-8.2672293888143063E-3</v>
      </c>
      <c r="BB106" s="1363">
        <f t="shared" si="752"/>
        <v>-4.1974567012917369E-3</v>
      </c>
      <c r="BC106" s="694"/>
      <c r="BD106" s="694"/>
      <c r="BE106" s="694"/>
      <c r="BF106" s="694"/>
      <c r="BG106" s="694"/>
      <c r="BH106" s="694"/>
      <c r="BI106" s="694"/>
      <c r="BJ106" s="694"/>
      <c r="BK106" s="694"/>
      <c r="BL106" s="694"/>
      <c r="BM106" s="694"/>
      <c r="BN106" s="694"/>
      <c r="BO106" s="694"/>
      <c r="BP106" s="694"/>
      <c r="BQ106" s="694"/>
      <c r="BR106" s="694"/>
      <c r="BS106" s="694"/>
      <c r="BT106" s="694"/>
      <c r="BU106" s="694"/>
      <c r="BV106" s="694"/>
      <c r="BW106" s="694"/>
      <c r="BX106" s="694"/>
      <c r="BY106" s="694"/>
      <c r="BZ106" s="694"/>
      <c r="CA106" s="694"/>
      <c r="CB106" s="694"/>
      <c r="CC106" s="694"/>
      <c r="CD106" s="694"/>
      <c r="CE106" s="694"/>
      <c r="CF106" s="694"/>
      <c r="CG106" s="694"/>
      <c r="CH106" s="694"/>
      <c r="CI106" s="694"/>
      <c r="CJ106" s="694"/>
      <c r="CK106" s="694"/>
      <c r="CL106" s="724"/>
      <c r="CM106" s="724"/>
      <c r="CN106" s="724"/>
      <c r="CO106" s="724"/>
      <c r="CP106" s="724"/>
      <c r="CQ106" s="724"/>
      <c r="CR106" s="724"/>
      <c r="CS106" s="724"/>
      <c r="CT106" s="724"/>
      <c r="CU106" s="727"/>
      <c r="CV106" s="727"/>
      <c r="CW106" s="695"/>
      <c r="CX106" s="695"/>
      <c r="CY106" s="695"/>
      <c r="CZ106" s="694">
        <v>-5.9317262839743527E-3</v>
      </c>
      <c r="DA106" s="694">
        <v>-5.7834820030901648E-3</v>
      </c>
      <c r="DB106" s="694">
        <v>-8.5631063867834482E-3</v>
      </c>
      <c r="DC106" s="694">
        <v>-7.7553417556418909E-3</v>
      </c>
      <c r="DD106" s="694">
        <v>-8.4344161876169568E-3</v>
      </c>
      <c r="DE106" s="694">
        <v>-6.7209227934766341E-3</v>
      </c>
      <c r="DF106" s="694">
        <f>+DF105/DF$26</f>
        <v>-5.8396623954859277E-3</v>
      </c>
      <c r="DG106" s="694">
        <f>+DG105/DG$26</f>
        <v>-6.4801412631456312E-3</v>
      </c>
      <c r="DH106" s="1363">
        <f>+DH105/DH$26</f>
        <v>-6.677124053332672E-3</v>
      </c>
      <c r="DI106" s="694"/>
      <c r="DJ106" s="694"/>
      <c r="DK106" s="694"/>
      <c r="DL106" s="694"/>
      <c r="DM106" s="694"/>
      <c r="DN106" s="694"/>
      <c r="DO106" s="694"/>
      <c r="DP106" s="694"/>
      <c r="DQ106" s="694"/>
      <c r="DR106" s="694"/>
      <c r="DS106" s="724"/>
      <c r="DT106" s="724"/>
      <c r="DU106" s="724"/>
      <c r="DV106" s="724"/>
      <c r="DY106" s="724"/>
      <c r="DZ106" s="724"/>
    </row>
    <row r="107" spans="1:130" s="692" customFormat="1">
      <c r="A107" s="1358"/>
      <c r="B107" s="707"/>
      <c r="C107" s="694"/>
      <c r="D107" s="694"/>
      <c r="E107" s="694"/>
      <c r="F107" s="694"/>
      <c r="G107" s="694"/>
      <c r="H107" s="694"/>
      <c r="I107" s="694"/>
      <c r="J107" s="694"/>
      <c r="K107" s="694"/>
      <c r="L107" s="694"/>
      <c r="M107" s="694"/>
      <c r="N107" s="694"/>
      <c r="O107" s="694"/>
      <c r="P107" s="694"/>
      <c r="Q107" s="694"/>
      <c r="R107" s="694"/>
      <c r="S107" s="694"/>
      <c r="T107" s="694"/>
      <c r="U107" s="694"/>
      <c r="V107" s="694"/>
      <c r="W107" s="694"/>
      <c r="X107" s="694"/>
      <c r="Y107" s="694"/>
      <c r="Z107" s="694"/>
      <c r="AA107" s="694"/>
      <c r="AB107" s="694"/>
      <c r="AC107" s="694"/>
      <c r="AD107" s="694"/>
      <c r="AE107" s="694"/>
      <c r="AF107" s="694"/>
      <c r="AG107" s="694"/>
      <c r="AH107" s="694"/>
      <c r="AI107" s="694"/>
      <c r="AJ107" s="694"/>
      <c r="AK107" s="694"/>
      <c r="AL107" s="694"/>
      <c r="AM107" s="694"/>
      <c r="AN107" s="694"/>
      <c r="AO107" s="694"/>
      <c r="AP107" s="694"/>
      <c r="AQ107" s="694"/>
      <c r="AR107" s="694"/>
      <c r="AS107" s="694"/>
      <c r="AT107" s="694"/>
      <c r="AU107" s="694"/>
      <c r="AV107" s="694"/>
      <c r="AW107" s="694"/>
      <c r="AX107" s="694"/>
      <c r="AY107" s="694"/>
      <c r="AZ107" s="694"/>
      <c r="BA107" s="694"/>
      <c r="BB107" s="694"/>
      <c r="BC107" s="708"/>
      <c r="BD107" s="694"/>
      <c r="BE107" s="708"/>
      <c r="BF107" s="708"/>
      <c r="BG107" s="694"/>
      <c r="BH107" s="694"/>
      <c r="BI107" s="694"/>
      <c r="BJ107" s="694"/>
      <c r="BK107" s="694"/>
      <c r="BL107" s="694"/>
      <c r="BM107" s="694"/>
      <c r="BN107" s="694"/>
      <c r="BO107" s="694"/>
      <c r="BP107" s="694"/>
      <c r="BQ107" s="694"/>
      <c r="BR107" s="694"/>
      <c r="BS107" s="694"/>
      <c r="BT107" s="694"/>
      <c r="BU107" s="694"/>
      <c r="BV107" s="694"/>
      <c r="BW107" s="694"/>
      <c r="BX107" s="694"/>
      <c r="BY107" s="694"/>
      <c r="BZ107" s="694"/>
      <c r="CA107" s="694"/>
      <c r="CB107" s="694"/>
      <c r="CC107" s="694"/>
      <c r="CD107" s="694"/>
      <c r="CE107" s="694"/>
      <c r="CF107" s="694"/>
      <c r="CG107" s="694"/>
      <c r="CH107" s="694"/>
      <c r="CI107" s="694"/>
      <c r="CJ107" s="694"/>
      <c r="CK107" s="694"/>
      <c r="CL107" s="708"/>
      <c r="CM107" s="708"/>
      <c r="CN107" s="708"/>
      <c r="CO107" s="708"/>
      <c r="CP107" s="708"/>
      <c r="CQ107" s="708"/>
      <c r="CR107" s="708"/>
      <c r="CS107" s="708"/>
      <c r="CT107" s="708"/>
      <c r="CU107" s="695"/>
      <c r="CV107" s="695"/>
      <c r="CW107" s="694"/>
      <c r="CX107" s="694"/>
      <c r="CY107" s="694"/>
      <c r="CZ107" s="694"/>
      <c r="DA107" s="694"/>
      <c r="DB107" s="694"/>
      <c r="DC107" s="694"/>
      <c r="DD107" s="694"/>
      <c r="DE107" s="694"/>
      <c r="DF107" s="708"/>
      <c r="DG107" s="708"/>
      <c r="DH107" s="708"/>
      <c r="DI107" s="708"/>
      <c r="DJ107" s="708"/>
      <c r="DK107" s="708"/>
      <c r="DL107" s="708"/>
      <c r="DM107" s="708"/>
      <c r="DN107" s="708"/>
      <c r="DO107" s="708"/>
      <c r="DP107" s="708"/>
      <c r="DQ107" s="708"/>
      <c r="DR107" s="708"/>
      <c r="DS107" s="708"/>
      <c r="DT107" s="708"/>
      <c r="DU107" s="708"/>
      <c r="DV107" s="708"/>
      <c r="DY107" s="708"/>
      <c r="DZ107" s="708"/>
    </row>
    <row r="108" spans="1:130" s="723" customFormat="1" ht="12.75">
      <c r="A108" s="1359" t="s">
        <v>213</v>
      </c>
      <c r="B108" s="728"/>
      <c r="C108" s="718"/>
      <c r="D108" s="718"/>
      <c r="E108" s="718"/>
      <c r="F108" s="718"/>
      <c r="G108" s="718">
        <v>14</v>
      </c>
      <c r="H108" s="718">
        <v>-141</v>
      </c>
      <c r="I108" s="718">
        <v>-1</v>
      </c>
      <c r="J108" s="718">
        <v>-8208</v>
      </c>
      <c r="K108" s="718">
        <v>-1011</v>
      </c>
      <c r="L108" s="718">
        <v>-58</v>
      </c>
      <c r="M108" s="718">
        <v>-12</v>
      </c>
      <c r="N108" s="718">
        <v>-12983</v>
      </c>
      <c r="O108" s="718">
        <v>-1401</v>
      </c>
      <c r="P108" s="718">
        <v>-3304</v>
      </c>
      <c r="Q108" s="718">
        <v>-3364</v>
      </c>
      <c r="R108" s="718">
        <v>-5033</v>
      </c>
      <c r="S108" s="718">
        <v>-2049</v>
      </c>
      <c r="T108" s="718">
        <v>-355</v>
      </c>
      <c r="U108" s="718">
        <v>-1486</v>
      </c>
      <c r="V108" s="718">
        <v>2552</v>
      </c>
      <c r="W108" s="718">
        <v>-1413</v>
      </c>
      <c r="X108" s="718">
        <v>-3681</v>
      </c>
      <c r="Y108" s="718">
        <v>-2876</v>
      </c>
      <c r="Z108" s="718">
        <v>-11121</v>
      </c>
      <c r="AA108" s="718">
        <v>-2708</v>
      </c>
      <c r="AB108" s="718">
        <v>-5611</v>
      </c>
      <c r="AC108" s="718">
        <v>-5325</v>
      </c>
      <c r="AD108" s="718">
        <v>-8228</v>
      </c>
      <c r="AE108" s="718">
        <v>-2256</v>
      </c>
      <c r="AF108" s="718">
        <v>-3413</v>
      </c>
      <c r="AG108" s="718">
        <v>-46</v>
      </c>
      <c r="AH108" s="718">
        <v>766</v>
      </c>
      <c r="AI108" s="718">
        <v>-2729</v>
      </c>
      <c r="AJ108" s="718">
        <v>-6298</v>
      </c>
      <c r="AK108" s="718">
        <v>-6416</v>
      </c>
      <c r="AL108" s="718">
        <v>-12103</v>
      </c>
      <c r="AM108" s="718">
        <v>-3216</v>
      </c>
      <c r="AN108" s="718">
        <v>-8079</v>
      </c>
      <c r="AO108" s="718">
        <v>-64</v>
      </c>
      <c r="AP108" s="718">
        <v>-22675</v>
      </c>
      <c r="AQ108" s="725">
        <v>-4374.54</v>
      </c>
      <c r="AR108" s="725">
        <v>-17383</v>
      </c>
      <c r="AS108" s="725">
        <v>-10089</v>
      </c>
      <c r="AT108" s="725">
        <v>-31056.179</v>
      </c>
      <c r="AU108" s="725">
        <v>-6793.0967899999996</v>
      </c>
      <c r="AV108" s="725">
        <v>-16521.555369999998</v>
      </c>
      <c r="AW108" s="725">
        <v>-8931</v>
      </c>
      <c r="AX108" s="725">
        <v>-32040</v>
      </c>
      <c r="AY108" s="725">
        <v>-4304</v>
      </c>
      <c r="AZ108" s="725">
        <v>-9920</v>
      </c>
      <c r="BA108" s="721">
        <v>-3100</v>
      </c>
      <c r="BB108" s="721">
        <v>-29931</v>
      </c>
      <c r="BC108" s="721">
        <v>-9722</v>
      </c>
      <c r="BD108" s="721">
        <v>-21190</v>
      </c>
      <c r="BE108" s="721">
        <v>-10657</v>
      </c>
      <c r="BF108" s="721">
        <v>-36077</v>
      </c>
      <c r="BG108" s="721">
        <v>-8508</v>
      </c>
      <c r="BH108" s="721">
        <v>-5846</v>
      </c>
      <c r="BI108" s="721">
        <v>-8761</v>
      </c>
      <c r="BJ108" s="721">
        <v>-36721</v>
      </c>
      <c r="BK108" s="721">
        <v>-12961</v>
      </c>
      <c r="BL108" s="721">
        <v>-18677</v>
      </c>
      <c r="BM108" s="721">
        <v>-14281</v>
      </c>
      <c r="BN108" s="721">
        <v>-50833</v>
      </c>
      <c r="BO108" s="721">
        <v>-28</v>
      </c>
      <c r="BP108" s="721">
        <v>1471</v>
      </c>
      <c r="BQ108" s="721">
        <v>-49</v>
      </c>
      <c r="BR108" s="721">
        <v>-23920</v>
      </c>
      <c r="BS108" s="721">
        <v>0</v>
      </c>
      <c r="BT108" s="721">
        <v>-27322</v>
      </c>
      <c r="BU108" s="721">
        <v>-42254</v>
      </c>
      <c r="BV108" s="721">
        <v>-147757</v>
      </c>
      <c r="BW108" s="721">
        <v>-16977</v>
      </c>
      <c r="BX108" s="721">
        <v>-40253</v>
      </c>
      <c r="BY108" s="721">
        <v>-470</v>
      </c>
      <c r="BZ108" s="721">
        <v>44056</v>
      </c>
      <c r="CA108" s="721">
        <v>-1958</v>
      </c>
      <c r="CB108" s="721">
        <v>567</v>
      </c>
      <c r="CC108" s="721">
        <v>-90</v>
      </c>
      <c r="CD108" s="721">
        <v>-24211</v>
      </c>
      <c r="CE108" s="721">
        <v>-16627</v>
      </c>
      <c r="CF108" s="721">
        <v>-19535</v>
      </c>
      <c r="CG108" s="721">
        <v>-26230</v>
      </c>
      <c r="CH108" s="721">
        <f>-150702-CG108-CF108-CE108</f>
        <v>-88310</v>
      </c>
      <c r="CI108" s="721">
        <v>-22646</v>
      </c>
      <c r="CJ108" s="721">
        <v>-45614</v>
      </c>
      <c r="CK108" s="721">
        <v>-32867</v>
      </c>
      <c r="CL108" s="1662">
        <f t="shared" ref="CL108:CP108" si="753">+CL109*CL$26</f>
        <v>-62761.626101956143</v>
      </c>
      <c r="CM108" s="1662">
        <f t="shared" si="753"/>
        <v>-23874.089200789764</v>
      </c>
      <c r="CN108" s="1662">
        <f t="shared" si="753"/>
        <v>-47676.970443052604</v>
      </c>
      <c r="CO108" s="1662">
        <f t="shared" si="753"/>
        <v>-35424.03985236858</v>
      </c>
      <c r="CP108" s="1662">
        <f t="shared" si="753"/>
        <v>-68252.364303598733</v>
      </c>
      <c r="CQ108" s="722"/>
      <c r="CR108" s="722"/>
      <c r="CS108" s="722"/>
      <c r="CT108" s="722">
        <v>-62761.626101956143</v>
      </c>
      <c r="CU108" s="1134">
        <f>+CK108/CT108-1</f>
        <v>-0.47632013315576593</v>
      </c>
      <c r="CV108" s="718"/>
      <c r="CW108" s="703">
        <v>-8336</v>
      </c>
      <c r="CX108" s="703">
        <v>-14064</v>
      </c>
      <c r="CY108" s="703">
        <v>-13102</v>
      </c>
      <c r="CZ108" s="703">
        <v>-1338</v>
      </c>
      <c r="DA108" s="703">
        <v>-19091</v>
      </c>
      <c r="DB108" s="703">
        <v>-21872</v>
      </c>
      <c r="DC108" s="703">
        <v>-4949</v>
      </c>
      <c r="DD108" s="703">
        <v>-27546</v>
      </c>
      <c r="DE108" s="703">
        <v>-34034</v>
      </c>
      <c r="DF108" s="703">
        <f>+SUM(AQ108:AT108)</f>
        <v>-62902.718999999997</v>
      </c>
      <c r="DG108" s="703">
        <f>+SUM(AU108:AX108)</f>
        <v>-64285.652159999998</v>
      </c>
      <c r="DH108" s="703">
        <f>+SUM(AY108:BB108)</f>
        <v>-47255</v>
      </c>
      <c r="DI108" s="703">
        <f>+SUM(BC108:BF108)</f>
        <v>-77646</v>
      </c>
      <c r="DJ108" s="703">
        <f>+SUM(BG108:BJ108)</f>
        <v>-59836</v>
      </c>
      <c r="DK108" s="703">
        <f>+SUM(BK108:BN108)</f>
        <v>-96752</v>
      </c>
      <c r="DL108" s="703">
        <f>+SUM(BO108:BR108)</f>
        <v>-22526</v>
      </c>
      <c r="DM108" s="703">
        <f>+SUM(BS108:BV108)</f>
        <v>-217333</v>
      </c>
      <c r="DN108" s="703">
        <f>+SUM(BW108:BZ108)</f>
        <v>-13644</v>
      </c>
      <c r="DO108" s="703">
        <f>+SUM(CA108:CD108)</f>
        <v>-25692</v>
      </c>
      <c r="DP108" s="703">
        <f>+SUM(CE108:CH108)</f>
        <v>-150702</v>
      </c>
      <c r="DQ108" s="703">
        <f>+SUM(CI108:CL108)</f>
        <v>-163888.62610195615</v>
      </c>
      <c r="DR108" s="703">
        <f>+SUM(CM108:CP108)</f>
        <v>-175227.46379980969</v>
      </c>
      <c r="DS108" s="722">
        <f>+DS109*DS$26</f>
        <v>-189870.59144354032</v>
      </c>
      <c r="DT108" s="722">
        <f t="shared" ref="DT108:DV108" si="754">+DT109*DT$26</f>
        <v>-202828.13849779996</v>
      </c>
      <c r="DU108" s="722">
        <f t="shared" si="754"/>
        <v>-216670.28761867911</v>
      </c>
      <c r="DV108" s="722">
        <f t="shared" si="754"/>
        <v>-231445.92217453831</v>
      </c>
      <c r="DY108" s="722">
        <v>-178603.93324354867</v>
      </c>
      <c r="DZ108" s="722">
        <v>-192758.66546331486</v>
      </c>
    </row>
    <row r="109" spans="1:130" s="692" customFormat="1">
      <c r="A109" s="1360" t="s">
        <v>211</v>
      </c>
      <c r="B109" s="729"/>
      <c r="C109" s="727"/>
      <c r="D109" s="727"/>
      <c r="E109" s="727"/>
      <c r="F109" s="727"/>
      <c r="G109" s="694">
        <v>6.6601967612414613E-5</v>
      </c>
      <c r="H109" s="694">
        <v>-4.7670243625372739E-4</v>
      </c>
      <c r="I109" s="694">
        <v>-3.6782691536670505E-6</v>
      </c>
      <c r="J109" s="694">
        <v>-1.9345943079370691E-2</v>
      </c>
      <c r="K109" s="694">
        <v>-3.7900371880998079E-3</v>
      </c>
      <c r="L109" s="694">
        <v>-1.5228692958042326E-4</v>
      </c>
      <c r="M109" s="694">
        <v>-3.4603373252169197E-5</v>
      </c>
      <c r="N109" s="694">
        <v>-2.4184159496608851E-2</v>
      </c>
      <c r="O109" s="694">
        <v>-4.0310166736200028E-3</v>
      </c>
      <c r="P109" s="694">
        <v>-6.7308789256669763E-3</v>
      </c>
      <c r="Q109" s="694">
        <v>-7.5763718097709067E-3</v>
      </c>
      <c r="R109" s="694">
        <v>-7.7609868928296064E-3</v>
      </c>
      <c r="S109" s="694">
        <v>-4.7452854003154259E-3</v>
      </c>
      <c r="T109" s="694">
        <v>-6.2682419082294067E-4</v>
      </c>
      <c r="U109" s="694">
        <v>-2.9059193930031091E-3</v>
      </c>
      <c r="V109" s="694">
        <v>3.7892004816679611E-3</v>
      </c>
      <c r="W109" s="694">
        <v>-3.3712368836696619E-3</v>
      </c>
      <c r="X109" s="694">
        <v>-6.0008411937125658E-3</v>
      </c>
      <c r="Y109" s="694">
        <v>-5.2072111545850078E-3</v>
      </c>
      <c r="Z109" s="694">
        <v>-1.4280229439024923E-2</v>
      </c>
      <c r="AA109" s="694">
        <v>-5.3550064762356757E-3</v>
      </c>
      <c r="AB109" s="694">
        <v>-7.9926725525556325E-3</v>
      </c>
      <c r="AC109" s="694">
        <v>-8.2702644776221391E-3</v>
      </c>
      <c r="AD109" s="694">
        <v>-9.1447421067138504E-3</v>
      </c>
      <c r="AE109" s="694">
        <v>-3.7677427112716632E-3</v>
      </c>
      <c r="AF109" s="694">
        <v>-4.0804907588182478E-3</v>
      </c>
      <c r="AG109" s="694">
        <v>-6.2001126803087119E-5</v>
      </c>
      <c r="AH109" s="694">
        <v>7.2166521893966091E-4</v>
      </c>
      <c r="AI109" s="694">
        <v>-3.8475854251377459E-3</v>
      </c>
      <c r="AJ109" s="694">
        <v>-6.5916307849462142E-3</v>
      </c>
      <c r="AK109" s="694">
        <v>-7.0890484366747768E-3</v>
      </c>
      <c r="AL109" s="694">
        <v>-9.3624296057924373E-3</v>
      </c>
      <c r="AM109" s="694">
        <v>-3.8567949026986773E-3</v>
      </c>
      <c r="AN109" s="694">
        <v>-7.6188087159398043E-3</v>
      </c>
      <c r="AO109" s="694">
        <v>-6.2656948312912712E-5</v>
      </c>
      <c r="AP109" s="694">
        <v>-1.5587492060174938E-2</v>
      </c>
      <c r="AQ109" s="694">
        <f t="shared" ref="AQ109:BC109" si="755">+AQ108/AQ$26</f>
        <v>-4.660637919315075E-3</v>
      </c>
      <c r="AR109" s="694">
        <f t="shared" si="755"/>
        <v>-1.3848480116759664E-2</v>
      </c>
      <c r="AS109" s="694">
        <f t="shared" si="755"/>
        <v>-8.3809394061985232E-3</v>
      </c>
      <c r="AT109" s="694">
        <f t="shared" si="755"/>
        <v>-1.7078858380366466E-2</v>
      </c>
      <c r="AU109" s="694">
        <f t="shared" si="755"/>
        <v>-5.7865446992070337E-3</v>
      </c>
      <c r="AV109" s="694">
        <f t="shared" si="755"/>
        <v>-1.0753413574971638E-2</v>
      </c>
      <c r="AW109" s="694">
        <f t="shared" si="755"/>
        <v>-6.2867581065813513E-3</v>
      </c>
      <c r="AX109" s="694">
        <f t="shared" si="755"/>
        <v>-1.5906704497218562E-2</v>
      </c>
      <c r="AY109" s="694">
        <f t="shared" si="755"/>
        <v>-3.4504625335405963E-3</v>
      </c>
      <c r="AZ109" s="694">
        <f t="shared" si="755"/>
        <v>-6.0209519416356107E-3</v>
      </c>
      <c r="BA109" s="694">
        <f t="shared" si="755"/>
        <v>-2.1440986451371495E-3</v>
      </c>
      <c r="BB109" s="694">
        <f t="shared" si="755"/>
        <v>-1.4179918343833291E-2</v>
      </c>
      <c r="BC109" s="694">
        <f t="shared" si="755"/>
        <v>-6.869098524436807E-3</v>
      </c>
      <c r="BD109" s="694">
        <f t="shared" ref="BD109:CK109" si="756">+BD108/BD$26</f>
        <v>-1.157207672630919E-2</v>
      </c>
      <c r="BE109" s="694">
        <f t="shared" si="756"/>
        <v>-6.1023478893732566E-3</v>
      </c>
      <c r="BF109" s="694">
        <f t="shared" si="756"/>
        <v>-1.4716464230470509E-2</v>
      </c>
      <c r="BG109" s="694">
        <f t="shared" si="756"/>
        <v>-5.2251295074265255E-3</v>
      </c>
      <c r="BH109" s="694">
        <f t="shared" si="756"/>
        <v>-2.8939204404540972E-3</v>
      </c>
      <c r="BI109" s="694">
        <f t="shared" si="756"/>
        <v>-4.5083384449448568E-3</v>
      </c>
      <c r="BJ109" s="694">
        <f t="shared" si="756"/>
        <v>-1.2953323096535962E-2</v>
      </c>
      <c r="BK109" s="694">
        <f t="shared" si="756"/>
        <v>-6.8499992336626117E-3</v>
      </c>
      <c r="BL109" s="694">
        <f t="shared" si="756"/>
        <v>-8.148764138282482E-3</v>
      </c>
      <c r="BM109" s="694">
        <f t="shared" si="756"/>
        <v>-6.4162497669330186E-3</v>
      </c>
      <c r="BN109" s="694">
        <f t="shared" si="756"/>
        <v>-1.5992456964016105E-2</v>
      </c>
      <c r="BO109" s="694">
        <f t="shared" si="756"/>
        <v>-1.5023385509193507E-5</v>
      </c>
      <c r="BP109" s="694">
        <f t="shared" si="756"/>
        <v>1.8194051744823167E-3</v>
      </c>
      <c r="BQ109" s="694">
        <f t="shared" si="756"/>
        <v>-2.7373705265639465E-5</v>
      </c>
      <c r="BR109" s="694">
        <f t="shared" si="756"/>
        <v>-7.7791805452841322E-3</v>
      </c>
      <c r="BS109" s="694">
        <f t="shared" si="756"/>
        <v>0</v>
      </c>
      <c r="BT109" s="694">
        <f t="shared" si="756"/>
        <v>-1.0971399750953001E-2</v>
      </c>
      <c r="BU109" s="694">
        <f t="shared" si="756"/>
        <v>-1.6076616590668273E-2</v>
      </c>
      <c r="BV109" s="694">
        <f t="shared" si="756"/>
        <v>-3.8164523816058428E-2</v>
      </c>
      <c r="BW109" s="694">
        <f t="shared" si="756"/>
        <v>-6.497070061354201E-3</v>
      </c>
      <c r="BX109" s="694">
        <f t="shared" si="756"/>
        <v>-1.1100181808805966E-2</v>
      </c>
      <c r="BY109" s="694">
        <f t="shared" si="756"/>
        <v>-1.5575126456771402E-4</v>
      </c>
      <c r="BZ109" s="694">
        <f t="shared" si="756"/>
        <v>1.0975191722070758E-2</v>
      </c>
      <c r="CA109" s="694">
        <f t="shared" si="756"/>
        <v>-7.0551134799509382E-4</v>
      </c>
      <c r="CB109" s="694">
        <f t="shared" si="756"/>
        <v>1.6181123563568556E-4</v>
      </c>
      <c r="CC109" s="694">
        <f t="shared" si="756"/>
        <v>-2.9059480235678841E-5</v>
      </c>
      <c r="CD109" s="694">
        <f t="shared" si="756"/>
        <v>-5.6681941986871688E-3</v>
      </c>
      <c r="CE109" s="694">
        <f t="shared" si="756"/>
        <v>-5.7171858393143087E-3</v>
      </c>
      <c r="CF109" s="694">
        <f t="shared" si="756"/>
        <v>-5.5490995176388077E-3</v>
      </c>
      <c r="CG109" s="694">
        <f t="shared" si="756"/>
        <v>-7.7363015405651483E-3</v>
      </c>
      <c r="CH109" s="694">
        <f t="shared" si="756"/>
        <v>-1.9126239897323431E-2</v>
      </c>
      <c r="CI109" s="694">
        <f t="shared" si="756"/>
        <v>-6.9517948314943385E-3</v>
      </c>
      <c r="CJ109" s="694">
        <f t="shared" si="756"/>
        <v>-1.0944997631711171E-2</v>
      </c>
      <c r="CK109" s="694">
        <f t="shared" si="756"/>
        <v>-9.223308054616396E-3</v>
      </c>
      <c r="CL109" s="1663">
        <v>-1.2999999999999999E-2</v>
      </c>
      <c r="CM109" s="1663">
        <f>+CI109</f>
        <v>-6.9517948314943385E-3</v>
      </c>
      <c r="CN109" s="1663">
        <f t="shared" ref="CN109:CP109" si="757">+CJ109</f>
        <v>-1.0944997631711171E-2</v>
      </c>
      <c r="CO109" s="1663">
        <f t="shared" si="757"/>
        <v>-9.223308054616396E-3</v>
      </c>
      <c r="CP109" s="1663">
        <f t="shared" si="757"/>
        <v>-1.2999999999999999E-2</v>
      </c>
      <c r="CQ109" s="724"/>
      <c r="CR109" s="724"/>
      <c r="CS109" s="724"/>
      <c r="CT109" s="724">
        <v>-1.2999999999999999E-2</v>
      </c>
      <c r="CU109" s="727"/>
      <c r="CV109" s="727"/>
      <c r="CW109" s="695"/>
      <c r="CX109" s="695"/>
      <c r="CY109" s="695"/>
      <c r="CZ109" s="694">
        <v>-6.1291603737413582E-4</v>
      </c>
      <c r="DA109" s="694">
        <v>-8.076990118580419E-3</v>
      </c>
      <c r="DB109" s="694">
        <v>-7.9495867101751945E-3</v>
      </c>
      <c r="DC109" s="694">
        <v>-1.5281568063653336E-3</v>
      </c>
      <c r="DD109" s="694">
        <v>-7.1316357144114656E-3</v>
      </c>
      <c r="DE109" s="694">
        <v>-7.7874199555096101E-3</v>
      </c>
      <c r="DF109" s="694">
        <f t="shared" ref="DF109:DM109" si="758">+DF108/DF$26</f>
        <v>-1.2059468631783013E-2</v>
      </c>
      <c r="DG109" s="694">
        <f t="shared" si="758"/>
        <v>-1.046111974911142E-2</v>
      </c>
      <c r="DH109" s="694">
        <f t="shared" si="758"/>
        <v>-7.3245623552680118E-3</v>
      </c>
      <c r="DI109" s="694">
        <f t="shared" si="758"/>
        <v>-1.0430255074180867E-2</v>
      </c>
      <c r="DJ109" s="694">
        <f t="shared" si="758"/>
        <v>-7.1008970347382159E-3</v>
      </c>
      <c r="DK109" s="694">
        <f t="shared" si="758"/>
        <v>-1.0090487114844683E-2</v>
      </c>
      <c r="DL109" s="694">
        <f t="shared" si="758"/>
        <v>-2.9886509278005831E-3</v>
      </c>
      <c r="DM109" s="694">
        <f t="shared" si="758"/>
        <v>-2.0558278918843372E-2</v>
      </c>
      <c r="DN109" s="694">
        <f>+DN108/DN$26</f>
        <v>-1.0280957841065162E-3</v>
      </c>
      <c r="DO109" s="694">
        <f>+DO108/DO$26</f>
        <v>-1.8824944502243541E-3</v>
      </c>
      <c r="DP109" s="694">
        <f>+DP108/DP$26</f>
        <v>-1.0439053706452164E-2</v>
      </c>
      <c r="DQ109" s="694">
        <f>+DQ108/DQ$26</f>
        <v>-1.0361921854262527E-2</v>
      </c>
      <c r="DR109" s="694">
        <f>+DR108/DR$26</f>
        <v>-1.0380050944054279E-2</v>
      </c>
      <c r="DS109" s="724">
        <f>+DR109</f>
        <v>-1.0380050944054279E-2</v>
      </c>
      <c r="DT109" s="724">
        <f t="shared" ref="DT109:DV109" si="759">+DS109</f>
        <v>-1.0380050944054279E-2</v>
      </c>
      <c r="DU109" s="724">
        <f t="shared" si="759"/>
        <v>-1.0380050944054279E-2</v>
      </c>
      <c r="DV109" s="724">
        <f t="shared" si="759"/>
        <v>-1.0380050944054279E-2</v>
      </c>
      <c r="DY109" s="724">
        <v>-1.039888800609194E-2</v>
      </c>
      <c r="DZ109" s="724">
        <v>-1.039888800609194E-2</v>
      </c>
    </row>
    <row r="110" spans="1:130" s="692" customFormat="1">
      <c r="A110" s="1358"/>
      <c r="B110" s="707"/>
      <c r="C110" s="693"/>
      <c r="D110" s="695"/>
      <c r="E110" s="695"/>
      <c r="F110" s="695"/>
      <c r="G110" s="695"/>
      <c r="H110" s="695"/>
      <c r="I110" s="695"/>
      <c r="J110" s="695"/>
      <c r="K110" s="695"/>
      <c r="L110" s="695"/>
      <c r="M110" s="695"/>
      <c r="N110" s="695"/>
      <c r="O110" s="695"/>
      <c r="P110" s="695"/>
      <c r="Q110" s="695"/>
      <c r="R110" s="695"/>
      <c r="S110" s="695"/>
      <c r="T110" s="695"/>
      <c r="U110" s="695"/>
      <c r="V110" s="695"/>
      <c r="W110" s="695"/>
      <c r="X110" s="695"/>
      <c r="Y110" s="695"/>
      <c r="Z110" s="695"/>
      <c r="AA110" s="695"/>
      <c r="AB110" s="695"/>
      <c r="AC110" s="695"/>
      <c r="AD110" s="695"/>
      <c r="AE110" s="695"/>
      <c r="AF110" s="695"/>
      <c r="AG110" s="695"/>
      <c r="AH110" s="695"/>
      <c r="AI110" s="695"/>
      <c r="AJ110" s="695"/>
      <c r="AK110" s="695"/>
      <c r="AL110" s="695"/>
      <c r="AM110" s="695"/>
      <c r="AN110" s="695"/>
      <c r="AO110" s="695"/>
      <c r="AP110" s="695"/>
      <c r="AQ110" s="695"/>
      <c r="AR110" s="695"/>
      <c r="AS110" s="695"/>
      <c r="AT110" s="695"/>
      <c r="AU110" s="695"/>
      <c r="AV110" s="695"/>
      <c r="AW110" s="695"/>
      <c r="AX110" s="695"/>
      <c r="AY110" s="695"/>
      <c r="AZ110" s="695"/>
      <c r="BA110" s="695"/>
      <c r="BB110" s="731"/>
      <c r="BC110" s="731"/>
      <c r="BD110" s="695"/>
      <c r="BE110" s="731"/>
      <c r="BF110" s="731"/>
      <c r="BG110" s="695"/>
      <c r="BH110" s="695"/>
      <c r="BI110" s="695"/>
      <c r="BJ110" s="695"/>
      <c r="BK110" s="695"/>
      <c r="BL110" s="695"/>
      <c r="BM110" s="695"/>
      <c r="BN110" s="695"/>
      <c r="BO110" s="695"/>
      <c r="BP110" s="695"/>
      <c r="BQ110" s="695"/>
      <c r="BR110" s="695"/>
      <c r="BS110" s="695"/>
      <c r="BT110" s="695"/>
      <c r="BU110" s="695"/>
      <c r="BV110" s="695"/>
      <c r="BW110" s="695"/>
      <c r="BX110" s="695"/>
      <c r="BY110" s="695"/>
      <c r="BZ110" s="695"/>
      <c r="CA110" s="695"/>
      <c r="CB110" s="695"/>
      <c r="CC110" s="695"/>
      <c r="CD110" s="695"/>
      <c r="CE110" s="695"/>
      <c r="CF110" s="695"/>
      <c r="CG110" s="695"/>
      <c r="CH110" s="695"/>
      <c r="CI110" s="695"/>
      <c r="CJ110" s="695"/>
      <c r="CK110" s="695"/>
      <c r="CL110" s="731"/>
      <c r="CM110" s="731"/>
      <c r="CN110" s="731"/>
      <c r="CO110" s="731"/>
      <c r="CP110" s="731"/>
      <c r="CQ110" s="731"/>
      <c r="CR110" s="731"/>
      <c r="CS110" s="731"/>
      <c r="CT110" s="731"/>
      <c r="CU110" s="695"/>
      <c r="CV110" s="695"/>
      <c r="CW110" s="695"/>
      <c r="CX110" s="695"/>
      <c r="CY110" s="695"/>
      <c r="CZ110" s="695"/>
      <c r="DA110" s="695"/>
      <c r="DB110" s="695"/>
      <c r="DC110" s="695"/>
      <c r="DD110" s="695"/>
      <c r="DE110" s="695"/>
      <c r="DF110" s="731"/>
      <c r="DG110" s="731"/>
      <c r="DH110" s="731"/>
      <c r="DI110" s="731"/>
      <c r="DJ110" s="731"/>
      <c r="DK110" s="731"/>
      <c r="DL110" s="731"/>
      <c r="DM110" s="731"/>
      <c r="DN110" s="731"/>
      <c r="DO110" s="731"/>
      <c r="DP110" s="731"/>
      <c r="DQ110" s="731"/>
      <c r="DR110" s="731"/>
      <c r="DS110" s="731"/>
      <c r="DT110" s="731"/>
      <c r="DU110" s="731"/>
      <c r="DV110" s="731"/>
      <c r="DY110" s="731"/>
      <c r="DZ110" s="731"/>
    </row>
    <row r="111" spans="1:130" s="723" customFormat="1" ht="12.75">
      <c r="A111" s="1359" t="s">
        <v>214</v>
      </c>
      <c r="B111" s="718"/>
      <c r="C111" s="718"/>
      <c r="D111" s="718"/>
      <c r="E111" s="718"/>
      <c r="F111" s="718"/>
      <c r="G111" s="718">
        <v>296</v>
      </c>
      <c r="H111" s="718">
        <v>516</v>
      </c>
      <c r="I111" s="718">
        <v>522</v>
      </c>
      <c r="J111" s="718">
        <v>919</v>
      </c>
      <c r="K111" s="718">
        <v>1674</v>
      </c>
      <c r="L111" s="718">
        <v>530</v>
      </c>
      <c r="M111" s="718">
        <v>619</v>
      </c>
      <c r="N111" s="718">
        <v>1580</v>
      </c>
      <c r="O111" s="718">
        <v>-1143</v>
      </c>
      <c r="P111" s="718">
        <v>-456</v>
      </c>
      <c r="Q111" s="718">
        <v>7900</v>
      </c>
      <c r="R111" s="718">
        <v>-891</v>
      </c>
      <c r="S111" s="718">
        <v>587</v>
      </c>
      <c r="T111" s="718">
        <v>240</v>
      </c>
      <c r="U111" s="718">
        <v>-2205</v>
      </c>
      <c r="V111" s="718">
        <v>-583</v>
      </c>
      <c r="W111" s="718">
        <v>1132</v>
      </c>
      <c r="X111" s="718">
        <v>683</v>
      </c>
      <c r="Y111" s="718">
        <v>-66</v>
      </c>
      <c r="Z111" s="718">
        <v>-377</v>
      </c>
      <c r="AA111" s="718">
        <v>631</v>
      </c>
      <c r="AB111" s="718">
        <v>289</v>
      </c>
      <c r="AC111" s="718">
        <v>7254</v>
      </c>
      <c r="AD111" s="718">
        <v>1173</v>
      </c>
      <c r="AE111" s="718">
        <v>839</v>
      </c>
      <c r="AF111" s="718">
        <v>-600</v>
      </c>
      <c r="AG111" s="718">
        <v>3164</v>
      </c>
      <c r="AH111" s="718">
        <v>4518</v>
      </c>
      <c r="AI111" s="718">
        <v>-1548</v>
      </c>
      <c r="AJ111" s="718">
        <v>2306</v>
      </c>
      <c r="AK111" s="718">
        <v>590</v>
      </c>
      <c r="AL111" s="718">
        <v>8950</v>
      </c>
      <c r="AM111" s="718">
        <v>2669</v>
      </c>
      <c r="AN111" s="718">
        <v>-187</v>
      </c>
      <c r="AO111" s="718">
        <v>681</v>
      </c>
      <c r="AP111" s="718">
        <v>27813</v>
      </c>
      <c r="AQ111" s="725">
        <v>2191.84</v>
      </c>
      <c r="AR111" s="725">
        <v>1834</v>
      </c>
      <c r="AS111" s="725">
        <v>3811</v>
      </c>
      <c r="AT111" s="725">
        <v>3239.1</v>
      </c>
      <c r="AU111" s="725">
        <v>6501.8794900000103</v>
      </c>
      <c r="AV111" s="725">
        <v>13019.435009999999</v>
      </c>
      <c r="AW111" s="725">
        <v>3843</v>
      </c>
      <c r="AX111" s="725">
        <v>3930</v>
      </c>
      <c r="AY111" s="725">
        <v>9048</v>
      </c>
      <c r="AZ111" s="725">
        <v>13111</v>
      </c>
      <c r="BA111" s="721">
        <v>14747</v>
      </c>
      <c r="BB111" s="721">
        <v>34463</v>
      </c>
      <c r="BC111" s="721">
        <v>482.76788999996097</v>
      </c>
      <c r="BD111" s="721">
        <v>3163.9908700000415</v>
      </c>
      <c r="BE111" s="721">
        <v>4518.4292900000037</v>
      </c>
      <c r="BF111" s="721">
        <v>-1379.5645099998947</v>
      </c>
      <c r="BG111" s="721">
        <v>-749</v>
      </c>
      <c r="BH111" s="721">
        <v>8586</v>
      </c>
      <c r="BI111" s="721">
        <v>24010</v>
      </c>
      <c r="BJ111" s="721">
        <v>-2024</v>
      </c>
      <c r="BK111" s="721">
        <v>28122</v>
      </c>
      <c r="BL111" s="721">
        <v>9834</v>
      </c>
      <c r="BM111" s="721">
        <v>2308</v>
      </c>
      <c r="BN111" s="721">
        <v>21305</v>
      </c>
      <c r="BO111" s="721">
        <v>3918</v>
      </c>
      <c r="BP111" s="721">
        <v>742921</v>
      </c>
      <c r="BQ111" s="721">
        <v>3606</v>
      </c>
      <c r="BR111" s="721">
        <v>-1320</v>
      </c>
      <c r="BS111" s="721">
        <v>462</v>
      </c>
      <c r="BT111" s="721">
        <v>47740</v>
      </c>
      <c r="BU111" s="721">
        <v>4961</v>
      </c>
      <c r="BV111" s="721">
        <v>-12133</v>
      </c>
      <c r="BW111" s="721">
        <v>14638</v>
      </c>
      <c r="BX111" s="721">
        <v>5175</v>
      </c>
      <c r="BY111" s="721">
        <v>40013</v>
      </c>
      <c r="BZ111" s="721">
        <v>58848</v>
      </c>
      <c r="CA111" s="721">
        <f>3224+36044</f>
        <v>39268</v>
      </c>
      <c r="CB111" s="721">
        <v>17708</v>
      </c>
      <c r="CC111" s="721">
        <v>21008</v>
      </c>
      <c r="CD111" s="721">
        <v>120769</v>
      </c>
      <c r="CE111" s="721">
        <v>76820</v>
      </c>
      <c r="CF111" s="721">
        <f>42742-CF120</f>
        <v>44414</v>
      </c>
      <c r="CG111" s="721">
        <v>31266</v>
      </c>
      <c r="CH111" s="721">
        <v>25685</v>
      </c>
      <c r="CI111" s="721">
        <v>19786</v>
      </c>
      <c r="CJ111" s="721">
        <v>9378</v>
      </c>
      <c r="CK111" s="721">
        <v>26638</v>
      </c>
      <c r="CL111" s="722">
        <f t="shared" ref="CL111:CP111" si="760">+CL112*CL$26</f>
        <v>24139.086962290825</v>
      </c>
      <c r="CM111" s="722">
        <f t="shared" si="760"/>
        <v>17171.169301941161</v>
      </c>
      <c r="CN111" s="722">
        <f t="shared" si="760"/>
        <v>21780.256171512145</v>
      </c>
      <c r="CO111" s="722">
        <f t="shared" si="760"/>
        <v>19203.543697447225</v>
      </c>
      <c r="CP111" s="722">
        <f t="shared" si="760"/>
        <v>26250.909347537974</v>
      </c>
      <c r="CQ111" s="722"/>
      <c r="CR111" s="722"/>
      <c r="CS111" s="722"/>
      <c r="CT111" s="722">
        <v>24139.086962290825</v>
      </c>
      <c r="CU111" s="718"/>
      <c r="CV111" s="718"/>
      <c r="CW111" s="703">
        <v>2253</v>
      </c>
      <c r="CX111" s="703">
        <v>4403</v>
      </c>
      <c r="CY111" s="703">
        <v>5410</v>
      </c>
      <c r="CZ111" s="703">
        <v>-1961</v>
      </c>
      <c r="DA111" s="703">
        <v>1372</v>
      </c>
      <c r="DB111" s="703">
        <v>9347</v>
      </c>
      <c r="DC111" s="703">
        <v>7921</v>
      </c>
      <c r="DD111" s="703">
        <v>10298</v>
      </c>
      <c r="DE111" s="703">
        <v>30976</v>
      </c>
      <c r="DF111" s="703">
        <f>+SUM(AQ111:AT111)</f>
        <v>11075.94</v>
      </c>
      <c r="DG111" s="703">
        <f>+SUM(AU111:AX111)</f>
        <v>27294.314500000008</v>
      </c>
      <c r="DH111" s="703">
        <f>+SUM(AY111:BB111)</f>
        <v>71369</v>
      </c>
      <c r="DI111" s="703">
        <f>+SUM(BC111:BF111)</f>
        <v>6785.6235400001115</v>
      </c>
      <c r="DJ111" s="703">
        <f>+SUM(BG111:BJ111)</f>
        <v>29823</v>
      </c>
      <c r="DK111" s="703">
        <f>+SUM(BK111:BN111)</f>
        <v>61569</v>
      </c>
      <c r="DL111" s="703">
        <f>+SUM(BO111:BR111)</f>
        <v>749125</v>
      </c>
      <c r="DM111" s="703">
        <f>+SUM(BS111:BV111)</f>
        <v>41030</v>
      </c>
      <c r="DN111" s="703">
        <f>+SUM(BW111:BZ111)</f>
        <v>118674</v>
      </c>
      <c r="DO111" s="703">
        <f>+SUM(CA111:CD111)</f>
        <v>198753</v>
      </c>
      <c r="DP111" s="703">
        <f>+SUM(CE111:CH111)</f>
        <v>178185</v>
      </c>
      <c r="DQ111" s="703">
        <f>+SUM(CI111:CL111)</f>
        <v>79941.086962290821</v>
      </c>
      <c r="DR111" s="703">
        <f>+SUM(CM111:CP111)</f>
        <v>84405.878518438505</v>
      </c>
      <c r="DS111" s="722">
        <f>+DS112*DS$26</f>
        <v>91459.373594066376</v>
      </c>
      <c r="DT111" s="722">
        <f t="shared" ref="DT111:DV111" si="761">+DT112*DT$26</f>
        <v>97700.935954452347</v>
      </c>
      <c r="DU111" s="722">
        <f t="shared" si="761"/>
        <v>104368.60511883539</v>
      </c>
      <c r="DV111" s="722">
        <f t="shared" si="761"/>
        <v>111485.92787355787</v>
      </c>
      <c r="DY111" s="722">
        <v>86796.112398154713</v>
      </c>
      <c r="DZ111" s="722">
        <v>93674.884362472512</v>
      </c>
    </row>
    <row r="112" spans="1:130" s="692" customFormat="1">
      <c r="A112" s="1360" t="s">
        <v>211</v>
      </c>
      <c r="B112" s="729"/>
      <c r="C112" s="727"/>
      <c r="D112" s="727"/>
      <c r="E112" s="727"/>
      <c r="F112" s="727"/>
      <c r="G112" s="694">
        <v>1.4081558866624803E-3</v>
      </c>
      <c r="H112" s="694">
        <v>1.7445280645881089E-3</v>
      </c>
      <c r="I112" s="694">
        <v>1.9200564982142004E-3</v>
      </c>
      <c r="J112" s="694">
        <v>2.1660479641741797E-3</v>
      </c>
      <c r="K112" s="694">
        <v>6.2754918426103645E-3</v>
      </c>
      <c r="L112" s="694">
        <v>1.3915874599590402E-3</v>
      </c>
      <c r="M112" s="694">
        <v>1.7849573369243944E-3</v>
      </c>
      <c r="N112" s="694">
        <v>2.943154279029653E-3</v>
      </c>
      <c r="O112" s="694">
        <v>-3.2886881213045416E-3</v>
      </c>
      <c r="P112" s="694">
        <v>-9.2895907690803304E-4</v>
      </c>
      <c r="Q112" s="694">
        <v>1.7792311919497671E-2</v>
      </c>
      <c r="R112" s="694">
        <v>-1.3739398612181957E-3</v>
      </c>
      <c r="S112" s="694">
        <v>1.3594351049219888E-3</v>
      </c>
      <c r="T112" s="694">
        <v>4.2376846703522753E-4</v>
      </c>
      <c r="U112" s="694">
        <v>-4.3119463402233214E-3</v>
      </c>
      <c r="V112" s="694">
        <v>-8.6563631693276695E-4</v>
      </c>
      <c r="W112" s="694">
        <v>2.7008069018500049E-3</v>
      </c>
      <c r="X112" s="694">
        <v>1.1134405148888026E-3</v>
      </c>
      <c r="Y112" s="694">
        <v>-1.1949789158644314E-4</v>
      </c>
      <c r="Z112" s="694">
        <v>-4.8409733823508638E-4</v>
      </c>
      <c r="AA112" s="694">
        <v>1.2477876981184311E-3</v>
      </c>
      <c r="AB112" s="694">
        <v>4.1167035603075706E-4</v>
      </c>
      <c r="AC112" s="694">
        <v>1.126619690529033E-2</v>
      </c>
      <c r="AD112" s="694">
        <v>1.3036925730645777E-3</v>
      </c>
      <c r="AE112" s="694">
        <v>1.4012128256901265E-3</v>
      </c>
      <c r="AF112" s="694">
        <v>-7.1734381930587418E-4</v>
      </c>
      <c r="AG112" s="694">
        <v>4.2645992435862527E-3</v>
      </c>
      <c r="AH112" s="694">
        <v>4.256505821369958E-3</v>
      </c>
      <c r="AI112" s="694">
        <v>-2.1825072327274573E-3</v>
      </c>
      <c r="AJ112" s="694">
        <v>2.4135123197977087E-3</v>
      </c>
      <c r="AK112" s="694">
        <v>6.5189192294858446E-4</v>
      </c>
      <c r="AL112" s="694">
        <v>6.9233863481651088E-3</v>
      </c>
      <c r="AM112" s="694">
        <v>3.2008039786389207E-3</v>
      </c>
      <c r="AN112" s="694">
        <v>-1.7634821511087304E-4</v>
      </c>
      <c r="AO112" s="694">
        <v>6.6670909064208686E-4</v>
      </c>
      <c r="AP112" s="694">
        <v>1.9119511209245668E-2</v>
      </c>
      <c r="AQ112" s="694">
        <f t="shared" ref="AQ112:CK112" si="762">+AQ111/AQ$26</f>
        <v>2.3351878407950446E-3</v>
      </c>
      <c r="AR112" s="694">
        <f t="shared" si="762"/>
        <v>1.4610891407776116E-3</v>
      </c>
      <c r="AS112" s="694">
        <f t="shared" si="762"/>
        <v>3.1658003842821459E-3</v>
      </c>
      <c r="AT112" s="694">
        <f t="shared" si="762"/>
        <v>1.7812922246437663E-3</v>
      </c>
      <c r="AU112" s="694">
        <f t="shared" si="762"/>
        <v>5.5384778784732273E-3</v>
      </c>
      <c r="AV112" s="694">
        <f t="shared" si="762"/>
        <v>8.4739823848070904E-3</v>
      </c>
      <c r="AW112" s="694">
        <f t="shared" si="762"/>
        <v>2.7051854667553611E-3</v>
      </c>
      <c r="AX112" s="694">
        <f t="shared" si="762"/>
        <v>1.9511032669809283E-3</v>
      </c>
      <c r="AY112" s="694">
        <f t="shared" si="762"/>
        <v>7.2536675193948224E-3</v>
      </c>
      <c r="AZ112" s="694">
        <f t="shared" si="762"/>
        <v>7.9577319462484364E-3</v>
      </c>
      <c r="BA112" s="694">
        <f t="shared" si="762"/>
        <v>1.0199684748334692E-2</v>
      </c>
      <c r="BB112" s="694">
        <f t="shared" si="762"/>
        <v>1.6326969559437597E-2</v>
      </c>
      <c r="BC112" s="694">
        <f t="shared" si="762"/>
        <v>3.4110061724379785E-4</v>
      </c>
      <c r="BD112" s="694">
        <f t="shared" si="762"/>
        <v>1.7278879239727347E-3</v>
      </c>
      <c r="BE112" s="694">
        <f t="shared" si="762"/>
        <v>2.5873160777999272E-3</v>
      </c>
      <c r="BF112" s="694">
        <f t="shared" si="762"/>
        <v>-5.6274944604706666E-4</v>
      </c>
      <c r="BG112" s="694">
        <f t="shared" si="762"/>
        <v>-4.5999318301157352E-4</v>
      </c>
      <c r="BH112" s="694">
        <f t="shared" si="762"/>
        <v>4.2502909513751075E-3</v>
      </c>
      <c r="BI112" s="694">
        <f t="shared" si="762"/>
        <v>1.2355348255122247E-2</v>
      </c>
      <c r="BJ112" s="694">
        <f t="shared" si="762"/>
        <v>-7.1396546791723501E-4</v>
      </c>
      <c r="BK112" s="694">
        <f t="shared" si="762"/>
        <v>1.486271726325592E-2</v>
      </c>
      <c r="BL112" s="694">
        <f t="shared" si="762"/>
        <v>4.29056842832735E-3</v>
      </c>
      <c r="BM112" s="694">
        <f t="shared" si="762"/>
        <v>1.0369515063427916E-3</v>
      </c>
      <c r="BN112" s="694">
        <f t="shared" si="762"/>
        <v>6.7027186201554729E-3</v>
      </c>
      <c r="BO112" s="694">
        <f t="shared" si="762"/>
        <v>2.1022008723221488E-3</v>
      </c>
      <c r="BP112" s="694">
        <f t="shared" si="762"/>
        <v>0.91888124516082748</v>
      </c>
      <c r="BQ112" s="694">
        <f t="shared" si="762"/>
        <v>2.0144812487325695E-3</v>
      </c>
      <c r="BR112" s="694">
        <f t="shared" si="762"/>
        <v>-4.2928588293373975E-4</v>
      </c>
      <c r="BS112" s="694">
        <f t="shared" si="762"/>
        <v>2.9214730800799799E-4</v>
      </c>
      <c r="BT112" s="694">
        <f t="shared" si="762"/>
        <v>1.9170434964881643E-2</v>
      </c>
      <c r="BU112" s="694">
        <f t="shared" si="762"/>
        <v>1.8875395206679915E-3</v>
      </c>
      <c r="BV112" s="694">
        <f t="shared" si="762"/>
        <v>-3.1338628116450453E-3</v>
      </c>
      <c r="BW112" s="694">
        <f t="shared" si="762"/>
        <v>5.6019385968135004E-3</v>
      </c>
      <c r="BX112" s="694">
        <f t="shared" si="762"/>
        <v>1.4270598678501197E-3</v>
      </c>
      <c r="BY112" s="694">
        <f t="shared" si="762"/>
        <v>1.3259734785421152E-2</v>
      </c>
      <c r="BZ112" s="694">
        <f t="shared" si="762"/>
        <v>1.4660161668340747E-2</v>
      </c>
      <c r="CA112" s="694">
        <f t="shared" si="762"/>
        <v>1.4149141783999666E-2</v>
      </c>
      <c r="CB112" s="694">
        <f t="shared" si="762"/>
        <v>5.0535332639095589E-3</v>
      </c>
      <c r="CC112" s="694">
        <f t="shared" si="762"/>
        <v>6.7831284532349012E-3</v>
      </c>
      <c r="CD112" s="694">
        <f t="shared" si="762"/>
        <v>2.8274013678957939E-2</v>
      </c>
      <c r="CE112" s="694">
        <f t="shared" si="762"/>
        <v>2.6414519527041873E-2</v>
      </c>
      <c r="CF112" s="694">
        <f t="shared" si="762"/>
        <v>1.2616212233243409E-2</v>
      </c>
      <c r="CG112" s="694">
        <f t="shared" si="762"/>
        <v>9.2216242457990819E-3</v>
      </c>
      <c r="CH112" s="694">
        <f t="shared" si="762"/>
        <v>5.5628747793313588E-3</v>
      </c>
      <c r="CI112" s="694">
        <f t="shared" si="762"/>
        <v>6.073841408458314E-3</v>
      </c>
      <c r="CJ112" s="694">
        <f t="shared" si="762"/>
        <v>2.2502343094266534E-3</v>
      </c>
      <c r="CK112" s="694">
        <f t="shared" si="762"/>
        <v>7.4752937584468184E-3</v>
      </c>
      <c r="CL112" s="724">
        <v>5.0000000000000001E-3</v>
      </c>
      <c r="CM112" s="724">
        <v>5.0000000000000001E-3</v>
      </c>
      <c r="CN112" s="724">
        <v>5.0000000000000001E-3</v>
      </c>
      <c r="CO112" s="724">
        <v>5.0000000000000001E-3</v>
      </c>
      <c r="CP112" s="724">
        <v>5.0000000000000001E-3</v>
      </c>
      <c r="CQ112" s="724"/>
      <c r="CR112" s="724"/>
      <c r="CS112" s="724"/>
      <c r="CT112" s="724">
        <v>5.0000000000000001E-3</v>
      </c>
      <c r="CU112" s="727"/>
      <c r="CV112" s="727"/>
      <c r="CW112" s="695"/>
      <c r="CX112" s="695"/>
      <c r="CY112" s="695"/>
      <c r="CZ112" s="694">
        <v>-8.983022042531242E-4</v>
      </c>
      <c r="DA112" s="694">
        <v>5.8046359240963472E-4</v>
      </c>
      <c r="DB112" s="694">
        <v>3.3972561713609887E-3</v>
      </c>
      <c r="DC112" s="694">
        <v>2.4458537205940202E-3</v>
      </c>
      <c r="DD112" s="694">
        <v>2.6661433452047217E-3</v>
      </c>
      <c r="DE112" s="694">
        <v>7.0877099530430067E-3</v>
      </c>
      <c r="DF112" s="694">
        <f t="shared" ref="DF112:DO112" si="763">+DF111/DF$26</f>
        <v>2.1234368421738773E-3</v>
      </c>
      <c r="DG112" s="694">
        <f t="shared" si="763"/>
        <v>4.4415679527331758E-3</v>
      </c>
      <c r="DH112" s="694">
        <f t="shared" si="763"/>
        <v>1.106225141748223E-2</v>
      </c>
      <c r="DI112" s="694">
        <f t="shared" si="763"/>
        <v>9.1151874352274809E-4</v>
      </c>
      <c r="DJ112" s="694">
        <f t="shared" si="763"/>
        <v>3.5391746150644733E-3</v>
      </c>
      <c r="DK112" s="694">
        <f t="shared" si="763"/>
        <v>6.4211716674990931E-3</v>
      </c>
      <c r="DL112" s="694">
        <f t="shared" si="763"/>
        <v>9.9390620895348128E-2</v>
      </c>
      <c r="DM112" s="694">
        <f t="shared" si="763"/>
        <v>3.8811693762113601E-3</v>
      </c>
      <c r="DN112" s="694">
        <f t="shared" si="763"/>
        <v>8.942263198699554E-3</v>
      </c>
      <c r="DO112" s="694">
        <f t="shared" si="763"/>
        <v>1.4562954206190293E-2</v>
      </c>
      <c r="DP112" s="694">
        <f t="shared" ref="DP112:DQ112" si="764">+DP111/DP$26</f>
        <v>1.2342787651684641E-2</v>
      </c>
      <c r="DQ112" s="694">
        <f t="shared" si="764"/>
        <v>5.0543061818868673E-3</v>
      </c>
      <c r="DR112" s="694">
        <f t="shared" ref="DR112" si="765">+DR111/DR$26</f>
        <v>5.0000000000000001E-3</v>
      </c>
      <c r="DS112" s="724">
        <f>+DR112</f>
        <v>5.0000000000000001E-3</v>
      </c>
      <c r="DT112" s="724">
        <f t="shared" ref="DT112:DV112" si="766">+DS112</f>
        <v>5.0000000000000001E-3</v>
      </c>
      <c r="DU112" s="724">
        <f t="shared" si="766"/>
        <v>5.0000000000000001E-3</v>
      </c>
      <c r="DV112" s="724">
        <f t="shared" si="766"/>
        <v>5.0000000000000001E-3</v>
      </c>
      <c r="DY112" s="724">
        <v>5.0535452148290309E-3</v>
      </c>
      <c r="DZ112" s="724">
        <v>5.0535452148290309E-3</v>
      </c>
    </row>
    <row r="113" spans="1:130" s="692" customFormat="1">
      <c r="A113" s="1361"/>
      <c r="B113" s="694"/>
      <c r="C113" s="694"/>
      <c r="D113" s="694"/>
      <c r="E113" s="694"/>
      <c r="F113" s="694"/>
      <c r="G113" s="694"/>
      <c r="H113" s="694"/>
      <c r="I113" s="694"/>
      <c r="J113" s="694"/>
      <c r="K113" s="694"/>
      <c r="L113" s="694"/>
      <c r="M113" s="694"/>
      <c r="N113" s="694"/>
      <c r="O113" s="694"/>
      <c r="P113" s="694"/>
      <c r="Q113" s="694"/>
      <c r="R113" s="694"/>
      <c r="S113" s="694"/>
      <c r="T113" s="694"/>
      <c r="U113" s="694"/>
      <c r="V113" s="694"/>
      <c r="W113" s="694"/>
      <c r="X113" s="694"/>
      <c r="Y113" s="694"/>
      <c r="Z113" s="694"/>
      <c r="AA113" s="694"/>
      <c r="AB113" s="694"/>
      <c r="AC113" s="694"/>
      <c r="AD113" s="694"/>
      <c r="AE113" s="694"/>
      <c r="AF113" s="694"/>
      <c r="AG113" s="694"/>
      <c r="AH113" s="694"/>
      <c r="AI113" s="694"/>
      <c r="AJ113" s="694"/>
      <c r="AK113" s="694"/>
      <c r="AL113" s="694"/>
      <c r="AM113" s="694"/>
      <c r="AN113" s="694"/>
      <c r="AO113" s="694"/>
      <c r="AP113" s="694"/>
      <c r="AQ113" s="694"/>
      <c r="AR113" s="694"/>
      <c r="AS113" s="694"/>
      <c r="AT113" s="694"/>
      <c r="AU113" s="694"/>
      <c r="AV113" s="694"/>
      <c r="AW113" s="694"/>
      <c r="AX113" s="694"/>
      <c r="AY113" s="694"/>
      <c r="AZ113" s="694"/>
      <c r="BA113" s="694"/>
      <c r="BB113" s="694"/>
      <c r="BC113" s="694"/>
      <c r="BD113" s="694"/>
      <c r="BE113" s="694"/>
      <c r="BF113" s="694"/>
      <c r="BG113" s="694"/>
      <c r="BH113" s="694"/>
      <c r="BI113" s="694"/>
      <c r="BJ113" s="694"/>
      <c r="BK113" s="694"/>
      <c r="BL113" s="694"/>
      <c r="BM113" s="694"/>
      <c r="BN113" s="694"/>
      <c r="BO113" s="694"/>
      <c r="BP113" s="694"/>
      <c r="BQ113" s="694"/>
      <c r="BR113" s="694"/>
      <c r="BS113" s="694"/>
      <c r="BT113" s="694"/>
      <c r="BU113" s="694"/>
      <c r="BV113" s="694"/>
      <c r="BW113" s="694"/>
      <c r="BX113" s="694"/>
      <c r="BY113" s="694"/>
      <c r="BZ113" s="694"/>
      <c r="CA113" s="694"/>
      <c r="CB113" s="694"/>
      <c r="CC113" s="694"/>
      <c r="CD113" s="694"/>
      <c r="CE113" s="694"/>
      <c r="CF113" s="694"/>
      <c r="CG113" s="694"/>
      <c r="CH113" s="694"/>
      <c r="CI113" s="694"/>
      <c r="CJ113" s="694"/>
      <c r="CK113" s="694"/>
      <c r="CL113" s="694"/>
      <c r="CM113" s="694"/>
      <c r="CN113" s="694"/>
      <c r="CO113" s="694"/>
      <c r="CP113" s="694"/>
      <c r="CQ113" s="694"/>
      <c r="CR113" s="694"/>
      <c r="CS113" s="694"/>
      <c r="CT113" s="694"/>
      <c r="CU113" s="694"/>
      <c r="CV113" s="694"/>
      <c r="CW113" s="694"/>
      <c r="CX113" s="694"/>
      <c r="CY113" s="694"/>
      <c r="CZ113" s="694"/>
      <c r="DA113" s="694"/>
      <c r="DB113" s="694"/>
      <c r="DC113" s="694"/>
      <c r="DD113" s="694"/>
      <c r="DE113" s="694"/>
      <c r="DF113" s="694"/>
      <c r="DG113" s="694"/>
      <c r="DH113" s="694"/>
      <c r="DI113" s="694"/>
      <c r="DJ113" s="694"/>
      <c r="DK113" s="694"/>
      <c r="DL113" s="694"/>
      <c r="DM113" s="694"/>
      <c r="DN113" s="694"/>
      <c r="DO113" s="694"/>
      <c r="DP113" s="694"/>
      <c r="DQ113" s="694"/>
      <c r="DR113" s="694"/>
      <c r="DS113" s="694"/>
      <c r="DT113" s="694"/>
      <c r="DU113" s="694"/>
      <c r="DV113" s="694"/>
      <c r="DY113" s="694"/>
      <c r="DZ113" s="694"/>
    </row>
    <row r="114" spans="1:130" s="723" customFormat="1" ht="12.75">
      <c r="A114" s="1357" t="s">
        <v>215</v>
      </c>
      <c r="B114" s="720"/>
      <c r="C114" s="702"/>
      <c r="D114" s="703"/>
      <c r="E114" s="703"/>
      <c r="F114" s="703"/>
      <c r="G114" s="703">
        <v>0</v>
      </c>
      <c r="H114" s="703">
        <v>0</v>
      </c>
      <c r="I114" s="703">
        <v>0</v>
      </c>
      <c r="J114" s="703">
        <v>0</v>
      </c>
      <c r="K114" s="703">
        <v>0</v>
      </c>
      <c r="L114" s="703">
        <v>0</v>
      </c>
      <c r="M114" s="703">
        <v>0</v>
      </c>
      <c r="N114" s="703">
        <v>0</v>
      </c>
      <c r="O114" s="703">
        <v>0</v>
      </c>
      <c r="P114" s="703">
        <v>0</v>
      </c>
      <c r="Q114" s="703">
        <v>0</v>
      </c>
      <c r="R114" s="703">
        <v>-5190</v>
      </c>
      <c r="S114" s="703">
        <v>-2077</v>
      </c>
      <c r="T114" s="703">
        <v>-3029</v>
      </c>
      <c r="U114" s="703">
        <v>-3096</v>
      </c>
      <c r="V114" s="703">
        <v>-2858</v>
      </c>
      <c r="W114" s="703">
        <v>-3585</v>
      </c>
      <c r="X114" s="703">
        <v>-4835</v>
      </c>
      <c r="Y114" s="703">
        <v>-4431</v>
      </c>
      <c r="Z114" s="703">
        <v>-4392</v>
      </c>
      <c r="AA114" s="703">
        <v>-3829</v>
      </c>
      <c r="AB114" s="703">
        <v>-4629</v>
      </c>
      <c r="AC114" s="703">
        <v>-4459</v>
      </c>
      <c r="AD114" s="703">
        <v>-4468</v>
      </c>
      <c r="AE114" s="703">
        <v>-4727</v>
      </c>
      <c r="AF114" s="703">
        <v>-5549</v>
      </c>
      <c r="AG114" s="703">
        <v>-4260</v>
      </c>
      <c r="AH114" s="703">
        <v>-3538</v>
      </c>
      <c r="AI114" s="703">
        <v>-4075</v>
      </c>
      <c r="AJ114" s="703">
        <v>-4006</v>
      </c>
      <c r="AK114" s="703">
        <v>-4001</v>
      </c>
      <c r="AL114" s="703">
        <v>-4045</v>
      </c>
      <c r="AM114" s="703">
        <v>-4479</v>
      </c>
      <c r="AN114" s="703">
        <v>-3360</v>
      </c>
      <c r="AO114" s="703">
        <v>-1687</v>
      </c>
      <c r="AP114" s="703">
        <v>-3613</v>
      </c>
      <c r="AQ114" s="721">
        <v>-136.77000000000001</v>
      </c>
      <c r="AR114" s="721">
        <v>-61</v>
      </c>
      <c r="AS114" s="721">
        <v>-98</v>
      </c>
      <c r="AT114" s="721">
        <v>-1444.5619999999999</v>
      </c>
      <c r="AU114" s="721">
        <v>-378.03440999999998</v>
      </c>
      <c r="AV114" s="721">
        <v>-1057</v>
      </c>
      <c r="AW114" s="721">
        <v>-144</v>
      </c>
      <c r="AX114" s="721">
        <v>-11178</v>
      </c>
      <c r="AY114" s="721">
        <v>-153</v>
      </c>
      <c r="AZ114" s="721">
        <v>-962</v>
      </c>
      <c r="BA114" s="721">
        <v>-12228</v>
      </c>
      <c r="BB114" s="721">
        <v>-8035</v>
      </c>
      <c r="BC114" s="721">
        <v>-431</v>
      </c>
      <c r="BD114" s="721">
        <v>-725</v>
      </c>
      <c r="BE114" s="721">
        <v>-3411</v>
      </c>
      <c r="BF114" s="721">
        <v>-16783</v>
      </c>
      <c r="BG114" s="721">
        <v>-523</v>
      </c>
      <c r="BH114" s="721">
        <v>-1220.03514</v>
      </c>
      <c r="BI114" s="721">
        <v>-1268.56825</v>
      </c>
      <c r="BJ114" s="721">
        <v>-3119</v>
      </c>
      <c r="BK114" s="721">
        <v>-500</v>
      </c>
      <c r="BL114" s="721">
        <v>-289</v>
      </c>
      <c r="BM114" s="721">
        <v>-1926</v>
      </c>
      <c r="BN114" s="721">
        <v>-21053</v>
      </c>
      <c r="BO114" s="721">
        <v>168</v>
      </c>
      <c r="BP114" s="721">
        <v>-9905</v>
      </c>
      <c r="BQ114" s="721">
        <v>-10240</v>
      </c>
      <c r="BR114" s="721">
        <v>-556</v>
      </c>
      <c r="BS114" s="721">
        <v>67</v>
      </c>
      <c r="BT114" s="721">
        <v>-228</v>
      </c>
      <c r="BU114" s="721">
        <v>84</v>
      </c>
      <c r="BV114" s="721">
        <v>-8917</v>
      </c>
      <c r="BW114" s="721">
        <v>7</v>
      </c>
      <c r="BX114" s="721">
        <v>-9510</v>
      </c>
      <c r="BY114" s="721">
        <v>-844</v>
      </c>
      <c r="BZ114" s="721">
        <v>-27358</v>
      </c>
      <c r="CA114" s="721">
        <v>-16040</v>
      </c>
      <c r="CB114" s="721">
        <v>-3076</v>
      </c>
      <c r="CC114" s="721">
        <v>27</v>
      </c>
      <c r="CD114" s="2099">
        <v>-121753</v>
      </c>
      <c r="CE114" s="721">
        <v>78</v>
      </c>
      <c r="CF114" s="721">
        <v>-8600</v>
      </c>
      <c r="CG114" s="721">
        <v>-1311</v>
      </c>
      <c r="CH114" s="2099">
        <v>-133504</v>
      </c>
      <c r="CI114" s="721">
        <v>-3563</v>
      </c>
      <c r="CJ114" s="721">
        <v>-1328</v>
      </c>
      <c r="CK114" s="721">
        <v>-3034</v>
      </c>
      <c r="CL114" s="722">
        <f t="shared" ref="CL114:CP114" si="767">+CL115*CL$26</f>
        <v>-120695.43481145414</v>
      </c>
      <c r="CM114" s="722">
        <f t="shared" si="767"/>
        <v>-3756.2209583332124</v>
      </c>
      <c r="CN114" s="722">
        <f t="shared" si="767"/>
        <v>-1388.0610502997733</v>
      </c>
      <c r="CO114" s="722">
        <f t="shared" si="767"/>
        <v>-3270.0440232478259</v>
      </c>
      <c r="CP114" s="722">
        <f t="shared" si="767"/>
        <v>-131254.54673768987</v>
      </c>
      <c r="CQ114" s="722"/>
      <c r="CR114" s="722"/>
      <c r="CS114" s="722"/>
      <c r="CT114" s="722">
        <v>-120695.43481145414</v>
      </c>
      <c r="CU114" s="703"/>
      <c r="CV114" s="703"/>
      <c r="CW114" s="703">
        <v>0</v>
      </c>
      <c r="CX114" s="703">
        <v>0</v>
      </c>
      <c r="CY114" s="703">
        <v>-5190</v>
      </c>
      <c r="CZ114" s="703">
        <v>-11060</v>
      </c>
      <c r="DA114" s="703">
        <v>-17243</v>
      </c>
      <c r="DB114" s="703">
        <v>-17385</v>
      </c>
      <c r="DC114" s="703">
        <v>-18074</v>
      </c>
      <c r="DD114" s="703">
        <v>-16127</v>
      </c>
      <c r="DE114" s="703">
        <v>-13139</v>
      </c>
      <c r="DF114" s="703">
        <f>+SUM(AQ114:AT114)</f>
        <v>-1740.3319999999999</v>
      </c>
      <c r="DG114" s="703">
        <f>+SUM(AU114:AX114)</f>
        <v>-12757.03441</v>
      </c>
      <c r="DH114" s="703">
        <f>+SUM(AY114:BB114)</f>
        <v>-21378</v>
      </c>
      <c r="DI114" s="703">
        <f>+SUM(BC114:BF114)</f>
        <v>-21350</v>
      </c>
      <c r="DJ114" s="703">
        <f>+SUM(BG114:BJ114)</f>
        <v>-6130.6033900000002</v>
      </c>
      <c r="DK114" s="703">
        <f>+SUM(BK114:BN114)</f>
        <v>-23768</v>
      </c>
      <c r="DL114" s="703">
        <f>+SUM(BO114:BR114)</f>
        <v>-20533</v>
      </c>
      <c r="DM114" s="703">
        <f>+SUM(BS114:BV114)</f>
        <v>-8994</v>
      </c>
      <c r="DN114" s="703">
        <f>+SUM(BW114:BZ114)</f>
        <v>-37705</v>
      </c>
      <c r="DO114" s="703">
        <f>+SUM(CA114:CD114)</f>
        <v>-140842</v>
      </c>
      <c r="DP114" s="703">
        <f>+SUM(CE114:CH114)</f>
        <v>-143337</v>
      </c>
      <c r="DQ114" s="703">
        <f>+SUM(CI114:CL114)</f>
        <v>-128620.43481145414</v>
      </c>
      <c r="DR114" s="703">
        <f>+SUM(CM114:CP114)</f>
        <v>-139668.87276957068</v>
      </c>
      <c r="DS114" s="722">
        <f>+DS115*DS$26</f>
        <v>-151340.49711127402</v>
      </c>
      <c r="DT114" s="722">
        <f t="shared" ref="DT114:DV114" si="768">+DT115*DT$26</f>
        <v>-161668.592671652</v>
      </c>
      <c r="DU114" s="722">
        <f t="shared" si="768"/>
        <v>-172701.77960763502</v>
      </c>
      <c r="DV114" s="722">
        <f t="shared" si="768"/>
        <v>-184479.02147441031</v>
      </c>
      <c r="DY114" s="722">
        <v>-89632.341590733588</v>
      </c>
      <c r="DZ114" s="722">
        <v>-96735.890602262836</v>
      </c>
    </row>
    <row r="115" spans="1:130" s="692" customFormat="1">
      <c r="A115" s="1358" t="s">
        <v>187</v>
      </c>
      <c r="B115" s="707"/>
      <c r="C115" s="693"/>
      <c r="D115" s="695"/>
      <c r="E115" s="695"/>
      <c r="F115" s="695"/>
      <c r="G115" s="695"/>
      <c r="H115" s="695"/>
      <c r="I115" s="695"/>
      <c r="J115" s="695"/>
      <c r="K115" s="695"/>
      <c r="L115" s="695"/>
      <c r="M115" s="695"/>
      <c r="N115" s="695"/>
      <c r="O115" s="695"/>
      <c r="P115" s="695"/>
      <c r="Q115" s="695"/>
      <c r="R115" s="694">
        <v>-8.0030840400925219E-3</v>
      </c>
      <c r="S115" s="694">
        <v>-4.8101306864105128E-3</v>
      </c>
      <c r="T115" s="694">
        <v>-5.3483111943737676E-3</v>
      </c>
      <c r="U115" s="694">
        <v>-6.0543246572931537E-3</v>
      </c>
      <c r="V115" s="694">
        <v>-4.2435481883256396E-3</v>
      </c>
      <c r="W115" s="694">
        <v>-8.5533504797988234E-3</v>
      </c>
      <c r="X115" s="694">
        <v>-7.8821155043738815E-3</v>
      </c>
      <c r="Y115" s="694">
        <v>-8.0226539033262049E-3</v>
      </c>
      <c r="Z115" s="694">
        <v>-5.6396697865477435E-3</v>
      </c>
      <c r="AA115" s="694">
        <v>-7.5717576800245203E-3</v>
      </c>
      <c r="AB115" s="694">
        <v>-6.593848020990915E-3</v>
      </c>
      <c r="AC115" s="694">
        <v>-6.9252787428576755E-3</v>
      </c>
      <c r="AD115" s="694">
        <v>-4.9658128017498158E-3</v>
      </c>
      <c r="AE115" s="694">
        <v>-7.8945566472434191E-3</v>
      </c>
      <c r="AF115" s="694">
        <v>-6.6342347555471597E-3</v>
      </c>
      <c r="AG115" s="694">
        <v>-5.741843482198937E-3</v>
      </c>
      <c r="AH115" s="694">
        <v>-3.333226559541149E-3</v>
      </c>
      <c r="AI115" s="694">
        <v>-5.7452952024317754E-3</v>
      </c>
      <c r="AJ115" s="694">
        <v>-4.1927711852166611E-3</v>
      </c>
      <c r="AK115" s="694">
        <v>-4.4207111588428589E-3</v>
      </c>
      <c r="AL115" s="694">
        <v>-3.1290612042824432E-3</v>
      </c>
      <c r="AM115" s="694">
        <v>-5.371450363553288E-3</v>
      </c>
      <c r="AN115" s="694">
        <v>-3.1686096404948314E-3</v>
      </c>
      <c r="AO115" s="694">
        <v>-1.6515979969356836E-3</v>
      </c>
      <c r="AP115" s="694">
        <v>-2.4836872685076979E-3</v>
      </c>
      <c r="AQ115" s="694">
        <f t="shared" ref="AQ115:CK115" si="769">+AQ114/AQ$26</f>
        <v>-1.4571485189865058E-4</v>
      </c>
      <c r="AR115" s="694">
        <f t="shared" si="769"/>
        <v>-4.8596748957161569E-5</v>
      </c>
      <c r="AS115" s="694">
        <f t="shared" si="769"/>
        <v>-8.1408669026410461E-5</v>
      </c>
      <c r="AT115" s="694">
        <f t="shared" si="769"/>
        <v>-7.9441420722294715E-4</v>
      </c>
      <c r="AU115" s="694">
        <f t="shared" si="769"/>
        <v>-3.2201999749562797E-4</v>
      </c>
      <c r="AV115" s="694">
        <f t="shared" si="769"/>
        <v>-6.8797143454085231E-4</v>
      </c>
      <c r="AW115" s="694">
        <f t="shared" si="769"/>
        <v>-1.013652633913016E-4</v>
      </c>
      <c r="AX115" s="694">
        <f t="shared" si="769"/>
        <v>-5.5494738723442282E-3</v>
      </c>
      <c r="AY115" s="694">
        <f t="shared" si="769"/>
        <v>-1.2265817091814852E-4</v>
      </c>
      <c r="AZ115" s="694">
        <f t="shared" si="769"/>
        <v>-5.8388667014651796E-4</v>
      </c>
      <c r="BA115" s="694">
        <f t="shared" si="769"/>
        <v>-8.4574316879796989E-3</v>
      </c>
      <c r="BB115" s="694">
        <f t="shared" si="769"/>
        <v>-3.8066099994220207E-3</v>
      </c>
      <c r="BC115" s="694">
        <f t="shared" si="769"/>
        <v>-3.0452391113271589E-4</v>
      </c>
      <c r="BD115" s="694">
        <f t="shared" si="769"/>
        <v>-3.959299493428109E-4</v>
      </c>
      <c r="BE115" s="694">
        <f t="shared" si="769"/>
        <v>-1.9531865112744841E-3</v>
      </c>
      <c r="BF115" s="694">
        <f t="shared" si="769"/>
        <v>-6.8460908384839802E-3</v>
      </c>
      <c r="BG115" s="694">
        <f t="shared" si="769"/>
        <v>-3.2119684207617218E-4</v>
      </c>
      <c r="BH115" s="694">
        <f t="shared" si="769"/>
        <v>-6.0394879057787821E-4</v>
      </c>
      <c r="BI115" s="694">
        <f t="shared" si="769"/>
        <v>-6.5279477360020749E-4</v>
      </c>
      <c r="BJ115" s="694">
        <f t="shared" si="769"/>
        <v>-1.1002264300562529E-3</v>
      </c>
      <c r="BK115" s="694">
        <f t="shared" si="769"/>
        <v>-2.6425427180243083E-4</v>
      </c>
      <c r="BL115" s="694">
        <f t="shared" si="769"/>
        <v>-1.2609053038301852E-4</v>
      </c>
      <c r="BM115" s="694">
        <f t="shared" si="769"/>
        <v>-8.6532435061361203E-4</v>
      </c>
      <c r="BN115" s="694">
        <f t="shared" si="769"/>
        <v>-6.6234374611656033E-3</v>
      </c>
      <c r="BO115" s="694">
        <f t="shared" si="769"/>
        <v>9.0140313055161046E-5</v>
      </c>
      <c r="BP115" s="694">
        <f t="shared" si="769"/>
        <v>-1.2250991334634498E-2</v>
      </c>
      <c r="BQ115" s="694">
        <f t="shared" si="769"/>
        <v>-5.72054575347241E-3</v>
      </c>
      <c r="BR115" s="694">
        <f t="shared" si="769"/>
        <v>-1.8082041735693885E-4</v>
      </c>
      <c r="BS115" s="694">
        <f t="shared" si="769"/>
        <v>4.2367683195965082E-5</v>
      </c>
      <c r="BT115" s="694">
        <f t="shared" si="769"/>
        <v>-9.1555491663029205E-5</v>
      </c>
      <c r="BU115" s="694">
        <f t="shared" si="769"/>
        <v>3.1959951569464077E-5</v>
      </c>
      <c r="BV115" s="694">
        <f t="shared" si="769"/>
        <v>-2.303194155727262E-3</v>
      </c>
      <c r="BW115" s="694">
        <f t="shared" si="769"/>
        <v>2.6788885214984633E-6</v>
      </c>
      <c r="BX115" s="694">
        <f t="shared" si="769"/>
        <v>-2.6224810325129739E-3</v>
      </c>
      <c r="BY115" s="694">
        <f t="shared" si="769"/>
        <v>-2.7968950488329924E-4</v>
      </c>
      <c r="BZ115" s="694">
        <f t="shared" si="769"/>
        <v>-6.8154007429728483E-3</v>
      </c>
      <c r="CA115" s="694">
        <f t="shared" si="769"/>
        <v>-5.7795720234123113E-3</v>
      </c>
      <c r="CB115" s="694">
        <f t="shared" si="769"/>
        <v>-8.7783308785779337E-4</v>
      </c>
      <c r="CC115" s="694">
        <f t="shared" si="769"/>
        <v>8.7178440707036529E-6</v>
      </c>
      <c r="CD115" s="694">
        <f t="shared" si="769"/>
        <v>-2.8504384299399398E-2</v>
      </c>
      <c r="CE115" s="694">
        <f t="shared" si="769"/>
        <v>2.6820261951435384E-5</v>
      </c>
      <c r="CF115" s="694">
        <f t="shared" si="769"/>
        <v>-2.4429104607982467E-3</v>
      </c>
      <c r="CG115" s="694">
        <f t="shared" si="769"/>
        <v>-3.8666760654521194E-4</v>
      </c>
      <c r="CH115" s="694">
        <f t="shared" si="769"/>
        <v>-2.8914387173052513E-2</v>
      </c>
      <c r="CI115" s="694">
        <f t="shared" si="769"/>
        <v>-1.0937580581389353E-3</v>
      </c>
      <c r="CJ115" s="694">
        <f t="shared" si="769"/>
        <v>-3.186512223201744E-4</v>
      </c>
      <c r="CK115" s="694">
        <f t="shared" si="769"/>
        <v>-8.5141682044926974E-4</v>
      </c>
      <c r="CL115" s="724">
        <v>-2.5000000000000001E-2</v>
      </c>
      <c r="CM115" s="1663">
        <f>+CI115</f>
        <v>-1.0937580581389353E-3</v>
      </c>
      <c r="CN115" s="1663">
        <f t="shared" ref="CN115" si="770">+CJ115</f>
        <v>-3.186512223201744E-4</v>
      </c>
      <c r="CO115" s="1663">
        <f t="shared" ref="CO115" si="771">+CK115</f>
        <v>-8.5141682044926974E-4</v>
      </c>
      <c r="CP115" s="1663">
        <f t="shared" ref="CP115" si="772">+CL115</f>
        <v>-2.5000000000000001E-2</v>
      </c>
      <c r="CQ115" s="724"/>
      <c r="CR115" s="724"/>
      <c r="CS115" s="724"/>
      <c r="CT115" s="724">
        <v>-2.5000000000000001E-2</v>
      </c>
      <c r="CU115" s="695"/>
      <c r="CV115" s="695"/>
      <c r="CW115" s="695"/>
      <c r="CX115" s="695"/>
      <c r="CY115" s="695"/>
      <c r="CZ115" s="694">
        <v>-5.0664061086382224E-3</v>
      </c>
      <c r="DA115" s="694">
        <v>-7.2951411981919323E-3</v>
      </c>
      <c r="DB115" s="694">
        <v>-6.3187438257313348E-3</v>
      </c>
      <c r="DC115" s="694">
        <v>-5.5809064696397325E-3</v>
      </c>
      <c r="DD115" s="694">
        <v>-4.1752664331051225E-3</v>
      </c>
      <c r="DE115" s="694">
        <v>-3.0063733559217479E-3</v>
      </c>
      <c r="DF115" s="694">
        <f t="shared" ref="DF115:DO115" si="773">+DF114/DF$26</f>
        <v>-3.3364979283150215E-4</v>
      </c>
      <c r="DG115" s="694">
        <f t="shared" si="773"/>
        <v>-2.0759354556191679E-3</v>
      </c>
      <c r="DH115" s="694">
        <f t="shared" si="773"/>
        <v>-3.313606899395187E-3</v>
      </c>
      <c r="DI115" s="694">
        <f t="shared" si="773"/>
        <v>-2.8679641685825609E-3</v>
      </c>
      <c r="DJ115" s="694">
        <f t="shared" si="773"/>
        <v>-7.2753498618234938E-4</v>
      </c>
      <c r="DK115" s="694">
        <f t="shared" si="773"/>
        <v>-2.4788190191998966E-3</v>
      </c>
      <c r="DL115" s="694">
        <f t="shared" si="773"/>
        <v>-2.7242284249546912E-3</v>
      </c>
      <c r="DM115" s="694">
        <f t="shared" si="773"/>
        <v>-8.5077351619900008E-4</v>
      </c>
      <c r="DN115" s="694">
        <f t="shared" si="773"/>
        <v>-2.8411280811885221E-3</v>
      </c>
      <c r="DO115" s="694">
        <f t="shared" si="773"/>
        <v>-1.031972144474928E-2</v>
      </c>
      <c r="DP115" s="694">
        <f t="shared" ref="DP115:DQ115" si="774">+DP114/DP$26</f>
        <v>-9.9288837647923314E-3</v>
      </c>
      <c r="DQ115" s="694">
        <f t="shared" si="774"/>
        <v>-8.1320768016472367E-3</v>
      </c>
      <c r="DR115" s="694">
        <f t="shared" ref="DR115" si="775">+DR114/DR$26</f>
        <v>-8.2736460552957775E-3</v>
      </c>
      <c r="DS115" s="724">
        <f>+DR115</f>
        <v>-8.2736460552957775E-3</v>
      </c>
      <c r="DT115" s="724">
        <f t="shared" ref="DT115:DV115" si="776">+DS115</f>
        <v>-8.2736460552957775E-3</v>
      </c>
      <c r="DU115" s="724">
        <f t="shared" si="776"/>
        <v>-8.2736460552957775E-3</v>
      </c>
      <c r="DV115" s="724">
        <f t="shared" si="776"/>
        <v>-8.2736460552957775E-3</v>
      </c>
      <c r="DY115" s="724">
        <v>-5.2186794825778713E-3</v>
      </c>
      <c r="DZ115" s="724">
        <v>-5.2186794825778713E-3</v>
      </c>
    </row>
    <row r="116" spans="1:130" s="692" customFormat="1">
      <c r="A116" s="1358"/>
      <c r="B116" s="707"/>
      <c r="C116" s="693"/>
      <c r="D116" s="695"/>
      <c r="E116" s="695"/>
      <c r="F116" s="695"/>
      <c r="G116" s="695"/>
      <c r="H116" s="695"/>
      <c r="I116" s="695"/>
      <c r="J116" s="695"/>
      <c r="K116" s="695"/>
      <c r="L116" s="695"/>
      <c r="M116" s="695"/>
      <c r="N116" s="695"/>
      <c r="O116" s="695"/>
      <c r="P116" s="695"/>
      <c r="Q116" s="695"/>
      <c r="R116" s="694"/>
      <c r="S116" s="694"/>
      <c r="T116" s="694"/>
      <c r="U116" s="694"/>
      <c r="V116" s="694"/>
      <c r="W116" s="694"/>
      <c r="X116" s="694"/>
      <c r="Y116" s="694"/>
      <c r="Z116" s="694"/>
      <c r="AA116" s="694"/>
      <c r="AB116" s="694"/>
      <c r="AC116" s="694"/>
      <c r="AD116" s="694"/>
      <c r="AE116" s="694"/>
      <c r="AF116" s="694"/>
      <c r="AG116" s="694"/>
      <c r="AH116" s="694"/>
      <c r="AI116" s="694"/>
      <c r="AJ116" s="694"/>
      <c r="AK116" s="694"/>
      <c r="AL116" s="694"/>
      <c r="AM116" s="694"/>
      <c r="AN116" s="694"/>
      <c r="AO116" s="694"/>
      <c r="AP116" s="694"/>
      <c r="AQ116" s="694"/>
      <c r="AR116" s="694"/>
      <c r="AS116" s="694"/>
      <c r="AT116" s="694"/>
      <c r="AU116" s="694"/>
      <c r="AV116" s="694"/>
      <c r="AW116" s="694"/>
      <c r="AX116" s="694"/>
      <c r="AY116" s="694"/>
      <c r="AZ116" s="694"/>
      <c r="BA116" s="694"/>
      <c r="BB116" s="694"/>
      <c r="BC116" s="694"/>
      <c r="BD116" s="694"/>
      <c r="BE116" s="694"/>
      <c r="BF116" s="694"/>
      <c r="BG116" s="694"/>
      <c r="BH116" s="694"/>
      <c r="BI116" s="694"/>
      <c r="BJ116" s="694"/>
      <c r="BK116" s="694"/>
      <c r="BL116" s="694"/>
      <c r="BM116" s="694"/>
      <c r="BN116" s="694"/>
      <c r="BO116" s="694"/>
      <c r="BP116" s="694"/>
      <c r="BQ116" s="694"/>
      <c r="BR116" s="694"/>
      <c r="BS116" s="694"/>
      <c r="BT116" s="694"/>
      <c r="BU116" s="694"/>
      <c r="BV116" s="694"/>
      <c r="BW116" s="694"/>
      <c r="BX116" s="694"/>
      <c r="BY116" s="694"/>
      <c r="BZ116" s="694"/>
      <c r="CA116" s="694"/>
      <c r="CB116" s="694"/>
      <c r="CC116" s="694"/>
      <c r="CD116" s="694"/>
      <c r="CE116" s="694"/>
      <c r="CF116" s="694"/>
      <c r="CG116" s="694"/>
      <c r="CH116" s="694"/>
      <c r="CI116" s="694"/>
      <c r="CJ116" s="694"/>
      <c r="CK116" s="694"/>
      <c r="CL116" s="724"/>
      <c r="CM116" s="724"/>
      <c r="CN116" s="724"/>
      <c r="CO116" s="724"/>
      <c r="CP116" s="724"/>
      <c r="CQ116" s="724"/>
      <c r="CR116" s="724"/>
      <c r="CS116" s="724"/>
      <c r="CT116" s="724"/>
      <c r="CU116" s="695"/>
      <c r="CV116" s="695"/>
      <c r="CW116" s="695"/>
      <c r="CX116" s="695"/>
      <c r="CY116" s="695"/>
      <c r="CZ116" s="694"/>
      <c r="DA116" s="694"/>
      <c r="DB116" s="694"/>
      <c r="DC116" s="694"/>
      <c r="DD116" s="694"/>
      <c r="DE116" s="694"/>
      <c r="DF116" s="694"/>
      <c r="DG116" s="694"/>
      <c r="DH116" s="694"/>
      <c r="DI116" s="694"/>
      <c r="DJ116" s="694"/>
      <c r="DK116" s="694"/>
      <c r="DL116" s="694"/>
      <c r="DM116" s="694"/>
      <c r="DN116" s="694"/>
      <c r="DO116" s="694"/>
      <c r="DP116" s="694"/>
      <c r="DQ116" s="694"/>
      <c r="DR116" s="694"/>
      <c r="DS116" s="724"/>
      <c r="DT116" s="724"/>
      <c r="DU116" s="724"/>
      <c r="DV116" s="724"/>
      <c r="DY116" s="724"/>
      <c r="DZ116" s="724"/>
    </row>
    <row r="117" spans="1:130" s="723" customFormat="1" ht="12.75">
      <c r="A117" s="1357" t="s">
        <v>216</v>
      </c>
      <c r="B117" s="720"/>
      <c r="C117" s="702"/>
      <c r="D117" s="703"/>
      <c r="E117" s="703"/>
      <c r="F117" s="703"/>
      <c r="G117" s="703">
        <v>0</v>
      </c>
      <c r="H117" s="703">
        <v>0</v>
      </c>
      <c r="I117" s="703">
        <v>0</v>
      </c>
      <c r="J117" s="703">
        <v>0</v>
      </c>
      <c r="K117" s="703">
        <v>0</v>
      </c>
      <c r="L117" s="703">
        <v>0</v>
      </c>
      <c r="M117" s="703">
        <v>0</v>
      </c>
      <c r="N117" s="703">
        <v>0</v>
      </c>
      <c r="O117" s="703">
        <v>0</v>
      </c>
      <c r="P117" s="703">
        <v>0</v>
      </c>
      <c r="Q117" s="703">
        <v>0</v>
      </c>
      <c r="R117" s="703">
        <v>-5190</v>
      </c>
      <c r="S117" s="703">
        <v>-2077</v>
      </c>
      <c r="T117" s="703">
        <v>-3029</v>
      </c>
      <c r="U117" s="703">
        <v>-3096</v>
      </c>
      <c r="V117" s="703">
        <v>-2858</v>
      </c>
      <c r="W117" s="703">
        <v>-3585</v>
      </c>
      <c r="X117" s="703">
        <v>-4835</v>
      </c>
      <c r="Y117" s="703">
        <v>-4431</v>
      </c>
      <c r="Z117" s="703">
        <v>-4392</v>
      </c>
      <c r="AA117" s="703">
        <v>-3829</v>
      </c>
      <c r="AB117" s="703">
        <v>-4629</v>
      </c>
      <c r="AC117" s="703">
        <v>-4459</v>
      </c>
      <c r="AD117" s="703">
        <v>-4468</v>
      </c>
      <c r="AE117" s="703">
        <v>-4727</v>
      </c>
      <c r="AF117" s="703">
        <v>-5549</v>
      </c>
      <c r="AG117" s="703">
        <v>-4260</v>
      </c>
      <c r="AH117" s="703">
        <v>-3538</v>
      </c>
      <c r="AI117" s="703">
        <v>-4075</v>
      </c>
      <c r="AJ117" s="703">
        <v>-4006</v>
      </c>
      <c r="AK117" s="703">
        <v>-4001</v>
      </c>
      <c r="AL117" s="703">
        <v>-4045</v>
      </c>
      <c r="AM117" s="703">
        <v>-4479</v>
      </c>
      <c r="AN117" s="703">
        <v>-3360</v>
      </c>
      <c r="AO117" s="703">
        <v>-1687</v>
      </c>
      <c r="AP117" s="703">
        <v>-3613</v>
      </c>
      <c r="AQ117" s="721">
        <v>-2883</v>
      </c>
      <c r="AR117" s="721">
        <v>-7003</v>
      </c>
      <c r="AS117" s="721">
        <v>-7319</v>
      </c>
      <c r="AT117" s="721">
        <f>-24953-AS117-AR117-AQ117</f>
        <v>-7748</v>
      </c>
      <c r="AU117" s="721">
        <v>-6467.0164500000001</v>
      </c>
      <c r="AV117" s="721">
        <v>-7543.4621100000004</v>
      </c>
      <c r="AW117" s="721">
        <v>-5498</v>
      </c>
      <c r="AX117" s="721">
        <v>-6922</v>
      </c>
      <c r="AY117" s="721">
        <v>-6736</v>
      </c>
      <c r="AZ117" s="721">
        <v>-5739</v>
      </c>
      <c r="BA117" s="721">
        <v>-5786</v>
      </c>
      <c r="BB117" s="721">
        <v>-5783</v>
      </c>
      <c r="BC117" s="721">
        <v>-6861</v>
      </c>
      <c r="BD117" s="721">
        <v>-7591</v>
      </c>
      <c r="BE117" s="721">
        <v>-7129</v>
      </c>
      <c r="BF117" s="721">
        <v>-6057</v>
      </c>
      <c r="BG117" s="721">
        <v>-5084</v>
      </c>
      <c r="BH117" s="721">
        <v>-4716</v>
      </c>
      <c r="BI117" s="721">
        <v>-5920</v>
      </c>
      <c r="BJ117" s="721">
        <v>-4777</v>
      </c>
      <c r="BK117" s="721">
        <v>-4805</v>
      </c>
      <c r="BL117" s="721">
        <v>-5160</v>
      </c>
      <c r="BM117" s="721">
        <v>-5247</v>
      </c>
      <c r="BN117" s="721">
        <v>-5863</v>
      </c>
      <c r="BO117" s="721">
        <v>-4982</v>
      </c>
      <c r="BP117" s="721">
        <v>-5392</v>
      </c>
      <c r="BQ117" s="721">
        <v>-5440</v>
      </c>
      <c r="BR117" s="721">
        <v>-7018</v>
      </c>
      <c r="BS117" s="721">
        <v>-3734</v>
      </c>
      <c r="BT117" s="721">
        <v>-4239</v>
      </c>
      <c r="BU117" s="721">
        <v>-3430</v>
      </c>
      <c r="BV117" s="721">
        <v>-3948</v>
      </c>
      <c r="BW117" s="721">
        <v>-4381</v>
      </c>
      <c r="BX117" s="721">
        <v>-6429</v>
      </c>
      <c r="BY117" s="721">
        <v>-6511</v>
      </c>
      <c r="BZ117" s="721">
        <v>-4478</v>
      </c>
      <c r="CA117" s="721">
        <v>-5811</v>
      </c>
      <c r="CB117" s="721">
        <v>-6447</v>
      </c>
      <c r="CC117" s="721">
        <v>-6523</v>
      </c>
      <c r="CD117" s="721">
        <v>-4677</v>
      </c>
      <c r="CE117" s="721">
        <v>-5917</v>
      </c>
      <c r="CF117" s="721">
        <v>-6200</v>
      </c>
      <c r="CG117" s="721">
        <v>-6269</v>
      </c>
      <c r="CH117" s="721">
        <f>-31884-CG117-CF117-CE117</f>
        <v>-13498</v>
      </c>
      <c r="CI117" s="721">
        <v>-3642</v>
      </c>
      <c r="CJ117" s="721">
        <v>-8629</v>
      </c>
      <c r="CK117" s="721">
        <v>-4928</v>
      </c>
      <c r="CL117" s="722">
        <f t="shared" ref="CL117:CP117" si="777">+CL118*CL$26</f>
        <v>-14113.670456337728</v>
      </c>
      <c r="CM117" s="722">
        <f t="shared" si="777"/>
        <v>-3839.5051165449227</v>
      </c>
      <c r="CN117" s="722">
        <f t="shared" si="777"/>
        <v>-9019.2611468650193</v>
      </c>
      <c r="CO117" s="722">
        <f t="shared" si="777"/>
        <v>-5311.39648865039</v>
      </c>
      <c r="CP117" s="722">
        <f t="shared" si="777"/>
        <v>-15348.413313607205</v>
      </c>
      <c r="CQ117" s="722"/>
      <c r="CR117" s="722"/>
      <c r="CS117" s="722"/>
      <c r="CT117" s="722">
        <v>-14113.670456337728</v>
      </c>
      <c r="CU117" s="703"/>
      <c r="CV117" s="703"/>
      <c r="CW117" s="703">
        <v>0</v>
      </c>
      <c r="CX117" s="703">
        <v>0</v>
      </c>
      <c r="CY117" s="703">
        <v>-5190</v>
      </c>
      <c r="CZ117" s="703">
        <v>-11060</v>
      </c>
      <c r="DA117" s="703">
        <v>-17243</v>
      </c>
      <c r="DB117" s="703">
        <v>-17385</v>
      </c>
      <c r="DC117" s="703">
        <v>-18074</v>
      </c>
      <c r="DD117" s="703">
        <v>-16127</v>
      </c>
      <c r="DE117" s="703">
        <v>-13139</v>
      </c>
      <c r="DF117" s="703">
        <f>+SUM(AQ117:AT117)</f>
        <v>-24953</v>
      </c>
      <c r="DG117" s="703">
        <f>+SUM(AU117:AX117)</f>
        <v>-26430.47856</v>
      </c>
      <c r="DH117" s="703">
        <f>+SUM(AY117:BB117)</f>
        <v>-24044</v>
      </c>
      <c r="DI117" s="703">
        <f>+SUM(BC117:BF117)</f>
        <v>-27638</v>
      </c>
      <c r="DJ117" s="703">
        <f>+SUM(BG117:BJ117)</f>
        <v>-20497</v>
      </c>
      <c r="DK117" s="703">
        <f>+SUM(BK117:BN117)</f>
        <v>-21075</v>
      </c>
      <c r="DL117" s="703">
        <f>+SUM(BO117:BR117)</f>
        <v>-22832</v>
      </c>
      <c r="DM117" s="703">
        <f>+SUM(BS117:BV117)</f>
        <v>-15351</v>
      </c>
      <c r="DN117" s="703">
        <f>+SUM(BW117:BZ117)</f>
        <v>-21799</v>
      </c>
      <c r="DO117" s="703">
        <f>+SUM(CA117:CD117)</f>
        <v>-23458</v>
      </c>
      <c r="DP117" s="703">
        <f>+SUM(CE117:CH117)</f>
        <v>-31884</v>
      </c>
      <c r="DQ117" s="703">
        <f>+SUM(CI117:CL117)</f>
        <v>-31312.670456337728</v>
      </c>
      <c r="DR117" s="703">
        <f>+SUM(CM117:CP117)</f>
        <v>-33518.576065667541</v>
      </c>
      <c r="DS117" s="722">
        <f>+DS118*DS$26</f>
        <v>-36319.602669159351</v>
      </c>
      <c r="DT117" s="722">
        <f t="shared" ref="DT117:DV117" si="778">+DT118*DT$26</f>
        <v>-38798.201155632101</v>
      </c>
      <c r="DU117" s="722">
        <f t="shared" si="778"/>
        <v>-41446.011710891682</v>
      </c>
      <c r="DV117" s="722">
        <f t="shared" si="778"/>
        <v>-44272.385043241484</v>
      </c>
      <c r="DY117" s="722">
        <v>-34229.989274272113</v>
      </c>
      <c r="DZ117" s="722">
        <v>-36942.78693367244</v>
      </c>
    </row>
    <row r="118" spans="1:130" s="692" customFormat="1">
      <c r="A118" s="1358" t="s">
        <v>187</v>
      </c>
      <c r="B118" s="707"/>
      <c r="C118" s="693"/>
      <c r="D118" s="695"/>
      <c r="E118" s="695"/>
      <c r="F118" s="695"/>
      <c r="G118" s="695"/>
      <c r="H118" s="695"/>
      <c r="I118" s="695"/>
      <c r="J118" s="695"/>
      <c r="K118" s="695"/>
      <c r="L118" s="695"/>
      <c r="M118" s="695"/>
      <c r="N118" s="695"/>
      <c r="O118" s="695"/>
      <c r="P118" s="695"/>
      <c r="Q118" s="695"/>
      <c r="R118" s="694">
        <v>-8.0030840400925219E-3</v>
      </c>
      <c r="S118" s="694">
        <v>-4.8101306864105128E-3</v>
      </c>
      <c r="T118" s="694">
        <v>-5.3483111943737676E-3</v>
      </c>
      <c r="U118" s="694">
        <v>-6.0543246572931537E-3</v>
      </c>
      <c r="V118" s="694">
        <v>-4.2435481883256396E-3</v>
      </c>
      <c r="W118" s="694">
        <v>-8.5533504797988234E-3</v>
      </c>
      <c r="X118" s="694">
        <v>-7.8821155043738815E-3</v>
      </c>
      <c r="Y118" s="694">
        <v>-8.0226539033262049E-3</v>
      </c>
      <c r="Z118" s="694">
        <v>-5.6396697865477435E-3</v>
      </c>
      <c r="AA118" s="694">
        <v>-7.5717576800245203E-3</v>
      </c>
      <c r="AB118" s="694">
        <v>-6.593848020990915E-3</v>
      </c>
      <c r="AC118" s="694">
        <v>-6.9252787428576755E-3</v>
      </c>
      <c r="AD118" s="694">
        <v>-4.9658128017498158E-3</v>
      </c>
      <c r="AE118" s="694">
        <v>-7.8945566472434191E-3</v>
      </c>
      <c r="AF118" s="694">
        <v>-6.6342347555471597E-3</v>
      </c>
      <c r="AG118" s="694">
        <v>-5.741843482198937E-3</v>
      </c>
      <c r="AH118" s="694">
        <v>-3.333226559541149E-3</v>
      </c>
      <c r="AI118" s="694">
        <v>-5.7452952024317754E-3</v>
      </c>
      <c r="AJ118" s="694">
        <v>-4.1927711852166611E-3</v>
      </c>
      <c r="AK118" s="694">
        <v>-4.4207111588428589E-3</v>
      </c>
      <c r="AL118" s="694">
        <v>-3.1290612042824432E-3</v>
      </c>
      <c r="AM118" s="694">
        <v>-5.371450363553288E-3</v>
      </c>
      <c r="AN118" s="694">
        <v>-3.1686096404948314E-3</v>
      </c>
      <c r="AO118" s="694">
        <v>-1.6515979969356836E-3</v>
      </c>
      <c r="AP118" s="694">
        <v>-2.4836872685076979E-3</v>
      </c>
      <c r="AQ118" s="694">
        <f>+AQ117/AQ$26</f>
        <v>-3.0715501793069353E-3</v>
      </c>
      <c r="AR118" s="694">
        <f t="shared" ref="AR118:CK118" si="779">+AR117/AR26</f>
        <v>-5.5790661138852863E-3</v>
      </c>
      <c r="AS118" s="694">
        <f t="shared" si="779"/>
        <v>-6.0798984551459004E-3</v>
      </c>
      <c r="AT118" s="694">
        <f t="shared" si="779"/>
        <v>-4.2608910365656821E-3</v>
      </c>
      <c r="AU118" s="694">
        <f t="shared" si="779"/>
        <v>-5.5087805923095335E-3</v>
      </c>
      <c r="AV118" s="694">
        <f t="shared" si="779"/>
        <v>-4.9098263474184152E-3</v>
      </c>
      <c r="AW118" s="694">
        <f t="shared" si="779"/>
        <v>-3.870182070315112E-3</v>
      </c>
      <c r="AX118" s="694">
        <f t="shared" si="779"/>
        <v>-3.4365233623516503E-3</v>
      </c>
      <c r="AY118" s="694">
        <f t="shared" si="779"/>
        <v>-5.4001662699650222E-3</v>
      </c>
      <c r="AZ118" s="694">
        <f t="shared" si="779"/>
        <v>-3.4832906444603601E-3</v>
      </c>
      <c r="BA118" s="694">
        <f t="shared" si="779"/>
        <v>-4.0018563744398539E-3</v>
      </c>
      <c r="BB118" s="694">
        <f t="shared" si="779"/>
        <v>-2.7397169417122023E-3</v>
      </c>
      <c r="BC118" s="694">
        <f t="shared" si="779"/>
        <v>-4.8476532581938833E-3</v>
      </c>
      <c r="BD118" s="694">
        <f t="shared" si="779"/>
        <v>-4.1455230971879694E-3</v>
      </c>
      <c r="BE118" s="694">
        <f t="shared" si="779"/>
        <v>-4.082165534704133E-3</v>
      </c>
      <c r="BF118" s="694">
        <f t="shared" si="779"/>
        <v>-2.470760424757044E-3</v>
      </c>
      <c r="BG118" s="694">
        <f t="shared" si="779"/>
        <v>-3.1223035279450465E-3</v>
      </c>
      <c r="BH118" s="694">
        <f t="shared" si="779"/>
        <v>-2.3345413611326584E-3</v>
      </c>
      <c r="BI118" s="694">
        <f t="shared" si="779"/>
        <v>-3.0463832432454686E-3</v>
      </c>
      <c r="BJ118" s="694">
        <f t="shared" si="779"/>
        <v>-1.6850854941900355E-3</v>
      </c>
      <c r="BK118" s="694">
        <f t="shared" si="779"/>
        <v>-2.5394835520213604E-3</v>
      </c>
      <c r="BL118" s="694">
        <f t="shared" si="779"/>
        <v>-2.2513049715445523E-3</v>
      </c>
      <c r="BM118" s="694">
        <f t="shared" si="779"/>
        <v>-2.3574023196623168E-3</v>
      </c>
      <c r="BN118" s="694">
        <f t="shared" si="779"/>
        <v>-1.8445453776095536E-3</v>
      </c>
      <c r="BO118" s="694">
        <f t="shared" si="779"/>
        <v>-2.673089521671502E-3</v>
      </c>
      <c r="BP118" s="694">
        <f t="shared" si="779"/>
        <v>-6.6690908911003748E-3</v>
      </c>
      <c r="BQ118" s="694">
        <f t="shared" si="779"/>
        <v>-3.039039931532218E-3</v>
      </c>
      <c r="BR118" s="694">
        <f t="shared" si="779"/>
        <v>-2.2823699442643831E-3</v>
      </c>
      <c r="BS118" s="694">
        <f t="shared" si="779"/>
        <v>-2.3612078963243821E-3</v>
      </c>
      <c r="BT118" s="694">
        <f t="shared" si="779"/>
        <v>-1.7022093384192142E-3</v>
      </c>
      <c r="BU118" s="694">
        <f t="shared" si="779"/>
        <v>-1.3050313557531163E-3</v>
      </c>
      <c r="BV118" s="694">
        <f t="shared" si="779"/>
        <v>-1.0197387604363832E-3</v>
      </c>
      <c r="BW118" s="694">
        <f t="shared" si="779"/>
        <v>-1.6766015160978238E-3</v>
      </c>
      <c r="BX118" s="694">
        <f t="shared" si="779"/>
        <v>-1.7728633604653953E-3</v>
      </c>
      <c r="BY118" s="694">
        <f t="shared" si="779"/>
        <v>-2.1576520927667786E-3</v>
      </c>
      <c r="BZ118" s="694">
        <f t="shared" si="779"/>
        <v>-1.1155553961193221E-3</v>
      </c>
      <c r="CA118" s="694">
        <f t="shared" si="779"/>
        <v>-2.0938337299282383E-3</v>
      </c>
      <c r="CB118" s="694">
        <f t="shared" si="779"/>
        <v>-1.8398536792650175E-3</v>
      </c>
      <c r="CC118" s="694">
        <f t="shared" si="779"/>
        <v>-2.1061665508592567E-3</v>
      </c>
      <c r="CD118" s="694">
        <f t="shared" si="779"/>
        <v>-1.0949627965494977E-3</v>
      </c>
      <c r="CE118" s="694">
        <f t="shared" si="779"/>
        <v>-2.0345575636749125E-3</v>
      </c>
      <c r="CF118" s="694">
        <f t="shared" si="779"/>
        <v>-1.7611680066219916E-3</v>
      </c>
      <c r="CG118" s="694">
        <f t="shared" si="779"/>
        <v>-1.8489849164240531E-3</v>
      </c>
      <c r="CH118" s="694">
        <f t="shared" si="779"/>
        <v>-2.9234060257510098E-3</v>
      </c>
      <c r="CI118" s="694">
        <f t="shared" si="779"/>
        <v>-1.1180092191248954E-3</v>
      </c>
      <c r="CJ118" s="694">
        <f t="shared" si="779"/>
        <v>-2.0705131004523985E-3</v>
      </c>
      <c r="CK118" s="694">
        <f t="shared" si="779"/>
        <v>-1.3829209265570207E-3</v>
      </c>
      <c r="CL118" s="724">
        <f>+CH118</f>
        <v>-2.9234060257510098E-3</v>
      </c>
      <c r="CM118" s="724">
        <f t="shared" ref="CM118:CP118" si="780">+CI118</f>
        <v>-1.1180092191248954E-3</v>
      </c>
      <c r="CN118" s="724">
        <f t="shared" si="780"/>
        <v>-2.0705131004523985E-3</v>
      </c>
      <c r="CO118" s="724">
        <f t="shared" si="780"/>
        <v>-1.3829209265570207E-3</v>
      </c>
      <c r="CP118" s="724">
        <f t="shared" si="780"/>
        <v>-2.9234060257510098E-3</v>
      </c>
      <c r="CQ118" s="724"/>
      <c r="CR118" s="724"/>
      <c r="CS118" s="724"/>
      <c r="CT118" s="724">
        <v>-2.9234060257510098E-3</v>
      </c>
      <c r="CU118" s="695"/>
      <c r="CV118" s="695"/>
      <c r="CW118" s="695"/>
      <c r="CX118" s="695"/>
      <c r="CY118" s="695"/>
      <c r="CZ118" s="694">
        <v>-5.0664061086382224E-3</v>
      </c>
      <c r="DA118" s="694">
        <v>-7.2951411981919323E-3</v>
      </c>
      <c r="DB118" s="694">
        <v>-6.3187438257313348E-3</v>
      </c>
      <c r="DC118" s="694">
        <v>-5.5809064696397325E-3</v>
      </c>
      <c r="DD118" s="694">
        <v>-4.1752664331051225E-3</v>
      </c>
      <c r="DE118" s="694">
        <v>-3.0063733559217479E-3</v>
      </c>
      <c r="DF118" s="694">
        <f t="shared" ref="DF118:DO118" si="781">+DF117/DF$26</f>
        <v>-4.7838936941482857E-3</v>
      </c>
      <c r="DG118" s="694">
        <f t="shared" si="781"/>
        <v>-4.3009970646999494E-3</v>
      </c>
      <c r="DH118" s="694">
        <f t="shared" si="781"/>
        <v>-3.7268390068789349E-3</v>
      </c>
      <c r="DI118" s="694">
        <f t="shared" si="781"/>
        <v>-3.7126367068517478E-3</v>
      </c>
      <c r="DJ118" s="694">
        <f t="shared" si="781"/>
        <v>-2.4324334267168462E-3</v>
      </c>
      <c r="DK118" s="694">
        <f t="shared" si="781"/>
        <v>-2.197959896904991E-3</v>
      </c>
      <c r="DL118" s="694">
        <f t="shared" si="781"/>
        <v>-3.0292496663208257E-3</v>
      </c>
      <c r="DM118" s="694">
        <f t="shared" si="781"/>
        <v>-1.4521040968613354E-3</v>
      </c>
      <c r="DN118" s="694">
        <f t="shared" si="781"/>
        <v>-1.642587217658894E-3</v>
      </c>
      <c r="DO118" s="694">
        <f t="shared" si="781"/>
        <v>-1.7188056520848084E-3</v>
      </c>
      <c r="DP118" s="694">
        <f t="shared" ref="DP118:DQ118" si="782">+DP117/DP$26</f>
        <v>-2.2085890590471313E-3</v>
      </c>
      <c r="DQ118" s="694">
        <f t="shared" si="782"/>
        <v>-1.9797557160250901E-3</v>
      </c>
      <c r="DR118" s="694">
        <f t="shared" ref="DR118" si="783">+DR117/DR$26</f>
        <v>-1.9855593386392746E-3</v>
      </c>
      <c r="DS118" s="724">
        <f>+DR118</f>
        <v>-1.9855593386392746E-3</v>
      </c>
      <c r="DT118" s="724">
        <f t="shared" ref="DT118:DV118" si="784">+DS118</f>
        <v>-1.9855593386392746E-3</v>
      </c>
      <c r="DU118" s="724">
        <f t="shared" si="784"/>
        <v>-1.9855593386392746E-3</v>
      </c>
      <c r="DV118" s="724">
        <f t="shared" si="784"/>
        <v>-1.9855593386392746E-3</v>
      </c>
      <c r="DY118" s="724">
        <v>-1.9929786452546751E-3</v>
      </c>
      <c r="DZ118" s="724">
        <v>-1.9929786452546751E-3</v>
      </c>
    </row>
    <row r="119" spans="1:130" s="692" customFormat="1">
      <c r="A119" s="1358"/>
      <c r="B119" s="707"/>
      <c r="C119" s="693"/>
      <c r="D119" s="695"/>
      <c r="E119" s="695"/>
      <c r="F119" s="695"/>
      <c r="G119" s="695"/>
      <c r="H119" s="695"/>
      <c r="I119" s="695"/>
      <c r="J119" s="695"/>
      <c r="K119" s="695"/>
      <c r="L119" s="695"/>
      <c r="M119" s="695"/>
      <c r="N119" s="695"/>
      <c r="O119" s="695"/>
      <c r="P119" s="695"/>
      <c r="Q119" s="695"/>
      <c r="R119" s="694"/>
      <c r="S119" s="694"/>
      <c r="T119" s="694"/>
      <c r="U119" s="694"/>
      <c r="V119" s="694"/>
      <c r="W119" s="694"/>
      <c r="X119" s="694"/>
      <c r="Y119" s="694"/>
      <c r="Z119" s="694"/>
      <c r="AA119" s="694"/>
      <c r="AB119" s="694"/>
      <c r="AC119" s="694"/>
      <c r="AD119" s="694"/>
      <c r="AE119" s="694"/>
      <c r="AF119" s="694"/>
      <c r="AG119" s="694"/>
      <c r="AH119" s="694"/>
      <c r="AI119" s="694"/>
      <c r="AJ119" s="694"/>
      <c r="AK119" s="694"/>
      <c r="AL119" s="694"/>
      <c r="AM119" s="694"/>
      <c r="AN119" s="694"/>
      <c r="AO119" s="694"/>
      <c r="AP119" s="694"/>
      <c r="AQ119" s="721"/>
      <c r="AR119" s="721"/>
      <c r="AS119" s="721"/>
      <c r="AT119" s="721"/>
      <c r="AU119" s="721"/>
      <c r="AV119" s="721"/>
      <c r="AW119" s="721"/>
      <c r="AX119" s="721"/>
      <c r="AY119" s="721"/>
      <c r="AZ119" s="721"/>
      <c r="BA119" s="721"/>
      <c r="BB119" s="721"/>
      <c r="BC119" s="721"/>
      <c r="BD119" s="721"/>
      <c r="BE119" s="721"/>
      <c r="BF119" s="721"/>
      <c r="BG119" s="721"/>
      <c r="BH119" s="721"/>
      <c r="BI119" s="721"/>
      <c r="BJ119" s="721"/>
      <c r="BK119" s="721"/>
      <c r="BL119" s="721"/>
      <c r="BM119" s="721"/>
      <c r="BN119" s="721"/>
      <c r="BO119" s="721"/>
      <c r="BP119" s="721"/>
      <c r="BQ119" s="721"/>
      <c r="BR119" s="721"/>
      <c r="BS119" s="721"/>
      <c r="BT119" s="721"/>
      <c r="BU119" s="721"/>
      <c r="BV119" s="721"/>
      <c r="BW119" s="721"/>
      <c r="BX119" s="721"/>
      <c r="BY119" s="721"/>
      <c r="BZ119" s="721"/>
      <c r="CA119" s="721"/>
      <c r="CB119" s="721"/>
      <c r="CC119" s="721"/>
      <c r="CD119" s="721"/>
      <c r="CE119" s="721"/>
      <c r="CF119" s="721"/>
      <c r="CG119" s="721"/>
      <c r="CH119" s="721"/>
      <c r="CI119" s="721"/>
      <c r="CJ119" s="721"/>
      <c r="CK119" s="721"/>
      <c r="CL119" s="724"/>
      <c r="CM119" s="724"/>
      <c r="CN119" s="724"/>
      <c r="CO119" s="724"/>
      <c r="CP119" s="724"/>
      <c r="CQ119" s="724"/>
      <c r="CR119" s="724"/>
      <c r="CS119" s="724"/>
      <c r="CT119" s="724"/>
      <c r="CU119" s="695"/>
      <c r="CV119" s="695"/>
      <c r="CW119" s="695"/>
      <c r="CX119" s="695"/>
      <c r="CY119" s="695"/>
      <c r="CZ119" s="694"/>
      <c r="DA119" s="694"/>
      <c r="DB119" s="694"/>
      <c r="DC119" s="694"/>
      <c r="DD119" s="694"/>
      <c r="DE119" s="694"/>
      <c r="DF119" s="694"/>
      <c r="DG119" s="694"/>
      <c r="DH119" s="694"/>
      <c r="DI119" s="694"/>
      <c r="DJ119" s="694"/>
      <c r="DK119" s="694"/>
      <c r="DL119" s="694"/>
      <c r="DM119" s="694"/>
      <c r="DN119" s="694"/>
      <c r="DO119" s="694"/>
      <c r="DP119" s="694"/>
      <c r="DQ119" s="694"/>
      <c r="DR119" s="694"/>
      <c r="DS119" s="724"/>
      <c r="DT119" s="724"/>
      <c r="DU119" s="724"/>
      <c r="DV119" s="724"/>
      <c r="DY119" s="724"/>
      <c r="DZ119" s="724"/>
    </row>
    <row r="120" spans="1:130" s="723" customFormat="1" ht="12.75">
      <c r="A120" s="1357" t="s">
        <v>217</v>
      </c>
      <c r="B120" s="720"/>
      <c r="C120" s="702"/>
      <c r="D120" s="703"/>
      <c r="E120" s="703"/>
      <c r="F120" s="703"/>
      <c r="G120" s="703">
        <v>0</v>
      </c>
      <c r="H120" s="703">
        <v>0</v>
      </c>
      <c r="I120" s="703">
        <v>0</v>
      </c>
      <c r="J120" s="703">
        <v>0</v>
      </c>
      <c r="K120" s="703">
        <v>0</v>
      </c>
      <c r="L120" s="703">
        <v>0</v>
      </c>
      <c r="M120" s="703">
        <v>0</v>
      </c>
      <c r="N120" s="703">
        <v>0</v>
      </c>
      <c r="O120" s="703">
        <v>0</v>
      </c>
      <c r="P120" s="703">
        <v>0</v>
      </c>
      <c r="Q120" s="703">
        <v>0</v>
      </c>
      <c r="R120" s="703">
        <v>-5190</v>
      </c>
      <c r="S120" s="703">
        <v>-2077</v>
      </c>
      <c r="T120" s="703">
        <v>-3029</v>
      </c>
      <c r="U120" s="703">
        <v>-3096</v>
      </c>
      <c r="V120" s="703">
        <v>-2858</v>
      </c>
      <c r="W120" s="703">
        <v>-3585</v>
      </c>
      <c r="X120" s="703">
        <v>-4835</v>
      </c>
      <c r="Y120" s="703">
        <v>-4431</v>
      </c>
      <c r="Z120" s="703">
        <v>-4392</v>
      </c>
      <c r="AA120" s="703">
        <v>-3829</v>
      </c>
      <c r="AB120" s="703">
        <v>-4629</v>
      </c>
      <c r="AC120" s="703">
        <v>-4459</v>
      </c>
      <c r="AD120" s="703">
        <v>-4468</v>
      </c>
      <c r="AE120" s="703">
        <v>-4727</v>
      </c>
      <c r="AF120" s="703">
        <v>-5549</v>
      </c>
      <c r="AG120" s="703">
        <v>-4260</v>
      </c>
      <c r="AH120" s="703">
        <v>-3538</v>
      </c>
      <c r="AI120" s="703">
        <v>-4075</v>
      </c>
      <c r="AJ120" s="703">
        <v>-4006</v>
      </c>
      <c r="AK120" s="703">
        <v>-4001</v>
      </c>
      <c r="AL120" s="703">
        <v>-4045</v>
      </c>
      <c r="AM120" s="703">
        <v>-4479</v>
      </c>
      <c r="AN120" s="703">
        <v>-3360</v>
      </c>
      <c r="AO120" s="703">
        <v>-1687</v>
      </c>
      <c r="AP120" s="703">
        <v>-3613</v>
      </c>
      <c r="AQ120" s="721">
        <v>0</v>
      </c>
      <c r="AR120" s="721">
        <v>0</v>
      </c>
      <c r="AS120" s="721">
        <v>0</v>
      </c>
      <c r="AT120" s="721">
        <v>-11657.135</v>
      </c>
      <c r="AU120" s="721">
        <v>0</v>
      </c>
      <c r="AV120" s="721">
        <v>0</v>
      </c>
      <c r="AW120" s="721">
        <v>0</v>
      </c>
      <c r="AX120" s="721">
        <v>-9943.6965899999996</v>
      </c>
      <c r="AY120" s="721">
        <v>0</v>
      </c>
      <c r="AZ120" s="721">
        <v>0</v>
      </c>
      <c r="BA120" s="721">
        <v>0</v>
      </c>
      <c r="BB120" s="721">
        <v>-6734</v>
      </c>
      <c r="BC120" s="721">
        <v>0</v>
      </c>
      <c r="BD120" s="721">
        <v>0</v>
      </c>
      <c r="BE120" s="721">
        <v>0</v>
      </c>
      <c r="BF120" s="721">
        <v>-10551</v>
      </c>
      <c r="BG120" s="721">
        <v>0</v>
      </c>
      <c r="BH120" s="721">
        <v>0</v>
      </c>
      <c r="BI120" s="721">
        <v>0</v>
      </c>
      <c r="BJ120" s="721">
        <v>-8294.7492000000002</v>
      </c>
      <c r="BK120" s="721">
        <v>0</v>
      </c>
      <c r="BL120" s="721">
        <v>0</v>
      </c>
      <c r="BM120" s="721">
        <v>0</v>
      </c>
      <c r="BN120" s="721">
        <v>-5855</v>
      </c>
      <c r="BO120" s="721">
        <v>0</v>
      </c>
      <c r="BP120" s="721">
        <v>517</v>
      </c>
      <c r="BQ120" s="721">
        <v>0</v>
      </c>
      <c r="BR120" s="721">
        <v>-1880</v>
      </c>
      <c r="BS120" s="721">
        <v>0</v>
      </c>
      <c r="BT120" s="721">
        <v>0</v>
      </c>
      <c r="BU120" s="721">
        <v>0</v>
      </c>
      <c r="BV120" s="721">
        <v>-6754</v>
      </c>
      <c r="BW120" s="721">
        <v>0</v>
      </c>
      <c r="BX120" s="721">
        <v>0</v>
      </c>
      <c r="BY120" s="721">
        <v>0</v>
      </c>
      <c r="BZ120" s="721">
        <v>-2282</v>
      </c>
      <c r="CA120" s="721">
        <v>0</v>
      </c>
      <c r="CB120" s="721">
        <v>0</v>
      </c>
      <c r="CC120" s="721">
        <v>0</v>
      </c>
      <c r="CD120" s="721">
        <v>0</v>
      </c>
      <c r="CE120" s="721">
        <v>0</v>
      </c>
      <c r="CF120" s="721">
        <v>-1672</v>
      </c>
      <c r="CG120" s="721">
        <v>0</v>
      </c>
      <c r="CH120" s="721">
        <v>-12987</v>
      </c>
      <c r="CI120" s="721">
        <v>0</v>
      </c>
      <c r="CJ120" s="721">
        <v>0</v>
      </c>
      <c r="CK120" s="721">
        <v>0</v>
      </c>
      <c r="CL120" s="722">
        <f t="shared" ref="CL120:CP120" si="785">+CL121*CL$26</f>
        <v>0</v>
      </c>
      <c r="CM120" s="722">
        <f t="shared" si="785"/>
        <v>0</v>
      </c>
      <c r="CN120" s="722">
        <f t="shared" si="785"/>
        <v>0</v>
      </c>
      <c r="CO120" s="722">
        <f t="shared" si="785"/>
        <v>0</v>
      </c>
      <c r="CP120" s="722">
        <f t="shared" si="785"/>
        <v>0</v>
      </c>
      <c r="CQ120" s="722"/>
      <c r="CR120" s="722"/>
      <c r="CS120" s="722"/>
      <c r="CT120" s="722">
        <v>0</v>
      </c>
      <c r="CU120" s="703"/>
      <c r="CV120" s="703"/>
      <c r="CW120" s="703">
        <v>0</v>
      </c>
      <c r="CX120" s="703">
        <v>0</v>
      </c>
      <c r="CY120" s="703">
        <v>-5190</v>
      </c>
      <c r="CZ120" s="703">
        <v>-11060</v>
      </c>
      <c r="DA120" s="703">
        <v>-17243</v>
      </c>
      <c r="DB120" s="703">
        <v>-17385</v>
      </c>
      <c r="DC120" s="703">
        <v>-18074</v>
      </c>
      <c r="DD120" s="703">
        <v>-16127</v>
      </c>
      <c r="DE120" s="703">
        <v>-13139</v>
      </c>
      <c r="DF120" s="703">
        <f>+SUM(AQ120:AT120)</f>
        <v>-11657.135</v>
      </c>
      <c r="DG120" s="703">
        <f>+SUM(AU120:AX120)</f>
        <v>-9943.6965899999996</v>
      </c>
      <c r="DH120" s="703">
        <f>+SUM(AY120:BB120)</f>
        <v>-6734</v>
      </c>
      <c r="DI120" s="703">
        <f>+SUM(BC120:BF120)</f>
        <v>-10551</v>
      </c>
      <c r="DJ120" s="703">
        <f>+SUM(BG120:BJ120)</f>
        <v>-8294.7492000000002</v>
      </c>
      <c r="DK120" s="703">
        <f>+SUM(BK120:BN120)</f>
        <v>-5855</v>
      </c>
      <c r="DL120" s="703">
        <f>+SUM(BO120:BR120)</f>
        <v>-1363</v>
      </c>
      <c r="DM120" s="703">
        <f>+SUM(BS120:BV120)</f>
        <v>-6754</v>
      </c>
      <c r="DN120" s="703">
        <f>+SUM(BW120:BZ120)</f>
        <v>-2282</v>
      </c>
      <c r="DO120" s="703">
        <f>+SUM(CA120:CD120)</f>
        <v>0</v>
      </c>
      <c r="DP120" s="703">
        <f>+SUM(CE120:CH120)</f>
        <v>-14659</v>
      </c>
      <c r="DQ120" s="703">
        <f>+SUM(CI120:CL120)</f>
        <v>0</v>
      </c>
      <c r="DR120" s="703">
        <f>+SUM(CM120:CP120)</f>
        <v>0</v>
      </c>
      <c r="DS120" s="722">
        <f>+DS121*DS$26</f>
        <v>0</v>
      </c>
      <c r="DT120" s="722">
        <f t="shared" ref="DT120:DV120" si="786">+DT121*DT$26</f>
        <v>0</v>
      </c>
      <c r="DU120" s="722">
        <f t="shared" si="786"/>
        <v>0</v>
      </c>
      <c r="DV120" s="722">
        <f t="shared" si="786"/>
        <v>0</v>
      </c>
      <c r="DY120" s="722">
        <v>0</v>
      </c>
      <c r="DZ120" s="722">
        <v>0</v>
      </c>
    </row>
    <row r="121" spans="1:130" s="692" customFormat="1">
      <c r="A121" s="1358" t="s">
        <v>187</v>
      </c>
      <c r="B121" s="707"/>
      <c r="C121" s="693"/>
      <c r="D121" s="695"/>
      <c r="E121" s="695"/>
      <c r="F121" s="695"/>
      <c r="G121" s="695"/>
      <c r="H121" s="695"/>
      <c r="I121" s="695"/>
      <c r="J121" s="695"/>
      <c r="K121" s="695"/>
      <c r="L121" s="695"/>
      <c r="M121" s="695"/>
      <c r="N121" s="695"/>
      <c r="O121" s="695"/>
      <c r="P121" s="695"/>
      <c r="Q121" s="695"/>
      <c r="R121" s="694">
        <v>-8.0030840400925219E-3</v>
      </c>
      <c r="S121" s="694">
        <v>-4.8101306864105128E-3</v>
      </c>
      <c r="T121" s="694">
        <v>-5.3483111943737676E-3</v>
      </c>
      <c r="U121" s="694">
        <v>-6.0543246572931537E-3</v>
      </c>
      <c r="V121" s="694">
        <v>-4.2435481883256396E-3</v>
      </c>
      <c r="W121" s="694">
        <v>-8.5533504797988234E-3</v>
      </c>
      <c r="X121" s="694">
        <v>-7.8821155043738815E-3</v>
      </c>
      <c r="Y121" s="694">
        <v>-8.0226539033262049E-3</v>
      </c>
      <c r="Z121" s="694">
        <v>-5.6396697865477435E-3</v>
      </c>
      <c r="AA121" s="694">
        <v>-7.5717576800245203E-3</v>
      </c>
      <c r="AB121" s="694">
        <v>-6.593848020990915E-3</v>
      </c>
      <c r="AC121" s="694">
        <v>-6.9252787428576755E-3</v>
      </c>
      <c r="AD121" s="694">
        <v>-4.9658128017498158E-3</v>
      </c>
      <c r="AE121" s="694">
        <v>-7.8945566472434191E-3</v>
      </c>
      <c r="AF121" s="694">
        <v>-6.6342347555471597E-3</v>
      </c>
      <c r="AG121" s="694">
        <v>-5.741843482198937E-3</v>
      </c>
      <c r="AH121" s="694">
        <v>-3.333226559541149E-3</v>
      </c>
      <c r="AI121" s="694">
        <v>-5.7452952024317754E-3</v>
      </c>
      <c r="AJ121" s="694">
        <v>-4.1927711852166611E-3</v>
      </c>
      <c r="AK121" s="694">
        <v>-4.4207111588428589E-3</v>
      </c>
      <c r="AL121" s="694">
        <v>-3.1290612042824432E-3</v>
      </c>
      <c r="AM121" s="694">
        <v>-5.371450363553288E-3</v>
      </c>
      <c r="AN121" s="694">
        <v>-3.1686096404948314E-3</v>
      </c>
      <c r="AO121" s="694">
        <v>-1.6515979969356836E-3</v>
      </c>
      <c r="AP121" s="694">
        <v>-2.4836872685076979E-3</v>
      </c>
      <c r="AQ121" s="694">
        <f t="shared" ref="AQ121:CC121" si="787">+AQ120/AQ$26</f>
        <v>0</v>
      </c>
      <c r="AR121" s="694">
        <f t="shared" si="787"/>
        <v>0</v>
      </c>
      <c r="AS121" s="694">
        <f t="shared" si="787"/>
        <v>0</v>
      </c>
      <c r="AT121" s="694">
        <f t="shared" si="787"/>
        <v>-6.410658496842552E-3</v>
      </c>
      <c r="AU121" s="694">
        <f t="shared" si="787"/>
        <v>0</v>
      </c>
      <c r="AV121" s="694">
        <f t="shared" si="787"/>
        <v>0</v>
      </c>
      <c r="AW121" s="694">
        <f t="shared" si="787"/>
        <v>0</v>
      </c>
      <c r="AX121" s="694">
        <f t="shared" si="787"/>
        <v>-4.9366867436682225E-3</v>
      </c>
      <c r="AY121" s="694">
        <f t="shared" si="787"/>
        <v>0</v>
      </c>
      <c r="AZ121" s="694">
        <f t="shared" si="787"/>
        <v>0</v>
      </c>
      <c r="BA121" s="694">
        <f t="shared" si="787"/>
        <v>0</v>
      </c>
      <c r="BB121" s="694">
        <f t="shared" si="787"/>
        <v>-3.1902565944129293E-3</v>
      </c>
      <c r="BC121" s="694">
        <f t="shared" si="787"/>
        <v>0</v>
      </c>
      <c r="BD121" s="694">
        <f t="shared" si="787"/>
        <v>0</v>
      </c>
      <c r="BE121" s="694">
        <f t="shared" si="787"/>
        <v>0</v>
      </c>
      <c r="BF121" s="694">
        <f t="shared" si="787"/>
        <v>-4.3039447319814378E-3</v>
      </c>
      <c r="BG121" s="694">
        <f t="shared" si="787"/>
        <v>0</v>
      </c>
      <c r="BH121" s="694">
        <f t="shared" si="787"/>
        <v>0</v>
      </c>
      <c r="BI121" s="694">
        <f t="shared" si="787"/>
        <v>0</v>
      </c>
      <c r="BJ121" s="694">
        <f t="shared" si="787"/>
        <v>-2.9259705997204104E-3</v>
      </c>
      <c r="BK121" s="694">
        <f t="shared" si="787"/>
        <v>0</v>
      </c>
      <c r="BL121" s="694">
        <f t="shared" si="787"/>
        <v>0</v>
      </c>
      <c r="BM121" s="694">
        <f t="shared" si="787"/>
        <v>0</v>
      </c>
      <c r="BN121" s="694">
        <f t="shared" si="787"/>
        <v>-1.8420285154193989E-3</v>
      </c>
      <c r="BO121" s="694">
        <f t="shared" si="787"/>
        <v>0</v>
      </c>
      <c r="BP121" s="694">
        <f t="shared" si="787"/>
        <v>6.3945103685068513E-4</v>
      </c>
      <c r="BQ121" s="694">
        <f t="shared" si="787"/>
        <v>0</v>
      </c>
      <c r="BR121" s="694">
        <f t="shared" si="787"/>
        <v>-6.1140716660259902E-4</v>
      </c>
      <c r="BS121" s="694">
        <f t="shared" si="787"/>
        <v>0</v>
      </c>
      <c r="BT121" s="694">
        <f t="shared" si="787"/>
        <v>0</v>
      </c>
      <c r="BU121" s="694">
        <f t="shared" si="787"/>
        <v>0</v>
      </c>
      <c r="BV121" s="694">
        <f t="shared" si="787"/>
        <v>-1.7445074944243497E-3</v>
      </c>
      <c r="BW121" s="694">
        <f t="shared" si="787"/>
        <v>0</v>
      </c>
      <c r="BX121" s="694">
        <f t="shared" si="787"/>
        <v>0</v>
      </c>
      <c r="BY121" s="694">
        <f t="shared" si="787"/>
        <v>0</v>
      </c>
      <c r="BZ121" s="694">
        <f t="shared" si="787"/>
        <v>-5.684898199964924E-4</v>
      </c>
      <c r="CA121" s="694">
        <f t="shared" si="787"/>
        <v>0</v>
      </c>
      <c r="CB121" s="694">
        <f t="shared" si="787"/>
        <v>0</v>
      </c>
      <c r="CC121" s="694">
        <f t="shared" si="787"/>
        <v>0</v>
      </c>
      <c r="CD121" s="694">
        <f t="shared" ref="CD121:CE121" si="788">+CD120/CD$26</f>
        <v>0</v>
      </c>
      <c r="CE121" s="694">
        <f t="shared" si="788"/>
        <v>0</v>
      </c>
      <c r="CF121" s="694">
        <f t="shared" ref="CF121:CI121" si="789">+CF120/CF$26</f>
        <v>-4.749472430761242E-4</v>
      </c>
      <c r="CG121" s="694">
        <f t="shared" si="789"/>
        <v>0</v>
      </c>
      <c r="CH121" s="694">
        <f t="shared" si="789"/>
        <v>-2.8127332980018051E-3</v>
      </c>
      <c r="CI121" s="694">
        <f t="shared" si="789"/>
        <v>0</v>
      </c>
      <c r="CJ121" s="694">
        <f t="shared" ref="CJ121:CK121" si="790">+CJ120/CJ$26</f>
        <v>0</v>
      </c>
      <c r="CK121" s="694">
        <f t="shared" si="790"/>
        <v>0</v>
      </c>
      <c r="CL121" s="724">
        <v>0</v>
      </c>
      <c r="CM121" s="724">
        <v>0</v>
      </c>
      <c r="CN121" s="724">
        <v>0</v>
      </c>
      <c r="CO121" s="724">
        <v>0</v>
      </c>
      <c r="CP121" s="724">
        <v>0</v>
      </c>
      <c r="CQ121" s="724"/>
      <c r="CR121" s="724"/>
      <c r="CS121" s="724"/>
      <c r="CT121" s="724">
        <v>0</v>
      </c>
      <c r="CU121" s="695"/>
      <c r="CV121" s="695"/>
      <c r="CW121" s="695"/>
      <c r="CX121" s="695"/>
      <c r="CY121" s="695"/>
      <c r="CZ121" s="694">
        <v>-5.0664061086382224E-3</v>
      </c>
      <c r="DA121" s="694">
        <v>-7.2951411981919323E-3</v>
      </c>
      <c r="DB121" s="694">
        <v>-6.3187438257313348E-3</v>
      </c>
      <c r="DC121" s="694">
        <v>-5.5809064696397325E-3</v>
      </c>
      <c r="DD121" s="694">
        <v>-4.1752664331051225E-3</v>
      </c>
      <c r="DE121" s="694">
        <v>-3.0063733559217479E-3</v>
      </c>
      <c r="DF121" s="694">
        <f t="shared" ref="DF121:DO121" si="791">+DF120/DF$26</f>
        <v>-2.2348613240225734E-3</v>
      </c>
      <c r="DG121" s="694">
        <f t="shared" si="791"/>
        <v>-1.6181246869506889E-3</v>
      </c>
      <c r="DH121" s="694">
        <f t="shared" si="791"/>
        <v>-1.0437753232541485E-3</v>
      </c>
      <c r="DI121" s="694">
        <f t="shared" si="791"/>
        <v>-1.4173250558648523E-3</v>
      </c>
      <c r="DJ121" s="694">
        <f t="shared" si="791"/>
        <v>-9.8435991707629508E-4</v>
      </c>
      <c r="DK121" s="694">
        <f t="shared" si="791"/>
        <v>-6.1063132604406744E-4</v>
      </c>
      <c r="DL121" s="694">
        <f t="shared" si="791"/>
        <v>-1.808368647159813E-4</v>
      </c>
      <c r="DM121" s="694">
        <f t="shared" si="791"/>
        <v>-6.3888418149967157E-4</v>
      </c>
      <c r="DN121" s="694">
        <f t="shared" si="791"/>
        <v>-1.7195210930306875E-4</v>
      </c>
      <c r="DO121" s="694">
        <f t="shared" si="791"/>
        <v>0</v>
      </c>
      <c r="DP121" s="694">
        <f t="shared" ref="DP121:DQ121" si="792">+DP120/DP$26</f>
        <v>-1.0154217481047516E-3</v>
      </c>
      <c r="DQ121" s="694">
        <f t="shared" si="792"/>
        <v>0</v>
      </c>
      <c r="DR121" s="694">
        <f t="shared" ref="DR121" si="793">+DR120/DR$26</f>
        <v>0</v>
      </c>
      <c r="DS121" s="724">
        <f>+DR121</f>
        <v>0</v>
      </c>
      <c r="DT121" s="724">
        <f t="shared" ref="DT121:DV121" si="794">+DS121</f>
        <v>0</v>
      </c>
      <c r="DU121" s="724">
        <f t="shared" si="794"/>
        <v>0</v>
      </c>
      <c r="DV121" s="724">
        <f t="shared" si="794"/>
        <v>0</v>
      </c>
      <c r="DY121" s="724">
        <v>0</v>
      </c>
      <c r="DZ121" s="724">
        <v>0</v>
      </c>
    </row>
    <row r="122" spans="1:130" s="692" customFormat="1">
      <c r="A122" s="707"/>
      <c r="B122" s="707"/>
      <c r="C122" s="693"/>
      <c r="D122" s="695"/>
      <c r="E122" s="695"/>
      <c r="F122" s="695"/>
      <c r="G122" s="695"/>
      <c r="H122" s="695"/>
      <c r="I122" s="695"/>
      <c r="J122" s="695"/>
      <c r="K122" s="695"/>
      <c r="L122" s="695"/>
      <c r="M122" s="695"/>
      <c r="N122" s="695"/>
      <c r="O122" s="695"/>
      <c r="P122" s="695"/>
      <c r="Q122" s="695"/>
      <c r="R122" s="694"/>
      <c r="S122" s="694"/>
      <c r="T122" s="694"/>
      <c r="U122" s="694"/>
      <c r="V122" s="694"/>
      <c r="W122" s="694"/>
      <c r="X122" s="694"/>
      <c r="Y122" s="694"/>
      <c r="Z122" s="694"/>
      <c r="AA122" s="694"/>
      <c r="AB122" s="694"/>
      <c r="AC122" s="694"/>
      <c r="AD122" s="694"/>
      <c r="AE122" s="694"/>
      <c r="AF122" s="694"/>
      <c r="AG122" s="694"/>
      <c r="AH122" s="694"/>
      <c r="AI122" s="694"/>
      <c r="AJ122" s="694"/>
      <c r="AK122" s="694"/>
      <c r="AL122" s="694"/>
      <c r="AM122" s="694"/>
      <c r="AN122" s="694"/>
      <c r="AO122" s="694"/>
      <c r="AP122" s="694"/>
      <c r="AQ122" s="694"/>
      <c r="AR122" s="694"/>
      <c r="AS122" s="694"/>
      <c r="AT122" s="694"/>
      <c r="AU122" s="694"/>
      <c r="AV122" s="694"/>
      <c r="AW122" s="694"/>
      <c r="AX122" s="694"/>
      <c r="AY122" s="694"/>
      <c r="AZ122" s="694"/>
      <c r="BA122" s="694"/>
      <c r="BB122" s="694"/>
      <c r="BC122" s="694"/>
      <c r="BD122" s="694"/>
      <c r="BE122" s="694"/>
      <c r="BF122" s="694"/>
      <c r="BG122" s="694"/>
      <c r="BH122" s="694"/>
      <c r="BI122" s="694"/>
      <c r="BJ122" s="694"/>
      <c r="BK122" s="694"/>
      <c r="BL122" s="694"/>
      <c r="BM122" s="694"/>
      <c r="BN122" s="694"/>
      <c r="BO122" s="694"/>
      <c r="BP122" s="694"/>
      <c r="BQ122" s="694"/>
      <c r="BR122" s="694"/>
      <c r="BS122" s="694"/>
      <c r="BT122" s="694"/>
      <c r="BU122" s="694"/>
      <c r="BV122" s="694"/>
      <c r="BW122" s="694"/>
      <c r="BX122" s="694"/>
      <c r="BY122" s="694"/>
      <c r="BZ122" s="694"/>
      <c r="CA122" s="694"/>
      <c r="CB122" s="694"/>
      <c r="CC122" s="694"/>
      <c r="CD122" s="694"/>
      <c r="CE122" s="694"/>
      <c r="CF122" s="694"/>
      <c r="CG122" s="694"/>
      <c r="CH122" s="694"/>
      <c r="CI122" s="694"/>
      <c r="CJ122" s="694"/>
      <c r="CK122" s="694"/>
      <c r="CL122" s="724"/>
      <c r="CM122" s="724"/>
      <c r="CN122" s="724"/>
      <c r="CO122" s="724"/>
      <c r="CP122" s="724"/>
      <c r="CQ122" s="724"/>
      <c r="CR122" s="724"/>
      <c r="CS122" s="724"/>
      <c r="CT122" s="724"/>
      <c r="CU122" s="695"/>
      <c r="CV122" s="695"/>
      <c r="CW122" s="695"/>
      <c r="CX122" s="695"/>
      <c r="CY122" s="695"/>
      <c r="CZ122" s="694"/>
      <c r="DA122" s="694"/>
      <c r="DB122" s="694"/>
      <c r="DC122" s="694"/>
      <c r="DD122" s="694"/>
      <c r="DE122" s="694"/>
      <c r="DF122" s="694"/>
      <c r="DG122" s="694"/>
      <c r="DH122" s="694"/>
      <c r="DI122" s="694"/>
      <c r="DJ122" s="694"/>
      <c r="DK122" s="694"/>
      <c r="DL122" s="694"/>
      <c r="DM122" s="694"/>
      <c r="DN122" s="694"/>
      <c r="DO122" s="694"/>
      <c r="DP122" s="694"/>
      <c r="DQ122" s="694"/>
      <c r="DR122" s="694"/>
      <c r="DS122" s="724"/>
      <c r="DT122" s="724"/>
      <c r="DU122" s="724"/>
      <c r="DV122" s="724"/>
      <c r="DY122" s="724"/>
      <c r="DZ122" s="724"/>
    </row>
    <row r="123" spans="1:130">
      <c r="A123" s="1356"/>
      <c r="B123" s="1356"/>
      <c r="C123" s="144"/>
      <c r="D123" s="127"/>
      <c r="E123" s="127"/>
      <c r="F123" s="127"/>
      <c r="G123" s="127"/>
      <c r="H123" s="127"/>
      <c r="I123" s="127"/>
      <c r="J123" s="127"/>
      <c r="K123" s="127"/>
      <c r="L123" s="127"/>
      <c r="M123" s="127"/>
      <c r="N123" s="127"/>
      <c r="O123" s="127"/>
      <c r="P123" s="127"/>
      <c r="Q123" s="127"/>
      <c r="R123" s="116"/>
      <c r="S123" s="116"/>
      <c r="T123" s="116"/>
      <c r="U123" s="116"/>
      <c r="V123" s="116"/>
      <c r="W123" s="116"/>
      <c r="X123" s="116"/>
      <c r="Y123" s="116"/>
      <c r="Z123" s="116"/>
      <c r="AA123" s="116"/>
      <c r="AB123" s="116"/>
      <c r="AC123" s="116"/>
      <c r="AD123" s="116"/>
      <c r="AE123" s="116"/>
      <c r="AF123" s="116"/>
      <c r="AG123" s="116"/>
      <c r="AH123" s="116"/>
      <c r="AI123" s="116"/>
      <c r="AJ123" s="116"/>
      <c r="AK123" s="116"/>
      <c r="AL123" s="116"/>
      <c r="AM123" s="116"/>
      <c r="AN123" s="116"/>
      <c r="AO123" s="116"/>
      <c r="AP123" s="116"/>
      <c r="AQ123" s="116"/>
      <c r="AR123" s="116"/>
      <c r="AS123" s="116"/>
      <c r="AT123" s="116"/>
      <c r="AU123" s="116"/>
      <c r="AV123" s="116"/>
      <c r="AW123" s="116"/>
      <c r="AX123" s="116"/>
      <c r="AY123" s="116"/>
      <c r="AZ123" s="116"/>
      <c r="BA123" s="116"/>
      <c r="BB123" s="116"/>
      <c r="BC123" s="116"/>
      <c r="BD123" s="116"/>
      <c r="BE123" s="116"/>
      <c r="BF123" s="116"/>
      <c r="BG123" s="116"/>
      <c r="BH123" s="116"/>
      <c r="BI123" s="116"/>
      <c r="BJ123" s="116"/>
      <c r="BK123" s="116"/>
      <c r="BL123" s="116"/>
      <c r="BM123" s="116"/>
      <c r="BN123" s="116"/>
      <c r="BO123" s="116"/>
      <c r="BP123" s="116"/>
      <c r="BQ123" s="116"/>
      <c r="BR123" s="116"/>
      <c r="BS123" s="116"/>
      <c r="BT123" s="116"/>
      <c r="BU123" s="116"/>
      <c r="BV123" s="116"/>
      <c r="BW123" s="116"/>
      <c r="BX123" s="116"/>
      <c r="BY123" s="116"/>
      <c r="BZ123" s="116"/>
      <c r="CA123" s="116"/>
      <c r="CB123" s="116"/>
      <c r="CC123" s="116"/>
      <c r="CD123" s="116"/>
      <c r="CE123" s="116"/>
      <c r="CF123" s="116"/>
      <c r="CG123" s="116"/>
      <c r="CH123" s="116"/>
      <c r="CI123" s="116"/>
      <c r="CJ123" s="116"/>
      <c r="CK123" s="116"/>
      <c r="CL123" s="1219"/>
      <c r="CM123" s="1219"/>
      <c r="CN123" s="1219"/>
      <c r="CO123" s="1219"/>
      <c r="CP123" s="1219"/>
      <c r="CQ123" s="1219"/>
      <c r="CR123" s="1219"/>
      <c r="CS123" s="1219"/>
      <c r="CT123" s="390"/>
      <c r="CU123" s="127"/>
      <c r="CV123" s="127"/>
      <c r="CW123" s="127"/>
      <c r="CX123" s="127"/>
      <c r="CY123" s="127"/>
      <c r="CZ123" s="116"/>
      <c r="DA123" s="116"/>
      <c r="DB123" s="116"/>
      <c r="DC123" s="116"/>
      <c r="DD123" s="116"/>
      <c r="DE123" s="116"/>
      <c r="DF123" s="116"/>
      <c r="DG123" s="116"/>
      <c r="DH123" s="116"/>
      <c r="DI123" s="116"/>
      <c r="DJ123" s="116"/>
      <c r="DK123" s="116"/>
      <c r="DL123" s="116"/>
      <c r="DM123" s="116"/>
      <c r="DN123" s="116"/>
      <c r="DO123" s="116"/>
      <c r="DP123" s="116"/>
      <c r="DQ123" s="116"/>
      <c r="DR123" s="116"/>
      <c r="DS123" s="1219"/>
      <c r="DT123" s="1219"/>
      <c r="DU123" s="1219"/>
      <c r="DV123" s="1219"/>
      <c r="DY123" s="1219"/>
      <c r="DZ123" s="1219"/>
    </row>
    <row r="124" spans="1:130" s="668" customFormat="1">
      <c r="A124" s="664" t="s">
        <v>104</v>
      </c>
      <c r="B124" s="665"/>
      <c r="C124" s="666">
        <v>-24</v>
      </c>
      <c r="D124" s="666">
        <v>18257</v>
      </c>
      <c r="E124" s="666">
        <v>-652</v>
      </c>
      <c r="F124" s="666">
        <v>11635</v>
      </c>
      <c r="G124" s="666">
        <v>15125</v>
      </c>
      <c r="H124" s="666">
        <v>35607</v>
      </c>
      <c r="I124" s="666">
        <v>20761</v>
      </c>
      <c r="J124" s="666">
        <v>49252</v>
      </c>
      <c r="K124" s="666">
        <v>24311</v>
      </c>
      <c r="L124" s="666">
        <v>40403</v>
      </c>
      <c r="M124" s="666">
        <v>31927</v>
      </c>
      <c r="N124" s="666">
        <v>63471</v>
      </c>
      <c r="O124" s="666">
        <v>24797</v>
      </c>
      <c r="P124" s="666">
        <v>57174</v>
      </c>
      <c r="Q124" s="666">
        <v>45171</v>
      </c>
      <c r="R124" s="666">
        <v>73836</v>
      </c>
      <c r="S124" s="666">
        <v>36255</v>
      </c>
      <c r="T124" s="666">
        <v>57127</v>
      </c>
      <c r="U124" s="666">
        <v>40851</v>
      </c>
      <c r="V124" s="666">
        <v>65527</v>
      </c>
      <c r="W124" s="666">
        <v>17702</v>
      </c>
      <c r="X124" s="666">
        <v>71691</v>
      </c>
      <c r="Y124" s="666">
        <v>46161</v>
      </c>
      <c r="Z124" s="666">
        <v>135065</v>
      </c>
      <c r="AA124" s="666">
        <v>50071</v>
      </c>
      <c r="AB124" s="666">
        <v>129582</v>
      </c>
      <c r="AC124" s="666">
        <v>78152</v>
      </c>
      <c r="AD124" s="666">
        <v>153722</v>
      </c>
      <c r="AE124" s="666">
        <v>59059</v>
      </c>
      <c r="AF124" s="666">
        <v>151492</v>
      </c>
      <c r="AG124" s="666">
        <v>76630</v>
      </c>
      <c r="AH124" s="666">
        <v>189074</v>
      </c>
      <c r="AI124" s="666">
        <v>49228</v>
      </c>
      <c r="AJ124" s="666">
        <v>154475</v>
      </c>
      <c r="AK124" s="666">
        <v>110317</v>
      </c>
      <c r="AL124" s="666">
        <v>245230</v>
      </c>
      <c r="AM124" s="666">
        <v>46177</v>
      </c>
      <c r="AN124" s="666">
        <v>157421</v>
      </c>
      <c r="AO124" s="666">
        <v>110689</v>
      </c>
      <c r="AP124" s="666">
        <v>336147</v>
      </c>
      <c r="AQ124" s="666">
        <f t="shared" ref="AQ124:BY124" si="795">AQ49+AQ64</f>
        <v>83736.520000000019</v>
      </c>
      <c r="AR124" s="666">
        <f t="shared" si="795"/>
        <v>189783</v>
      </c>
      <c r="AS124" s="666">
        <f t="shared" si="795"/>
        <v>141900</v>
      </c>
      <c r="AT124" s="666">
        <f t="shared" si="795"/>
        <v>387004.26899999997</v>
      </c>
      <c r="AU124" s="666">
        <f t="shared" si="795"/>
        <v>130573.27951000014</v>
      </c>
      <c r="AV124" s="666">
        <f t="shared" si="795"/>
        <v>253873.64064000011</v>
      </c>
      <c r="AW124" s="666">
        <f t="shared" si="795"/>
        <v>156656</v>
      </c>
      <c r="AX124" s="666">
        <f t="shared" si="795"/>
        <v>392150.30340999993</v>
      </c>
      <c r="AY124" s="666">
        <f t="shared" si="795"/>
        <v>105543</v>
      </c>
      <c r="AZ124" s="666">
        <f t="shared" si="795"/>
        <v>272459</v>
      </c>
      <c r="BA124" s="666">
        <f t="shared" si="795"/>
        <v>132894</v>
      </c>
      <c r="BB124" s="666">
        <f t="shared" si="795"/>
        <v>464795</v>
      </c>
      <c r="BC124" s="666">
        <f t="shared" si="795"/>
        <v>104036</v>
      </c>
      <c r="BD124" s="666">
        <f t="shared" si="795"/>
        <v>294708</v>
      </c>
      <c r="BE124" s="666">
        <f t="shared" si="795"/>
        <v>205928</v>
      </c>
      <c r="BF124" s="666">
        <f t="shared" si="795"/>
        <v>482567</v>
      </c>
      <c r="BG124" s="666">
        <f t="shared" si="795"/>
        <v>170055</v>
      </c>
      <c r="BH124" s="666">
        <f t="shared" si="795"/>
        <v>351973.96485999995</v>
      </c>
      <c r="BI124" s="666">
        <f t="shared" si="795"/>
        <v>258488.43174999999</v>
      </c>
      <c r="BJ124" s="666">
        <f t="shared" si="795"/>
        <v>643304.25080000004</v>
      </c>
      <c r="BK124" s="666">
        <f t="shared" si="795"/>
        <v>247876</v>
      </c>
      <c r="BL124" s="666">
        <f t="shared" si="795"/>
        <v>373864</v>
      </c>
      <c r="BM124" s="666">
        <f t="shared" si="795"/>
        <v>290044</v>
      </c>
      <c r="BN124" s="666">
        <f t="shared" si="795"/>
        <v>764595</v>
      </c>
      <c r="BO124" s="666">
        <f t="shared" si="795"/>
        <v>32335</v>
      </c>
      <c r="BP124" s="666">
        <f t="shared" si="795"/>
        <v>420256</v>
      </c>
      <c r="BQ124" s="666">
        <f t="shared" si="795"/>
        <v>-126613</v>
      </c>
      <c r="BR124" s="666">
        <f t="shared" si="795"/>
        <v>530901</v>
      </c>
      <c r="BS124" s="666">
        <f t="shared" si="795"/>
        <v>-173363</v>
      </c>
      <c r="BT124" s="666">
        <f t="shared" si="795"/>
        <v>260594</v>
      </c>
      <c r="BU124" s="666">
        <f t="shared" si="795"/>
        <v>208040.33947000233</v>
      </c>
      <c r="BV124" s="666">
        <f t="shared" si="795"/>
        <v>518959.81354999915</v>
      </c>
      <c r="BW124" s="666">
        <f t="shared" si="795"/>
        <v>143842</v>
      </c>
      <c r="BX124" s="666">
        <f>BX49+BX64</f>
        <v>434639</v>
      </c>
      <c r="BY124" s="666">
        <f t="shared" si="795"/>
        <v>200995</v>
      </c>
      <c r="BZ124" s="666">
        <f t="shared" ref="BZ124:CA124" si="796">BZ49+BZ64</f>
        <v>627924</v>
      </c>
      <c r="CA124" s="666">
        <f t="shared" si="796"/>
        <v>-26661</v>
      </c>
      <c r="CB124" s="666">
        <f t="shared" ref="CB124:CC124" si="797">CB49+CB64</f>
        <v>224430</v>
      </c>
      <c r="CC124" s="666">
        <f t="shared" si="797"/>
        <v>91828</v>
      </c>
      <c r="CD124" s="666">
        <f t="shared" ref="CD124:CE124" si="798">CD49+CD64</f>
        <v>599480</v>
      </c>
      <c r="CE124" s="666">
        <f t="shared" si="798"/>
        <v>76210</v>
      </c>
      <c r="CF124" s="666">
        <f t="shared" ref="CF124" si="799">CF49+CF64</f>
        <v>354718</v>
      </c>
      <c r="CG124" s="666">
        <f t="shared" ref="CG124:CH124" si="800">CG49+CG64</f>
        <v>272953</v>
      </c>
      <c r="CH124" s="666">
        <f t="shared" si="800"/>
        <v>555462</v>
      </c>
      <c r="CI124" s="666">
        <f t="shared" ref="CI124:CK124" si="801">CI49+CI64</f>
        <v>273006</v>
      </c>
      <c r="CJ124" s="666">
        <f t="shared" ref="CJ124" si="802">CJ49+CJ64</f>
        <v>557901</v>
      </c>
      <c r="CK124" s="666">
        <f t="shared" si="801"/>
        <v>278703</v>
      </c>
      <c r="CL124" s="667">
        <f>CL49+CL64</f>
        <v>645773.98670708109</v>
      </c>
      <c r="CM124" s="667">
        <f t="shared" ref="CM124:CP124" si="803">CM49+CM64</f>
        <v>197903.85835542902</v>
      </c>
      <c r="CN124" s="667">
        <f t="shared" si="803"/>
        <v>486553.75459514931</v>
      </c>
      <c r="CO124" s="667">
        <f t="shared" si="803"/>
        <v>284647.01541190292</v>
      </c>
      <c r="CP124" s="667">
        <f t="shared" si="803"/>
        <v>739212.88955925917</v>
      </c>
      <c r="CQ124" s="667"/>
      <c r="CR124" s="667"/>
      <c r="CS124" s="667"/>
      <c r="CT124" s="667">
        <v>645773.98670708109</v>
      </c>
      <c r="CU124" s="1134">
        <f>+CK124/CT124-1</f>
        <v>-0.56842021243197294</v>
      </c>
      <c r="CV124" s="666">
        <v>29216</v>
      </c>
      <c r="CW124" s="666">
        <v>120745</v>
      </c>
      <c r="CX124" s="666">
        <v>160112</v>
      </c>
      <c r="CY124" s="666">
        <v>200978</v>
      </c>
      <c r="CZ124" s="666">
        <v>199760</v>
      </c>
      <c r="DA124" s="666">
        <v>270619</v>
      </c>
      <c r="DB124" s="666">
        <v>411527</v>
      </c>
      <c r="DC124" s="666">
        <v>476255</v>
      </c>
      <c r="DD124" s="666">
        <v>559250</v>
      </c>
      <c r="DE124" s="666">
        <v>650434</v>
      </c>
      <c r="DF124" s="666">
        <f>+SUM(AQ124:AT124)</f>
        <v>802423.78899999999</v>
      </c>
      <c r="DG124" s="666">
        <f>+SUM(AU124:AX124)</f>
        <v>933253.22356000019</v>
      </c>
      <c r="DH124" s="666">
        <f>+SUM(AY124:BB124)</f>
        <v>975691</v>
      </c>
      <c r="DI124" s="666">
        <f>+SUM(BC124:BF124)</f>
        <v>1087239</v>
      </c>
      <c r="DJ124" s="666">
        <f>+SUM(BG124:BJ124)</f>
        <v>1423821.64741</v>
      </c>
      <c r="DK124" s="674">
        <f>+SUM(BK124:BN124)</f>
        <v>1676379</v>
      </c>
      <c r="DL124" s="674">
        <f>+SUM(BO124:BR124)</f>
        <v>856879</v>
      </c>
      <c r="DM124" s="674">
        <f>+SUM(BS124:BV124)</f>
        <v>814231.15302000148</v>
      </c>
      <c r="DN124" s="674">
        <f>+SUM(BW124:BZ124)</f>
        <v>1407400</v>
      </c>
      <c r="DO124" s="674">
        <f>+SUM(CA124:CD124)</f>
        <v>889077</v>
      </c>
      <c r="DP124" s="674">
        <f>+SUM(CE124:CH124)</f>
        <v>1259343</v>
      </c>
      <c r="DQ124" s="674">
        <f>+SUM(CI124:CL124)</f>
        <v>1755383.9867070811</v>
      </c>
      <c r="DR124" s="674">
        <f>+SUM(CM124:CP124)</f>
        <v>1708317.5179217404</v>
      </c>
      <c r="DS124" s="666">
        <f>DS49+DS64</f>
        <v>2345383.7493042387</v>
      </c>
      <c r="DT124" s="666">
        <f t="shared" ref="DT124:DV124" si="804">DT49+DT64</f>
        <v>2629667.9943037555</v>
      </c>
      <c r="DU124" s="666">
        <f t="shared" si="804"/>
        <v>2914855.1777000632</v>
      </c>
      <c r="DV124" s="666">
        <f t="shared" si="804"/>
        <v>3210034.4495391175</v>
      </c>
      <c r="DY124" s="666">
        <v>1995400.7116548568</v>
      </c>
      <c r="DZ124" s="666">
        <v>2544156.0894004684</v>
      </c>
    </row>
    <row r="125" spans="1:130" s="737" customFormat="1">
      <c r="A125" s="736" t="s">
        <v>218</v>
      </c>
      <c r="B125" s="736"/>
      <c r="C125" s="733">
        <v>-1.3609068175761115E-4</v>
      </c>
      <c r="D125" s="733">
        <v>7.6239513256413149E-2</v>
      </c>
      <c r="E125" s="733">
        <v>-3.1054273534805079E-3</v>
      </c>
      <c r="F125" s="733">
        <v>3.546964121855823E-2</v>
      </c>
      <c r="G125" s="733">
        <v>7.1953911438412205E-2</v>
      </c>
      <c r="H125" s="733">
        <v>0.12038257906160618</v>
      </c>
      <c r="I125" s="733">
        <v>7.6364545899281627E-2</v>
      </c>
      <c r="J125" s="733">
        <v>0.11608508632372871</v>
      </c>
      <c r="K125" s="733">
        <v>9.1137086132437622E-2</v>
      </c>
      <c r="L125" s="733">
        <v>0.10608360027306622</v>
      </c>
      <c r="M125" s="733">
        <v>9.2065158151833831E-2</v>
      </c>
      <c r="N125" s="733">
        <v>0.1182309780027159</v>
      </c>
      <c r="O125" s="733">
        <v>7.134698105335846E-2</v>
      </c>
      <c r="P125" s="733">
        <v>0.11647435584021903</v>
      </c>
      <c r="Q125" s="733">
        <v>0.10173373692602902</v>
      </c>
      <c r="R125" s="733">
        <v>0.11385659213569777</v>
      </c>
      <c r="S125" s="733">
        <v>8.3963065977762694E-2</v>
      </c>
      <c r="T125" s="733">
        <v>0.10086925506800601</v>
      </c>
      <c r="U125" s="733">
        <v>7.9885405870504717E-2</v>
      </c>
      <c r="V125" s="733">
        <v>9.7294255471103638E-2</v>
      </c>
      <c r="W125" s="733">
        <v>4.2234702982816952E-2</v>
      </c>
      <c r="X125" s="733">
        <v>0.11687212877436771</v>
      </c>
      <c r="Y125" s="733">
        <v>8.3577911720027306E-2</v>
      </c>
      <c r="Z125" s="733">
        <v>0.17343397079236589</v>
      </c>
      <c r="AA125" s="733">
        <v>9.9014227943721014E-2</v>
      </c>
      <c r="AB125" s="733">
        <v>0.18458501064075281</v>
      </c>
      <c r="AC125" s="733">
        <v>0.12137797360659633</v>
      </c>
      <c r="AD125" s="733">
        <v>0.17084930069619184</v>
      </c>
      <c r="AE125" s="733">
        <v>9.8634360277035982E-2</v>
      </c>
      <c r="AF125" s="733">
        <v>0.18111974979047582</v>
      </c>
      <c r="AG125" s="733">
        <v>0.10328579015044709</v>
      </c>
      <c r="AH125" s="733">
        <v>0.17813071750104104</v>
      </c>
      <c r="AI125" s="733">
        <v>6.9405985822162314E-2</v>
      </c>
      <c r="AJ125" s="733">
        <v>0.16167706660917219</v>
      </c>
      <c r="AK125" s="733">
        <v>0.12188942587104915</v>
      </c>
      <c r="AL125" s="733">
        <v>0.189700785939724</v>
      </c>
      <c r="AM125" s="733">
        <v>5.5377866362536325E-2</v>
      </c>
      <c r="AN125" s="733">
        <v>0.14845407685010026</v>
      </c>
      <c r="AO125" s="733">
        <v>0.10836617112199994</v>
      </c>
      <c r="AP125" s="733">
        <v>0.23107778141352259</v>
      </c>
      <c r="AQ125" s="733">
        <f t="shared" ref="AQ125:BY125" si="805">AQ124/AQ26</f>
        <v>8.9212945896822354E-2</v>
      </c>
      <c r="AR125" s="733">
        <f t="shared" si="805"/>
        <v>0.15119404602191794</v>
      </c>
      <c r="AS125" s="733">
        <f t="shared" si="805"/>
        <v>0.11787642994742495</v>
      </c>
      <c r="AT125" s="733">
        <f t="shared" si="805"/>
        <v>0.21282692577371631</v>
      </c>
      <c r="AU125" s="733">
        <f t="shared" si="805"/>
        <v>0.11122587264161</v>
      </c>
      <c r="AV125" s="733">
        <f t="shared" si="805"/>
        <v>0.16523917951107825</v>
      </c>
      <c r="AW125" s="733">
        <f t="shared" si="805"/>
        <v>0.11027414376269265</v>
      </c>
      <c r="AX125" s="733">
        <f t="shared" si="805"/>
        <v>0.19468848298493974</v>
      </c>
      <c r="AY125" s="733">
        <f t="shared" si="805"/>
        <v>8.4612492373948689E-2</v>
      </c>
      <c r="AZ125" s="733">
        <f t="shared" si="805"/>
        <v>0.16536920817198558</v>
      </c>
      <c r="BA125" s="733">
        <f t="shared" si="805"/>
        <v>9.1915433982856898E-2</v>
      </c>
      <c r="BB125" s="733">
        <f t="shared" si="805"/>
        <v>0.22019829429761767</v>
      </c>
      <c r="BC125" s="733">
        <f t="shared" si="805"/>
        <v>7.3506843662652505E-2</v>
      </c>
      <c r="BD125" s="733">
        <f t="shared" si="805"/>
        <v>0.16094306691161533</v>
      </c>
      <c r="BE125" s="733">
        <f t="shared" si="805"/>
        <v>0.11791726528693404</v>
      </c>
      <c r="BF125" s="733">
        <f t="shared" si="805"/>
        <v>0.19684785304502764</v>
      </c>
      <c r="BG125" s="733">
        <f t="shared" si="805"/>
        <v>0.10443810512287469</v>
      </c>
      <c r="BH125" s="733">
        <f t="shared" si="805"/>
        <v>0.17423617027301161</v>
      </c>
      <c r="BI125" s="733">
        <f t="shared" si="805"/>
        <v>0.13301601808378377</v>
      </c>
      <c r="BJ125" s="733">
        <f t="shared" si="805"/>
        <v>0.22692540535354166</v>
      </c>
      <c r="BK125" s="733">
        <f t="shared" si="805"/>
        <v>0.1310045837545987</v>
      </c>
      <c r="BL125" s="733">
        <f t="shared" si="805"/>
        <v>0.16311664377549079</v>
      </c>
      <c r="BM125" s="733">
        <f t="shared" si="805"/>
        <v>0.13031263548773336</v>
      </c>
      <c r="BN125" s="733">
        <f t="shared" si="805"/>
        <v>0.24054753078515717</v>
      </c>
      <c r="BO125" s="733">
        <f t="shared" si="805"/>
        <v>1.7349327515706146E-2</v>
      </c>
      <c r="BP125" s="733">
        <f t="shared" si="805"/>
        <v>0.51979329776155037</v>
      </c>
      <c r="BQ125" s="733">
        <f t="shared" si="805"/>
        <v>-7.0731978465273668E-2</v>
      </c>
      <c r="BR125" s="733">
        <f t="shared" si="805"/>
        <v>0.17265780646621617</v>
      </c>
      <c r="BS125" s="733">
        <f t="shared" si="805"/>
        <v>-0.10962669644629991</v>
      </c>
      <c r="BT125" s="733">
        <f t="shared" si="805"/>
        <v>0.10464391137910278</v>
      </c>
      <c r="BU125" s="733">
        <f t="shared" si="805"/>
        <v>7.9154275880430239E-2</v>
      </c>
      <c r="BV125" s="733">
        <f t="shared" si="805"/>
        <v>0.13404342375526157</v>
      </c>
      <c r="BW125" s="733">
        <f t="shared" si="805"/>
        <v>5.5048097529911702E-2</v>
      </c>
      <c r="BX125" s="733">
        <f>BX124/BX26</f>
        <v>0.1198562075173929</v>
      </c>
      <c r="BY125" s="733">
        <f t="shared" si="805"/>
        <v>6.6606862599548261E-2</v>
      </c>
      <c r="BZ125" s="733">
        <f t="shared" ref="BZ125:CA125" si="806">BZ124/BZ26</f>
        <v>0.15642787104797437</v>
      </c>
      <c r="CA125" s="733">
        <f t="shared" si="806"/>
        <v>-9.6065567154735437E-3</v>
      </c>
      <c r="CB125" s="733">
        <f t="shared" ref="CB125:CC125" si="807">CB124/CB26</f>
        <v>6.4048140412199139E-2</v>
      </c>
      <c r="CC125" s="733">
        <f t="shared" si="807"/>
        <v>2.9649710567576853E-2</v>
      </c>
      <c r="CD125" s="733">
        <f t="shared" ref="CD125:CE125" si="808">CD124/CD26</f>
        <v>0.14034814994130701</v>
      </c>
      <c r="CE125" s="733">
        <f t="shared" si="808"/>
        <v>2.620477132460116E-2</v>
      </c>
      <c r="CF125" s="733">
        <f t="shared" ref="CF125" si="809">CF124/CF26</f>
        <v>0.10076096660853866</v>
      </c>
      <c r="CG125" s="733">
        <f t="shared" ref="CG125:CH125" si="810">CG124/CG26</f>
        <v>8.0505021517418188E-2</v>
      </c>
      <c r="CH125" s="733">
        <f t="shared" si="810"/>
        <v>0.12030233796678821</v>
      </c>
      <c r="CI125" s="733">
        <f t="shared" ref="CI125:CL125" si="811">CI124/CI26</f>
        <v>8.3806486786494008E-2</v>
      </c>
      <c r="CJ125" s="733">
        <f t="shared" ref="CJ125" si="812">CJ124/CJ26</f>
        <v>0.1338673460720238</v>
      </c>
      <c r="CK125" s="733">
        <f t="shared" si="811"/>
        <v>7.8211081776424787E-2</v>
      </c>
      <c r="CL125" s="734">
        <f t="shared" si="811"/>
        <v>0.13376106306669447</v>
      </c>
      <c r="CM125" s="734">
        <f t="shared" ref="CM125:CP125" si="813">CM124/CM26</f>
        <v>5.7626785594926386E-2</v>
      </c>
      <c r="CN125" s="734">
        <f t="shared" si="813"/>
        <v>0.11169605875240934</v>
      </c>
      <c r="CO125" s="734">
        <f t="shared" si="813"/>
        <v>7.4113148046144675E-2</v>
      </c>
      <c r="CP125" s="734">
        <f t="shared" si="813"/>
        <v>0.14079757767107381</v>
      </c>
      <c r="CQ125" s="734"/>
      <c r="CR125" s="734"/>
      <c r="CS125" s="734"/>
      <c r="CT125" s="734">
        <v>0.13376106306669447</v>
      </c>
      <c r="CU125" s="1135">
        <f>+CK125-CT125</f>
        <v>-5.5549981290269682E-2</v>
      </c>
      <c r="CV125" s="733">
        <v>3.0631031113310492E-2</v>
      </c>
      <c r="CW125" s="733">
        <v>0.10044271491887719</v>
      </c>
      <c r="CX125" s="733">
        <v>0.10456375821394193</v>
      </c>
      <c r="CY125" s="733">
        <v>0.10408303939171563</v>
      </c>
      <c r="CZ125" s="733">
        <v>9.1506806895259613E-2</v>
      </c>
      <c r="DA125" s="733">
        <v>0.11449305897543945</v>
      </c>
      <c r="DB125" s="733">
        <v>0.14957340755661427</v>
      </c>
      <c r="DC125" s="733">
        <v>0.14705846025773325</v>
      </c>
      <c r="DD125" s="733">
        <v>0.1447893441256303</v>
      </c>
      <c r="DE125" s="733">
        <v>0.14882772261097543</v>
      </c>
      <c r="DF125" s="733">
        <f t="shared" ref="DF125:DS125" si="814">DF124/DF26</f>
        <v>0.15383761889278541</v>
      </c>
      <c r="DG125" s="733">
        <f t="shared" si="814"/>
        <v>0.15186707142064423</v>
      </c>
      <c r="DH125" s="733">
        <f t="shared" si="814"/>
        <v>0.15123287628766907</v>
      </c>
      <c r="DI125" s="733">
        <f t="shared" si="814"/>
        <v>0.14604976555904145</v>
      </c>
      <c r="DJ125" s="733">
        <f t="shared" si="814"/>
        <v>0.16896869633815345</v>
      </c>
      <c r="DK125" s="1222">
        <f t="shared" si="814"/>
        <v>0.17483339568273745</v>
      </c>
      <c r="DL125" s="1222">
        <f t="shared" si="814"/>
        <v>0.11368694923034875</v>
      </c>
      <c r="DM125" s="1222">
        <f t="shared" si="814"/>
        <v>7.702093629681929E-2</v>
      </c>
      <c r="DN125" s="1222">
        <f t="shared" si="814"/>
        <v>0.1060496926525587</v>
      </c>
      <c r="DO125" s="1222">
        <f t="shared" si="814"/>
        <v>6.5144111720462319E-2</v>
      </c>
      <c r="DP125" s="1222">
        <f t="shared" ref="DP125:DQ125" si="815">DP124/DP26</f>
        <v>8.7234072619106498E-2</v>
      </c>
      <c r="DQ125" s="1222">
        <f t="shared" si="815"/>
        <v>0.11098483236516364</v>
      </c>
      <c r="DR125" s="1222">
        <f t="shared" ref="DR125" si="816">DR124/DR26</f>
        <v>0.10119659601366258</v>
      </c>
      <c r="DS125" s="734">
        <f t="shared" si="814"/>
        <v>0.12821997664853899</v>
      </c>
      <c r="DT125" s="734">
        <f t="shared" ref="DT125:DV125" si="817">DT124/DT26</f>
        <v>0.13457742081046659</v>
      </c>
      <c r="DU125" s="734">
        <f t="shared" si="817"/>
        <v>0.13964233661938727</v>
      </c>
      <c r="DV125" s="734">
        <f t="shared" si="817"/>
        <v>0.14396590272719392</v>
      </c>
      <c r="DY125" s="734">
        <v>0.1161785642171714</v>
      </c>
      <c r="DZ125" s="734">
        <v>0.13725138727279365</v>
      </c>
    </row>
    <row r="126" spans="1:130">
      <c r="A126" s="8" t="s">
        <v>169</v>
      </c>
      <c r="B126" s="8"/>
      <c r="C126" s="8"/>
      <c r="D126" s="8"/>
      <c r="E126" s="8"/>
      <c r="F126" s="8"/>
      <c r="G126" s="8">
        <v>-631.20833333333337</v>
      </c>
      <c r="H126" s="8">
        <v>0.95032042504244951</v>
      </c>
      <c r="I126" s="8">
        <v>-32.842024539877301</v>
      </c>
      <c r="J126" s="8">
        <v>3.2330898152127201</v>
      </c>
      <c r="K126" s="8">
        <v>0.60733884297520668</v>
      </c>
      <c r="L126" s="8">
        <v>0.1346926166203275</v>
      </c>
      <c r="M126" s="8">
        <v>0.53783536438514523</v>
      </c>
      <c r="N126" s="8">
        <v>0.28869893608381392</v>
      </c>
      <c r="O126" s="8">
        <v>1.9990950598494539E-2</v>
      </c>
      <c r="P126" s="8">
        <v>0.4150929386431701</v>
      </c>
      <c r="Q126" s="8">
        <v>0.4148213111159833</v>
      </c>
      <c r="R126" s="8">
        <v>0.163302925745616</v>
      </c>
      <c r="S126" s="8">
        <v>0.46207202484171472</v>
      </c>
      <c r="T126" s="8">
        <v>-8.2205198166995785E-4</v>
      </c>
      <c r="U126" s="8">
        <v>-9.5636580992229492E-2</v>
      </c>
      <c r="V126" s="8">
        <v>-0.11253318164580961</v>
      </c>
      <c r="W126" s="8">
        <v>-0.51173631223279548</v>
      </c>
      <c r="X126" s="8">
        <v>0.25494074605703076</v>
      </c>
      <c r="Y126" s="8">
        <v>0.12998457810090325</v>
      </c>
      <c r="Z126" s="8">
        <v>1.061211409037496</v>
      </c>
      <c r="AA126" s="8">
        <v>1.8285504462772568</v>
      </c>
      <c r="AB126" s="8">
        <v>0.80750721847930707</v>
      </c>
      <c r="AC126" s="8">
        <v>0.69303091354173429</v>
      </c>
      <c r="AD126" s="8">
        <v>0.13813349128197538</v>
      </c>
      <c r="AE126" s="8">
        <v>0.17950510275408926</v>
      </c>
      <c r="AF126" s="8">
        <v>0.16908212560386482</v>
      </c>
      <c r="AG126" s="8">
        <v>-1.9474869485105906E-2</v>
      </c>
      <c r="AH126" s="8">
        <v>0.22997358868606965</v>
      </c>
      <c r="AI126" s="8">
        <v>-0.16646065798608167</v>
      </c>
      <c r="AJ126" s="8">
        <v>1.9690808755577827E-2</v>
      </c>
      <c r="AK126" s="8">
        <v>0.43960589847318277</v>
      </c>
      <c r="AL126" s="8">
        <v>0.29700540529105002</v>
      </c>
      <c r="AM126" s="8">
        <v>-6.1976923701958286E-2</v>
      </c>
      <c r="AN126" s="8">
        <v>1.9071047094999294E-2</v>
      </c>
      <c r="AO126" s="8">
        <v>3.3721004015700995E-3</v>
      </c>
      <c r="AP126" s="8">
        <v>0.37074175264037845</v>
      </c>
      <c r="AQ126" s="8">
        <f t="shared" ref="AQ126:BC126" si="818">AQ124/AM124-1</f>
        <v>0.81338155358728415</v>
      </c>
      <c r="AR126" s="8">
        <f t="shared" si="818"/>
        <v>0.20557613024945853</v>
      </c>
      <c r="AS126" s="8">
        <f t="shared" si="818"/>
        <v>0.28197020480806589</v>
      </c>
      <c r="AT126" s="8">
        <f t="shared" si="818"/>
        <v>0.15129472819926981</v>
      </c>
      <c r="AU126" s="8">
        <f t="shared" si="818"/>
        <v>0.55933491754852138</v>
      </c>
      <c r="AV126" s="8">
        <f t="shared" si="818"/>
        <v>0.33770485575631182</v>
      </c>
      <c r="AW126" s="8">
        <f t="shared" si="818"/>
        <v>0.10398872445384066</v>
      </c>
      <c r="AX126" s="8">
        <f t="shared" si="818"/>
        <v>1.3297099857056072E-2</v>
      </c>
      <c r="AY126" s="8">
        <f t="shared" si="818"/>
        <v>-0.19169526570773743</v>
      </c>
      <c r="AZ126" s="8">
        <f t="shared" si="818"/>
        <v>7.3207125060905653E-2</v>
      </c>
      <c r="BA126" s="8">
        <f t="shared" si="818"/>
        <v>-0.15168266775610251</v>
      </c>
      <c r="BB126" s="8">
        <f t="shared" si="818"/>
        <v>0.18524707480348113</v>
      </c>
      <c r="BC126" s="8">
        <f t="shared" si="818"/>
        <v>-1.4278540500080483E-2</v>
      </c>
      <c r="BD126" s="8">
        <f>BD124/AZ124-1</f>
        <v>8.1659992879662635E-2</v>
      </c>
      <c r="BE126" s="8">
        <f>BE124/BA124-1</f>
        <v>0.54956581937484006</v>
      </c>
      <c r="BF126" s="8">
        <f>BF124/BB124-1</f>
        <v>3.8236211663206454E-2</v>
      </c>
      <c r="BG126" s="8">
        <f>BG124/BC124-1</f>
        <v>0.63457841516398172</v>
      </c>
      <c r="BH126" s="8">
        <f>BH124/BD124-1</f>
        <v>0.19431425295546756</v>
      </c>
      <c r="BI126" s="8">
        <f t="shared" ref="BI126:BV126" si="819">BI124/BE124-1</f>
        <v>0.25523693596791097</v>
      </c>
      <c r="BJ126" s="8">
        <f t="shared" si="819"/>
        <v>0.3330879459225351</v>
      </c>
      <c r="BK126" s="8">
        <f t="shared" si="819"/>
        <v>0.45762253388609575</v>
      </c>
      <c r="BL126" s="8">
        <f t="shared" si="819"/>
        <v>6.2192199780193969E-2</v>
      </c>
      <c r="BM126" s="8">
        <f t="shared" si="819"/>
        <v>0.12207729389034849</v>
      </c>
      <c r="BN126" s="8">
        <f t="shared" si="819"/>
        <v>0.18854336660944693</v>
      </c>
      <c r="BO126" s="8">
        <f t="shared" si="819"/>
        <v>-0.86955171133954079</v>
      </c>
      <c r="BP126" s="8">
        <f t="shared" si="819"/>
        <v>0.12408790362270783</v>
      </c>
      <c r="BQ126" s="8">
        <f t="shared" si="819"/>
        <v>-1.4365303195377253</v>
      </c>
      <c r="BR126" s="8">
        <f t="shared" si="819"/>
        <v>-0.30564416455770704</v>
      </c>
      <c r="BS126" s="8">
        <f t="shared" si="819"/>
        <v>-6.3614659038193908</v>
      </c>
      <c r="BT126" s="8">
        <f t="shared" si="819"/>
        <v>-0.37991605116881144</v>
      </c>
      <c r="BU126" s="8">
        <f t="shared" si="819"/>
        <v>-2.6431198966141105</v>
      </c>
      <c r="BV126" s="8">
        <f t="shared" si="819"/>
        <v>-2.2492303555655124E-2</v>
      </c>
      <c r="BW126" s="8">
        <f t="shared" ref="BW126:CE126" si="820">BW124/BS124-1</f>
        <v>-1.8297156832772852</v>
      </c>
      <c r="BX126" s="8">
        <f t="shared" si="820"/>
        <v>0.66787800179589696</v>
      </c>
      <c r="BY126" s="8">
        <f t="shared" si="820"/>
        <v>-3.3865256555295153E-2</v>
      </c>
      <c r="BZ126" s="8">
        <f t="shared" si="820"/>
        <v>0.20996652073042021</v>
      </c>
      <c r="CA126" s="8">
        <f t="shared" si="820"/>
        <v>-1.1853492025972943</v>
      </c>
      <c r="CB126" s="8">
        <f t="shared" si="820"/>
        <v>-0.48364044643945892</v>
      </c>
      <c r="CC126" s="8">
        <f t="shared" si="820"/>
        <v>-0.54313291375407347</v>
      </c>
      <c r="CD126" s="8">
        <f t="shared" si="820"/>
        <v>-4.5298475611698197E-2</v>
      </c>
      <c r="CE126" s="8">
        <f t="shared" si="820"/>
        <v>-3.8584824275158471</v>
      </c>
      <c r="CF126" s="8">
        <f t="shared" ref="CF126:CH126" si="821">CF124/CB124-1</f>
        <v>0.58052844985073304</v>
      </c>
      <c r="CG126" s="8">
        <f t="shared" si="821"/>
        <v>1.9724376007318027</v>
      </c>
      <c r="CH126" s="8">
        <f t="shared" si="821"/>
        <v>-7.3426970040701978E-2</v>
      </c>
      <c r="CI126" s="8">
        <f t="shared" ref="CI126:CJ126" si="822">CI124/CE124-1</f>
        <v>2.5822857892665003</v>
      </c>
      <c r="CJ126" s="8">
        <f t="shared" si="822"/>
        <v>0.57280149301698824</v>
      </c>
      <c r="CK126" s="8">
        <f t="shared" ref="CK126" si="823">CK124/CG124-1</f>
        <v>2.1065897791927579E-2</v>
      </c>
      <c r="CL126" s="192">
        <f t="shared" ref="CL126" si="824">CL124/CH124-1</f>
        <v>0.16258895605294521</v>
      </c>
      <c r="CM126" s="192">
        <f t="shared" ref="CM126" si="825">CM124/CI124-1</f>
        <v>-0.27509337393526512</v>
      </c>
      <c r="CN126" s="192">
        <f t="shared" ref="CN126" si="826">CN124/CJ124-1</f>
        <v>-0.12788513626046683</v>
      </c>
      <c r="CO126" s="192">
        <f t="shared" ref="CO126" si="827">CO124/CK124-1</f>
        <v>2.1327418118581187E-2</v>
      </c>
      <c r="CP126" s="192">
        <f t="shared" ref="CP126" si="828">CP124/CL124-1</f>
        <v>0.14469288756680965</v>
      </c>
      <c r="CQ126" s="192"/>
      <c r="CR126" s="192"/>
      <c r="CS126" s="192"/>
      <c r="CT126" s="192">
        <v>0.16258895605294521</v>
      </c>
      <c r="CU126" s="694"/>
      <c r="CV126" s="8"/>
      <c r="CW126" s="8">
        <v>3.1328381708652797</v>
      </c>
      <c r="CX126" s="8">
        <v>0.32603420431487851</v>
      </c>
      <c r="CY126" s="8">
        <v>0.25523383631457985</v>
      </c>
      <c r="CZ126" s="8">
        <v>-6.060364816049546E-3</v>
      </c>
      <c r="DA126" s="8">
        <v>0.35472066479775721</v>
      </c>
      <c r="DB126" s="8">
        <v>0.52068775658767485</v>
      </c>
      <c r="DC126" s="7"/>
      <c r="DD126" s="8"/>
      <c r="DE126" s="8"/>
      <c r="DF126" s="7"/>
      <c r="DG126" s="192">
        <f>+DG124/DF124-1</f>
        <v>0.16304281646864305</v>
      </c>
      <c r="DH126" s="192">
        <f t="shared" ref="DH126:DS126" si="829">+DH124/DG124-1</f>
        <v>4.5472949215343839E-2</v>
      </c>
      <c r="DI126" s="192">
        <f t="shared" si="829"/>
        <v>0.11432717940413517</v>
      </c>
      <c r="DJ126" s="192">
        <f t="shared" si="829"/>
        <v>0.30957558311466005</v>
      </c>
      <c r="DK126" s="192">
        <f t="shared" si="829"/>
        <v>0.17737990783425306</v>
      </c>
      <c r="DL126" s="192">
        <f t="shared" si="829"/>
        <v>-0.48885126812015656</v>
      </c>
      <c r="DM126" s="192">
        <f t="shared" si="829"/>
        <v>-4.9771142693424086E-2</v>
      </c>
      <c r="DN126" s="192">
        <f t="shared" si="829"/>
        <v>0.72850178328343507</v>
      </c>
      <c r="DO126" s="192">
        <f t="shared" si="829"/>
        <v>-0.36828406991615747</v>
      </c>
      <c r="DP126" s="192">
        <f t="shared" si="829"/>
        <v>0.4164611164162384</v>
      </c>
      <c r="DQ126" s="192">
        <f t="shared" si="829"/>
        <v>0.39388870760950834</v>
      </c>
      <c r="DR126" s="192">
        <f t="shared" si="829"/>
        <v>-2.6812634239436361E-2</v>
      </c>
      <c r="DS126" s="192">
        <f t="shared" si="829"/>
        <v>0.37292027079223744</v>
      </c>
      <c r="DT126" s="192">
        <f t="shared" ref="DT126" si="830">+DT124/DS124-1</f>
        <v>0.12121011970166928</v>
      </c>
      <c r="DU126" s="192">
        <f t="shared" ref="DU126" si="831">+DU124/DT124-1</f>
        <v>0.10844988189157911</v>
      </c>
      <c r="DV126" s="192">
        <f t="shared" ref="DV126" si="832">+DV124/DU124-1</f>
        <v>0.10126721701212005</v>
      </c>
      <c r="DY126" s="192">
        <v>3.860522942507516E-2</v>
      </c>
      <c r="DZ126" s="192">
        <v>0.27501011427950695</v>
      </c>
    </row>
    <row r="127" spans="1:130">
      <c r="A127" s="8" t="s">
        <v>170</v>
      </c>
      <c r="B127" s="8"/>
      <c r="C127" s="8"/>
      <c r="D127" s="8">
        <v>-761.70833333333337</v>
      </c>
      <c r="E127" s="8">
        <v>-1.0357123295174453</v>
      </c>
      <c r="F127" s="8">
        <v>-18.845092024539877</v>
      </c>
      <c r="G127" s="8">
        <v>0.29995702621400944</v>
      </c>
      <c r="H127" s="8">
        <v>1.3541818181818184</v>
      </c>
      <c r="I127" s="8">
        <v>-0.41694048922964588</v>
      </c>
      <c r="J127" s="8">
        <v>1.3723327392707478</v>
      </c>
      <c r="K127" s="8">
        <v>-0.50639567936327456</v>
      </c>
      <c r="L127" s="8">
        <v>0.66192258648348479</v>
      </c>
      <c r="M127" s="8">
        <v>-0.20978640199985155</v>
      </c>
      <c r="N127" s="8">
        <v>0.98800388386005578</v>
      </c>
      <c r="O127" s="8">
        <v>-0.60931764112744402</v>
      </c>
      <c r="P127" s="8">
        <v>1.3056821389684234</v>
      </c>
      <c r="Q127" s="8">
        <v>-0.20993808374435929</v>
      </c>
      <c r="R127" s="8">
        <v>0.63458856345885639</v>
      </c>
      <c r="S127" s="8">
        <v>-0.50897935966195351</v>
      </c>
      <c r="T127" s="8">
        <v>0.5756999034615915</v>
      </c>
      <c r="U127" s="8">
        <v>-0.28490906226477852</v>
      </c>
      <c r="V127" s="8">
        <v>0.60404886049301121</v>
      </c>
      <c r="W127" s="8">
        <v>-0.72985181680833855</v>
      </c>
      <c r="X127" s="8">
        <v>3.0498813693367985</v>
      </c>
      <c r="Y127" s="8">
        <v>-0.35611164581328203</v>
      </c>
      <c r="Z127" s="8">
        <v>1.9259548103377311</v>
      </c>
      <c r="AA127" s="8">
        <v>-0.62928219746048197</v>
      </c>
      <c r="AB127" s="8">
        <v>1.5879650895728066</v>
      </c>
      <c r="AC127" s="8">
        <v>-0.39689154357858347</v>
      </c>
      <c r="AD127" s="8">
        <v>0.96696181799570069</v>
      </c>
      <c r="AE127" s="8">
        <v>-0.61580645580983862</v>
      </c>
      <c r="AF127" s="8">
        <v>1.5650959210281243</v>
      </c>
      <c r="AG127" s="8">
        <v>-0.49416470836743853</v>
      </c>
      <c r="AH127" s="8">
        <v>1.4673626517029885</v>
      </c>
      <c r="AI127" s="8">
        <v>-0.73963633286438113</v>
      </c>
      <c r="AJ127" s="8">
        <v>2.1379499471845289</v>
      </c>
      <c r="AK127" s="8">
        <v>-0.28585855316394237</v>
      </c>
      <c r="AL127" s="8">
        <v>1.2229574770887535</v>
      </c>
      <c r="AM127" s="8">
        <v>-0.81169922113933857</v>
      </c>
      <c r="AN127" s="8">
        <v>2.409078112480239</v>
      </c>
      <c r="AO127" s="8">
        <v>-0.29686001232364168</v>
      </c>
      <c r="AP127" s="8">
        <v>2.0368600312587519</v>
      </c>
      <c r="AQ127" s="8">
        <f t="shared" ref="AQ127:BC127" si="833">AQ124/AP124-1</f>
        <v>-0.75089315091314213</v>
      </c>
      <c r="AR127" s="8">
        <f t="shared" si="833"/>
        <v>1.2664304654647691</v>
      </c>
      <c r="AS127" s="8">
        <f t="shared" si="833"/>
        <v>-0.25230394713962789</v>
      </c>
      <c r="AT127" s="8">
        <f t="shared" si="833"/>
        <v>1.7273028118393232</v>
      </c>
      <c r="AU127" s="8">
        <f t="shared" si="833"/>
        <v>-0.66260506674152442</v>
      </c>
      <c r="AV127" s="8">
        <f t="shared" si="833"/>
        <v>0.94430010177202339</v>
      </c>
      <c r="AW127" s="8">
        <f t="shared" si="833"/>
        <v>-0.3829371194068053</v>
      </c>
      <c r="AX127" s="8">
        <f t="shared" si="833"/>
        <v>1.5032574775942189</v>
      </c>
      <c r="AY127" s="8">
        <f t="shared" si="833"/>
        <v>-0.7308608482965957</v>
      </c>
      <c r="AZ127" s="8">
        <f t="shared" si="833"/>
        <v>1.5814975886605458</v>
      </c>
      <c r="BA127" s="8">
        <f t="shared" si="833"/>
        <v>-0.51224220891950711</v>
      </c>
      <c r="BB127" s="8">
        <f t="shared" si="833"/>
        <v>2.4974867187382426</v>
      </c>
      <c r="BC127" s="8">
        <f t="shared" si="833"/>
        <v>-0.77616798803773701</v>
      </c>
      <c r="BD127" s="8">
        <f>BD124/BC124-1</f>
        <v>1.8327502018532047</v>
      </c>
      <c r="BE127" s="8">
        <f>BE124/BD124-1</f>
        <v>-0.30124733634648537</v>
      </c>
      <c r="BF127" s="8">
        <f>BF124/BE124-1</f>
        <v>1.3433772969193116</v>
      </c>
      <c r="BG127" s="8">
        <f>BG124/BF124-1</f>
        <v>-0.64760333798208336</v>
      </c>
      <c r="BH127" s="8">
        <f>BH124/BG124-1</f>
        <v>1.0697654574108375</v>
      </c>
      <c r="BI127" s="8">
        <f t="shared" ref="BI127:BV127" si="834">BI124/BH124-1</f>
        <v>-0.26560354583948975</v>
      </c>
      <c r="BJ127" s="8">
        <f t="shared" si="834"/>
        <v>1.4887158254810373</v>
      </c>
      <c r="BK127" s="8">
        <f t="shared" si="834"/>
        <v>-0.61468309949491795</v>
      </c>
      <c r="BL127" s="8">
        <f t="shared" si="834"/>
        <v>0.50827026416434018</v>
      </c>
      <c r="BM127" s="8">
        <f t="shared" si="834"/>
        <v>-0.22419917403119849</v>
      </c>
      <c r="BN127" s="8">
        <f t="shared" si="834"/>
        <v>1.6361345175214796</v>
      </c>
      <c r="BO127" s="8">
        <f t="shared" si="834"/>
        <v>-0.95770963712815282</v>
      </c>
      <c r="BP127" s="8">
        <f t="shared" si="834"/>
        <v>11.996938302149374</v>
      </c>
      <c r="BQ127" s="8">
        <f t="shared" si="834"/>
        <v>-1.3012758889819538</v>
      </c>
      <c r="BR127" s="8">
        <f t="shared" si="834"/>
        <v>-5.1931002345730688</v>
      </c>
      <c r="BS127" s="8">
        <f t="shared" si="834"/>
        <v>-1.326544873714685</v>
      </c>
      <c r="BT127" s="8">
        <f t="shared" si="834"/>
        <v>-2.5031696498099363</v>
      </c>
      <c r="BU127" s="8">
        <f t="shared" si="834"/>
        <v>-0.20166872809810532</v>
      </c>
      <c r="BV127" s="8">
        <f t="shared" si="834"/>
        <v>1.494515317904626</v>
      </c>
      <c r="BW127" s="8">
        <f t="shared" ref="BW127:CC127" si="835">BW124/BV124-1</f>
        <v>-0.72282632249300061</v>
      </c>
      <c r="BX127" s="8">
        <f t="shared" si="835"/>
        <v>2.0216418014210036</v>
      </c>
      <c r="BY127" s="8">
        <f t="shared" si="835"/>
        <v>-0.53755875565699351</v>
      </c>
      <c r="BZ127" s="8">
        <f t="shared" si="835"/>
        <v>2.1240777133759545</v>
      </c>
      <c r="CA127" s="8">
        <f t="shared" si="835"/>
        <v>-1.0424589600015288</v>
      </c>
      <c r="CB127" s="8">
        <f t="shared" si="835"/>
        <v>-9.4179138066839201</v>
      </c>
      <c r="CC127" s="8">
        <f t="shared" si="835"/>
        <v>-0.59083901439201525</v>
      </c>
      <c r="CD127" s="8"/>
      <c r="CE127" s="8"/>
      <c r="CF127" s="8"/>
      <c r="CG127" s="8"/>
      <c r="CH127" s="8"/>
      <c r="CI127" s="8"/>
      <c r="CJ127" s="8"/>
      <c r="CK127" s="8"/>
      <c r="CR127" s="192"/>
      <c r="CS127" s="192"/>
      <c r="CT127" s="192"/>
      <c r="CU127" s="694"/>
      <c r="CV127" s="8"/>
      <c r="CW127" s="8"/>
      <c r="CX127" s="8"/>
      <c r="CY127" s="8"/>
      <c r="CZ127" s="8"/>
      <c r="DA127" s="8"/>
      <c r="DB127" s="7"/>
      <c r="DC127" s="7"/>
      <c r="DD127" s="7"/>
      <c r="DE127" s="7"/>
      <c r="DF127" s="7"/>
      <c r="DG127" s="7"/>
      <c r="DH127" s="7"/>
      <c r="DI127" s="7"/>
      <c r="DJ127" s="7"/>
      <c r="DK127" s="114"/>
      <c r="DL127" s="114"/>
      <c r="DM127" s="114"/>
      <c r="DN127" s="114"/>
      <c r="DO127" s="114"/>
      <c r="DP127" s="114"/>
      <c r="DQ127" s="114"/>
      <c r="DR127" s="114"/>
      <c r="DS127" s="168"/>
      <c r="DT127" s="168"/>
      <c r="DU127" s="168"/>
      <c r="DV127" s="168"/>
      <c r="DY127" s="168"/>
      <c r="DZ127" s="168"/>
    </row>
    <row r="128" spans="1:130">
      <c r="A128" s="1356"/>
      <c r="B128" s="1356"/>
      <c r="C128" s="144"/>
      <c r="D128" s="127"/>
      <c r="E128" s="127"/>
      <c r="F128" s="127"/>
      <c r="G128" s="127"/>
      <c r="H128" s="127"/>
      <c r="I128" s="127"/>
      <c r="J128" s="127"/>
      <c r="K128" s="127"/>
      <c r="L128" s="127"/>
      <c r="M128" s="127"/>
      <c r="N128" s="127"/>
      <c r="O128" s="127"/>
      <c r="P128" s="127"/>
      <c r="Q128" s="127"/>
      <c r="R128" s="116"/>
      <c r="S128" s="116"/>
      <c r="T128" s="116"/>
      <c r="U128" s="116"/>
      <c r="V128" s="116"/>
      <c r="W128" s="116"/>
      <c r="X128" s="116"/>
      <c r="Y128" s="116"/>
      <c r="Z128" s="116"/>
      <c r="AA128" s="116"/>
      <c r="AB128" s="116"/>
      <c r="AC128" s="116"/>
      <c r="AD128" s="116"/>
      <c r="AE128" s="116"/>
      <c r="AF128" s="116"/>
      <c r="AG128" s="116"/>
      <c r="AH128" s="116"/>
      <c r="AI128" s="116"/>
      <c r="AJ128" s="116"/>
      <c r="AK128" s="116"/>
      <c r="AL128" s="116"/>
      <c r="AM128" s="116"/>
      <c r="AN128" s="116"/>
      <c r="AO128" s="116"/>
      <c r="AP128" s="116"/>
      <c r="AQ128" s="116"/>
      <c r="AR128" s="116"/>
      <c r="AS128" s="116"/>
      <c r="AT128" s="116"/>
      <c r="AU128" s="116"/>
      <c r="AV128" s="116"/>
      <c r="AW128" s="116"/>
      <c r="AX128" s="116"/>
      <c r="AY128" s="116"/>
      <c r="AZ128" s="116"/>
      <c r="BA128" s="116"/>
      <c r="BB128" s="116"/>
      <c r="BC128" s="116"/>
      <c r="BD128" s="116"/>
      <c r="BE128" s="116"/>
      <c r="BF128" s="116"/>
      <c r="BG128" s="116"/>
      <c r="BH128" s="116"/>
      <c r="BI128" s="116"/>
      <c r="BJ128" s="116"/>
      <c r="BK128" s="116"/>
      <c r="BL128" s="116"/>
      <c r="BM128" s="116"/>
      <c r="BN128" s="116"/>
      <c r="BO128" s="116"/>
      <c r="BP128" s="116"/>
      <c r="BQ128" s="116"/>
      <c r="BR128" s="116"/>
      <c r="BS128" s="116"/>
      <c r="BT128" s="116"/>
      <c r="BU128" s="116"/>
      <c r="BV128" s="116"/>
      <c r="BW128" s="116"/>
      <c r="BX128" s="116"/>
      <c r="BY128" s="116"/>
      <c r="BZ128" s="116"/>
      <c r="CA128" s="116"/>
      <c r="CB128" s="116"/>
      <c r="CC128" s="116"/>
      <c r="CD128" s="116"/>
      <c r="CE128" s="116"/>
      <c r="CF128" s="116"/>
      <c r="CG128" s="116"/>
      <c r="CH128" s="116"/>
      <c r="CI128" s="116"/>
      <c r="CJ128" s="116"/>
      <c r="CK128" s="116"/>
      <c r="CL128" s="1219"/>
      <c r="CM128" s="1219"/>
      <c r="CN128" s="1219"/>
      <c r="CO128" s="1219"/>
      <c r="CP128" s="1219"/>
      <c r="CQ128" s="1219"/>
      <c r="CR128" s="1219"/>
      <c r="CS128" s="1219"/>
      <c r="CT128" s="1219"/>
      <c r="CU128" s="127"/>
      <c r="CV128" s="127"/>
      <c r="CW128" s="127"/>
      <c r="CX128" s="127"/>
      <c r="CY128" s="127"/>
      <c r="CZ128" s="116"/>
      <c r="DA128" s="116"/>
      <c r="DB128" s="116"/>
      <c r="DC128" s="116"/>
      <c r="DD128" s="116"/>
      <c r="DE128" s="116"/>
      <c r="DF128" s="116"/>
      <c r="DG128" s="116"/>
      <c r="DH128" s="116"/>
      <c r="DI128" s="116"/>
      <c r="DJ128" s="116"/>
      <c r="DK128" s="116"/>
      <c r="DL128" s="116"/>
      <c r="DM128" s="116"/>
      <c r="DN128" s="116"/>
      <c r="DO128" s="116"/>
      <c r="DP128" s="116"/>
      <c r="DQ128" s="116"/>
      <c r="DR128" s="116"/>
      <c r="DS128" s="1219"/>
      <c r="DT128" s="1219"/>
      <c r="DU128" s="1219"/>
      <c r="DV128" s="1219"/>
      <c r="DY128" s="1219"/>
      <c r="DZ128" s="1219"/>
    </row>
    <row r="129" spans="1:130" s="302" customFormat="1">
      <c r="A129" s="360"/>
      <c r="B129" s="361"/>
      <c r="C129" s="361"/>
      <c r="D129" s="361"/>
      <c r="E129" s="361"/>
      <c r="F129" s="361"/>
      <c r="G129" s="361"/>
      <c r="H129" s="361"/>
      <c r="I129" s="361"/>
      <c r="J129" s="361"/>
      <c r="K129" s="361"/>
      <c r="L129" s="361"/>
      <c r="M129" s="361"/>
      <c r="N129" s="361"/>
      <c r="O129" s="361"/>
      <c r="P129" s="361"/>
      <c r="Q129" s="361"/>
      <c r="R129" s="361"/>
      <c r="S129" s="361"/>
      <c r="T129" s="361"/>
      <c r="U129" s="361"/>
      <c r="V129" s="361"/>
      <c r="W129" s="361"/>
      <c r="X129" s="361"/>
      <c r="Y129" s="361"/>
      <c r="Z129" s="361"/>
      <c r="AA129" s="361"/>
      <c r="AB129" s="361"/>
      <c r="AC129" s="361"/>
      <c r="AD129" s="361"/>
      <c r="AE129" s="361"/>
      <c r="AF129" s="361"/>
      <c r="AG129" s="361"/>
      <c r="AH129" s="361"/>
      <c r="AI129" s="361"/>
      <c r="AJ129" s="361"/>
      <c r="AK129" s="361"/>
      <c r="AL129" s="361"/>
      <c r="AM129" s="361"/>
      <c r="AN129" s="361"/>
      <c r="AO129" s="361"/>
      <c r="AP129" s="361"/>
      <c r="AQ129" s="361"/>
      <c r="AR129" s="361"/>
      <c r="AS129" s="362"/>
      <c r="AT129" s="361"/>
      <c r="AU129" s="361"/>
      <c r="AV129" s="361"/>
      <c r="AW129" s="361"/>
      <c r="AX129" s="361"/>
      <c r="AY129" s="361"/>
      <c r="AZ129" s="361"/>
      <c r="BA129" s="361"/>
      <c r="BB129" s="361"/>
      <c r="BC129" s="361"/>
      <c r="BD129" s="361"/>
      <c r="BE129" s="361"/>
      <c r="BF129" s="361"/>
      <c r="BG129" s="361"/>
      <c r="BH129" s="361"/>
      <c r="BI129" s="361"/>
      <c r="BJ129" s="361"/>
      <c r="BK129" s="361"/>
      <c r="BL129" s="361"/>
      <c r="BM129" s="1224"/>
      <c r="BN129" s="1224"/>
      <c r="BO129" s="1224"/>
      <c r="BP129" s="1224"/>
      <c r="BQ129" s="1224"/>
      <c r="BR129" s="1224"/>
      <c r="BS129" s="1224"/>
      <c r="BT129" s="1224"/>
      <c r="BU129" s="1224"/>
      <c r="BV129" s="1224"/>
      <c r="BW129" s="1224"/>
      <c r="BX129" s="1224"/>
      <c r="BY129" s="1224"/>
      <c r="BZ129" s="1224"/>
      <c r="CA129" s="1224"/>
      <c r="CB129" s="1224"/>
      <c r="CC129" s="1224"/>
      <c r="CD129" s="1224"/>
      <c r="CE129" s="1224"/>
      <c r="CF129" s="1224"/>
      <c r="CG129" s="1224"/>
      <c r="CH129" s="1224"/>
      <c r="CI129" s="1224"/>
      <c r="CJ129" s="1224"/>
      <c r="CK129" s="1224"/>
      <c r="CL129" s="375"/>
      <c r="CM129" s="375"/>
      <c r="CN129" s="375"/>
      <c r="CO129" s="375"/>
      <c r="CP129" s="375"/>
      <c r="CQ129" s="375"/>
      <c r="CR129" s="375"/>
      <c r="CS129" s="375"/>
      <c r="CT129" s="375"/>
      <c r="CU129" s="127"/>
      <c r="CV129" s="363"/>
      <c r="CW129" s="363"/>
      <c r="CX129" s="363"/>
      <c r="CY129" s="363"/>
      <c r="CZ129" s="363"/>
      <c r="DA129" s="363"/>
      <c r="DB129" s="363"/>
      <c r="DC129" s="363"/>
      <c r="DD129" s="363"/>
      <c r="DE129" s="364"/>
      <c r="DF129" s="364"/>
      <c r="DG129" s="1241"/>
      <c r="DH129" s="1241"/>
      <c r="DI129" s="1241"/>
      <c r="DJ129" s="1241"/>
      <c r="DK129" s="1241"/>
      <c r="DL129" s="1241"/>
      <c r="DM129" s="1241"/>
      <c r="DN129" s="1241"/>
      <c r="DO129" s="1241"/>
      <c r="DP129" s="1241"/>
      <c r="DQ129" s="1241"/>
      <c r="DR129" s="1241"/>
      <c r="DS129" s="402"/>
      <c r="DT129" s="402"/>
      <c r="DU129" s="402"/>
      <c r="DV129" s="402"/>
      <c r="DY129" s="402"/>
      <c r="DZ129" s="402"/>
    </row>
    <row r="130" spans="1:130" s="1314" customFormat="1">
      <c r="A130" s="1309" t="s">
        <v>156</v>
      </c>
      <c r="B130" s="1310"/>
      <c r="C130" s="1311">
        <v>6509</v>
      </c>
      <c r="D130" s="1311">
        <v>6762</v>
      </c>
      <c r="E130" s="1311">
        <v>6894</v>
      </c>
      <c r="F130" s="1311">
        <v>7178</v>
      </c>
      <c r="G130" s="1311">
        <v>7112</v>
      </c>
      <c r="H130" s="1311">
        <v>7870</v>
      </c>
      <c r="I130" s="1311">
        <v>7917</v>
      </c>
      <c r="J130" s="1311">
        <v>8159</v>
      </c>
      <c r="K130" s="1311">
        <v>8540</v>
      </c>
      <c r="L130" s="1311">
        <v>9355</v>
      </c>
      <c r="M130" s="1311">
        <v>10043</v>
      </c>
      <c r="N130" s="1311">
        <v>10721</v>
      </c>
      <c r="O130" s="1311">
        <v>11703</v>
      </c>
      <c r="P130" s="1311">
        <v>12100</v>
      </c>
      <c r="Q130" s="1311">
        <v>12625</v>
      </c>
      <c r="R130" s="1311">
        <v>13279</v>
      </c>
      <c r="S130" s="1311">
        <v>14580</v>
      </c>
      <c r="T130" s="1311">
        <v>15315</v>
      </c>
      <c r="U130" s="1311">
        <v>15975</v>
      </c>
      <c r="V130" s="1311">
        <v>16157</v>
      </c>
      <c r="W130" s="1311">
        <v>18139</v>
      </c>
      <c r="X130" s="1311">
        <v>18343</v>
      </c>
      <c r="Y130" s="1311">
        <v>18799</v>
      </c>
      <c r="Z130" s="1311">
        <v>18793</v>
      </c>
      <c r="AA130" s="1311">
        <v>18795</v>
      </c>
      <c r="AB130" s="1311">
        <v>17923</v>
      </c>
      <c r="AC130" s="1311">
        <v>18294</v>
      </c>
      <c r="AD130" s="1311">
        <v>20775</v>
      </c>
      <c r="AE130" s="1311">
        <v>21515</v>
      </c>
      <c r="AF130" s="1311">
        <v>22579</v>
      </c>
      <c r="AG130" s="1311">
        <v>24173</v>
      </c>
      <c r="AH130" s="1311">
        <v>29371</v>
      </c>
      <c r="AI130" s="1311">
        <v>30147</v>
      </c>
      <c r="AJ130" s="1311">
        <v>31930</v>
      </c>
      <c r="AK130" s="1311">
        <v>33749</v>
      </c>
      <c r="AL130" s="1311">
        <v>37124</v>
      </c>
      <c r="AM130" s="1311">
        <v>39291</v>
      </c>
      <c r="AN130" s="1311">
        <v>40586</v>
      </c>
      <c r="AO130" s="1311">
        <v>42276</v>
      </c>
      <c r="AP130" s="1311">
        <v>45284</v>
      </c>
      <c r="AQ130" s="1311">
        <f t="shared" ref="AQ130:BW130" si="836">-AQ89</f>
        <v>48304</v>
      </c>
      <c r="AR130" s="1311">
        <f t="shared" si="836"/>
        <v>51633</v>
      </c>
      <c r="AS130" s="1311">
        <f t="shared" si="836"/>
        <v>55024</v>
      </c>
      <c r="AT130" s="1311">
        <f t="shared" si="836"/>
        <v>57771</v>
      </c>
      <c r="AU130" s="1311">
        <f t="shared" si="836"/>
        <v>61385.209040000002</v>
      </c>
      <c r="AV130" s="1311">
        <f t="shared" si="836"/>
        <v>63684.935679999799</v>
      </c>
      <c r="AW130" s="1311">
        <f t="shared" si="836"/>
        <v>68235</v>
      </c>
      <c r="AX130" s="1311">
        <f t="shared" si="836"/>
        <v>71475</v>
      </c>
      <c r="AY130" s="1311">
        <f t="shared" si="836"/>
        <v>73366</v>
      </c>
      <c r="AZ130" s="1311">
        <f t="shared" si="836"/>
        <v>76912</v>
      </c>
      <c r="BA130" s="1311">
        <f t="shared" si="836"/>
        <v>78601</v>
      </c>
      <c r="BB130" s="1311">
        <f t="shared" si="836"/>
        <v>82382</v>
      </c>
      <c r="BC130" s="1311">
        <f t="shared" si="836"/>
        <v>79114</v>
      </c>
      <c r="BD130" s="1311">
        <f t="shared" si="836"/>
        <v>79710</v>
      </c>
      <c r="BE130" s="1311">
        <f t="shared" si="836"/>
        <v>82769</v>
      </c>
      <c r="BF130" s="1311">
        <f t="shared" si="836"/>
        <v>87459</v>
      </c>
      <c r="BG130" s="1311">
        <f t="shared" si="836"/>
        <v>73848</v>
      </c>
      <c r="BH130" s="1311">
        <f t="shared" si="836"/>
        <v>76281</v>
      </c>
      <c r="BI130" s="1311">
        <f t="shared" si="836"/>
        <v>81285</v>
      </c>
      <c r="BJ130" s="1311">
        <f t="shared" si="836"/>
        <v>83160</v>
      </c>
      <c r="BK130" s="1311">
        <f t="shared" si="836"/>
        <v>162480</v>
      </c>
      <c r="BL130" s="1311">
        <f t="shared" si="836"/>
        <v>164860</v>
      </c>
      <c r="BM130" s="1311">
        <f t="shared" si="836"/>
        <v>167149</v>
      </c>
      <c r="BN130" s="1311">
        <f t="shared" si="836"/>
        <v>167262</v>
      </c>
      <c r="BO130" s="1311">
        <f t="shared" si="836"/>
        <v>181578</v>
      </c>
      <c r="BP130" s="1311">
        <f t="shared" si="836"/>
        <v>183013</v>
      </c>
      <c r="BQ130" s="1311">
        <f t="shared" si="836"/>
        <v>198282</v>
      </c>
      <c r="BR130" s="1311">
        <f t="shared" si="836"/>
        <v>196768</v>
      </c>
      <c r="BS130" s="1311">
        <f t="shared" si="836"/>
        <v>201478</v>
      </c>
      <c r="BT130" s="1311">
        <f t="shared" si="836"/>
        <v>212132</v>
      </c>
      <c r="BU130" s="1311">
        <f t="shared" si="836"/>
        <v>226399</v>
      </c>
      <c r="BV130" s="1311">
        <f t="shared" si="836"/>
        <v>237007</v>
      </c>
      <c r="BW130" s="1311">
        <f t="shared" si="836"/>
        <v>235030</v>
      </c>
      <c r="BX130" s="1311">
        <f t="shared" ref="BX130:CC130" si="837">-BX89</f>
        <v>251053</v>
      </c>
      <c r="BY130" s="1311">
        <f t="shared" si="837"/>
        <v>251178</v>
      </c>
      <c r="BZ130" s="1311">
        <f t="shared" si="837"/>
        <v>256589</v>
      </c>
      <c r="CA130" s="1311">
        <f t="shared" si="837"/>
        <v>256590</v>
      </c>
      <c r="CB130" s="1311">
        <f t="shared" si="837"/>
        <v>247648</v>
      </c>
      <c r="CC130" s="1311">
        <f t="shared" si="837"/>
        <v>264253</v>
      </c>
      <c r="CD130" s="1311">
        <f t="shared" ref="CD130:CE130" si="838">-CD89</f>
        <v>281753</v>
      </c>
      <c r="CE130" s="1311">
        <f t="shared" si="838"/>
        <v>295856</v>
      </c>
      <c r="CF130" s="1311">
        <f t="shared" ref="CF130:CI130" si="839">-CF89</f>
        <v>299295</v>
      </c>
      <c r="CG130" s="1311">
        <f t="shared" si="839"/>
        <v>296223</v>
      </c>
      <c r="CH130" s="1311">
        <f t="shared" si="839"/>
        <v>306470</v>
      </c>
      <c r="CI130" s="1311">
        <f t="shared" si="839"/>
        <v>304951</v>
      </c>
      <c r="CJ130" s="1311">
        <f t="shared" ref="CJ130:CK130" si="840">-CJ89</f>
        <v>323073</v>
      </c>
      <c r="CK130" s="1311">
        <f t="shared" si="840"/>
        <v>307242</v>
      </c>
      <c r="CL130" s="1312">
        <f t="shared" ref="CL130:CP130" si="841">+CL132+CL136</f>
        <v>307689.11308162496</v>
      </c>
      <c r="CM130" s="1312">
        <f t="shared" si="841"/>
        <v>340391.79030566674</v>
      </c>
      <c r="CN130" s="1312">
        <f t="shared" si="841"/>
        <v>329862.65835028631</v>
      </c>
      <c r="CO130" s="1312">
        <f t="shared" si="841"/>
        <v>321580.08214348613</v>
      </c>
      <c r="CP130" s="1312">
        <f t="shared" si="841"/>
        <v>321171.78237139306</v>
      </c>
      <c r="CQ130" s="1312"/>
      <c r="CR130" s="1312"/>
      <c r="CS130" s="1312"/>
      <c r="CT130" s="1312">
        <v>307689.11308162496</v>
      </c>
      <c r="CU130" s="1313">
        <f>+CK130/CT130-1</f>
        <v>-1.4531326024082025E-3</v>
      </c>
      <c r="CV130" s="1311">
        <v>27343</v>
      </c>
      <c r="CW130" s="1311">
        <v>31058</v>
      </c>
      <c r="CX130" s="1311">
        <v>38659</v>
      </c>
      <c r="CY130" s="1311">
        <v>49707</v>
      </c>
      <c r="CZ130" s="1311">
        <v>62027</v>
      </c>
      <c r="DA130" s="1311">
        <v>74074</v>
      </c>
      <c r="DB130" s="1311">
        <v>75787</v>
      </c>
      <c r="DC130" s="1311">
        <v>97638</v>
      </c>
      <c r="DD130" s="1311">
        <v>132950</v>
      </c>
      <c r="DE130" s="1311">
        <v>167437</v>
      </c>
      <c r="DF130" s="1311">
        <f>+SUM(AQ130:AT130)</f>
        <v>212732</v>
      </c>
      <c r="DG130" s="1311">
        <f>+SUM(AU130:AX130)</f>
        <v>264780.14471999981</v>
      </c>
      <c r="DH130" s="1311">
        <f>+SUM(AY130:BB130)</f>
        <v>311261</v>
      </c>
      <c r="DI130" s="1311">
        <f>+SUM(BC130:BF130)</f>
        <v>329052</v>
      </c>
      <c r="DJ130" s="1311">
        <f>+SUM(BG130:BJ130)</f>
        <v>314574</v>
      </c>
      <c r="DK130" s="1311">
        <f>+SUM(BK130:BN130)</f>
        <v>661751</v>
      </c>
      <c r="DL130" s="1311">
        <f>+SUM(BO130:BR130)</f>
        <v>759641</v>
      </c>
      <c r="DM130" s="1311">
        <f>+SUM(BS130:BV130)</f>
        <v>877016</v>
      </c>
      <c r="DN130" s="1311">
        <f>+SUM(BW130:BZ130)</f>
        <v>993850</v>
      </c>
      <c r="DO130" s="1311">
        <f>+SUM(CA130:CD130)</f>
        <v>1050244</v>
      </c>
      <c r="DP130" s="1311">
        <f>+SUM(CE130:CH130)</f>
        <v>1197844</v>
      </c>
      <c r="DQ130" s="1311">
        <f>+SUM(CI130:CL130)</f>
        <v>1242955.113081625</v>
      </c>
      <c r="DR130" s="1311">
        <f>+SUM(CM130:CP130)</f>
        <v>1313006.3131708321</v>
      </c>
      <c r="DS130" s="1312">
        <f>+DS132+DS136</f>
        <v>1363267.3431589883</v>
      </c>
      <c r="DT130" s="1312">
        <f t="shared" ref="DT130:DV130" si="842">+DT132+DT136</f>
        <v>1432873.7523466065</v>
      </c>
      <c r="DU130" s="1312">
        <f t="shared" si="842"/>
        <v>1517234.6640351291</v>
      </c>
      <c r="DV130" s="1312">
        <f t="shared" si="842"/>
        <v>1614729.752238086</v>
      </c>
      <c r="DY130" s="1312">
        <v>1301368.9558081548</v>
      </c>
      <c r="DZ130" s="1312">
        <v>1372549.8951953696</v>
      </c>
    </row>
    <row r="131" spans="1:130" s="1194" customFormat="1">
      <c r="A131" s="1315"/>
      <c r="B131" s="1315"/>
      <c r="C131" s="1315"/>
      <c r="D131" s="1315"/>
      <c r="E131" s="1315"/>
      <c r="F131" s="1315"/>
      <c r="G131" s="1315"/>
      <c r="H131" s="1315"/>
      <c r="I131" s="1315"/>
      <c r="J131" s="1315"/>
      <c r="K131" s="1315"/>
      <c r="L131" s="1315"/>
      <c r="M131" s="1315"/>
      <c r="N131" s="1315"/>
      <c r="O131" s="1315"/>
      <c r="P131" s="1315"/>
      <c r="Q131" s="1315"/>
      <c r="R131" s="1315"/>
      <c r="S131" s="1315"/>
      <c r="T131" s="1315"/>
      <c r="U131" s="1315"/>
      <c r="V131" s="1315"/>
      <c r="W131" s="1315"/>
      <c r="X131" s="1315"/>
      <c r="Y131" s="1315"/>
      <c r="Z131" s="1315"/>
      <c r="AA131" s="1315"/>
      <c r="AB131" s="1315"/>
      <c r="AC131" s="1315"/>
      <c r="AD131" s="1315"/>
      <c r="AE131" s="1315"/>
      <c r="AF131" s="1315"/>
      <c r="AG131" s="1315"/>
      <c r="AH131" s="1315"/>
      <c r="AI131" s="1315"/>
      <c r="AJ131" s="1315"/>
      <c r="AK131" s="1315"/>
      <c r="AL131" s="1315"/>
      <c r="AM131" s="1315"/>
      <c r="AN131" s="1315"/>
      <c r="AO131" s="1315"/>
      <c r="AP131" s="1316"/>
      <c r="AQ131" s="1316"/>
      <c r="AR131" s="1316"/>
      <c r="AS131" s="1316"/>
      <c r="AT131" s="1316"/>
      <c r="AU131" s="1316"/>
      <c r="AV131" s="1316"/>
      <c r="AW131" s="1316"/>
      <c r="AX131" s="1316"/>
      <c r="AY131" s="1316"/>
      <c r="AZ131" s="1316"/>
      <c r="BA131" s="1317"/>
      <c r="BB131" s="1316"/>
      <c r="BC131" s="1317"/>
      <c r="BD131" s="1316"/>
      <c r="BE131" s="1316"/>
      <c r="BF131" s="1316"/>
      <c r="BG131" s="1316"/>
      <c r="BH131" s="1316"/>
      <c r="BI131" s="1316"/>
      <c r="BJ131" s="1316"/>
      <c r="BK131" s="1316"/>
      <c r="BL131" s="1316"/>
      <c r="BM131" s="1316"/>
      <c r="BN131" s="1316"/>
      <c r="BO131" s="1316"/>
      <c r="BP131" s="1316"/>
      <c r="BQ131" s="1316"/>
      <c r="BR131" s="1316"/>
      <c r="BS131" s="1316"/>
      <c r="BT131" s="1316"/>
      <c r="BU131" s="1316"/>
      <c r="BV131" s="1316"/>
      <c r="BW131" s="1316"/>
      <c r="BX131" s="1316"/>
      <c r="BY131" s="1316"/>
      <c r="BZ131" s="1316"/>
      <c r="CA131" s="1316"/>
      <c r="CB131" s="1316"/>
      <c r="CC131" s="1316"/>
      <c r="CD131" s="1316"/>
      <c r="CE131" s="1316"/>
      <c r="CF131" s="1316"/>
      <c r="CG131" s="1316"/>
      <c r="CH131" s="1316"/>
      <c r="CI131" s="1316"/>
      <c r="CJ131" s="1316"/>
      <c r="CK131" s="1316"/>
      <c r="CL131" s="1316"/>
      <c r="CM131" s="1316"/>
      <c r="CN131" s="1316"/>
      <c r="CO131" s="1316"/>
      <c r="CP131" s="1316"/>
      <c r="CQ131" s="1316"/>
      <c r="CR131" s="1316"/>
      <c r="CS131" s="1316"/>
      <c r="CT131" s="1316"/>
      <c r="CU131" s="1315"/>
      <c r="CV131" s="1315"/>
      <c r="CW131" s="1315"/>
      <c r="CX131" s="1315"/>
      <c r="CY131" s="1315"/>
      <c r="CZ131" s="1315"/>
      <c r="DA131" s="1315"/>
      <c r="DB131" s="1315"/>
      <c r="DC131" s="1316"/>
      <c r="DD131" s="1316"/>
      <c r="DE131" s="1316"/>
      <c r="DF131" s="1315"/>
      <c r="DG131" s="1315"/>
      <c r="DH131" s="1315"/>
      <c r="DI131" s="1315"/>
      <c r="DJ131" s="1315"/>
      <c r="DK131" s="1315"/>
      <c r="DL131" s="1315"/>
      <c r="DM131" s="1315"/>
      <c r="DN131" s="1315"/>
      <c r="DO131" s="1315"/>
      <c r="DP131" s="1315"/>
      <c r="DQ131" s="1315"/>
      <c r="DR131" s="1315"/>
      <c r="DS131" s="1315"/>
      <c r="DT131" s="1315"/>
      <c r="DU131" s="1315"/>
      <c r="DV131" s="1315"/>
      <c r="DY131" s="1315"/>
      <c r="DZ131" s="1315"/>
    </row>
    <row r="132" spans="1:130" s="1183" customFormat="1">
      <c r="A132" s="1322" t="s">
        <v>219</v>
      </c>
      <c r="B132" s="1323"/>
      <c r="C132" s="1323"/>
      <c r="D132" s="1323"/>
      <c r="E132" s="1323"/>
      <c r="F132" s="1323"/>
      <c r="G132" s="1323"/>
      <c r="H132" s="1323"/>
      <c r="I132" s="1323"/>
      <c r="J132" s="1323"/>
      <c r="K132" s="1323"/>
      <c r="L132" s="1323"/>
      <c r="M132" s="1323"/>
      <c r="N132" s="1323"/>
      <c r="O132" s="1323"/>
      <c r="P132" s="1323"/>
      <c r="Q132" s="1323"/>
      <c r="R132" s="1323"/>
      <c r="S132" s="1323"/>
      <c r="T132" s="1323"/>
      <c r="U132" s="1323"/>
      <c r="V132" s="1323"/>
      <c r="W132" s="1323"/>
      <c r="X132" s="1323"/>
      <c r="Y132" s="1323"/>
      <c r="Z132" s="1323"/>
      <c r="AA132" s="1323"/>
      <c r="AB132" s="1323"/>
      <c r="AC132" s="1323"/>
      <c r="AD132" s="1323"/>
      <c r="AE132" s="1323"/>
      <c r="AF132" s="1323"/>
      <c r="AG132" s="1323"/>
      <c r="AH132" s="1323"/>
      <c r="AI132" s="1323"/>
      <c r="AJ132" s="1323"/>
      <c r="AK132" s="1323"/>
      <c r="AL132" s="1323"/>
      <c r="AM132" s="1323"/>
      <c r="AN132" s="1323"/>
      <c r="AO132" s="1323"/>
      <c r="AP132" s="1370"/>
      <c r="AQ132" s="1324">
        <f t="shared" ref="AQ132:BP132" si="843">+AQ130-AQ136</f>
        <v>48304</v>
      </c>
      <c r="AR132" s="1324">
        <f t="shared" si="843"/>
        <v>51633</v>
      </c>
      <c r="AS132" s="1324">
        <f t="shared" si="843"/>
        <v>55024</v>
      </c>
      <c r="AT132" s="1324">
        <f t="shared" si="843"/>
        <v>57771</v>
      </c>
      <c r="AU132" s="1324">
        <f t="shared" si="843"/>
        <v>61385.209040000002</v>
      </c>
      <c r="AV132" s="1324">
        <f t="shared" si="843"/>
        <v>63684.935679999799</v>
      </c>
      <c r="AW132" s="1324">
        <f t="shared" si="843"/>
        <v>68235</v>
      </c>
      <c r="AX132" s="1324">
        <f t="shared" si="843"/>
        <v>71475</v>
      </c>
      <c r="AY132" s="1324">
        <f t="shared" si="843"/>
        <v>73366</v>
      </c>
      <c r="AZ132" s="1324">
        <f t="shared" si="843"/>
        <v>76912</v>
      </c>
      <c r="BA132" s="1324">
        <f t="shared" si="843"/>
        <v>78601</v>
      </c>
      <c r="BB132" s="1324">
        <f t="shared" si="843"/>
        <v>82382</v>
      </c>
      <c r="BC132" s="1324">
        <f t="shared" si="843"/>
        <v>79114</v>
      </c>
      <c r="BD132" s="1324">
        <f t="shared" si="843"/>
        <v>79710</v>
      </c>
      <c r="BE132" s="1324">
        <f t="shared" si="843"/>
        <v>82769</v>
      </c>
      <c r="BF132" s="1324">
        <f t="shared" si="843"/>
        <v>87459</v>
      </c>
      <c r="BG132" s="1324">
        <f t="shared" si="843"/>
        <v>73848</v>
      </c>
      <c r="BH132" s="1324">
        <f t="shared" si="843"/>
        <v>76281</v>
      </c>
      <c r="BI132" s="1324">
        <f t="shared" si="843"/>
        <v>81285</v>
      </c>
      <c r="BJ132" s="1324">
        <f t="shared" si="843"/>
        <v>83160</v>
      </c>
      <c r="BK132" s="1324">
        <f t="shared" si="843"/>
        <v>86880</v>
      </c>
      <c r="BL132" s="1324">
        <f t="shared" si="843"/>
        <v>90760</v>
      </c>
      <c r="BM132" s="1324">
        <f t="shared" si="843"/>
        <v>68749</v>
      </c>
      <c r="BN132" s="1324">
        <f t="shared" si="843"/>
        <v>46862</v>
      </c>
      <c r="BO132" s="1324">
        <f t="shared" si="843"/>
        <v>99778</v>
      </c>
      <c r="BP132" s="1324">
        <f t="shared" si="843"/>
        <v>104813</v>
      </c>
      <c r="BQ132" s="1324">
        <f t="shared" ref="BQ132:BY132" si="844">+BQ130-BQ136</f>
        <v>109782</v>
      </c>
      <c r="BR132" s="1324">
        <f t="shared" si="844"/>
        <v>79479</v>
      </c>
      <c r="BS132" s="1324">
        <f t="shared" si="844"/>
        <v>101794</v>
      </c>
      <c r="BT132" s="1324">
        <f t="shared" si="844"/>
        <v>103994</v>
      </c>
      <c r="BU132" s="1324">
        <f t="shared" si="844"/>
        <v>106387</v>
      </c>
      <c r="BV132" s="1324">
        <f t="shared" si="844"/>
        <v>106341</v>
      </c>
      <c r="BW132" s="1324">
        <f t="shared" si="844"/>
        <v>114486.85</v>
      </c>
      <c r="BX132" s="1324">
        <f t="shared" si="844"/>
        <v>124004.98</v>
      </c>
      <c r="BY132" s="1324">
        <f t="shared" si="844"/>
        <v>126775</v>
      </c>
      <c r="BZ132" s="1324">
        <f t="shared" ref="BZ132:CA132" si="845">+BZ130-BZ136</f>
        <v>87420.170000000013</v>
      </c>
      <c r="CA132" s="1324">
        <f t="shared" si="845"/>
        <v>137368</v>
      </c>
      <c r="CB132" s="1324">
        <f t="shared" ref="CB132:CC132" si="846">+CB130-CB136</f>
        <v>142486</v>
      </c>
      <c r="CC132" s="1324">
        <f t="shared" si="846"/>
        <v>146137</v>
      </c>
      <c r="CD132" s="1324">
        <f t="shared" ref="CD132:CE132" si="847">+CD130-CD136</f>
        <v>159261</v>
      </c>
      <c r="CE132" s="1324">
        <f t="shared" si="847"/>
        <v>168860</v>
      </c>
      <c r="CF132" s="1324">
        <f t="shared" ref="CF132:CH132" si="848">+CF130-CF136</f>
        <v>173096</v>
      </c>
      <c r="CG132" s="1324">
        <f t="shared" si="848"/>
        <v>173905</v>
      </c>
      <c r="CH132" s="1324">
        <f t="shared" si="848"/>
        <v>177616</v>
      </c>
      <c r="CI132" s="1324">
        <f t="shared" ref="CI132:CJ132" si="849">+CI130-CI136</f>
        <v>175868</v>
      </c>
      <c r="CJ132" s="1324">
        <f t="shared" si="849"/>
        <v>181969</v>
      </c>
      <c r="CK132" s="1324">
        <f t="shared" ref="CK132" si="850">+CK130-CK136</f>
        <v>177599</v>
      </c>
      <c r="CL132" s="1371">
        <f t="shared" ref="CL132" si="851">+CK133*CL134</f>
        <v>179307.52635400003</v>
      </c>
      <c r="CM132" s="1371">
        <f t="shared" ref="CM132" si="852">+CL133*CM134</f>
        <v>187201.79310530573</v>
      </c>
      <c r="CN132" s="1371">
        <f t="shared" ref="CN132" si="853">+CM133*CN134</f>
        <v>181367.43567025062</v>
      </c>
      <c r="CO132" s="1371">
        <f t="shared" ref="CO132" si="854">+CN133*CO134</f>
        <v>179727.00046475968</v>
      </c>
      <c r="CP132" s="1371">
        <f t="shared" ref="CP132" si="855">+CO133*CP134</f>
        <v>179382.27430944791</v>
      </c>
      <c r="CQ132" s="1371"/>
      <c r="CR132" s="1371"/>
      <c r="CS132" s="1371"/>
      <c r="CT132" s="1371">
        <v>179307.52635400003</v>
      </c>
      <c r="CU132" s="1323"/>
      <c r="CV132" s="1323"/>
      <c r="CW132" s="1323"/>
      <c r="CX132" s="1323"/>
      <c r="CY132" s="1323"/>
      <c r="CZ132" s="1323"/>
      <c r="DA132" s="1323"/>
      <c r="DB132" s="1323"/>
      <c r="DC132" s="1370"/>
      <c r="DD132" s="1370"/>
      <c r="DE132" s="1370"/>
      <c r="DF132" s="1324">
        <f>+SUM(AQ132:AT132)</f>
        <v>212732</v>
      </c>
      <c r="DG132" s="1324">
        <f>+SUM(AU132:AX132)</f>
        <v>264780.14471999981</v>
      </c>
      <c r="DH132" s="1324">
        <f>+SUM(AY132:BB132)</f>
        <v>311261</v>
      </c>
      <c r="DI132" s="1324">
        <f>+SUM(BC132:BF132)</f>
        <v>329052</v>
      </c>
      <c r="DJ132" s="1324">
        <f>+SUM(BG132:BJ132)</f>
        <v>314574</v>
      </c>
      <c r="DK132" s="1324">
        <f>+SUM(BK132:BN132)</f>
        <v>293251</v>
      </c>
      <c r="DL132" s="1324">
        <f>+SUM(BO132:BR132)</f>
        <v>393852</v>
      </c>
      <c r="DM132" s="1324">
        <f>+SUM(BS132:BV132)</f>
        <v>418516</v>
      </c>
      <c r="DN132" s="1324">
        <f>+SUM(BW132:BZ132)</f>
        <v>452687</v>
      </c>
      <c r="DO132" s="1324">
        <f>+SUM(CA132:CD132)</f>
        <v>585252</v>
      </c>
      <c r="DP132" s="1324">
        <f>+SUM(CE132:CH132)</f>
        <v>693477</v>
      </c>
      <c r="DQ132" s="1324">
        <f>+SUM(CI132:CL132)</f>
        <v>714743.52635399997</v>
      </c>
      <c r="DR132" s="1324">
        <f>+SUM(CM132:CP132)</f>
        <v>727678.50354976393</v>
      </c>
      <c r="DS132" s="1372">
        <f>+DR133*DS134</f>
        <v>720660.44496359664</v>
      </c>
      <c r="DT132" s="1372">
        <f t="shared" ref="DT132:DV132" si="856">+DS133*DT134</f>
        <v>729341.96298633947</v>
      </c>
      <c r="DU132" s="1372">
        <f t="shared" si="856"/>
        <v>748932.16325390956</v>
      </c>
      <c r="DV132" s="1372">
        <f t="shared" si="856"/>
        <v>777600.53398521373</v>
      </c>
      <c r="DY132" s="1372">
        <v>725602.9265203285</v>
      </c>
      <c r="DZ132" s="1372">
        <v>740440.47533634526</v>
      </c>
    </row>
    <row r="133" spans="1:130" s="1379" customFormat="1" ht="12">
      <c r="A133" s="1374" t="s">
        <v>220</v>
      </c>
      <c r="B133" s="1375"/>
      <c r="C133" s="1377">
        <f>+PROJ!C104</f>
        <v>0</v>
      </c>
      <c r="D133" s="1377">
        <f>+PROJ!D104</f>
        <v>151584</v>
      </c>
      <c r="E133" s="1377">
        <f>+PROJ!E104</f>
        <v>157423</v>
      </c>
      <c r="F133" s="1377">
        <f>+PROJ!F104</f>
        <v>162039</v>
      </c>
      <c r="G133" s="1377">
        <f>+PROJ!G104</f>
        <v>161449</v>
      </c>
      <c r="H133" s="1377">
        <f>+PROJ!H104</f>
        <v>171563</v>
      </c>
      <c r="I133" s="1377">
        <f>+PROJ!I104</f>
        <v>169975</v>
      </c>
      <c r="J133" s="1377">
        <f>+PROJ!J104</f>
        <v>194125</v>
      </c>
      <c r="K133" s="1377">
        <f>+PROJ!K104</f>
        <v>201952</v>
      </c>
      <c r="L133" s="1377">
        <f>+PROJ!L104</f>
        <v>194615</v>
      </c>
      <c r="M133" s="1377">
        <f>+PROJ!M104</f>
        <v>205646</v>
      </c>
      <c r="N133" s="1377">
        <f>+PROJ!N104</f>
        <v>241062</v>
      </c>
      <c r="O133" s="1377">
        <f>+PROJ!O104</f>
        <v>240716</v>
      </c>
      <c r="P133" s="1377">
        <f>+PROJ!P104</f>
        <v>252846</v>
      </c>
      <c r="Q133" s="1377">
        <f>+PROJ!Q104</f>
        <v>254146</v>
      </c>
      <c r="R133" s="1377">
        <f>+PROJ!R104</f>
        <v>283768</v>
      </c>
      <c r="S133" s="1377">
        <f>+PROJ!S104</f>
        <v>289734</v>
      </c>
      <c r="T133" s="1377">
        <f>+PROJ!T104</f>
        <v>305779</v>
      </c>
      <c r="U133" s="1377">
        <f>+PROJ!U104</f>
        <v>324554</v>
      </c>
      <c r="V133" s="1377">
        <f>+PROJ!V104</f>
        <v>358628</v>
      </c>
      <c r="W133" s="1377">
        <f>+PROJ!W104</f>
        <v>350828</v>
      </c>
      <c r="X133" s="1377">
        <f>+PROJ!X104</f>
        <v>356578</v>
      </c>
      <c r="Y133" s="1377">
        <f>+PROJ!Y104</f>
        <v>354209</v>
      </c>
      <c r="Z133" s="1377">
        <f>+PROJ!Z104</f>
        <v>357572</v>
      </c>
      <c r="AA133" s="1377">
        <f>+PROJ!AA104</f>
        <v>356790</v>
      </c>
      <c r="AB133" s="1377">
        <f>+PROJ!AB104</f>
        <v>360491</v>
      </c>
      <c r="AC133" s="1377">
        <f>+PROJ!AC104</f>
        <v>364293</v>
      </c>
      <c r="AD133" s="1377">
        <f>+PROJ!AD104</f>
        <v>412603</v>
      </c>
      <c r="AE133" s="1377">
        <f>+PROJ!AE104</f>
        <v>414185</v>
      </c>
      <c r="AF133" s="1377">
        <f>+PROJ!AF104</f>
        <v>453996</v>
      </c>
      <c r="AG133" s="1377">
        <f>+PROJ!AG104</f>
        <v>473940</v>
      </c>
      <c r="AH133" s="1377">
        <f>+PROJ!AH104</f>
        <v>599481</v>
      </c>
      <c r="AI133" s="1377">
        <f>+PROJ!AI104</f>
        <v>633359</v>
      </c>
      <c r="AJ133" s="1377">
        <f>+PROJ!AJ104</f>
        <v>671099</v>
      </c>
      <c r="AK133" s="1377">
        <f>+PROJ!AK104</f>
        <v>745619</v>
      </c>
      <c r="AL133" s="1377">
        <f>+PROJ!AL104</f>
        <v>846204</v>
      </c>
      <c r="AM133" s="1377">
        <f>+PROJ!AM104</f>
        <v>843189</v>
      </c>
      <c r="AN133" s="1377">
        <f>+PROJ!AN104</f>
        <v>865645</v>
      </c>
      <c r="AO133" s="1377">
        <f>+PROJ!AO104</f>
        <v>936726</v>
      </c>
      <c r="AP133" s="1377">
        <f>+PROJ!AP104</f>
        <v>1063348</v>
      </c>
      <c r="AQ133" s="1377">
        <f>+PROJ!AQ104</f>
        <v>1101156</v>
      </c>
      <c r="AR133" s="1377">
        <f>+PROJ!AR104</f>
        <v>1138162</v>
      </c>
      <c r="AS133" s="1377">
        <f>+PROJ!AS104</f>
        <v>1204275</v>
      </c>
      <c r="AT133" s="1377">
        <f>+PROJ!AT104</f>
        <v>1304065</v>
      </c>
      <c r="AU133" s="1377">
        <f>+PROJ!AU104</f>
        <v>1320473</v>
      </c>
      <c r="AV133" s="1377">
        <f>+PROJ!AV104</f>
        <v>1391883</v>
      </c>
      <c r="AW133" s="1377">
        <f>+PROJ!AW104</f>
        <v>1475060</v>
      </c>
      <c r="AX133" s="1377">
        <f>+PROJ!AX104</f>
        <v>1545704</v>
      </c>
      <c r="AY133" s="1377">
        <f>+PROJ!AY104</f>
        <v>1559316</v>
      </c>
      <c r="AZ133" s="1377">
        <f>+PROJ!AZ104</f>
        <v>1589602</v>
      </c>
      <c r="BA133" s="1377">
        <f>+PROJ!BA104</f>
        <v>1603876</v>
      </c>
      <c r="BB133" s="1377">
        <f>+PROJ!BB104</f>
        <v>1645069</v>
      </c>
      <c r="BC133" s="1377">
        <f>+PROJ!BC104</f>
        <v>1636648</v>
      </c>
      <c r="BD133" s="1377">
        <f>+PROJ!BD104</f>
        <v>1668458</v>
      </c>
      <c r="BE133" s="1377">
        <f>+PROJ!BE104</f>
        <v>1716613</v>
      </c>
      <c r="BF133" s="1377">
        <f>+PROJ!BF104</f>
        <v>1813627</v>
      </c>
      <c r="BG133" s="1377">
        <f>+PROJ!BG104</f>
        <v>1822018</v>
      </c>
      <c r="BH133" s="1377">
        <f>+PROJ!BH104</f>
        <v>1853263</v>
      </c>
      <c r="BI133" s="1377">
        <f>+PROJ!BI104</f>
        <v>1910603</v>
      </c>
      <c r="BJ133" s="1377">
        <f>+PROJ!BJ104</f>
        <v>1994449</v>
      </c>
      <c r="BK133" s="1377">
        <f>+PROJ!BK104</f>
        <v>1955428</v>
      </c>
      <c r="BL133" s="1377">
        <f>+PROJ!BL104</f>
        <v>1976764</v>
      </c>
      <c r="BM133" s="1377">
        <f>+PROJ!BM104</f>
        <v>2109143</v>
      </c>
      <c r="BN133" s="1377">
        <f>+PROJ!BN104</f>
        <v>2173710</v>
      </c>
      <c r="BO133" s="1377">
        <f>+PROJ!BO104</f>
        <v>2186193</v>
      </c>
      <c r="BP133" s="1377">
        <f>+PROJ!BP104</f>
        <v>2147040</v>
      </c>
      <c r="BQ133" s="1377">
        <f>+PROJ!BQ104</f>
        <v>2182428</v>
      </c>
      <c r="BR133" s="1377">
        <f>+PROJ!BR104</f>
        <v>2154260</v>
      </c>
      <c r="BS133" s="1377">
        <f>+PROJ!BS104</f>
        <v>2333938</v>
      </c>
      <c r="BT133" s="1377">
        <f>+PROJ!BT104</f>
        <v>2418037</v>
      </c>
      <c r="BU133" s="1377">
        <f>+PROJ!BU104</f>
        <v>2489041</v>
      </c>
      <c r="BV133" s="1377">
        <f>+PROJ!BV104</f>
        <v>2650859</v>
      </c>
      <c r="BW133" s="1377">
        <f>+PROJ!BW104</f>
        <v>2618691</v>
      </c>
      <c r="BX133" s="1377">
        <f>+PROJ!BX104</f>
        <v>2686734</v>
      </c>
      <c r="BY133" s="1377">
        <f>+PROJ!BY104</f>
        <v>2742625</v>
      </c>
      <c r="BZ133" s="1377">
        <f>+PROJ!BZ104</f>
        <v>2830784</v>
      </c>
      <c r="CA133" s="1377">
        <f>+PROJ!CA104</f>
        <v>2768896</v>
      </c>
      <c r="CB133" s="1377">
        <f>+PROJ!CB104</f>
        <v>2793931</v>
      </c>
      <c r="CC133" s="1377">
        <f>+PROJ!CC104</f>
        <v>2844936</v>
      </c>
      <c r="CD133" s="1377">
        <f>+PROJ!CD104</f>
        <v>2889666</v>
      </c>
      <c r="CE133" s="1377">
        <f>+PROJ!CE104</f>
        <v>2851411</v>
      </c>
      <c r="CF133" s="1377">
        <f>+PROJ!CF104</f>
        <v>2846313</v>
      </c>
      <c r="CG133" s="1377">
        <f>+PROJ!CG104</f>
        <v>2847026</v>
      </c>
      <c r="CH133" s="1377">
        <f>+PROJ!CH104</f>
        <v>2900445</v>
      </c>
      <c r="CI133" s="1377">
        <f>+PROJ!CI104</f>
        <v>2824192</v>
      </c>
      <c r="CJ133" s="1377">
        <f>+PROJ!CJ104</f>
        <v>2789254</v>
      </c>
      <c r="CK133" s="1377">
        <f>+PROJ!CK104</f>
        <v>2816087</v>
      </c>
      <c r="CL133" s="2080">
        <f>PROJ!CL104</f>
        <v>2940069.2021134491</v>
      </c>
      <c r="CM133" s="2080">
        <f>PROJ!CM104</f>
        <v>2848438.5915066483</v>
      </c>
      <c r="CN133" s="2080">
        <f>PROJ!CN104</f>
        <v>2822674.9866515733</v>
      </c>
      <c r="CO133" s="2080">
        <f>PROJ!CO104</f>
        <v>2817260.9426107402</v>
      </c>
      <c r="CP133" s="2080">
        <f>PROJ!CP104</f>
        <v>2911713.8531411164</v>
      </c>
      <c r="CQ133" s="2080"/>
      <c r="CR133" s="2080"/>
      <c r="CS133" s="2080"/>
      <c r="CT133" s="2080">
        <v>2940069.2021134491</v>
      </c>
      <c r="CU133" s="1377"/>
      <c r="CV133" s="1377">
        <v>843189</v>
      </c>
      <c r="CW133" s="1377">
        <v>865645</v>
      </c>
      <c r="CX133" s="1377">
        <v>936726</v>
      </c>
      <c r="CY133" s="1377">
        <v>283768</v>
      </c>
      <c r="CZ133" s="1377">
        <v>358628</v>
      </c>
      <c r="DA133" s="1377">
        <v>357572</v>
      </c>
      <c r="DB133" s="1377">
        <v>412603</v>
      </c>
      <c r="DC133" s="1377">
        <v>599481</v>
      </c>
      <c r="DD133" s="1377">
        <v>846204</v>
      </c>
      <c r="DE133" s="1377">
        <v>1063348</v>
      </c>
      <c r="DF133" s="1377">
        <f>+PROJ!DE104</f>
        <v>1304065</v>
      </c>
      <c r="DG133" s="1377">
        <f>+PROJ!DF104</f>
        <v>1545704</v>
      </c>
      <c r="DH133" s="1377">
        <f>+PROJ!DG104</f>
        <v>1645069</v>
      </c>
      <c r="DI133" s="1377">
        <f>+PROJ!DH104</f>
        <v>1813627</v>
      </c>
      <c r="DJ133" s="1377">
        <f>+PROJ!DI104</f>
        <v>1994449</v>
      </c>
      <c r="DK133" s="1377">
        <f>+PROJ!DJ104</f>
        <v>2173710</v>
      </c>
      <c r="DL133" s="1377">
        <f>+PROJ!DK104</f>
        <v>2154260</v>
      </c>
      <c r="DM133" s="1377">
        <f>+PROJ!DL104</f>
        <v>2650859</v>
      </c>
      <c r="DN133" s="1377">
        <f>+PROJ!DM104</f>
        <v>2830784</v>
      </c>
      <c r="DO133" s="1377">
        <f>+PROJ!DN104</f>
        <v>2889666</v>
      </c>
      <c r="DP133" s="1377">
        <f>+PROJ!DO104</f>
        <v>2900445</v>
      </c>
      <c r="DQ133" s="1377">
        <f>+PROJ!DP104</f>
        <v>2940069.2021134491</v>
      </c>
      <c r="DR133" s="1377">
        <f>+PROJ!DQ104</f>
        <v>2911713.8531411164</v>
      </c>
      <c r="DS133" s="1377">
        <f>+PROJ!DR104</f>
        <v>2946790.1452697786</v>
      </c>
      <c r="DT133" s="1377">
        <f>+PROJ!DS104</f>
        <v>3025941.232170037</v>
      </c>
      <c r="DU133" s="1377">
        <f>+PROJ!DT104</f>
        <v>3141771.2222696603</v>
      </c>
      <c r="DV133" s="1377">
        <f>+PROJ!DU104</f>
        <v>3288920.7924669129</v>
      </c>
      <c r="DY133" s="1377">
        <v>3004723.7859461969</v>
      </c>
      <c r="DZ133" s="1377">
        <v>3111774.3747465611</v>
      </c>
    </row>
    <row r="134" spans="1:130" s="1379" customFormat="1" ht="12">
      <c r="A134" s="1374" t="s">
        <v>221</v>
      </c>
      <c r="B134" s="1375"/>
      <c r="C134" s="1377"/>
      <c r="D134" s="1377"/>
      <c r="E134" s="1380">
        <v>0.18191893603546549</v>
      </c>
      <c r="F134" s="1380">
        <v>0.18238757995972635</v>
      </c>
      <c r="G134" s="1380">
        <v>0.17556267318361629</v>
      </c>
      <c r="H134" s="1380">
        <v>0.19498417456905895</v>
      </c>
      <c r="I134" s="1380">
        <v>0.18458525439634421</v>
      </c>
      <c r="J134" s="1380">
        <v>0.19200470657449625</v>
      </c>
      <c r="K134" s="1380">
        <v>0.17596909207984546</v>
      </c>
      <c r="L134" s="1380">
        <v>0.18529155442877515</v>
      </c>
      <c r="M134" s="1380">
        <v>0.20641779924466253</v>
      </c>
      <c r="N134" s="1380">
        <v>0.20853311029633448</v>
      </c>
      <c r="O134" s="1380">
        <v>0.19419070612539513</v>
      </c>
      <c r="P134" s="1380">
        <v>0.20106681732830389</v>
      </c>
      <c r="Q134" s="1380">
        <v>0.19972631562294835</v>
      </c>
      <c r="R134" s="1380">
        <v>0.20899797754046887</v>
      </c>
      <c r="S134" s="1380">
        <v>0.20552000225536354</v>
      </c>
      <c r="T134" s="1380">
        <v>0.21143531653171529</v>
      </c>
      <c r="U134" s="1380">
        <v>0.20897445540733667</v>
      </c>
      <c r="V134" s="1380">
        <v>0.19912865039407926</v>
      </c>
      <c r="W134" s="1380">
        <v>0.20231549126113968</v>
      </c>
      <c r="X134" s="1380">
        <v>0.20913952136089481</v>
      </c>
      <c r="Y134" s="1380">
        <v>0.21088233149549326</v>
      </c>
      <c r="Z134" s="1380">
        <v>0.21222498581346042</v>
      </c>
      <c r="AA134" s="1380">
        <v>0.21025136196346469</v>
      </c>
      <c r="AB134" s="1380">
        <v>0.2009361248913927</v>
      </c>
      <c r="AC134" s="1380">
        <v>0.20298981111872419</v>
      </c>
      <c r="AD134" s="1380">
        <v>0.22811308479712758</v>
      </c>
      <c r="AE134" s="1380">
        <v>0.20857822168040466</v>
      </c>
      <c r="AF134" s="1380">
        <v>0.21805714837572582</v>
      </c>
      <c r="AG134" s="1380">
        <v>0.21297985004273165</v>
      </c>
      <c r="AH134" s="1380">
        <v>0.24788791830189474</v>
      </c>
      <c r="AI134" s="1380">
        <v>0.20115399820845031</v>
      </c>
      <c r="AJ134" s="1380">
        <v>0.20165498556111147</v>
      </c>
      <c r="AK134" s="1380">
        <v>0.20115661027657619</v>
      </c>
      <c r="AL134" s="1380">
        <v>0.19915801501839411</v>
      </c>
      <c r="AM134" s="1380">
        <v>0.18572826410652751</v>
      </c>
      <c r="AN134" s="1380">
        <v>0.19253571856369095</v>
      </c>
      <c r="AO134" s="1380">
        <v>0.19535028793558559</v>
      </c>
      <c r="AP134" s="1380">
        <v>0.19337138074527663</v>
      </c>
      <c r="AQ134" s="1380">
        <f t="shared" ref="AQ134:BO134" si="857">AQ132/AP133</f>
        <v>4.5426332677543008E-2</v>
      </c>
      <c r="AR134" s="1380">
        <f t="shared" si="857"/>
        <v>4.6889813977311116E-2</v>
      </c>
      <c r="AS134" s="1380">
        <f t="shared" si="857"/>
        <v>4.8344611751226979E-2</v>
      </c>
      <c r="AT134" s="1380">
        <f t="shared" si="857"/>
        <v>4.7971601170828923E-2</v>
      </c>
      <c r="AU134" s="1380">
        <f t="shared" si="857"/>
        <v>4.7072200419457623E-2</v>
      </c>
      <c r="AV134" s="1380">
        <f t="shared" si="857"/>
        <v>4.8228881378112085E-2</v>
      </c>
      <c r="AW134" s="1380">
        <f t="shared" si="857"/>
        <v>4.9023517062856577E-2</v>
      </c>
      <c r="AX134" s="1380">
        <f t="shared" si="857"/>
        <v>4.8455656041110191E-2</v>
      </c>
      <c r="AY134" s="1380">
        <f t="shared" si="857"/>
        <v>4.7464456325402533E-2</v>
      </c>
      <c r="AZ134" s="1380">
        <f t="shared" si="857"/>
        <v>4.9324190863173342E-2</v>
      </c>
      <c r="BA134" s="1380">
        <f t="shared" si="857"/>
        <v>4.9446968486451325E-2</v>
      </c>
      <c r="BB134" s="1380">
        <f t="shared" si="857"/>
        <v>5.1364319934957568E-2</v>
      </c>
      <c r="BC134" s="1380">
        <f t="shared" si="857"/>
        <v>4.8091599805236133E-2</v>
      </c>
      <c r="BD134" s="1380">
        <f t="shared" si="857"/>
        <v>4.8703203132255686E-2</v>
      </c>
      <c r="BE134" s="1380">
        <f t="shared" si="857"/>
        <v>4.9608081234289385E-2</v>
      </c>
      <c r="BF134" s="1380">
        <f t="shared" si="857"/>
        <v>5.0948583052790583E-2</v>
      </c>
      <c r="BG134" s="1380">
        <f t="shared" si="857"/>
        <v>4.0718405714074611E-2</v>
      </c>
      <c r="BH134" s="1380">
        <f t="shared" si="857"/>
        <v>4.1866216469870224E-2</v>
      </c>
      <c r="BI134" s="1380">
        <f t="shared" si="857"/>
        <v>4.386047743898195E-2</v>
      </c>
      <c r="BJ134" s="1380">
        <f t="shared" si="857"/>
        <v>4.3525525710992816E-2</v>
      </c>
      <c r="BK134" s="1380">
        <f t="shared" si="857"/>
        <v>4.3560903287073273E-2</v>
      </c>
      <c r="BL134" s="1380">
        <f t="shared" si="857"/>
        <v>4.6414391120511725E-2</v>
      </c>
      <c r="BM134" s="1380">
        <f t="shared" si="857"/>
        <v>3.4778557278461159E-2</v>
      </c>
      <c r="BN134" s="1380">
        <f t="shared" si="857"/>
        <v>2.2218502965422448E-2</v>
      </c>
      <c r="BO134" s="1380">
        <f t="shared" si="857"/>
        <v>4.5902167262422314E-2</v>
      </c>
      <c r="BP134" s="1380">
        <f t="shared" ref="BP134:CK134" si="858">BP132/BO133</f>
        <v>4.7943159638696123E-2</v>
      </c>
      <c r="BQ134" s="1380">
        <f t="shared" si="858"/>
        <v>5.1131790744466804E-2</v>
      </c>
      <c r="BR134" s="1380">
        <f t="shared" si="858"/>
        <v>3.6417696253897035E-2</v>
      </c>
      <c r="BS134" s="1380">
        <f t="shared" si="858"/>
        <v>4.7252420784863483E-2</v>
      </c>
      <c r="BT134" s="1380">
        <f t="shared" si="858"/>
        <v>4.4557310434124642E-2</v>
      </c>
      <c r="BU134" s="1380">
        <f t="shared" si="858"/>
        <v>4.3997258933589523E-2</v>
      </c>
      <c r="BV134" s="1380">
        <f t="shared" si="858"/>
        <v>4.2723683539162269E-2</v>
      </c>
      <c r="BW134" s="1380">
        <f t="shared" si="858"/>
        <v>4.3188585284996299E-2</v>
      </c>
      <c r="BX134" s="1380">
        <f t="shared" si="858"/>
        <v>4.7353803866130063E-2</v>
      </c>
      <c r="BY134" s="1380">
        <f t="shared" si="858"/>
        <v>4.7185542000064015E-2</v>
      </c>
      <c r="BZ134" s="1380">
        <f t="shared" si="858"/>
        <v>3.1874634702155784E-2</v>
      </c>
      <c r="CA134" s="1380">
        <f t="shared" si="858"/>
        <v>4.852648594876896E-2</v>
      </c>
      <c r="CB134" s="1380">
        <f t="shared" si="858"/>
        <v>5.1459498659393491E-2</v>
      </c>
      <c r="CC134" s="1380">
        <f t="shared" si="858"/>
        <v>5.2305157142391846E-2</v>
      </c>
      <c r="CD134" s="1380">
        <f t="shared" si="858"/>
        <v>5.5980521178683809E-2</v>
      </c>
      <c r="CE134" s="1380">
        <f t="shared" si="858"/>
        <v>5.843581922616662E-2</v>
      </c>
      <c r="CF134" s="1380">
        <f t="shared" si="858"/>
        <v>6.0705384106324901E-2</v>
      </c>
      <c r="CG134" s="1380">
        <f t="shared" si="858"/>
        <v>6.1098340203624826E-2</v>
      </c>
      <c r="CH134" s="1380">
        <f t="shared" si="858"/>
        <v>6.2386504373335545E-2</v>
      </c>
      <c r="CI134" s="1380">
        <f t="shared" si="858"/>
        <v>6.0634833620358257E-2</v>
      </c>
      <c r="CJ134" s="1380">
        <f t="shared" si="858"/>
        <v>6.4432234069071795E-2</v>
      </c>
      <c r="CK134" s="1380">
        <f t="shared" si="858"/>
        <v>6.367258055379682E-2</v>
      </c>
      <c r="CL134" s="1381">
        <f t="shared" ref="CL134" si="859">+CK134</f>
        <v>6.367258055379682E-2</v>
      </c>
      <c r="CM134" s="1381">
        <f t="shared" ref="CM134" si="860">+CL134</f>
        <v>6.367258055379682E-2</v>
      </c>
      <c r="CN134" s="1381">
        <f t="shared" ref="CN134" si="861">+CM134</f>
        <v>6.367258055379682E-2</v>
      </c>
      <c r="CO134" s="1381">
        <f t="shared" ref="CO134" si="862">+CN134</f>
        <v>6.367258055379682E-2</v>
      </c>
      <c r="CP134" s="1381">
        <f t="shared" ref="CP134" si="863">+CO134</f>
        <v>6.367258055379682E-2</v>
      </c>
      <c r="CQ134" s="1381"/>
      <c r="CR134" s="1381"/>
      <c r="CS134" s="1381"/>
      <c r="CT134" s="1381">
        <v>6.367258055379682E-2</v>
      </c>
      <c r="CU134" s="1375"/>
      <c r="CV134" s="1377"/>
      <c r="CW134" s="1380">
        <v>3.6833971980184753E-2</v>
      </c>
      <c r="CX134" s="1380">
        <v>4.4659184769738174E-2</v>
      </c>
      <c r="CY134" s="1380">
        <v>5.3064610142133345E-2</v>
      </c>
      <c r="CZ134" s="1380">
        <v>0.21858349073891348</v>
      </c>
      <c r="DA134" s="1380">
        <v>0.2065482895925583</v>
      </c>
      <c r="DB134" s="1380">
        <v>0.21194892217511438</v>
      </c>
      <c r="DC134" s="1380">
        <v>0.23663909375355971</v>
      </c>
      <c r="DD134" s="1380">
        <v>0.22177516885439238</v>
      </c>
      <c r="DE134" s="1380">
        <v>0.197868362711592</v>
      </c>
      <c r="DF134" s="1380">
        <f>DF130/DE133</f>
        <v>0.2000586825761651</v>
      </c>
      <c r="DG134" s="1380">
        <f>DG130/DF133</f>
        <v>0.20304213725542808</v>
      </c>
      <c r="DH134" s="1380">
        <f>DH130/DG133</f>
        <v>0.20137167271353376</v>
      </c>
      <c r="DI134" s="1380">
        <f t="shared" ref="DI134:DR134" si="864">DI132/DH133</f>
        <v>0.20002322091049068</v>
      </c>
      <c r="DJ134" s="1380">
        <f t="shared" si="864"/>
        <v>0.17345021881566608</v>
      </c>
      <c r="DK134" s="1380">
        <f t="shared" si="864"/>
        <v>0.14703359173385733</v>
      </c>
      <c r="DL134" s="1380">
        <f t="shared" si="864"/>
        <v>0.18118884303793975</v>
      </c>
      <c r="DM134" s="1380">
        <f t="shared" si="864"/>
        <v>0.19427367170165161</v>
      </c>
      <c r="DN134" s="1380">
        <f t="shared" si="864"/>
        <v>0.17076992778567249</v>
      </c>
      <c r="DO134" s="1380">
        <f t="shared" si="864"/>
        <v>0.20674555176233864</v>
      </c>
      <c r="DP134" s="1380">
        <f t="shared" si="864"/>
        <v>0.23998517475722109</v>
      </c>
      <c r="DQ134" s="1380">
        <f t="shared" si="864"/>
        <v>0.24642547138594248</v>
      </c>
      <c r="DR134" s="1380">
        <f t="shared" si="864"/>
        <v>0.24750386930575549</v>
      </c>
      <c r="DS134" s="1381">
        <f t="shared" ref="DS134:DV134" si="865">+DR134</f>
        <v>0.24750386930575549</v>
      </c>
      <c r="DT134" s="1381">
        <f t="shared" si="865"/>
        <v>0.24750386930575549</v>
      </c>
      <c r="DU134" s="1381">
        <f t="shared" si="865"/>
        <v>0.24750386930575549</v>
      </c>
      <c r="DV134" s="1381">
        <f t="shared" si="865"/>
        <v>0.24750386930575549</v>
      </c>
      <c r="DY134" s="1381">
        <v>0.24642547138594248</v>
      </c>
      <c r="DZ134" s="1381">
        <v>0.24642547138594248</v>
      </c>
    </row>
    <row r="135" spans="1:130" s="1194" customFormat="1">
      <c r="A135" s="1369"/>
      <c r="B135" s="1318"/>
      <c r="C135" s="1319"/>
      <c r="D135" s="1319"/>
      <c r="E135" s="1320"/>
      <c r="F135" s="1320"/>
      <c r="G135" s="1320"/>
      <c r="H135" s="1320"/>
      <c r="I135" s="1320"/>
      <c r="J135" s="1320"/>
      <c r="K135" s="1320"/>
      <c r="L135" s="1320"/>
      <c r="M135" s="1320"/>
      <c r="N135" s="1320"/>
      <c r="O135" s="1320"/>
      <c r="P135" s="1320"/>
      <c r="Q135" s="1320"/>
      <c r="R135" s="1320"/>
      <c r="S135" s="1320"/>
      <c r="T135" s="1320"/>
      <c r="U135" s="1320"/>
      <c r="V135" s="1320"/>
      <c r="W135" s="1320"/>
      <c r="X135" s="1320"/>
      <c r="Y135" s="1320"/>
      <c r="Z135" s="1320"/>
      <c r="AA135" s="1320"/>
      <c r="AB135" s="1320"/>
      <c r="AC135" s="1320"/>
      <c r="AD135" s="1320"/>
      <c r="AE135" s="1320"/>
      <c r="AF135" s="1320"/>
      <c r="AG135" s="1320"/>
      <c r="AH135" s="1320"/>
      <c r="AI135" s="1320"/>
      <c r="AJ135" s="1320"/>
      <c r="AK135" s="1320"/>
      <c r="AL135" s="1320"/>
      <c r="AM135" s="1320"/>
      <c r="AN135" s="1320"/>
      <c r="AO135" s="1320"/>
      <c r="AP135" s="1320"/>
      <c r="AQ135" s="1320"/>
      <c r="AR135" s="1320"/>
      <c r="AS135" s="1320"/>
      <c r="AT135" s="1320"/>
      <c r="AU135" s="1320"/>
      <c r="AV135" s="1320"/>
      <c r="AW135" s="1320"/>
      <c r="AX135" s="1320"/>
      <c r="AY135" s="1320"/>
      <c r="AZ135" s="1320"/>
      <c r="BA135" s="1320"/>
      <c r="BB135" s="1320"/>
      <c r="BC135" s="1320"/>
      <c r="BD135" s="1320"/>
      <c r="BE135" s="1320"/>
      <c r="BF135" s="1320"/>
      <c r="BG135" s="1320"/>
      <c r="BH135" s="1320"/>
      <c r="BI135" s="1320"/>
      <c r="BJ135" s="1320"/>
      <c r="BK135" s="1320"/>
      <c r="BL135" s="1320"/>
      <c r="BM135" s="1320"/>
      <c r="BN135" s="1320"/>
      <c r="BO135" s="1320"/>
      <c r="BP135" s="1321"/>
      <c r="BQ135" s="1321"/>
      <c r="BR135" s="1321"/>
      <c r="BS135" s="1321"/>
      <c r="BT135" s="1321"/>
      <c r="BU135" s="1321"/>
      <c r="BV135" s="1321"/>
      <c r="BW135" s="1321"/>
      <c r="BX135" s="1321"/>
      <c r="BY135" s="1321"/>
      <c r="BZ135" s="1321"/>
      <c r="CA135" s="1321"/>
      <c r="CB135" s="1321"/>
      <c r="CC135" s="1321"/>
      <c r="CD135" s="1321"/>
      <c r="CE135" s="1321"/>
      <c r="CF135" s="1321"/>
      <c r="CG135" s="1321"/>
      <c r="CH135" s="1321"/>
      <c r="CI135" s="1321"/>
      <c r="CJ135" s="1321"/>
      <c r="CK135" s="1321"/>
      <c r="CL135" s="1321"/>
      <c r="CM135" s="1321"/>
      <c r="CN135" s="1321"/>
      <c r="CO135" s="1321"/>
      <c r="CP135" s="1321"/>
      <c r="CQ135" s="1321"/>
      <c r="CR135" s="1321"/>
      <c r="CS135" s="1321"/>
      <c r="CT135" s="1321"/>
      <c r="CU135" s="1318"/>
      <c r="CV135" s="1319"/>
      <c r="CW135" s="1320"/>
      <c r="CX135" s="1320"/>
      <c r="CY135" s="1320"/>
      <c r="CZ135" s="1320"/>
      <c r="DA135" s="1320"/>
      <c r="DB135" s="1320"/>
      <c r="DC135" s="1320"/>
      <c r="DD135" s="1320"/>
      <c r="DE135" s="1320"/>
      <c r="DF135" s="1320"/>
      <c r="DG135" s="1320"/>
      <c r="DH135" s="1320"/>
      <c r="DI135" s="1320"/>
      <c r="DJ135" s="1320"/>
      <c r="DK135" s="1320"/>
      <c r="DL135" s="1320"/>
      <c r="DM135" s="1320"/>
      <c r="DN135" s="1320"/>
      <c r="DO135" s="1320"/>
      <c r="DP135" s="1320"/>
      <c r="DQ135" s="1320"/>
      <c r="DR135" s="1320"/>
      <c r="DS135" s="1320"/>
      <c r="DT135" s="1320"/>
      <c r="DU135" s="1320"/>
      <c r="DV135" s="1320"/>
      <c r="DY135" s="1320"/>
      <c r="DZ135" s="1320"/>
    </row>
    <row r="136" spans="1:130" s="1183" customFormat="1">
      <c r="A136" s="1322" t="s">
        <v>222</v>
      </c>
      <c r="B136" s="1323"/>
      <c r="C136" s="1323"/>
      <c r="D136" s="1323"/>
      <c r="E136" s="1323"/>
      <c r="F136" s="1323"/>
      <c r="G136" s="1323"/>
      <c r="H136" s="1323"/>
      <c r="I136" s="1323"/>
      <c r="J136" s="1323"/>
      <c r="K136" s="1323"/>
      <c r="L136" s="1323"/>
      <c r="M136" s="1323"/>
      <c r="N136" s="1323"/>
      <c r="O136" s="1323"/>
      <c r="P136" s="1323"/>
      <c r="Q136" s="1323"/>
      <c r="R136" s="1323"/>
      <c r="S136" s="1323"/>
      <c r="T136" s="1323"/>
      <c r="U136" s="1323"/>
      <c r="V136" s="1323"/>
      <c r="W136" s="1323"/>
      <c r="X136" s="1323"/>
      <c r="Y136" s="1323"/>
      <c r="Z136" s="1323"/>
      <c r="AA136" s="1323"/>
      <c r="AB136" s="1323"/>
      <c r="AC136" s="1323"/>
      <c r="AD136" s="1323"/>
      <c r="AE136" s="1323"/>
      <c r="AF136" s="1323"/>
      <c r="AG136" s="1323"/>
      <c r="AH136" s="1323"/>
      <c r="AI136" s="1323"/>
      <c r="AJ136" s="1323"/>
      <c r="AK136" s="1323"/>
      <c r="AL136" s="1323"/>
      <c r="AM136" s="1323"/>
      <c r="AN136" s="1323"/>
      <c r="AO136" s="1323"/>
      <c r="AP136" s="1370"/>
      <c r="AQ136" s="1324"/>
      <c r="AR136" s="1324"/>
      <c r="AS136" s="1324"/>
      <c r="AT136" s="1324"/>
      <c r="AU136" s="1324"/>
      <c r="AV136" s="1324"/>
      <c r="AW136" s="1324"/>
      <c r="AX136" s="1324"/>
      <c r="AY136" s="1324"/>
      <c r="AZ136" s="1324"/>
      <c r="BA136" s="1324"/>
      <c r="BB136" s="1324"/>
      <c r="BC136" s="1324"/>
      <c r="BD136" s="1324"/>
      <c r="BE136" s="1324"/>
      <c r="BF136" s="1324"/>
      <c r="BG136" s="1324"/>
      <c r="BH136" s="1324"/>
      <c r="BI136" s="1324"/>
      <c r="BJ136" s="1324"/>
      <c r="BK136" s="1373">
        <v>75600</v>
      </c>
      <c r="BL136" s="1373">
        <f>149700-BK136</f>
        <v>74100</v>
      </c>
      <c r="BM136" s="1373">
        <v>98400</v>
      </c>
      <c r="BN136" s="1373">
        <f>368500-BM136-BL136-BK136</f>
        <v>120400</v>
      </c>
      <c r="BO136" s="1373">
        <f>160000-BP136</f>
        <v>81800</v>
      </c>
      <c r="BP136" s="1373">
        <v>78200</v>
      </c>
      <c r="BQ136" s="1373">
        <v>88500</v>
      </c>
      <c r="BR136" s="1373">
        <f>365789-BQ136-BP136-BO136</f>
        <v>117289</v>
      </c>
      <c r="BS136" s="1373">
        <v>99684</v>
      </c>
      <c r="BT136" s="1373">
        <f>207822-BS136</f>
        <v>108138</v>
      </c>
      <c r="BU136" s="1373">
        <f>327834-BT136-BS136</f>
        <v>120012</v>
      </c>
      <c r="BV136" s="1373">
        <f>458500-BU136-BT136-BS136</f>
        <v>130666</v>
      </c>
      <c r="BW136" s="1373">
        <v>120543.15</v>
      </c>
      <c r="BX136" s="1373">
        <v>127048.02</v>
      </c>
      <c r="BY136" s="1373">
        <v>124403</v>
      </c>
      <c r="BZ136" s="1373">
        <f>541163-BY136-BX136-BW136</f>
        <v>169168.83</v>
      </c>
      <c r="CA136" s="1373">
        <v>119222</v>
      </c>
      <c r="CB136" s="1373">
        <v>105162</v>
      </c>
      <c r="CC136" s="1373">
        <v>118116</v>
      </c>
      <c r="CD136" s="1373">
        <v>122492</v>
      </c>
      <c r="CE136" s="1373">
        <v>126996</v>
      </c>
      <c r="CF136" s="1373">
        <v>126199</v>
      </c>
      <c r="CG136" s="1373">
        <v>122318</v>
      </c>
      <c r="CH136" s="1373">
        <v>128854</v>
      </c>
      <c r="CI136" s="1373">
        <v>129083</v>
      </c>
      <c r="CJ136" s="1373">
        <v>141104</v>
      </c>
      <c r="CK136" s="1373">
        <v>129643</v>
      </c>
      <c r="CL136" s="1371">
        <f t="shared" ref="CL136" si="866">+CL138*CK137</f>
        <v>128381.58672762492</v>
      </c>
      <c r="CM136" s="1371">
        <f t="shared" ref="CM136" si="867">+CM138*CL137</f>
        <v>153189.99720036102</v>
      </c>
      <c r="CN136" s="1371">
        <f t="shared" ref="CN136" si="868">+CN138*CM137</f>
        <v>148495.22268003566</v>
      </c>
      <c r="CO136" s="1371">
        <f t="shared" ref="CO136" si="869">+CO138*CN137</f>
        <v>141853.08167872648</v>
      </c>
      <c r="CP136" s="1371">
        <f t="shared" ref="CP136" si="870">+CP138*CO137</f>
        <v>141789.50806194518</v>
      </c>
      <c r="CQ136" s="1371"/>
      <c r="CR136" s="1371"/>
      <c r="CS136" s="1371"/>
      <c r="CT136" s="1371">
        <v>128381.58672762492</v>
      </c>
      <c r="CU136" s="1323"/>
      <c r="CV136" s="1323"/>
      <c r="CW136" s="1323"/>
      <c r="CX136" s="1323"/>
      <c r="CY136" s="1323"/>
      <c r="CZ136" s="1323"/>
      <c r="DA136" s="1323"/>
      <c r="DB136" s="1323"/>
      <c r="DC136" s="1370"/>
      <c r="DD136" s="1370"/>
      <c r="DE136" s="1370"/>
      <c r="DF136" s="1324"/>
      <c r="DG136" s="1324"/>
      <c r="DH136" s="1324"/>
      <c r="DI136" s="1324"/>
      <c r="DJ136" s="1324"/>
      <c r="DK136" s="1324">
        <f>+SUM(BK136:BN136)</f>
        <v>368500</v>
      </c>
      <c r="DL136" s="1324">
        <f>+SUM(BO136:BR136)</f>
        <v>365789</v>
      </c>
      <c r="DM136" s="1324">
        <f>+SUM(BS136:BV136)</f>
        <v>458500</v>
      </c>
      <c r="DN136" s="1324">
        <f>+SUM(BW136:BZ136)</f>
        <v>541163</v>
      </c>
      <c r="DO136" s="1324">
        <f>+SUM(CA136:CD136)</f>
        <v>464992</v>
      </c>
      <c r="DP136" s="1324">
        <f>+SUM(CE136:CH136)</f>
        <v>504367</v>
      </c>
      <c r="DQ136" s="1324">
        <f>+SUM(CI136:CL136)</f>
        <v>528211.58672762488</v>
      </c>
      <c r="DR136" s="1324">
        <f>+SUM(CM136:CP136)</f>
        <v>585327.8096210683</v>
      </c>
      <c r="DS136" s="1371">
        <f>+DS138*DR137</f>
        <v>642606.89819539152</v>
      </c>
      <c r="DT136" s="1371">
        <f t="shared" ref="DT136:DV136" si="871">+DT138*DS137</f>
        <v>703531.78936026688</v>
      </c>
      <c r="DU136" s="1371">
        <f t="shared" si="871"/>
        <v>768302.50078121957</v>
      </c>
      <c r="DV136" s="1371">
        <f t="shared" si="871"/>
        <v>837129.21825287212</v>
      </c>
      <c r="DY136" s="1371">
        <v>575766.02928782627</v>
      </c>
      <c r="DZ136" s="1371">
        <v>632109.41985902435</v>
      </c>
    </row>
    <row r="137" spans="1:130" s="1379" customFormat="1" ht="12">
      <c r="A137" s="1374" t="s">
        <v>223</v>
      </c>
      <c r="B137" s="1375"/>
      <c r="C137" s="1375"/>
      <c r="D137" s="1375"/>
      <c r="E137" s="1375"/>
      <c r="F137" s="1375"/>
      <c r="G137" s="1375"/>
      <c r="H137" s="1375"/>
      <c r="I137" s="1375"/>
      <c r="J137" s="1375"/>
      <c r="K137" s="1375"/>
      <c r="L137" s="1375"/>
      <c r="M137" s="1375"/>
      <c r="N137" s="1375"/>
      <c r="O137" s="1375"/>
      <c r="P137" s="1375"/>
      <c r="Q137" s="1375"/>
      <c r="R137" s="1375"/>
      <c r="S137" s="1375"/>
      <c r="T137" s="1375"/>
      <c r="U137" s="1375"/>
      <c r="V137" s="1375"/>
      <c r="W137" s="1375"/>
      <c r="X137" s="1375"/>
      <c r="Y137" s="1375"/>
      <c r="Z137" s="1375"/>
      <c r="AA137" s="1375"/>
      <c r="AB137" s="1375"/>
      <c r="AC137" s="1375"/>
      <c r="AD137" s="1375"/>
      <c r="AE137" s="1375"/>
      <c r="AF137" s="1375"/>
      <c r="AG137" s="1375"/>
      <c r="AH137" s="1375"/>
      <c r="AI137" s="1375"/>
      <c r="AJ137" s="1375"/>
      <c r="AK137" s="1375"/>
      <c r="AL137" s="1375"/>
      <c r="AM137" s="1375"/>
      <c r="AN137" s="1375"/>
      <c r="AO137" s="1375"/>
      <c r="AP137" s="1376"/>
      <c r="AQ137" s="1377"/>
      <c r="AR137" s="1377"/>
      <c r="AS137" s="1377"/>
      <c r="AT137" s="1377"/>
      <c r="AU137" s="1377"/>
      <c r="AV137" s="1377"/>
      <c r="AW137" s="1377"/>
      <c r="AX137" s="1377"/>
      <c r="AY137" s="1377"/>
      <c r="AZ137" s="1377"/>
      <c r="BA137" s="1377"/>
      <c r="BB137" s="1377"/>
      <c r="BC137" s="1377"/>
      <c r="BD137" s="1377"/>
      <c r="BE137" s="1377"/>
      <c r="BF137" s="1377"/>
      <c r="BG137" s="1377"/>
      <c r="BH137" s="1377"/>
      <c r="BI137" s="1377"/>
      <c r="BJ137" s="1377"/>
      <c r="BK137" s="1377">
        <f>+PROJ!BK105</f>
        <v>1939718</v>
      </c>
      <c r="BL137" s="1377">
        <f>+PROJ!BL105</f>
        <v>2017571</v>
      </c>
      <c r="BM137" s="1377">
        <f>+PROJ!BM105</f>
        <v>1932557</v>
      </c>
      <c r="BN137" s="1377">
        <f>+PROJ!BN105</f>
        <v>1879961</v>
      </c>
      <c r="BO137" s="1377">
        <f>+PROJ!BO105</f>
        <v>1834416</v>
      </c>
      <c r="BP137" s="1377">
        <f>+PROJ!BP105</f>
        <v>1528457</v>
      </c>
      <c r="BQ137" s="1377">
        <f>+PROJ!BQ105</f>
        <v>1649238</v>
      </c>
      <c r="BR137" s="1377">
        <f>+PROJ!BR105</f>
        <v>1700038</v>
      </c>
      <c r="BS137" s="1377">
        <f>+PROJ!BS105</f>
        <v>2083471</v>
      </c>
      <c r="BT137" s="1377">
        <f>+PROJ!BT105</f>
        <v>2295135</v>
      </c>
      <c r="BU137" s="1377">
        <f>+PROJ!BU105</f>
        <v>2304064</v>
      </c>
      <c r="BV137" s="1377">
        <f>+PROJ!BV105</f>
        <v>2434188</v>
      </c>
      <c r="BW137" s="1377">
        <f>+PROJ!BW105</f>
        <v>2404390</v>
      </c>
      <c r="BX137" s="1377">
        <f>+PROJ!BX105</f>
        <v>2504735</v>
      </c>
      <c r="BY137" s="1377">
        <f>+PROJ!BY105</f>
        <v>2526365</v>
      </c>
      <c r="BZ137" s="1377">
        <f>+PROJ!BZ105</f>
        <v>2609505</v>
      </c>
      <c r="CA137" s="1377">
        <f>+PROJ!CA105</f>
        <v>2504986</v>
      </c>
      <c r="CB137" s="1377">
        <f>+PROJ!CB105</f>
        <v>2506144</v>
      </c>
      <c r="CC137" s="1377">
        <f>+PROJ!CC105</f>
        <v>2440966</v>
      </c>
      <c r="CD137" s="1377">
        <f>+PROJ!CD105</f>
        <v>2396687</v>
      </c>
      <c r="CE137" s="1377">
        <f>+PROJ!CE105</f>
        <v>2366436</v>
      </c>
      <c r="CF137" s="1377">
        <f>+PROJ!CF105</f>
        <v>2309000</v>
      </c>
      <c r="CG137" s="1377">
        <f>+PROJ!CG105</f>
        <v>2227942</v>
      </c>
      <c r="CH137" s="1377">
        <f>+PROJ!CH105</f>
        <v>2252543</v>
      </c>
      <c r="CI137" s="1377">
        <f>+PROJ!CI105</f>
        <v>2177453</v>
      </c>
      <c r="CJ137" s="1377">
        <f>+PROJ!CJ105</f>
        <v>2077925</v>
      </c>
      <c r="CK137" s="1377">
        <f>+PROJ!CK105</f>
        <v>2057707</v>
      </c>
      <c r="CL137" s="1378">
        <f t="shared" ref="CL137:CP137" si="872">+CL140*SUM(CL223+CL235+CL245)</f>
        <v>2455337.5418075803</v>
      </c>
      <c r="CM137" s="1378">
        <f t="shared" si="872"/>
        <v>2380089.4424489797</v>
      </c>
      <c r="CN137" s="1378">
        <f t="shared" si="872"/>
        <v>2273628.8480463098</v>
      </c>
      <c r="CO137" s="1378">
        <f t="shared" si="872"/>
        <v>2272609.886685879</v>
      </c>
      <c r="CP137" s="1378">
        <f t="shared" si="872"/>
        <v>2695612.2976373178</v>
      </c>
      <c r="CQ137" s="1378"/>
      <c r="CR137" s="1378"/>
      <c r="CS137" s="1378"/>
      <c r="CT137" s="1378">
        <v>2455337.5418075803</v>
      </c>
      <c r="CU137" s="1375"/>
      <c r="CV137" s="1375"/>
      <c r="CW137" s="1375"/>
      <c r="CX137" s="1375"/>
      <c r="CY137" s="1375"/>
      <c r="CZ137" s="1375"/>
      <c r="DA137" s="1375"/>
      <c r="DB137" s="1375"/>
      <c r="DC137" s="1376"/>
      <c r="DD137" s="1376"/>
      <c r="DE137" s="1376"/>
      <c r="DF137" s="1377"/>
      <c r="DG137" s="1377"/>
      <c r="DH137" s="1377"/>
      <c r="DI137" s="1377"/>
      <c r="DJ137" s="1377"/>
      <c r="DK137" s="1377">
        <f>+PROJ!DJ105</f>
        <v>1879961</v>
      </c>
      <c r="DL137" s="1377">
        <f>+PROJ!DK105</f>
        <v>1700038</v>
      </c>
      <c r="DM137" s="1377">
        <f>+PROJ!DL105</f>
        <v>2434188</v>
      </c>
      <c r="DN137" s="1377">
        <f>+PROJ!DM105</f>
        <v>2609505</v>
      </c>
      <c r="DO137" s="1377">
        <f>+PROJ!DN105</f>
        <v>2396687</v>
      </c>
      <c r="DP137" s="1377">
        <f>+PROJ!DO105</f>
        <v>2252543</v>
      </c>
      <c r="DQ137" s="1377">
        <f>+PROJ!DP105</f>
        <v>2455337.5418075803</v>
      </c>
      <c r="DR137" s="1377">
        <f>+PROJ!DQ105</f>
        <v>2695612.2976373178</v>
      </c>
      <c r="DS137" s="1378">
        <f t="shared" ref="DS137:DV137" si="873">+DS140*SUM(DS223+DS235+DS245)</f>
        <v>2951180.4938665424</v>
      </c>
      <c r="DT137" s="1378">
        <f t="shared" si="873"/>
        <v>3222881.1661178852</v>
      </c>
      <c r="DU137" s="1378">
        <f t="shared" si="873"/>
        <v>3511596.0033591487</v>
      </c>
      <c r="DV137" s="1378">
        <f t="shared" si="873"/>
        <v>3818251.4177139248</v>
      </c>
      <c r="DY137" s="1378">
        <v>2695612.2976373178</v>
      </c>
      <c r="DZ137" s="1378">
        <v>2951180.4938665428</v>
      </c>
    </row>
    <row r="138" spans="1:130" s="1379" customFormat="1" ht="12">
      <c r="A138" s="1374" t="s">
        <v>224</v>
      </c>
      <c r="B138" s="1375"/>
      <c r="C138" s="1377"/>
      <c r="D138" s="1377"/>
      <c r="E138" s="1377"/>
      <c r="F138" s="1377"/>
      <c r="G138" s="1377"/>
      <c r="H138" s="1377"/>
      <c r="I138" s="1377"/>
      <c r="J138" s="1377"/>
      <c r="K138" s="1377"/>
      <c r="L138" s="1377"/>
      <c r="M138" s="1377"/>
      <c r="N138" s="1377"/>
      <c r="O138" s="1377"/>
      <c r="P138" s="1377"/>
      <c r="Q138" s="1377"/>
      <c r="R138" s="1377"/>
      <c r="S138" s="1377"/>
      <c r="T138" s="1377"/>
      <c r="U138" s="1377"/>
      <c r="V138" s="1377"/>
      <c r="W138" s="1377"/>
      <c r="X138" s="1377"/>
      <c r="Y138" s="1377"/>
      <c r="Z138" s="1377"/>
      <c r="AA138" s="1377"/>
      <c r="AB138" s="1377"/>
      <c r="AC138" s="1377"/>
      <c r="AD138" s="1377"/>
      <c r="AE138" s="1377"/>
      <c r="AF138" s="1377"/>
      <c r="AG138" s="1377"/>
      <c r="AH138" s="1377"/>
      <c r="AI138" s="1377"/>
      <c r="AJ138" s="1377"/>
      <c r="AK138" s="1377"/>
      <c r="AL138" s="1377"/>
      <c r="AM138" s="1377"/>
      <c r="AN138" s="1377"/>
      <c r="AO138" s="1377"/>
      <c r="AP138" s="1377"/>
      <c r="AQ138" s="1377"/>
      <c r="AR138" s="1377"/>
      <c r="AS138" s="1377"/>
      <c r="AT138" s="1377"/>
      <c r="AU138" s="1377"/>
      <c r="AV138" s="1377"/>
      <c r="AW138" s="1377"/>
      <c r="AX138" s="1377"/>
      <c r="AY138" s="1377"/>
      <c r="AZ138" s="1377"/>
      <c r="BA138" s="1377"/>
      <c r="BB138" s="1377"/>
      <c r="BC138" s="1377"/>
      <c r="BD138" s="1377"/>
      <c r="BE138" s="1377"/>
      <c r="BF138" s="1377"/>
      <c r="BG138" s="1377"/>
      <c r="BH138" s="1377"/>
      <c r="BI138" s="1377"/>
      <c r="BJ138" s="1377"/>
      <c r="BK138" s="1377"/>
      <c r="BL138" s="1380">
        <f t="shared" ref="BL138:CK138" si="874">+BL136/BK137</f>
        <v>3.8201429279926258E-2</v>
      </c>
      <c r="BM138" s="1380">
        <f t="shared" si="874"/>
        <v>4.8771517830103625E-2</v>
      </c>
      <c r="BN138" s="1380">
        <f t="shared" si="874"/>
        <v>6.2300879094381173E-2</v>
      </c>
      <c r="BO138" s="1380">
        <f t="shared" si="874"/>
        <v>4.3511540930902287E-2</v>
      </c>
      <c r="BP138" s="1380">
        <f t="shared" si="874"/>
        <v>4.2629370873346069E-2</v>
      </c>
      <c r="BQ138" s="1380">
        <f t="shared" si="874"/>
        <v>5.7901530759452181E-2</v>
      </c>
      <c r="BR138" s="1380">
        <f t="shared" si="874"/>
        <v>7.1117085587404608E-2</v>
      </c>
      <c r="BS138" s="1380">
        <f t="shared" si="874"/>
        <v>5.8636336364245978E-2</v>
      </c>
      <c r="BT138" s="1380">
        <f t="shared" si="874"/>
        <v>5.1902810262297865E-2</v>
      </c>
      <c r="BU138" s="1380">
        <f t="shared" si="874"/>
        <v>5.2289734590775704E-2</v>
      </c>
      <c r="BV138" s="1380">
        <f t="shared" si="874"/>
        <v>5.6711098302824919E-2</v>
      </c>
      <c r="BW138" s="1380">
        <f t="shared" si="874"/>
        <v>4.9520887458158531E-2</v>
      </c>
      <c r="BX138" s="1380">
        <f t="shared" si="874"/>
        <v>5.2840021793469444E-2</v>
      </c>
      <c r="BY138" s="1380">
        <f t="shared" si="874"/>
        <v>4.9667130454918385E-2</v>
      </c>
      <c r="BZ138" s="1380">
        <f t="shared" si="874"/>
        <v>6.6961357523556572E-2</v>
      </c>
      <c r="CA138" s="1380">
        <f t="shared" si="874"/>
        <v>4.5687592091220364E-2</v>
      </c>
      <c r="CB138" s="1380">
        <f t="shared" si="874"/>
        <v>4.1981072948112284E-2</v>
      </c>
      <c r="CC138" s="1380">
        <f t="shared" si="874"/>
        <v>4.7130571906482628E-2</v>
      </c>
      <c r="CD138" s="1380">
        <f t="shared" si="874"/>
        <v>5.0181772298344182E-2</v>
      </c>
      <c r="CE138" s="1380">
        <f t="shared" si="874"/>
        <v>5.2988145719486943E-2</v>
      </c>
      <c r="CF138" s="1380">
        <f t="shared" si="874"/>
        <v>5.3328718799071681E-2</v>
      </c>
      <c r="CG138" s="1380">
        <f t="shared" si="874"/>
        <v>5.2974447812906021E-2</v>
      </c>
      <c r="CH138" s="1380">
        <f t="shared" si="874"/>
        <v>5.7835437367759125E-2</v>
      </c>
      <c r="CI138" s="1380">
        <f t="shared" si="874"/>
        <v>5.7305454324290371E-2</v>
      </c>
      <c r="CJ138" s="1380">
        <f t="shared" si="874"/>
        <v>6.4802317202713441E-2</v>
      </c>
      <c r="CK138" s="1380">
        <f t="shared" si="874"/>
        <v>6.2390606013210295E-2</v>
      </c>
      <c r="CL138" s="1381">
        <f t="shared" ref="CL138" si="875">+CK138</f>
        <v>6.2390606013210295E-2</v>
      </c>
      <c r="CM138" s="1381">
        <f t="shared" ref="CM138" si="876">+CL138</f>
        <v>6.2390606013210295E-2</v>
      </c>
      <c r="CN138" s="1381">
        <f t="shared" ref="CN138" si="877">+CM138</f>
        <v>6.2390606013210295E-2</v>
      </c>
      <c r="CO138" s="1381">
        <f t="shared" ref="CO138" si="878">+CN138</f>
        <v>6.2390606013210295E-2</v>
      </c>
      <c r="CP138" s="1381">
        <f t="shared" ref="CP138" si="879">+CO138</f>
        <v>6.2390606013210295E-2</v>
      </c>
      <c r="CQ138" s="1381"/>
      <c r="CR138" s="1381"/>
      <c r="CS138" s="1382"/>
      <c r="CT138" s="1381">
        <v>6.2390606013210295E-2</v>
      </c>
      <c r="CU138" s="1383"/>
      <c r="CV138" s="1377">
        <v>0</v>
      </c>
      <c r="CW138" s="1377">
        <v>0</v>
      </c>
      <c r="CX138" s="1377">
        <v>0</v>
      </c>
      <c r="CY138" s="1377">
        <v>0</v>
      </c>
      <c r="CZ138" s="1377">
        <v>0</v>
      </c>
      <c r="DA138" s="1377">
        <v>0</v>
      </c>
      <c r="DB138" s="1380"/>
      <c r="DC138" s="1380"/>
      <c r="DD138" s="1380"/>
      <c r="DE138" s="1380"/>
      <c r="DF138" s="1384"/>
      <c r="DG138" s="1380"/>
      <c r="DH138" s="1380"/>
      <c r="DI138" s="1380"/>
      <c r="DJ138" s="1380"/>
      <c r="DK138" s="1380">
        <f>+DK136/DK137</f>
        <v>0.19601470456036055</v>
      </c>
      <c r="DL138" s="1380">
        <f t="shared" ref="DL138:DR138" si="880">+DL136/DK137</f>
        <v>0.19457265336887308</v>
      </c>
      <c r="DM138" s="1380">
        <f t="shared" si="880"/>
        <v>0.26969985376797462</v>
      </c>
      <c r="DN138" s="1380">
        <f t="shared" si="880"/>
        <v>0.22231766815052906</v>
      </c>
      <c r="DO138" s="1380">
        <f t="shared" si="880"/>
        <v>0.17819164937411502</v>
      </c>
      <c r="DP138" s="1380">
        <f t="shared" si="880"/>
        <v>0.21044341626587035</v>
      </c>
      <c r="DQ138" s="1380">
        <f t="shared" si="880"/>
        <v>0.23449567299164761</v>
      </c>
      <c r="DR138" s="1380">
        <f t="shared" si="880"/>
        <v>0.23838995643350908</v>
      </c>
      <c r="DS138" s="1382">
        <f>+DR138</f>
        <v>0.23838995643350908</v>
      </c>
      <c r="DT138" s="1382">
        <f t="shared" ref="DT138:DV138" si="881">+DS138</f>
        <v>0.23838995643350908</v>
      </c>
      <c r="DU138" s="1382">
        <f t="shared" si="881"/>
        <v>0.23838995643350908</v>
      </c>
      <c r="DV138" s="1382">
        <f t="shared" si="881"/>
        <v>0.23838995643350908</v>
      </c>
      <c r="DY138" s="1382">
        <v>0.23449567299164761</v>
      </c>
      <c r="DZ138" s="1382">
        <v>0.23449567299164761</v>
      </c>
    </row>
    <row r="139" spans="1:130" s="1379" customFormat="1" ht="12">
      <c r="A139" s="1374"/>
      <c r="B139" s="1375"/>
      <c r="C139" s="1377"/>
      <c r="D139" s="1377"/>
      <c r="E139" s="1377"/>
      <c r="F139" s="1377"/>
      <c r="G139" s="1377"/>
      <c r="H139" s="1377"/>
      <c r="I139" s="1377"/>
      <c r="J139" s="1377"/>
      <c r="K139" s="1377"/>
      <c r="L139" s="1377"/>
      <c r="M139" s="1377"/>
      <c r="N139" s="1377"/>
      <c r="O139" s="1377"/>
      <c r="P139" s="1377"/>
      <c r="Q139" s="1377"/>
      <c r="R139" s="1377"/>
      <c r="S139" s="1377"/>
      <c r="T139" s="1377"/>
      <c r="U139" s="1377"/>
      <c r="V139" s="1377"/>
      <c r="W139" s="1377"/>
      <c r="X139" s="1377"/>
      <c r="Y139" s="1377"/>
      <c r="Z139" s="1377"/>
      <c r="AA139" s="1377"/>
      <c r="AB139" s="1377"/>
      <c r="AC139" s="1377"/>
      <c r="AD139" s="1377"/>
      <c r="AE139" s="1377"/>
      <c r="AF139" s="1377"/>
      <c r="AG139" s="1377"/>
      <c r="AH139" s="1377"/>
      <c r="AI139" s="1377"/>
      <c r="AJ139" s="1377"/>
      <c r="AK139" s="1377"/>
      <c r="AL139" s="1377"/>
      <c r="AM139" s="1377"/>
      <c r="AN139" s="1377"/>
      <c r="AO139" s="1377"/>
      <c r="AP139" s="1377"/>
      <c r="AQ139" s="1377"/>
      <c r="AR139" s="1377"/>
      <c r="AS139" s="1377"/>
      <c r="AT139" s="1377"/>
      <c r="AU139" s="1377"/>
      <c r="AV139" s="1377"/>
      <c r="AW139" s="1377"/>
      <c r="AX139" s="1377"/>
      <c r="AY139" s="1377"/>
      <c r="AZ139" s="1377"/>
      <c r="BA139" s="1377"/>
      <c r="BB139" s="1377"/>
      <c r="BC139" s="1377"/>
      <c r="BD139" s="1377"/>
      <c r="BE139" s="1377"/>
      <c r="BF139" s="1377"/>
      <c r="BG139" s="1377"/>
      <c r="BH139" s="1377"/>
      <c r="BI139" s="1377"/>
      <c r="BJ139" s="1377"/>
      <c r="BK139" s="1377"/>
      <c r="BL139" s="1380"/>
      <c r="BM139" s="1380"/>
      <c r="BN139" s="1380"/>
      <c r="BO139" s="1380"/>
      <c r="BP139" s="1380"/>
      <c r="BQ139" s="1380"/>
      <c r="BR139" s="1380"/>
      <c r="BS139" s="1380"/>
      <c r="BT139" s="1380"/>
      <c r="BU139" s="1380"/>
      <c r="BV139" s="1380"/>
      <c r="BW139" s="1380"/>
      <c r="BX139" s="1380"/>
      <c r="BY139" s="1380"/>
      <c r="BZ139" s="1380"/>
      <c r="CA139" s="1380"/>
      <c r="CB139" s="1380"/>
      <c r="CC139" s="1380"/>
      <c r="CD139" s="1380"/>
      <c r="CE139" s="1380"/>
      <c r="CF139" s="1380"/>
      <c r="CG139" s="1380"/>
      <c r="CH139" s="1380"/>
      <c r="CI139" s="1380"/>
      <c r="CJ139" s="1380"/>
      <c r="CK139" s="1380"/>
      <c r="CL139" s="1382"/>
      <c r="CM139" s="1382"/>
      <c r="CN139" s="1382"/>
      <c r="CO139" s="1382"/>
      <c r="CP139" s="1382"/>
      <c r="CQ139" s="1382"/>
      <c r="CR139" s="1382"/>
      <c r="CS139" s="1382"/>
      <c r="CT139" s="1382"/>
      <c r="CU139" s="1383"/>
      <c r="CV139" s="1377"/>
      <c r="CW139" s="1377"/>
      <c r="CX139" s="1377"/>
      <c r="CY139" s="1377"/>
      <c r="CZ139" s="1377"/>
      <c r="DA139" s="1377"/>
      <c r="DB139" s="1380"/>
      <c r="DC139" s="1380"/>
      <c r="DD139" s="1380"/>
      <c r="DE139" s="1380"/>
      <c r="DF139" s="1384"/>
      <c r="DG139" s="1380"/>
      <c r="DH139" s="1380"/>
      <c r="DI139" s="1380"/>
      <c r="DJ139" s="1380"/>
      <c r="DK139" s="1380"/>
      <c r="DL139" s="1380"/>
      <c r="DM139" s="1380"/>
      <c r="DN139" s="1380"/>
      <c r="DO139" s="1380"/>
      <c r="DP139" s="1380"/>
      <c r="DQ139" s="1380"/>
      <c r="DR139" s="1380"/>
      <c r="DS139" s="1382"/>
      <c r="DT139" s="1382"/>
      <c r="DU139" s="1382"/>
      <c r="DV139" s="1382"/>
      <c r="DY139" s="1382"/>
      <c r="DZ139" s="1382"/>
    </row>
    <row r="140" spans="1:130" s="1379" customFormat="1" ht="12">
      <c r="A140" s="1374" t="s">
        <v>225</v>
      </c>
      <c r="B140" s="1375"/>
      <c r="C140" s="1377"/>
      <c r="D140" s="1377"/>
      <c r="E140" s="1377"/>
      <c r="F140" s="1377"/>
      <c r="G140" s="1377"/>
      <c r="H140" s="1377"/>
      <c r="I140" s="1377"/>
      <c r="J140" s="1377"/>
      <c r="K140" s="1377"/>
      <c r="L140" s="1377"/>
      <c r="M140" s="1377"/>
      <c r="N140" s="1377"/>
      <c r="O140" s="1377"/>
      <c r="P140" s="1377"/>
      <c r="Q140" s="1377"/>
      <c r="R140" s="1377"/>
      <c r="S140" s="1377"/>
      <c r="T140" s="1377"/>
      <c r="U140" s="1377"/>
      <c r="V140" s="1377"/>
      <c r="W140" s="1377"/>
      <c r="X140" s="1377"/>
      <c r="Y140" s="1377"/>
      <c r="Z140" s="1377"/>
      <c r="AA140" s="1377"/>
      <c r="AB140" s="1377"/>
      <c r="AC140" s="1377"/>
      <c r="AD140" s="1377"/>
      <c r="AE140" s="1377"/>
      <c r="AF140" s="1377"/>
      <c r="AG140" s="1377"/>
      <c r="AH140" s="1377"/>
      <c r="AI140" s="1377"/>
      <c r="AJ140" s="1377"/>
      <c r="AK140" s="1377"/>
      <c r="AL140" s="1377"/>
      <c r="AM140" s="1377"/>
      <c r="AN140" s="1377"/>
      <c r="AO140" s="1377"/>
      <c r="AP140" s="1377"/>
      <c r="AQ140" s="1377"/>
      <c r="AR140" s="1377"/>
      <c r="AS140" s="1377"/>
      <c r="AT140" s="1377"/>
      <c r="AU140" s="1377"/>
      <c r="AV140" s="1377"/>
      <c r="AW140" s="1377"/>
      <c r="AX140" s="1377"/>
      <c r="AY140" s="1377"/>
      <c r="AZ140" s="1377"/>
      <c r="BA140" s="1377"/>
      <c r="BB140" s="1377"/>
      <c r="BC140" s="1377"/>
      <c r="BD140" s="1377"/>
      <c r="BE140" s="1377"/>
      <c r="BF140" s="1377"/>
      <c r="BG140" s="1377"/>
      <c r="BH140" s="1377"/>
      <c r="BI140" s="1377"/>
      <c r="BJ140" s="1377"/>
      <c r="BK140" s="1377">
        <f t="shared" ref="BK140:CC140" si="882">+BK137/(BK223+BK235+BK245)</f>
        <v>3476.1971326164876</v>
      </c>
      <c r="BL140" s="1377">
        <f t="shared" si="882"/>
        <v>3539.598245614035</v>
      </c>
      <c r="BM140" s="1377">
        <f t="shared" si="882"/>
        <v>3349.318890814558</v>
      </c>
      <c r="BN140" s="1377">
        <f t="shared" si="882"/>
        <v>3117.6799336650083</v>
      </c>
      <c r="BO140" s="1377">
        <f t="shared" si="882"/>
        <v>3072.7236180904524</v>
      </c>
      <c r="BP140" s="1377">
        <f t="shared" si="882"/>
        <v>2560.2294807370185</v>
      </c>
      <c r="BQ140" s="1377">
        <f t="shared" si="882"/>
        <v>2726.0132231404959</v>
      </c>
      <c r="BR140" s="1377">
        <f t="shared" si="882"/>
        <v>2805.3432343234322</v>
      </c>
      <c r="BS140" s="1377">
        <f t="shared" si="882"/>
        <v>3438.0709570957097</v>
      </c>
      <c r="BT140" s="1377">
        <f t="shared" si="882"/>
        <v>3625.8056872037914</v>
      </c>
      <c r="BU140" s="1377">
        <f t="shared" si="882"/>
        <v>3628.4472440944883</v>
      </c>
      <c r="BV140" s="1377">
        <f t="shared" si="882"/>
        <v>3827.3396226415093</v>
      </c>
      <c r="BW140" s="1377">
        <f t="shared" si="882"/>
        <v>3768.6363636363635</v>
      </c>
      <c r="BX140" s="1377">
        <f t="shared" si="882"/>
        <v>3847.5192012288785</v>
      </c>
      <c r="BY140" s="1377">
        <f t="shared" si="882"/>
        <v>3810.5052790346908</v>
      </c>
      <c r="BZ140" s="1377">
        <f t="shared" si="882"/>
        <v>3883.1919642857142</v>
      </c>
      <c r="CA140" s="1377">
        <f t="shared" si="882"/>
        <v>3842.0030674846626</v>
      </c>
      <c r="CB140" s="1377">
        <f t="shared" si="882"/>
        <v>3826.1740458015265</v>
      </c>
      <c r="CC140" s="1377">
        <f t="shared" si="882"/>
        <v>3681.6983408748115</v>
      </c>
      <c r="CD140" s="1377">
        <f t="shared" ref="CD140" si="883">+CD137/(CD223+CD235+CD245)</f>
        <v>3561.1991084695392</v>
      </c>
      <c r="CE140" s="1377">
        <f t="shared" ref="CE140:CF140" si="884">+CE137/(CE223+CE235+CE245)</f>
        <v>3553.2072072072074</v>
      </c>
      <c r="CF140" s="1377">
        <f t="shared" si="884"/>
        <v>3441.1326378539493</v>
      </c>
      <c r="CG140" s="1377">
        <f t="shared" ref="CG140:CH140" si="885">+CG137/(CG223+CG235+CG245)</f>
        <v>3300.6548148148149</v>
      </c>
      <c r="CH140" s="1377">
        <f t="shared" si="885"/>
        <v>3283.5903790087464</v>
      </c>
      <c r="CI140" s="1377">
        <f t="shared" ref="CI140:CJ140" si="886">+CI137/(CI223+CI235+CI245)</f>
        <v>3174.1297376093294</v>
      </c>
      <c r="CJ140" s="1377">
        <f t="shared" si="886"/>
        <v>3007.1273516642545</v>
      </c>
      <c r="CK140" s="1377">
        <f t="shared" ref="CK140" si="887">+CK137/(CK223+CK235+CK245)</f>
        <v>2964.9956772334294</v>
      </c>
      <c r="CL140" s="1385">
        <f t="shared" ref="CL140" si="888">+CH140*(1+CL141)</f>
        <v>3414.9339941690964</v>
      </c>
      <c r="CM140" s="1385">
        <f t="shared" ref="CM140" si="889">+CI140*(1+CM141)</f>
        <v>3301.0949271137029</v>
      </c>
      <c r="CN140" s="1385">
        <f t="shared" ref="CN140" si="890">+CJ140*(1+CN141)</f>
        <v>3127.4124457308249</v>
      </c>
      <c r="CO140" s="1385">
        <f t="shared" ref="CO140" si="891">+CK140*(1+CO141)</f>
        <v>3083.5955043227668</v>
      </c>
      <c r="CP140" s="1385">
        <f t="shared" ref="CP140" si="892">+CL140*(1+CP141)</f>
        <v>3551.5313539358604</v>
      </c>
      <c r="CQ140" s="1385"/>
      <c r="CR140" s="1385"/>
      <c r="CS140" s="1385"/>
      <c r="CT140" s="1385">
        <v>3414.9339941690964</v>
      </c>
      <c r="CU140" s="1383"/>
      <c r="CV140" s="1377"/>
      <c r="CW140" s="1377"/>
      <c r="CX140" s="1377"/>
      <c r="CY140" s="1377"/>
      <c r="CZ140" s="1377"/>
      <c r="DA140" s="1377"/>
      <c r="DB140" s="1380"/>
      <c r="DC140" s="1380"/>
      <c r="DD140" s="1380"/>
      <c r="DE140" s="1380"/>
      <c r="DF140" s="1384"/>
      <c r="DG140" s="1380"/>
      <c r="DH140" s="1380"/>
      <c r="DI140" s="1380"/>
      <c r="DJ140" s="1380"/>
      <c r="DK140" s="1377">
        <f t="shared" ref="DK140:DP140" si="893">+DK137/(DK223+DK235+DK245)</f>
        <v>3117.6799336650083</v>
      </c>
      <c r="DL140" s="1377">
        <f t="shared" si="893"/>
        <v>2805.3432343234322</v>
      </c>
      <c r="DM140" s="1377">
        <f t="shared" si="893"/>
        <v>3827.3396226415093</v>
      </c>
      <c r="DN140" s="1377">
        <f t="shared" si="893"/>
        <v>3883.1919642857142</v>
      </c>
      <c r="DO140" s="1377">
        <f t="shared" si="893"/>
        <v>3561.1991084695392</v>
      </c>
      <c r="DP140" s="1377">
        <f t="shared" si="893"/>
        <v>3283.5903790087464</v>
      </c>
      <c r="DQ140" s="1377">
        <f t="shared" ref="DQ140:DR140" si="894">+DQ137/(DQ223+DQ235+DQ245)</f>
        <v>3414.9339941690964</v>
      </c>
      <c r="DR140" s="1377">
        <f t="shared" si="894"/>
        <v>3551.5313539358599</v>
      </c>
      <c r="DS140" s="1385">
        <f>+DR140*(1+DS141)</f>
        <v>3693.5926080932945</v>
      </c>
      <c r="DT140" s="1385">
        <f t="shared" ref="DT140:DV140" si="895">+DS140*(1+DT141)</f>
        <v>3841.3363124170264</v>
      </c>
      <c r="DU140" s="1385">
        <f t="shared" si="895"/>
        <v>3994.9897649137074</v>
      </c>
      <c r="DV140" s="1385">
        <f t="shared" si="895"/>
        <v>4154.7893555102555</v>
      </c>
      <c r="DY140" s="1385">
        <v>3551.5313539358604</v>
      </c>
      <c r="DZ140" s="1385">
        <v>3693.592608093295</v>
      </c>
    </row>
    <row r="141" spans="1:130" s="1379" customFormat="1" ht="12">
      <c r="A141" s="1374" t="s">
        <v>120</v>
      </c>
      <c r="B141" s="1375"/>
      <c r="C141" s="1377"/>
      <c r="D141" s="1377"/>
      <c r="E141" s="1377"/>
      <c r="F141" s="1377"/>
      <c r="G141" s="1377"/>
      <c r="H141" s="1377"/>
      <c r="I141" s="1377"/>
      <c r="J141" s="1377"/>
      <c r="K141" s="1377"/>
      <c r="L141" s="1377"/>
      <c r="M141" s="1377"/>
      <c r="N141" s="1377"/>
      <c r="O141" s="1377"/>
      <c r="P141" s="1377"/>
      <c r="Q141" s="1377"/>
      <c r="R141" s="1377"/>
      <c r="S141" s="1377"/>
      <c r="T141" s="1377"/>
      <c r="U141" s="1377"/>
      <c r="V141" s="1377"/>
      <c r="W141" s="1377"/>
      <c r="X141" s="1377"/>
      <c r="Y141" s="1377"/>
      <c r="Z141" s="1377"/>
      <c r="AA141" s="1377"/>
      <c r="AB141" s="1377"/>
      <c r="AC141" s="1377"/>
      <c r="AD141" s="1377"/>
      <c r="AE141" s="1377"/>
      <c r="AF141" s="1377"/>
      <c r="AG141" s="1377"/>
      <c r="AH141" s="1377"/>
      <c r="AI141" s="1377"/>
      <c r="AJ141" s="1377"/>
      <c r="AK141" s="1377"/>
      <c r="AL141" s="1377"/>
      <c r="AM141" s="1377"/>
      <c r="AN141" s="1377"/>
      <c r="AO141" s="1377"/>
      <c r="AP141" s="1377"/>
      <c r="AQ141" s="1377"/>
      <c r="AR141" s="1377"/>
      <c r="AS141" s="1377"/>
      <c r="AT141" s="1377"/>
      <c r="AU141" s="1377"/>
      <c r="AV141" s="1377"/>
      <c r="AW141" s="1377"/>
      <c r="AX141" s="1377"/>
      <c r="AY141" s="1377"/>
      <c r="AZ141" s="1377"/>
      <c r="BA141" s="1377"/>
      <c r="BB141" s="1377"/>
      <c r="BC141" s="1377"/>
      <c r="BD141" s="1377"/>
      <c r="BE141" s="1377"/>
      <c r="BF141" s="1377"/>
      <c r="BG141" s="1377"/>
      <c r="BH141" s="1377"/>
      <c r="BI141" s="1377"/>
      <c r="BJ141" s="1377"/>
      <c r="BK141" s="1377"/>
      <c r="BL141" s="1377"/>
      <c r="BM141" s="1377"/>
      <c r="BN141" s="1377"/>
      <c r="BO141" s="1380">
        <f>+BO140/BK140-1</f>
        <v>-0.11606750110352515</v>
      </c>
      <c r="BP141" s="1380">
        <f>+BP140/BL140-1</f>
        <v>-0.27668924463124189</v>
      </c>
      <c r="BQ141" s="1380">
        <f>+BQ140/BM140-1</f>
        <v>-0.18609923031917497</v>
      </c>
      <c r="BR141" s="1380">
        <f>+BR140/BN140-1</f>
        <v>-0.1001824132005773</v>
      </c>
      <c r="BS141" s="1380">
        <f t="shared" ref="BS141:CK141" si="896">+BS140/BO140-1</f>
        <v>0.11890016298709694</v>
      </c>
      <c r="BT141" s="1380">
        <f t="shared" si="896"/>
        <v>0.41620339679864293</v>
      </c>
      <c r="BU141" s="1380">
        <f t="shared" si="896"/>
        <v>0.33104535711471916</v>
      </c>
      <c r="BV141" s="1380">
        <f t="shared" si="896"/>
        <v>0.36430351046315135</v>
      </c>
      <c r="BW141" s="1380">
        <f t="shared" si="896"/>
        <v>9.6148511960874927E-2</v>
      </c>
      <c r="BX141" s="1380">
        <f t="shared" si="896"/>
        <v>6.1148757862992786E-2</v>
      </c>
      <c r="BY141" s="1380">
        <f t="shared" si="896"/>
        <v>5.0175191395303465E-2</v>
      </c>
      <c r="BZ141" s="1380">
        <f t="shared" si="896"/>
        <v>1.4592993345507566E-2</v>
      </c>
      <c r="CA141" s="1380">
        <f t="shared" si="896"/>
        <v>1.9467705761218035E-2</v>
      </c>
      <c r="CB141" s="1380">
        <f t="shared" si="896"/>
        <v>-5.5477709950179088E-3</v>
      </c>
      <c r="CC141" s="1380">
        <f t="shared" si="896"/>
        <v>-3.3803112376873501E-2</v>
      </c>
      <c r="CD141" s="1380">
        <f t="shared" si="896"/>
        <v>-8.2919633841847307E-2</v>
      </c>
      <c r="CE141" s="1380">
        <f t="shared" si="896"/>
        <v>-7.5168045210991519E-2</v>
      </c>
      <c r="CF141" s="1380">
        <f t="shared" si="896"/>
        <v>-0.10063353191423285</v>
      </c>
      <c r="CG141" s="1380">
        <f t="shared" si="896"/>
        <v>-0.10349667212807456</v>
      </c>
      <c r="CH141" s="1380">
        <f t="shared" si="896"/>
        <v>-7.7953723171658829E-2</v>
      </c>
      <c r="CI141" s="1380">
        <f t="shared" si="896"/>
        <v>-0.10668600154501817</v>
      </c>
      <c r="CJ141" s="1380">
        <f t="shared" si="896"/>
        <v>-0.12612280079397364</v>
      </c>
      <c r="CK141" s="1380">
        <f t="shared" si="896"/>
        <v>-0.10169471102364214</v>
      </c>
      <c r="CL141" s="1382">
        <v>0.04</v>
      </c>
      <c r="CM141" s="1382">
        <v>0.04</v>
      </c>
      <c r="CN141" s="1382">
        <v>0.04</v>
      </c>
      <c r="CO141" s="1382">
        <v>0.04</v>
      </c>
      <c r="CP141" s="1382">
        <v>0.04</v>
      </c>
      <c r="CQ141" s="1382"/>
      <c r="CR141" s="1382"/>
      <c r="CS141" s="1382"/>
      <c r="CT141" s="1382">
        <v>0.04</v>
      </c>
      <c r="CU141" s="1383"/>
      <c r="CV141" s="1377"/>
      <c r="CW141" s="1377"/>
      <c r="CX141" s="1377"/>
      <c r="CY141" s="1377"/>
      <c r="CZ141" s="1377"/>
      <c r="DA141" s="1377"/>
      <c r="DB141" s="1380"/>
      <c r="DC141" s="1380"/>
      <c r="DD141" s="1380"/>
      <c r="DE141" s="1380"/>
      <c r="DF141" s="1384"/>
      <c r="DG141" s="1380"/>
      <c r="DH141" s="1380"/>
      <c r="DI141" s="1380"/>
      <c r="DJ141" s="1380"/>
      <c r="DK141" s="1380"/>
      <c r="DL141" s="1380">
        <f t="shared" ref="DL141:DR141" si="897">+DL140/DK140-1</f>
        <v>-0.1001824132005773</v>
      </c>
      <c r="DM141" s="1380">
        <f t="shared" si="897"/>
        <v>0.36430351046315135</v>
      </c>
      <c r="DN141" s="1380">
        <f t="shared" si="897"/>
        <v>1.4592993345507566E-2</v>
      </c>
      <c r="DO141" s="1380">
        <f t="shared" si="897"/>
        <v>-8.2919633841847307E-2</v>
      </c>
      <c r="DP141" s="1380">
        <f t="shared" si="897"/>
        <v>-7.7953723171658829E-2</v>
      </c>
      <c r="DQ141" s="1380">
        <f t="shared" si="897"/>
        <v>4.0000000000000036E-2</v>
      </c>
      <c r="DR141" s="1380">
        <f t="shared" si="897"/>
        <v>3.9999999999999813E-2</v>
      </c>
      <c r="DS141" s="1382">
        <v>0.04</v>
      </c>
      <c r="DT141" s="1382">
        <v>0.04</v>
      </c>
      <c r="DU141" s="1382">
        <v>0.04</v>
      </c>
      <c r="DV141" s="1382">
        <v>0.04</v>
      </c>
      <c r="DY141" s="1382">
        <v>0.04</v>
      </c>
      <c r="DZ141" s="1382">
        <v>0.04</v>
      </c>
    </row>
    <row r="142" spans="1:130" s="1379" customFormat="1" ht="12">
      <c r="A142" s="1374"/>
      <c r="B142" s="1375"/>
      <c r="C142" s="1377"/>
      <c r="D142" s="1377"/>
      <c r="E142" s="1377"/>
      <c r="F142" s="1377"/>
      <c r="G142" s="1377"/>
      <c r="H142" s="1377"/>
      <c r="I142" s="1377"/>
      <c r="J142" s="1377"/>
      <c r="K142" s="1377"/>
      <c r="L142" s="1377"/>
      <c r="M142" s="1377"/>
      <c r="N142" s="1377"/>
      <c r="O142" s="1377"/>
      <c r="P142" s="1377"/>
      <c r="Q142" s="1377"/>
      <c r="R142" s="1377"/>
      <c r="S142" s="1377"/>
      <c r="T142" s="1377"/>
      <c r="U142" s="1377"/>
      <c r="V142" s="1377"/>
      <c r="W142" s="1377"/>
      <c r="X142" s="1377"/>
      <c r="Y142" s="1377"/>
      <c r="Z142" s="1377"/>
      <c r="AA142" s="1377"/>
      <c r="AB142" s="1377"/>
      <c r="AC142" s="1377"/>
      <c r="AD142" s="1377"/>
      <c r="AE142" s="1377"/>
      <c r="AF142" s="1377"/>
      <c r="AG142" s="1377"/>
      <c r="AH142" s="1377"/>
      <c r="AI142" s="1377"/>
      <c r="AJ142" s="1377"/>
      <c r="AK142" s="1377"/>
      <c r="AL142" s="1377"/>
      <c r="AM142" s="1377"/>
      <c r="AN142" s="1377"/>
      <c r="AO142" s="1377"/>
      <c r="AP142" s="1377"/>
      <c r="AQ142" s="1377"/>
      <c r="AR142" s="1377"/>
      <c r="AS142" s="1377"/>
      <c r="AT142" s="1377"/>
      <c r="AU142" s="1377"/>
      <c r="AV142" s="1377"/>
      <c r="AW142" s="1377"/>
      <c r="AX142" s="1377"/>
      <c r="AY142" s="1377"/>
      <c r="AZ142" s="1377"/>
      <c r="BA142" s="1377"/>
      <c r="BB142" s="1377"/>
      <c r="BC142" s="1377"/>
      <c r="BD142" s="1377"/>
      <c r="BE142" s="1377"/>
      <c r="BF142" s="1377"/>
      <c r="BG142" s="1377"/>
      <c r="BH142" s="1377"/>
      <c r="BI142" s="1377"/>
      <c r="BJ142" s="1377"/>
      <c r="BK142" s="1377"/>
      <c r="BL142" s="1377"/>
      <c r="BM142" s="1377"/>
      <c r="BN142" s="1377"/>
      <c r="BO142" s="1380"/>
      <c r="BP142" s="1380"/>
      <c r="BQ142" s="1380"/>
      <c r="BR142" s="1380"/>
      <c r="BS142" s="1380"/>
      <c r="BT142" s="1380"/>
      <c r="BU142" s="1380"/>
      <c r="BV142" s="1380"/>
      <c r="BW142" s="1380"/>
      <c r="BX142" s="1380"/>
      <c r="BY142" s="1380"/>
      <c r="BZ142" s="1380"/>
      <c r="CA142" s="1380"/>
      <c r="CB142" s="1380"/>
      <c r="CC142" s="1380"/>
      <c r="CD142" s="1380"/>
      <c r="CE142" s="1380"/>
      <c r="CF142" s="1380"/>
      <c r="CG142" s="1380"/>
      <c r="CH142" s="1380"/>
      <c r="CI142" s="1380"/>
      <c r="CJ142" s="1380"/>
      <c r="CK142" s="1380"/>
      <c r="CL142" s="1382"/>
      <c r="CM142" s="1382"/>
      <c r="CN142" s="1382"/>
      <c r="CO142" s="1382"/>
      <c r="CP142" s="1382"/>
      <c r="CQ142" s="1382"/>
      <c r="CR142" s="1382"/>
      <c r="CS142" s="1382"/>
      <c r="CT142" s="1382"/>
      <c r="CU142" s="1383"/>
      <c r="CV142" s="1377"/>
      <c r="CW142" s="1377"/>
      <c r="CX142" s="1377"/>
      <c r="CY142" s="1377"/>
      <c r="CZ142" s="1377"/>
      <c r="DA142" s="1377"/>
      <c r="DB142" s="1380"/>
      <c r="DC142" s="1380"/>
      <c r="DD142" s="1380"/>
      <c r="DE142" s="1380"/>
      <c r="DF142" s="1384"/>
      <c r="DG142" s="1380"/>
      <c r="DH142" s="1380"/>
      <c r="DI142" s="1380"/>
      <c r="DJ142" s="1380"/>
      <c r="DK142" s="1380"/>
      <c r="DL142" s="1380"/>
      <c r="DM142" s="1380"/>
      <c r="DN142" s="1380"/>
      <c r="DO142" s="1380"/>
      <c r="DP142" s="1380"/>
      <c r="DQ142" s="1380"/>
      <c r="DR142" s="1380"/>
      <c r="DS142" s="1382"/>
      <c r="DT142" s="1382"/>
      <c r="DU142" s="1382"/>
      <c r="DV142" s="1382"/>
      <c r="DY142" s="1382"/>
      <c r="DZ142" s="1382"/>
    </row>
    <row r="143" spans="1:130" s="1392" customFormat="1" ht="12">
      <c r="A143" s="1386"/>
      <c r="B143" s="1387"/>
      <c r="C143" s="1388"/>
      <c r="D143" s="1388"/>
      <c r="E143" s="1388"/>
      <c r="F143" s="1388"/>
      <c r="G143" s="1388"/>
      <c r="H143" s="1388"/>
      <c r="I143" s="1388"/>
      <c r="J143" s="1388"/>
      <c r="K143" s="1388"/>
      <c r="L143" s="1388"/>
      <c r="M143" s="1388"/>
      <c r="N143" s="1388"/>
      <c r="O143" s="1388"/>
      <c r="P143" s="1388"/>
      <c r="Q143" s="1388"/>
      <c r="R143" s="1388"/>
      <c r="S143" s="1388"/>
      <c r="T143" s="1388"/>
      <c r="U143" s="1388"/>
      <c r="V143" s="1388"/>
      <c r="W143" s="1388"/>
      <c r="X143" s="1388"/>
      <c r="Y143" s="1388"/>
      <c r="Z143" s="1388"/>
      <c r="AA143" s="1388"/>
      <c r="AB143" s="1388"/>
      <c r="AC143" s="1388"/>
      <c r="AD143" s="1388"/>
      <c r="AE143" s="1388"/>
      <c r="AF143" s="1388"/>
      <c r="AG143" s="1388"/>
      <c r="AH143" s="1388"/>
      <c r="AI143" s="1388"/>
      <c r="AJ143" s="1388"/>
      <c r="AK143" s="1388"/>
      <c r="AL143" s="1388"/>
      <c r="AM143" s="1388"/>
      <c r="AN143" s="1388"/>
      <c r="AO143" s="1388"/>
      <c r="AP143" s="1388"/>
      <c r="AQ143" s="1388"/>
      <c r="AR143" s="1388"/>
      <c r="AS143" s="1388"/>
      <c r="AT143" s="1388"/>
      <c r="AU143" s="1388"/>
      <c r="AV143" s="1388"/>
      <c r="AW143" s="1388"/>
      <c r="AX143" s="1388"/>
      <c r="AY143" s="1388"/>
      <c r="AZ143" s="1388"/>
      <c r="BA143" s="1388"/>
      <c r="BB143" s="1388"/>
      <c r="BC143" s="1388"/>
      <c r="BD143" s="1388"/>
      <c r="BE143" s="1388"/>
      <c r="BF143" s="1388"/>
      <c r="BG143" s="1388"/>
      <c r="BH143" s="1388"/>
      <c r="BI143" s="1388"/>
      <c r="BJ143" s="1388"/>
      <c r="BK143" s="1389">
        <f>+BK144/BK137</f>
        <v>0.88040632710528022</v>
      </c>
      <c r="BL143" s="1389">
        <f t="shared" ref="BL143:BQ143" si="898">+BL144/BL137</f>
        <v>0.83885028085752622</v>
      </c>
      <c r="BM143" s="1389">
        <f t="shared" si="898"/>
        <v>0.86760545743282091</v>
      </c>
      <c r="BN143" s="1389">
        <f t="shared" si="898"/>
        <v>0.92521121448796018</v>
      </c>
      <c r="BO143" s="1389">
        <f t="shared" si="898"/>
        <v>0.92804031364750417</v>
      </c>
      <c r="BP143" s="1389">
        <f t="shared" si="898"/>
        <v>1.0831694970810433</v>
      </c>
      <c r="BQ143" s="1389">
        <f t="shared" si="898"/>
        <v>1.0865417847515033</v>
      </c>
      <c r="BR143" s="1389">
        <f t="shared" ref="BR143:BY143" si="899">+BR144/BR137</f>
        <v>1.0954972771196878</v>
      </c>
      <c r="BS143" s="1389">
        <f t="shared" si="899"/>
        <v>1.0859949574532115</v>
      </c>
      <c r="BT143" s="1389">
        <f t="shared" si="899"/>
        <v>1.0836665381339223</v>
      </c>
      <c r="BU143" s="1389">
        <f t="shared" si="899"/>
        <v>1.088936331629677</v>
      </c>
      <c r="BV143" s="1389">
        <f t="shared" si="899"/>
        <v>1.0931924732189955</v>
      </c>
      <c r="BW143" s="1389">
        <f t="shared" si="899"/>
        <v>1.0995487420925889</v>
      </c>
      <c r="BX143" s="1389">
        <f t="shared" si="899"/>
        <v>1.1028132716634693</v>
      </c>
      <c r="BY143" s="1389">
        <f t="shared" si="899"/>
        <v>1.1052535955810028</v>
      </c>
      <c r="BZ143" s="1389">
        <f t="shared" ref="BZ143:CA143" si="900">+BZ144/BZ137</f>
        <v>1.1151195341645255</v>
      </c>
      <c r="CA143" s="1389">
        <f t="shared" si="900"/>
        <v>1.1187120407060158</v>
      </c>
      <c r="CB143" s="1389">
        <f t="shared" ref="CB143:CC143" si="901">+CB144/CB137</f>
        <v>1.1160922915842026</v>
      </c>
      <c r="CC143" s="1389">
        <f t="shared" si="901"/>
        <v>1.1237489584041729</v>
      </c>
      <c r="CD143" s="1389">
        <f t="shared" ref="CD143" si="902">+CD144/CD137</f>
        <v>1.1441907099258268</v>
      </c>
      <c r="CE143" s="1389">
        <f t="shared" ref="CE143:CF143" si="903">+CE144/CE137</f>
        <v>1.1382112172059586</v>
      </c>
      <c r="CF143" s="1389">
        <f t="shared" si="903"/>
        <v>1.1439735816370724</v>
      </c>
      <c r="CG143" s="1389">
        <f t="shared" ref="CG143:CH143" si="904">+CG144/CG137</f>
        <v>1.1475536616303297</v>
      </c>
      <c r="CH143" s="1389">
        <f t="shared" si="904"/>
        <v>1.1681956792833699</v>
      </c>
      <c r="CI143" s="1389">
        <f t="shared" ref="CI143" si="905">+CI144/CI137</f>
        <v>1.1786706762442174</v>
      </c>
      <c r="CJ143" s="1389">
        <f t="shared" ref="CJ143:CK143" si="906">+CJ144/CJ137</f>
        <v>1.2083694069805215</v>
      </c>
      <c r="CK143" s="1389">
        <f t="shared" si="906"/>
        <v>1.2126473788542296</v>
      </c>
      <c r="CL143" s="1382">
        <f t="shared" ref="CL143" si="907">+CK143</f>
        <v>1.2126473788542296</v>
      </c>
      <c r="CM143" s="1382">
        <f t="shared" ref="CM143" si="908">+CL143</f>
        <v>1.2126473788542296</v>
      </c>
      <c r="CN143" s="1382">
        <f t="shared" ref="CN143" si="909">+CM143</f>
        <v>1.2126473788542296</v>
      </c>
      <c r="CO143" s="1382">
        <f t="shared" ref="CO143" si="910">+CN143</f>
        <v>1.2126473788542296</v>
      </c>
      <c r="CP143" s="1382">
        <f t="shared" ref="CP143" si="911">+CO143</f>
        <v>1.2126473788542296</v>
      </c>
      <c r="CQ143" s="1382"/>
      <c r="CR143" s="1382"/>
      <c r="CS143" s="1382"/>
      <c r="CT143" s="1382">
        <v>1.2126473788542296</v>
      </c>
      <c r="CU143" s="1390"/>
      <c r="CV143" s="1388"/>
      <c r="CW143" s="1388"/>
      <c r="CX143" s="1388"/>
      <c r="CY143" s="1388"/>
      <c r="CZ143" s="1388"/>
      <c r="DA143" s="1388"/>
      <c r="DB143" s="1389"/>
      <c r="DC143" s="1389"/>
      <c r="DD143" s="1389"/>
      <c r="DE143" s="1389"/>
      <c r="DF143" s="1391"/>
      <c r="DG143" s="1389"/>
      <c r="DH143" s="1389"/>
      <c r="DI143" s="1389"/>
      <c r="DJ143" s="1389"/>
      <c r="DK143" s="1389">
        <f t="shared" ref="DK143:DP143" si="912">+DK144/DK137</f>
        <v>0.92521121448796018</v>
      </c>
      <c r="DL143" s="1389">
        <f t="shared" si="912"/>
        <v>1.0954972771196878</v>
      </c>
      <c r="DM143" s="1389">
        <f t="shared" si="912"/>
        <v>1.0931924732189955</v>
      </c>
      <c r="DN143" s="1389">
        <f t="shared" si="912"/>
        <v>1.1151195341645255</v>
      </c>
      <c r="DO143" s="1389">
        <f t="shared" si="912"/>
        <v>1.1441907099258268</v>
      </c>
      <c r="DP143" s="1389">
        <f t="shared" si="912"/>
        <v>1.1681956792833699</v>
      </c>
      <c r="DQ143" s="1389">
        <f t="shared" ref="DQ143:DR143" si="913">+DQ144/DQ137</f>
        <v>1.2126473788542296</v>
      </c>
      <c r="DR143" s="1389">
        <f t="shared" si="913"/>
        <v>1.2126473788542296</v>
      </c>
      <c r="DS143" s="1382">
        <f>+DR143</f>
        <v>1.2126473788542296</v>
      </c>
      <c r="DT143" s="1382">
        <f t="shared" ref="DT143:DV143" si="914">+DS143</f>
        <v>1.2126473788542296</v>
      </c>
      <c r="DU143" s="1382">
        <f t="shared" si="914"/>
        <v>1.2126473788542296</v>
      </c>
      <c r="DV143" s="1382">
        <f t="shared" si="914"/>
        <v>1.2126473788542296</v>
      </c>
      <c r="DY143" s="1382">
        <v>1.2126473788542296</v>
      </c>
      <c r="DZ143" s="1382">
        <v>1.2126473788542296</v>
      </c>
    </row>
    <row r="144" spans="1:130" s="1400" customFormat="1" ht="12">
      <c r="A144" s="1393" t="s">
        <v>226</v>
      </c>
      <c r="B144" s="1394"/>
      <c r="C144" s="1395"/>
      <c r="D144" s="1395"/>
      <c r="E144" s="1395"/>
      <c r="F144" s="1395"/>
      <c r="G144" s="1395"/>
      <c r="H144" s="1395"/>
      <c r="I144" s="1395"/>
      <c r="J144" s="1395"/>
      <c r="K144" s="1395"/>
      <c r="L144" s="1395"/>
      <c r="M144" s="1395"/>
      <c r="N144" s="1395"/>
      <c r="O144" s="1395"/>
      <c r="P144" s="1395"/>
      <c r="Q144" s="1395"/>
      <c r="R144" s="1395"/>
      <c r="S144" s="1395"/>
      <c r="T144" s="1395"/>
      <c r="U144" s="1395"/>
      <c r="V144" s="1395"/>
      <c r="W144" s="1395"/>
      <c r="X144" s="1395"/>
      <c r="Y144" s="1395"/>
      <c r="Z144" s="1395"/>
      <c r="AA144" s="1395"/>
      <c r="AB144" s="1395"/>
      <c r="AC144" s="1395"/>
      <c r="AD144" s="1395"/>
      <c r="AE144" s="1395"/>
      <c r="AF144" s="1395"/>
      <c r="AG144" s="1395"/>
      <c r="AH144" s="1395"/>
      <c r="AI144" s="1395"/>
      <c r="AJ144" s="1395"/>
      <c r="AK144" s="1395"/>
      <c r="AL144" s="1395"/>
      <c r="AM144" s="1395"/>
      <c r="AN144" s="1395"/>
      <c r="AO144" s="1395"/>
      <c r="AP144" s="1395"/>
      <c r="AQ144" s="1395"/>
      <c r="AR144" s="1395"/>
      <c r="AS144" s="1395"/>
      <c r="AT144" s="1395"/>
      <c r="AU144" s="1395"/>
      <c r="AV144" s="1395"/>
      <c r="AW144" s="1395"/>
      <c r="AX144" s="1395"/>
      <c r="AY144" s="1395"/>
      <c r="AZ144" s="1395"/>
      <c r="BA144" s="1395"/>
      <c r="BB144" s="1395"/>
      <c r="BC144" s="1395"/>
      <c r="BD144" s="1395"/>
      <c r="BE144" s="1395"/>
      <c r="BF144" s="1395"/>
      <c r="BG144" s="1395"/>
      <c r="BH144" s="1395"/>
      <c r="BI144" s="1395"/>
      <c r="BJ144" s="1395"/>
      <c r="BK144" s="1395">
        <f t="shared" ref="BK144:BY144" si="915">+BK145+BK146</f>
        <v>1707740</v>
      </c>
      <c r="BL144" s="1395">
        <f t="shared" si="915"/>
        <v>1692440</v>
      </c>
      <c r="BM144" s="1395">
        <f t="shared" si="915"/>
        <v>1676697</v>
      </c>
      <c r="BN144" s="1395">
        <f t="shared" si="915"/>
        <v>1739361</v>
      </c>
      <c r="BO144" s="1395">
        <f t="shared" si="915"/>
        <v>1702412</v>
      </c>
      <c r="BP144" s="1395">
        <f t="shared" si="915"/>
        <v>1655578</v>
      </c>
      <c r="BQ144" s="1395">
        <f t="shared" si="915"/>
        <v>1791966</v>
      </c>
      <c r="BR144" s="1395">
        <f t="shared" si="915"/>
        <v>1862387</v>
      </c>
      <c r="BS144" s="1395">
        <f t="shared" si="915"/>
        <v>2262639</v>
      </c>
      <c r="BT144" s="1395">
        <f t="shared" si="915"/>
        <v>2487161</v>
      </c>
      <c r="BU144" s="1395">
        <f t="shared" si="915"/>
        <v>2508979</v>
      </c>
      <c r="BV144" s="1395">
        <f t="shared" si="915"/>
        <v>2661036</v>
      </c>
      <c r="BW144" s="1395">
        <f t="shared" si="915"/>
        <v>2643744</v>
      </c>
      <c r="BX144" s="1395">
        <f t="shared" si="915"/>
        <v>2762255</v>
      </c>
      <c r="BY144" s="1395">
        <f t="shared" si="915"/>
        <v>2792274</v>
      </c>
      <c r="BZ144" s="1395">
        <f t="shared" ref="BZ144:CA144" si="916">+BZ145+BZ146</f>
        <v>2909910</v>
      </c>
      <c r="CA144" s="1395">
        <f t="shared" si="916"/>
        <v>2802358</v>
      </c>
      <c r="CB144" s="1395">
        <f t="shared" ref="CB144:CC144" si="917">+CB145+CB146</f>
        <v>2797088</v>
      </c>
      <c r="CC144" s="1395">
        <f t="shared" si="917"/>
        <v>2743033</v>
      </c>
      <c r="CD144" s="1395">
        <f t="shared" ref="CD144" si="918">+CD145+CD146</f>
        <v>2742267</v>
      </c>
      <c r="CE144" s="1395">
        <f t="shared" ref="CE144:CF144" si="919">+CE145+CE146</f>
        <v>2693504</v>
      </c>
      <c r="CF144" s="1395">
        <f t="shared" si="919"/>
        <v>2641435</v>
      </c>
      <c r="CG144" s="1395">
        <f t="shared" ref="CG144:CH144" si="920">+CG145+CG146</f>
        <v>2556683</v>
      </c>
      <c r="CH144" s="1395">
        <f t="shared" si="920"/>
        <v>2631411</v>
      </c>
      <c r="CI144" s="1395">
        <f t="shared" ref="CI144" si="921">+CI145+CI146</f>
        <v>2566500</v>
      </c>
      <c r="CJ144" s="1395">
        <f t="shared" ref="CJ144:CK144" si="922">+CJ145+CJ146</f>
        <v>2510901</v>
      </c>
      <c r="CK144" s="1395">
        <f t="shared" si="922"/>
        <v>2495273</v>
      </c>
      <c r="CL144" s="1396">
        <f t="shared" ref="CL144:CP144" si="923">+CL143*CL137</f>
        <v>2977458.6342753493</v>
      </c>
      <c r="CM144" s="1396">
        <f t="shared" si="923"/>
        <v>2886209.22382438</v>
      </c>
      <c r="CN144" s="1396">
        <f t="shared" si="923"/>
        <v>2757110.0630707191</v>
      </c>
      <c r="CO144" s="1396">
        <f t="shared" si="923"/>
        <v>2755874.4222478387</v>
      </c>
      <c r="CP144" s="1396">
        <f t="shared" si="923"/>
        <v>3268827.1871371209</v>
      </c>
      <c r="CQ144" s="1396"/>
      <c r="CR144" s="1396"/>
      <c r="CS144" s="1396"/>
      <c r="CT144" s="1396">
        <v>2977458.6342753493</v>
      </c>
      <c r="CU144" s="1397"/>
      <c r="CV144" s="1395"/>
      <c r="CW144" s="1395"/>
      <c r="CX144" s="1395"/>
      <c r="CY144" s="1395"/>
      <c r="CZ144" s="1395"/>
      <c r="DA144" s="1395"/>
      <c r="DB144" s="1398"/>
      <c r="DC144" s="1398"/>
      <c r="DD144" s="1398"/>
      <c r="DE144" s="1398"/>
      <c r="DF144" s="1399"/>
      <c r="DG144" s="1398"/>
      <c r="DH144" s="1398"/>
      <c r="DI144" s="1398"/>
      <c r="DJ144" s="1398"/>
      <c r="DK144" s="1395">
        <f t="shared" ref="DK144:DP144" si="924">+DK145+DK146</f>
        <v>1739361</v>
      </c>
      <c r="DL144" s="1395">
        <f t="shared" si="924"/>
        <v>1862387</v>
      </c>
      <c r="DM144" s="1395">
        <f t="shared" si="924"/>
        <v>2661036</v>
      </c>
      <c r="DN144" s="1395">
        <f t="shared" si="924"/>
        <v>2909910</v>
      </c>
      <c r="DO144" s="1395">
        <f t="shared" si="924"/>
        <v>2742267</v>
      </c>
      <c r="DP144" s="1395">
        <f t="shared" si="924"/>
        <v>2631411</v>
      </c>
      <c r="DQ144" s="1395">
        <f t="shared" ref="DQ144:DR144" si="925">+DQ145+DQ146</f>
        <v>2977458.6342753493</v>
      </c>
      <c r="DR144" s="1395">
        <f t="shared" si="925"/>
        <v>3268827.1871371209</v>
      </c>
      <c r="DS144" s="1396">
        <f>+DS143*DS137</f>
        <v>3578741.2904129932</v>
      </c>
      <c r="DT144" s="1396">
        <f t="shared" ref="DT144:DV144" si="926">+DT143*DT137</f>
        <v>3908218.3984515164</v>
      </c>
      <c r="DU144" s="1396">
        <f t="shared" si="926"/>
        <v>4258327.6890684599</v>
      </c>
      <c r="DV144" s="1396">
        <f t="shared" si="926"/>
        <v>4630192.5734972367</v>
      </c>
      <c r="DY144" s="1396">
        <v>3268827.1871371209</v>
      </c>
      <c r="DZ144" s="1396">
        <v>3578741.2904129941</v>
      </c>
    </row>
    <row r="145" spans="1:130" s="1379" customFormat="1" ht="12">
      <c r="A145" s="1374" t="s">
        <v>227</v>
      </c>
      <c r="B145" s="1375"/>
      <c r="C145" s="1377"/>
      <c r="D145" s="1377"/>
      <c r="E145" s="1377"/>
      <c r="F145" s="1377"/>
      <c r="G145" s="1377"/>
      <c r="H145" s="1377"/>
      <c r="I145" s="1377"/>
      <c r="J145" s="1377"/>
      <c r="K145" s="1377"/>
      <c r="L145" s="1377"/>
      <c r="M145" s="1377"/>
      <c r="N145" s="1377"/>
      <c r="O145" s="1377"/>
      <c r="P145" s="1377"/>
      <c r="Q145" s="1377"/>
      <c r="R145" s="1377"/>
      <c r="S145" s="1377"/>
      <c r="T145" s="1377"/>
      <c r="U145" s="1377"/>
      <c r="V145" s="1377"/>
      <c r="W145" s="1377"/>
      <c r="X145" s="1377"/>
      <c r="Y145" s="1377"/>
      <c r="Z145" s="1377"/>
      <c r="AA145" s="1377"/>
      <c r="AB145" s="1377"/>
      <c r="AC145" s="1377"/>
      <c r="AD145" s="1377"/>
      <c r="AE145" s="1377"/>
      <c r="AF145" s="1377"/>
      <c r="AG145" s="1377"/>
      <c r="AH145" s="1377"/>
      <c r="AI145" s="1377"/>
      <c r="AJ145" s="1377"/>
      <c r="AK145" s="1377"/>
      <c r="AL145" s="1377"/>
      <c r="AM145" s="1377"/>
      <c r="AN145" s="1377"/>
      <c r="AO145" s="1377"/>
      <c r="AP145" s="1377"/>
      <c r="AQ145" s="1377"/>
      <c r="AR145" s="1377"/>
      <c r="AS145" s="1377"/>
      <c r="AT145" s="1377"/>
      <c r="AU145" s="1377"/>
      <c r="AV145" s="1377"/>
      <c r="AW145" s="1377"/>
      <c r="AX145" s="1377"/>
      <c r="AY145" s="1377"/>
      <c r="AZ145" s="1377"/>
      <c r="BA145" s="1377"/>
      <c r="BB145" s="1377"/>
      <c r="BC145" s="1377"/>
      <c r="BD145" s="1377"/>
      <c r="BE145" s="1377"/>
      <c r="BF145" s="1377"/>
      <c r="BG145" s="1377"/>
      <c r="BH145" s="1377"/>
      <c r="BI145" s="1377"/>
      <c r="BJ145" s="1377"/>
      <c r="BK145" s="1377">
        <f>+PROJ!BK112</f>
        <v>390444</v>
      </c>
      <c r="BL145" s="1377">
        <f>+PROJ!BL112</f>
        <v>394000</v>
      </c>
      <c r="BM145" s="1377">
        <f>+PROJ!BM112</f>
        <v>383992</v>
      </c>
      <c r="BN145" s="1377">
        <f>+PROJ!BN112</f>
        <v>447685</v>
      </c>
      <c r="BO145" s="1377">
        <f>+PROJ!BO112</f>
        <v>425077</v>
      </c>
      <c r="BP145" s="1377">
        <f>+PROJ!BP112</f>
        <v>434076</v>
      </c>
      <c r="BQ145" s="1377">
        <f>+PROJ!BQ112</f>
        <v>483518</v>
      </c>
      <c r="BR145" s="1377">
        <f>+PROJ!BR112</f>
        <v>496583</v>
      </c>
      <c r="BS145" s="1377">
        <f>+PROJ!BS112</f>
        <v>553285</v>
      </c>
      <c r="BT145" s="1377">
        <f>+PROJ!BT112</f>
        <v>608032</v>
      </c>
      <c r="BU145" s="1377">
        <f>+PROJ!BU112</f>
        <v>619360</v>
      </c>
      <c r="BV145" s="1377">
        <f>+PROJ!BV112</f>
        <v>666100</v>
      </c>
      <c r="BW145" s="1377">
        <f>+PROJ!BW112</f>
        <v>654978</v>
      </c>
      <c r="BX145" s="1377">
        <f>+PROJ!BX112</f>
        <v>678991</v>
      </c>
      <c r="BY145" s="1377">
        <f>+PROJ!BY112</f>
        <v>687735</v>
      </c>
      <c r="BZ145" s="1377">
        <f>+PROJ!BZ112</f>
        <v>719829</v>
      </c>
      <c r="CA145" s="1377">
        <f>+PROJ!CA112</f>
        <v>722791</v>
      </c>
      <c r="CB145" s="1377">
        <f>+PROJ!CB112</f>
        <v>731470</v>
      </c>
      <c r="CC145" s="1377">
        <f>+PROJ!CC112</f>
        <v>731263</v>
      </c>
      <c r="CD145" s="1377">
        <f>+PROJ!CD112</f>
        <v>733322</v>
      </c>
      <c r="CE145" s="1377">
        <f>+PROJ!CE112</f>
        <v>753808</v>
      </c>
      <c r="CF145" s="1377">
        <f>+PROJ!CF112</f>
        <v>748045</v>
      </c>
      <c r="CG145" s="1377">
        <f>+PROJ!CG112</f>
        <v>712076</v>
      </c>
      <c r="CH145" s="1377">
        <f>+PROJ!CH112</f>
        <v>783850</v>
      </c>
      <c r="CI145" s="1377">
        <f>+PROJ!CI112</f>
        <v>787944</v>
      </c>
      <c r="CJ145" s="1377">
        <f>+PROJ!CJ112</f>
        <v>796999</v>
      </c>
      <c r="CK145" s="1377">
        <f>+PROJ!CK112</f>
        <v>745106</v>
      </c>
      <c r="CL145" s="1385">
        <f t="shared" ref="CL145" si="927">+CK145*CL144/CK144</f>
        <v>889090.00864850008</v>
      </c>
      <c r="CM145" s="1385">
        <f t="shared" ref="CM145" si="928">+CL145*CM144/CL144</f>
        <v>861842.29538286547</v>
      </c>
      <c r="CN145" s="1385">
        <f t="shared" ref="CN145" si="929">+CM145*CN144/CM144</f>
        <v>823292.38149668253</v>
      </c>
      <c r="CO145" s="1385">
        <f t="shared" ref="CO145" si="930">+CN145*CO144/CN144</f>
        <v>822923.41048991366</v>
      </c>
      <c r="CP145" s="1385">
        <f t="shared" ref="CP145" si="931">+CO145*CP144/CO144</f>
        <v>976094.69989816425</v>
      </c>
      <c r="CQ145" s="1385"/>
      <c r="CR145" s="1385"/>
      <c r="CS145" s="1385"/>
      <c r="CT145" s="1385">
        <v>889090.00864850008</v>
      </c>
      <c r="CU145" s="1383"/>
      <c r="CV145" s="1377"/>
      <c r="CW145" s="1377"/>
      <c r="CX145" s="1377"/>
      <c r="CY145" s="1377"/>
      <c r="CZ145" s="1377"/>
      <c r="DA145" s="1377"/>
      <c r="DB145" s="1380"/>
      <c r="DC145" s="1380"/>
      <c r="DD145" s="1380"/>
      <c r="DE145" s="1380"/>
      <c r="DF145" s="1384"/>
      <c r="DG145" s="1380"/>
      <c r="DH145" s="1380"/>
      <c r="DI145" s="1380"/>
      <c r="DJ145" s="1380"/>
      <c r="DK145" s="1377">
        <f>+PROJ!DJ112</f>
        <v>447685</v>
      </c>
      <c r="DL145" s="1377">
        <f>+PROJ!DK112</f>
        <v>496583</v>
      </c>
      <c r="DM145" s="1377">
        <f>+PROJ!DL112</f>
        <v>666100</v>
      </c>
      <c r="DN145" s="1377">
        <f>+PROJ!DM112</f>
        <v>719829</v>
      </c>
      <c r="DO145" s="1377">
        <f>+PROJ!DN112</f>
        <v>733322</v>
      </c>
      <c r="DP145" s="1377">
        <f>+PROJ!DO112</f>
        <v>783850</v>
      </c>
      <c r="DQ145" s="1377">
        <f>+PROJ!DP112</f>
        <v>889090.00864850008</v>
      </c>
      <c r="DR145" s="1377">
        <f>+PROJ!DQ112</f>
        <v>976094.69989816425</v>
      </c>
      <c r="DS145" s="1385">
        <f>+DR145*DS144/DR144</f>
        <v>1068637.2224339638</v>
      </c>
      <c r="DT145" s="1385">
        <f t="shared" ref="DT145:DV145" si="932">+DS145*DT144/DS144</f>
        <v>1167021.3952527905</v>
      </c>
      <c r="DU145" s="1385">
        <f t="shared" si="932"/>
        <v>1271566.4823412288</v>
      </c>
      <c r="DV145" s="1385">
        <f t="shared" si="932"/>
        <v>1382607.9421643375</v>
      </c>
      <c r="DY145" s="1385">
        <v>976094.69989816414</v>
      </c>
      <c r="DZ145" s="1385">
        <v>1068637.222433964</v>
      </c>
    </row>
    <row r="146" spans="1:130" s="1379" customFormat="1" ht="12">
      <c r="A146" s="1374" t="s">
        <v>228</v>
      </c>
      <c r="B146" s="1375"/>
      <c r="C146" s="1377"/>
      <c r="D146" s="1377"/>
      <c r="E146" s="1377"/>
      <c r="F146" s="1377"/>
      <c r="G146" s="1377"/>
      <c r="H146" s="1377"/>
      <c r="I146" s="1377"/>
      <c r="J146" s="1377"/>
      <c r="K146" s="1377"/>
      <c r="L146" s="1377"/>
      <c r="M146" s="1377"/>
      <c r="N146" s="1377"/>
      <c r="O146" s="1377"/>
      <c r="P146" s="1377"/>
      <c r="Q146" s="1377"/>
      <c r="R146" s="1377"/>
      <c r="S146" s="1377"/>
      <c r="T146" s="1377"/>
      <c r="U146" s="1377"/>
      <c r="V146" s="1377"/>
      <c r="W146" s="1377"/>
      <c r="X146" s="1377"/>
      <c r="Y146" s="1377"/>
      <c r="Z146" s="1377"/>
      <c r="AA146" s="1377"/>
      <c r="AB146" s="1377"/>
      <c r="AC146" s="1377"/>
      <c r="AD146" s="1377"/>
      <c r="AE146" s="1377"/>
      <c r="AF146" s="1377"/>
      <c r="AG146" s="1377"/>
      <c r="AH146" s="1377"/>
      <c r="AI146" s="1377"/>
      <c r="AJ146" s="1377"/>
      <c r="AK146" s="1377"/>
      <c r="AL146" s="1377"/>
      <c r="AM146" s="1377"/>
      <c r="AN146" s="1384"/>
      <c r="AO146" s="1384"/>
      <c r="AP146" s="1384"/>
      <c r="AQ146" s="1384"/>
      <c r="AR146" s="1384"/>
      <c r="AS146" s="1384"/>
      <c r="AT146" s="1384"/>
      <c r="AU146" s="1380"/>
      <c r="AV146" s="1380"/>
      <c r="AW146" s="1380"/>
      <c r="AX146" s="1380"/>
      <c r="AY146" s="1380"/>
      <c r="AZ146" s="1380"/>
      <c r="BA146" s="1380"/>
      <c r="BB146" s="1380"/>
      <c r="BC146" s="1380"/>
      <c r="BD146" s="1380"/>
      <c r="BE146" s="1380"/>
      <c r="BF146" s="1380"/>
      <c r="BG146" s="1380"/>
      <c r="BH146" s="1380"/>
      <c r="BI146" s="1380"/>
      <c r="BJ146" s="1380"/>
      <c r="BK146" s="1377">
        <f>+PROJ!BK122</f>
        <v>1317296</v>
      </c>
      <c r="BL146" s="1377">
        <f>+PROJ!BL122</f>
        <v>1298440</v>
      </c>
      <c r="BM146" s="1377">
        <f>+PROJ!BM122</f>
        <v>1292705</v>
      </c>
      <c r="BN146" s="1377">
        <f>+PROJ!BN122</f>
        <v>1291676</v>
      </c>
      <c r="BO146" s="1377">
        <f>+PROJ!BO122</f>
        <v>1277335</v>
      </c>
      <c r="BP146" s="1377">
        <f>+PROJ!BP122</f>
        <v>1221502</v>
      </c>
      <c r="BQ146" s="1377">
        <f>+PROJ!BQ122</f>
        <v>1308448</v>
      </c>
      <c r="BR146" s="1377">
        <f>+PROJ!BR122</f>
        <v>1365804</v>
      </c>
      <c r="BS146" s="1377">
        <f>+PROJ!BS122</f>
        <v>1709354</v>
      </c>
      <c r="BT146" s="1377">
        <f>+PROJ!BT122</f>
        <v>1879129</v>
      </c>
      <c r="BU146" s="1377">
        <f>+PROJ!BU122</f>
        <v>1889619</v>
      </c>
      <c r="BV146" s="1377">
        <f>+PROJ!BV122</f>
        <v>1994936</v>
      </c>
      <c r="BW146" s="1377">
        <f>+PROJ!BW122</f>
        <v>1988766</v>
      </c>
      <c r="BX146" s="1377">
        <f>+PROJ!BX122</f>
        <v>2083264</v>
      </c>
      <c r="BY146" s="1377">
        <f>+PROJ!BY122</f>
        <v>2104539</v>
      </c>
      <c r="BZ146" s="1377">
        <f>+PROJ!BZ122</f>
        <v>2190081</v>
      </c>
      <c r="CA146" s="1377">
        <f>+PROJ!CA122</f>
        <v>2079567</v>
      </c>
      <c r="CB146" s="1377">
        <f>+PROJ!CB122</f>
        <v>2065618</v>
      </c>
      <c r="CC146" s="1377">
        <f>+PROJ!CC122</f>
        <v>2011770</v>
      </c>
      <c r="CD146" s="1377">
        <f>+PROJ!CD122</f>
        <v>2008945</v>
      </c>
      <c r="CE146" s="1377">
        <f>+PROJ!CE122</f>
        <v>1939696</v>
      </c>
      <c r="CF146" s="1377">
        <f>+PROJ!CF122</f>
        <v>1893390</v>
      </c>
      <c r="CG146" s="1377">
        <f>+PROJ!CG122</f>
        <v>1844607</v>
      </c>
      <c r="CH146" s="1377">
        <f>+PROJ!CH122</f>
        <v>1847561</v>
      </c>
      <c r="CI146" s="1377">
        <f>+PROJ!CI122</f>
        <v>1778556</v>
      </c>
      <c r="CJ146" s="1377">
        <f>+PROJ!CJ122</f>
        <v>1713902</v>
      </c>
      <c r="CK146" s="1377">
        <f>+PROJ!CK122</f>
        <v>1750167</v>
      </c>
      <c r="CL146" s="1385">
        <f t="shared" ref="CL146:CP146" si="933">+CL144-CL145</f>
        <v>2088368.6256268492</v>
      </c>
      <c r="CM146" s="1385">
        <f t="shared" si="933"/>
        <v>2024366.9284415145</v>
      </c>
      <c r="CN146" s="1385">
        <f t="shared" si="933"/>
        <v>1933817.6815740366</v>
      </c>
      <c r="CO146" s="1385">
        <f t="shared" si="933"/>
        <v>1932951.0117579252</v>
      </c>
      <c r="CP146" s="1385">
        <f t="shared" si="933"/>
        <v>2292732.4872389566</v>
      </c>
      <c r="CQ146" s="1385"/>
      <c r="CR146" s="1385"/>
      <c r="CS146" s="1385"/>
      <c r="CT146" s="1385">
        <v>2088368.6256268492</v>
      </c>
      <c r="CU146" s="1383"/>
      <c r="CV146" s="1375"/>
      <c r="CW146" s="1377"/>
      <c r="CX146" s="1377"/>
      <c r="CY146" s="1377"/>
      <c r="CZ146" s="1377"/>
      <c r="DA146" s="1377"/>
      <c r="DB146" s="1377"/>
      <c r="DC146" s="1380"/>
      <c r="DD146" s="1375"/>
      <c r="DE146" s="1401"/>
      <c r="DF146" s="1401"/>
      <c r="DG146" s="1401"/>
      <c r="DH146" s="1401"/>
      <c r="DI146" s="1401"/>
      <c r="DJ146" s="1401"/>
      <c r="DK146" s="1377">
        <f>+PROJ!DJ122</f>
        <v>1291676</v>
      </c>
      <c r="DL146" s="1377">
        <f>+PROJ!DK122</f>
        <v>1365804</v>
      </c>
      <c r="DM146" s="1377">
        <f>+PROJ!DL122</f>
        <v>1994936</v>
      </c>
      <c r="DN146" s="1377">
        <f>+PROJ!DM122</f>
        <v>2190081</v>
      </c>
      <c r="DO146" s="1377">
        <f>+PROJ!DN122</f>
        <v>2008945</v>
      </c>
      <c r="DP146" s="1377">
        <f>+PROJ!DO122</f>
        <v>1847561</v>
      </c>
      <c r="DQ146" s="1377">
        <f>+PROJ!DP122</f>
        <v>2088368.6256268492</v>
      </c>
      <c r="DR146" s="1377">
        <f>+PROJ!DQ122</f>
        <v>2292732.4872389566</v>
      </c>
      <c r="DS146" s="1385">
        <f>+DS144-DS145</f>
        <v>2510104.0679790294</v>
      </c>
      <c r="DT146" s="1385">
        <f t="shared" ref="DT146:DV146" si="934">+DT144-DT145</f>
        <v>2741197.0031987261</v>
      </c>
      <c r="DU146" s="1385">
        <f t="shared" si="934"/>
        <v>2986761.2067272309</v>
      </c>
      <c r="DV146" s="1385">
        <f t="shared" si="934"/>
        <v>3247584.6313328994</v>
      </c>
      <c r="DY146" s="1385">
        <v>2292732.4872389566</v>
      </c>
      <c r="DZ146" s="1385">
        <v>2510104.0679790303</v>
      </c>
    </row>
    <row r="147" spans="1:130">
      <c r="A147" s="124"/>
      <c r="B147" s="6"/>
      <c r="C147" s="65"/>
      <c r="D147" s="65"/>
      <c r="E147" s="65"/>
      <c r="F147" s="65"/>
      <c r="G147" s="65"/>
      <c r="H147" s="65"/>
      <c r="I147" s="65"/>
      <c r="J147" s="65"/>
      <c r="K147" s="65"/>
      <c r="L147" s="65"/>
      <c r="M147" s="65"/>
      <c r="N147" s="65"/>
      <c r="O147" s="65"/>
      <c r="P147" s="65"/>
      <c r="Q147" s="65"/>
      <c r="R147" s="65"/>
      <c r="S147" s="65"/>
      <c r="T147" s="65"/>
      <c r="U147" s="65"/>
      <c r="V147" s="65"/>
      <c r="W147" s="65"/>
      <c r="X147" s="65"/>
      <c r="Y147" s="65"/>
      <c r="Z147" s="65"/>
      <c r="AA147" s="65"/>
      <c r="AB147" s="65"/>
      <c r="AC147" s="65"/>
      <c r="AD147" s="65"/>
      <c r="AE147" s="65"/>
      <c r="AF147" s="65"/>
      <c r="AG147" s="65"/>
      <c r="AH147" s="65"/>
      <c r="AI147" s="65"/>
      <c r="AJ147" s="65"/>
      <c r="AK147" s="65"/>
      <c r="AL147" s="65"/>
      <c r="AM147" s="65"/>
      <c r="AN147" s="34"/>
      <c r="AO147" s="34"/>
      <c r="AP147" s="34"/>
      <c r="AQ147" s="34"/>
      <c r="AR147" s="34"/>
      <c r="AS147" s="34"/>
      <c r="AT147" s="34"/>
      <c r="AU147" s="113"/>
      <c r="AV147" s="113"/>
      <c r="AW147" s="113"/>
      <c r="AX147" s="113"/>
      <c r="AY147" s="113"/>
      <c r="AZ147" s="113"/>
      <c r="BA147" s="113"/>
      <c r="BB147" s="113"/>
      <c r="BC147" s="113"/>
      <c r="BD147" s="113"/>
      <c r="BE147" s="113"/>
      <c r="BF147" s="113"/>
      <c r="BG147" s="113"/>
      <c r="BH147" s="113"/>
      <c r="BI147" s="113"/>
      <c r="BJ147" s="113"/>
      <c r="BK147" s="65"/>
      <c r="BL147" s="65"/>
      <c r="BM147" s="65"/>
      <c r="BN147" s="65"/>
      <c r="BO147" s="65"/>
      <c r="BP147" s="65"/>
      <c r="BQ147" s="65"/>
      <c r="BR147" s="65"/>
      <c r="BS147" s="65"/>
      <c r="BT147" s="65"/>
      <c r="BU147" s="65"/>
      <c r="BV147" s="65"/>
      <c r="BW147" s="65"/>
      <c r="BX147" s="65"/>
      <c r="BY147" s="65"/>
      <c r="BZ147" s="65"/>
      <c r="CA147" s="65"/>
      <c r="CB147" s="65"/>
      <c r="CC147" s="65"/>
      <c r="CD147" s="65"/>
      <c r="CE147" s="65"/>
      <c r="CF147" s="65"/>
      <c r="CG147" s="65"/>
      <c r="CH147" s="65"/>
      <c r="CI147" s="65"/>
      <c r="CJ147" s="65"/>
      <c r="CK147" s="65"/>
      <c r="CL147" s="806"/>
      <c r="CM147" s="806"/>
      <c r="CN147" s="806"/>
      <c r="CO147" s="806"/>
      <c r="CP147" s="806"/>
      <c r="CQ147" s="806"/>
      <c r="CR147" s="806"/>
      <c r="CS147" s="806"/>
      <c r="CT147" s="806"/>
      <c r="CU147" s="1109"/>
      <c r="CV147" s="6"/>
      <c r="CW147" s="65"/>
      <c r="CX147" s="65"/>
      <c r="CY147" s="65"/>
      <c r="CZ147" s="65"/>
      <c r="DA147" s="65"/>
      <c r="DB147" s="65"/>
      <c r="DC147" s="113"/>
      <c r="DD147" s="6"/>
      <c r="DE147" s="33"/>
      <c r="DF147" s="33"/>
      <c r="DG147" s="33"/>
      <c r="DH147" s="33"/>
      <c r="DI147" s="33"/>
      <c r="DJ147" s="33"/>
      <c r="DK147" s="128"/>
      <c r="DL147" s="128"/>
      <c r="DM147" s="128"/>
      <c r="DN147" s="128"/>
      <c r="DO147" s="128"/>
      <c r="DP147" s="128"/>
      <c r="DQ147" s="128"/>
      <c r="DR147" s="128"/>
      <c r="DS147" s="806"/>
      <c r="DT147" s="806"/>
      <c r="DU147" s="806"/>
      <c r="DV147" s="806"/>
      <c r="DY147" s="806"/>
      <c r="DZ147" s="806"/>
    </row>
    <row r="148" spans="1:130" s="669" customFormat="1">
      <c r="A148" s="664" t="s">
        <v>229</v>
      </c>
      <c r="B148" s="665"/>
      <c r="C148" s="666">
        <v>11813</v>
      </c>
      <c r="D148" s="666">
        <v>30347</v>
      </c>
      <c r="E148" s="666">
        <v>11570</v>
      </c>
      <c r="F148" s="666">
        <v>24141</v>
      </c>
      <c r="G148" s="666">
        <v>24986</v>
      </c>
      <c r="H148" s="666">
        <v>43535</v>
      </c>
      <c r="I148" s="666">
        <v>28707</v>
      </c>
      <c r="J148" s="666">
        <v>57440</v>
      </c>
      <c r="K148" s="666">
        <v>32880</v>
      </c>
      <c r="L148" s="666">
        <v>49787</v>
      </c>
      <c r="M148" s="666">
        <v>41999</v>
      </c>
      <c r="N148" s="666">
        <v>74192</v>
      </c>
      <c r="O148" s="666">
        <v>36500</v>
      </c>
      <c r="P148" s="666">
        <v>69274</v>
      </c>
      <c r="Q148" s="666">
        <v>57796</v>
      </c>
      <c r="R148" s="666">
        <v>92305</v>
      </c>
      <c r="S148" s="666">
        <v>52912</v>
      </c>
      <c r="T148" s="666">
        <v>75471</v>
      </c>
      <c r="U148" s="666">
        <v>59922</v>
      </c>
      <c r="V148" s="666">
        <v>84542</v>
      </c>
      <c r="W148" s="666">
        <v>39426</v>
      </c>
      <c r="X148" s="666">
        <v>94869</v>
      </c>
      <c r="Y148" s="666">
        <v>69391</v>
      </c>
      <c r="Z148" s="666">
        <v>158250</v>
      </c>
      <c r="AA148" s="666">
        <v>72695</v>
      </c>
      <c r="AB148" s="666">
        <v>152134</v>
      </c>
      <c r="AC148" s="666">
        <v>100905</v>
      </c>
      <c r="AD148" s="666">
        <v>178965</v>
      </c>
      <c r="AE148" s="666">
        <v>85301</v>
      </c>
      <c r="AF148" s="666">
        <v>179620</v>
      </c>
      <c r="AG148" s="666">
        <v>105063</v>
      </c>
      <c r="AH148" s="666">
        <v>225605</v>
      </c>
      <c r="AI148" s="666">
        <v>83450</v>
      </c>
      <c r="AJ148" s="666">
        <v>190411</v>
      </c>
      <c r="AK148" s="666">
        <v>148067</v>
      </c>
      <c r="AL148" s="666">
        <v>292236</v>
      </c>
      <c r="AM148" s="666">
        <v>89947</v>
      </c>
      <c r="AN148" s="666">
        <v>201350</v>
      </c>
      <c r="AO148" s="666">
        <v>154652</v>
      </c>
      <c r="AP148" s="666">
        <v>390660</v>
      </c>
      <c r="AQ148" s="666">
        <f t="shared" ref="AQ148:BV148" si="935">AQ124+AQ130</f>
        <v>132040.52000000002</v>
      </c>
      <c r="AR148" s="666">
        <f t="shared" si="935"/>
        <v>241416</v>
      </c>
      <c r="AS148" s="666">
        <f t="shared" si="935"/>
        <v>196924</v>
      </c>
      <c r="AT148" s="666">
        <f t="shared" si="935"/>
        <v>444775.26899999997</v>
      </c>
      <c r="AU148" s="666">
        <f t="shared" si="935"/>
        <v>191958.48855000013</v>
      </c>
      <c r="AV148" s="666">
        <f t="shared" si="935"/>
        <v>317558.57631999993</v>
      </c>
      <c r="AW148" s="666">
        <f t="shared" si="935"/>
        <v>224891</v>
      </c>
      <c r="AX148" s="666">
        <f t="shared" si="935"/>
        <v>463625.30340999993</v>
      </c>
      <c r="AY148" s="666">
        <f t="shared" si="935"/>
        <v>178909</v>
      </c>
      <c r="AZ148" s="666">
        <f t="shared" si="935"/>
        <v>349371</v>
      </c>
      <c r="BA148" s="666">
        <f t="shared" si="935"/>
        <v>211495</v>
      </c>
      <c r="BB148" s="666">
        <f t="shared" si="935"/>
        <v>547177</v>
      </c>
      <c r="BC148" s="666">
        <f t="shared" si="935"/>
        <v>183150</v>
      </c>
      <c r="BD148" s="666">
        <f t="shared" si="935"/>
        <v>374418</v>
      </c>
      <c r="BE148" s="666">
        <f t="shared" si="935"/>
        <v>288697</v>
      </c>
      <c r="BF148" s="666">
        <f t="shared" si="935"/>
        <v>570026</v>
      </c>
      <c r="BG148" s="666">
        <f t="shared" si="935"/>
        <v>243903</v>
      </c>
      <c r="BH148" s="666">
        <f t="shared" si="935"/>
        <v>428254.96485999995</v>
      </c>
      <c r="BI148" s="666">
        <f t="shared" si="935"/>
        <v>339773.43174999999</v>
      </c>
      <c r="BJ148" s="666">
        <f t="shared" si="935"/>
        <v>726464.25080000004</v>
      </c>
      <c r="BK148" s="666">
        <f t="shared" si="935"/>
        <v>410356</v>
      </c>
      <c r="BL148" s="666">
        <f t="shared" si="935"/>
        <v>538724</v>
      </c>
      <c r="BM148" s="674">
        <f t="shared" si="935"/>
        <v>457193</v>
      </c>
      <c r="BN148" s="674">
        <f t="shared" si="935"/>
        <v>931857</v>
      </c>
      <c r="BO148" s="674">
        <f t="shared" si="935"/>
        <v>213913</v>
      </c>
      <c r="BP148" s="674">
        <f t="shared" si="935"/>
        <v>603269</v>
      </c>
      <c r="BQ148" s="674">
        <f t="shared" si="935"/>
        <v>71669</v>
      </c>
      <c r="BR148" s="674">
        <f t="shared" si="935"/>
        <v>727669</v>
      </c>
      <c r="BS148" s="674">
        <f t="shared" si="935"/>
        <v>28115</v>
      </c>
      <c r="BT148" s="674">
        <f t="shared" si="935"/>
        <v>472726</v>
      </c>
      <c r="BU148" s="674">
        <f t="shared" si="935"/>
        <v>434439.33947000233</v>
      </c>
      <c r="BV148" s="674">
        <f t="shared" si="935"/>
        <v>755966.81354999915</v>
      </c>
      <c r="BW148" s="674">
        <f>BW124+BW130</f>
        <v>378872</v>
      </c>
      <c r="BX148" s="674">
        <f>BX124+BX130</f>
        <v>685692</v>
      </c>
      <c r="BY148" s="674">
        <f>BY124+BY130</f>
        <v>452173</v>
      </c>
      <c r="BZ148" s="674">
        <f t="shared" ref="BZ148:CC148" si="936">BZ124+BZ130</f>
        <v>884513</v>
      </c>
      <c r="CA148" s="674">
        <f t="shared" ref="CA148:CB148" si="937">CA124+CA130</f>
        <v>229929</v>
      </c>
      <c r="CB148" s="674">
        <f t="shared" si="937"/>
        <v>472078</v>
      </c>
      <c r="CC148" s="674">
        <f t="shared" si="936"/>
        <v>356081</v>
      </c>
      <c r="CD148" s="674">
        <f t="shared" ref="CD148:CE148" si="938">CD124+CD130</f>
        <v>881233</v>
      </c>
      <c r="CE148" s="674">
        <f t="shared" si="938"/>
        <v>372066</v>
      </c>
      <c r="CF148" s="674">
        <f t="shared" ref="CF148:CH148" si="939">CF124+CF130</f>
        <v>654013</v>
      </c>
      <c r="CG148" s="674">
        <f t="shared" si="939"/>
        <v>569176</v>
      </c>
      <c r="CH148" s="674">
        <f t="shared" si="939"/>
        <v>861932</v>
      </c>
      <c r="CI148" s="674">
        <f t="shared" ref="CI148:CJ148" si="940">CI124+CI130</f>
        <v>577957</v>
      </c>
      <c r="CJ148" s="674">
        <f t="shared" si="940"/>
        <v>880974</v>
      </c>
      <c r="CK148" s="674">
        <f t="shared" ref="CK148" si="941">CK124+CK130</f>
        <v>585945</v>
      </c>
      <c r="CL148" s="667">
        <f t="shared" ref="CL148:CP148" si="942">CL124+CL130</f>
        <v>953463.09978870605</v>
      </c>
      <c r="CM148" s="667">
        <f t="shared" si="942"/>
        <v>538295.64866109577</v>
      </c>
      <c r="CN148" s="667">
        <f t="shared" si="942"/>
        <v>816416.41294543562</v>
      </c>
      <c r="CO148" s="667">
        <f t="shared" si="942"/>
        <v>606227.09755538905</v>
      </c>
      <c r="CP148" s="667">
        <f t="shared" si="942"/>
        <v>1060384.6719306521</v>
      </c>
      <c r="CQ148" s="667"/>
      <c r="CR148" s="667"/>
      <c r="CS148" s="667"/>
      <c r="CT148" s="667">
        <v>953463.09978870605</v>
      </c>
      <c r="CU148" s="1134">
        <f>+CK148/CT148-1</f>
        <v>-0.38545602852396765</v>
      </c>
      <c r="CV148" s="666">
        <v>56559</v>
      </c>
      <c r="CW148" s="666">
        <v>151803</v>
      </c>
      <c r="CX148" s="666">
        <v>198771</v>
      </c>
      <c r="CY148" s="666">
        <v>255875</v>
      </c>
      <c r="CZ148" s="666">
        <v>272847</v>
      </c>
      <c r="DA148" s="666">
        <v>361936</v>
      </c>
      <c r="DB148" s="666">
        <v>504699</v>
      </c>
      <c r="DC148" s="666">
        <v>595589</v>
      </c>
      <c r="DD148" s="666">
        <v>714164</v>
      </c>
      <c r="DE148" s="666">
        <v>836609</v>
      </c>
      <c r="DF148" s="666">
        <f t="shared" ref="DF148:DS148" si="943">DF124+DF130</f>
        <v>1015155.789</v>
      </c>
      <c r="DG148" s="666">
        <f t="shared" si="943"/>
        <v>1198033.3682800001</v>
      </c>
      <c r="DH148" s="666">
        <f t="shared" si="943"/>
        <v>1286952</v>
      </c>
      <c r="DI148" s="666">
        <f t="shared" si="943"/>
        <v>1416291</v>
      </c>
      <c r="DJ148" s="666">
        <f t="shared" si="943"/>
        <v>1738395.64741</v>
      </c>
      <c r="DK148" s="666">
        <f t="shared" si="943"/>
        <v>2338130</v>
      </c>
      <c r="DL148" s="666">
        <f t="shared" si="943"/>
        <v>1616520</v>
      </c>
      <c r="DM148" s="666">
        <f t="shared" si="943"/>
        <v>1691247.1530200015</v>
      </c>
      <c r="DN148" s="666">
        <f t="shared" si="943"/>
        <v>2401250</v>
      </c>
      <c r="DO148" s="666">
        <f t="shared" si="943"/>
        <v>1939321</v>
      </c>
      <c r="DP148" s="666">
        <f t="shared" ref="DP148:DQ148" si="944">DP124+DP130</f>
        <v>2457187</v>
      </c>
      <c r="DQ148" s="666">
        <f t="shared" si="944"/>
        <v>2998339.0997887058</v>
      </c>
      <c r="DR148" s="666">
        <f t="shared" ref="DR148" si="945">DR124+DR130</f>
        <v>3021323.8310925728</v>
      </c>
      <c r="DS148" s="667">
        <f t="shared" si="943"/>
        <v>3708651.092463227</v>
      </c>
      <c r="DT148" s="667">
        <f t="shared" ref="DT148:DV148" si="946">DT124+DT130</f>
        <v>4062541.7466503619</v>
      </c>
      <c r="DU148" s="667">
        <f t="shared" si="946"/>
        <v>4432089.8417351926</v>
      </c>
      <c r="DV148" s="667">
        <f t="shared" si="946"/>
        <v>4824764.201777203</v>
      </c>
      <c r="DY148" s="667">
        <v>3296769.6674630116</v>
      </c>
      <c r="DZ148" s="667">
        <v>3916705.984595838</v>
      </c>
    </row>
    <row r="149" spans="1:130" s="735" customFormat="1">
      <c r="A149" s="1329" t="s">
        <v>230</v>
      </c>
      <c r="B149" s="732"/>
      <c r="C149" s="733"/>
      <c r="D149" s="733"/>
      <c r="E149" s="733"/>
      <c r="F149" s="733"/>
      <c r="G149" s="733"/>
      <c r="H149" s="733"/>
      <c r="I149" s="733"/>
      <c r="J149" s="733">
        <v>0.13538389016557656</v>
      </c>
      <c r="K149" s="733">
        <v>0.123260556621881</v>
      </c>
      <c r="L149" s="733">
        <v>0.13072257522449193</v>
      </c>
      <c r="M149" s="733">
        <v>0.12110892276815452</v>
      </c>
      <c r="N149" s="733">
        <v>0.13820158371504307</v>
      </c>
      <c r="O149" s="733">
        <v>0.10501934945548187</v>
      </c>
      <c r="P149" s="733">
        <v>0.14112436643361201</v>
      </c>
      <c r="Q149" s="733">
        <v>0.13016765312649209</v>
      </c>
      <c r="R149" s="733">
        <v>0.14233616037008481</v>
      </c>
      <c r="S149" s="733">
        <v>0.12253906349511461</v>
      </c>
      <c r="T149" s="733">
        <v>0.13325929156506525</v>
      </c>
      <c r="U149" s="733">
        <v>0.11717934176819132</v>
      </c>
      <c r="V149" s="733">
        <v>0.12552765953024012</v>
      </c>
      <c r="W149" s="733">
        <v>9.4065382431394257E-2</v>
      </c>
      <c r="X149" s="733">
        <v>0.15465737658416664</v>
      </c>
      <c r="Y149" s="733">
        <v>0.1256375484102254</v>
      </c>
      <c r="Z149" s="733">
        <v>0.2032053150549136</v>
      </c>
      <c r="AA149" s="733">
        <v>0.14375265723410355</v>
      </c>
      <c r="AB149" s="733">
        <v>0.21670954306014945</v>
      </c>
      <c r="AC149" s="733">
        <v>0.15671568772102573</v>
      </c>
      <c r="AD149" s="733">
        <v>0.1989048093252363</v>
      </c>
      <c r="AE149" s="733">
        <v>0.14246109087508163</v>
      </c>
      <c r="AF149" s="733">
        <v>0.21474882803953521</v>
      </c>
      <c r="AG149" s="733">
        <v>0.1416092257676683</v>
      </c>
      <c r="AH149" s="733">
        <v>0.21254736516825351</v>
      </c>
      <c r="AI149" s="733">
        <v>0.11765518641544336</v>
      </c>
      <c r="AJ149" s="733">
        <v>0.19928850577840482</v>
      </c>
      <c r="AK149" s="733">
        <v>0.16359945992411537</v>
      </c>
      <c r="AL149" s="733">
        <v>0.22606287517791943</v>
      </c>
      <c r="AM149" s="733">
        <v>0.10786913280878044</v>
      </c>
      <c r="AN149" s="733">
        <v>0.18988081878381971</v>
      </c>
      <c r="AO149" s="733">
        <v>0.15140659953888402</v>
      </c>
      <c r="AP149" s="733">
        <v>0.26855169341688823</v>
      </c>
      <c r="AQ149" s="733">
        <f t="shared" ref="AQ149:BQ149" si="947">AQ148/AQ26</f>
        <v>0.14067606065965352</v>
      </c>
      <c r="AR149" s="733">
        <f t="shared" si="947"/>
        <v>0.19232840567610027</v>
      </c>
      <c r="AS149" s="733">
        <f t="shared" si="947"/>
        <v>0.16358490550364138</v>
      </c>
      <c r="AT149" s="733">
        <f t="shared" si="947"/>
        <v>0.24459718081675141</v>
      </c>
      <c r="AU149" s="733">
        <f t="shared" si="947"/>
        <v>0.16351546411379742</v>
      </c>
      <c r="AV149" s="733">
        <f t="shared" si="947"/>
        <v>0.20668990473190263</v>
      </c>
      <c r="AW149" s="733">
        <f t="shared" si="947"/>
        <v>0.15830649617592504</v>
      </c>
      <c r="AX149" s="733">
        <f t="shared" si="947"/>
        <v>0.23017324278327608</v>
      </c>
      <c r="AY149" s="733">
        <f t="shared" si="947"/>
        <v>0.14342908954767997</v>
      </c>
      <c r="AZ149" s="733">
        <f t="shared" si="947"/>
        <v>0.21205100814527975</v>
      </c>
      <c r="BA149" s="733">
        <f t="shared" si="947"/>
        <v>0.14627940095267145</v>
      </c>
      <c r="BB149" s="733">
        <f t="shared" si="947"/>
        <v>0.25922706156238245</v>
      </c>
      <c r="BC149" s="733">
        <f t="shared" si="947"/>
        <v>0.12940499843145456</v>
      </c>
      <c r="BD149" s="733">
        <f t="shared" si="947"/>
        <v>0.2044735169283263</v>
      </c>
      <c r="BE149" s="733">
        <f t="shared" si="947"/>
        <v>0.16531195726924941</v>
      </c>
      <c r="BF149" s="733">
        <f t="shared" si="947"/>
        <v>0.23252396927233923</v>
      </c>
      <c r="BG149" s="733">
        <f t="shared" si="947"/>
        <v>0.14979134488127077</v>
      </c>
      <c r="BH149" s="733">
        <f t="shared" si="947"/>
        <v>0.21199722828161219</v>
      </c>
      <c r="BI149" s="733">
        <f t="shared" si="947"/>
        <v>0.17484460962554185</v>
      </c>
      <c r="BJ149" s="733">
        <f t="shared" si="947"/>
        <v>0.25626007349188024</v>
      </c>
      <c r="BK149" s="733">
        <f t="shared" si="947"/>
        <v>0.21687665191951661</v>
      </c>
      <c r="BL149" s="733">
        <f t="shared" si="947"/>
        <v>0.23504496501751307</v>
      </c>
      <c r="BM149" s="1222">
        <f t="shared" si="947"/>
        <v>0.20541029897720101</v>
      </c>
      <c r="BN149" s="1222">
        <f t="shared" si="947"/>
        <v>0.29316945624136204</v>
      </c>
      <c r="BO149" s="1222">
        <f t="shared" si="947"/>
        <v>0.1147749094438611</v>
      </c>
      <c r="BP149" s="1222">
        <f t="shared" si="947"/>
        <v>0.74615278056068846</v>
      </c>
      <c r="BQ149" s="1222">
        <f t="shared" si="947"/>
        <v>4.0037675156798257E-2</v>
      </c>
      <c r="BR149" s="1222">
        <f>BR148/BR$26</f>
        <v>0.23665002208220565</v>
      </c>
      <c r="BS149" s="1222">
        <f t="shared" ref="BS149:CC149" si="948">BS148/BS26</f>
        <v>1.7778618105291914E-2</v>
      </c>
      <c r="BT149" s="1222">
        <f t="shared" si="948"/>
        <v>0.18982746206972431</v>
      </c>
      <c r="BU149" s="1222">
        <f t="shared" si="948"/>
        <v>0.16529357439680045</v>
      </c>
      <c r="BV149" s="1222">
        <f t="shared" si="948"/>
        <v>0.19526055252799357</v>
      </c>
      <c r="BW149" s="1222">
        <f t="shared" si="948"/>
        <v>0.14499369313102367</v>
      </c>
      <c r="BX149" s="1222">
        <f>BX148/BX26</f>
        <v>0.1890866734117651</v>
      </c>
      <c r="BY149" s="1222">
        <f t="shared" si="948"/>
        <v>0.14984365224122756</v>
      </c>
      <c r="BZ149" s="1222">
        <f t="shared" si="948"/>
        <v>0.22034909559796559</v>
      </c>
      <c r="CA149" s="1222">
        <f t="shared" ref="CA149:CB149" si="949">CA148/CA26</f>
        <v>8.284857953685594E-2</v>
      </c>
      <c r="CB149" s="1222">
        <f t="shared" si="949"/>
        <v>0.13472226542579044</v>
      </c>
      <c r="CC149" s="1222">
        <f t="shared" si="948"/>
        <v>0.11497254202000842</v>
      </c>
      <c r="CD149" s="1222">
        <f t="shared" ref="CD149:CE149" si="950">CD148/CD26</f>
        <v>0.20631117171086238</v>
      </c>
      <c r="CE149" s="1222">
        <f t="shared" si="950"/>
        <v>0.12793471260541997</v>
      </c>
      <c r="CF149" s="1222">
        <f t="shared" ref="CF149:CH149" si="951">CF148/CF26</f>
        <v>0.18577851153465624</v>
      </c>
      <c r="CG149" s="1222">
        <f t="shared" si="951"/>
        <v>0.16787331931577235</v>
      </c>
      <c r="CH149" s="1222">
        <f t="shared" si="951"/>
        <v>0.18667781912784259</v>
      </c>
      <c r="CI149" s="1222">
        <f t="shared" ref="CI149:CJ149" si="952">CI148/CI26</f>
        <v>0.17741934493623479</v>
      </c>
      <c r="CJ149" s="1222">
        <f t="shared" si="952"/>
        <v>0.21138813398516065</v>
      </c>
      <c r="CK149" s="1222">
        <f t="shared" ref="CK149" si="953">CK148/CK26</f>
        <v>0.16443092579372029</v>
      </c>
      <c r="CL149" s="734">
        <f t="shared" ref="CL149:CP149" si="954">CL148/CL26</f>
        <v>0.19749361300992252</v>
      </c>
      <c r="CM149" s="734">
        <f t="shared" si="954"/>
        <v>0.15674402808440152</v>
      </c>
      <c r="CN149" s="734">
        <f t="shared" si="954"/>
        <v>0.18742121454321584</v>
      </c>
      <c r="CO149" s="734">
        <f t="shared" si="954"/>
        <v>0.15784250737950423</v>
      </c>
      <c r="CP149" s="734">
        <f t="shared" si="954"/>
        <v>0.20197103610624134</v>
      </c>
      <c r="CQ149" s="734"/>
      <c r="CR149" s="734"/>
      <c r="CS149" s="734"/>
      <c r="CT149" s="734">
        <v>0.19749361300992252</v>
      </c>
      <c r="CU149" s="1135">
        <f>+CK149-CT149</f>
        <v>-3.306268721620223E-2</v>
      </c>
      <c r="CV149" s="733"/>
      <c r="CW149" s="733"/>
      <c r="CX149" s="733">
        <v>0.1384096995625671</v>
      </c>
      <c r="CY149" s="733">
        <v>0.14607005197153897</v>
      </c>
      <c r="CZ149" s="733">
        <v>0.12498677283215308</v>
      </c>
      <c r="DA149" s="733">
        <v>0.15312731106586994</v>
      </c>
      <c r="DB149" s="733">
        <v>0.18343765833205516</v>
      </c>
      <c r="DC149" s="733">
        <v>0.18390652336761421</v>
      </c>
      <c r="DD149" s="733">
        <v>0.18489644552192513</v>
      </c>
      <c r="DE149" s="733">
        <v>0.19142697366042602</v>
      </c>
      <c r="DF149" s="733">
        <f t="shared" ref="DF149:DS149" si="955">DF148/DF26</f>
        <v>0.19462178405703634</v>
      </c>
      <c r="DG149" s="1222">
        <f t="shared" si="955"/>
        <v>0.1949543966329482</v>
      </c>
      <c r="DH149" s="1222">
        <f t="shared" si="955"/>
        <v>0.19947857734074445</v>
      </c>
      <c r="DI149" s="1222">
        <f t="shared" si="955"/>
        <v>0.19025160844430744</v>
      </c>
      <c r="DJ149" s="1222">
        <f t="shared" si="955"/>
        <v>0.20630002837581873</v>
      </c>
      <c r="DK149" s="1222">
        <f t="shared" si="955"/>
        <v>0.24384891927641597</v>
      </c>
      <c r="DL149" s="1222">
        <f t="shared" si="955"/>
        <v>0.21447278690438598</v>
      </c>
      <c r="DM149" s="1222">
        <f t="shared" si="955"/>
        <v>0.15998090806497386</v>
      </c>
      <c r="DN149" s="1222">
        <f t="shared" si="955"/>
        <v>0.18093777496231106</v>
      </c>
      <c r="DO149" s="1222">
        <f t="shared" si="955"/>
        <v>0.14209719055361764</v>
      </c>
      <c r="DP149" s="1222">
        <f t="shared" ref="DP149:DQ149" si="956">DP148/DP26</f>
        <v>0.17020813963846579</v>
      </c>
      <c r="DQ149" s="1222">
        <f t="shared" si="956"/>
        <v>0.18957115074759659</v>
      </c>
      <c r="DR149" s="1222">
        <f t="shared" ref="DR149" si="957">DR148/DR26</f>
        <v>0.17897591282297731</v>
      </c>
      <c r="DS149" s="734">
        <f t="shared" si="955"/>
        <v>0.20274855089887878</v>
      </c>
      <c r="DT149" s="734">
        <f t="shared" ref="DT149:DV149" si="958">DT148/DT26</f>
        <v>0.20790700247458721</v>
      </c>
      <c r="DU149" s="734">
        <f t="shared" si="958"/>
        <v>0.21232869006387314</v>
      </c>
      <c r="DV149" s="734">
        <f t="shared" si="958"/>
        <v>0.21638444841438759</v>
      </c>
      <c r="DY149" s="734">
        <v>0.19194839627120669</v>
      </c>
      <c r="DZ149" s="734">
        <v>0.21129730686143214</v>
      </c>
    </row>
    <row r="150" spans="1:130">
      <c r="A150" s="1330" t="s">
        <v>169</v>
      </c>
      <c r="B150" s="44"/>
      <c r="C150" s="83"/>
      <c r="D150" s="83"/>
      <c r="E150" s="83"/>
      <c r="F150" s="83"/>
      <c r="G150" s="83">
        <v>1.1151274020147297</v>
      </c>
      <c r="H150" s="83">
        <v>0.43457343394734238</v>
      </c>
      <c r="I150" s="83">
        <v>1.4811581676750216</v>
      </c>
      <c r="J150" s="83">
        <v>1.3793546249119757</v>
      </c>
      <c r="K150" s="83">
        <v>0.31593692467781964</v>
      </c>
      <c r="L150" s="83">
        <v>0.14360859078902033</v>
      </c>
      <c r="M150" s="83">
        <v>0.46302295607343158</v>
      </c>
      <c r="N150" s="83">
        <v>0.29164345403899716</v>
      </c>
      <c r="O150" s="83">
        <v>0.11009732360097324</v>
      </c>
      <c r="P150" s="83">
        <v>0.39140739550485071</v>
      </c>
      <c r="Q150" s="83">
        <v>0.37612800304769167</v>
      </c>
      <c r="R150" s="83">
        <v>0.24413683416001719</v>
      </c>
      <c r="S150" s="83">
        <v>0.44964383561643828</v>
      </c>
      <c r="T150" s="83">
        <v>8.9456361694142172E-2</v>
      </c>
      <c r="U150" s="83">
        <v>3.678455256419122E-2</v>
      </c>
      <c r="V150" s="83">
        <v>-8.410161963057261E-2</v>
      </c>
      <c r="W150" s="83">
        <v>-0.2548760205624433</v>
      </c>
      <c r="X150" s="83">
        <v>0.25702587748936678</v>
      </c>
      <c r="Y150" s="83">
        <v>0.15802209539067458</v>
      </c>
      <c r="Z150" s="83">
        <v>0.87185067776962932</v>
      </c>
      <c r="AA150" s="83">
        <v>0.84383401816060477</v>
      </c>
      <c r="AB150" s="83">
        <v>0.60362183642707312</v>
      </c>
      <c r="AC150" s="83">
        <v>0.45415111469787139</v>
      </c>
      <c r="AD150" s="83">
        <v>0.13090047393364923</v>
      </c>
      <c r="AE150" s="83">
        <v>0.17340945044363432</v>
      </c>
      <c r="AF150" s="83">
        <v>0.18066967278846291</v>
      </c>
      <c r="AG150" s="83">
        <v>4.1207075962538919E-2</v>
      </c>
      <c r="AH150" s="83">
        <v>0.26060961640544233</v>
      </c>
      <c r="AI150" s="83">
        <v>-2.1699628374813873E-2</v>
      </c>
      <c r="AJ150" s="83">
        <v>6.0076828860928577E-2</v>
      </c>
      <c r="AK150" s="83">
        <v>0.40931631497292109</v>
      </c>
      <c r="AL150" s="83">
        <v>0.29534363156844923</v>
      </c>
      <c r="AM150" s="83">
        <v>7.7855002995805833E-2</v>
      </c>
      <c r="AN150" s="83">
        <v>5.7449412061278071E-2</v>
      </c>
      <c r="AO150" s="83">
        <v>4.4473110146082462E-2</v>
      </c>
      <c r="AP150" s="83">
        <v>0.33679628793167171</v>
      </c>
      <c r="AQ150" s="83">
        <f t="shared" ref="AQ150:BV150" si="959">+AQ148/AM148-1</f>
        <v>0.46798136680489644</v>
      </c>
      <c r="AR150" s="83">
        <f t="shared" si="959"/>
        <v>0.19898683883784463</v>
      </c>
      <c r="AS150" s="83">
        <f t="shared" si="959"/>
        <v>0.27333626464578531</v>
      </c>
      <c r="AT150" s="83">
        <f t="shared" si="959"/>
        <v>0.13852267700814003</v>
      </c>
      <c r="AU150" s="83">
        <f t="shared" si="959"/>
        <v>0.45378470601297316</v>
      </c>
      <c r="AV150" s="83">
        <f t="shared" si="959"/>
        <v>0.3153998754017957</v>
      </c>
      <c r="AW150" s="83">
        <f t="shared" si="959"/>
        <v>0.14201925615973665</v>
      </c>
      <c r="AX150" s="83">
        <f t="shared" si="959"/>
        <v>4.2381030879664161E-2</v>
      </c>
      <c r="AY150" s="83">
        <f t="shared" si="959"/>
        <v>-6.7980784015191253E-2</v>
      </c>
      <c r="AZ150" s="83">
        <f t="shared" si="959"/>
        <v>0.10017812791786507</v>
      </c>
      <c r="BA150" s="83">
        <f t="shared" si="959"/>
        <v>-5.9566634502936977E-2</v>
      </c>
      <c r="BB150" s="83">
        <f t="shared" si="959"/>
        <v>0.18021384073619551</v>
      </c>
      <c r="BC150" s="83">
        <f t="shared" si="959"/>
        <v>2.3704788467880267E-2</v>
      </c>
      <c r="BD150" s="83">
        <f t="shared" si="959"/>
        <v>7.1691697364692608E-2</v>
      </c>
      <c r="BE150" s="83">
        <f t="shared" si="959"/>
        <v>0.36502990614435338</v>
      </c>
      <c r="BF150" s="83">
        <f t="shared" si="959"/>
        <v>4.1757968628067355E-2</v>
      </c>
      <c r="BG150" s="83">
        <f t="shared" si="959"/>
        <v>0.33171171171171165</v>
      </c>
      <c r="BH150" s="83">
        <f t="shared" si="959"/>
        <v>0.1437883992222595</v>
      </c>
      <c r="BI150" s="83">
        <f t="shared" si="959"/>
        <v>0.17692054905315957</v>
      </c>
      <c r="BJ150" s="83">
        <f t="shared" si="959"/>
        <v>0.2744405532379226</v>
      </c>
      <c r="BK150" s="83">
        <f t="shared" si="959"/>
        <v>0.68245573035182017</v>
      </c>
      <c r="BL150" s="83">
        <f t="shared" si="959"/>
        <v>0.25795155737683806</v>
      </c>
      <c r="BM150" s="683">
        <f t="shared" si="959"/>
        <v>0.34558195926394708</v>
      </c>
      <c r="BN150" s="683">
        <f t="shared" si="959"/>
        <v>0.28272932766315262</v>
      </c>
      <c r="BO150" s="683">
        <f t="shared" si="959"/>
        <v>-0.47871360477244151</v>
      </c>
      <c r="BP150" s="683">
        <f t="shared" si="959"/>
        <v>0.11981088646505444</v>
      </c>
      <c r="BQ150" s="683">
        <f t="shared" si="959"/>
        <v>-0.8432412569746256</v>
      </c>
      <c r="BR150" s="683">
        <f t="shared" si="959"/>
        <v>-0.21911945716993053</v>
      </c>
      <c r="BS150" s="683">
        <f t="shared" si="959"/>
        <v>-0.86856806271708598</v>
      </c>
      <c r="BT150" s="683">
        <f t="shared" si="959"/>
        <v>-0.21639268717603588</v>
      </c>
      <c r="BU150" s="683">
        <f t="shared" si="959"/>
        <v>5.0617469124726497</v>
      </c>
      <c r="BV150" s="683">
        <f t="shared" si="959"/>
        <v>3.8888304366407223E-2</v>
      </c>
      <c r="BW150" s="683">
        <f t="shared" ref="BW150:CK150" si="960">+BW148/BS148-1</f>
        <v>12.475795838520362</v>
      </c>
      <c r="BX150" s="683">
        <f t="shared" si="960"/>
        <v>0.45050621290134241</v>
      </c>
      <c r="BY150" s="683">
        <f t="shared" si="960"/>
        <v>4.0819647114904489E-2</v>
      </c>
      <c r="BZ150" s="683">
        <f t="shared" si="960"/>
        <v>0.17004210257107921</v>
      </c>
      <c r="CA150" s="683">
        <f t="shared" si="960"/>
        <v>-0.39312221541839987</v>
      </c>
      <c r="CB150" s="683">
        <f t="shared" si="960"/>
        <v>-0.31153054140926251</v>
      </c>
      <c r="CC150" s="683">
        <f t="shared" si="960"/>
        <v>-0.21251158295608097</v>
      </c>
      <c r="CD150" s="683">
        <f t="shared" si="960"/>
        <v>-3.7082552771977584E-3</v>
      </c>
      <c r="CE150" s="683">
        <f t="shared" si="960"/>
        <v>0.61817778531633683</v>
      </c>
      <c r="CF150" s="683">
        <f t="shared" si="960"/>
        <v>0.3853918208431657</v>
      </c>
      <c r="CG150" s="683">
        <f t="shared" si="960"/>
        <v>0.59844529755870157</v>
      </c>
      <c r="CH150" s="683">
        <f t="shared" si="960"/>
        <v>-2.1902266483438515E-2</v>
      </c>
      <c r="CI150" s="683">
        <f t="shared" si="960"/>
        <v>0.55337225115974054</v>
      </c>
      <c r="CJ150" s="683">
        <f t="shared" si="960"/>
        <v>0.34702827008025827</v>
      </c>
      <c r="CK150" s="683">
        <f t="shared" si="960"/>
        <v>2.9461888765513589E-2</v>
      </c>
      <c r="CL150" s="369">
        <f t="shared" ref="CL150" si="961">+CL148/CH148-1</f>
        <v>0.10619294769042797</v>
      </c>
      <c r="CM150" s="369">
        <f t="shared" ref="CM150" si="962">+CM148/CI148-1</f>
        <v>-6.8623360109669518E-2</v>
      </c>
      <c r="CN150" s="369">
        <f t="shared" ref="CN150" si="963">+CN148/CJ148-1</f>
        <v>-7.3279786979598027E-2</v>
      </c>
      <c r="CO150" s="369">
        <f t="shared" ref="CO150" si="964">+CO148/CK148-1</f>
        <v>3.4614336764353437E-2</v>
      </c>
      <c r="CP150" s="369">
        <f t="shared" ref="CP150" si="965">+CP148/CL148-1</f>
        <v>0.11214023087588876</v>
      </c>
      <c r="CQ150" s="369"/>
      <c r="CR150" s="369"/>
      <c r="CS150" s="369"/>
      <c r="CT150" s="369">
        <v>0.10619294769042797</v>
      </c>
      <c r="CU150" s="716"/>
      <c r="CV150" s="45"/>
      <c r="CW150" s="45"/>
      <c r="CX150" s="45"/>
      <c r="CY150" s="45"/>
      <c r="CZ150" s="45"/>
      <c r="DA150" s="45"/>
      <c r="DB150" s="45"/>
      <c r="DC150" s="45"/>
      <c r="DD150" s="63"/>
      <c r="DE150" s="63"/>
      <c r="DF150" s="120"/>
      <c r="DG150" s="1239">
        <f t="shared" ref="DG150:DM150" si="966">+DG149-DF149</f>
        <v>3.3261257591185589E-4</v>
      </c>
      <c r="DH150" s="1239">
        <f t="shared" si="966"/>
        <v>4.5241807077962548E-3</v>
      </c>
      <c r="DI150" s="1239">
        <f t="shared" si="966"/>
        <v>-9.22696889643701E-3</v>
      </c>
      <c r="DJ150" s="1239">
        <f t="shared" si="966"/>
        <v>1.6048419931511293E-2</v>
      </c>
      <c r="DK150" s="1239">
        <f t="shared" si="966"/>
        <v>3.7548890900597237E-2</v>
      </c>
      <c r="DL150" s="1239">
        <f t="shared" si="966"/>
        <v>-2.9376132372029989E-2</v>
      </c>
      <c r="DM150" s="1239">
        <f t="shared" si="966"/>
        <v>-5.4491878839412117E-2</v>
      </c>
      <c r="DN150" s="1239">
        <f t="shared" ref="DN150:DS150" si="967">+DN149-DM149</f>
        <v>2.0956866897337195E-2</v>
      </c>
      <c r="DO150" s="1239">
        <f t="shared" si="967"/>
        <v>-3.8840584408693424E-2</v>
      </c>
      <c r="DP150" s="1239">
        <f t="shared" si="967"/>
        <v>2.8110949084848152E-2</v>
      </c>
      <c r="DQ150" s="1239">
        <f t="shared" si="967"/>
        <v>1.9363011109130801E-2</v>
      </c>
      <c r="DR150" s="1239">
        <f t="shared" si="967"/>
        <v>-1.0595237924619277E-2</v>
      </c>
      <c r="DS150" s="1147">
        <f t="shared" si="967"/>
        <v>2.3772638075901464E-2</v>
      </c>
      <c r="DT150" s="1147">
        <f t="shared" ref="DT150:DV150" si="968">+DT149-DS149</f>
        <v>5.1584515757084337E-3</v>
      </c>
      <c r="DU150" s="1147">
        <f t="shared" si="968"/>
        <v>4.4216875892859331E-3</v>
      </c>
      <c r="DV150" s="1147">
        <f t="shared" si="968"/>
        <v>4.0557583505144434E-3</v>
      </c>
      <c r="DY150" s="1147">
        <v>-5.3052016009995373E-3</v>
      </c>
      <c r="DZ150" s="1147">
        <v>1.9348910590225449E-2</v>
      </c>
    </row>
    <row r="151" spans="1:130" s="359" customFormat="1">
      <c r="A151" s="1331" t="s">
        <v>231</v>
      </c>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c r="AA151" s="91"/>
      <c r="AB151" s="91"/>
      <c r="AC151" s="91"/>
      <c r="AD151" s="91"/>
      <c r="AE151" s="91"/>
      <c r="AF151" s="91"/>
      <c r="AG151" s="91"/>
      <c r="AH151" s="91"/>
      <c r="AI151" s="93"/>
      <c r="AJ151" s="93"/>
      <c r="AK151" s="93"/>
      <c r="AL151" s="93"/>
      <c r="AM151" s="93"/>
      <c r="AN151" s="93">
        <v>-9.4076869945851072E-3</v>
      </c>
      <c r="AO151" s="93">
        <v>-1.2192860385231347E-2</v>
      </c>
      <c r="AP151" s="93">
        <v>4.2488818238968801E-2</v>
      </c>
      <c r="AQ151" s="1164">
        <f t="shared" ref="AQ151:BV151" si="969">+AQ149-AM149</f>
        <v>3.280692785087308E-2</v>
      </c>
      <c r="AR151" s="1164">
        <f t="shared" si="969"/>
        <v>2.4475868922805566E-3</v>
      </c>
      <c r="AS151" s="1164">
        <f t="shared" si="969"/>
        <v>1.2178305964757358E-2</v>
      </c>
      <c r="AT151" s="1164">
        <f t="shared" si="969"/>
        <v>-2.3954512600136812E-2</v>
      </c>
      <c r="AU151" s="1164">
        <f t="shared" si="969"/>
        <v>2.2839403454143897E-2</v>
      </c>
      <c r="AV151" s="1164">
        <f t="shared" si="969"/>
        <v>1.4361499055802363E-2</v>
      </c>
      <c r="AW151" s="1164">
        <f t="shared" si="969"/>
        <v>-5.278409327716338E-3</v>
      </c>
      <c r="AX151" s="1164">
        <f t="shared" si="969"/>
        <v>-1.4423938033475331E-2</v>
      </c>
      <c r="AY151" s="1164">
        <f t="shared" si="969"/>
        <v>-2.0086374566117449E-2</v>
      </c>
      <c r="AZ151" s="1164">
        <f t="shared" si="969"/>
        <v>5.3611034133771163E-3</v>
      </c>
      <c r="BA151" s="1164">
        <f t="shared" si="969"/>
        <v>-1.2027095223253598E-2</v>
      </c>
      <c r="BB151" s="1164">
        <f t="shared" si="969"/>
        <v>2.9053818779106372E-2</v>
      </c>
      <c r="BC151" s="1164">
        <f t="shared" si="969"/>
        <v>-1.4024091116225407E-2</v>
      </c>
      <c r="BD151" s="1164">
        <f t="shared" si="969"/>
        <v>-7.577491216953447E-3</v>
      </c>
      <c r="BE151" s="1164">
        <f t="shared" si="969"/>
        <v>1.9032556316577964E-2</v>
      </c>
      <c r="BF151" s="1164">
        <f t="shared" si="969"/>
        <v>-2.6703092290043223E-2</v>
      </c>
      <c r="BG151" s="1164">
        <f t="shared" si="969"/>
        <v>2.0386346449816212E-2</v>
      </c>
      <c r="BH151" s="1164">
        <f t="shared" si="969"/>
        <v>7.523711353285889E-3</v>
      </c>
      <c r="BI151" s="1164">
        <f t="shared" si="969"/>
        <v>9.5326523562924426E-3</v>
      </c>
      <c r="BJ151" s="1164">
        <f t="shared" si="969"/>
        <v>2.3736104219541004E-2</v>
      </c>
      <c r="BK151" s="1164">
        <f t="shared" si="969"/>
        <v>6.7085307038245834E-2</v>
      </c>
      <c r="BL151" s="1164">
        <f t="shared" si="969"/>
        <v>2.3047736735900881E-2</v>
      </c>
      <c r="BM151" s="1223">
        <f t="shared" si="969"/>
        <v>3.0565689351659153E-2</v>
      </c>
      <c r="BN151" s="1223">
        <f t="shared" si="969"/>
        <v>3.6909382749481801E-2</v>
      </c>
      <c r="BO151" s="1223">
        <f t="shared" si="969"/>
        <v>-0.10210174247565551</v>
      </c>
      <c r="BP151" s="1223">
        <f t="shared" si="969"/>
        <v>0.51110781554317541</v>
      </c>
      <c r="BQ151" s="1223">
        <f t="shared" si="969"/>
        <v>-0.16537262382040274</v>
      </c>
      <c r="BR151" s="1223">
        <f t="shared" si="969"/>
        <v>-5.651943415915639E-2</v>
      </c>
      <c r="BS151" s="1223">
        <f t="shared" si="969"/>
        <v>-9.6996291338569185E-2</v>
      </c>
      <c r="BT151" s="1223">
        <f t="shared" si="969"/>
        <v>-0.55632531849096412</v>
      </c>
      <c r="BU151" s="1223">
        <f t="shared" si="969"/>
        <v>0.12525589924000219</v>
      </c>
      <c r="BV151" s="1223">
        <f t="shared" si="969"/>
        <v>-4.1389469554212077E-2</v>
      </c>
      <c r="BW151" s="1223">
        <f t="shared" ref="BW151:CK151" si="970">+BW149-BS149</f>
        <v>0.12721507502573176</v>
      </c>
      <c r="BX151" s="1223">
        <f t="shared" si="970"/>
        <v>-7.4078865795920712E-4</v>
      </c>
      <c r="BY151" s="1223">
        <f t="shared" si="970"/>
        <v>-1.5449922155572893E-2</v>
      </c>
      <c r="BZ151" s="1223">
        <f t="shared" si="970"/>
        <v>2.5088543069972019E-2</v>
      </c>
      <c r="CA151" s="1223">
        <f t="shared" si="970"/>
        <v>-6.2145113594167731E-2</v>
      </c>
      <c r="CB151" s="1223">
        <f t="shared" si="970"/>
        <v>-5.4364407985974667E-2</v>
      </c>
      <c r="CC151" s="1223">
        <f t="shared" si="970"/>
        <v>-3.4871110221219137E-2</v>
      </c>
      <c r="CD151" s="1223">
        <f t="shared" si="970"/>
        <v>-1.4037923887103204E-2</v>
      </c>
      <c r="CE151" s="1223">
        <f t="shared" si="970"/>
        <v>4.508613306856403E-2</v>
      </c>
      <c r="CF151" s="1223">
        <f t="shared" si="970"/>
        <v>5.1056246108865805E-2</v>
      </c>
      <c r="CG151" s="1223">
        <f t="shared" si="970"/>
        <v>5.2900777295763923E-2</v>
      </c>
      <c r="CH151" s="1223">
        <f t="shared" si="970"/>
        <v>-1.9633352583019792E-2</v>
      </c>
      <c r="CI151" s="1223">
        <f t="shared" si="970"/>
        <v>4.9484632330814821E-2</v>
      </c>
      <c r="CJ151" s="1223">
        <f t="shared" si="970"/>
        <v>2.560962245050441E-2</v>
      </c>
      <c r="CK151" s="1223">
        <f t="shared" si="970"/>
        <v>-3.4423935220520563E-3</v>
      </c>
      <c r="CL151" s="1164">
        <f t="shared" ref="CL151" si="971">+CL149-CH149</f>
        <v>1.0815793882079927E-2</v>
      </c>
      <c r="CM151" s="1164">
        <f t="shared" ref="CM151" si="972">+CM149-CI149</f>
        <v>-2.067531685183327E-2</v>
      </c>
      <c r="CN151" s="1164">
        <f t="shared" ref="CN151" si="973">+CN149-CJ149</f>
        <v>-2.3966919441944817E-2</v>
      </c>
      <c r="CO151" s="1164">
        <f t="shared" ref="CO151" si="974">+CO149-CK149</f>
        <v>-6.5884184142160629E-3</v>
      </c>
      <c r="CP151" s="1164">
        <f t="shared" ref="CP151" si="975">+CP149-CL149</f>
        <v>4.4774230963188222E-3</v>
      </c>
      <c r="CQ151" s="1164"/>
      <c r="CR151" s="1164"/>
      <c r="CS151" s="556"/>
      <c r="CT151" s="1164">
        <v>1.0815793882079927E-2</v>
      </c>
      <c r="CU151" s="1110"/>
      <c r="CV151" s="118">
        <v>5.9298346410792992E-2</v>
      </c>
      <c r="CW151" s="118">
        <v>0.12627856600960963</v>
      </c>
      <c r="CX151" s="118">
        <v>0.12981064994468527</v>
      </c>
      <c r="CY151" s="118">
        <v>0.1325132487354598</v>
      </c>
      <c r="CZ151" s="118">
        <v>0.12498677283215308</v>
      </c>
      <c r="DA151" s="118">
        <v>0.15312731106586994</v>
      </c>
      <c r="DB151" s="118">
        <v>0.18343765833205516</v>
      </c>
      <c r="DC151" s="118">
        <v>0.18390652336761421</v>
      </c>
      <c r="DD151" s="118">
        <v>0.18489644552192513</v>
      </c>
      <c r="DE151" s="118">
        <v>0.19142697366042602</v>
      </c>
      <c r="DF151" s="118"/>
      <c r="DG151" s="1240">
        <f t="shared" ref="DG151:DL151" si="976">+DG149-DF149</f>
        <v>3.3261257591185589E-4</v>
      </c>
      <c r="DH151" s="1240">
        <f t="shared" si="976"/>
        <v>4.5241807077962548E-3</v>
      </c>
      <c r="DI151" s="1240">
        <f t="shared" si="976"/>
        <v>-9.22696889643701E-3</v>
      </c>
      <c r="DJ151" s="1240">
        <f t="shared" si="976"/>
        <v>1.6048419931511293E-2</v>
      </c>
      <c r="DK151" s="1240">
        <f t="shared" si="976"/>
        <v>3.7548890900597237E-2</v>
      </c>
      <c r="DL151" s="1240">
        <f t="shared" si="976"/>
        <v>-2.9376132372029989E-2</v>
      </c>
      <c r="DM151" s="1240">
        <f t="shared" ref="DM151:DS151" si="977">+DM149-DL149</f>
        <v>-5.4491878839412117E-2</v>
      </c>
      <c r="DN151" s="1240">
        <f t="shared" si="977"/>
        <v>2.0956866897337195E-2</v>
      </c>
      <c r="DO151" s="1240">
        <f t="shared" si="977"/>
        <v>-3.8840584408693424E-2</v>
      </c>
      <c r="DP151" s="1240">
        <f t="shared" si="977"/>
        <v>2.8110949084848152E-2</v>
      </c>
      <c r="DQ151" s="1240">
        <f t="shared" si="977"/>
        <v>1.9363011109130801E-2</v>
      </c>
      <c r="DR151" s="1240">
        <f t="shared" si="977"/>
        <v>-1.0595237924619277E-2</v>
      </c>
      <c r="DS151" s="401">
        <f t="shared" si="977"/>
        <v>2.3772638075901464E-2</v>
      </c>
      <c r="DT151" s="401">
        <f t="shared" ref="DT151" si="978">+DT149-DS149</f>
        <v>5.1584515757084337E-3</v>
      </c>
      <c r="DU151" s="401">
        <f t="shared" ref="DU151" si="979">+DU149-DT149</f>
        <v>4.4216875892859331E-3</v>
      </c>
      <c r="DV151" s="401">
        <f t="shared" ref="DV151" si="980">+DV149-DU149</f>
        <v>4.0557583505144434E-3</v>
      </c>
      <c r="DY151" s="401">
        <v>-5.3052016009995373E-3</v>
      </c>
      <c r="DZ151" s="401">
        <v>1.9348910590225449E-2</v>
      </c>
    </row>
    <row r="152" spans="1:130" s="359" customFormat="1">
      <c r="A152" s="119"/>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c r="AA152" s="91"/>
      <c r="AB152" s="91"/>
      <c r="AC152" s="91"/>
      <c r="AD152" s="91"/>
      <c r="AE152" s="91"/>
      <c r="AF152" s="91"/>
      <c r="AG152" s="91"/>
      <c r="AH152" s="91"/>
      <c r="AI152" s="93"/>
      <c r="AJ152" s="93"/>
      <c r="AK152" s="93"/>
      <c r="AL152" s="93"/>
      <c r="AM152" s="93"/>
      <c r="AN152" s="93"/>
      <c r="AO152" s="93"/>
      <c r="AP152" s="93"/>
      <c r="AQ152" s="1164"/>
      <c r="AR152" s="1164"/>
      <c r="AS152" s="1164"/>
      <c r="AT152" s="1164"/>
      <c r="AU152" s="1164"/>
      <c r="AV152" s="1164"/>
      <c r="AW152" s="1164"/>
      <c r="AX152" s="1164"/>
      <c r="AY152" s="1164"/>
      <c r="AZ152" s="1164"/>
      <c r="BA152" s="1164"/>
      <c r="BB152" s="1164"/>
      <c r="BC152" s="1164"/>
      <c r="BD152" s="1164"/>
      <c r="BE152" s="1164"/>
      <c r="BF152" s="1164"/>
      <c r="BG152" s="1164"/>
      <c r="BH152" s="1164"/>
      <c r="BI152" s="1164"/>
      <c r="BJ152" s="1164"/>
      <c r="BK152" s="1164"/>
      <c r="BL152" s="1164"/>
      <c r="BM152" s="1223"/>
      <c r="BN152" s="1223"/>
      <c r="BO152" s="1223"/>
      <c r="BP152" s="1223"/>
      <c r="BQ152" s="1223"/>
      <c r="BR152" s="1223"/>
      <c r="BS152" s="1223"/>
      <c r="BT152" s="1223"/>
      <c r="BU152" s="1223"/>
      <c r="BV152" s="1223"/>
      <c r="BW152" s="1223"/>
      <c r="BX152" s="1223"/>
      <c r="BY152" s="1223"/>
      <c r="BZ152" s="1223"/>
      <c r="CA152" s="1223"/>
      <c r="CB152" s="1223"/>
      <c r="CC152" s="1223"/>
      <c r="CD152" s="1223"/>
      <c r="CE152" s="1223"/>
      <c r="CF152" s="1223"/>
      <c r="CG152" s="1223"/>
      <c r="CH152" s="1223"/>
      <c r="CI152" s="1223"/>
      <c r="CJ152" s="1223"/>
      <c r="CK152" s="1223"/>
      <c r="CL152" s="1164"/>
      <c r="CM152" s="1164"/>
      <c r="CN152" s="1164"/>
      <c r="CO152" s="1164"/>
      <c r="CP152" s="1164"/>
      <c r="CQ152" s="1164"/>
      <c r="CR152" s="1164"/>
      <c r="CS152" s="556"/>
      <c r="CT152" s="1164"/>
      <c r="CU152" s="1110"/>
      <c r="CV152" s="118"/>
      <c r="CW152" s="118"/>
      <c r="CX152" s="118"/>
      <c r="CY152" s="118"/>
      <c r="CZ152" s="118"/>
      <c r="DA152" s="118"/>
      <c r="DB152" s="118"/>
      <c r="DC152" s="118"/>
      <c r="DD152" s="118"/>
      <c r="DE152" s="118"/>
      <c r="DF152" s="118"/>
      <c r="DG152" s="1240"/>
      <c r="DH152" s="1240"/>
      <c r="DI152" s="1240"/>
      <c r="DJ152" s="1240"/>
      <c r="DK152" s="1240"/>
      <c r="DL152" s="1240"/>
      <c r="DM152" s="1240"/>
      <c r="DN152" s="1240"/>
      <c r="DO152" s="1240"/>
      <c r="DP152" s="1240"/>
      <c r="DQ152" s="1240"/>
      <c r="DR152" s="1240"/>
      <c r="DS152" s="401"/>
      <c r="DT152" s="401"/>
      <c r="DU152" s="401"/>
      <c r="DV152" s="401"/>
      <c r="DY152" s="401"/>
      <c r="DZ152" s="401"/>
    </row>
    <row r="153" spans="1:130" s="359" customFormat="1">
      <c r="A153" s="50" t="s">
        <v>232</v>
      </c>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c r="AA153" s="91"/>
      <c r="AB153" s="91"/>
      <c r="AC153" s="91"/>
      <c r="AD153" s="91"/>
      <c r="AE153" s="91"/>
      <c r="AF153" s="91"/>
      <c r="AG153" s="91"/>
      <c r="AH153" s="91"/>
      <c r="AI153" s="93"/>
      <c r="AJ153" s="93"/>
      <c r="AK153" s="93"/>
      <c r="AL153" s="93"/>
      <c r="AM153" s="93"/>
      <c r="AN153" s="93"/>
      <c r="AO153" s="93"/>
      <c r="AP153" s="93"/>
      <c r="AQ153" s="1326">
        <f>+AQ155+AQ156+AQ157</f>
        <v>-3019.77</v>
      </c>
      <c r="AR153" s="1326">
        <f t="shared" ref="AR153:DO153" si="981">+AR155+AR156+AR157</f>
        <v>-7064</v>
      </c>
      <c r="AS153" s="1326">
        <f t="shared" si="981"/>
        <v>-7417</v>
      </c>
      <c r="AT153" s="1326">
        <f t="shared" si="981"/>
        <v>-20849.697</v>
      </c>
      <c r="AU153" s="1326">
        <f t="shared" si="981"/>
        <v>-6845.0508600000003</v>
      </c>
      <c r="AV153" s="1326">
        <f t="shared" si="981"/>
        <v>-8600.4621100000004</v>
      </c>
      <c r="AW153" s="1326">
        <f t="shared" si="981"/>
        <v>-5642</v>
      </c>
      <c r="AX153" s="1326">
        <f t="shared" si="981"/>
        <v>-28043.69659</v>
      </c>
      <c r="AY153" s="1326">
        <f t="shared" si="981"/>
        <v>-6889</v>
      </c>
      <c r="AZ153" s="1326">
        <f t="shared" si="981"/>
        <v>-6701</v>
      </c>
      <c r="BA153" s="1326">
        <f t="shared" si="981"/>
        <v>-18014</v>
      </c>
      <c r="BB153" s="1326">
        <f t="shared" si="981"/>
        <v>-20552</v>
      </c>
      <c r="BC153" s="1326">
        <f t="shared" si="981"/>
        <v>-7292</v>
      </c>
      <c r="BD153" s="1326">
        <f t="shared" si="981"/>
        <v>-8316</v>
      </c>
      <c r="BE153" s="1326">
        <f t="shared" si="981"/>
        <v>-10540</v>
      </c>
      <c r="BF153" s="1326">
        <f t="shared" si="981"/>
        <v>-33391</v>
      </c>
      <c r="BG153" s="1326">
        <f t="shared" si="981"/>
        <v>-5607</v>
      </c>
      <c r="BH153" s="1326">
        <f t="shared" si="981"/>
        <v>-5936.03514</v>
      </c>
      <c r="BI153" s="1326">
        <f t="shared" si="981"/>
        <v>-7188.5682500000003</v>
      </c>
      <c r="BJ153" s="1326">
        <f t="shared" si="981"/>
        <v>-16190.7492</v>
      </c>
      <c r="BK153" s="1326">
        <f t="shared" si="981"/>
        <v>-5305</v>
      </c>
      <c r="BL153" s="1326">
        <f t="shared" si="981"/>
        <v>-5449</v>
      </c>
      <c r="BM153" s="1326">
        <f t="shared" si="981"/>
        <v>-7173</v>
      </c>
      <c r="BN153" s="1326">
        <f t="shared" si="981"/>
        <v>-32771</v>
      </c>
      <c r="BO153" s="1326">
        <f t="shared" si="981"/>
        <v>-4814</v>
      </c>
      <c r="BP153" s="1326">
        <f t="shared" si="981"/>
        <v>-14780</v>
      </c>
      <c r="BQ153" s="1326">
        <f t="shared" si="981"/>
        <v>-15680</v>
      </c>
      <c r="BR153" s="1326">
        <f t="shared" si="981"/>
        <v>-9454</v>
      </c>
      <c r="BS153" s="1326">
        <f t="shared" si="981"/>
        <v>-3667</v>
      </c>
      <c r="BT153" s="1326">
        <f t="shared" si="981"/>
        <v>-4467</v>
      </c>
      <c r="BU153" s="1326">
        <f t="shared" si="981"/>
        <v>-3346</v>
      </c>
      <c r="BV153" s="1326">
        <f t="shared" si="981"/>
        <v>-19619</v>
      </c>
      <c r="BW153" s="1326">
        <f t="shared" si="981"/>
        <v>-4374</v>
      </c>
      <c r="BX153" s="1326">
        <f>+BX155+BX156+BX157</f>
        <v>-15939</v>
      </c>
      <c r="BY153" s="1326">
        <f t="shared" si="981"/>
        <v>-7355</v>
      </c>
      <c r="BZ153" s="1326">
        <f t="shared" si="981"/>
        <v>-34118</v>
      </c>
      <c r="CA153" s="1326">
        <f t="shared" ref="CA153" si="982">+CA155+CA156+CA157</f>
        <v>-21851</v>
      </c>
      <c r="CB153" s="1326">
        <f t="shared" si="981"/>
        <v>-9523</v>
      </c>
      <c r="CC153" s="1326">
        <f t="shared" si="981"/>
        <v>-6496</v>
      </c>
      <c r="CD153" s="1326">
        <f t="shared" ref="CD153:CE153" si="983">+CD155+CD156+CD157</f>
        <v>-126430</v>
      </c>
      <c r="CE153" s="1326">
        <f t="shared" si="983"/>
        <v>-5839</v>
      </c>
      <c r="CF153" s="1326">
        <f t="shared" ref="CF153:CH153" si="984">+CF155+CF156+CF157</f>
        <v>-16472</v>
      </c>
      <c r="CG153" s="1326">
        <f t="shared" si="984"/>
        <v>-7580</v>
      </c>
      <c r="CH153" s="1326">
        <f t="shared" si="984"/>
        <v>-159989</v>
      </c>
      <c r="CI153" s="1326">
        <f t="shared" ref="CI153:CJ153" si="985">+CI155+CI156+CI157</f>
        <v>-7205</v>
      </c>
      <c r="CJ153" s="1326">
        <f t="shared" si="985"/>
        <v>-9957</v>
      </c>
      <c r="CK153" s="1326">
        <f t="shared" ref="CK153" si="986">+CK155+CK156+CK157</f>
        <v>-7962</v>
      </c>
      <c r="CL153" s="1326">
        <f t="shared" ref="CL153:CP153" si="987">+CL155+CL156+CL157</f>
        <v>-134809.10526779186</v>
      </c>
      <c r="CM153" s="1326">
        <f t="shared" si="987"/>
        <v>-7595.7260748781355</v>
      </c>
      <c r="CN153" s="1326">
        <f t="shared" si="987"/>
        <v>-10407.322197164793</v>
      </c>
      <c r="CO153" s="1326">
        <f t="shared" si="987"/>
        <v>-8581.4405118982158</v>
      </c>
      <c r="CP153" s="1326">
        <f t="shared" si="987"/>
        <v>-146602.96005129709</v>
      </c>
      <c r="CQ153" s="1326"/>
      <c r="CR153" s="1326"/>
      <c r="CS153" s="1326"/>
      <c r="CT153" s="1326">
        <v>-134809.10526779186</v>
      </c>
      <c r="CU153" s="1326"/>
      <c r="CV153" s="1326">
        <f t="shared" si="981"/>
        <v>0</v>
      </c>
      <c r="CW153" s="1326">
        <f t="shared" si="981"/>
        <v>0</v>
      </c>
      <c r="CX153" s="1326">
        <f t="shared" si="981"/>
        <v>0</v>
      </c>
      <c r="CY153" s="1326">
        <f t="shared" si="981"/>
        <v>-15570</v>
      </c>
      <c r="CZ153" s="1326">
        <f t="shared" si="981"/>
        <v>-33180</v>
      </c>
      <c r="DA153" s="1326">
        <f t="shared" si="981"/>
        <v>-51729</v>
      </c>
      <c r="DB153" s="1326">
        <f t="shared" si="981"/>
        <v>-52155</v>
      </c>
      <c r="DC153" s="1326">
        <f t="shared" si="981"/>
        <v>-54222</v>
      </c>
      <c r="DD153" s="1326">
        <f t="shared" si="981"/>
        <v>-48381</v>
      </c>
      <c r="DE153" s="1326">
        <f t="shared" si="981"/>
        <v>-39417</v>
      </c>
      <c r="DF153" s="1326">
        <f t="shared" si="981"/>
        <v>-38350.467000000004</v>
      </c>
      <c r="DG153" s="1326">
        <f t="shared" si="981"/>
        <v>-49131.209559999996</v>
      </c>
      <c r="DH153" s="1326">
        <f t="shared" si="981"/>
        <v>-52156</v>
      </c>
      <c r="DI153" s="1326">
        <f t="shared" si="981"/>
        <v>-59539</v>
      </c>
      <c r="DJ153" s="1326">
        <f t="shared" si="981"/>
        <v>-34922.352589999995</v>
      </c>
      <c r="DK153" s="1326">
        <f t="shared" si="981"/>
        <v>-50698</v>
      </c>
      <c r="DL153" s="1326">
        <f t="shared" si="981"/>
        <v>-44728</v>
      </c>
      <c r="DM153" s="1326">
        <f t="shared" si="981"/>
        <v>-31099</v>
      </c>
      <c r="DN153" s="1326">
        <f t="shared" si="981"/>
        <v>-61786</v>
      </c>
      <c r="DO153" s="1326">
        <f t="shared" si="981"/>
        <v>-164300</v>
      </c>
      <c r="DP153" s="1326">
        <f t="shared" ref="DP153:DQ153" si="988">+DP155+DP156+DP157</f>
        <v>-189880</v>
      </c>
      <c r="DQ153" s="1326">
        <f t="shared" si="988"/>
        <v>-159933.10526779186</v>
      </c>
      <c r="DR153" s="1326">
        <f t="shared" ref="DR153" si="989">+DR155+DR156+DR157</f>
        <v>-173187.44883523823</v>
      </c>
      <c r="DS153" s="1326">
        <f>+DS155+DS156+DS157</f>
        <v>-187660.09978043337</v>
      </c>
      <c r="DT153" s="1326">
        <f t="shared" ref="DT153:DV153" si="990">+DT155+DT156+DT157</f>
        <v>-200466.7938272841</v>
      </c>
      <c r="DU153" s="1326">
        <f t="shared" si="990"/>
        <v>-214147.7913185267</v>
      </c>
      <c r="DV153" s="1326">
        <f t="shared" si="990"/>
        <v>-228751.40651765181</v>
      </c>
      <c r="DY153" s="1326">
        <v>-123862.3308650057</v>
      </c>
      <c r="DZ153" s="1326">
        <v>-133678.67753593528</v>
      </c>
    </row>
    <row r="154" spans="1:130" s="359" customFormat="1">
      <c r="A154" s="50" t="s">
        <v>233</v>
      </c>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c r="AA154" s="91"/>
      <c r="AB154" s="91"/>
      <c r="AC154" s="91"/>
      <c r="AD154" s="91"/>
      <c r="AE154" s="91"/>
      <c r="AF154" s="91"/>
      <c r="AG154" s="91"/>
      <c r="AH154" s="91"/>
      <c r="AI154" s="93"/>
      <c r="AJ154" s="93"/>
      <c r="AK154" s="93"/>
      <c r="AL154" s="93"/>
      <c r="AM154" s="93"/>
      <c r="AN154" s="93"/>
      <c r="AO154" s="93"/>
      <c r="AP154" s="93"/>
      <c r="AQ154" s="95">
        <f>+AQ153/AQ$26</f>
        <v>-3.2172650312055863E-3</v>
      </c>
      <c r="AR154" s="95">
        <f t="shared" ref="AR154:CC154" si="991">+AR153/AR$26</f>
        <v>-5.627662862842448E-3</v>
      </c>
      <c r="AS154" s="95">
        <f t="shared" si="991"/>
        <v>-6.1613071241723109E-3</v>
      </c>
      <c r="AT154" s="95">
        <f t="shared" si="991"/>
        <v>-1.1465963740631182E-2</v>
      </c>
      <c r="AU154" s="95">
        <f t="shared" si="991"/>
        <v>-5.8308005898051619E-3</v>
      </c>
      <c r="AV154" s="95">
        <f t="shared" si="991"/>
        <v>-5.5977977819592671E-3</v>
      </c>
      <c r="AW154" s="95">
        <f t="shared" si="991"/>
        <v>-3.9715473337064138E-3</v>
      </c>
      <c r="AX154" s="95">
        <f t="shared" si="991"/>
        <v>-1.3922683978364101E-2</v>
      </c>
      <c r="AY154" s="95">
        <f t="shared" si="991"/>
        <v>-5.5228244408831711E-3</v>
      </c>
      <c r="AZ154" s="95">
        <f t="shared" si="991"/>
        <v>-4.0671773146068778E-3</v>
      </c>
      <c r="BA154" s="95">
        <f t="shared" si="991"/>
        <v>-1.2459288062419553E-2</v>
      </c>
      <c r="BB154" s="95">
        <f t="shared" si="991"/>
        <v>-9.7365835355471518E-3</v>
      </c>
      <c r="BC154" s="95">
        <f t="shared" si="991"/>
        <v>-5.1521771693265996E-3</v>
      </c>
      <c r="BD154" s="95">
        <f t="shared" si="991"/>
        <v>-4.5414530465307801E-3</v>
      </c>
      <c r="BE154" s="95">
        <f t="shared" si="991"/>
        <v>-6.0353520459786175E-3</v>
      </c>
      <c r="BF154" s="95">
        <f t="shared" si="991"/>
        <v>-1.3620795995222462E-2</v>
      </c>
      <c r="BG154" s="95">
        <f t="shared" si="991"/>
        <v>-3.4435003700212185E-3</v>
      </c>
      <c r="BH154" s="95">
        <f t="shared" si="991"/>
        <v>-2.9384901517105367E-3</v>
      </c>
      <c r="BI154" s="95">
        <f t="shared" si="991"/>
        <v>-3.6991780168456759E-3</v>
      </c>
      <c r="BJ154" s="95">
        <f t="shared" si="991"/>
        <v>-5.7112825239666988E-3</v>
      </c>
      <c r="BK154" s="95">
        <f t="shared" si="991"/>
        <v>-2.803737823823791E-3</v>
      </c>
      <c r="BL154" s="95">
        <f t="shared" si="991"/>
        <v>-2.3773955019275707E-3</v>
      </c>
      <c r="BM154" s="95">
        <f t="shared" si="991"/>
        <v>-3.2227266702759289E-3</v>
      </c>
      <c r="BN154" s="95">
        <f t="shared" si="991"/>
        <v>-1.0310011354194555E-2</v>
      </c>
      <c r="BO154" s="95">
        <f t="shared" si="991"/>
        <v>-2.582949208616341E-3</v>
      </c>
      <c r="BP154" s="95">
        <f t="shared" si="991"/>
        <v>-1.8280631188884188E-2</v>
      </c>
      <c r="BQ154" s="95">
        <f t="shared" si="991"/>
        <v>-8.759585685004628E-3</v>
      </c>
      <c r="BR154" s="95">
        <f t="shared" si="991"/>
        <v>-3.0745975282239209E-3</v>
      </c>
      <c r="BS154" s="95">
        <f t="shared" si="991"/>
        <v>-2.3188402131284172E-3</v>
      </c>
      <c r="BT154" s="95">
        <f t="shared" si="991"/>
        <v>-1.7937648300822434E-3</v>
      </c>
      <c r="BU154" s="95">
        <f t="shared" si="991"/>
        <v>-1.2730714041836524E-3</v>
      </c>
      <c r="BV154" s="95">
        <f t="shared" si="991"/>
        <v>-5.0674404105879945E-3</v>
      </c>
      <c r="BW154" s="95">
        <f t="shared" si="991"/>
        <v>-1.6739226275763253E-3</v>
      </c>
      <c r="BX154" s="95">
        <f>+BX153/BX$26</f>
        <v>-4.3953443929783693E-3</v>
      </c>
      <c r="BY154" s="95">
        <f t="shared" si="991"/>
        <v>-2.4373415976500779E-3</v>
      </c>
      <c r="BZ154" s="95">
        <f t="shared" si="991"/>
        <v>-8.4994459590886622E-3</v>
      </c>
      <c r="CA154" s="95">
        <f t="shared" ref="CA154" si="992">+CA153/CA$26</f>
        <v>-7.8734057533405497E-3</v>
      </c>
      <c r="CB154" s="95">
        <f t="shared" si="991"/>
        <v>-2.7176867671228106E-3</v>
      </c>
      <c r="CC154" s="95">
        <f t="shared" si="991"/>
        <v>-2.0974487067885531E-3</v>
      </c>
      <c r="CD154" s="95">
        <f t="shared" ref="CD154:CE154" si="993">+CD153/CD$26</f>
        <v>-2.9599347095948896E-2</v>
      </c>
      <c r="CE154" s="95">
        <f t="shared" si="993"/>
        <v>-2.0077373017234768E-3</v>
      </c>
      <c r="CF154" s="95">
        <f t="shared" ref="CF154:CH154" si="994">+CF153/CF$26</f>
        <v>-4.6790257104963621E-3</v>
      </c>
      <c r="CG154" s="95">
        <f t="shared" si="994"/>
        <v>-2.235652522969265E-3</v>
      </c>
      <c r="CH154" s="95">
        <f t="shared" si="994"/>
        <v>-3.4650526496805327E-2</v>
      </c>
      <c r="CI154" s="95">
        <f t="shared" ref="CI154:CJ154" si="995">+CI153/CI$26</f>
        <v>-2.2117672772638307E-3</v>
      </c>
      <c r="CJ154" s="95">
        <f t="shared" si="995"/>
        <v>-2.3891643227725726E-3</v>
      </c>
      <c r="CK154" s="95">
        <f t="shared" ref="CK154" si="996">+CK153/CK$26</f>
        <v>-2.2343377470062905E-3</v>
      </c>
      <c r="CL154" s="95">
        <f t="shared" ref="CL154:CP154" si="997">+CL153/CL$26</f>
        <v>-2.792340602575101E-2</v>
      </c>
      <c r="CM154" s="95">
        <f t="shared" si="997"/>
        <v>-2.2117672772638307E-3</v>
      </c>
      <c r="CN154" s="95">
        <f t="shared" si="997"/>
        <v>-2.389164322772573E-3</v>
      </c>
      <c r="CO154" s="95">
        <f t="shared" si="997"/>
        <v>-2.2343377470062905E-3</v>
      </c>
      <c r="CP154" s="95">
        <f t="shared" si="997"/>
        <v>-2.7923406025751014E-2</v>
      </c>
      <c r="CQ154" s="95"/>
      <c r="CR154" s="1326"/>
      <c r="CS154" s="1326"/>
      <c r="CT154" s="95">
        <v>-2.792340602575101E-2</v>
      </c>
      <c r="CU154" s="1326"/>
      <c r="CV154" s="1326"/>
      <c r="CW154" s="1326"/>
      <c r="CX154" s="1326"/>
      <c r="CY154" s="1326"/>
      <c r="CZ154" s="1326"/>
      <c r="DA154" s="1326"/>
      <c r="DB154" s="1326"/>
      <c r="DC154" s="1326"/>
      <c r="DD154" s="1326"/>
      <c r="DE154" s="1326"/>
      <c r="DF154" s="95">
        <f t="shared" ref="DF154:DS154" si="998">+DF153/DF$26</f>
        <v>-7.3524048110023624E-3</v>
      </c>
      <c r="DG154" s="95">
        <f t="shared" si="998"/>
        <v>-7.9950572072698053E-3</v>
      </c>
      <c r="DH154" s="95">
        <f t="shared" si="998"/>
        <v>-8.0842212295282705E-3</v>
      </c>
      <c r="DI154" s="95">
        <f t="shared" si="998"/>
        <v>-7.9979259312991605E-3</v>
      </c>
      <c r="DJ154" s="95">
        <f t="shared" si="998"/>
        <v>-4.1443283299754897E-3</v>
      </c>
      <c r="DK154" s="95">
        <f t="shared" si="998"/>
        <v>-5.2874102421489547E-3</v>
      </c>
      <c r="DL154" s="95">
        <f t="shared" si="998"/>
        <v>-5.9343149559914982E-3</v>
      </c>
      <c r="DM154" s="95">
        <f t="shared" si="998"/>
        <v>-2.941761794560007E-3</v>
      </c>
      <c r="DN154" s="95">
        <f t="shared" si="998"/>
        <v>-4.6556674081504844E-3</v>
      </c>
      <c r="DO154" s="95">
        <f t="shared" si="998"/>
        <v>-1.2038527096834088E-2</v>
      </c>
      <c r="DP154" s="95">
        <f t="shared" ref="DP154:DQ154" si="999">+DP153/DP$26</f>
        <v>-1.3152894571944214E-2</v>
      </c>
      <c r="DQ154" s="95">
        <f t="shared" si="999"/>
        <v>-1.0111832517672326E-2</v>
      </c>
      <c r="DR154" s="95">
        <f t="shared" ref="DR154" si="1000">+DR153/DR$26</f>
        <v>-1.0259205393935053E-2</v>
      </c>
      <c r="DS154" s="95">
        <f t="shared" si="998"/>
        <v>-1.0259205393935053E-2</v>
      </c>
      <c r="DT154" s="95">
        <f t="shared" ref="DT154:DV154" si="1001">+DT153/DT$26</f>
        <v>-1.0259205393935052E-2</v>
      </c>
      <c r="DU154" s="95">
        <f t="shared" si="1001"/>
        <v>-1.0259205393935052E-2</v>
      </c>
      <c r="DV154" s="95">
        <f t="shared" si="1001"/>
        <v>-1.0259205393935052E-2</v>
      </c>
      <c r="DY154" s="95">
        <v>-7.2116581278325468E-3</v>
      </c>
      <c r="DZ154" s="95">
        <v>-7.2116581278325459E-3</v>
      </c>
    </row>
    <row r="155" spans="1:130" s="359" customFormat="1" ht="15.75">
      <c r="A155" s="1325" t="s">
        <v>234</v>
      </c>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c r="AA155" s="91"/>
      <c r="AB155" s="91"/>
      <c r="AC155" s="91"/>
      <c r="AD155" s="91"/>
      <c r="AE155" s="91"/>
      <c r="AF155" s="91"/>
      <c r="AG155" s="91"/>
      <c r="AH155" s="91"/>
      <c r="AI155" s="93"/>
      <c r="AJ155" s="93"/>
      <c r="AK155" s="93"/>
      <c r="AL155" s="93"/>
      <c r="AM155" s="93"/>
      <c r="AN155" s="93"/>
      <c r="AO155" s="93"/>
      <c r="AP155" s="93"/>
      <c r="AQ155" s="1327">
        <f t="shared" ref="AQ155:CC155" si="1002">+AQ117</f>
        <v>-2883</v>
      </c>
      <c r="AR155" s="1327">
        <f t="shared" si="1002"/>
        <v>-7003</v>
      </c>
      <c r="AS155" s="1327">
        <f t="shared" si="1002"/>
        <v>-7319</v>
      </c>
      <c r="AT155" s="1327">
        <f t="shared" si="1002"/>
        <v>-7748</v>
      </c>
      <c r="AU155" s="1327">
        <f t="shared" si="1002"/>
        <v>-6467.0164500000001</v>
      </c>
      <c r="AV155" s="1327">
        <f t="shared" si="1002"/>
        <v>-7543.4621100000004</v>
      </c>
      <c r="AW155" s="1327">
        <f t="shared" si="1002"/>
        <v>-5498</v>
      </c>
      <c r="AX155" s="1327">
        <f t="shared" si="1002"/>
        <v>-6922</v>
      </c>
      <c r="AY155" s="1327">
        <f t="shared" si="1002"/>
        <v>-6736</v>
      </c>
      <c r="AZ155" s="1327">
        <f t="shared" si="1002"/>
        <v>-5739</v>
      </c>
      <c r="BA155" s="1327">
        <f t="shared" si="1002"/>
        <v>-5786</v>
      </c>
      <c r="BB155" s="1327">
        <f t="shared" si="1002"/>
        <v>-5783</v>
      </c>
      <c r="BC155" s="1327">
        <f t="shared" si="1002"/>
        <v>-6861</v>
      </c>
      <c r="BD155" s="1327">
        <f t="shared" si="1002"/>
        <v>-7591</v>
      </c>
      <c r="BE155" s="1327">
        <f t="shared" si="1002"/>
        <v>-7129</v>
      </c>
      <c r="BF155" s="1327">
        <f t="shared" si="1002"/>
        <v>-6057</v>
      </c>
      <c r="BG155" s="1327">
        <f t="shared" si="1002"/>
        <v>-5084</v>
      </c>
      <c r="BH155" s="1327">
        <f t="shared" si="1002"/>
        <v>-4716</v>
      </c>
      <c r="BI155" s="1327">
        <f t="shared" si="1002"/>
        <v>-5920</v>
      </c>
      <c r="BJ155" s="1327">
        <f t="shared" si="1002"/>
        <v>-4777</v>
      </c>
      <c r="BK155" s="1327">
        <f t="shared" si="1002"/>
        <v>-4805</v>
      </c>
      <c r="BL155" s="1327">
        <f t="shared" si="1002"/>
        <v>-5160</v>
      </c>
      <c r="BM155" s="1327">
        <f t="shared" si="1002"/>
        <v>-5247</v>
      </c>
      <c r="BN155" s="1327">
        <f t="shared" si="1002"/>
        <v>-5863</v>
      </c>
      <c r="BO155" s="1327">
        <f t="shared" si="1002"/>
        <v>-4982</v>
      </c>
      <c r="BP155" s="1327">
        <f t="shared" si="1002"/>
        <v>-5392</v>
      </c>
      <c r="BQ155" s="1327">
        <f t="shared" si="1002"/>
        <v>-5440</v>
      </c>
      <c r="BR155" s="1327">
        <f t="shared" si="1002"/>
        <v>-7018</v>
      </c>
      <c r="BS155" s="1327">
        <f t="shared" si="1002"/>
        <v>-3734</v>
      </c>
      <c r="BT155" s="1327">
        <f t="shared" si="1002"/>
        <v>-4239</v>
      </c>
      <c r="BU155" s="1327">
        <f t="shared" si="1002"/>
        <v>-3430</v>
      </c>
      <c r="BV155" s="1327">
        <f t="shared" si="1002"/>
        <v>-3948</v>
      </c>
      <c r="BW155" s="1327">
        <f t="shared" si="1002"/>
        <v>-4381</v>
      </c>
      <c r="BX155" s="1327">
        <f>+BX117</f>
        <v>-6429</v>
      </c>
      <c r="BY155" s="1327">
        <f t="shared" si="1002"/>
        <v>-6511</v>
      </c>
      <c r="BZ155" s="1327">
        <f t="shared" si="1002"/>
        <v>-4478</v>
      </c>
      <c r="CA155" s="1327">
        <f t="shared" ref="CA155" si="1003">+CA117</f>
        <v>-5811</v>
      </c>
      <c r="CB155" s="1327">
        <f t="shared" si="1002"/>
        <v>-6447</v>
      </c>
      <c r="CC155" s="1327">
        <f t="shared" si="1002"/>
        <v>-6523</v>
      </c>
      <c r="CD155" s="1327">
        <f t="shared" ref="CD155:CE155" si="1004">+CD117</f>
        <v>-4677</v>
      </c>
      <c r="CE155" s="1327">
        <f t="shared" si="1004"/>
        <v>-5917</v>
      </c>
      <c r="CF155" s="1327">
        <f t="shared" ref="CF155:CH155" si="1005">+CF117</f>
        <v>-6200</v>
      </c>
      <c r="CG155" s="1327">
        <f t="shared" si="1005"/>
        <v>-6269</v>
      </c>
      <c r="CH155" s="1327">
        <f t="shared" si="1005"/>
        <v>-13498</v>
      </c>
      <c r="CI155" s="1327">
        <f t="shared" ref="CI155:CJ155" si="1006">+CI117</f>
        <v>-3642</v>
      </c>
      <c r="CJ155" s="1327">
        <f t="shared" si="1006"/>
        <v>-8629</v>
      </c>
      <c r="CK155" s="1327">
        <f t="shared" ref="CK155" si="1007">+CK117</f>
        <v>-4928</v>
      </c>
      <c r="CL155" s="1327">
        <f t="shared" ref="CL155:CP155" si="1008">+CL117</f>
        <v>-14113.670456337728</v>
      </c>
      <c r="CM155" s="1327">
        <f t="shared" si="1008"/>
        <v>-3839.5051165449227</v>
      </c>
      <c r="CN155" s="1327">
        <f t="shared" si="1008"/>
        <v>-9019.2611468650193</v>
      </c>
      <c r="CO155" s="1327">
        <f t="shared" si="1008"/>
        <v>-5311.39648865039</v>
      </c>
      <c r="CP155" s="1327">
        <f t="shared" si="1008"/>
        <v>-15348.413313607205</v>
      </c>
      <c r="CQ155" s="1327"/>
      <c r="CR155" s="1327"/>
      <c r="CS155" s="1327"/>
      <c r="CT155" s="1327">
        <v>-14113.670456337728</v>
      </c>
      <c r="CU155" s="1327"/>
      <c r="CV155" s="1327">
        <f t="shared" ref="CV155:DS155" si="1009">+CV117</f>
        <v>0</v>
      </c>
      <c r="CW155" s="1327">
        <f t="shared" si="1009"/>
        <v>0</v>
      </c>
      <c r="CX155" s="1327">
        <f t="shared" si="1009"/>
        <v>0</v>
      </c>
      <c r="CY155" s="1327">
        <f t="shared" si="1009"/>
        <v>-5190</v>
      </c>
      <c r="CZ155" s="1327">
        <f t="shared" si="1009"/>
        <v>-11060</v>
      </c>
      <c r="DA155" s="1327">
        <f t="shared" si="1009"/>
        <v>-17243</v>
      </c>
      <c r="DB155" s="1327">
        <f t="shared" si="1009"/>
        <v>-17385</v>
      </c>
      <c r="DC155" s="1327">
        <f t="shared" si="1009"/>
        <v>-18074</v>
      </c>
      <c r="DD155" s="1327">
        <f t="shared" si="1009"/>
        <v>-16127</v>
      </c>
      <c r="DE155" s="1327">
        <f t="shared" si="1009"/>
        <v>-13139</v>
      </c>
      <c r="DF155" s="1327">
        <f t="shared" si="1009"/>
        <v>-24953</v>
      </c>
      <c r="DG155" s="1327">
        <f t="shared" si="1009"/>
        <v>-26430.47856</v>
      </c>
      <c r="DH155" s="1327">
        <f t="shared" si="1009"/>
        <v>-24044</v>
      </c>
      <c r="DI155" s="1327">
        <f t="shared" si="1009"/>
        <v>-27638</v>
      </c>
      <c r="DJ155" s="1327">
        <f t="shared" si="1009"/>
        <v>-20497</v>
      </c>
      <c r="DK155" s="1327">
        <f t="shared" si="1009"/>
        <v>-21075</v>
      </c>
      <c r="DL155" s="1327">
        <f t="shared" si="1009"/>
        <v>-22832</v>
      </c>
      <c r="DM155" s="1327">
        <f t="shared" si="1009"/>
        <v>-15351</v>
      </c>
      <c r="DN155" s="1327">
        <f t="shared" si="1009"/>
        <v>-21799</v>
      </c>
      <c r="DO155" s="1327">
        <f t="shared" si="1009"/>
        <v>-23458</v>
      </c>
      <c r="DP155" s="1327">
        <f t="shared" ref="DP155:DQ155" si="1010">+DP117</f>
        <v>-31884</v>
      </c>
      <c r="DQ155" s="1327">
        <f t="shared" si="1010"/>
        <v>-31312.670456337728</v>
      </c>
      <c r="DR155" s="1327">
        <f t="shared" ref="DR155" si="1011">+DR117</f>
        <v>-33518.576065667541</v>
      </c>
      <c r="DS155" s="1327">
        <f t="shared" si="1009"/>
        <v>-36319.602669159351</v>
      </c>
      <c r="DT155" s="1327">
        <f t="shared" ref="DT155:DV155" si="1012">+DT117</f>
        <v>-38798.201155632101</v>
      </c>
      <c r="DU155" s="1327">
        <f t="shared" si="1012"/>
        <v>-41446.011710891682</v>
      </c>
      <c r="DV155" s="1327">
        <f t="shared" si="1012"/>
        <v>-44272.385043241484</v>
      </c>
      <c r="DY155" s="1327">
        <v>-34229.989274272113</v>
      </c>
      <c r="DZ155" s="1327">
        <v>-36942.78693367244</v>
      </c>
    </row>
    <row r="156" spans="1:130" s="359" customFormat="1" ht="15.75">
      <c r="A156" s="1325" t="s">
        <v>217</v>
      </c>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c r="AA156" s="91"/>
      <c r="AB156" s="91"/>
      <c r="AC156" s="91"/>
      <c r="AD156" s="91"/>
      <c r="AE156" s="91"/>
      <c r="AF156" s="91"/>
      <c r="AG156" s="91"/>
      <c r="AH156" s="91"/>
      <c r="AI156" s="93"/>
      <c r="AJ156" s="93"/>
      <c r="AK156" s="93"/>
      <c r="AL156" s="93"/>
      <c r="AM156" s="93"/>
      <c r="AN156" s="93"/>
      <c r="AO156" s="93"/>
      <c r="AP156" s="93"/>
      <c r="AQ156" s="1327">
        <f t="shared" ref="AQ156:CC156" si="1013">+AQ120</f>
        <v>0</v>
      </c>
      <c r="AR156" s="1327">
        <f t="shared" si="1013"/>
        <v>0</v>
      </c>
      <c r="AS156" s="1327">
        <f t="shared" si="1013"/>
        <v>0</v>
      </c>
      <c r="AT156" s="1327">
        <f t="shared" si="1013"/>
        <v>-11657.135</v>
      </c>
      <c r="AU156" s="1327">
        <f t="shared" si="1013"/>
        <v>0</v>
      </c>
      <c r="AV156" s="1327">
        <f t="shared" si="1013"/>
        <v>0</v>
      </c>
      <c r="AW156" s="1327">
        <f t="shared" si="1013"/>
        <v>0</v>
      </c>
      <c r="AX156" s="1327">
        <f t="shared" si="1013"/>
        <v>-9943.6965899999996</v>
      </c>
      <c r="AY156" s="1327">
        <f t="shared" si="1013"/>
        <v>0</v>
      </c>
      <c r="AZ156" s="1327">
        <f t="shared" si="1013"/>
        <v>0</v>
      </c>
      <c r="BA156" s="1327">
        <f t="shared" si="1013"/>
        <v>0</v>
      </c>
      <c r="BB156" s="1327">
        <f t="shared" si="1013"/>
        <v>-6734</v>
      </c>
      <c r="BC156" s="1327">
        <f t="shared" si="1013"/>
        <v>0</v>
      </c>
      <c r="BD156" s="1327">
        <f t="shared" si="1013"/>
        <v>0</v>
      </c>
      <c r="BE156" s="1327">
        <f t="shared" si="1013"/>
        <v>0</v>
      </c>
      <c r="BF156" s="1327">
        <f t="shared" si="1013"/>
        <v>-10551</v>
      </c>
      <c r="BG156" s="1327">
        <f t="shared" si="1013"/>
        <v>0</v>
      </c>
      <c r="BH156" s="1327">
        <f t="shared" si="1013"/>
        <v>0</v>
      </c>
      <c r="BI156" s="1327">
        <f t="shared" si="1013"/>
        <v>0</v>
      </c>
      <c r="BJ156" s="1327">
        <f t="shared" si="1013"/>
        <v>-8294.7492000000002</v>
      </c>
      <c r="BK156" s="1327">
        <f t="shared" si="1013"/>
        <v>0</v>
      </c>
      <c r="BL156" s="1327">
        <f t="shared" si="1013"/>
        <v>0</v>
      </c>
      <c r="BM156" s="1327">
        <f t="shared" si="1013"/>
        <v>0</v>
      </c>
      <c r="BN156" s="1327">
        <f t="shared" si="1013"/>
        <v>-5855</v>
      </c>
      <c r="BO156" s="1327">
        <f t="shared" si="1013"/>
        <v>0</v>
      </c>
      <c r="BP156" s="1327">
        <f t="shared" si="1013"/>
        <v>517</v>
      </c>
      <c r="BQ156" s="1327">
        <f t="shared" si="1013"/>
        <v>0</v>
      </c>
      <c r="BR156" s="1327">
        <f t="shared" si="1013"/>
        <v>-1880</v>
      </c>
      <c r="BS156" s="1327">
        <f t="shared" si="1013"/>
        <v>0</v>
      </c>
      <c r="BT156" s="1327">
        <f t="shared" si="1013"/>
        <v>0</v>
      </c>
      <c r="BU156" s="1327">
        <f t="shared" si="1013"/>
        <v>0</v>
      </c>
      <c r="BV156" s="1327">
        <f t="shared" si="1013"/>
        <v>-6754</v>
      </c>
      <c r="BW156" s="1327">
        <f t="shared" si="1013"/>
        <v>0</v>
      </c>
      <c r="BX156" s="1327">
        <f>+BX120</f>
        <v>0</v>
      </c>
      <c r="BY156" s="1327">
        <f t="shared" si="1013"/>
        <v>0</v>
      </c>
      <c r="BZ156" s="1327">
        <f t="shared" si="1013"/>
        <v>-2282</v>
      </c>
      <c r="CA156" s="1327">
        <f t="shared" ref="CA156" si="1014">+CA120</f>
        <v>0</v>
      </c>
      <c r="CB156" s="1327">
        <f t="shared" si="1013"/>
        <v>0</v>
      </c>
      <c r="CC156" s="1327">
        <f t="shared" si="1013"/>
        <v>0</v>
      </c>
      <c r="CD156" s="1327">
        <f t="shared" ref="CD156:CE156" si="1015">+CD120</f>
        <v>0</v>
      </c>
      <c r="CE156" s="1327">
        <f t="shared" si="1015"/>
        <v>0</v>
      </c>
      <c r="CF156" s="1327">
        <f>+CF120</f>
        <v>-1672</v>
      </c>
      <c r="CG156" s="1327">
        <f>+CG120</f>
        <v>0</v>
      </c>
      <c r="CH156" s="1327">
        <f t="shared" ref="CH156:CI156" si="1016">+CH120</f>
        <v>-12987</v>
      </c>
      <c r="CI156" s="1327">
        <f t="shared" si="1016"/>
        <v>0</v>
      </c>
      <c r="CJ156" s="1327">
        <f t="shared" ref="CJ156:CK156" si="1017">+CJ120</f>
        <v>0</v>
      </c>
      <c r="CK156" s="1327">
        <f t="shared" si="1017"/>
        <v>0</v>
      </c>
      <c r="CL156" s="1327">
        <f t="shared" ref="CL156:CP156" si="1018">+CL120</f>
        <v>0</v>
      </c>
      <c r="CM156" s="1327">
        <f t="shared" si="1018"/>
        <v>0</v>
      </c>
      <c r="CN156" s="1327">
        <f t="shared" si="1018"/>
        <v>0</v>
      </c>
      <c r="CO156" s="1327">
        <f t="shared" si="1018"/>
        <v>0</v>
      </c>
      <c r="CP156" s="1327">
        <f t="shared" si="1018"/>
        <v>0</v>
      </c>
      <c r="CQ156" s="1327"/>
      <c r="CR156" s="1327"/>
      <c r="CS156" s="1327"/>
      <c r="CT156" s="1327">
        <v>0</v>
      </c>
      <c r="CU156" s="1327"/>
      <c r="CV156" s="1327">
        <f t="shared" ref="CV156:DS156" si="1019">+CV120</f>
        <v>0</v>
      </c>
      <c r="CW156" s="1327">
        <f t="shared" si="1019"/>
        <v>0</v>
      </c>
      <c r="CX156" s="1327">
        <f t="shared" si="1019"/>
        <v>0</v>
      </c>
      <c r="CY156" s="1327">
        <f t="shared" si="1019"/>
        <v>-5190</v>
      </c>
      <c r="CZ156" s="1327">
        <f t="shared" si="1019"/>
        <v>-11060</v>
      </c>
      <c r="DA156" s="1327">
        <f t="shared" si="1019"/>
        <v>-17243</v>
      </c>
      <c r="DB156" s="1327">
        <f t="shared" si="1019"/>
        <v>-17385</v>
      </c>
      <c r="DC156" s="1327">
        <f t="shared" si="1019"/>
        <v>-18074</v>
      </c>
      <c r="DD156" s="1327">
        <f t="shared" si="1019"/>
        <v>-16127</v>
      </c>
      <c r="DE156" s="1327">
        <f t="shared" si="1019"/>
        <v>-13139</v>
      </c>
      <c r="DF156" s="1327">
        <f t="shared" si="1019"/>
        <v>-11657.135</v>
      </c>
      <c r="DG156" s="1327">
        <f t="shared" si="1019"/>
        <v>-9943.6965899999996</v>
      </c>
      <c r="DH156" s="1327">
        <f t="shared" si="1019"/>
        <v>-6734</v>
      </c>
      <c r="DI156" s="1327">
        <f t="shared" si="1019"/>
        <v>-10551</v>
      </c>
      <c r="DJ156" s="1327">
        <f t="shared" si="1019"/>
        <v>-8294.7492000000002</v>
      </c>
      <c r="DK156" s="1327">
        <f t="shared" si="1019"/>
        <v>-5855</v>
      </c>
      <c r="DL156" s="1327">
        <f t="shared" si="1019"/>
        <v>-1363</v>
      </c>
      <c r="DM156" s="1327">
        <f t="shared" si="1019"/>
        <v>-6754</v>
      </c>
      <c r="DN156" s="1327">
        <f t="shared" si="1019"/>
        <v>-2282</v>
      </c>
      <c r="DO156" s="1327">
        <f t="shared" si="1019"/>
        <v>0</v>
      </c>
      <c r="DP156" s="1327">
        <f t="shared" ref="DP156:DQ156" si="1020">+DP120</f>
        <v>-14659</v>
      </c>
      <c r="DQ156" s="1327">
        <f t="shared" si="1020"/>
        <v>0</v>
      </c>
      <c r="DR156" s="1327">
        <f t="shared" ref="DR156" si="1021">+DR120</f>
        <v>0</v>
      </c>
      <c r="DS156" s="1327">
        <f t="shared" si="1019"/>
        <v>0</v>
      </c>
      <c r="DT156" s="1327">
        <f t="shared" ref="DT156:DV156" si="1022">+DT120</f>
        <v>0</v>
      </c>
      <c r="DU156" s="1327">
        <f t="shared" si="1022"/>
        <v>0</v>
      </c>
      <c r="DV156" s="1327">
        <f t="shared" si="1022"/>
        <v>0</v>
      </c>
      <c r="DY156" s="1327">
        <v>0</v>
      </c>
      <c r="DZ156" s="1327">
        <v>0</v>
      </c>
    </row>
    <row r="157" spans="1:130" s="359" customFormat="1" ht="15.75">
      <c r="A157" s="1325" t="s">
        <v>215</v>
      </c>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c r="AA157" s="91"/>
      <c r="AB157" s="91"/>
      <c r="AC157" s="91"/>
      <c r="AD157" s="91"/>
      <c r="AE157" s="91"/>
      <c r="AF157" s="91"/>
      <c r="AG157" s="91"/>
      <c r="AH157" s="91"/>
      <c r="AI157" s="93"/>
      <c r="AJ157" s="93"/>
      <c r="AK157" s="93"/>
      <c r="AL157" s="93"/>
      <c r="AM157" s="93"/>
      <c r="AN157" s="93"/>
      <c r="AO157" s="93"/>
      <c r="AP157" s="93"/>
      <c r="AQ157" s="1327">
        <f t="shared" ref="AQ157:CC157" si="1023">+AQ114</f>
        <v>-136.77000000000001</v>
      </c>
      <c r="AR157" s="1327">
        <f t="shared" si="1023"/>
        <v>-61</v>
      </c>
      <c r="AS157" s="1327">
        <f t="shared" si="1023"/>
        <v>-98</v>
      </c>
      <c r="AT157" s="1327">
        <f t="shared" si="1023"/>
        <v>-1444.5619999999999</v>
      </c>
      <c r="AU157" s="1327">
        <f t="shared" si="1023"/>
        <v>-378.03440999999998</v>
      </c>
      <c r="AV157" s="1327">
        <f t="shared" si="1023"/>
        <v>-1057</v>
      </c>
      <c r="AW157" s="1327">
        <f t="shared" si="1023"/>
        <v>-144</v>
      </c>
      <c r="AX157" s="1327">
        <f t="shared" si="1023"/>
        <v>-11178</v>
      </c>
      <c r="AY157" s="1327">
        <f t="shared" si="1023"/>
        <v>-153</v>
      </c>
      <c r="AZ157" s="1327">
        <f t="shared" si="1023"/>
        <v>-962</v>
      </c>
      <c r="BA157" s="1327">
        <f t="shared" si="1023"/>
        <v>-12228</v>
      </c>
      <c r="BB157" s="1327">
        <f t="shared" si="1023"/>
        <v>-8035</v>
      </c>
      <c r="BC157" s="1327">
        <f t="shared" si="1023"/>
        <v>-431</v>
      </c>
      <c r="BD157" s="1327">
        <f t="shared" si="1023"/>
        <v>-725</v>
      </c>
      <c r="BE157" s="1327">
        <f t="shared" si="1023"/>
        <v>-3411</v>
      </c>
      <c r="BF157" s="1327">
        <f t="shared" si="1023"/>
        <v>-16783</v>
      </c>
      <c r="BG157" s="1327">
        <f t="shared" si="1023"/>
        <v>-523</v>
      </c>
      <c r="BH157" s="1327">
        <f t="shared" si="1023"/>
        <v>-1220.03514</v>
      </c>
      <c r="BI157" s="1327">
        <f t="shared" si="1023"/>
        <v>-1268.56825</v>
      </c>
      <c r="BJ157" s="1327">
        <f t="shared" si="1023"/>
        <v>-3119</v>
      </c>
      <c r="BK157" s="1327">
        <f t="shared" si="1023"/>
        <v>-500</v>
      </c>
      <c r="BL157" s="1327">
        <f t="shared" si="1023"/>
        <v>-289</v>
      </c>
      <c r="BM157" s="1327">
        <f t="shared" si="1023"/>
        <v>-1926</v>
      </c>
      <c r="BN157" s="1327">
        <f t="shared" si="1023"/>
        <v>-21053</v>
      </c>
      <c r="BO157" s="1327">
        <f t="shared" si="1023"/>
        <v>168</v>
      </c>
      <c r="BP157" s="1327">
        <f t="shared" si="1023"/>
        <v>-9905</v>
      </c>
      <c r="BQ157" s="1327">
        <f t="shared" si="1023"/>
        <v>-10240</v>
      </c>
      <c r="BR157" s="1327">
        <f t="shared" si="1023"/>
        <v>-556</v>
      </c>
      <c r="BS157" s="1327">
        <f t="shared" si="1023"/>
        <v>67</v>
      </c>
      <c r="BT157" s="1327">
        <f t="shared" si="1023"/>
        <v>-228</v>
      </c>
      <c r="BU157" s="1327">
        <f t="shared" si="1023"/>
        <v>84</v>
      </c>
      <c r="BV157" s="1327">
        <f t="shared" si="1023"/>
        <v>-8917</v>
      </c>
      <c r="BW157" s="1327">
        <f t="shared" si="1023"/>
        <v>7</v>
      </c>
      <c r="BX157" s="1327">
        <f>+BX114</f>
        <v>-9510</v>
      </c>
      <c r="BY157" s="1327">
        <f t="shared" si="1023"/>
        <v>-844</v>
      </c>
      <c r="BZ157" s="1327">
        <f t="shared" si="1023"/>
        <v>-27358</v>
      </c>
      <c r="CA157" s="1327">
        <f t="shared" ref="CA157" si="1024">+CA114</f>
        <v>-16040</v>
      </c>
      <c r="CB157" s="1327">
        <f t="shared" si="1023"/>
        <v>-3076</v>
      </c>
      <c r="CC157" s="1327">
        <f t="shared" si="1023"/>
        <v>27</v>
      </c>
      <c r="CD157" s="1327">
        <f t="shared" ref="CD157:CE157" si="1025">+CD114</f>
        <v>-121753</v>
      </c>
      <c r="CE157" s="1327">
        <f t="shared" si="1025"/>
        <v>78</v>
      </c>
      <c r="CF157" s="1327">
        <f t="shared" ref="CF157:CH157" si="1026">+CF114</f>
        <v>-8600</v>
      </c>
      <c r="CG157" s="1327">
        <f t="shared" si="1026"/>
        <v>-1311</v>
      </c>
      <c r="CH157" s="1327">
        <f t="shared" si="1026"/>
        <v>-133504</v>
      </c>
      <c r="CI157" s="1327">
        <f t="shared" ref="CI157:CJ157" si="1027">+CI114</f>
        <v>-3563</v>
      </c>
      <c r="CJ157" s="1327">
        <f t="shared" si="1027"/>
        <v>-1328</v>
      </c>
      <c r="CK157" s="1327">
        <f t="shared" ref="CK157" si="1028">+CK114</f>
        <v>-3034</v>
      </c>
      <c r="CL157" s="1327">
        <f t="shared" ref="CL157:CP157" si="1029">+CL114</f>
        <v>-120695.43481145414</v>
      </c>
      <c r="CM157" s="1327">
        <f t="shared" si="1029"/>
        <v>-3756.2209583332124</v>
      </c>
      <c r="CN157" s="1327">
        <f t="shared" si="1029"/>
        <v>-1388.0610502997733</v>
      </c>
      <c r="CO157" s="1327">
        <f t="shared" si="1029"/>
        <v>-3270.0440232478259</v>
      </c>
      <c r="CP157" s="1327">
        <f t="shared" si="1029"/>
        <v>-131254.54673768987</v>
      </c>
      <c r="CQ157" s="1327"/>
      <c r="CR157" s="1327"/>
      <c r="CS157" s="1327"/>
      <c r="CT157" s="1327">
        <v>-120695.43481145414</v>
      </c>
      <c r="CU157" s="1327"/>
      <c r="CV157" s="1327">
        <f t="shared" ref="CV157:DS157" si="1030">+CV114</f>
        <v>0</v>
      </c>
      <c r="CW157" s="1327">
        <f t="shared" si="1030"/>
        <v>0</v>
      </c>
      <c r="CX157" s="1327">
        <f t="shared" si="1030"/>
        <v>0</v>
      </c>
      <c r="CY157" s="1327">
        <f t="shared" si="1030"/>
        <v>-5190</v>
      </c>
      <c r="CZ157" s="1327">
        <f t="shared" si="1030"/>
        <v>-11060</v>
      </c>
      <c r="DA157" s="1327">
        <f t="shared" si="1030"/>
        <v>-17243</v>
      </c>
      <c r="DB157" s="1327">
        <f t="shared" si="1030"/>
        <v>-17385</v>
      </c>
      <c r="DC157" s="1327">
        <f t="shared" si="1030"/>
        <v>-18074</v>
      </c>
      <c r="DD157" s="1327">
        <f t="shared" si="1030"/>
        <v>-16127</v>
      </c>
      <c r="DE157" s="1327">
        <f t="shared" si="1030"/>
        <v>-13139</v>
      </c>
      <c r="DF157" s="1327">
        <f t="shared" si="1030"/>
        <v>-1740.3319999999999</v>
      </c>
      <c r="DG157" s="1327">
        <f t="shared" si="1030"/>
        <v>-12757.03441</v>
      </c>
      <c r="DH157" s="1327">
        <f t="shared" si="1030"/>
        <v>-21378</v>
      </c>
      <c r="DI157" s="1327">
        <f t="shared" si="1030"/>
        <v>-21350</v>
      </c>
      <c r="DJ157" s="1327">
        <f t="shared" si="1030"/>
        <v>-6130.6033900000002</v>
      </c>
      <c r="DK157" s="1327">
        <f t="shared" si="1030"/>
        <v>-23768</v>
      </c>
      <c r="DL157" s="1327">
        <f t="shared" si="1030"/>
        <v>-20533</v>
      </c>
      <c r="DM157" s="1327">
        <f t="shared" si="1030"/>
        <v>-8994</v>
      </c>
      <c r="DN157" s="1327">
        <f t="shared" si="1030"/>
        <v>-37705</v>
      </c>
      <c r="DO157" s="1327">
        <f t="shared" si="1030"/>
        <v>-140842</v>
      </c>
      <c r="DP157" s="1327">
        <f t="shared" ref="DP157:DQ157" si="1031">+DP114</f>
        <v>-143337</v>
      </c>
      <c r="DQ157" s="1327">
        <f t="shared" si="1031"/>
        <v>-128620.43481145414</v>
      </c>
      <c r="DR157" s="1327">
        <f t="shared" ref="DR157" si="1032">+DR114</f>
        <v>-139668.87276957068</v>
      </c>
      <c r="DS157" s="1327">
        <f t="shared" si="1030"/>
        <v>-151340.49711127402</v>
      </c>
      <c r="DT157" s="1327">
        <f t="shared" ref="DT157:DV157" si="1033">+DT114</f>
        <v>-161668.592671652</v>
      </c>
      <c r="DU157" s="1327">
        <f t="shared" si="1033"/>
        <v>-172701.77960763502</v>
      </c>
      <c r="DV157" s="1327">
        <f t="shared" si="1033"/>
        <v>-184479.02147441031</v>
      </c>
      <c r="DY157" s="1327">
        <v>-89632.341590733588</v>
      </c>
      <c r="DZ157" s="1327">
        <v>-96735.890602262836</v>
      </c>
    </row>
    <row r="158" spans="1:130" s="359" customFormat="1">
      <c r="A158" s="119"/>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c r="AA158" s="91"/>
      <c r="AB158" s="91"/>
      <c r="AC158" s="91"/>
      <c r="AD158" s="91"/>
      <c r="AE158" s="91"/>
      <c r="AF158" s="91"/>
      <c r="AG158" s="91"/>
      <c r="AH158" s="91"/>
      <c r="AI158" s="93"/>
      <c r="AJ158" s="93"/>
      <c r="AK158" s="93"/>
      <c r="AL158" s="93"/>
      <c r="AM158" s="93"/>
      <c r="AN158" s="93"/>
      <c r="AO158" s="93"/>
      <c r="AP158" s="93"/>
      <c r="AQ158" s="1164"/>
      <c r="AR158" s="1164"/>
      <c r="AS158" s="1164"/>
      <c r="AT158" s="1164"/>
      <c r="AU158" s="1164"/>
      <c r="AV158" s="1164"/>
      <c r="AW158" s="1164"/>
      <c r="AX158" s="1164"/>
      <c r="AY158" s="1164"/>
      <c r="AZ158" s="1164"/>
      <c r="BA158" s="1164"/>
      <c r="BB158" s="1164"/>
      <c r="BC158" s="1164"/>
      <c r="BD158" s="1164"/>
      <c r="BE158" s="1164"/>
      <c r="BF158" s="1164"/>
      <c r="BG158" s="1164"/>
      <c r="BH158" s="1164"/>
      <c r="BI158" s="1164"/>
      <c r="BJ158" s="1164"/>
      <c r="BK158" s="1164"/>
      <c r="BL158" s="1164"/>
      <c r="BM158" s="1223"/>
      <c r="BN158" s="1223"/>
      <c r="BO158" s="1223"/>
      <c r="BP158" s="1223"/>
      <c r="BQ158" s="1223"/>
      <c r="BR158" s="1223"/>
      <c r="BS158" s="1223"/>
      <c r="BT158" s="1223"/>
      <c r="BU158" s="1223"/>
      <c r="BV158" s="1223"/>
      <c r="BW158" s="1223"/>
      <c r="BX158" s="1223"/>
      <c r="BY158" s="1223"/>
      <c r="BZ158" s="1223"/>
      <c r="CA158" s="1223"/>
      <c r="CB158" s="1223"/>
      <c r="CC158" s="1223"/>
      <c r="CD158" s="1223"/>
      <c r="CE158" s="1223"/>
      <c r="CF158" s="1223"/>
      <c r="CG158" s="1223"/>
      <c r="CH158" s="1223"/>
      <c r="CI158" s="1223"/>
      <c r="CJ158" s="1223"/>
      <c r="CK158" s="1223"/>
      <c r="CL158" s="1164"/>
      <c r="CM158" s="1164"/>
      <c r="CN158" s="1164"/>
      <c r="CO158" s="1164"/>
      <c r="CP158" s="1164"/>
      <c r="CQ158" s="1164"/>
      <c r="CR158" s="1164"/>
      <c r="CS158" s="556"/>
      <c r="CT158" s="1164"/>
      <c r="CU158" s="1110"/>
      <c r="CV158" s="118"/>
      <c r="CW158" s="118"/>
      <c r="CX158" s="118"/>
      <c r="CY158" s="118"/>
      <c r="CZ158" s="118"/>
      <c r="DA158" s="118"/>
      <c r="DB158" s="118"/>
      <c r="DC158" s="118"/>
      <c r="DD158" s="118"/>
      <c r="DE158" s="118"/>
      <c r="DF158" s="118"/>
      <c r="DG158" s="1240"/>
      <c r="DH158" s="1240"/>
      <c r="DI158" s="1240"/>
      <c r="DJ158" s="1240"/>
      <c r="DK158" s="1240"/>
      <c r="DL158" s="1240"/>
      <c r="DM158" s="1240"/>
      <c r="DN158" s="1240"/>
      <c r="DO158" s="1240"/>
      <c r="DP158" s="1240"/>
      <c r="DQ158" s="1240"/>
      <c r="DR158" s="1240"/>
      <c r="DS158" s="401"/>
      <c r="DT158" s="401"/>
      <c r="DU158" s="401"/>
      <c r="DV158" s="401"/>
      <c r="DY158" s="401"/>
      <c r="DZ158" s="401"/>
    </row>
    <row r="159" spans="1:130" s="359" customFormat="1" ht="15.75" thickBot="1">
      <c r="A159" s="119"/>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c r="AA159" s="91"/>
      <c r="AB159" s="91"/>
      <c r="AC159" s="91"/>
      <c r="AD159" s="91"/>
      <c r="AE159" s="91"/>
      <c r="AF159" s="91"/>
      <c r="AG159" s="91"/>
      <c r="AH159" s="91"/>
      <c r="AI159" s="93"/>
      <c r="AJ159" s="93"/>
      <c r="AK159" s="93"/>
      <c r="AL159" s="93"/>
      <c r="AM159" s="93"/>
      <c r="AN159" s="93"/>
      <c r="AO159" s="93"/>
      <c r="AP159" s="93"/>
      <c r="AQ159" s="1164"/>
      <c r="AR159" s="1164"/>
      <c r="AS159" s="1164"/>
      <c r="AT159" s="1164"/>
      <c r="AU159" s="1164"/>
      <c r="AV159" s="1164"/>
      <c r="AW159" s="1164"/>
      <c r="AX159" s="1164"/>
      <c r="AY159" s="1164"/>
      <c r="AZ159" s="1164"/>
      <c r="BA159" s="1164"/>
      <c r="BB159" s="1164"/>
      <c r="BC159" s="1164"/>
      <c r="BD159" s="1164"/>
      <c r="BE159" s="1164"/>
      <c r="BF159" s="1164"/>
      <c r="BG159" s="1164"/>
      <c r="BH159" s="1164"/>
      <c r="BI159" s="1164"/>
      <c r="BJ159" s="1164"/>
      <c r="BK159" s="1164"/>
      <c r="BL159" s="1164"/>
      <c r="BM159" s="1223"/>
      <c r="BN159" s="1223"/>
      <c r="BO159" s="1223"/>
      <c r="BP159" s="1223"/>
      <c r="BQ159" s="1223"/>
      <c r="BR159" s="1223"/>
      <c r="BS159" s="1223"/>
      <c r="BT159" s="1223"/>
      <c r="BU159" s="1223"/>
      <c r="BV159" s="1223"/>
      <c r="BW159" s="1223"/>
      <c r="BX159" s="1223"/>
      <c r="BY159" s="1223"/>
      <c r="BZ159" s="1223"/>
      <c r="CA159" s="1223"/>
      <c r="CB159" s="1223"/>
      <c r="CC159" s="1223"/>
      <c r="CD159" s="1223"/>
      <c r="CE159" s="1223"/>
      <c r="CF159" s="1223"/>
      <c r="CG159" s="1223"/>
      <c r="CH159" s="1223"/>
      <c r="CI159" s="1223"/>
      <c r="CJ159" s="1223"/>
      <c r="CK159" s="1223"/>
      <c r="CL159" s="1164"/>
      <c r="CM159" s="1164"/>
      <c r="CN159" s="1164"/>
      <c r="CO159" s="1164"/>
      <c r="CP159" s="1164"/>
      <c r="CQ159" s="1164"/>
      <c r="CR159" s="1164"/>
      <c r="CS159" s="556"/>
      <c r="CT159" s="1164"/>
      <c r="CU159" s="1110"/>
      <c r="CV159" s="118"/>
      <c r="CW159" s="118"/>
      <c r="CX159" s="118"/>
      <c r="CY159" s="118"/>
      <c r="CZ159" s="118"/>
      <c r="DA159" s="118"/>
      <c r="DB159" s="118"/>
      <c r="DC159" s="118"/>
      <c r="DD159" s="118"/>
      <c r="DE159" s="118"/>
      <c r="DF159" s="118"/>
      <c r="DG159" s="1240"/>
      <c r="DH159" s="1240"/>
      <c r="DI159" s="1240"/>
      <c r="DJ159" s="1240"/>
      <c r="DK159" s="1240"/>
      <c r="DL159" s="1240"/>
      <c r="DM159" s="1240"/>
      <c r="DN159" s="1240">
        <f>+DN160/DK160-1</f>
        <v>3.1064605739718365E-2</v>
      </c>
      <c r="DO159" s="1240">
        <f>+DO160/DK160-1</f>
        <v>-0.11939201985241299</v>
      </c>
      <c r="DP159" s="1240">
        <f>+DP160/DL160-1</f>
        <v>0.59342072947567126</v>
      </c>
      <c r="DQ159" s="1240">
        <f>+DQ160/DM160-1</f>
        <v>0.83370352093202071</v>
      </c>
      <c r="DR159" s="1240">
        <f>+DR160/DN160-1</f>
        <v>0.29698115655955126</v>
      </c>
      <c r="DS159" s="401"/>
      <c r="DT159" s="401"/>
      <c r="DU159" s="401"/>
      <c r="DV159" s="401"/>
      <c r="DY159" s="401"/>
      <c r="DZ159" s="401"/>
    </row>
    <row r="160" spans="1:130" s="1303" customFormat="1" ht="15.75" thickBot="1">
      <c r="A160" s="1298" t="s">
        <v>235</v>
      </c>
      <c r="B160" s="1299"/>
      <c r="C160" s="1299"/>
      <c r="D160" s="1299"/>
      <c r="E160" s="1299"/>
      <c r="F160" s="1299"/>
      <c r="G160" s="1299"/>
      <c r="H160" s="1299"/>
      <c r="I160" s="1299"/>
      <c r="J160" s="1299"/>
      <c r="K160" s="1299"/>
      <c r="L160" s="1299"/>
      <c r="M160" s="1299"/>
      <c r="N160" s="1299">
        <v>65831</v>
      </c>
      <c r="O160" s="1299">
        <v>22960</v>
      </c>
      <c r="P160" s="1299">
        <v>62440</v>
      </c>
      <c r="Q160" s="1299">
        <v>49819</v>
      </c>
      <c r="R160" s="1299">
        <v>96097</v>
      </c>
      <c r="S160" s="1299">
        <v>35942</v>
      </c>
      <c r="T160" s="1299">
        <v>69215</v>
      </c>
      <c r="U160" s="1299">
        <v>34717</v>
      </c>
      <c r="V160" s="1299">
        <v>78769</v>
      </c>
      <c r="W160" s="1299">
        <v>18095</v>
      </c>
      <c r="X160" s="1299">
        <v>84275</v>
      </c>
      <c r="Y160" s="1299">
        <v>48970</v>
      </c>
      <c r="Z160" s="1299">
        <v>136650</v>
      </c>
      <c r="AA160" s="1299">
        <v>46412</v>
      </c>
      <c r="AB160" s="1299">
        <v>127356</v>
      </c>
      <c r="AC160" s="1299">
        <v>64415</v>
      </c>
      <c r="AD160" s="1299">
        <v>145472</v>
      </c>
      <c r="AE160" s="1299">
        <v>46726</v>
      </c>
      <c r="AF160" s="1299">
        <v>147472</v>
      </c>
      <c r="AG160" s="1299">
        <v>71093</v>
      </c>
      <c r="AH160" s="1299">
        <v>201494</v>
      </c>
      <c r="AI160" s="1299">
        <v>42547</v>
      </c>
      <c r="AJ160" s="1299">
        <v>158154</v>
      </c>
      <c r="AK160" s="1299">
        <v>105083</v>
      </c>
      <c r="AL160" s="1299">
        <v>259520</v>
      </c>
      <c r="AM160" s="1299">
        <v>42381</v>
      </c>
      <c r="AN160" s="1299">
        <v>160205</v>
      </c>
      <c r="AO160" s="1299">
        <v>109634</v>
      </c>
      <c r="AP160" s="1299">
        <v>350534</v>
      </c>
      <c r="AQ160" s="1300">
        <f t="shared" ref="AQ160:BV160" si="1034">+AQ148-AQ153</f>
        <v>135060.29</v>
      </c>
      <c r="AR160" s="1300">
        <f t="shared" si="1034"/>
        <v>248480</v>
      </c>
      <c r="AS160" s="1300">
        <f t="shared" si="1034"/>
        <v>204341</v>
      </c>
      <c r="AT160" s="1300">
        <f t="shared" si="1034"/>
        <v>465624.96599999996</v>
      </c>
      <c r="AU160" s="1300">
        <f t="shared" si="1034"/>
        <v>198803.53941000011</v>
      </c>
      <c r="AV160" s="1300">
        <f t="shared" si="1034"/>
        <v>326159.03842999996</v>
      </c>
      <c r="AW160" s="1300">
        <f t="shared" si="1034"/>
        <v>230533</v>
      </c>
      <c r="AX160" s="1300">
        <f t="shared" si="1034"/>
        <v>491668.99999999994</v>
      </c>
      <c r="AY160" s="1300">
        <f t="shared" si="1034"/>
        <v>185798</v>
      </c>
      <c r="AZ160" s="1300">
        <f t="shared" si="1034"/>
        <v>356072</v>
      </c>
      <c r="BA160" s="1300">
        <f t="shared" si="1034"/>
        <v>229509</v>
      </c>
      <c r="BB160" s="1300">
        <f t="shared" si="1034"/>
        <v>567729</v>
      </c>
      <c r="BC160" s="1300">
        <f t="shared" si="1034"/>
        <v>190442</v>
      </c>
      <c r="BD160" s="1300">
        <f t="shared" si="1034"/>
        <v>382734</v>
      </c>
      <c r="BE160" s="1300">
        <f t="shared" si="1034"/>
        <v>299237</v>
      </c>
      <c r="BF160" s="1300">
        <f t="shared" si="1034"/>
        <v>603417</v>
      </c>
      <c r="BG160" s="1300">
        <f t="shared" si="1034"/>
        <v>249510</v>
      </c>
      <c r="BH160" s="1300">
        <f t="shared" si="1034"/>
        <v>434190.99999999994</v>
      </c>
      <c r="BI160" s="1300">
        <f t="shared" si="1034"/>
        <v>346962</v>
      </c>
      <c r="BJ160" s="1300">
        <f t="shared" si="1034"/>
        <v>742655</v>
      </c>
      <c r="BK160" s="1300">
        <f t="shared" si="1034"/>
        <v>415661</v>
      </c>
      <c r="BL160" s="1300">
        <f t="shared" si="1034"/>
        <v>544173</v>
      </c>
      <c r="BM160" s="1300">
        <f t="shared" si="1034"/>
        <v>464366</v>
      </c>
      <c r="BN160" s="1300">
        <f t="shared" si="1034"/>
        <v>964628</v>
      </c>
      <c r="BO160" s="1300">
        <f t="shared" si="1034"/>
        <v>218727</v>
      </c>
      <c r="BP160" s="1300">
        <f t="shared" si="1034"/>
        <v>618049</v>
      </c>
      <c r="BQ160" s="1300">
        <f t="shared" si="1034"/>
        <v>87349</v>
      </c>
      <c r="BR160" s="1300">
        <f t="shared" si="1034"/>
        <v>737123</v>
      </c>
      <c r="BS160" s="1300">
        <f t="shared" si="1034"/>
        <v>31782</v>
      </c>
      <c r="BT160" s="1300">
        <f t="shared" si="1034"/>
        <v>477193</v>
      </c>
      <c r="BU160" s="1300">
        <f t="shared" si="1034"/>
        <v>437785.33947000233</v>
      </c>
      <c r="BV160" s="1300">
        <f t="shared" si="1034"/>
        <v>775585.81354999915</v>
      </c>
      <c r="BW160" s="1587">
        <f t="shared" ref="BW160:BY160" si="1035">+BW148-BW153</f>
        <v>383246</v>
      </c>
      <c r="BX160" s="1587">
        <f t="shared" si="1035"/>
        <v>701631</v>
      </c>
      <c r="BY160" s="1587">
        <f t="shared" si="1035"/>
        <v>459528</v>
      </c>
      <c r="BZ160" s="1587">
        <f>+BZ148-BZ153</f>
        <v>918631</v>
      </c>
      <c r="CA160" s="1587">
        <f t="shared" ref="CA160:CD160" si="1036">+CA148-CA153</f>
        <v>251780</v>
      </c>
      <c r="CB160" s="1587">
        <f t="shared" si="1036"/>
        <v>481601</v>
      </c>
      <c r="CC160" s="1587">
        <f t="shared" si="1036"/>
        <v>362577</v>
      </c>
      <c r="CD160" s="1587">
        <f t="shared" si="1036"/>
        <v>1007663</v>
      </c>
      <c r="CE160" s="1587">
        <f t="shared" ref="CE160:CF160" si="1037">+CE148-CE153</f>
        <v>377905</v>
      </c>
      <c r="CF160" s="1587">
        <f t="shared" si="1037"/>
        <v>670485</v>
      </c>
      <c r="CG160" s="1587">
        <f t="shared" ref="CG160:CH160" si="1038">+CG148-CG153</f>
        <v>576756</v>
      </c>
      <c r="CH160" s="1587">
        <f t="shared" si="1038"/>
        <v>1021921</v>
      </c>
      <c r="CI160" s="1587">
        <f t="shared" ref="CI160" si="1039">+CI148-CI153</f>
        <v>585162</v>
      </c>
      <c r="CJ160" s="1587">
        <f t="shared" ref="CJ160:CL160" si="1040">+CJ148-CJ153</f>
        <v>890931</v>
      </c>
      <c r="CK160" s="1587">
        <f t="shared" ref="CK160" si="1041">+CK148-CK153</f>
        <v>593907</v>
      </c>
      <c r="CL160" s="1301">
        <f t="shared" si="1040"/>
        <v>1088272.2050564978</v>
      </c>
      <c r="CM160" s="1301">
        <f t="shared" ref="CM160:CP160" si="1042">+CM148-CM153</f>
        <v>545891.37473597389</v>
      </c>
      <c r="CN160" s="1301">
        <f t="shared" si="1042"/>
        <v>826823.73514260037</v>
      </c>
      <c r="CO160" s="1301">
        <f t="shared" si="1042"/>
        <v>614808.5380672873</v>
      </c>
      <c r="CP160" s="1301">
        <f t="shared" si="1042"/>
        <v>1206987.6319819493</v>
      </c>
      <c r="CQ160" s="1301"/>
      <c r="CR160" s="1301"/>
      <c r="CS160" s="1301"/>
      <c r="CT160" s="1301">
        <v>1088272.2050564978</v>
      </c>
      <c r="CU160" s="1134">
        <f>+CK160/CT160-1</f>
        <v>-0.45426613191029053</v>
      </c>
      <c r="CV160" s="1299">
        <v>77871</v>
      </c>
      <c r="CW160" s="1299">
        <v>193587</v>
      </c>
      <c r="CX160" s="1299">
        <v>155724</v>
      </c>
      <c r="CY160" s="1299">
        <v>176869</v>
      </c>
      <c r="CZ160" s="1299">
        <v>156988</v>
      </c>
      <c r="DA160" s="1299">
        <v>255859</v>
      </c>
      <c r="DB160" s="1299">
        <v>383655</v>
      </c>
      <c r="DC160" s="1299">
        <v>463163</v>
      </c>
      <c r="DD160" s="1299">
        <v>559467</v>
      </c>
      <c r="DE160" s="1299">
        <v>662754</v>
      </c>
      <c r="DF160" s="1299">
        <f t="shared" ref="DF160:DS160" si="1043">+DF148-DF153</f>
        <v>1053506.2560000001</v>
      </c>
      <c r="DG160" s="1302">
        <f t="shared" si="1043"/>
        <v>1247164.5778400002</v>
      </c>
      <c r="DH160" s="1300">
        <f t="shared" si="1043"/>
        <v>1339108</v>
      </c>
      <c r="DI160" s="1300">
        <f t="shared" si="1043"/>
        <v>1475830</v>
      </c>
      <c r="DJ160" s="1300">
        <f t="shared" si="1043"/>
        <v>1773318</v>
      </c>
      <c r="DK160" s="1300">
        <f t="shared" si="1043"/>
        <v>2388828</v>
      </c>
      <c r="DL160" s="1300">
        <f t="shared" si="1043"/>
        <v>1661248</v>
      </c>
      <c r="DM160" s="1302">
        <f t="shared" si="1043"/>
        <v>1722346.1530200015</v>
      </c>
      <c r="DN160" s="1302">
        <f t="shared" si="1043"/>
        <v>2463036</v>
      </c>
      <c r="DO160" s="1302">
        <f t="shared" si="1043"/>
        <v>2103621</v>
      </c>
      <c r="DP160" s="1302">
        <f t="shared" ref="DP160:DQ160" si="1044">+DP148-DP153</f>
        <v>2647067</v>
      </c>
      <c r="DQ160" s="1302">
        <f t="shared" si="1044"/>
        <v>3158272.2050564978</v>
      </c>
      <c r="DR160" s="1302">
        <f t="shared" ref="DR160" si="1045">+DR148-DR153</f>
        <v>3194511.2799278111</v>
      </c>
      <c r="DS160" s="1301">
        <f t="shared" si="1043"/>
        <v>3896311.1922436603</v>
      </c>
      <c r="DT160" s="1301">
        <f t="shared" ref="DT160:DV160" si="1046">+DT148-DT153</f>
        <v>4263008.5404776456</v>
      </c>
      <c r="DU160" s="1301">
        <f t="shared" si="1046"/>
        <v>4646237.6330537191</v>
      </c>
      <c r="DV160" s="1301">
        <f t="shared" si="1046"/>
        <v>5053515.6082948549</v>
      </c>
      <c r="DY160" s="1301">
        <v>3420631.9983280171</v>
      </c>
      <c r="DZ160" s="1301">
        <v>4050384.6621317733</v>
      </c>
    </row>
    <row r="161" spans="1:130" s="359" customFormat="1">
      <c r="A161" s="1329" t="s">
        <v>236</v>
      </c>
      <c r="B161" s="643"/>
      <c r="C161" s="641"/>
      <c r="D161" s="641"/>
      <c r="E161" s="641"/>
      <c r="F161" s="641"/>
      <c r="G161" s="641"/>
      <c r="H161" s="641"/>
      <c r="I161" s="641"/>
      <c r="J161" s="641"/>
      <c r="K161" s="641"/>
      <c r="L161" s="641"/>
      <c r="M161" s="641"/>
      <c r="N161" s="121">
        <v>0.12987517731056131</v>
      </c>
      <c r="O161" s="121">
        <v>7.3994579316968151E-2</v>
      </c>
      <c r="P161" s="121">
        <v>0.14051827930370986</v>
      </c>
      <c r="Q161" s="121">
        <v>0.12600984424243344</v>
      </c>
      <c r="R161" s="121">
        <v>0.15970331814359456</v>
      </c>
      <c r="S161" s="121">
        <v>9.3749592444109409E-2</v>
      </c>
      <c r="T161" s="121">
        <v>0.13575667946791775</v>
      </c>
      <c r="U161" s="121">
        <v>7.7314858117648114E-2</v>
      </c>
      <c r="V161" s="121">
        <v>0.12833885668292716</v>
      </c>
      <c r="W161" s="121">
        <v>4.9896732101839522E-2</v>
      </c>
      <c r="X161" s="121">
        <v>0.15192020651413657</v>
      </c>
      <c r="Y161" s="121">
        <v>0.10061019456372115</v>
      </c>
      <c r="Z161" s="121">
        <v>0.19196244194769183</v>
      </c>
      <c r="AA161" s="121">
        <v>0.1054228772095601</v>
      </c>
      <c r="AB161" s="121">
        <v>0.20215591065875754</v>
      </c>
      <c r="AC161" s="121">
        <v>0.11325913422653586</v>
      </c>
      <c r="AD161" s="121">
        <v>0.17660605869305787</v>
      </c>
      <c r="AE161" s="121">
        <v>9.0255685165547314E-2</v>
      </c>
      <c r="AF161" s="121">
        <v>0.19672034928160095</v>
      </c>
      <c r="AG161" s="121">
        <v>0.10819600776774681</v>
      </c>
      <c r="AH161" s="121">
        <v>0.20725997243308852</v>
      </c>
      <c r="AI161" s="121">
        <v>6.8712966267710382E-2</v>
      </c>
      <c r="AJ161" s="121">
        <v>0.18493888342538142</v>
      </c>
      <c r="AK161" s="121">
        <v>0.13082065582750294</v>
      </c>
      <c r="AL161" s="121">
        <v>0.21912774458513323</v>
      </c>
      <c r="AM161" s="121">
        <v>5.83173141093472E-2</v>
      </c>
      <c r="AN161" s="121">
        <v>0.16913481059498334</v>
      </c>
      <c r="AO161" s="121">
        <v>0.12088634253592938</v>
      </c>
      <c r="AP161" s="121">
        <v>0.26297531647753786</v>
      </c>
      <c r="AQ161" s="733">
        <f t="shared" ref="AQ161:CD161" si="1047">AQ160/AQ$26</f>
        <v>0.14389332569085908</v>
      </c>
      <c r="AR161" s="733">
        <f t="shared" si="1047"/>
        <v>0.19795606853894274</v>
      </c>
      <c r="AS161" s="733">
        <f t="shared" si="1047"/>
        <v>0.1697462126278137</v>
      </c>
      <c r="AT161" s="733">
        <f t="shared" si="1047"/>
        <v>0.2560631445573826</v>
      </c>
      <c r="AU161" s="733">
        <f t="shared" si="1047"/>
        <v>0.16934626470360256</v>
      </c>
      <c r="AV161" s="733">
        <f t="shared" si="1047"/>
        <v>0.21228770251386192</v>
      </c>
      <c r="AW161" s="733">
        <f t="shared" si="1047"/>
        <v>0.16227804350963146</v>
      </c>
      <c r="AX161" s="733">
        <f t="shared" si="1047"/>
        <v>0.24409592676164019</v>
      </c>
      <c r="AY161" s="733">
        <f t="shared" si="1047"/>
        <v>0.14895191398856314</v>
      </c>
      <c r="AZ161" s="733">
        <f t="shared" si="1047"/>
        <v>0.21611818545988662</v>
      </c>
      <c r="BA161" s="733">
        <f t="shared" si="1047"/>
        <v>0.158738689015091</v>
      </c>
      <c r="BB161" s="733">
        <f t="shared" si="1047"/>
        <v>0.26896364509792958</v>
      </c>
      <c r="BC161" s="733">
        <f t="shared" si="1047"/>
        <v>0.13455717560078118</v>
      </c>
      <c r="BD161" s="733">
        <f t="shared" si="1047"/>
        <v>0.20901496997485708</v>
      </c>
      <c r="BE161" s="733">
        <f t="shared" si="1047"/>
        <v>0.17134730931522804</v>
      </c>
      <c r="BF161" s="733">
        <f t="shared" si="1047"/>
        <v>0.24614476526756168</v>
      </c>
      <c r="BG161" s="733">
        <f t="shared" si="1047"/>
        <v>0.153234845251292</v>
      </c>
      <c r="BH161" s="733">
        <f t="shared" si="1047"/>
        <v>0.21493571843332274</v>
      </c>
      <c r="BI161" s="733">
        <f t="shared" si="1047"/>
        <v>0.17854378764238754</v>
      </c>
      <c r="BJ161" s="733">
        <f t="shared" si="1047"/>
        <v>0.26197135601584692</v>
      </c>
      <c r="BK161" s="733">
        <f t="shared" si="1047"/>
        <v>0.21968038974334039</v>
      </c>
      <c r="BL161" s="733">
        <f t="shared" si="1047"/>
        <v>0.23742236051944063</v>
      </c>
      <c r="BM161" s="1222">
        <f t="shared" si="1047"/>
        <v>0.20863302564747693</v>
      </c>
      <c r="BN161" s="1222">
        <f t="shared" si="1047"/>
        <v>0.30347946759555661</v>
      </c>
      <c r="BO161" s="1222">
        <f t="shared" si="1047"/>
        <v>0.11735785865247744</v>
      </c>
      <c r="BP161" s="1222">
        <f t="shared" si="1047"/>
        <v>0.76443341174957269</v>
      </c>
      <c r="BQ161" s="1222">
        <f t="shared" si="1047"/>
        <v>4.8797260841802886E-2</v>
      </c>
      <c r="BR161" s="1222">
        <f t="shared" si="1047"/>
        <v>0.23972461961042957</v>
      </c>
      <c r="BS161" s="1222">
        <f t="shared" si="1047"/>
        <v>2.009745831842033E-2</v>
      </c>
      <c r="BT161" s="1222">
        <f t="shared" si="1047"/>
        <v>0.19162122689980657</v>
      </c>
      <c r="BU161" s="1222">
        <f t="shared" si="1047"/>
        <v>0.1665666458009841</v>
      </c>
      <c r="BV161" s="1222">
        <f t="shared" si="1047"/>
        <v>0.20032799293858156</v>
      </c>
      <c r="BW161" s="1222">
        <f t="shared" si="1047"/>
        <v>0.14666761575859999</v>
      </c>
      <c r="BX161" s="1222">
        <f t="shared" ref="BX161:CC161" si="1048">BX160/BX$26</f>
        <v>0.19348201780474347</v>
      </c>
      <c r="BY161" s="1222">
        <f t="shared" si="1048"/>
        <v>0.15228099383887764</v>
      </c>
      <c r="BZ161" s="1222">
        <f t="shared" si="1048"/>
        <v>0.22884854155705425</v>
      </c>
      <c r="CA161" s="1222">
        <f t="shared" si="1048"/>
        <v>9.0721985290196497E-2</v>
      </c>
      <c r="CB161" s="1222">
        <f t="shared" si="1048"/>
        <v>0.13743995219291325</v>
      </c>
      <c r="CC161" s="1222">
        <f t="shared" si="1048"/>
        <v>0.11706999072679697</v>
      </c>
      <c r="CD161" s="1222">
        <f t="shared" si="1047"/>
        <v>0.2359105188068113</v>
      </c>
      <c r="CE161" s="1222">
        <f t="shared" ref="CE161:CF161" si="1049">CE160/CE$26</f>
        <v>0.12994244990714343</v>
      </c>
      <c r="CF161" s="1222">
        <f t="shared" si="1049"/>
        <v>0.1904575372451526</v>
      </c>
      <c r="CG161" s="1222">
        <f t="shared" ref="CG161:CH161" si="1050">CG160/CG$26</f>
        <v>0.17010897183874163</v>
      </c>
      <c r="CH161" s="1222">
        <f t="shared" si="1050"/>
        <v>0.22132834562464793</v>
      </c>
      <c r="CI161" s="1222">
        <f t="shared" ref="CI161" si="1051">CI160/CI$26</f>
        <v>0.17963111221349862</v>
      </c>
      <c r="CJ161" s="1222">
        <f t="shared" ref="CJ161:CL161" si="1052">CJ160/CJ$26</f>
        <v>0.21377729830793321</v>
      </c>
      <c r="CK161" s="1222">
        <f t="shared" ref="CK161" si="1053">CK160/CK$26</f>
        <v>0.16666526354072658</v>
      </c>
      <c r="CL161" s="733">
        <f t="shared" si="1052"/>
        <v>0.22541701903567352</v>
      </c>
      <c r="CM161" s="733">
        <f t="shared" ref="CM161:CP161" si="1054">CM160/CM$26</f>
        <v>0.15895579536166535</v>
      </c>
      <c r="CN161" s="733">
        <f t="shared" si="1054"/>
        <v>0.18981037886598839</v>
      </c>
      <c r="CO161" s="733">
        <f t="shared" si="1054"/>
        <v>0.16007684512651052</v>
      </c>
      <c r="CP161" s="733">
        <f t="shared" si="1054"/>
        <v>0.22989444213199237</v>
      </c>
      <c r="CQ161" s="733"/>
      <c r="CR161" s="733"/>
      <c r="CS161" s="644"/>
      <c r="CT161" s="733">
        <v>0.22541701903567352</v>
      </c>
      <c r="CU161" s="1135">
        <f>+CK161-CT161</f>
        <v>-5.8751755494946933E-2</v>
      </c>
      <c r="CV161" s="121"/>
      <c r="CW161" s="121"/>
      <c r="CX161" s="121">
        <v>0.10843489268897978</v>
      </c>
      <c r="CY161" s="121">
        <v>0.10096830101476942</v>
      </c>
      <c r="CZ161" s="121">
        <v>8.0258852026639793E-2</v>
      </c>
      <c r="DA161" s="121">
        <v>0.12091812309159539</v>
      </c>
      <c r="DB161" s="121">
        <v>0.1557873442146861</v>
      </c>
      <c r="DC161" s="121">
        <v>0.15989796369280568</v>
      </c>
      <c r="DD161" s="121">
        <v>0.16160412020936116</v>
      </c>
      <c r="DE161" s="121">
        <v>0.16933746843865025</v>
      </c>
      <c r="DF161" s="733">
        <f t="shared" ref="DF161:DS161" si="1055">DF160/DF$26</f>
        <v>0.2019741888680387</v>
      </c>
      <c r="DG161" s="1222">
        <f t="shared" si="1055"/>
        <v>0.20294945384021804</v>
      </c>
      <c r="DH161" s="1222">
        <f t="shared" si="1055"/>
        <v>0.20756279857027271</v>
      </c>
      <c r="DI161" s="1222">
        <f t="shared" si="1055"/>
        <v>0.19824953437560658</v>
      </c>
      <c r="DJ161" s="1222">
        <f t="shared" si="1055"/>
        <v>0.21044435670579423</v>
      </c>
      <c r="DK161" s="1222">
        <f t="shared" si="1055"/>
        <v>0.2491363295185649</v>
      </c>
      <c r="DL161" s="1222">
        <f t="shared" si="1055"/>
        <v>0.22040710186037749</v>
      </c>
      <c r="DM161" s="1222">
        <f t="shared" si="1055"/>
        <v>0.16292266985953388</v>
      </c>
      <c r="DN161" s="1222">
        <f t="shared" si="1055"/>
        <v>0.18559344237046155</v>
      </c>
      <c r="DO161" s="1222">
        <f t="shared" si="1055"/>
        <v>0.15413571765045173</v>
      </c>
      <c r="DP161" s="1222">
        <f t="shared" ref="DP161:DQ161" si="1056">DP160/DP$26</f>
        <v>0.18336103421041003</v>
      </c>
      <c r="DQ161" s="1222">
        <f t="shared" si="1056"/>
        <v>0.19968298326526893</v>
      </c>
      <c r="DR161" s="1222">
        <f t="shared" ref="DR161" si="1057">DR160/DR$26</f>
        <v>0.18923511821691238</v>
      </c>
      <c r="DS161" s="733">
        <f t="shared" si="1055"/>
        <v>0.21300775629281382</v>
      </c>
      <c r="DT161" s="733">
        <f t="shared" ref="DT161:DV161" si="1058">DT160/DT$26</f>
        <v>0.21816620786852223</v>
      </c>
      <c r="DU161" s="733">
        <f t="shared" si="1058"/>
        <v>0.22258789545780819</v>
      </c>
      <c r="DV161" s="733">
        <f t="shared" si="1058"/>
        <v>0.22664365380832263</v>
      </c>
      <c r="DY161" s="733">
        <v>0.19916005439903922</v>
      </c>
      <c r="DZ161" s="733">
        <v>0.21850896498926467</v>
      </c>
    </row>
    <row r="162" spans="1:130">
      <c r="A162" s="1330" t="s">
        <v>169</v>
      </c>
      <c r="B162" s="8"/>
      <c r="C162" s="8"/>
      <c r="D162" s="8"/>
      <c r="E162" s="8"/>
      <c r="F162" s="8"/>
      <c r="G162" s="8"/>
      <c r="H162" s="8"/>
      <c r="I162" s="8"/>
      <c r="J162" s="8"/>
      <c r="K162" s="8"/>
      <c r="L162" s="8"/>
      <c r="M162" s="8"/>
      <c r="N162" s="8"/>
      <c r="O162" s="8"/>
      <c r="P162" s="8"/>
      <c r="Q162" s="8"/>
      <c r="R162" s="8">
        <v>0.45975300390393592</v>
      </c>
      <c r="S162" s="8">
        <v>0.56541811846689893</v>
      </c>
      <c r="T162" s="8">
        <v>0.10850416399743756</v>
      </c>
      <c r="U162" s="8">
        <v>-0.30313735723318413</v>
      </c>
      <c r="V162" s="8">
        <v>-0.18031780388565721</v>
      </c>
      <c r="W162" s="8">
        <v>-0.49654999721773974</v>
      </c>
      <c r="X162" s="8">
        <v>0.21758289388138419</v>
      </c>
      <c r="Y162" s="8">
        <v>0.41054814644122484</v>
      </c>
      <c r="Z162" s="8">
        <v>0.73481953560410829</v>
      </c>
      <c r="AA162" s="8">
        <v>1.5649074329925394</v>
      </c>
      <c r="AB162" s="8">
        <v>0.5111954909522396</v>
      </c>
      <c r="AC162" s="8">
        <v>0.3153971819481316</v>
      </c>
      <c r="AD162" s="8">
        <v>6.4559092572264998E-2</v>
      </c>
      <c r="AE162" s="8">
        <v>6.7654916831854095E-3</v>
      </c>
      <c r="AF162" s="8">
        <v>0.15795094067024729</v>
      </c>
      <c r="AG162" s="8">
        <v>0.10367150508421941</v>
      </c>
      <c r="AH162" s="8">
        <v>0.3851050373955125</v>
      </c>
      <c r="AI162" s="8">
        <v>-8.9436288147926257E-2</v>
      </c>
      <c r="AJ162" s="8">
        <v>7.2434089183031292E-2</v>
      </c>
      <c r="AK162" s="8">
        <v>0.47810614265820828</v>
      </c>
      <c r="AL162" s="8">
        <v>0.28797879837613038</v>
      </c>
      <c r="AM162" s="8">
        <v>-3.9015676780971287E-3</v>
      </c>
      <c r="AN162" s="8">
        <v>1.2968372598859412E-2</v>
      </c>
      <c r="AO162" s="8">
        <v>4.3308622707764366E-2</v>
      </c>
      <c r="AP162" s="8">
        <v>0.35070129469790379</v>
      </c>
      <c r="AQ162" s="8">
        <f t="shared" ref="AQ162:CD162" si="1059">AQ160/AM160-1</f>
        <v>2.1868122507727521</v>
      </c>
      <c r="AR162" s="8">
        <f t="shared" si="1059"/>
        <v>0.5510127648949783</v>
      </c>
      <c r="AS162" s="8">
        <f t="shared" si="1059"/>
        <v>0.86384698177572661</v>
      </c>
      <c r="AT162" s="8">
        <f t="shared" si="1059"/>
        <v>0.32833039305744927</v>
      </c>
      <c r="AU162" s="8">
        <f t="shared" si="1059"/>
        <v>0.47196144336725543</v>
      </c>
      <c r="AV162" s="8">
        <f t="shared" si="1059"/>
        <v>0.31261686425466828</v>
      </c>
      <c r="AW162" s="8">
        <f t="shared" si="1059"/>
        <v>0.12817789870853136</v>
      </c>
      <c r="AX162" s="8">
        <f t="shared" si="1059"/>
        <v>5.5933499923197738E-2</v>
      </c>
      <c r="AY162" s="8">
        <f t="shared" si="1059"/>
        <v>-6.5419053647622905E-2</v>
      </c>
      <c r="AZ162" s="8">
        <f t="shared" si="1059"/>
        <v>9.1712808922877587E-2</v>
      </c>
      <c r="BA162" s="8">
        <f t="shared" si="1059"/>
        <v>-4.4418803381728322E-3</v>
      </c>
      <c r="BB162" s="8">
        <f t="shared" si="1059"/>
        <v>0.15469757092678216</v>
      </c>
      <c r="BC162" s="8">
        <f t="shared" si="1059"/>
        <v>2.4994886920203685E-2</v>
      </c>
      <c r="BD162" s="8">
        <f t="shared" si="1059"/>
        <v>7.4878114538632579E-2</v>
      </c>
      <c r="BE162" s="8">
        <f t="shared" si="1059"/>
        <v>0.30381379379457885</v>
      </c>
      <c r="BF162" s="8">
        <f t="shared" si="1059"/>
        <v>6.2860977684775721E-2</v>
      </c>
      <c r="BG162" s="8">
        <f t="shared" si="1059"/>
        <v>0.31016267420001897</v>
      </c>
      <c r="BH162" s="8">
        <f t="shared" si="1059"/>
        <v>0.13444585534601039</v>
      </c>
      <c r="BI162" s="8">
        <f t="shared" si="1059"/>
        <v>0.15948896693924874</v>
      </c>
      <c r="BJ162" s="8">
        <f t="shared" si="1059"/>
        <v>0.23074921654510905</v>
      </c>
      <c r="BK162" s="8">
        <f t="shared" si="1059"/>
        <v>0.66590918199671356</v>
      </c>
      <c r="BL162" s="8">
        <f t="shared" si="1059"/>
        <v>0.25330326975916151</v>
      </c>
      <c r="BM162" s="116">
        <f t="shared" si="1059"/>
        <v>0.33837711334382448</v>
      </c>
      <c r="BN162" s="116">
        <f t="shared" si="1059"/>
        <v>0.29889114056998212</v>
      </c>
      <c r="BO162" s="116">
        <f t="shared" si="1059"/>
        <v>-0.4737851277844205</v>
      </c>
      <c r="BP162" s="116">
        <f t="shared" si="1059"/>
        <v>0.13575829745319967</v>
      </c>
      <c r="BQ162" s="116">
        <f t="shared" si="1059"/>
        <v>-0.81189621979214666</v>
      </c>
      <c r="BR162" s="116">
        <f t="shared" si="1059"/>
        <v>-0.23584739402132215</v>
      </c>
      <c r="BS162" s="116">
        <f t="shared" si="1059"/>
        <v>-0.854695579420922</v>
      </c>
      <c r="BT162" s="116">
        <f t="shared" si="1059"/>
        <v>-0.22790426001821862</v>
      </c>
      <c r="BU162" s="116">
        <f t="shared" si="1059"/>
        <v>4.0119101474544907</v>
      </c>
      <c r="BV162" s="116">
        <f t="shared" si="1059"/>
        <v>5.2179641050406955E-2</v>
      </c>
      <c r="BW162" s="116">
        <f t="shared" si="1059"/>
        <v>11.058586621358002</v>
      </c>
      <c r="BX162" s="116">
        <f t="shared" si="1059"/>
        <v>0.47032961506141113</v>
      </c>
      <c r="BY162" s="116">
        <f t="shared" si="1059"/>
        <v>4.9665117969277084E-2</v>
      </c>
      <c r="BZ162" s="116">
        <f t="shared" si="1059"/>
        <v>0.18443502182596228</v>
      </c>
      <c r="CA162" s="116">
        <f t="shared" si="1059"/>
        <v>-0.34303293445985084</v>
      </c>
      <c r="CB162" s="116">
        <f t="shared" si="1059"/>
        <v>-0.31359788834871893</v>
      </c>
      <c r="CC162" s="116">
        <f t="shared" si="1059"/>
        <v>-0.21097952681882282</v>
      </c>
      <c r="CD162" s="116">
        <f t="shared" si="1059"/>
        <v>9.69181314368881E-2</v>
      </c>
      <c r="CE162" s="116">
        <f t="shared" ref="CE162" si="1060">CE160/CA160-1</f>
        <v>0.5009333545158472</v>
      </c>
      <c r="CF162" s="116">
        <f t="shared" ref="CF162:CI162" si="1061">CF160/CB160-1</f>
        <v>0.39220018230859166</v>
      </c>
      <c r="CG162" s="116">
        <f t="shared" si="1061"/>
        <v>0.59071314506987482</v>
      </c>
      <c r="CH162" s="116">
        <f t="shared" si="1061"/>
        <v>1.4149571831058694E-2</v>
      </c>
      <c r="CI162" s="116">
        <f t="shared" si="1061"/>
        <v>0.54843677643852295</v>
      </c>
      <c r="CJ162" s="116">
        <f t="shared" ref="CJ162:CK162" si="1062">CJ160/CF160-1</f>
        <v>0.32878587887872213</v>
      </c>
      <c r="CK162" s="116">
        <f t="shared" si="1062"/>
        <v>2.9737011838628424E-2</v>
      </c>
      <c r="CL162" s="192">
        <f t="shared" ref="CL162" si="1063">CL160/CH160-1</f>
        <v>6.4927920119556948E-2</v>
      </c>
      <c r="CM162" s="192">
        <f t="shared" ref="CM162" si="1064">CM160/CI160-1</f>
        <v>-6.7110689456981287E-2</v>
      </c>
      <c r="CN162" s="192">
        <f t="shared" ref="CN162" si="1065">CN160/CJ160-1</f>
        <v>-7.1955364509035613E-2</v>
      </c>
      <c r="CO162" s="192">
        <f t="shared" ref="CO162" si="1066">CO160/CK160-1</f>
        <v>3.5193284583760143E-2</v>
      </c>
      <c r="CP162" s="192">
        <f t="shared" ref="CP162" si="1067">CP160/CL160-1</f>
        <v>0.10908615176778169</v>
      </c>
      <c r="CQ162" s="192"/>
      <c r="CR162" s="192"/>
      <c r="CS162" s="192"/>
      <c r="CT162" s="192">
        <v>6.4927920119556948E-2</v>
      </c>
      <c r="CU162" s="694"/>
      <c r="CV162" s="8"/>
      <c r="CW162" s="8">
        <v>1.485996070424163</v>
      </c>
      <c r="CX162" s="8">
        <v>-0.19558648049714078</v>
      </c>
      <c r="CY162" s="8">
        <v>0.13578510698415136</v>
      </c>
      <c r="CZ162" s="8">
        <v>-0.1124052264670462</v>
      </c>
      <c r="DA162" s="8">
        <v>0.62979972991566235</v>
      </c>
      <c r="DB162" s="8">
        <v>0.49947822824289934</v>
      </c>
      <c r="DC162" s="8">
        <v>0.2072382739701033</v>
      </c>
      <c r="DD162" s="8">
        <v>0.20792679898869304</v>
      </c>
      <c r="DE162" s="8">
        <v>0.184616787049102</v>
      </c>
      <c r="DF162" s="8">
        <f t="shared" ref="DF162:DS162" si="1068">DF160/DE160-1</f>
        <v>0.58958867996270126</v>
      </c>
      <c r="DG162" s="116">
        <f t="shared" si="1068"/>
        <v>0.18382265955903354</v>
      </c>
      <c r="DH162" s="116">
        <f t="shared" si="1068"/>
        <v>7.3721964040414978E-2</v>
      </c>
      <c r="DI162" s="116">
        <f t="shared" si="1068"/>
        <v>0.10209930789749588</v>
      </c>
      <c r="DJ162" s="116">
        <f t="shared" si="1068"/>
        <v>0.20157335194432968</v>
      </c>
      <c r="DK162" s="116">
        <f t="shared" si="1068"/>
        <v>0.34709510646144692</v>
      </c>
      <c r="DL162" s="116">
        <f t="shared" si="1068"/>
        <v>-0.30457613524288896</v>
      </c>
      <c r="DM162" s="116">
        <f t="shared" si="1068"/>
        <v>3.6778465960531692E-2</v>
      </c>
      <c r="DN162" s="116">
        <f t="shared" si="1068"/>
        <v>0.4300470295597989</v>
      </c>
      <c r="DO162" s="116">
        <f t="shared" si="1068"/>
        <v>-0.14592356749962243</v>
      </c>
      <c r="DP162" s="116">
        <f t="shared" si="1068"/>
        <v>0.25833836037955504</v>
      </c>
      <c r="DQ162" s="116">
        <f t="shared" si="1068"/>
        <v>0.19312136982422357</v>
      </c>
      <c r="DR162" s="116">
        <f t="shared" si="1068"/>
        <v>1.1474335496887589E-2</v>
      </c>
      <c r="DS162" s="192">
        <f t="shared" si="1068"/>
        <v>0.21968928916466623</v>
      </c>
      <c r="DT162" s="192">
        <f t="shared" ref="DT162" si="1069">DT160/DS160-1</f>
        <v>9.411397861751003E-2</v>
      </c>
      <c r="DU162" s="192">
        <f t="shared" ref="DU162" si="1070">DU160/DT160-1</f>
        <v>8.9896393342232095E-2</v>
      </c>
      <c r="DV162" s="192">
        <f t="shared" ref="DV162" si="1071">DV160/DU160-1</f>
        <v>8.7657586074316729E-2</v>
      </c>
      <c r="DY162" s="192">
        <v>4.2916952832491972E-2</v>
      </c>
      <c r="DZ162" s="192">
        <v>0.18410418428862707</v>
      </c>
    </row>
    <row r="163" spans="1:130" s="359" customFormat="1">
      <c r="A163" s="1331" t="s">
        <v>231</v>
      </c>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c r="AA163" s="91"/>
      <c r="AB163" s="91"/>
      <c r="AC163" s="91"/>
      <c r="AD163" s="91"/>
      <c r="AE163" s="91"/>
      <c r="AF163" s="91"/>
      <c r="AG163" s="91"/>
      <c r="AH163" s="91"/>
      <c r="AI163" s="93"/>
      <c r="AJ163" s="93"/>
      <c r="AK163" s="93"/>
      <c r="AL163" s="93"/>
      <c r="AM163" s="93"/>
      <c r="AN163" s="93">
        <v>-9.4076869945851072E-3</v>
      </c>
      <c r="AO163" s="93">
        <v>-1.2192860385231347E-2</v>
      </c>
      <c r="AP163" s="93">
        <v>4.2488818238968801E-2</v>
      </c>
      <c r="AQ163" s="1164">
        <f t="shared" ref="AQ163:CC163" si="1072">+AQ161-AM161</f>
        <v>8.5576011581511874E-2</v>
      </c>
      <c r="AR163" s="1164">
        <f t="shared" si="1072"/>
        <v>2.88212579439594E-2</v>
      </c>
      <c r="AS163" s="1164">
        <f t="shared" si="1072"/>
        <v>4.8859870091884319E-2</v>
      </c>
      <c r="AT163" s="1164">
        <f t="shared" si="1072"/>
        <v>-6.9121719201552523E-3</v>
      </c>
      <c r="AU163" s="1164">
        <f t="shared" si="1072"/>
        <v>2.5452939012743481E-2</v>
      </c>
      <c r="AV163" s="1164">
        <f t="shared" si="1072"/>
        <v>1.4331633974919183E-2</v>
      </c>
      <c r="AW163" s="1164">
        <f t="shared" si="1072"/>
        <v>-7.4681691181822385E-3</v>
      </c>
      <c r="AX163" s="1164">
        <f t="shared" si="1072"/>
        <v>-1.1967217795742419E-2</v>
      </c>
      <c r="AY163" s="1164">
        <f t="shared" si="1072"/>
        <v>-2.0394350715039422E-2</v>
      </c>
      <c r="AZ163" s="1164">
        <f t="shared" si="1072"/>
        <v>3.8304829460246992E-3</v>
      </c>
      <c r="BA163" s="1164">
        <f t="shared" si="1072"/>
        <v>-3.5393544945404587E-3</v>
      </c>
      <c r="BB163" s="1164">
        <f t="shared" si="1072"/>
        <v>2.4867718336289396E-2</v>
      </c>
      <c r="BC163" s="1164">
        <f t="shared" si="1072"/>
        <v>-1.4394738387781963E-2</v>
      </c>
      <c r="BD163" s="1164">
        <f t="shared" si="1072"/>
        <v>-7.1032154850295404E-3</v>
      </c>
      <c r="BE163" s="1164">
        <f t="shared" si="1072"/>
        <v>1.2608620300137041E-2</v>
      </c>
      <c r="BF163" s="1164">
        <f t="shared" si="1072"/>
        <v>-2.28188798303679E-2</v>
      </c>
      <c r="BG163" s="1164">
        <f t="shared" si="1072"/>
        <v>1.867766965051082E-2</v>
      </c>
      <c r="BH163" s="1164">
        <f t="shared" si="1072"/>
        <v>5.9207484584656578E-3</v>
      </c>
      <c r="BI163" s="1164">
        <f t="shared" si="1072"/>
        <v>7.1964783271595001E-3</v>
      </c>
      <c r="BJ163" s="1164">
        <f t="shared" si="1072"/>
        <v>1.5826590748285241E-2</v>
      </c>
      <c r="BK163" s="1164">
        <f t="shared" si="1072"/>
        <v>6.6445544492048397E-2</v>
      </c>
      <c r="BL163" s="1164">
        <f t="shared" si="1072"/>
        <v>2.2486642086117892E-2</v>
      </c>
      <c r="BM163" s="1223">
        <f t="shared" si="1072"/>
        <v>3.0089238005089392E-2</v>
      </c>
      <c r="BN163" s="1223">
        <f t="shared" si="1072"/>
        <v>4.1508111579709683E-2</v>
      </c>
      <c r="BO163" s="1223">
        <f t="shared" si="1072"/>
        <v>-0.10232253109086295</v>
      </c>
      <c r="BP163" s="1223">
        <f t="shared" si="1072"/>
        <v>0.52701105123013203</v>
      </c>
      <c r="BQ163" s="1223">
        <f t="shared" si="1072"/>
        <v>-0.15983576480567405</v>
      </c>
      <c r="BR163" s="1223">
        <f t="shared" si="1072"/>
        <v>-6.3754847985127039E-2</v>
      </c>
      <c r="BS163" s="1223">
        <f t="shared" si="1072"/>
        <v>-9.7260400334057112E-2</v>
      </c>
      <c r="BT163" s="1223">
        <f t="shared" si="1072"/>
        <v>-0.57281218484976615</v>
      </c>
      <c r="BU163" s="1223">
        <f t="shared" si="1072"/>
        <v>0.11776938495918121</v>
      </c>
      <c r="BV163" s="1223">
        <f t="shared" si="1072"/>
        <v>-3.9396626671848012E-2</v>
      </c>
      <c r="BW163" s="1223">
        <f t="shared" si="1072"/>
        <v>0.12657015744017966</v>
      </c>
      <c r="BX163" s="1223">
        <f t="shared" si="1072"/>
        <v>1.8607909049369042E-3</v>
      </c>
      <c r="BY163" s="1223">
        <f t="shared" si="1072"/>
        <v>-1.428565196210646E-2</v>
      </c>
      <c r="BZ163" s="1223">
        <f t="shared" si="1072"/>
        <v>2.8520548618472696E-2</v>
      </c>
      <c r="CA163" s="1223">
        <f t="shared" si="1072"/>
        <v>-5.5945630468403493E-2</v>
      </c>
      <c r="CB163" s="1223">
        <f t="shared" si="1072"/>
        <v>-5.6042065611830227E-2</v>
      </c>
      <c r="CC163" s="1223">
        <f t="shared" si="1072"/>
        <v>-3.5211003112080669E-2</v>
      </c>
      <c r="CD163" s="1223">
        <f>+CD161-BZ161</f>
        <v>7.0619772497570454E-3</v>
      </c>
      <c r="CE163" s="1223">
        <f t="shared" ref="CE163:CI163" si="1073">+CE161-CA161</f>
        <v>3.9220464616946935E-2</v>
      </c>
      <c r="CF163" s="1223">
        <f t="shared" si="1073"/>
        <v>5.3017585052239358E-2</v>
      </c>
      <c r="CG163" s="1223">
        <f t="shared" si="1073"/>
        <v>5.3038981111944661E-2</v>
      </c>
      <c r="CH163" s="1223">
        <f t="shared" si="1073"/>
        <v>-1.4582173182163372E-2</v>
      </c>
      <c r="CI163" s="1223">
        <f t="shared" si="1073"/>
        <v>4.9688662306355186E-2</v>
      </c>
      <c r="CJ163" s="1223">
        <f t="shared" ref="CJ163:CK163" si="1074">+CJ161-CF161</f>
        <v>2.3319761062780608E-2</v>
      </c>
      <c r="CK163" s="1223">
        <f t="shared" si="1074"/>
        <v>-3.4437082980150469E-3</v>
      </c>
      <c r="CL163" s="1164">
        <f t="shared" ref="CL163" si="1075">+CL161-CH161</f>
        <v>4.0886734110255896E-3</v>
      </c>
      <c r="CM163" s="1164">
        <f t="shared" ref="CM163" si="1076">+CM161-CI161</f>
        <v>-2.067531685183327E-2</v>
      </c>
      <c r="CN163" s="1164">
        <f t="shared" ref="CN163" si="1077">+CN161-CJ161</f>
        <v>-2.3966919441944817E-2</v>
      </c>
      <c r="CO163" s="1164">
        <f t="shared" ref="CO163" si="1078">+CO161-CK161</f>
        <v>-6.5884184142160629E-3</v>
      </c>
      <c r="CP163" s="1164">
        <f t="shared" ref="CP163" si="1079">+CP161-CL161</f>
        <v>4.4774230963188499E-3</v>
      </c>
      <c r="CQ163" s="1164"/>
      <c r="CR163" s="1164"/>
      <c r="CS163" s="556"/>
      <c r="CT163" s="1164">
        <v>4.0886734110255896E-3</v>
      </c>
      <c r="CU163" s="1110"/>
      <c r="CV163" s="118">
        <v>5.9298346410792992E-2</v>
      </c>
      <c r="CW163" s="118">
        <v>0.12627856600960963</v>
      </c>
      <c r="CX163" s="118">
        <v>0.12981064994468527</v>
      </c>
      <c r="CY163" s="118">
        <v>0.1325132487354598</v>
      </c>
      <c r="CZ163" s="118">
        <v>0.12498677283215308</v>
      </c>
      <c r="DA163" s="118">
        <v>0.15312731106586994</v>
      </c>
      <c r="DB163" s="118">
        <v>0.18343765833205516</v>
      </c>
      <c r="DC163" s="118">
        <v>0.18390652336761421</v>
      </c>
      <c r="DD163" s="118">
        <v>0.18489644552192513</v>
      </c>
      <c r="DE163" s="118">
        <v>0.19142697366042602</v>
      </c>
      <c r="DF163" s="118"/>
      <c r="DG163" s="1240">
        <f t="shared" ref="DG163:DL163" si="1080">+DG161-DF161</f>
        <v>9.7526497217934049E-4</v>
      </c>
      <c r="DH163" s="1240">
        <f t="shared" si="1080"/>
        <v>4.6133447300546748E-3</v>
      </c>
      <c r="DI163" s="1240">
        <f t="shared" si="1080"/>
        <v>-9.3132641946661321E-3</v>
      </c>
      <c r="DJ163" s="1240">
        <f t="shared" si="1080"/>
        <v>1.2194822330187649E-2</v>
      </c>
      <c r="DK163" s="1240">
        <f t="shared" si="1080"/>
        <v>3.8691972812770675E-2</v>
      </c>
      <c r="DL163" s="1240">
        <f t="shared" si="1080"/>
        <v>-2.8729227658187417E-2</v>
      </c>
      <c r="DM163" s="1240">
        <f t="shared" ref="DM163:DS163" si="1081">+DM161-DL161</f>
        <v>-5.7484432000843605E-2</v>
      </c>
      <c r="DN163" s="1240">
        <f t="shared" si="1081"/>
        <v>2.2670772510927667E-2</v>
      </c>
      <c r="DO163" s="1240">
        <f t="shared" si="1081"/>
        <v>-3.1457724720009822E-2</v>
      </c>
      <c r="DP163" s="1240">
        <f t="shared" si="1081"/>
        <v>2.9225316559958303E-2</v>
      </c>
      <c r="DQ163" s="1240">
        <f t="shared" si="1081"/>
        <v>1.6321949054858897E-2</v>
      </c>
      <c r="DR163" s="1240">
        <f t="shared" si="1081"/>
        <v>-1.0447865048356542E-2</v>
      </c>
      <c r="DS163" s="401">
        <f t="shared" si="1081"/>
        <v>2.3772638075901437E-2</v>
      </c>
      <c r="DT163" s="401">
        <f t="shared" ref="DT163" si="1082">+DT161-DS161</f>
        <v>5.158451575708406E-3</v>
      </c>
      <c r="DU163" s="401">
        <f t="shared" ref="DU163" si="1083">+DU161-DT161</f>
        <v>4.4216875892859608E-3</v>
      </c>
      <c r="DV163" s="401">
        <f t="shared" ref="DV163" si="1084">+DV161-DU161</f>
        <v>4.0557583505144434E-3</v>
      </c>
      <c r="DY163" s="401">
        <v>-5.3052016009995373E-3</v>
      </c>
      <c r="DZ163" s="401">
        <v>1.9348910590225449E-2</v>
      </c>
    </row>
    <row r="164" spans="1:130" s="359" customFormat="1">
      <c r="A164" s="133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c r="AA164" s="91"/>
      <c r="AB164" s="91"/>
      <c r="AC164" s="91"/>
      <c r="AD164" s="91"/>
      <c r="AE164" s="91"/>
      <c r="AF164" s="91"/>
      <c r="AG164" s="91"/>
      <c r="AH164" s="91"/>
      <c r="AI164" s="93"/>
      <c r="AJ164" s="93"/>
      <c r="AK164" s="93"/>
      <c r="AL164" s="93"/>
      <c r="AM164" s="93"/>
      <c r="AN164" s="93"/>
      <c r="AO164" s="93"/>
      <c r="AP164" s="93"/>
      <c r="AQ164" s="1164"/>
      <c r="AR164" s="1164"/>
      <c r="AS164" s="1164"/>
      <c r="AT164" s="1164"/>
      <c r="AU164" s="1164"/>
      <c r="AV164" s="1164"/>
      <c r="AW164" s="1164"/>
      <c r="AX164" s="1164"/>
      <c r="AY164" s="1164"/>
      <c r="AZ164" s="1164"/>
      <c r="BA164" s="1164"/>
      <c r="BB164" s="1164"/>
      <c r="BC164" s="1164"/>
      <c r="BD164" s="1164"/>
      <c r="BE164" s="1164"/>
      <c r="BF164" s="1164"/>
      <c r="BG164" s="1164"/>
      <c r="BH164" s="1164"/>
      <c r="BI164" s="1164"/>
      <c r="BJ164" s="1164"/>
      <c r="BK164" s="1164"/>
      <c r="BL164" s="1164"/>
      <c r="BM164" s="1223"/>
      <c r="BN164" s="1223"/>
      <c r="BO164" s="1223"/>
      <c r="BP164" s="1223"/>
      <c r="BQ164" s="1223"/>
      <c r="BR164" s="1223"/>
      <c r="BS164" s="1223"/>
      <c r="BT164" s="1223"/>
      <c r="BU164" s="1223"/>
      <c r="BV164" s="1223"/>
      <c r="BW164" s="1223"/>
      <c r="BX164" s="1223"/>
      <c r="BY164" s="1223"/>
      <c r="BZ164" s="1223"/>
      <c r="CA164" s="1223"/>
      <c r="CB164" s="1223"/>
      <c r="CC164" s="1223"/>
      <c r="CD164" s="1223"/>
      <c r="CE164" s="1223"/>
      <c r="CF164" s="1223"/>
      <c r="CG164" s="1223"/>
      <c r="CH164" s="1223"/>
      <c r="CI164" s="1223"/>
      <c r="CJ164" s="1223"/>
      <c r="CK164" s="1223"/>
      <c r="CL164" s="1164"/>
      <c r="CM164" s="1164"/>
      <c r="CN164" s="1164"/>
      <c r="CO164" s="1164"/>
      <c r="CP164" s="1164"/>
      <c r="CQ164" s="1164"/>
      <c r="CR164" s="1164"/>
      <c r="CS164" s="556"/>
      <c r="CT164" s="1164"/>
      <c r="CU164" s="1110"/>
      <c r="CV164" s="118"/>
      <c r="CW164" s="118"/>
      <c r="CX164" s="118"/>
      <c r="CY164" s="118"/>
      <c r="CZ164" s="118"/>
      <c r="DA164" s="118"/>
      <c r="DB164" s="118"/>
      <c r="DC164" s="118"/>
      <c r="DD164" s="118"/>
      <c r="DE164" s="118"/>
      <c r="DF164" s="118"/>
      <c r="DG164" s="1240"/>
      <c r="DH164" s="1240"/>
      <c r="DI164" s="1240"/>
      <c r="DJ164" s="1240"/>
      <c r="DK164" s="1240"/>
      <c r="DL164" s="1240"/>
      <c r="DM164" s="1240"/>
      <c r="DN164" s="1240"/>
      <c r="DO164" s="1240"/>
      <c r="DP164" s="1240"/>
      <c r="DQ164" s="1240"/>
      <c r="DR164" s="1240"/>
      <c r="DS164" s="401"/>
      <c r="DT164" s="401"/>
      <c r="DU164" s="401"/>
      <c r="DV164" s="401"/>
      <c r="DY164" s="401"/>
      <c r="DZ164" s="401"/>
    </row>
    <row r="165" spans="1:130" s="1839" customFormat="1" ht="15.75">
      <c r="A165" s="1331" t="s">
        <v>237</v>
      </c>
      <c r="BW165" s="1839">
        <v>14570</v>
      </c>
      <c r="BX165" s="1839">
        <v>4857</v>
      </c>
      <c r="BY165" s="1839">
        <v>43811</v>
      </c>
      <c r="BZ165" s="1839">
        <v>46826</v>
      </c>
      <c r="CA165" s="1839">
        <v>36044</v>
      </c>
      <c r="CB165" s="1839">
        <v>9957</v>
      </c>
      <c r="CC165" s="1839">
        <v>20106</v>
      </c>
      <c r="CD165" s="1839">
        <v>153139</v>
      </c>
      <c r="CE165" s="1839">
        <v>54367</v>
      </c>
      <c r="CF165" s="1839">
        <v>50618</v>
      </c>
      <c r="CG165" s="1839">
        <v>38096</v>
      </c>
      <c r="CH165" s="1839">
        <v>6600</v>
      </c>
      <c r="CI165" s="1984">
        <f t="shared" ref="CI165:CL165" si="1085">+CI111</f>
        <v>19786</v>
      </c>
      <c r="CJ165" s="1984">
        <f t="shared" si="1085"/>
        <v>9378</v>
      </c>
      <c r="CK165" s="1984">
        <f t="shared" si="1085"/>
        <v>26638</v>
      </c>
      <c r="CL165" s="1984">
        <f t="shared" si="1085"/>
        <v>24139.086962290825</v>
      </c>
      <c r="CM165" s="1984">
        <f t="shared" ref="CM165:CP165" si="1086">+CM111</f>
        <v>17171.169301941161</v>
      </c>
      <c r="CN165" s="1984">
        <f t="shared" si="1086"/>
        <v>21780.256171512145</v>
      </c>
      <c r="CO165" s="1984">
        <f t="shared" si="1086"/>
        <v>19203.543697447225</v>
      </c>
      <c r="CP165" s="1984">
        <f t="shared" si="1086"/>
        <v>26250.909347537974</v>
      </c>
      <c r="CT165" s="1839">
        <v>24139.086962290825</v>
      </c>
      <c r="DI165" s="1839">
        <f>+SUM(BC165:BF165)</f>
        <v>0</v>
      </c>
      <c r="DJ165" s="1839">
        <f>+SUM(BG165:BJ165)</f>
        <v>0</v>
      </c>
      <c r="DK165" s="1839">
        <f>+SUM(BK165:BN165)</f>
        <v>0</v>
      </c>
      <c r="DL165" s="1839">
        <f>+SUM(BO165:BR165)</f>
        <v>0</v>
      </c>
      <c r="DM165" s="1839">
        <f>+SUM(BS165:BV165)</f>
        <v>0</v>
      </c>
      <c r="DN165" s="1921">
        <f>+SUM(BW165:BZ165)</f>
        <v>110064</v>
      </c>
      <c r="DO165" s="1921">
        <f>+SUM(CA165:CD165)</f>
        <v>219246</v>
      </c>
      <c r="DP165" s="1921">
        <f>+SUM(CE165:CH165)</f>
        <v>149681</v>
      </c>
      <c r="DQ165" s="1921">
        <f>+SUM(CI165:CL165)</f>
        <v>79941.086962290821</v>
      </c>
      <c r="DR165" s="1921">
        <f>+SUM(CM165:CP165)</f>
        <v>84405.878518438505</v>
      </c>
      <c r="DS165" s="1984">
        <f t="shared" ref="DS165:DV165" si="1087">+DS111</f>
        <v>91459.373594066376</v>
      </c>
      <c r="DT165" s="1984">
        <f t="shared" si="1087"/>
        <v>97700.935954452347</v>
      </c>
      <c r="DU165" s="1984">
        <f t="shared" si="1087"/>
        <v>104368.60511883539</v>
      </c>
      <c r="DV165" s="1984">
        <f t="shared" si="1087"/>
        <v>111485.92787355787</v>
      </c>
      <c r="DY165" s="1839">
        <v>86796.112398154713</v>
      </c>
      <c r="DZ165" s="1839">
        <v>93674.884362472512</v>
      </c>
    </row>
    <row r="166" spans="1:130" s="359" customFormat="1">
      <c r="A166" s="133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c r="AA166" s="91"/>
      <c r="AB166" s="91"/>
      <c r="AC166" s="91"/>
      <c r="AD166" s="91"/>
      <c r="AE166" s="91"/>
      <c r="AF166" s="91"/>
      <c r="AG166" s="91"/>
      <c r="AH166" s="91"/>
      <c r="AI166" s="93"/>
      <c r="AJ166" s="93"/>
      <c r="AK166" s="93"/>
      <c r="AL166" s="93"/>
      <c r="AM166" s="93"/>
      <c r="AN166" s="93"/>
      <c r="AO166" s="93"/>
      <c r="AP166" s="93"/>
      <c r="AQ166" s="1164"/>
      <c r="AR166" s="1164"/>
      <c r="AS166" s="1164"/>
      <c r="AT166" s="1164"/>
      <c r="AU166" s="1164"/>
      <c r="AV166" s="1164"/>
      <c r="AW166" s="1164"/>
      <c r="AX166" s="1164"/>
      <c r="AY166" s="1164"/>
      <c r="AZ166" s="1164"/>
      <c r="BA166" s="1164"/>
      <c r="BB166" s="1164"/>
      <c r="BC166" s="1164"/>
      <c r="BD166" s="1164"/>
      <c r="BE166" s="1164"/>
      <c r="BF166" s="1164"/>
      <c r="BG166" s="1164"/>
      <c r="BH166" s="1164"/>
      <c r="BI166" s="1164"/>
      <c r="BJ166" s="1164"/>
      <c r="BK166" s="1164"/>
      <c r="BL166" s="1164"/>
      <c r="BM166" s="1223"/>
      <c r="BN166" s="1223"/>
      <c r="BO166" s="1223"/>
      <c r="BP166" s="1223"/>
      <c r="BQ166" s="1223"/>
      <c r="BR166" s="1223"/>
      <c r="BS166" s="1223"/>
      <c r="BT166" s="1223"/>
      <c r="BU166" s="1223"/>
      <c r="BV166" s="1223"/>
      <c r="BW166" s="1223"/>
      <c r="BX166" s="1223"/>
      <c r="BY166" s="1223"/>
      <c r="BZ166" s="1223"/>
      <c r="CA166" s="1223"/>
      <c r="CB166" s="1223"/>
      <c r="CC166" s="1223"/>
      <c r="CD166" s="1223"/>
      <c r="CE166" s="1223"/>
      <c r="CF166" s="1223"/>
      <c r="CG166" s="1223"/>
      <c r="CH166" s="1223"/>
      <c r="CI166" s="1223"/>
      <c r="CJ166" s="1223"/>
      <c r="CK166" s="1223"/>
      <c r="CL166" s="1164"/>
      <c r="CM166" s="1164"/>
      <c r="CN166" s="1164"/>
      <c r="CO166" s="1164"/>
      <c r="CP166" s="1164"/>
      <c r="CQ166" s="1164"/>
      <c r="CR166" s="1164"/>
      <c r="CS166" s="556"/>
      <c r="CT166" s="1164"/>
      <c r="CU166" s="1110"/>
      <c r="CV166" s="118"/>
      <c r="CW166" s="118"/>
      <c r="CX166" s="118"/>
      <c r="CY166" s="118"/>
      <c r="CZ166" s="118"/>
      <c r="DA166" s="118"/>
      <c r="DB166" s="118"/>
      <c r="DC166" s="118"/>
      <c r="DD166" s="118"/>
      <c r="DE166" s="118"/>
      <c r="DF166" s="118"/>
      <c r="DG166" s="1240"/>
      <c r="DH166" s="1240"/>
      <c r="DI166" s="1240"/>
      <c r="DJ166" s="1240"/>
      <c r="DK166" s="1240"/>
      <c r="DL166" s="1240"/>
      <c r="DM166" s="1240"/>
      <c r="DN166" s="1240"/>
      <c r="DO166" s="1240"/>
      <c r="DP166" s="1240"/>
      <c r="DQ166" s="1240"/>
      <c r="DR166" s="1240"/>
      <c r="DS166" s="401"/>
      <c r="DT166" s="401"/>
      <c r="DU166" s="401"/>
      <c r="DV166" s="401"/>
      <c r="DY166" s="401"/>
      <c r="DZ166" s="401"/>
    </row>
    <row r="167" spans="1:130" s="1660" customFormat="1" ht="12.75">
      <c r="A167" s="1655" t="s">
        <v>238</v>
      </c>
      <c r="B167" s="1661">
        <f t="shared" ref="B167:BM167" si="1088">+B160-B111</f>
        <v>0</v>
      </c>
      <c r="C167" s="1661">
        <f t="shared" si="1088"/>
        <v>0</v>
      </c>
      <c r="D167" s="1661">
        <f t="shared" si="1088"/>
        <v>0</v>
      </c>
      <c r="E167" s="1661">
        <f t="shared" si="1088"/>
        <v>0</v>
      </c>
      <c r="F167" s="1661">
        <f t="shared" si="1088"/>
        <v>0</v>
      </c>
      <c r="G167" s="1661">
        <f t="shared" si="1088"/>
        <v>-296</v>
      </c>
      <c r="H167" s="1661">
        <f t="shared" si="1088"/>
        <v>-516</v>
      </c>
      <c r="I167" s="1661">
        <f t="shared" si="1088"/>
        <v>-522</v>
      </c>
      <c r="J167" s="1661">
        <f t="shared" si="1088"/>
        <v>-919</v>
      </c>
      <c r="K167" s="1661">
        <f t="shared" si="1088"/>
        <v>-1674</v>
      </c>
      <c r="L167" s="1661">
        <f t="shared" si="1088"/>
        <v>-530</v>
      </c>
      <c r="M167" s="1661">
        <f t="shared" si="1088"/>
        <v>-619</v>
      </c>
      <c r="N167" s="1661">
        <f t="shared" si="1088"/>
        <v>64251</v>
      </c>
      <c r="O167" s="1661">
        <f t="shared" si="1088"/>
        <v>24103</v>
      </c>
      <c r="P167" s="1661">
        <f t="shared" si="1088"/>
        <v>62896</v>
      </c>
      <c r="Q167" s="1661">
        <f t="shared" si="1088"/>
        <v>41919</v>
      </c>
      <c r="R167" s="1661">
        <f t="shared" si="1088"/>
        <v>96988</v>
      </c>
      <c r="S167" s="1661">
        <f t="shared" si="1088"/>
        <v>35355</v>
      </c>
      <c r="T167" s="1661">
        <f t="shared" si="1088"/>
        <v>68975</v>
      </c>
      <c r="U167" s="1661">
        <f t="shared" si="1088"/>
        <v>36922</v>
      </c>
      <c r="V167" s="1661">
        <f t="shared" si="1088"/>
        <v>79352</v>
      </c>
      <c r="W167" s="1661">
        <f t="shared" si="1088"/>
        <v>16963</v>
      </c>
      <c r="X167" s="1661">
        <f t="shared" si="1088"/>
        <v>83592</v>
      </c>
      <c r="Y167" s="1661">
        <f t="shared" si="1088"/>
        <v>49036</v>
      </c>
      <c r="Z167" s="1661">
        <f t="shared" si="1088"/>
        <v>137027</v>
      </c>
      <c r="AA167" s="1661">
        <f t="shared" si="1088"/>
        <v>45781</v>
      </c>
      <c r="AB167" s="1661">
        <f t="shared" si="1088"/>
        <v>127067</v>
      </c>
      <c r="AC167" s="1661">
        <f t="shared" si="1088"/>
        <v>57161</v>
      </c>
      <c r="AD167" s="1661">
        <f t="shared" si="1088"/>
        <v>144299</v>
      </c>
      <c r="AE167" s="1661">
        <f t="shared" si="1088"/>
        <v>45887</v>
      </c>
      <c r="AF167" s="1661">
        <f t="shared" si="1088"/>
        <v>148072</v>
      </c>
      <c r="AG167" s="1661">
        <f t="shared" si="1088"/>
        <v>67929</v>
      </c>
      <c r="AH167" s="1661">
        <f t="shared" si="1088"/>
        <v>196976</v>
      </c>
      <c r="AI167" s="1661">
        <f t="shared" si="1088"/>
        <v>44095</v>
      </c>
      <c r="AJ167" s="1661">
        <f t="shared" si="1088"/>
        <v>155848</v>
      </c>
      <c r="AK167" s="1661">
        <f t="shared" si="1088"/>
        <v>104493</v>
      </c>
      <c r="AL167" s="1661">
        <f t="shared" si="1088"/>
        <v>250570</v>
      </c>
      <c r="AM167" s="1661">
        <f t="shared" si="1088"/>
        <v>39712</v>
      </c>
      <c r="AN167" s="1661">
        <f t="shared" si="1088"/>
        <v>160392</v>
      </c>
      <c r="AO167" s="1661">
        <f t="shared" si="1088"/>
        <v>108953</v>
      </c>
      <c r="AP167" s="1661">
        <f t="shared" si="1088"/>
        <v>322721</v>
      </c>
      <c r="AQ167" s="1661">
        <f t="shared" si="1088"/>
        <v>132868.45000000001</v>
      </c>
      <c r="AR167" s="1661">
        <f t="shared" si="1088"/>
        <v>246646</v>
      </c>
      <c r="AS167" s="1661">
        <f t="shared" si="1088"/>
        <v>200530</v>
      </c>
      <c r="AT167" s="1661">
        <f t="shared" si="1088"/>
        <v>462385.86599999998</v>
      </c>
      <c r="AU167" s="1661">
        <f t="shared" si="1088"/>
        <v>192301.65992000009</v>
      </c>
      <c r="AV167" s="1661">
        <f t="shared" si="1088"/>
        <v>313139.60341999994</v>
      </c>
      <c r="AW167" s="1661">
        <f t="shared" si="1088"/>
        <v>226690</v>
      </c>
      <c r="AX167" s="1661">
        <f t="shared" si="1088"/>
        <v>487738.99999999994</v>
      </c>
      <c r="AY167" s="1661">
        <f t="shared" si="1088"/>
        <v>176750</v>
      </c>
      <c r="AZ167" s="1661">
        <f t="shared" si="1088"/>
        <v>342961</v>
      </c>
      <c r="BA167" s="1661">
        <f t="shared" si="1088"/>
        <v>214762</v>
      </c>
      <c r="BB167" s="1661">
        <f t="shared" si="1088"/>
        <v>533266</v>
      </c>
      <c r="BC167" s="1661">
        <f t="shared" si="1088"/>
        <v>189959.23211000004</v>
      </c>
      <c r="BD167" s="1661">
        <f t="shared" si="1088"/>
        <v>379570.00912999996</v>
      </c>
      <c r="BE167" s="1661">
        <f t="shared" si="1088"/>
        <v>294718.57071</v>
      </c>
      <c r="BF167" s="1661">
        <f t="shared" si="1088"/>
        <v>604796.56450999994</v>
      </c>
      <c r="BG167" s="1661">
        <f t="shared" si="1088"/>
        <v>250259</v>
      </c>
      <c r="BH167" s="1661">
        <f t="shared" si="1088"/>
        <v>425604.99999999994</v>
      </c>
      <c r="BI167" s="1661">
        <f t="shared" si="1088"/>
        <v>322952</v>
      </c>
      <c r="BJ167" s="1661">
        <f t="shared" si="1088"/>
        <v>744679</v>
      </c>
      <c r="BK167" s="1661">
        <f t="shared" si="1088"/>
        <v>387539</v>
      </c>
      <c r="BL167" s="1661">
        <f t="shared" si="1088"/>
        <v>534339</v>
      </c>
      <c r="BM167" s="1661">
        <f t="shared" si="1088"/>
        <v>462058</v>
      </c>
      <c r="BN167" s="1661">
        <f t="shared" ref="BN167:BV167" si="1089">+BN160-BN111</f>
        <v>943323</v>
      </c>
      <c r="BO167" s="1661">
        <f t="shared" si="1089"/>
        <v>214809</v>
      </c>
      <c r="BP167" s="1661">
        <f t="shared" si="1089"/>
        <v>-124872</v>
      </c>
      <c r="BQ167" s="1661">
        <f t="shared" si="1089"/>
        <v>83743</v>
      </c>
      <c r="BR167" s="1661">
        <f t="shared" si="1089"/>
        <v>738443</v>
      </c>
      <c r="BS167" s="1661">
        <f t="shared" si="1089"/>
        <v>31320</v>
      </c>
      <c r="BT167" s="1661">
        <f t="shared" si="1089"/>
        <v>429453</v>
      </c>
      <c r="BU167" s="1661">
        <f t="shared" si="1089"/>
        <v>432824.33947000233</v>
      </c>
      <c r="BV167" s="1661">
        <f t="shared" si="1089"/>
        <v>787718.81354999915</v>
      </c>
      <c r="BW167" s="1661">
        <f t="shared" ref="BW167:CH167" si="1090">+BW160-BW165</f>
        <v>368676</v>
      </c>
      <c r="BX167" s="1661">
        <f t="shared" si="1090"/>
        <v>696774</v>
      </c>
      <c r="BY167" s="1661">
        <f t="shared" si="1090"/>
        <v>415717</v>
      </c>
      <c r="BZ167" s="1661">
        <f t="shared" si="1090"/>
        <v>871805</v>
      </c>
      <c r="CA167" s="1661">
        <f t="shared" si="1090"/>
        <v>215736</v>
      </c>
      <c r="CB167" s="1661">
        <f t="shared" si="1090"/>
        <v>471644</v>
      </c>
      <c r="CC167" s="1661">
        <f t="shared" si="1090"/>
        <v>342471</v>
      </c>
      <c r="CD167" s="1661">
        <f t="shared" si="1090"/>
        <v>854524</v>
      </c>
      <c r="CE167" s="1661">
        <f t="shared" si="1090"/>
        <v>323538</v>
      </c>
      <c r="CF167" s="1661">
        <f t="shared" si="1090"/>
        <v>619867</v>
      </c>
      <c r="CG167" s="1661">
        <f t="shared" si="1090"/>
        <v>538660</v>
      </c>
      <c r="CH167" s="1661">
        <f t="shared" si="1090"/>
        <v>1015321</v>
      </c>
      <c r="CI167" s="1661">
        <f t="shared" ref="CI167" si="1091">+CI160-CI165</f>
        <v>565376</v>
      </c>
      <c r="CJ167" s="1661">
        <f t="shared" ref="CJ167:CL167" si="1092">+CJ160-CJ165</f>
        <v>881553</v>
      </c>
      <c r="CK167" s="1661">
        <f t="shared" si="1092"/>
        <v>567269</v>
      </c>
      <c r="CL167" s="1661">
        <f t="shared" si="1092"/>
        <v>1064133.118094207</v>
      </c>
      <c r="CM167" s="1661">
        <f t="shared" ref="CM167:CP167" si="1093">+CM160-CM165</f>
        <v>528720.20543403272</v>
      </c>
      <c r="CN167" s="1661">
        <f t="shared" si="1093"/>
        <v>805043.47897108819</v>
      </c>
      <c r="CO167" s="1661">
        <f t="shared" si="1093"/>
        <v>595604.99436984002</v>
      </c>
      <c r="CP167" s="1661">
        <f t="shared" si="1093"/>
        <v>1180736.7226344114</v>
      </c>
      <c r="CQ167" s="1656"/>
      <c r="CR167" s="1656"/>
      <c r="CS167" s="1657"/>
      <c r="CT167" s="1656">
        <v>1064133.118094207</v>
      </c>
      <c r="CU167" s="1134">
        <f>+CK167/CT167-1</f>
        <v>-0.46691913788385631</v>
      </c>
      <c r="CV167" s="1659"/>
      <c r="CW167" s="1659"/>
      <c r="CX167" s="1659"/>
      <c r="CY167" s="1659"/>
      <c r="CZ167" s="1659"/>
      <c r="DA167" s="1659"/>
      <c r="DB167" s="1659"/>
      <c r="DC167" s="1659"/>
      <c r="DD167" s="1659"/>
      <c r="DE167" s="1659"/>
      <c r="DF167" s="1659"/>
      <c r="DG167" s="1661">
        <f t="shared" ref="DG167:DH167" si="1094">+DG160-DG$111</f>
        <v>1219870.2633400001</v>
      </c>
      <c r="DH167" s="1661">
        <f t="shared" si="1094"/>
        <v>1267739</v>
      </c>
      <c r="DI167" s="1661">
        <f t="shared" ref="DI167:DV167" si="1095">+DI160-DI165</f>
        <v>1475830</v>
      </c>
      <c r="DJ167" s="1661">
        <f t="shared" si="1095"/>
        <v>1773318</v>
      </c>
      <c r="DK167" s="1661">
        <f t="shared" si="1095"/>
        <v>2388828</v>
      </c>
      <c r="DL167" s="1661">
        <f t="shared" si="1095"/>
        <v>1661248</v>
      </c>
      <c r="DM167" s="1661">
        <f t="shared" si="1095"/>
        <v>1722346.1530200015</v>
      </c>
      <c r="DN167" s="1661">
        <f t="shared" si="1095"/>
        <v>2352972</v>
      </c>
      <c r="DO167" s="1661">
        <f t="shared" si="1095"/>
        <v>1884375</v>
      </c>
      <c r="DP167" s="1661">
        <f t="shared" si="1095"/>
        <v>2497386</v>
      </c>
      <c r="DQ167" s="1661">
        <f t="shared" ref="DQ167:DR167" si="1096">+DQ160-DQ165</f>
        <v>3078331.1180942068</v>
      </c>
      <c r="DR167" s="1661">
        <f t="shared" si="1096"/>
        <v>3110105.4014093727</v>
      </c>
      <c r="DS167" s="1661">
        <f t="shared" si="1095"/>
        <v>3804851.8186495937</v>
      </c>
      <c r="DT167" s="1661">
        <f t="shared" si="1095"/>
        <v>4165307.6045231931</v>
      </c>
      <c r="DU167" s="1661">
        <f t="shared" si="1095"/>
        <v>4541869.0279348837</v>
      </c>
      <c r="DV167" s="1661">
        <f t="shared" si="1095"/>
        <v>4942029.6804212974</v>
      </c>
      <c r="DY167" s="1661">
        <v>3333835.8859298625</v>
      </c>
      <c r="DZ167" s="1661">
        <v>3956709.7777693006</v>
      </c>
    </row>
    <row r="168" spans="1:130" s="359" customFormat="1">
      <c r="A168" s="1329" t="s">
        <v>236</v>
      </c>
      <c r="B168" s="643"/>
      <c r="C168" s="641"/>
      <c r="D168" s="641"/>
      <c r="E168" s="641"/>
      <c r="F168" s="641"/>
      <c r="G168" s="641"/>
      <c r="H168" s="641"/>
      <c r="I168" s="641"/>
      <c r="J168" s="641"/>
      <c r="K168" s="641"/>
      <c r="L168" s="641"/>
      <c r="M168" s="641"/>
      <c r="N168" s="121">
        <v>0.12987517731056131</v>
      </c>
      <c r="O168" s="121">
        <v>7.3994579316968151E-2</v>
      </c>
      <c r="P168" s="121">
        <v>0.14051827930370986</v>
      </c>
      <c r="Q168" s="121">
        <v>0.12600984424243344</v>
      </c>
      <c r="R168" s="121">
        <v>0.15970331814359456</v>
      </c>
      <c r="S168" s="121">
        <v>9.3749592444109409E-2</v>
      </c>
      <c r="T168" s="121">
        <v>0.13575667946791775</v>
      </c>
      <c r="U168" s="121">
        <v>7.7314858117648114E-2</v>
      </c>
      <c r="V168" s="121">
        <v>0.12833885668292716</v>
      </c>
      <c r="W168" s="121">
        <v>4.9896732101839522E-2</v>
      </c>
      <c r="X168" s="121">
        <v>0.15192020651413657</v>
      </c>
      <c r="Y168" s="121">
        <v>0.10061019456372115</v>
      </c>
      <c r="Z168" s="121">
        <v>0.19196244194769183</v>
      </c>
      <c r="AA168" s="121">
        <v>0.1054228772095601</v>
      </c>
      <c r="AB168" s="121">
        <v>0.20215591065875754</v>
      </c>
      <c r="AC168" s="121">
        <v>0.11325913422653586</v>
      </c>
      <c r="AD168" s="121">
        <v>0.17660605869305787</v>
      </c>
      <c r="AE168" s="121">
        <v>9.0255685165547314E-2</v>
      </c>
      <c r="AF168" s="121">
        <v>0.19672034928160095</v>
      </c>
      <c r="AG168" s="121">
        <v>0.10819600776774681</v>
      </c>
      <c r="AH168" s="121">
        <v>0.20725997243308852</v>
      </c>
      <c r="AI168" s="121">
        <v>6.8712966267710382E-2</v>
      </c>
      <c r="AJ168" s="121">
        <v>0.18493888342538142</v>
      </c>
      <c r="AK168" s="121">
        <v>0.13082065582750294</v>
      </c>
      <c r="AL168" s="121">
        <v>0.21912774458513323</v>
      </c>
      <c r="AM168" s="121">
        <v>5.83173141093472E-2</v>
      </c>
      <c r="AN168" s="121">
        <v>0.16913481059498334</v>
      </c>
      <c r="AO168" s="121">
        <v>0.12088634253592938</v>
      </c>
      <c r="AP168" s="121">
        <v>0.26297531647753786</v>
      </c>
      <c r="AQ168" s="733">
        <f t="shared" ref="AQ168:CH168" si="1097">AQ167/AQ$26</f>
        <v>0.14155813785006405</v>
      </c>
      <c r="AR168" s="733">
        <f t="shared" si="1097"/>
        <v>0.19649497939816513</v>
      </c>
      <c r="AS168" s="733">
        <f t="shared" si="1097"/>
        <v>0.16658041224353154</v>
      </c>
      <c r="AT168" s="733">
        <f t="shared" si="1097"/>
        <v>0.25428185233273887</v>
      </c>
      <c r="AU168" s="733">
        <f t="shared" si="1097"/>
        <v>0.16380778682512931</v>
      </c>
      <c r="AV168" s="733">
        <f t="shared" si="1097"/>
        <v>0.2038137201290548</v>
      </c>
      <c r="AW168" s="733">
        <f t="shared" si="1097"/>
        <v>0.1595728580428761</v>
      </c>
      <c r="AX168" s="733">
        <f t="shared" si="1097"/>
        <v>0.24214482349465927</v>
      </c>
      <c r="AY168" s="733">
        <f t="shared" si="1097"/>
        <v>0.14169824646916832</v>
      </c>
      <c r="AZ168" s="733">
        <f t="shared" si="1097"/>
        <v>0.20816045351363818</v>
      </c>
      <c r="BA168" s="733">
        <f t="shared" si="1097"/>
        <v>0.14853900426675631</v>
      </c>
      <c r="BB168" s="733">
        <f t="shared" si="1097"/>
        <v>0.25263667553849201</v>
      </c>
      <c r="BC168" s="733">
        <f t="shared" si="1097"/>
        <v>0.13421607498353735</v>
      </c>
      <c r="BD168" s="733">
        <f t="shared" si="1097"/>
        <v>0.20728708205088436</v>
      </c>
      <c r="BE168" s="733">
        <f t="shared" si="1097"/>
        <v>0.1687599932374281</v>
      </c>
      <c r="BF168" s="733">
        <f t="shared" si="1097"/>
        <v>0.24670751471360877</v>
      </c>
      <c r="BG168" s="733">
        <f t="shared" si="1097"/>
        <v>0.15369483843430357</v>
      </c>
      <c r="BH168" s="733">
        <f t="shared" si="1097"/>
        <v>0.21068542748194763</v>
      </c>
      <c r="BI168" s="733">
        <f t="shared" si="1097"/>
        <v>0.1661884393872653</v>
      </c>
      <c r="BJ168" s="733">
        <f t="shared" si="1097"/>
        <v>0.26268532148376417</v>
      </c>
      <c r="BK168" s="733">
        <f t="shared" si="1097"/>
        <v>0.20481767248008448</v>
      </c>
      <c r="BL168" s="733">
        <f t="shared" si="1097"/>
        <v>0.23313179209111329</v>
      </c>
      <c r="BM168" s="1222">
        <f t="shared" si="1097"/>
        <v>0.20759607414113412</v>
      </c>
      <c r="BN168" s="1222">
        <f t="shared" si="1097"/>
        <v>0.29677674897540113</v>
      </c>
      <c r="BO168" s="1222">
        <f t="shared" si="1097"/>
        <v>0.11525565778015529</v>
      </c>
      <c r="BP168" s="1222">
        <f t="shared" si="1097"/>
        <v>-0.15444783341125484</v>
      </c>
      <c r="BQ168" s="1222">
        <f t="shared" si="1097"/>
        <v>4.6782779593070319E-2</v>
      </c>
      <c r="BR168" s="1222">
        <f t="shared" si="1097"/>
        <v>0.2401539054933633</v>
      </c>
      <c r="BS168" s="1222">
        <f t="shared" si="1097"/>
        <v>1.9805311010412333E-2</v>
      </c>
      <c r="BT168" s="1222">
        <f t="shared" si="1097"/>
        <v>0.17245079193492494</v>
      </c>
      <c r="BU168" s="1222">
        <f t="shared" si="1097"/>
        <v>0.1646791062803161</v>
      </c>
      <c r="BV168" s="1222">
        <f t="shared" si="1097"/>
        <v>0.2034618557502266</v>
      </c>
      <c r="BW168" s="1222">
        <f t="shared" si="1097"/>
        <v>0.14109170065028107</v>
      </c>
      <c r="BX168" s="1222">
        <f t="shared" ref="BX168:CC168" si="1098">BX167/BX$26</f>
        <v>0.19214264973167139</v>
      </c>
      <c r="BY168" s="1222">
        <f t="shared" si="1098"/>
        <v>0.13776265628148163</v>
      </c>
      <c r="BZ168" s="1222">
        <f t="shared" si="1098"/>
        <v>0.2171832898869597</v>
      </c>
      <c r="CA168" s="1222">
        <f t="shared" si="1098"/>
        <v>7.7734523070004891E-2</v>
      </c>
      <c r="CB168" s="1222">
        <f t="shared" si="1098"/>
        <v>0.13459840991209399</v>
      </c>
      <c r="CC168" s="1222">
        <f t="shared" si="1098"/>
        <v>0.11057810284214632</v>
      </c>
      <c r="CD168" s="1222">
        <f t="shared" si="1097"/>
        <v>0.20005815453467241</v>
      </c>
      <c r="CE168" s="1222">
        <f t="shared" si="1097"/>
        <v>0.11124838347748078</v>
      </c>
      <c r="CF168" s="1222">
        <f t="shared" si="1097"/>
        <v>0.17607902076786358</v>
      </c>
      <c r="CG168" s="1222">
        <f t="shared" si="1097"/>
        <v>0.15887290079454147</v>
      </c>
      <c r="CH168" s="1222">
        <f t="shared" si="1097"/>
        <v>0.21989891313317092</v>
      </c>
      <c r="CI168" s="1222">
        <f t="shared" ref="CI168" si="1099">CI167/CI$26</f>
        <v>0.17355727080504033</v>
      </c>
      <c r="CJ168" s="1222">
        <f t="shared" ref="CJ168:CL168" si="1100">CJ167/CJ$26</f>
        <v>0.21152706399850657</v>
      </c>
      <c r="CK168" s="1222">
        <f t="shared" si="1100"/>
        <v>0.15918996978227976</v>
      </c>
      <c r="CL168" s="733">
        <f t="shared" si="1100"/>
        <v>0.22041701903567351</v>
      </c>
      <c r="CM168" s="733">
        <f t="shared" ref="CM168:CP168" si="1101">CM167/CM$26</f>
        <v>0.15395579536166534</v>
      </c>
      <c r="CN168" s="733">
        <f t="shared" si="1101"/>
        <v>0.18481037886598839</v>
      </c>
      <c r="CO168" s="733">
        <f t="shared" si="1101"/>
        <v>0.15507684512651049</v>
      </c>
      <c r="CP168" s="733">
        <f t="shared" si="1101"/>
        <v>0.22489444213199239</v>
      </c>
      <c r="CQ168" s="733"/>
      <c r="CR168" s="733"/>
      <c r="CS168" s="644"/>
      <c r="CT168" s="733">
        <v>0.22041701903567351</v>
      </c>
      <c r="CU168" s="1135">
        <f>+CK168-CT168</f>
        <v>-6.1227049253393756E-2</v>
      </c>
      <c r="CV168" s="121"/>
      <c r="CW168" s="121"/>
      <c r="CX168" s="121">
        <v>0.10843489268897978</v>
      </c>
      <c r="CY168" s="121">
        <v>0.10096830101476942</v>
      </c>
      <c r="CZ168" s="121">
        <v>8.0258852026639793E-2</v>
      </c>
      <c r="DA168" s="121">
        <v>0.12091812309159539</v>
      </c>
      <c r="DB168" s="121">
        <v>0.1557873442146861</v>
      </c>
      <c r="DC168" s="121">
        <v>0.15989796369280568</v>
      </c>
      <c r="DD168" s="121">
        <v>0.16160412020936116</v>
      </c>
      <c r="DE168" s="121">
        <v>0.16933746843865025</v>
      </c>
      <c r="DF168" s="733">
        <f t="shared" ref="DF168:DV168" si="1102">DF167/DF$26</f>
        <v>0</v>
      </c>
      <c r="DG168" s="1222">
        <f t="shared" si="1102"/>
        <v>0.19850788588748483</v>
      </c>
      <c r="DH168" s="1222">
        <f t="shared" si="1102"/>
        <v>0.19650054715279047</v>
      </c>
      <c r="DI168" s="1222">
        <f t="shared" si="1102"/>
        <v>0.19824953437560658</v>
      </c>
      <c r="DJ168" s="1222">
        <f t="shared" si="1102"/>
        <v>0.21044435670579423</v>
      </c>
      <c r="DK168" s="1222">
        <f t="shared" si="1102"/>
        <v>0.2491363295185649</v>
      </c>
      <c r="DL168" s="1222">
        <f t="shared" si="1102"/>
        <v>0.22040710186037749</v>
      </c>
      <c r="DM168" s="1222">
        <f t="shared" si="1102"/>
        <v>0.16292266985953388</v>
      </c>
      <c r="DN168" s="1222">
        <f t="shared" si="1102"/>
        <v>0.1772999555350834</v>
      </c>
      <c r="DO168" s="1222">
        <f t="shared" si="1102"/>
        <v>0.13807120814422844</v>
      </c>
      <c r="DP168" s="1222">
        <f t="shared" si="1102"/>
        <v>0.17299270467373853</v>
      </c>
      <c r="DQ168" s="1222">
        <f t="shared" ref="DQ168:DR168" si="1103">DQ167/DQ$26</f>
        <v>0.19462867708338205</v>
      </c>
      <c r="DR168" s="1222">
        <f t="shared" si="1103"/>
        <v>0.18423511821691238</v>
      </c>
      <c r="DS168" s="733">
        <f t="shared" si="1102"/>
        <v>0.20800775629281382</v>
      </c>
      <c r="DT168" s="733">
        <f t="shared" si="1102"/>
        <v>0.21316620786852222</v>
      </c>
      <c r="DU168" s="733">
        <f t="shared" si="1102"/>
        <v>0.21758789545780818</v>
      </c>
      <c r="DV168" s="733">
        <f t="shared" si="1102"/>
        <v>0.22164365380832265</v>
      </c>
      <c r="DY168" s="733">
        <v>0.19410650918421019</v>
      </c>
      <c r="DZ168" s="733">
        <v>0.21345541977443563</v>
      </c>
    </row>
    <row r="169" spans="1:130" s="359" customFormat="1">
      <c r="A169" s="1331" t="s">
        <v>231</v>
      </c>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c r="AA169" s="91"/>
      <c r="AB169" s="91"/>
      <c r="AC169" s="91"/>
      <c r="AD169" s="91"/>
      <c r="AE169" s="91"/>
      <c r="AF169" s="91"/>
      <c r="AG169" s="91"/>
      <c r="AH169" s="91"/>
      <c r="AI169" s="93"/>
      <c r="AJ169" s="93"/>
      <c r="AK169" s="93"/>
      <c r="AL169" s="93"/>
      <c r="AM169" s="93"/>
      <c r="AN169" s="93">
        <v>-9.4076869945851072E-3</v>
      </c>
      <c r="AO169" s="93">
        <v>-1.2192860385231347E-2</v>
      </c>
      <c r="AP169" s="93">
        <v>4.2488818238968801E-2</v>
      </c>
      <c r="AQ169" s="1164">
        <f t="shared" ref="AQ169:CI169" si="1104">+AQ168-AM168</f>
        <v>8.3240823740716841E-2</v>
      </c>
      <c r="AR169" s="1164">
        <f t="shared" si="1104"/>
        <v>2.7360168803181789E-2</v>
      </c>
      <c r="AS169" s="1164">
        <f t="shared" si="1104"/>
        <v>4.5694069707602161E-2</v>
      </c>
      <c r="AT169" s="1164">
        <f t="shared" si="1104"/>
        <v>-8.6934641447989902E-3</v>
      </c>
      <c r="AU169" s="1164">
        <f t="shared" si="1104"/>
        <v>2.2249648975065262E-2</v>
      </c>
      <c r="AV169" s="1164">
        <f t="shared" si="1104"/>
        <v>7.3187407308896724E-3</v>
      </c>
      <c r="AW169" s="1164">
        <f t="shared" si="1104"/>
        <v>-7.0075542006554359E-3</v>
      </c>
      <c r="AX169" s="1164">
        <f t="shared" si="1104"/>
        <v>-1.21370288380796E-2</v>
      </c>
      <c r="AY169" s="1164">
        <f t="shared" si="1104"/>
        <v>-2.2109540355960994E-2</v>
      </c>
      <c r="AZ169" s="1164">
        <f t="shared" si="1104"/>
        <v>4.3467333845833844E-3</v>
      </c>
      <c r="BA169" s="1164">
        <f t="shared" si="1104"/>
        <v>-1.103385377611979E-2</v>
      </c>
      <c r="BB169" s="1164">
        <f t="shared" si="1104"/>
        <v>1.0491852043832739E-2</v>
      </c>
      <c r="BC169" s="1164">
        <f t="shared" si="1104"/>
        <v>-7.4821714856309618E-3</v>
      </c>
      <c r="BD169" s="1164">
        <f t="shared" si="1104"/>
        <v>-8.7337146275381916E-4</v>
      </c>
      <c r="BE169" s="1164">
        <f t="shared" si="1104"/>
        <v>2.0220988970671788E-2</v>
      </c>
      <c r="BF169" s="1164">
        <f t="shared" si="1104"/>
        <v>-5.9291608248832339E-3</v>
      </c>
      <c r="BG169" s="1164">
        <f t="shared" si="1104"/>
        <v>1.9478763450766212E-2</v>
      </c>
      <c r="BH169" s="1164">
        <f t="shared" si="1104"/>
        <v>3.3983454310632655E-3</v>
      </c>
      <c r="BI169" s="1164">
        <f t="shared" si="1104"/>
        <v>-2.5715538501628055E-3</v>
      </c>
      <c r="BJ169" s="1164">
        <f t="shared" si="1104"/>
        <v>1.5977806770155395E-2</v>
      </c>
      <c r="BK169" s="1164">
        <f t="shared" si="1104"/>
        <v>5.1122834045780913E-2</v>
      </c>
      <c r="BL169" s="1164">
        <f t="shared" si="1104"/>
        <v>2.2446364609165659E-2</v>
      </c>
      <c r="BM169" s="1223">
        <f t="shared" si="1104"/>
        <v>4.1407634753868827E-2</v>
      </c>
      <c r="BN169" s="1223">
        <f t="shared" si="1104"/>
        <v>3.4091427491636961E-2</v>
      </c>
      <c r="BO169" s="1223">
        <f t="shared" si="1104"/>
        <v>-8.9562014699929193E-2</v>
      </c>
      <c r="BP169" s="1223">
        <f t="shared" si="1104"/>
        <v>-0.38757962550236813</v>
      </c>
      <c r="BQ169" s="1223">
        <f t="shared" si="1104"/>
        <v>-0.16081329454806381</v>
      </c>
      <c r="BR169" s="1223">
        <f t="shared" si="1104"/>
        <v>-5.6622843482037832E-2</v>
      </c>
      <c r="BS169" s="1223">
        <f t="shared" si="1104"/>
        <v>-9.5450346769742955E-2</v>
      </c>
      <c r="BT169" s="1223">
        <f t="shared" si="1104"/>
        <v>0.32689862534617975</v>
      </c>
      <c r="BU169" s="1223">
        <f t="shared" si="1104"/>
        <v>0.11789632668724578</v>
      </c>
      <c r="BV169" s="1223">
        <f t="shared" si="1104"/>
        <v>-3.6692049743136695E-2</v>
      </c>
      <c r="BW169" s="1223">
        <f t="shared" si="1104"/>
        <v>0.12128638963986874</v>
      </c>
      <c r="BX169" s="1223">
        <f t="shared" si="1104"/>
        <v>1.9691857796746454E-2</v>
      </c>
      <c r="BY169" s="1223">
        <f t="shared" si="1104"/>
        <v>-2.6916449998834469E-2</v>
      </c>
      <c r="BZ169" s="1223">
        <f t="shared" si="1104"/>
        <v>1.3721434136733102E-2</v>
      </c>
      <c r="CA169" s="1223">
        <f t="shared" si="1104"/>
        <v>-6.3357177580276175E-2</v>
      </c>
      <c r="CB169" s="1223">
        <f t="shared" si="1104"/>
        <v>-5.7544239819577403E-2</v>
      </c>
      <c r="CC169" s="1223">
        <f t="shared" si="1104"/>
        <v>-2.7184553439335304E-2</v>
      </c>
      <c r="CD169" s="1223">
        <f t="shared" si="1104"/>
        <v>-1.7125135352287296E-2</v>
      </c>
      <c r="CE169" s="1223">
        <f t="shared" si="1104"/>
        <v>3.3513860407475893E-2</v>
      </c>
      <c r="CF169" s="1223">
        <f t="shared" si="1104"/>
        <v>4.1480610855769595E-2</v>
      </c>
      <c r="CG169" s="1223">
        <f t="shared" si="1104"/>
        <v>4.8294797952395149E-2</v>
      </c>
      <c r="CH169" s="1223">
        <f t="shared" si="1104"/>
        <v>1.9840758598498515E-2</v>
      </c>
      <c r="CI169" s="1223">
        <f t="shared" si="1104"/>
        <v>6.2308887327559542E-2</v>
      </c>
      <c r="CJ169" s="1223">
        <f t="shared" ref="CJ169" si="1105">+CJ168-CF168</f>
        <v>3.5448043230642989E-2</v>
      </c>
      <c r="CK169" s="1223">
        <f t="shared" ref="CK169" si="1106">+CK168-CG168</f>
        <v>3.1706898773828374E-4</v>
      </c>
      <c r="CL169" s="1164">
        <f t="shared" ref="CL169" si="1107">+CL168-CH168</f>
        <v>5.1810590250259136E-4</v>
      </c>
      <c r="CM169" s="1164">
        <f t="shared" ref="CM169" si="1108">+CM168-CI168</f>
        <v>-1.9601475443374983E-2</v>
      </c>
      <c r="CN169" s="1164">
        <f t="shared" ref="CN169" si="1109">+CN168-CJ168</f>
        <v>-2.6716685132518181E-2</v>
      </c>
      <c r="CO169" s="1164">
        <f t="shared" ref="CO169" si="1110">+CO168-CK168</f>
        <v>-4.113124655769268E-3</v>
      </c>
      <c r="CP169" s="1164">
        <f t="shared" ref="CP169" si="1111">+CP168-CL168</f>
        <v>4.4774230963188777E-3</v>
      </c>
      <c r="CQ169" s="1164"/>
      <c r="CR169" s="1164"/>
      <c r="CS169" s="556"/>
      <c r="CT169" s="1164">
        <v>5.1810590250259136E-4</v>
      </c>
      <c r="CU169" s="1110"/>
      <c r="CV169" s="118">
        <v>5.9298346410792992E-2</v>
      </c>
      <c r="CW169" s="118">
        <v>0.12627856600960963</v>
      </c>
      <c r="CX169" s="118">
        <v>0.12981064994468527</v>
      </c>
      <c r="CY169" s="118">
        <v>0.1325132487354598</v>
      </c>
      <c r="CZ169" s="118">
        <v>0.12498677283215308</v>
      </c>
      <c r="DA169" s="118">
        <v>0.15312731106586994</v>
      </c>
      <c r="DB169" s="118">
        <v>0.18343765833205516</v>
      </c>
      <c r="DC169" s="118">
        <v>0.18390652336761421</v>
      </c>
      <c r="DD169" s="118">
        <v>0.18489644552192513</v>
      </c>
      <c r="DE169" s="118">
        <v>0.19142697366042602</v>
      </c>
      <c r="DF169" s="118"/>
      <c r="DG169" s="1240">
        <f t="shared" ref="DG169:DV169" si="1112">+DG168-DF168</f>
        <v>0.19850788588748483</v>
      </c>
      <c r="DH169" s="1240">
        <f t="shared" si="1112"/>
        <v>-2.0073387346943583E-3</v>
      </c>
      <c r="DI169" s="1240">
        <f t="shared" si="1112"/>
        <v>1.7489872228161063E-3</v>
      </c>
      <c r="DJ169" s="1240">
        <f t="shared" si="1112"/>
        <v>1.2194822330187649E-2</v>
      </c>
      <c r="DK169" s="1240">
        <f t="shared" si="1112"/>
        <v>3.8691972812770675E-2</v>
      </c>
      <c r="DL169" s="1240">
        <f t="shared" si="1112"/>
        <v>-2.8729227658187417E-2</v>
      </c>
      <c r="DM169" s="1240">
        <f t="shared" si="1112"/>
        <v>-5.7484432000843605E-2</v>
      </c>
      <c r="DN169" s="1240">
        <f t="shared" si="1112"/>
        <v>1.4377285675549523E-2</v>
      </c>
      <c r="DO169" s="1240">
        <f t="shared" si="1112"/>
        <v>-3.9228747390854968E-2</v>
      </c>
      <c r="DP169" s="1240">
        <f t="shared" si="1112"/>
        <v>3.4921496529510099E-2</v>
      </c>
      <c r="DQ169" s="1240">
        <f t="shared" si="1112"/>
        <v>2.1635972409643517E-2</v>
      </c>
      <c r="DR169" s="1240">
        <f t="shared" si="1112"/>
        <v>-1.0393558866469671E-2</v>
      </c>
      <c r="DS169" s="401">
        <f t="shared" si="1112"/>
        <v>2.3772638075901437E-2</v>
      </c>
      <c r="DT169" s="401">
        <f t="shared" si="1112"/>
        <v>5.158451575708406E-3</v>
      </c>
      <c r="DU169" s="401">
        <f t="shared" si="1112"/>
        <v>4.4216875892859608E-3</v>
      </c>
      <c r="DV169" s="401">
        <f t="shared" si="1112"/>
        <v>4.0557583505144712E-3</v>
      </c>
      <c r="DY169" s="401">
        <v>-5.3052016009995373E-3</v>
      </c>
      <c r="DZ169" s="401">
        <v>1.9348910590225449E-2</v>
      </c>
    </row>
    <row r="170" spans="1:130" s="302" customFormat="1">
      <c r="A170" s="360"/>
      <c r="B170" s="361"/>
      <c r="C170" s="361"/>
      <c r="D170" s="361"/>
      <c r="E170" s="361"/>
      <c r="F170" s="361"/>
      <c r="G170" s="361"/>
      <c r="H170" s="361"/>
      <c r="I170" s="361"/>
      <c r="J170" s="361"/>
      <c r="K170" s="361"/>
      <c r="L170" s="361"/>
      <c r="M170" s="361"/>
      <c r="N170" s="361"/>
      <c r="O170" s="361"/>
      <c r="P170" s="361"/>
      <c r="Q170" s="361"/>
      <c r="R170" s="361"/>
      <c r="S170" s="361"/>
      <c r="T170" s="361"/>
      <c r="U170" s="361"/>
      <c r="V170" s="361"/>
      <c r="W170" s="361"/>
      <c r="X170" s="361"/>
      <c r="Y170" s="361"/>
      <c r="Z170" s="361"/>
      <c r="AA170" s="361"/>
      <c r="AB170" s="361"/>
      <c r="AC170" s="361"/>
      <c r="AD170" s="361"/>
      <c r="AE170" s="361"/>
      <c r="AF170" s="361"/>
      <c r="AG170" s="361"/>
      <c r="AH170" s="361"/>
      <c r="AI170" s="361"/>
      <c r="AJ170" s="361"/>
      <c r="AK170" s="361"/>
      <c r="AL170" s="361"/>
      <c r="AM170" s="361"/>
      <c r="AN170" s="361"/>
      <c r="AO170" s="361"/>
      <c r="AP170" s="361"/>
      <c r="AQ170" s="361"/>
      <c r="AR170" s="361"/>
      <c r="AS170" s="362"/>
      <c r="AT170" s="361"/>
      <c r="AU170" s="361"/>
      <c r="AV170" s="361"/>
      <c r="AW170" s="361"/>
      <c r="AX170" s="361"/>
      <c r="AY170" s="361"/>
      <c r="AZ170" s="361"/>
      <c r="BA170" s="361"/>
      <c r="BB170" s="361"/>
      <c r="BC170" s="361"/>
      <c r="BD170" s="361"/>
      <c r="BE170" s="361"/>
      <c r="BF170" s="361"/>
      <c r="BG170" s="361"/>
      <c r="BH170" s="361"/>
      <c r="BI170" s="361"/>
      <c r="BJ170" s="361"/>
      <c r="BK170" s="361"/>
      <c r="BL170" s="361"/>
      <c r="BM170" s="1224"/>
      <c r="BN170" s="1224"/>
      <c r="BO170" s="1224"/>
      <c r="BP170" s="1224"/>
      <c r="BQ170" s="1224"/>
      <c r="BR170" s="1224"/>
      <c r="BS170" s="1224"/>
      <c r="BT170" s="1224"/>
      <c r="BU170" s="1224"/>
      <c r="BV170" s="1224"/>
      <c r="BW170" s="1224"/>
      <c r="BX170" s="1224"/>
      <c r="BY170" s="1224"/>
      <c r="BZ170" s="1224"/>
      <c r="CA170" s="1224"/>
      <c r="CB170" s="1224"/>
      <c r="CC170" s="1224"/>
      <c r="CD170" s="1224"/>
      <c r="CE170" s="1224"/>
      <c r="CF170" s="1224"/>
      <c r="CG170" s="1224"/>
      <c r="CH170" s="1224"/>
      <c r="CI170" s="1224"/>
      <c r="CJ170" s="1224"/>
      <c r="CK170" s="1224"/>
      <c r="CL170" s="375"/>
      <c r="CM170" s="375"/>
      <c r="CN170" s="375"/>
      <c r="CO170" s="375"/>
      <c r="CP170" s="375"/>
      <c r="CQ170" s="375"/>
      <c r="CR170" s="375"/>
      <c r="CS170" s="375"/>
      <c r="CT170" s="375"/>
      <c r="CU170" s="698"/>
      <c r="CV170" s="363"/>
      <c r="CW170" s="363"/>
      <c r="CX170" s="363"/>
      <c r="CY170" s="363"/>
      <c r="CZ170" s="363"/>
      <c r="DA170" s="363"/>
      <c r="DB170" s="363"/>
      <c r="DC170" s="363"/>
      <c r="DD170" s="363"/>
      <c r="DE170" s="364"/>
      <c r="DF170" s="364"/>
      <c r="DG170" s="1241"/>
      <c r="DH170" s="1241"/>
      <c r="DI170" s="1241"/>
      <c r="DJ170" s="1241"/>
      <c r="DK170" s="1241"/>
      <c r="DL170" s="1241"/>
      <c r="DM170" s="1241"/>
      <c r="DN170" s="1240">
        <f>+DN171/DK171-1</f>
        <v>0.19233297096691571</v>
      </c>
      <c r="DO170" s="1240">
        <f>+DO171/DK171-1</f>
        <v>0.10120831365261096</v>
      </c>
      <c r="DP170" s="1240">
        <f>+DP171/DL171-1</f>
        <v>0.56967399342790026</v>
      </c>
      <c r="DQ170" s="1240">
        <f>+DQ171/DM171-1</f>
        <v>0.82552787850854004</v>
      </c>
      <c r="DR170" s="1240">
        <f>+DR171/DN171-1</f>
        <v>0.25143793497920375</v>
      </c>
      <c r="DS170" s="402"/>
      <c r="DT170" s="402"/>
      <c r="DU170" s="402"/>
      <c r="DV170" s="402"/>
      <c r="DY170" s="402"/>
      <c r="DZ170" s="402"/>
    </row>
    <row r="171" spans="1:130" s="668" customFormat="1">
      <c r="A171" s="1304" t="s">
        <v>239</v>
      </c>
      <c r="B171" s="1305"/>
      <c r="C171" s="1305"/>
      <c r="D171" s="1305"/>
      <c r="E171" s="1305"/>
      <c r="F171" s="1305"/>
      <c r="G171" s="1305"/>
      <c r="H171" s="1305"/>
      <c r="I171" s="1305"/>
      <c r="J171" s="1305"/>
      <c r="K171" s="1305"/>
      <c r="L171" s="1305"/>
      <c r="M171" s="1305"/>
      <c r="N171" s="1305">
        <v>65831</v>
      </c>
      <c r="O171" s="1305">
        <v>22960</v>
      </c>
      <c r="P171" s="1305">
        <v>62440</v>
      </c>
      <c r="Q171" s="1305">
        <v>49819</v>
      </c>
      <c r="R171" s="1305">
        <v>96097</v>
      </c>
      <c r="S171" s="1305">
        <v>35942</v>
      </c>
      <c r="T171" s="1305">
        <v>69215</v>
      </c>
      <c r="U171" s="1305">
        <v>34717</v>
      </c>
      <c r="V171" s="1305">
        <v>78769</v>
      </c>
      <c r="W171" s="1305">
        <v>18095</v>
      </c>
      <c r="X171" s="1305">
        <v>84275</v>
      </c>
      <c r="Y171" s="1305">
        <v>48970</v>
      </c>
      <c r="Z171" s="1305">
        <v>136650</v>
      </c>
      <c r="AA171" s="1305">
        <v>46412</v>
      </c>
      <c r="AB171" s="1305">
        <v>127356</v>
      </c>
      <c r="AC171" s="1305">
        <v>64415</v>
      </c>
      <c r="AD171" s="1305">
        <v>145472</v>
      </c>
      <c r="AE171" s="1305">
        <v>46726</v>
      </c>
      <c r="AF171" s="1305">
        <v>147472</v>
      </c>
      <c r="AG171" s="1305">
        <v>71093</v>
      </c>
      <c r="AH171" s="1305">
        <v>201494</v>
      </c>
      <c r="AI171" s="1305">
        <v>42547</v>
      </c>
      <c r="AJ171" s="1305">
        <v>158154</v>
      </c>
      <c r="AK171" s="1305">
        <v>105083</v>
      </c>
      <c r="AL171" s="1305">
        <v>259520</v>
      </c>
      <c r="AM171" s="1305">
        <v>42381</v>
      </c>
      <c r="AN171" s="1305">
        <v>160205</v>
      </c>
      <c r="AO171" s="1305">
        <v>109634</v>
      </c>
      <c r="AP171" s="1305">
        <v>350534</v>
      </c>
      <c r="AQ171" s="1306">
        <f t="shared" ref="AQ171:CH171" si="1113">+AQ160-AQ181</f>
        <v>73660.290000000037</v>
      </c>
      <c r="AR171" s="1306">
        <f t="shared" si="1113"/>
        <v>196080</v>
      </c>
      <c r="AS171" s="1306">
        <f t="shared" si="1113"/>
        <v>142641</v>
      </c>
      <c r="AT171" s="1306">
        <f t="shared" si="1113"/>
        <v>423524.96599999996</v>
      </c>
      <c r="AU171" s="1306">
        <f t="shared" si="1113"/>
        <v>130732.53941000011</v>
      </c>
      <c r="AV171" s="1306">
        <f t="shared" si="1113"/>
        <v>272135.03842999996</v>
      </c>
      <c r="AW171" s="1306">
        <f t="shared" si="1113"/>
        <v>182667.00000000003</v>
      </c>
      <c r="AX171" s="1306">
        <f t="shared" si="1113"/>
        <v>453267.99999999994</v>
      </c>
      <c r="AY171" s="1306">
        <f t="shared" si="1113"/>
        <v>117019.99999999999</v>
      </c>
      <c r="AZ171" s="1306">
        <f t="shared" si="1113"/>
        <v>301772</v>
      </c>
      <c r="BA171" s="1306">
        <f t="shared" si="1113"/>
        <v>164173</v>
      </c>
      <c r="BB171" s="1306">
        <f t="shared" si="1113"/>
        <v>504874</v>
      </c>
      <c r="BC171" s="1306">
        <f t="shared" si="1113"/>
        <v>111383.00000000001</v>
      </c>
      <c r="BD171" s="1306">
        <f t="shared" si="1113"/>
        <v>303746</v>
      </c>
      <c r="BE171" s="1306">
        <f t="shared" si="1113"/>
        <v>201416</v>
      </c>
      <c r="BF171" s="1306">
        <f t="shared" si="1113"/>
        <v>527691</v>
      </c>
      <c r="BG171" s="1306">
        <f t="shared" si="1113"/>
        <v>146724</v>
      </c>
      <c r="BH171" s="1306">
        <f t="shared" si="1113"/>
        <v>352879.99999999994</v>
      </c>
      <c r="BI171" s="1306">
        <f t="shared" si="1113"/>
        <v>260342.64325999987</v>
      </c>
      <c r="BJ171" s="1306">
        <f t="shared" si="1113"/>
        <v>663940.48546999961</v>
      </c>
      <c r="BK171" s="1306">
        <f t="shared" si="1113"/>
        <v>317934.77510999993</v>
      </c>
      <c r="BL171" s="1306">
        <f t="shared" si="1113"/>
        <v>453100.92894999997</v>
      </c>
      <c r="BM171" s="1306">
        <f t="shared" si="1113"/>
        <v>361103</v>
      </c>
      <c r="BN171" s="1306">
        <f>+BN160-BN181</f>
        <v>865205.89513257018</v>
      </c>
      <c r="BO171" s="1306">
        <f t="shared" si="1113"/>
        <v>198056</v>
      </c>
      <c r="BP171" s="1306">
        <f t="shared" si="1113"/>
        <v>565258.23885000008</v>
      </c>
      <c r="BQ171" s="1306">
        <f t="shared" si="1113"/>
        <v>138506.01373000001</v>
      </c>
      <c r="BR171" s="1306">
        <f t="shared" si="1113"/>
        <v>677623</v>
      </c>
      <c r="BS171" s="1306">
        <f t="shared" si="1113"/>
        <v>-37618</v>
      </c>
      <c r="BT171" s="1306">
        <f t="shared" si="1113"/>
        <v>425659.92</v>
      </c>
      <c r="BU171" s="1306">
        <f t="shared" si="1113"/>
        <v>363709.1594700024</v>
      </c>
      <c r="BV171" s="1306">
        <f t="shared" si="1113"/>
        <v>724033.92354999913</v>
      </c>
      <c r="BW171" s="1306">
        <f t="shared" si="1113"/>
        <v>298034.88</v>
      </c>
      <c r="BX171" s="1306">
        <f t="shared" si="1113"/>
        <v>689682</v>
      </c>
      <c r="BY171" s="1306">
        <f t="shared" si="1113"/>
        <v>440502.94000000006</v>
      </c>
      <c r="BZ171" s="1306">
        <f t="shared" si="1113"/>
        <v>953280.00000000012</v>
      </c>
      <c r="CA171" s="1306">
        <f t="shared" si="1113"/>
        <v>262101.06774000006</v>
      </c>
      <c r="CB171" s="1306">
        <f t="shared" si="1113"/>
        <v>535291.13140000007</v>
      </c>
      <c r="CC171" s="1306">
        <f t="shared" si="1113"/>
        <v>397629.71334000002</v>
      </c>
      <c r="CD171" s="1306">
        <f t="shared" ref="CD171" si="1114">+CD160-CD181</f>
        <v>1004470.56538</v>
      </c>
      <c r="CE171" s="1306">
        <f>+CE160-CE181</f>
        <v>364503</v>
      </c>
      <c r="CF171" s="1306">
        <f t="shared" si="1113"/>
        <v>635724</v>
      </c>
      <c r="CG171" s="1306">
        <f t="shared" si="1113"/>
        <v>518444.99767000013</v>
      </c>
      <c r="CH171" s="1306">
        <f t="shared" si="1113"/>
        <v>960539</v>
      </c>
      <c r="CI171" s="1306">
        <f t="shared" ref="CI171" si="1115">+CI160-CI181</f>
        <v>394696.46090000012</v>
      </c>
      <c r="CJ171" s="1306">
        <f t="shared" ref="CJ171:CL171" si="1116">+CJ160-CJ181</f>
        <v>772479.16562999994</v>
      </c>
      <c r="CK171" s="1306">
        <f t="shared" si="1116"/>
        <v>514096.02885000006</v>
      </c>
      <c r="CL171" s="1307">
        <f t="shared" si="1116"/>
        <v>1012815.0103178226</v>
      </c>
      <c r="CM171" s="1307">
        <f t="shared" ref="CM171:CP171" si="1117">+CM160-CM181</f>
        <v>439601.51944148261</v>
      </c>
      <c r="CN171" s="1307">
        <f t="shared" si="1117"/>
        <v>850413.06000601314</v>
      </c>
      <c r="CO171" s="1307">
        <f t="shared" si="1117"/>
        <v>572524.49120466888</v>
      </c>
      <c r="CP171" s="1307">
        <f t="shared" si="1117"/>
        <v>1117760.1462419811</v>
      </c>
      <c r="CQ171" s="1307"/>
      <c r="CR171" s="1307"/>
      <c r="CS171" s="1307"/>
      <c r="CT171" s="1307">
        <v>1012815.0103178226</v>
      </c>
      <c r="CU171" s="1134">
        <f>+CK171/CT171-1</f>
        <v>-0.49240875815152452</v>
      </c>
      <c r="CV171" s="1305">
        <v>77871</v>
      </c>
      <c r="CW171" s="1305">
        <v>193587</v>
      </c>
      <c r="CX171" s="1305">
        <v>155724</v>
      </c>
      <c r="CY171" s="1305">
        <v>176869</v>
      </c>
      <c r="CZ171" s="1305">
        <v>156988</v>
      </c>
      <c r="DA171" s="1305">
        <v>255859</v>
      </c>
      <c r="DB171" s="1305">
        <v>383655</v>
      </c>
      <c r="DC171" s="1305">
        <v>463163</v>
      </c>
      <c r="DD171" s="1305">
        <v>559467</v>
      </c>
      <c r="DE171" s="1305">
        <v>662754</v>
      </c>
      <c r="DF171" s="1305">
        <f>+SUM(AQ171:AT171)</f>
        <v>835906.25600000005</v>
      </c>
      <c r="DG171" s="674">
        <f>+SUM(AU171:AX171)</f>
        <v>1038802.5778399999</v>
      </c>
      <c r="DH171" s="1306">
        <f>+SUM(AY171:BB171)</f>
        <v>1087839</v>
      </c>
      <c r="DI171" s="1306">
        <f>+SUM(BC171:BF171)</f>
        <v>1144236</v>
      </c>
      <c r="DJ171" s="1306">
        <f>+SUM(BG171:BJ171)</f>
        <v>1423887.1287299995</v>
      </c>
      <c r="DK171" s="1306">
        <f>+SUM(BK171:BN171)</f>
        <v>1997344.59919257</v>
      </c>
      <c r="DL171" s="1306">
        <f>+SUM(BO171:BR171)</f>
        <v>1579443.2525800001</v>
      </c>
      <c r="DM171" s="674">
        <f>+SUM(BS171:BV171)</f>
        <v>1475785.0030200016</v>
      </c>
      <c r="DN171" s="674">
        <f>+SUM(BW171:BZ171)</f>
        <v>2381499.8200000003</v>
      </c>
      <c r="DO171" s="674">
        <f>+SUM(CA171:CD171)</f>
        <v>2199492.47786</v>
      </c>
      <c r="DP171" s="674">
        <f>+SUM(CE171:CH171)</f>
        <v>2479210.9976700004</v>
      </c>
      <c r="DQ171" s="674">
        <f>+SUM(CI171:CL171)</f>
        <v>2694086.6656978228</v>
      </c>
      <c r="DR171" s="674">
        <f>+SUM(CM171:CP171)</f>
        <v>2980299.2168941456</v>
      </c>
      <c r="DS171" s="1307">
        <f t="shared" ref="DS171:DV171" si="1118">+DS160-DS181</f>
        <v>3471330.4370545121</v>
      </c>
      <c r="DT171" s="1307">
        <f t="shared" si="1118"/>
        <v>3812068.626773024</v>
      </c>
      <c r="DU171" s="1307">
        <f t="shared" si="1118"/>
        <v>4177134.2581427605</v>
      </c>
      <c r="DV171" s="1307">
        <f t="shared" si="1118"/>
        <v>4568229.7476997254</v>
      </c>
      <c r="DY171" s="1307">
        <v>3217757.9444705835</v>
      </c>
      <c r="DZ171" s="1307">
        <v>3803392.6748804338</v>
      </c>
    </row>
    <row r="172" spans="1:130" s="359" customFormat="1">
      <c r="A172" s="1329" t="s">
        <v>240</v>
      </c>
      <c r="B172" s="643"/>
      <c r="C172" s="641"/>
      <c r="D172" s="641"/>
      <c r="E172" s="641"/>
      <c r="F172" s="641"/>
      <c r="G172" s="641"/>
      <c r="H172" s="641"/>
      <c r="I172" s="641"/>
      <c r="J172" s="641"/>
      <c r="K172" s="641"/>
      <c r="L172" s="641"/>
      <c r="M172" s="641"/>
      <c r="N172" s="121">
        <v>0.12987517731056131</v>
      </c>
      <c r="O172" s="121">
        <v>7.3994579316968151E-2</v>
      </c>
      <c r="P172" s="121">
        <v>0.14051827930370986</v>
      </c>
      <c r="Q172" s="121">
        <v>0.12600984424243344</v>
      </c>
      <c r="R172" s="121">
        <v>0.15970331814359456</v>
      </c>
      <c r="S172" s="121">
        <v>9.3749592444109409E-2</v>
      </c>
      <c r="T172" s="121">
        <v>0.13575667946791775</v>
      </c>
      <c r="U172" s="121">
        <v>7.7314858117648114E-2</v>
      </c>
      <c r="V172" s="121">
        <v>0.12833885668292716</v>
      </c>
      <c r="W172" s="121">
        <v>4.9896732101839522E-2</v>
      </c>
      <c r="X172" s="121">
        <v>0.15192020651413657</v>
      </c>
      <c r="Y172" s="121">
        <v>0.10061019456372115</v>
      </c>
      <c r="Z172" s="121">
        <v>0.19196244194769183</v>
      </c>
      <c r="AA172" s="121">
        <v>0.1054228772095601</v>
      </c>
      <c r="AB172" s="121">
        <v>0.20215591065875754</v>
      </c>
      <c r="AC172" s="121">
        <v>0.11325913422653586</v>
      </c>
      <c r="AD172" s="121">
        <v>0.17660605869305787</v>
      </c>
      <c r="AE172" s="121">
        <v>9.0255685165547314E-2</v>
      </c>
      <c r="AF172" s="121">
        <v>0.19672034928160095</v>
      </c>
      <c r="AG172" s="121">
        <v>0.10819600776774681</v>
      </c>
      <c r="AH172" s="121">
        <v>0.20725997243308852</v>
      </c>
      <c r="AI172" s="121">
        <v>6.8712966267710382E-2</v>
      </c>
      <c r="AJ172" s="121">
        <v>0.18493888342538142</v>
      </c>
      <c r="AK172" s="121">
        <v>0.13082065582750294</v>
      </c>
      <c r="AL172" s="121">
        <v>0.21912774458513323</v>
      </c>
      <c r="AM172" s="121">
        <v>5.83173141093472E-2</v>
      </c>
      <c r="AN172" s="121">
        <v>0.16913481059498334</v>
      </c>
      <c r="AO172" s="121">
        <v>0.12088634253592938</v>
      </c>
      <c r="AP172" s="121">
        <v>0.26297531647753786</v>
      </c>
      <c r="AQ172" s="733">
        <f>AQ171/AQ$30</f>
        <v>9.0434429771790906E-2</v>
      </c>
      <c r="AR172" s="733">
        <f t="shared" ref="AR172:BY172" si="1119">AR171/AR$30</f>
        <v>0.17645820096868425</v>
      </c>
      <c r="AS172" s="733">
        <f t="shared" si="1119"/>
        <v>0.13622598226897184</v>
      </c>
      <c r="AT172" s="733">
        <f t="shared" si="1119"/>
        <v>0.25363707662023216</v>
      </c>
      <c r="AU172" s="733">
        <f t="shared" si="1119"/>
        <v>0.12932355923216568</v>
      </c>
      <c r="AV172" s="733">
        <f t="shared" si="1119"/>
        <v>0.20095245433923137</v>
      </c>
      <c r="AW172" s="733">
        <f t="shared" si="1119"/>
        <v>0.146324993090963</v>
      </c>
      <c r="AX172" s="733">
        <f t="shared" si="1119"/>
        <v>0.24669445281996072</v>
      </c>
      <c r="AY172" s="733">
        <f t="shared" si="1119"/>
        <v>0.10873969007980314</v>
      </c>
      <c r="AZ172" s="733">
        <f t="shared" si="1119"/>
        <v>0.20603159171099919</v>
      </c>
      <c r="BA172" s="733">
        <f t="shared" si="1119"/>
        <v>0.1302528208895779</v>
      </c>
      <c r="BB172" s="733">
        <f t="shared" si="1119"/>
        <v>0.26288620070564811</v>
      </c>
      <c r="BC172" s="733">
        <f t="shared" si="1119"/>
        <v>9.0211746487360342E-2</v>
      </c>
      <c r="BD172" s="733">
        <f t="shared" si="1119"/>
        <v>0.18629512234614121</v>
      </c>
      <c r="BE172" s="733">
        <f t="shared" si="1119"/>
        <v>0.1331607361736056</v>
      </c>
      <c r="BF172" s="733">
        <f t="shared" si="1119"/>
        <v>0.23744676255593727</v>
      </c>
      <c r="BG172" s="733">
        <f t="shared" si="1119"/>
        <v>0.1048913404807913</v>
      </c>
      <c r="BH172" s="733">
        <f t="shared" si="1119"/>
        <v>0.19824373845174603</v>
      </c>
      <c r="BI172" s="733">
        <f t="shared" si="1119"/>
        <v>0.15211719300644294</v>
      </c>
      <c r="BJ172" s="733">
        <f t="shared" si="1119"/>
        <v>0.25584172361453511</v>
      </c>
      <c r="BK172" s="733">
        <f t="shared" si="1119"/>
        <v>0.19264839551558252</v>
      </c>
      <c r="BL172" s="733">
        <f t="shared" si="1119"/>
        <v>0.22437692520058194</v>
      </c>
      <c r="BM172" s="733">
        <f t="shared" si="1119"/>
        <v>0.18691366741134743</v>
      </c>
      <c r="BN172" s="733">
        <f t="shared" si="1119"/>
        <v>0.30114459754469636</v>
      </c>
      <c r="BO172" s="733">
        <f t="shared" si="1119"/>
        <v>0.12776322749616173</v>
      </c>
      <c r="BP172" s="733">
        <f t="shared" si="1119"/>
        <v>1.047480595901682</v>
      </c>
      <c r="BQ172" s="733">
        <f t="shared" si="1119"/>
        <v>8.3882185911190496E-2</v>
      </c>
      <c r="BR172" s="733">
        <f t="shared" si="1119"/>
        <v>0.2320978038456506</v>
      </c>
      <c r="BS172" s="733">
        <f t="shared" si="1119"/>
        <v>-2.7570749997984489E-2</v>
      </c>
      <c r="BT172" s="733">
        <f t="shared" si="1119"/>
        <v>0.18845158082686544</v>
      </c>
      <c r="BU172" s="733">
        <f t="shared" si="1119"/>
        <v>0.15333927340285941</v>
      </c>
      <c r="BV172" s="733">
        <f t="shared" si="1119"/>
        <v>0.20334250112023872</v>
      </c>
      <c r="BW172" s="733">
        <f t="shared" si="1119"/>
        <v>0.13366800842278997</v>
      </c>
      <c r="BX172" s="733">
        <f>BX171/BX$30</f>
        <v>0.21717171876205427</v>
      </c>
      <c r="BY172" s="733">
        <f t="shared" si="1119"/>
        <v>0.16841881216017768</v>
      </c>
      <c r="BZ172" s="733">
        <f t="shared" ref="BZ172:CA172" si="1120">BZ171/BZ$30</f>
        <v>0.26816215753964151</v>
      </c>
      <c r="CA172" s="733">
        <f t="shared" si="1120"/>
        <v>0.11505758682949381</v>
      </c>
      <c r="CB172" s="733">
        <f t="shared" ref="CB172:CC172" si="1121">CB171/CB$30</f>
        <v>0.17930875093457821</v>
      </c>
      <c r="CC172" s="733">
        <f t="shared" si="1121"/>
        <v>0.15083980437053746</v>
      </c>
      <c r="CD172" s="733">
        <f t="shared" ref="CD172:CE172" si="1122">CD171/CD$30</f>
        <v>0.26385310513376786</v>
      </c>
      <c r="CE172" s="733">
        <f t="shared" si="1122"/>
        <v>0.14809393100220372</v>
      </c>
      <c r="CF172" s="733">
        <f t="shared" ref="CF172:CH172" si="1123">CF171/CF$30</f>
        <v>0.20640905633030437</v>
      </c>
      <c r="CG172" s="733">
        <f t="shared" si="1123"/>
        <v>0.17539019499301753</v>
      </c>
      <c r="CH172" s="733">
        <f t="shared" si="1123"/>
        <v>0.23008140071606187</v>
      </c>
      <c r="CI172" s="733">
        <f t="shared" ref="CI172" si="1124">CI171/CI$30</f>
        <v>0.14316988323587881</v>
      </c>
      <c r="CJ172" s="733">
        <f t="shared" ref="CJ172:CL172" si="1125">CJ171/CJ$30</f>
        <v>0.21165732169958426</v>
      </c>
      <c r="CK172" s="733">
        <f t="shared" si="1125"/>
        <v>0.16696042603004924</v>
      </c>
      <c r="CL172" s="733">
        <f t="shared" si="1125"/>
        <v>0.2316585920039195</v>
      </c>
      <c r="CM172" s="733">
        <f t="shared" ref="CM172:CP172" si="1126">CM171/CM$30</f>
        <v>0.149737672265191</v>
      </c>
      <c r="CN172" s="733">
        <f t="shared" si="1126"/>
        <v>0.22080639040681324</v>
      </c>
      <c r="CO172" s="733">
        <f t="shared" si="1126"/>
        <v>0.17180395785235228</v>
      </c>
      <c r="CP172" s="733">
        <f t="shared" si="1126"/>
        <v>0.23575749484007541</v>
      </c>
      <c r="CQ172" s="733"/>
      <c r="CR172" s="733"/>
      <c r="CS172" s="644"/>
      <c r="CT172" s="733">
        <v>0.2316585920039195</v>
      </c>
      <c r="CU172" s="1135">
        <f>+CK172-CT172</f>
        <v>-6.4698165973870264E-2</v>
      </c>
      <c r="CV172" s="121"/>
      <c r="CW172" s="121"/>
      <c r="CX172" s="121">
        <v>0.10843489268897978</v>
      </c>
      <c r="CY172" s="121">
        <v>0.10096830101476942</v>
      </c>
      <c r="CZ172" s="121">
        <v>8.0258852026639793E-2</v>
      </c>
      <c r="DA172" s="121">
        <v>0.12091812309159539</v>
      </c>
      <c r="DB172" s="121">
        <v>0.1557873442146861</v>
      </c>
      <c r="DC172" s="121">
        <v>0.15989796369280568</v>
      </c>
      <c r="DD172" s="121">
        <v>0.16160412020936116</v>
      </c>
      <c r="DE172" s="121">
        <v>0.16933746843865025</v>
      </c>
      <c r="DF172" s="733">
        <f t="shared" ref="DF172" si="1127">DF171/DF30</f>
        <v>0.18005085413125199</v>
      </c>
      <c r="DG172" s="1222">
        <f t="shared" ref="DG172:DM172" si="1128">DG171/DG$30</f>
        <v>0.19057618475790572</v>
      </c>
      <c r="DH172" s="1222">
        <f t="shared" si="1128"/>
        <v>0.19012321038394145</v>
      </c>
      <c r="DI172" s="1222">
        <f t="shared" si="1128"/>
        <v>0.17336717336308249</v>
      </c>
      <c r="DJ172" s="1222">
        <f t="shared" si="1128"/>
        <v>0.19022107722158485</v>
      </c>
      <c r="DK172" s="1222">
        <f t="shared" si="1128"/>
        <v>0.23568341640134574</v>
      </c>
      <c r="DL172" s="1222">
        <f t="shared" si="1128"/>
        <v>0.23713331072966568</v>
      </c>
      <c r="DM172" s="1222">
        <f t="shared" si="1128"/>
        <v>0.15443985529566115</v>
      </c>
      <c r="DN172" s="1222">
        <f>DN171/DN$30</f>
        <v>0.20573099471785741</v>
      </c>
      <c r="DO172" s="1222">
        <f t="shared" ref="DO172:DV172" si="1129">DO171/DO$30</f>
        <v>0.18788899671972623</v>
      </c>
      <c r="DP172" s="1222">
        <f t="shared" si="1129"/>
        <v>0.19564557922577033</v>
      </c>
      <c r="DQ172" s="1222">
        <f t="shared" ref="DQ172:DR172" si="1130">DQ171/DQ$30</f>
        <v>0.19441117726087162</v>
      </c>
      <c r="DR172" s="1222">
        <f t="shared" si="1130"/>
        <v>0.20054795774725057</v>
      </c>
      <c r="DS172" s="1222">
        <f t="shared" si="1129"/>
        <v>0.21521972926351468</v>
      </c>
      <c r="DT172" s="1222">
        <f t="shared" si="1129"/>
        <v>0.21945798419290055</v>
      </c>
      <c r="DU172" s="1222">
        <f t="shared" si="1129"/>
        <v>0.22343196460090919</v>
      </c>
      <c r="DV172" s="1222">
        <f t="shared" si="1129"/>
        <v>0.22716926850838826</v>
      </c>
      <c r="DY172" s="1222">
        <v>0.21061858215710885</v>
      </c>
      <c r="DZ172" s="1222">
        <v>0.22867187380937129</v>
      </c>
    </row>
    <row r="173" spans="1:130">
      <c r="A173" s="1330" t="s">
        <v>169</v>
      </c>
      <c r="B173" s="8"/>
      <c r="C173" s="8"/>
      <c r="D173" s="8"/>
      <c r="E173" s="8"/>
      <c r="F173" s="8"/>
      <c r="G173" s="8"/>
      <c r="H173" s="8"/>
      <c r="I173" s="8"/>
      <c r="J173" s="8"/>
      <c r="K173" s="8"/>
      <c r="L173" s="8"/>
      <c r="M173" s="8"/>
      <c r="N173" s="8"/>
      <c r="O173" s="8"/>
      <c r="P173" s="8"/>
      <c r="Q173" s="8"/>
      <c r="R173" s="8">
        <v>0.45975300390393592</v>
      </c>
      <c r="S173" s="8">
        <v>0.56541811846689893</v>
      </c>
      <c r="T173" s="8">
        <v>0.10850416399743756</v>
      </c>
      <c r="U173" s="8">
        <v>-0.30313735723318413</v>
      </c>
      <c r="V173" s="8">
        <v>-0.18031780388565721</v>
      </c>
      <c r="W173" s="8">
        <v>-0.49654999721773974</v>
      </c>
      <c r="X173" s="8">
        <v>0.21758289388138419</v>
      </c>
      <c r="Y173" s="8">
        <v>0.41054814644122484</v>
      </c>
      <c r="Z173" s="8">
        <v>0.73481953560410829</v>
      </c>
      <c r="AA173" s="8">
        <v>1.5649074329925394</v>
      </c>
      <c r="AB173" s="8">
        <v>0.5111954909522396</v>
      </c>
      <c r="AC173" s="8">
        <v>0.3153971819481316</v>
      </c>
      <c r="AD173" s="8">
        <v>6.4559092572264998E-2</v>
      </c>
      <c r="AE173" s="8">
        <v>6.7654916831854095E-3</v>
      </c>
      <c r="AF173" s="8">
        <v>0.15795094067024729</v>
      </c>
      <c r="AG173" s="8">
        <v>0.10367150508421941</v>
      </c>
      <c r="AH173" s="8">
        <v>0.3851050373955125</v>
      </c>
      <c r="AI173" s="8">
        <v>-8.9436288147926257E-2</v>
      </c>
      <c r="AJ173" s="8">
        <v>7.2434089183031292E-2</v>
      </c>
      <c r="AK173" s="8">
        <v>0.47810614265820828</v>
      </c>
      <c r="AL173" s="8">
        <v>0.28797879837613038</v>
      </c>
      <c r="AM173" s="8">
        <v>-3.9015676780971287E-3</v>
      </c>
      <c r="AN173" s="8">
        <v>1.2968372598859412E-2</v>
      </c>
      <c r="AO173" s="8">
        <v>4.3308622707764366E-2</v>
      </c>
      <c r="AP173" s="8">
        <v>0.35070129469790379</v>
      </c>
      <c r="AQ173" s="8">
        <f t="shared" ref="AQ173:BC173" si="1131">AQ171/AM171-1</f>
        <v>0.73804983365187327</v>
      </c>
      <c r="AR173" s="8">
        <f t="shared" si="1131"/>
        <v>0.22393183733341648</v>
      </c>
      <c r="AS173" s="8">
        <f t="shared" si="1131"/>
        <v>0.30106536293485608</v>
      </c>
      <c r="AT173" s="8">
        <f t="shared" si="1131"/>
        <v>0.20822792082936314</v>
      </c>
      <c r="AU173" s="8">
        <f t="shared" si="1131"/>
        <v>0.77480348516140851</v>
      </c>
      <c r="AV173" s="8">
        <f t="shared" si="1131"/>
        <v>0.38787759297225599</v>
      </c>
      <c r="AW173" s="8">
        <f t="shared" si="1131"/>
        <v>0.28060655772183329</v>
      </c>
      <c r="AX173" s="8">
        <f t="shared" si="1131"/>
        <v>7.0227345228096816E-2</v>
      </c>
      <c r="AY173" s="8">
        <f t="shared" si="1131"/>
        <v>-0.10489002563466776</v>
      </c>
      <c r="AZ173" s="8">
        <f t="shared" si="1131"/>
        <v>0.10890534986226497</v>
      </c>
      <c r="BA173" s="8">
        <f t="shared" si="1131"/>
        <v>-0.10124434079499867</v>
      </c>
      <c r="BB173" s="8">
        <f t="shared" si="1131"/>
        <v>0.11385317295727937</v>
      </c>
      <c r="BC173" s="8">
        <f t="shared" si="1131"/>
        <v>-4.8171252777302831E-2</v>
      </c>
      <c r="BD173" s="8">
        <f>BD171/AZ171-1</f>
        <v>6.5413623530348186E-3</v>
      </c>
      <c r="BE173" s="8">
        <f>BE171/BA171-1</f>
        <v>0.22685216204857062</v>
      </c>
      <c r="BF173" s="8">
        <f>BF171/BB171-1</f>
        <v>4.5193454208376727E-2</v>
      </c>
      <c r="BG173" s="8">
        <f>BG171/BC171-1</f>
        <v>0.31729258504439617</v>
      </c>
      <c r="BH173" s="8">
        <f>BH171/BD171-1</f>
        <v>0.16176015486623663</v>
      </c>
      <c r="BI173" s="8">
        <f t="shared" ref="BI173:BR173" si="1132">BI171/BE171-1</f>
        <v>0.29256187820232693</v>
      </c>
      <c r="BJ173" s="8">
        <f t="shared" si="1132"/>
        <v>0.25819937325063269</v>
      </c>
      <c r="BK173" s="8">
        <f t="shared" si="1132"/>
        <v>1.1668900460047431</v>
      </c>
      <c r="BL173" s="8">
        <f t="shared" si="1132"/>
        <v>0.28400852683631839</v>
      </c>
      <c r="BM173" s="116">
        <f t="shared" si="1132"/>
        <v>0.38702978305160873</v>
      </c>
      <c r="BN173" s="116">
        <f t="shared" si="1132"/>
        <v>0.30313772705108644</v>
      </c>
      <c r="BO173" s="116">
        <f t="shared" si="1132"/>
        <v>-0.37705461778606619</v>
      </c>
      <c r="BP173" s="116">
        <f t="shared" si="1132"/>
        <v>0.24753272998117537</v>
      </c>
      <c r="BQ173" s="116">
        <f t="shared" si="1132"/>
        <v>-0.6164362696239023</v>
      </c>
      <c r="BR173" s="116">
        <f t="shared" si="1132"/>
        <v>-0.21680723188302831</v>
      </c>
      <c r="BS173" s="116">
        <f t="shared" ref="BS173:CE173" si="1133">BS171/BO171-1</f>
        <v>-1.189936179666357</v>
      </c>
      <c r="BT173" s="116">
        <f t="shared" si="1133"/>
        <v>-0.24696379328147156</v>
      </c>
      <c r="BU173" s="116">
        <f t="shared" si="1133"/>
        <v>1.6259448934759431</v>
      </c>
      <c r="BV173" s="116">
        <f t="shared" si="1133"/>
        <v>6.8490773704551255E-2</v>
      </c>
      <c r="BW173" s="116">
        <f t="shared" si="1133"/>
        <v>-8.9226668084427665</v>
      </c>
      <c r="BX173" s="116">
        <f t="shared" si="1133"/>
        <v>0.62026530475314656</v>
      </c>
      <c r="BY173" s="116">
        <f t="shared" si="1133"/>
        <v>0.21114062852280568</v>
      </c>
      <c r="BZ173" s="116">
        <f t="shared" si="1133"/>
        <v>0.31662339152009378</v>
      </c>
      <c r="CA173" s="116">
        <f t="shared" si="1133"/>
        <v>-0.12056915036253457</v>
      </c>
      <c r="CB173" s="116">
        <f t="shared" si="1133"/>
        <v>-0.22385805139180071</v>
      </c>
      <c r="CC173" s="116">
        <f t="shared" si="1133"/>
        <v>-9.7327901284836038E-2</v>
      </c>
      <c r="CD173" s="116">
        <f t="shared" si="1133"/>
        <v>5.369940141406504E-2</v>
      </c>
      <c r="CE173" s="116">
        <f t="shared" si="1133"/>
        <v>0.39069635672595182</v>
      </c>
      <c r="CF173" s="116">
        <f t="shared" ref="CF173" si="1134">CF171/CB171-1</f>
        <v>0.18762288913199043</v>
      </c>
      <c r="CG173" s="116">
        <f t="shared" ref="CG173:CI173" si="1135">CG171/CC171-1</f>
        <v>0.30383867270677278</v>
      </c>
      <c r="CH173" s="116">
        <f t="shared" si="1135"/>
        <v>-4.3736040551253352E-2</v>
      </c>
      <c r="CI173" s="116">
        <f t="shared" si="1135"/>
        <v>8.2834601909998362E-2</v>
      </c>
      <c r="CJ173" s="116">
        <f t="shared" ref="CJ173" si="1136">CJ171/CF171-1</f>
        <v>0.21511719807652363</v>
      </c>
      <c r="CK173" s="116">
        <f t="shared" ref="CK173" si="1137">CK171/CG171-1</f>
        <v>-8.3884864152325989E-3</v>
      </c>
      <c r="CL173" s="192">
        <f t="shared" ref="CL173" si="1138">CL171/CH171-1</f>
        <v>5.4423620818959462E-2</v>
      </c>
      <c r="CM173" s="192">
        <f t="shared" ref="CM173" si="1139">CM171/CI171-1</f>
        <v>0.11377112031632741</v>
      </c>
      <c r="CN173" s="192">
        <f t="shared" ref="CN173" si="1140">CN171/CJ171-1</f>
        <v>0.10088802111893047</v>
      </c>
      <c r="CO173" s="192">
        <f t="shared" ref="CO173" si="1141">CO171/CK171-1</f>
        <v>0.11365281790907744</v>
      </c>
      <c r="CP173" s="192">
        <f t="shared" ref="CP173" si="1142">CP171/CL171-1</f>
        <v>0.10361727941929555</v>
      </c>
      <c r="CQ173" s="192"/>
      <c r="CR173" s="192"/>
      <c r="CS173" s="192"/>
      <c r="CT173" s="192">
        <v>5.4423620818959462E-2</v>
      </c>
      <c r="CU173" s="694"/>
      <c r="CV173" s="8"/>
      <c r="CW173" s="8">
        <v>1.485996070424163</v>
      </c>
      <c r="CX173" s="8">
        <v>-0.19558648049714078</v>
      </c>
      <c r="CY173" s="8">
        <v>0.13578510698415136</v>
      </c>
      <c r="CZ173" s="8">
        <v>-0.1124052264670462</v>
      </c>
      <c r="DA173" s="8">
        <v>0.62979972991566235</v>
      </c>
      <c r="DB173" s="8">
        <v>0.49947822824289934</v>
      </c>
      <c r="DC173" s="8">
        <v>0.2072382739701033</v>
      </c>
      <c r="DD173" s="8">
        <v>0.20792679898869304</v>
      </c>
      <c r="DE173" s="8">
        <v>0.184616787049102</v>
      </c>
      <c r="DF173" s="8">
        <f t="shared" ref="DF173:DM173" si="1143">DF171/DE171-1</f>
        <v>0.2612617290880177</v>
      </c>
      <c r="DG173" s="116">
        <f t="shared" si="1143"/>
        <v>0.24272616741846686</v>
      </c>
      <c r="DH173" s="116">
        <f t="shared" si="1143"/>
        <v>4.7204755943099697E-2</v>
      </c>
      <c r="DI173" s="116">
        <f t="shared" si="1143"/>
        <v>5.1843149583715942E-2</v>
      </c>
      <c r="DJ173" s="116">
        <f t="shared" si="1143"/>
        <v>0.24439986919656387</v>
      </c>
      <c r="DK173" s="116">
        <f t="shared" si="1143"/>
        <v>0.40274082045678128</v>
      </c>
      <c r="DL173" s="116">
        <f t="shared" si="1143"/>
        <v>-0.20922846602509515</v>
      </c>
      <c r="DM173" s="116">
        <f t="shared" si="1143"/>
        <v>-6.5629613087190175E-2</v>
      </c>
      <c r="DN173" s="116">
        <f t="shared" ref="DN173:DS173" si="1144">DN171/DM171-1</f>
        <v>0.61371732002057988</v>
      </c>
      <c r="DO173" s="116">
        <f t="shared" si="1144"/>
        <v>-7.6425511608898766E-2</v>
      </c>
      <c r="DP173" s="116">
        <f t="shared" si="1144"/>
        <v>0.12717411976882653</v>
      </c>
      <c r="DQ173" s="116">
        <f t="shared" si="1144"/>
        <v>8.6670988564412577E-2</v>
      </c>
      <c r="DR173" s="116">
        <f t="shared" si="1144"/>
        <v>0.10623732147910991</v>
      </c>
      <c r="DS173" s="192">
        <f t="shared" si="1144"/>
        <v>0.16475903405164938</v>
      </c>
      <c r="DT173" s="192">
        <f t="shared" ref="DT173" si="1145">DT171/DS171-1</f>
        <v>9.815780891421988E-2</v>
      </c>
      <c r="DU173" s="192">
        <f t="shared" ref="DU173" si="1146">DU171/DT171-1</f>
        <v>9.5765755318725887E-2</v>
      </c>
      <c r="DV173" s="192">
        <f t="shared" ref="DV173" si="1147">DV171/DU171-1</f>
        <v>9.3627703920355687E-2</v>
      </c>
      <c r="DY173" s="192">
        <v>0.15576318113985654</v>
      </c>
      <c r="DZ173" s="192">
        <v>0.18200086535912652</v>
      </c>
    </row>
    <row r="174" spans="1:130" s="359" customFormat="1">
      <c r="A174" s="1331" t="s">
        <v>231</v>
      </c>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c r="AA174" s="91"/>
      <c r="AB174" s="91"/>
      <c r="AC174" s="91"/>
      <c r="AD174" s="91"/>
      <c r="AE174" s="91"/>
      <c r="AF174" s="91"/>
      <c r="AG174" s="91"/>
      <c r="AH174" s="91"/>
      <c r="AI174" s="93"/>
      <c r="AJ174" s="93"/>
      <c r="AK174" s="93"/>
      <c r="AL174" s="93"/>
      <c r="AM174" s="93"/>
      <c r="AN174" s="93">
        <v>-9.4076869945851072E-3</v>
      </c>
      <c r="AO174" s="93">
        <v>-1.2192860385231347E-2</v>
      </c>
      <c r="AP174" s="93">
        <v>4.2488818238968801E-2</v>
      </c>
      <c r="AQ174" s="1164">
        <f t="shared" ref="AQ174:BV174" si="1148">+AQ172-AM172</f>
        <v>3.2117115662443706E-2</v>
      </c>
      <c r="AR174" s="1164">
        <f t="shared" si="1148"/>
        <v>7.3233903737009165E-3</v>
      </c>
      <c r="AS174" s="1164">
        <f t="shared" si="1148"/>
        <v>1.5339639733042462E-2</v>
      </c>
      <c r="AT174" s="1164">
        <f t="shared" si="1148"/>
        <v>-9.3382398573056968E-3</v>
      </c>
      <c r="AU174" s="1164">
        <f t="shared" si="1148"/>
        <v>3.8889129460374774E-2</v>
      </c>
      <c r="AV174" s="1164">
        <f t="shared" si="1148"/>
        <v>2.4494253370547114E-2</v>
      </c>
      <c r="AW174" s="1164">
        <f t="shared" si="1148"/>
        <v>1.0099010821991161E-2</v>
      </c>
      <c r="AX174" s="1164">
        <f t="shared" si="1148"/>
        <v>-6.9426238002714413E-3</v>
      </c>
      <c r="AY174" s="1164">
        <f t="shared" si="1148"/>
        <v>-2.0583869152362544E-2</v>
      </c>
      <c r="AZ174" s="1164">
        <f t="shared" si="1148"/>
        <v>5.0791373717678223E-3</v>
      </c>
      <c r="BA174" s="1164">
        <f t="shared" si="1148"/>
        <v>-1.6072172201385099E-2</v>
      </c>
      <c r="BB174" s="1164">
        <f t="shared" si="1148"/>
        <v>1.6191747885687391E-2</v>
      </c>
      <c r="BC174" s="1164">
        <f t="shared" si="1148"/>
        <v>-1.8527943592442794E-2</v>
      </c>
      <c r="BD174" s="1164">
        <f t="shared" si="1148"/>
        <v>-1.9736469364857984E-2</v>
      </c>
      <c r="BE174" s="1164">
        <f t="shared" si="1148"/>
        <v>2.9079152840277012E-3</v>
      </c>
      <c r="BF174" s="1164">
        <f t="shared" si="1148"/>
        <v>-2.5439438149710836E-2</v>
      </c>
      <c r="BG174" s="1164">
        <f t="shared" si="1148"/>
        <v>1.4679593993430953E-2</v>
      </c>
      <c r="BH174" s="1164">
        <f t="shared" si="1148"/>
        <v>1.1948616105604826E-2</v>
      </c>
      <c r="BI174" s="1164">
        <f t="shared" si="1148"/>
        <v>1.8956456832837337E-2</v>
      </c>
      <c r="BJ174" s="1164">
        <f t="shared" si="1148"/>
        <v>1.8394961058597836E-2</v>
      </c>
      <c r="BK174" s="1164">
        <f t="shared" si="1148"/>
        <v>8.7757055034791226E-2</v>
      </c>
      <c r="BL174" s="1164">
        <f t="shared" si="1148"/>
        <v>2.6133186748835913E-2</v>
      </c>
      <c r="BM174" s="1223">
        <f t="shared" si="1148"/>
        <v>3.4796474404904493E-2</v>
      </c>
      <c r="BN174" s="1223">
        <f t="shared" si="1148"/>
        <v>4.5302873930161247E-2</v>
      </c>
      <c r="BO174" s="1223">
        <f t="shared" si="1148"/>
        <v>-6.4885168019420791E-2</v>
      </c>
      <c r="BP174" s="1223">
        <f t="shared" si="1148"/>
        <v>0.82310367070110002</v>
      </c>
      <c r="BQ174" s="1223">
        <f t="shared" si="1148"/>
        <v>-0.10303148150015694</v>
      </c>
      <c r="BR174" s="1223">
        <f t="shared" si="1148"/>
        <v>-6.9046793699045761E-2</v>
      </c>
      <c r="BS174" s="1223">
        <f t="shared" si="1148"/>
        <v>-0.15533397749414621</v>
      </c>
      <c r="BT174" s="1223">
        <f t="shared" si="1148"/>
        <v>-0.85902901507481655</v>
      </c>
      <c r="BU174" s="1223">
        <f t="shared" si="1148"/>
        <v>6.9457087491668915E-2</v>
      </c>
      <c r="BV174" s="1223">
        <f t="shared" si="1148"/>
        <v>-2.875530272541188E-2</v>
      </c>
      <c r="BW174" s="1164">
        <f>+BW172-BK172</f>
        <v>-5.8980387092792547E-2</v>
      </c>
      <c r="BX174" s="1164">
        <f t="shared" ref="BX174:CE174" si="1149">+BX172-BT172</f>
        <v>2.8720137935188822E-2</v>
      </c>
      <c r="BY174" s="1164">
        <f t="shared" si="1149"/>
        <v>1.5079538757318267E-2</v>
      </c>
      <c r="BZ174" s="1164">
        <f t="shared" si="1149"/>
        <v>6.4819656419402794E-2</v>
      </c>
      <c r="CA174" s="1164">
        <f t="shared" si="1149"/>
        <v>-1.8610421593296164E-2</v>
      </c>
      <c r="CB174" s="1164">
        <f t="shared" si="1149"/>
        <v>-3.7862967827476057E-2</v>
      </c>
      <c r="CC174" s="1164">
        <f t="shared" si="1149"/>
        <v>-1.7579007789640222E-2</v>
      </c>
      <c r="CD174" s="1164">
        <f t="shared" si="1149"/>
        <v>-4.3090524058736479E-3</v>
      </c>
      <c r="CE174" s="1164">
        <f t="shared" si="1149"/>
        <v>3.3036344172709911E-2</v>
      </c>
      <c r="CF174" s="1164">
        <f t="shared" ref="CF174" si="1150">+CF172-CB172</f>
        <v>2.7100305395726165E-2</v>
      </c>
      <c r="CG174" s="1164">
        <f t="shared" ref="CG174:CI174" si="1151">+CG172-CC172</f>
        <v>2.4550390622480073E-2</v>
      </c>
      <c r="CH174" s="1164">
        <f t="shared" si="1151"/>
        <v>-3.3771704417705994E-2</v>
      </c>
      <c r="CI174" s="1164">
        <f t="shared" si="1151"/>
        <v>-4.9240477663249071E-3</v>
      </c>
      <c r="CJ174" s="1164">
        <f t="shared" ref="CJ174" si="1152">+CJ172-CF172</f>
        <v>5.2482653692798864E-3</v>
      </c>
      <c r="CK174" s="1164">
        <f t="shared" ref="CK174" si="1153">+CK172-CG172</f>
        <v>-8.4297689629682926E-3</v>
      </c>
      <c r="CL174" s="1164">
        <f t="shared" ref="CL174" si="1154">+CL172-CH172</f>
        <v>1.5771912878576322E-3</v>
      </c>
      <c r="CM174" s="1164">
        <f t="shared" ref="CM174" si="1155">+CM172-CI172</f>
        <v>6.5677890293121821E-3</v>
      </c>
      <c r="CN174" s="1164">
        <f t="shared" ref="CN174" si="1156">+CN172-CJ172</f>
        <v>9.14906870722898E-3</v>
      </c>
      <c r="CO174" s="1164">
        <f t="shared" ref="CO174" si="1157">+CO172-CK172</f>
        <v>4.8435318223030432E-3</v>
      </c>
      <c r="CP174" s="1164">
        <f t="shared" ref="CP174" si="1158">+CP172-CL172</f>
        <v>4.0989028361559099E-3</v>
      </c>
      <c r="CQ174" s="1164"/>
      <c r="CR174" s="1164"/>
      <c r="CS174" s="556"/>
      <c r="CT174" s="1164">
        <v>1.5771912878576322E-3</v>
      </c>
      <c r="CU174" s="1110"/>
      <c r="CV174" s="118">
        <v>5.9298346410792992E-2</v>
      </c>
      <c r="CW174" s="118">
        <v>0.12627856600960963</v>
      </c>
      <c r="CX174" s="118">
        <v>0.12981064994468527</v>
      </c>
      <c r="CY174" s="118">
        <v>0.1325132487354598</v>
      </c>
      <c r="CZ174" s="118">
        <v>0.12498677283215308</v>
      </c>
      <c r="DA174" s="118">
        <v>0.15312731106586994</v>
      </c>
      <c r="DB174" s="118">
        <v>0.18343765833205516</v>
      </c>
      <c r="DC174" s="118">
        <v>0.18390652336761421</v>
      </c>
      <c r="DD174" s="118">
        <v>0.18489644552192513</v>
      </c>
      <c r="DE174" s="118">
        <v>0.19142697366042602</v>
      </c>
      <c r="DF174" s="118"/>
      <c r="DG174" s="1240">
        <f t="shared" ref="DG174:DS174" si="1159">+DG172-DF172</f>
        <v>1.0525330626653728E-2</v>
      </c>
      <c r="DH174" s="1240">
        <f t="shared" si="1159"/>
        <v>-4.5297437396427109E-4</v>
      </c>
      <c r="DI174" s="1240">
        <f t="shared" si="1159"/>
        <v>-1.6756037020858955E-2</v>
      </c>
      <c r="DJ174" s="1240">
        <f t="shared" si="1159"/>
        <v>1.6853903858502356E-2</v>
      </c>
      <c r="DK174" s="1240">
        <f t="shared" si="1159"/>
        <v>4.5462339179760891E-2</v>
      </c>
      <c r="DL174" s="1240">
        <f t="shared" si="1159"/>
        <v>1.4498943283199339E-3</v>
      </c>
      <c r="DM174" s="1240">
        <f t="shared" si="1159"/>
        <v>-8.2693455434004526E-2</v>
      </c>
      <c r="DN174" s="1240">
        <f t="shared" si="1159"/>
        <v>5.1291139422196264E-2</v>
      </c>
      <c r="DO174" s="1240">
        <f t="shared" si="1159"/>
        <v>-1.7841997998131187E-2</v>
      </c>
      <c r="DP174" s="1240">
        <f t="shared" si="1159"/>
        <v>7.7565825060441074E-3</v>
      </c>
      <c r="DQ174" s="1240">
        <f t="shared" si="1159"/>
        <v>-1.2344019648987126E-3</v>
      </c>
      <c r="DR174" s="1240">
        <f t="shared" si="1159"/>
        <v>6.1367804863789455E-3</v>
      </c>
      <c r="DS174" s="401">
        <f t="shared" si="1159"/>
        <v>1.4671771516264115E-2</v>
      </c>
      <c r="DT174" s="401">
        <f t="shared" ref="DT174" si="1160">+DT172-DS172</f>
        <v>4.2382549293858707E-3</v>
      </c>
      <c r="DU174" s="401">
        <f t="shared" ref="DU174" si="1161">+DU172-DT172</f>
        <v>3.9739804080086427E-3</v>
      </c>
      <c r="DV174" s="401">
        <f t="shared" ref="DV174" si="1162">+DV172-DU172</f>
        <v>3.7373039074790615E-3</v>
      </c>
      <c r="DY174" s="401">
        <v>1.2191304584443258E-2</v>
      </c>
      <c r="DZ174" s="401">
        <v>1.8053291652262438E-2</v>
      </c>
    </row>
    <row r="175" spans="1:130">
      <c r="A175" s="1644" t="s">
        <v>124</v>
      </c>
      <c r="B175" s="116"/>
      <c r="C175" s="116"/>
      <c r="D175" s="116"/>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c r="AA175" s="116"/>
      <c r="AB175" s="116"/>
      <c r="AC175" s="116"/>
      <c r="AD175" s="116"/>
      <c r="AE175" s="116"/>
      <c r="AF175" s="116"/>
      <c r="AG175" s="116"/>
      <c r="AH175" s="116"/>
      <c r="AI175" s="116"/>
      <c r="AJ175" s="116"/>
      <c r="AK175" s="116"/>
      <c r="AL175" s="116"/>
      <c r="AM175" s="116"/>
      <c r="AN175" s="116"/>
      <c r="AO175" s="116"/>
      <c r="AP175" s="116"/>
      <c r="AQ175" s="116"/>
      <c r="AR175" s="117"/>
      <c r="AS175" s="116"/>
      <c r="AT175" s="116"/>
      <c r="AU175" s="116"/>
      <c r="AV175" s="361"/>
      <c r="AW175" s="361"/>
      <c r="AX175" s="361"/>
      <c r="AY175" s="361"/>
      <c r="AZ175" s="361"/>
      <c r="BA175" s="361"/>
      <c r="BB175" s="361"/>
      <c r="BC175" s="361"/>
      <c r="BD175" s="361"/>
      <c r="BE175" s="361"/>
      <c r="BF175" s="361"/>
      <c r="BG175" s="361"/>
      <c r="BH175" s="361"/>
      <c r="BI175" s="361"/>
      <c r="BJ175" s="361"/>
      <c r="BK175" s="361"/>
      <c r="BL175" s="361"/>
      <c r="BM175" s="361"/>
      <c r="BN175" s="361"/>
      <c r="BO175" s="361"/>
      <c r="BP175" s="361"/>
      <c r="BQ175" s="361"/>
      <c r="BR175" s="361"/>
      <c r="BS175" s="361"/>
      <c r="BT175" s="361"/>
      <c r="BU175" s="361"/>
      <c r="BV175" s="361"/>
      <c r="BW175" s="361">
        <f>+BW172-$BK$172</f>
        <v>-5.8980387092792547E-2</v>
      </c>
      <c r="BX175" s="361">
        <f>+BX172-$BL$172</f>
        <v>-7.2052064385276782E-3</v>
      </c>
      <c r="BY175" s="361">
        <f>+BY172-$BM$172</f>
        <v>-1.8494855251169756E-2</v>
      </c>
      <c r="BZ175" s="361">
        <f>+BZ172-$BN$172</f>
        <v>-3.2982440005054847E-2</v>
      </c>
      <c r="CA175" s="361">
        <f>+CA172-$BK$172</f>
        <v>-7.7590808686088711E-2</v>
      </c>
      <c r="CB175" s="361">
        <f>+CB172-$BK$172</f>
        <v>-1.3339644581004312E-2</v>
      </c>
      <c r="CC175" s="361">
        <f>+CC172-$BK$172</f>
        <v>-4.1808591145045065E-2</v>
      </c>
      <c r="CD175" s="361">
        <f>+CD172-$BK$172</f>
        <v>7.1204709618185341E-2</v>
      </c>
      <c r="CE175" s="361">
        <f>+CE172-$BK$172</f>
        <v>-4.45544645133788E-2</v>
      </c>
      <c r="CF175" s="361">
        <f>+CF172-$BL$172</f>
        <v>-1.796786887027757E-2</v>
      </c>
      <c r="CG175" s="361">
        <f>+CG172-$BM$172</f>
        <v>-1.1523472418329905E-2</v>
      </c>
      <c r="CH175" s="361">
        <f>+CH172-$BM$172</f>
        <v>4.3167733304714434E-2</v>
      </c>
      <c r="CI175" s="361">
        <f>+CI172-$BM$172</f>
        <v>-4.374378417546862E-2</v>
      </c>
      <c r="CJ175" s="361">
        <f t="shared" ref="CJ175:CL175" si="1163">+CJ172-$BN$172</f>
        <v>-8.9487275845112096E-2</v>
      </c>
      <c r="CK175" s="361">
        <f t="shared" si="1163"/>
        <v>-0.13418417151464712</v>
      </c>
      <c r="CL175" s="361">
        <f t="shared" si="1163"/>
        <v>-6.9486005540776857E-2</v>
      </c>
      <c r="CM175" s="361">
        <f t="shared" ref="CM175:CP175" si="1164">+CM172-$BN$172</f>
        <v>-0.15140692527950536</v>
      </c>
      <c r="CN175" s="361">
        <f t="shared" si="1164"/>
        <v>-8.0338207137883116E-2</v>
      </c>
      <c r="CO175" s="361">
        <f t="shared" si="1164"/>
        <v>-0.12934063969234408</v>
      </c>
      <c r="CP175" s="361">
        <f t="shared" si="1164"/>
        <v>-6.5387102704620947E-2</v>
      </c>
      <c r="CQ175" s="192"/>
      <c r="CR175" s="192"/>
      <c r="CS175" s="192"/>
      <c r="CT175" s="192">
        <v>-6.9486005540776857E-2</v>
      </c>
      <c r="CU175" s="694"/>
      <c r="CV175" s="116"/>
      <c r="CW175" s="116"/>
      <c r="CX175" s="116"/>
      <c r="CY175" s="116"/>
      <c r="CZ175" s="116"/>
      <c r="DA175" s="116"/>
      <c r="DB175" s="116"/>
      <c r="DC175" s="116"/>
      <c r="DD175" s="115"/>
      <c r="DE175" s="115"/>
      <c r="DF175" s="115"/>
      <c r="DG175" s="115"/>
      <c r="DH175" s="115"/>
      <c r="DI175" s="115"/>
      <c r="DJ175" s="115"/>
      <c r="DK175" s="115"/>
      <c r="DL175" s="115"/>
      <c r="DM175" s="116"/>
      <c r="DN175" s="1240">
        <f>+DN181/DK181-1</f>
        <v>-0.79172506463407522</v>
      </c>
      <c r="DO175" s="1240">
        <f>+DO181/DK181-1</f>
        <v>-1.2448928298422521</v>
      </c>
      <c r="DP175" s="1240">
        <f>+DP181/DL181-1</f>
        <v>1.0519102817859411</v>
      </c>
      <c r="DQ175" s="1240">
        <f>+DQ181/DM181-1</f>
        <v>0.88263860449497122</v>
      </c>
      <c r="DR175" s="1240">
        <f>+DR181/DN181-1</f>
        <v>1.6272025870437554</v>
      </c>
      <c r="DS175" s="377"/>
      <c r="DT175" s="377"/>
      <c r="DU175" s="377"/>
      <c r="DV175" s="377"/>
      <c r="DY175" s="377"/>
      <c r="DZ175" s="377"/>
    </row>
    <row r="176" spans="1:130">
      <c r="A176" s="1644"/>
      <c r="B176" s="116"/>
      <c r="C176" s="116"/>
      <c r="D176" s="116"/>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c r="AA176" s="116"/>
      <c r="AB176" s="116"/>
      <c r="AC176" s="116"/>
      <c r="AD176" s="116"/>
      <c r="AE176" s="116"/>
      <c r="AF176" s="116"/>
      <c r="AG176" s="116"/>
      <c r="AH176" s="116"/>
      <c r="AI176" s="116"/>
      <c r="AJ176" s="116"/>
      <c r="AK176" s="116"/>
      <c r="AL176" s="116"/>
      <c r="AM176" s="116"/>
      <c r="AN176" s="116"/>
      <c r="AO176" s="116"/>
      <c r="AP176" s="116"/>
      <c r="AQ176" s="116"/>
      <c r="AR176" s="117"/>
      <c r="AS176" s="116"/>
      <c r="AT176" s="116"/>
      <c r="AU176" s="116"/>
      <c r="AV176" s="361"/>
      <c r="AW176" s="361"/>
      <c r="AX176" s="361"/>
      <c r="AY176" s="361"/>
      <c r="AZ176" s="361"/>
      <c r="BA176" s="361"/>
      <c r="BB176" s="361"/>
      <c r="BC176" s="361"/>
      <c r="BD176" s="361"/>
      <c r="BE176" s="361"/>
      <c r="BF176" s="361"/>
      <c r="BG176" s="361"/>
      <c r="BH176" s="361"/>
      <c r="BI176" s="361"/>
      <c r="BJ176" s="361"/>
      <c r="BK176" s="361"/>
      <c r="BL176" s="361"/>
      <c r="BM176" s="361"/>
      <c r="BN176" s="361"/>
      <c r="BO176" s="361"/>
      <c r="BP176" s="361"/>
      <c r="BQ176" s="361"/>
      <c r="BR176" s="361"/>
      <c r="BS176" s="361"/>
      <c r="BT176" s="361"/>
      <c r="BU176" s="361"/>
      <c r="BV176" s="361"/>
      <c r="BW176" s="361"/>
      <c r="BX176" s="361"/>
      <c r="BY176" s="361"/>
      <c r="BZ176" s="361"/>
      <c r="CA176" s="361"/>
      <c r="CB176" s="361"/>
      <c r="CC176" s="361"/>
      <c r="CD176" s="361"/>
      <c r="CE176" s="361"/>
      <c r="CF176" s="361"/>
      <c r="CG176" s="361"/>
      <c r="CH176" s="361"/>
      <c r="CI176" s="361"/>
      <c r="CJ176" s="361"/>
      <c r="CK176" s="361"/>
      <c r="CL176" s="361"/>
      <c r="CM176" s="361"/>
      <c r="CN176" s="361"/>
      <c r="CO176" s="361"/>
      <c r="CP176" s="361"/>
      <c r="CQ176" s="192"/>
      <c r="CR176" s="192"/>
      <c r="CS176" s="192"/>
      <c r="CT176" s="192"/>
      <c r="CU176" s="694"/>
      <c r="CV176" s="116"/>
      <c r="CW176" s="116"/>
      <c r="CX176" s="116"/>
      <c r="CY176" s="116"/>
      <c r="CZ176" s="116"/>
      <c r="DA176" s="116"/>
      <c r="DB176" s="116"/>
      <c r="DC176" s="116"/>
      <c r="DD176" s="115"/>
      <c r="DE176" s="115"/>
      <c r="DF176" s="115"/>
      <c r="DG176" s="115"/>
      <c r="DH176" s="115"/>
      <c r="DI176" s="115"/>
      <c r="DJ176" s="115"/>
      <c r="DK176" s="115"/>
      <c r="DL176" s="115"/>
      <c r="DM176" s="116"/>
      <c r="DN176" s="1240"/>
      <c r="DO176" s="1240"/>
      <c r="DP176" s="1240"/>
      <c r="DQ176" s="1240"/>
      <c r="DR176" s="1240"/>
      <c r="DS176" s="377"/>
      <c r="DT176" s="377"/>
      <c r="DU176" s="377"/>
      <c r="DV176" s="377"/>
      <c r="DY176" s="377"/>
      <c r="DZ176" s="377"/>
    </row>
    <row r="177" spans="1:130" s="1660" customFormat="1" ht="12.75">
      <c r="A177" s="1655" t="s">
        <v>238</v>
      </c>
      <c r="B177" s="1661">
        <f t="shared" ref="B177:BM177" si="1165">+B167-B181</f>
        <v>0</v>
      </c>
      <c r="C177" s="1661">
        <f t="shared" si="1165"/>
        <v>0</v>
      </c>
      <c r="D177" s="1661">
        <f t="shared" si="1165"/>
        <v>0</v>
      </c>
      <c r="E177" s="1661">
        <f t="shared" si="1165"/>
        <v>0</v>
      </c>
      <c r="F177" s="1661">
        <f t="shared" si="1165"/>
        <v>0</v>
      </c>
      <c r="G177" s="1661">
        <f t="shared" si="1165"/>
        <v>-296</v>
      </c>
      <c r="H177" s="1661">
        <f t="shared" si="1165"/>
        <v>-516</v>
      </c>
      <c r="I177" s="1661">
        <f t="shared" si="1165"/>
        <v>-522</v>
      </c>
      <c r="J177" s="1661">
        <f t="shared" si="1165"/>
        <v>-919</v>
      </c>
      <c r="K177" s="1661">
        <f t="shared" si="1165"/>
        <v>-1674</v>
      </c>
      <c r="L177" s="1661">
        <f t="shared" si="1165"/>
        <v>-530</v>
      </c>
      <c r="M177" s="1661">
        <f t="shared" si="1165"/>
        <v>-619</v>
      </c>
      <c r="N177" s="1661">
        <f t="shared" si="1165"/>
        <v>64251</v>
      </c>
      <c r="O177" s="1661">
        <f t="shared" si="1165"/>
        <v>24103</v>
      </c>
      <c r="P177" s="1661">
        <f t="shared" si="1165"/>
        <v>62896</v>
      </c>
      <c r="Q177" s="1661">
        <f t="shared" si="1165"/>
        <v>41919</v>
      </c>
      <c r="R177" s="1661">
        <f t="shared" si="1165"/>
        <v>96988</v>
      </c>
      <c r="S177" s="1661">
        <f t="shared" si="1165"/>
        <v>35355</v>
      </c>
      <c r="T177" s="1661">
        <f t="shared" si="1165"/>
        <v>68975</v>
      </c>
      <c r="U177" s="1661">
        <f t="shared" si="1165"/>
        <v>36922</v>
      </c>
      <c r="V177" s="1661">
        <f t="shared" si="1165"/>
        <v>79352</v>
      </c>
      <c r="W177" s="1661">
        <f t="shared" si="1165"/>
        <v>-3153.9999999999927</v>
      </c>
      <c r="X177" s="1661">
        <f t="shared" si="1165"/>
        <v>74453</v>
      </c>
      <c r="Y177" s="1661">
        <f t="shared" si="1165"/>
        <v>29895.999999999996</v>
      </c>
      <c r="Z177" s="1661">
        <f t="shared" si="1165"/>
        <v>117793</v>
      </c>
      <c r="AA177" s="1661">
        <f t="shared" si="1165"/>
        <v>19435.999999999993</v>
      </c>
      <c r="AB177" s="1661">
        <f t="shared" si="1165"/>
        <v>102366</v>
      </c>
      <c r="AC177" s="1661">
        <f t="shared" si="1165"/>
        <v>20648</v>
      </c>
      <c r="AD177" s="1661">
        <f t="shared" si="1165"/>
        <v>110799</v>
      </c>
      <c r="AE177" s="1661">
        <f t="shared" si="1165"/>
        <v>7386.9999999999927</v>
      </c>
      <c r="AF177" s="1661">
        <f t="shared" si="1165"/>
        <v>115972</v>
      </c>
      <c r="AG177" s="1661">
        <f t="shared" si="1165"/>
        <v>33929</v>
      </c>
      <c r="AH177" s="1661">
        <f t="shared" si="1165"/>
        <v>176476</v>
      </c>
      <c r="AI177" s="1661">
        <f t="shared" si="1165"/>
        <v>3175.0000000000146</v>
      </c>
      <c r="AJ177" s="1661">
        <f t="shared" si="1165"/>
        <v>123534</v>
      </c>
      <c r="AK177" s="1661">
        <f t="shared" si="1165"/>
        <v>61493.000000000007</v>
      </c>
      <c r="AL177" s="1661">
        <f t="shared" si="1165"/>
        <v>217870</v>
      </c>
      <c r="AM177" s="1661">
        <f t="shared" si="1165"/>
        <v>-7887.9999999999927</v>
      </c>
      <c r="AN177" s="1661">
        <f t="shared" si="1165"/>
        <v>119292</v>
      </c>
      <c r="AO177" s="1661">
        <f t="shared" si="1165"/>
        <v>63953.000000000015</v>
      </c>
      <c r="AP177" s="1661">
        <f t="shared" si="1165"/>
        <v>282621</v>
      </c>
      <c r="AQ177" s="1661">
        <f t="shared" si="1165"/>
        <v>71468.450000000041</v>
      </c>
      <c r="AR177" s="1661">
        <f t="shared" si="1165"/>
        <v>194246</v>
      </c>
      <c r="AS177" s="1661">
        <f t="shared" si="1165"/>
        <v>138830</v>
      </c>
      <c r="AT177" s="1661">
        <f t="shared" si="1165"/>
        <v>420285.86599999998</v>
      </c>
      <c r="AU177" s="1661">
        <f t="shared" si="1165"/>
        <v>124230.65992000009</v>
      </c>
      <c r="AV177" s="1661">
        <f t="shared" si="1165"/>
        <v>259115.60341999994</v>
      </c>
      <c r="AW177" s="1661">
        <f t="shared" si="1165"/>
        <v>178824.00000000003</v>
      </c>
      <c r="AX177" s="1661">
        <f t="shared" si="1165"/>
        <v>449337.99999999994</v>
      </c>
      <c r="AY177" s="1661">
        <f t="shared" si="1165"/>
        <v>107971.99999999999</v>
      </c>
      <c r="AZ177" s="1661">
        <f t="shared" si="1165"/>
        <v>288661</v>
      </c>
      <c r="BA177" s="1661">
        <f t="shared" si="1165"/>
        <v>149426</v>
      </c>
      <c r="BB177" s="1661">
        <f t="shared" si="1165"/>
        <v>470411</v>
      </c>
      <c r="BC177" s="1661">
        <f t="shared" si="1165"/>
        <v>110900.23211000006</v>
      </c>
      <c r="BD177" s="1661">
        <f t="shared" si="1165"/>
        <v>300582.0091299999</v>
      </c>
      <c r="BE177" s="1661">
        <f t="shared" si="1165"/>
        <v>196897.57071</v>
      </c>
      <c r="BF177" s="1661">
        <f t="shared" si="1165"/>
        <v>529070.56450999994</v>
      </c>
      <c r="BG177" s="1661">
        <f t="shared" si="1165"/>
        <v>147473</v>
      </c>
      <c r="BH177" s="1661">
        <f t="shared" si="1165"/>
        <v>344293.99999999994</v>
      </c>
      <c r="BI177" s="1661">
        <f t="shared" si="1165"/>
        <v>236332.64325999987</v>
      </c>
      <c r="BJ177" s="1661">
        <f t="shared" si="1165"/>
        <v>665964.48546999961</v>
      </c>
      <c r="BK177" s="1661">
        <f t="shared" si="1165"/>
        <v>289812.77510999993</v>
      </c>
      <c r="BL177" s="1661">
        <f t="shared" si="1165"/>
        <v>443266.92894999997</v>
      </c>
      <c r="BM177" s="1661">
        <f t="shared" si="1165"/>
        <v>358795</v>
      </c>
      <c r="BN177" s="1661">
        <f t="shared" ref="BN177:CB177" si="1166">+BN167-BN181</f>
        <v>843900.89513257018</v>
      </c>
      <c r="BO177" s="1661">
        <f t="shared" si="1166"/>
        <v>194138</v>
      </c>
      <c r="BP177" s="1661">
        <f t="shared" si="1166"/>
        <v>-177662.76114999998</v>
      </c>
      <c r="BQ177" s="1661">
        <f t="shared" si="1166"/>
        <v>134900.01373000001</v>
      </c>
      <c r="BR177" s="1661">
        <f t="shared" si="1166"/>
        <v>678943</v>
      </c>
      <c r="BS177" s="1661">
        <f t="shared" si="1166"/>
        <v>-38080</v>
      </c>
      <c r="BT177" s="1661">
        <f t="shared" si="1166"/>
        <v>377919.92</v>
      </c>
      <c r="BU177" s="1661">
        <f t="shared" si="1166"/>
        <v>358748.1594700024</v>
      </c>
      <c r="BV177" s="1661">
        <f t="shared" si="1166"/>
        <v>736166.92354999913</v>
      </c>
      <c r="BW177" s="1661">
        <f t="shared" si="1166"/>
        <v>283464.88</v>
      </c>
      <c r="BX177" s="1661">
        <f t="shared" si="1166"/>
        <v>684825</v>
      </c>
      <c r="BY177" s="1661">
        <f t="shared" si="1166"/>
        <v>396691.94000000006</v>
      </c>
      <c r="BZ177" s="1661">
        <f t="shared" si="1166"/>
        <v>906454.00000000012</v>
      </c>
      <c r="CA177" s="1661">
        <f t="shared" si="1166"/>
        <v>226057.06774000006</v>
      </c>
      <c r="CB177" s="1661">
        <f t="shared" si="1166"/>
        <v>525334.13140000007</v>
      </c>
      <c r="CC177" s="1661">
        <f>+CC167-CC181</f>
        <v>377523.71334000002</v>
      </c>
      <c r="CD177" s="1661">
        <f>+CD167-CD181</f>
        <v>851331.56538000004</v>
      </c>
      <c r="CE177" s="1661">
        <f>+CE167-CE181</f>
        <v>310136</v>
      </c>
      <c r="CF177" s="1661">
        <f t="shared" ref="CF177:CH177" si="1167">+CF167-CF181</f>
        <v>585106</v>
      </c>
      <c r="CG177" s="1661">
        <f t="shared" si="1167"/>
        <v>480348.99767000013</v>
      </c>
      <c r="CH177" s="1661">
        <f t="shared" si="1167"/>
        <v>953939</v>
      </c>
      <c r="CI177" s="1661">
        <f t="shared" ref="CI177" si="1168">+CI167-CI181</f>
        <v>374910.46090000012</v>
      </c>
      <c r="CJ177" s="1661">
        <f t="shared" ref="CJ177:CL177" si="1169">+CJ167-CJ181</f>
        <v>763101.16562999994</v>
      </c>
      <c r="CK177" s="1661">
        <f t="shared" si="1169"/>
        <v>487458.02885000006</v>
      </c>
      <c r="CL177" s="1661">
        <f t="shared" si="1169"/>
        <v>988675.92335553176</v>
      </c>
      <c r="CM177" s="1661">
        <f t="shared" ref="CM177:CP177" si="1170">+CM167-CM181</f>
        <v>422430.35013954144</v>
      </c>
      <c r="CN177" s="1661">
        <f t="shared" si="1170"/>
        <v>828632.80383450096</v>
      </c>
      <c r="CO177" s="1661">
        <f t="shared" si="1170"/>
        <v>553320.9475072216</v>
      </c>
      <c r="CP177" s="1661">
        <f t="shared" si="1170"/>
        <v>1091509.2368944432</v>
      </c>
      <c r="CQ177" s="1656"/>
      <c r="CR177" s="1656"/>
      <c r="CS177" s="1657"/>
      <c r="CT177" s="1656">
        <v>988675.92335553176</v>
      </c>
      <c r="CU177" s="1134">
        <f>+CK177/CT177-1</f>
        <v>-0.50695873406567404</v>
      </c>
      <c r="CV177" s="1659"/>
      <c r="CW177" s="1659"/>
      <c r="CX177" s="1659"/>
      <c r="CY177" s="1659"/>
      <c r="CZ177" s="1659"/>
      <c r="DA177" s="1659"/>
      <c r="DB177" s="1659"/>
      <c r="DC177" s="1659"/>
      <c r="DD177" s="1659"/>
      <c r="DE177" s="1659"/>
      <c r="DF177" s="1659"/>
      <c r="DG177" s="1661">
        <f t="shared" ref="DG177:DV177" si="1171">+DG167-DG181</f>
        <v>1011508.2633400001</v>
      </c>
      <c r="DH177" s="1661">
        <f t="shared" si="1171"/>
        <v>1016470</v>
      </c>
      <c r="DI177" s="1661">
        <f t="shared" si="1171"/>
        <v>1144236</v>
      </c>
      <c r="DJ177" s="1661">
        <f t="shared" si="1171"/>
        <v>1423887.1287299995</v>
      </c>
      <c r="DK177" s="1661">
        <f t="shared" si="1171"/>
        <v>1997344.5991925702</v>
      </c>
      <c r="DL177" s="1661">
        <f t="shared" si="1171"/>
        <v>1579443.2525800001</v>
      </c>
      <c r="DM177" s="1661">
        <f t="shared" si="1171"/>
        <v>1475785.0030200016</v>
      </c>
      <c r="DN177" s="1661">
        <f t="shared" si="1171"/>
        <v>2271435.8200000003</v>
      </c>
      <c r="DO177" s="1661">
        <f t="shared" si="1171"/>
        <v>1980246.4778600002</v>
      </c>
      <c r="DP177" s="1661">
        <f t="shared" si="1171"/>
        <v>2329529.99767</v>
      </c>
      <c r="DQ177" s="1661">
        <f t="shared" ref="DQ177:DR177" si="1172">+DQ167-DQ181</f>
        <v>2614145.5787355318</v>
      </c>
      <c r="DR177" s="1661">
        <f t="shared" si="1172"/>
        <v>2895893.3383757076</v>
      </c>
      <c r="DS177" s="1661">
        <f t="shared" si="1171"/>
        <v>3379871.063460445</v>
      </c>
      <c r="DT177" s="1661">
        <f t="shared" si="1171"/>
        <v>3714367.6908185715</v>
      </c>
      <c r="DU177" s="1661">
        <f t="shared" si="1171"/>
        <v>4072765.6530239251</v>
      </c>
      <c r="DV177" s="1661">
        <f t="shared" si="1171"/>
        <v>4456743.819826168</v>
      </c>
      <c r="DY177" s="1661">
        <v>3130961.8320724289</v>
      </c>
      <c r="DZ177" s="1661">
        <v>3709717.7905179611</v>
      </c>
    </row>
    <row r="178" spans="1:130" s="359" customFormat="1">
      <c r="A178" s="1329" t="s">
        <v>236</v>
      </c>
      <c r="B178" s="643"/>
      <c r="C178" s="641"/>
      <c r="D178" s="641"/>
      <c r="E178" s="641"/>
      <c r="F178" s="641"/>
      <c r="G178" s="641"/>
      <c r="H178" s="641"/>
      <c r="I178" s="641"/>
      <c r="J178" s="641"/>
      <c r="K178" s="641"/>
      <c r="L178" s="641"/>
      <c r="M178" s="641"/>
      <c r="N178" s="1222">
        <f t="shared" ref="N178" si="1173">N177/N$30</f>
        <v>0.1267580625750919</v>
      </c>
      <c r="O178" s="1222">
        <f t="shared" ref="O178" si="1174">O177/O$30</f>
        <v>7.7678194480700499E-2</v>
      </c>
      <c r="P178" s="1222">
        <f t="shared" ref="P178" si="1175">P177/P$30</f>
        <v>0.14154448582777285</v>
      </c>
      <c r="Q178" s="1222">
        <f t="shared" ref="Q178" si="1176">Q177/Q$30</f>
        <v>0.10602795441093894</v>
      </c>
      <c r="R178" s="1222">
        <f t="shared" ref="R178" si="1177">R177/R$30</f>
        <v>0.16118406839038626</v>
      </c>
      <c r="S178" s="1222">
        <f t="shared" ref="S178" si="1178">S177/S$30</f>
        <v>9.221848647436115E-2</v>
      </c>
      <c r="T178" s="1222">
        <f t="shared" ref="T178" si="1179">T177/T$30</f>
        <v>0.13528594909050967</v>
      </c>
      <c r="U178" s="1222">
        <f t="shared" ref="U178" si="1180">U177/U$30</f>
        <v>8.2225399412962044E-2</v>
      </c>
      <c r="V178" s="1222">
        <f t="shared" ref="V178" si="1181">V177/V$30</f>
        <v>0.12928874246852995</v>
      </c>
      <c r="W178" s="1222">
        <f t="shared" ref="W178" si="1182">W177/W$30</f>
        <v>-8.697114841072202E-3</v>
      </c>
      <c r="X178" s="1222">
        <f t="shared" ref="X178" si="1183">X177/X$30</f>
        <v>0.13421435936632464</v>
      </c>
      <c r="Y178" s="1222">
        <f t="shared" ref="Y178" si="1184">Y177/Y$30</f>
        <v>6.1422143693628903E-2</v>
      </c>
      <c r="Z178" s="1222">
        <f t="shared" ref="Z178" si="1185">Z177/Z$30</f>
        <v>0.16547260830109375</v>
      </c>
      <c r="AA178" s="1222">
        <f t="shared" ref="AA178" si="1186">AA177/AA$30</f>
        <v>4.4148044502391827E-2</v>
      </c>
      <c r="AB178" s="1222">
        <f t="shared" ref="AB178" si="1187">AB177/AB$30</f>
        <v>0.16248855138740517</v>
      </c>
      <c r="AC178" s="1222">
        <f t="shared" ref="AC178" si="1188">AC177/AC$30</f>
        <v>3.6304814150578471E-2</v>
      </c>
      <c r="AD178" s="1222">
        <f t="shared" ref="AD178" si="1189">AD177/AD$30</f>
        <v>0.13451230956563542</v>
      </c>
      <c r="AE178" s="1222">
        <f t="shared" ref="AE178" si="1190">AE177/AE$30</f>
        <v>1.4268688659801765E-2</v>
      </c>
      <c r="AF178" s="1222">
        <f t="shared" ref="AF178" si="1191">AF177/AF$30</f>
        <v>0.15470090828690075</v>
      </c>
      <c r="AG178" s="1222">
        <f t="shared" ref="AG178" si="1192">AG177/AG$30</f>
        <v>5.1636340392892145E-2</v>
      </c>
      <c r="AH178" s="1222">
        <f t="shared" ref="AH178" si="1193">AH177/AH$30</f>
        <v>0.18152605484581044</v>
      </c>
      <c r="AI178" s="1222">
        <f t="shared" ref="AI178" si="1194">AI177/AI$30</f>
        <v>5.127592260323441E-3</v>
      </c>
      <c r="AJ178" s="1222">
        <f t="shared" ref="AJ178" si="1195">AJ177/AJ$30</f>
        <v>0.14445565730282553</v>
      </c>
      <c r="AK178" s="1222">
        <f t="shared" ref="AK178" si="1196">AK177/AK$30</f>
        <v>7.6554291263102869E-2</v>
      </c>
      <c r="AL178" s="1222">
        <f t="shared" ref="AL178" si="1197">AL177/AL$30</f>
        <v>0.18396024087840235</v>
      </c>
      <c r="AM178" s="1222">
        <f t="shared" ref="AM178" si="1198">AM177/AM$30</f>
        <v>-1.0854084936517077E-2</v>
      </c>
      <c r="AN178" s="1222">
        <f t="shared" ref="AN178" si="1199">AN177/AN$30</f>
        <v>0.12594132408786712</v>
      </c>
      <c r="AO178" s="1222">
        <f t="shared" ref="AO178" si="1200">AO177/AO$30</f>
        <v>7.0516849373372256E-2</v>
      </c>
      <c r="AP178" s="1222">
        <f t="shared" ref="AP178" si="1201">AP177/AP$30</f>
        <v>0.21202607141731822</v>
      </c>
      <c r="AQ178" s="1222">
        <f t="shared" ref="AQ178" si="1202">AQ177/AQ$30</f>
        <v>8.7743457464310143E-2</v>
      </c>
      <c r="AR178" s="1222">
        <f t="shared" ref="AR178" si="1203">AR177/AR$30</f>
        <v>0.17480773003551123</v>
      </c>
      <c r="AS178" s="1222">
        <f t="shared" ref="AS178" si="1204">AS177/AS$30</f>
        <v>0.13258637501420603</v>
      </c>
      <c r="AT178" s="1222">
        <f t="shared" ref="AT178" si="1205">AT177/AT$30</f>
        <v>0.25169727160084965</v>
      </c>
      <c r="AU178" s="1222">
        <f t="shared" ref="AU178" si="1206">AU177/AU$30</f>
        <v>0.12289175425736609</v>
      </c>
      <c r="AV178" s="1222">
        <f t="shared" ref="AV178" si="1207">AV177/AV$30</f>
        <v>0.19133852356992107</v>
      </c>
      <c r="AW178" s="1222">
        <f t="shared" ref="AW178" si="1208">AW177/AW$30</f>
        <v>0.14324656650899378</v>
      </c>
      <c r="AX178" s="1222">
        <f t="shared" ref="AX178" si="1209">AX177/AX$30</f>
        <v>0.2445555213278138</v>
      </c>
      <c r="AY178" s="1222">
        <f t="shared" ref="AY178" si="1210">AY177/AY$30</f>
        <v>0.10033192460516582</v>
      </c>
      <c r="AZ178" s="1222">
        <f t="shared" ref="AZ178" si="1211">AZ177/AZ$30</f>
        <v>0.19708019728433632</v>
      </c>
      <c r="BA178" s="1222">
        <f t="shared" ref="BA178" si="1212">BA177/BA$30</f>
        <v>0.11855273409297551</v>
      </c>
      <c r="BB178" s="1222">
        <f t="shared" ref="BB178" si="1213">BB177/BB$30</f>
        <v>0.24494143204075597</v>
      </c>
      <c r="BC178" s="1222">
        <f t="shared" ref="BC178" si="1214">BC177/BC$30</f>
        <v>8.9820741266591328E-2</v>
      </c>
      <c r="BD178" s="1222">
        <f t="shared" ref="BD178" si="1215">BD177/BD$30</f>
        <v>0.18435456653230747</v>
      </c>
      <c r="BE178" s="1222">
        <f t="shared" ref="BE178" si="1216">BE177/BE$30</f>
        <v>0.13017349896005362</v>
      </c>
      <c r="BF178" s="1222">
        <f t="shared" ref="BF178" si="1217">BF177/BF$30</f>
        <v>0.23806752949461266</v>
      </c>
      <c r="BG178" s="1222">
        <f t="shared" ref="BG178" si="1218">BG177/BG$30</f>
        <v>0.10542679217253983</v>
      </c>
      <c r="BH178" s="1222">
        <f t="shared" ref="BH178" si="1219">BH177/BH$30</f>
        <v>0.19342022695110364</v>
      </c>
      <c r="BI178" s="1222">
        <f t="shared" ref="BI178" si="1220">BI177/BI$30</f>
        <v>0.13808824347151344</v>
      </c>
      <c r="BJ178" s="1222">
        <f t="shared" ref="BJ178" si="1221">BJ177/BJ$30</f>
        <v>0.25662164841190493</v>
      </c>
      <c r="BK178" s="1222">
        <f t="shared" ref="BK178" si="1222">BK177/BK$30</f>
        <v>0.17560823947472542</v>
      </c>
      <c r="BL178" s="1222">
        <f t="shared" ref="BL178" si="1223">BL177/BL$30</f>
        <v>0.21950709920500114</v>
      </c>
      <c r="BM178" s="1222">
        <f t="shared" ref="BM178" si="1224">BM177/BM$30</f>
        <v>0.18571900343905867</v>
      </c>
      <c r="BN178" s="1222">
        <f t="shared" ref="BN178" si="1225">BN177/BN$30</f>
        <v>0.29372915379103737</v>
      </c>
      <c r="BO178" s="1222">
        <f t="shared" ref="BO178" si="1226">BO177/BO$30</f>
        <v>0.12523577907081759</v>
      </c>
      <c r="BP178" s="1222">
        <f t="shared" ref="BP178" si="1227">BP177/BP$30</f>
        <v>-0.32922703665063113</v>
      </c>
      <c r="BQ178" s="1222">
        <f t="shared" ref="BQ178" si="1228">BQ177/BQ$30</f>
        <v>8.1698315664333207E-2</v>
      </c>
      <c r="BR178" s="1222">
        <f t="shared" ref="BR178" si="1229">BR177/BR$30</f>
        <v>0.2325499270780029</v>
      </c>
      <c r="BS178" s="1222">
        <f t="shared" ref="BS178" si="1230">BS177/BS$30</f>
        <v>-2.7909356157245182E-2</v>
      </c>
      <c r="BT178" s="1222">
        <f t="shared" ref="BT178" si="1231">BT177/BT$30</f>
        <v>0.1673157443387259</v>
      </c>
      <c r="BU178" s="1222">
        <f t="shared" ref="BU178" si="1232">BU177/BU$30</f>
        <v>0.1512477227351223</v>
      </c>
      <c r="BV178" s="1222">
        <f t="shared" ref="BV178" si="1233">BV177/BV$30</f>
        <v>0.20675001351136427</v>
      </c>
      <c r="BW178" s="1222">
        <f t="shared" ref="BW178" si="1234">BW177/BW$30</f>
        <v>0.12713339447854274</v>
      </c>
      <c r="BX178" s="1222">
        <f t="shared" ref="BX178" si="1235">BX177/BX$30</f>
        <v>0.21564231385076574</v>
      </c>
      <c r="BY178" s="1222">
        <f t="shared" ref="BY178" si="1236">BY177/BY$30</f>
        <v>0.1516684209379317</v>
      </c>
      <c r="BZ178" s="1222">
        <f t="shared" ref="BZ178" si="1237">BZ177/BZ$30</f>
        <v>0.25498978301279601</v>
      </c>
      <c r="CA178" s="1222">
        <f t="shared" ref="CA178" si="1238">CA177/CA$30</f>
        <v>9.9234928434999342E-2</v>
      </c>
      <c r="CB178" s="1222">
        <f t="shared" ref="CB178" si="1239">CB177/CB$30</f>
        <v>0.17597341222200488</v>
      </c>
      <c r="CC178" s="1222">
        <f t="shared" ref="CC178:CD178" si="1240">CC177/CC$30</f>
        <v>0.14321264521988114</v>
      </c>
      <c r="CD178" s="1222">
        <f t="shared" si="1240"/>
        <v>0.22362673906619271</v>
      </c>
      <c r="CE178" s="1222">
        <f t="shared" ref="CE178" si="1241">CE177/CE$30</f>
        <v>0.12600516150840857</v>
      </c>
      <c r="CF178" s="1222">
        <f t="shared" ref="CF178" si="1242">CF177/CF$30</f>
        <v>0.18997422987522741</v>
      </c>
      <c r="CG178" s="1222">
        <f t="shared" ref="CG178:CH178" si="1243">CG177/CG$30</f>
        <v>0.16250229965506888</v>
      </c>
      <c r="CH178" s="1222">
        <f t="shared" si="1243"/>
        <v>0.22850047870797471</v>
      </c>
      <c r="CI178" s="1222">
        <f t="shared" ref="CI178" si="1244">CI177/CI$30</f>
        <v>0.13599282544507485</v>
      </c>
      <c r="CJ178" s="1222">
        <f t="shared" ref="CJ178:CL178" si="1245">CJ177/CJ$30</f>
        <v>0.20908777361179876</v>
      </c>
      <c r="CK178" s="1222">
        <f t="shared" si="1245"/>
        <v>0.15830933444597844</v>
      </c>
      <c r="CL178" s="1222">
        <f t="shared" si="1245"/>
        <v>0.22613732026033656</v>
      </c>
      <c r="CM178" s="1222">
        <f t="shared" ref="CM178:CP178" si="1246">CM177/CM$30</f>
        <v>0.14388880503513485</v>
      </c>
      <c r="CN178" s="1222">
        <f t="shared" si="1246"/>
        <v>0.21515123296210828</v>
      </c>
      <c r="CO178" s="1222">
        <f t="shared" si="1246"/>
        <v>0.1660413313399563</v>
      </c>
      <c r="CP178" s="1222">
        <f t="shared" si="1246"/>
        <v>0.23022066420082157</v>
      </c>
      <c r="CQ178" s="733"/>
      <c r="CR178" s="733"/>
      <c r="CS178" s="644"/>
      <c r="CT178" s="733">
        <v>0.22613732026033656</v>
      </c>
      <c r="CU178" s="1135">
        <f>+CK178-CT178</f>
        <v>-6.7827985814358116E-2</v>
      </c>
      <c r="CV178" s="121"/>
      <c r="CW178" s="121"/>
      <c r="CX178" s="121">
        <v>0.10843489268897978</v>
      </c>
      <c r="CY178" s="121">
        <v>0.10096830101476942</v>
      </c>
      <c r="CZ178" s="121">
        <v>8.0258852026639793E-2</v>
      </c>
      <c r="DA178" s="121">
        <v>0.12091812309159539</v>
      </c>
      <c r="DB178" s="121">
        <v>0.1557873442146861</v>
      </c>
      <c r="DC178" s="121">
        <v>0.15989796369280568</v>
      </c>
      <c r="DD178" s="121">
        <v>0.16160412020936116</v>
      </c>
      <c r="DE178" s="121">
        <v>0.16933746843865025</v>
      </c>
      <c r="DF178" s="733">
        <f t="shared" ref="DF178" si="1247">DF177/DF$26</f>
        <v>0</v>
      </c>
      <c r="DG178" s="1222">
        <f t="shared" ref="DG178" si="1248">DG177/DG$30</f>
        <v>0.18556883645712635</v>
      </c>
      <c r="DH178" s="1222">
        <f t="shared" ref="DH178" si="1249">DH177/DH$30</f>
        <v>0.17764994604805026</v>
      </c>
      <c r="DI178" s="1222">
        <f t="shared" ref="DI178" si="1250">DI177/DI$30</f>
        <v>0.17336717336308249</v>
      </c>
      <c r="DJ178" s="1222">
        <f t="shared" ref="DJ178" si="1251">DJ177/DJ$30</f>
        <v>0.19022107722158485</v>
      </c>
      <c r="DK178" s="1222">
        <f t="shared" ref="DK178" si="1252">DK177/DK$30</f>
        <v>0.23568341640134577</v>
      </c>
      <c r="DL178" s="1222">
        <f t="shared" ref="DL178" si="1253">DL177/DL$30</f>
        <v>0.23713331072966568</v>
      </c>
      <c r="DM178" s="1222">
        <f t="shared" ref="DM178" si="1254">DM177/DM$30</f>
        <v>0.15443985529566115</v>
      </c>
      <c r="DN178" s="1222">
        <f>DN177/DN$30</f>
        <v>0.19622287886058801</v>
      </c>
      <c r="DO178" s="1222">
        <f t="shared" ref="DO178" si="1255">DO177/DO$30</f>
        <v>0.16916017114315834</v>
      </c>
      <c r="DP178" s="1222">
        <f t="shared" ref="DP178:DQ178" si="1256">DP177/DP$30</f>
        <v>0.18383358501809113</v>
      </c>
      <c r="DQ178" s="1222">
        <f t="shared" si="1256"/>
        <v>0.18864245384683581</v>
      </c>
      <c r="DR178" s="1222">
        <f t="shared" ref="DR178" si="1257">DR177/DR$30</f>
        <v>0.19486818356122912</v>
      </c>
      <c r="DS178" s="1222">
        <f t="shared" ref="DS178" si="1258">DS177/DS$30</f>
        <v>0.20954932076151456</v>
      </c>
      <c r="DT178" s="1222">
        <f t="shared" ref="DT178" si="1259">DT177/DT$30</f>
        <v>0.21383341324269858</v>
      </c>
      <c r="DU178" s="1222">
        <f t="shared" ref="DU178" si="1260">DU177/DU$30</f>
        <v>0.21784936154262827</v>
      </c>
      <c r="DV178" s="1222">
        <f t="shared" ref="DV178" si="1261">DV177/DV$30</f>
        <v>0.2216252879989212</v>
      </c>
      <c r="DY178" s="1222">
        <v>0.20493733625685015</v>
      </c>
      <c r="DZ178" s="1222">
        <v>0.22303984652028361</v>
      </c>
    </row>
    <row r="179" spans="1:130" s="359" customFormat="1">
      <c r="A179" s="1331" t="s">
        <v>231</v>
      </c>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c r="AA179" s="91"/>
      <c r="AB179" s="91"/>
      <c r="AC179" s="91"/>
      <c r="AD179" s="91"/>
      <c r="AE179" s="91"/>
      <c r="AF179" s="91"/>
      <c r="AG179" s="91"/>
      <c r="AH179" s="91"/>
      <c r="AI179" s="93"/>
      <c r="AJ179" s="93"/>
      <c r="AK179" s="93"/>
      <c r="AL179" s="93"/>
      <c r="AM179" s="93"/>
      <c r="AN179" s="93">
        <v>-9.4076869945851072E-3</v>
      </c>
      <c r="AO179" s="93">
        <v>-1.2192860385231347E-2</v>
      </c>
      <c r="AP179" s="93">
        <v>4.2488818238968801E-2</v>
      </c>
      <c r="AQ179" s="1164">
        <f t="shared" ref="AQ179:CI179" si="1262">+AQ178-AM178</f>
        <v>9.8597542400827215E-2</v>
      </c>
      <c r="AR179" s="1164">
        <f t="shared" si="1262"/>
        <v>4.8866405947644104E-2</v>
      </c>
      <c r="AS179" s="1164">
        <f t="shared" si="1262"/>
        <v>6.2069525640833775E-2</v>
      </c>
      <c r="AT179" s="1164">
        <f t="shared" si="1262"/>
        <v>3.967120018353143E-2</v>
      </c>
      <c r="AU179" s="1164">
        <f t="shared" si="1262"/>
        <v>3.514829679305595E-2</v>
      </c>
      <c r="AV179" s="1164">
        <f t="shared" si="1262"/>
        <v>1.6530793534409838E-2</v>
      </c>
      <c r="AW179" s="1164">
        <f t="shared" si="1262"/>
        <v>1.0660191494787752E-2</v>
      </c>
      <c r="AX179" s="1164">
        <f t="shared" si="1262"/>
        <v>-7.1417502730358462E-3</v>
      </c>
      <c r="AY179" s="1164">
        <f t="shared" si="1262"/>
        <v>-2.2559829652200269E-2</v>
      </c>
      <c r="AZ179" s="1164">
        <f t="shared" si="1262"/>
        <v>5.7416737144152519E-3</v>
      </c>
      <c r="BA179" s="1164">
        <f t="shared" si="1262"/>
        <v>-2.4693832416018274E-2</v>
      </c>
      <c r="BB179" s="1164">
        <f t="shared" si="1262"/>
        <v>3.8591071294216683E-4</v>
      </c>
      <c r="BC179" s="1164">
        <f t="shared" si="1262"/>
        <v>-1.0511183338574495E-2</v>
      </c>
      <c r="BD179" s="1164">
        <f t="shared" si="1262"/>
        <v>-1.2725630752028844E-2</v>
      </c>
      <c r="BE179" s="1164">
        <f t="shared" si="1262"/>
        <v>1.1620764867078109E-2</v>
      </c>
      <c r="BF179" s="1164">
        <f t="shared" si="1262"/>
        <v>-6.8739025461433123E-3</v>
      </c>
      <c r="BG179" s="1164">
        <f t="shared" si="1262"/>
        <v>1.5606050905948507E-2</v>
      </c>
      <c r="BH179" s="1164">
        <f t="shared" si="1262"/>
        <v>9.0656604187961676E-3</v>
      </c>
      <c r="BI179" s="1164">
        <f t="shared" si="1262"/>
        <v>7.9147445114598203E-3</v>
      </c>
      <c r="BJ179" s="1164">
        <f t="shared" si="1262"/>
        <v>1.8554118917292278E-2</v>
      </c>
      <c r="BK179" s="1164">
        <f t="shared" si="1262"/>
        <v>7.018144730218559E-2</v>
      </c>
      <c r="BL179" s="1164">
        <f t="shared" si="1262"/>
        <v>2.6086872253897497E-2</v>
      </c>
      <c r="BM179" s="1223">
        <f t="shared" si="1262"/>
        <v>4.7630759967545233E-2</v>
      </c>
      <c r="BN179" s="1223">
        <f t="shared" si="1262"/>
        <v>3.7107505379132433E-2</v>
      </c>
      <c r="BO179" s="1223">
        <f t="shared" si="1262"/>
        <v>-5.0372460403907832E-2</v>
      </c>
      <c r="BP179" s="1223">
        <f t="shared" si="1262"/>
        <v>-0.54873413585563224</v>
      </c>
      <c r="BQ179" s="1223">
        <f t="shared" si="1262"/>
        <v>-0.10402068777472546</v>
      </c>
      <c r="BR179" s="1223">
        <f t="shared" si="1262"/>
        <v>-6.1179226713034468E-2</v>
      </c>
      <c r="BS179" s="1223">
        <f t="shared" si="1262"/>
        <v>-0.15314513522806278</v>
      </c>
      <c r="BT179" s="1223">
        <f t="shared" si="1262"/>
        <v>0.496542780989357</v>
      </c>
      <c r="BU179" s="1223">
        <f t="shared" si="1262"/>
        <v>6.954940707078909E-2</v>
      </c>
      <c r="BV179" s="1223">
        <f t="shared" si="1262"/>
        <v>-2.5799913566638633E-2</v>
      </c>
      <c r="BW179" s="1223">
        <f t="shared" si="1262"/>
        <v>0.15504275063578793</v>
      </c>
      <c r="BX179" s="1223">
        <f t="shared" si="1262"/>
        <v>4.8326569512039841E-2</v>
      </c>
      <c r="BY179" s="1223">
        <f t="shared" si="1262"/>
        <v>4.2069820280940529E-4</v>
      </c>
      <c r="BZ179" s="1223">
        <f t="shared" si="1262"/>
        <v>4.8239769501431745E-2</v>
      </c>
      <c r="CA179" s="1223">
        <f t="shared" si="1262"/>
        <v>-2.7898466043543402E-2</v>
      </c>
      <c r="CB179" s="1223">
        <f t="shared" si="1262"/>
        <v>-3.9668901628760855E-2</v>
      </c>
      <c r="CC179" s="1223">
        <f t="shared" si="1262"/>
        <v>-8.4557757180505622E-3</v>
      </c>
      <c r="CD179" s="1223">
        <f t="shared" si="1262"/>
        <v>-3.1363043946603303E-2</v>
      </c>
      <c r="CE179" s="1223">
        <f t="shared" si="1262"/>
        <v>2.6770233073409228E-2</v>
      </c>
      <c r="CF179" s="1223">
        <f t="shared" si="1262"/>
        <v>1.400081765322253E-2</v>
      </c>
      <c r="CG179" s="1223">
        <f t="shared" si="1262"/>
        <v>1.9289654435187736E-2</v>
      </c>
      <c r="CH179" s="1223">
        <f t="shared" si="1262"/>
        <v>4.8737396417820045E-3</v>
      </c>
      <c r="CI179" s="1223">
        <f t="shared" si="1262"/>
        <v>9.9876639366662801E-3</v>
      </c>
      <c r="CJ179" s="1223">
        <f t="shared" ref="CJ179" si="1263">+CJ178-CF178</f>
        <v>1.9113543736571342E-2</v>
      </c>
      <c r="CK179" s="1223">
        <f t="shared" ref="CK179" si="1264">+CK178-CG178</f>
        <v>-4.1929652090904324E-3</v>
      </c>
      <c r="CL179" s="1164">
        <f>+CL178-CH178</f>
        <v>-2.3631584476381529E-3</v>
      </c>
      <c r="CM179" s="1164">
        <f t="shared" ref="CM179" si="1265">+CM178-CI178</f>
        <v>7.8959795900599983E-3</v>
      </c>
      <c r="CN179" s="1164">
        <f t="shared" ref="CN179" si="1266">+CN178-CJ178</f>
        <v>6.0634593503095247E-3</v>
      </c>
      <c r="CO179" s="1164">
        <f t="shared" ref="CO179" si="1267">+CO178-CK178</f>
        <v>7.7319968939778549E-3</v>
      </c>
      <c r="CP179" s="1164">
        <f t="shared" ref="CP179" si="1268">+CP178-CL178</f>
        <v>4.0833439404850125E-3</v>
      </c>
      <c r="CQ179" s="1164"/>
      <c r="CR179" s="1164"/>
      <c r="CS179" s="556"/>
      <c r="CT179" s="1164">
        <v>-2.3631584476381529E-3</v>
      </c>
      <c r="CU179" s="1110"/>
      <c r="CV179" s="118">
        <v>5.9298346410792992E-2</v>
      </c>
      <c r="CW179" s="118">
        <v>0.12627856600960963</v>
      </c>
      <c r="CX179" s="118">
        <v>0.12981064994468527</v>
      </c>
      <c r="CY179" s="118">
        <v>0.1325132487354598</v>
      </c>
      <c r="CZ179" s="118">
        <v>0.12498677283215308</v>
      </c>
      <c r="DA179" s="118">
        <v>0.15312731106586994</v>
      </c>
      <c r="DB179" s="118">
        <v>0.18343765833205516</v>
      </c>
      <c r="DC179" s="118">
        <v>0.18390652336761421</v>
      </c>
      <c r="DD179" s="118">
        <v>0.18489644552192513</v>
      </c>
      <c r="DE179" s="118">
        <v>0.19142697366042602</v>
      </c>
      <c r="DF179" s="118"/>
      <c r="DG179" s="1240">
        <f t="shared" ref="DG179:DV179" si="1269">+DG178-DF178</f>
        <v>0.18556883645712635</v>
      </c>
      <c r="DH179" s="1240">
        <f t="shared" si="1269"/>
        <v>-7.9188904090760903E-3</v>
      </c>
      <c r="DI179" s="1240">
        <f t="shared" si="1269"/>
        <v>-4.2827726849677672E-3</v>
      </c>
      <c r="DJ179" s="1240">
        <f t="shared" si="1269"/>
        <v>1.6853903858502356E-2</v>
      </c>
      <c r="DK179" s="1240">
        <f t="shared" si="1269"/>
        <v>4.5462339179760919E-2</v>
      </c>
      <c r="DL179" s="1240">
        <f t="shared" si="1269"/>
        <v>1.4498943283199062E-3</v>
      </c>
      <c r="DM179" s="1240">
        <f t="shared" si="1269"/>
        <v>-8.2693455434004526E-2</v>
      </c>
      <c r="DN179" s="1240">
        <f t="shared" si="1269"/>
        <v>4.1783023564926858E-2</v>
      </c>
      <c r="DO179" s="1240">
        <f t="shared" si="1269"/>
        <v>-2.7062707717429663E-2</v>
      </c>
      <c r="DP179" s="1240">
        <f t="shared" si="1269"/>
        <v>1.4673413874932789E-2</v>
      </c>
      <c r="DQ179" s="1240">
        <f t="shared" si="1269"/>
        <v>4.8088688287446779E-3</v>
      </c>
      <c r="DR179" s="1240">
        <f t="shared" si="1269"/>
        <v>6.2257297143933077E-3</v>
      </c>
      <c r="DS179" s="401">
        <f t="shared" si="1269"/>
        <v>1.4681137200285438E-2</v>
      </c>
      <c r="DT179" s="401">
        <f t="shared" si="1269"/>
        <v>4.2840924811840264E-3</v>
      </c>
      <c r="DU179" s="401">
        <f t="shared" si="1269"/>
        <v>4.0159482999296836E-3</v>
      </c>
      <c r="DV179" s="401">
        <f t="shared" si="1269"/>
        <v>3.7759264562929329E-3</v>
      </c>
      <c r="DY179" s="401">
        <v>1.2287693922566345E-2</v>
      </c>
      <c r="DZ179" s="401">
        <v>1.8102510263433458E-2</v>
      </c>
    </row>
    <row r="180" spans="1:130" s="359" customFormat="1">
      <c r="A180" s="133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c r="AA180" s="91"/>
      <c r="AB180" s="91"/>
      <c r="AC180" s="91"/>
      <c r="AD180" s="91"/>
      <c r="AE180" s="91"/>
      <c r="AF180" s="91"/>
      <c r="AG180" s="91"/>
      <c r="AH180" s="91"/>
      <c r="AI180" s="93"/>
      <c r="AJ180" s="93"/>
      <c r="AK180" s="93"/>
      <c r="AL180" s="93"/>
      <c r="AM180" s="93"/>
      <c r="AN180" s="93"/>
      <c r="AO180" s="93"/>
      <c r="AP180" s="93"/>
      <c r="AQ180" s="1164"/>
      <c r="AR180" s="1164"/>
      <c r="AS180" s="1164"/>
      <c r="AT180" s="1164"/>
      <c r="AU180" s="1164"/>
      <c r="AV180" s="1164"/>
      <c r="AW180" s="1164"/>
      <c r="AX180" s="1164"/>
      <c r="AY180" s="1164"/>
      <c r="AZ180" s="1164"/>
      <c r="BA180" s="1164"/>
      <c r="BB180" s="1164"/>
      <c r="BC180" s="1164"/>
      <c r="BD180" s="1164"/>
      <c r="BE180" s="1164"/>
      <c r="BF180" s="1164"/>
      <c r="BG180" s="1164"/>
      <c r="BH180" s="1164"/>
      <c r="BI180" s="1164"/>
      <c r="BJ180" s="1164"/>
      <c r="BK180" s="1164"/>
      <c r="BL180" s="1164"/>
      <c r="BM180" s="1223"/>
      <c r="BN180" s="1223"/>
      <c r="BO180" s="1223"/>
      <c r="BP180" s="1223"/>
      <c r="BQ180" s="1223"/>
      <c r="BR180" s="1223"/>
      <c r="BS180" s="1223"/>
      <c r="BT180" s="1223"/>
      <c r="BU180" s="1223"/>
      <c r="BV180" s="1223"/>
      <c r="BW180" s="1223"/>
      <c r="BX180" s="1223"/>
      <c r="BY180" s="1223"/>
      <c r="BZ180" s="1223"/>
      <c r="CA180" s="1223"/>
      <c r="CB180" s="1223"/>
      <c r="CC180" s="1223"/>
      <c r="CD180" s="1223"/>
      <c r="CE180" s="1223"/>
      <c r="CF180" s="1223"/>
      <c r="CG180" s="1223"/>
      <c r="CH180" s="1223"/>
      <c r="CI180" s="1223"/>
      <c r="CJ180" s="1223"/>
      <c r="CK180" s="1223"/>
      <c r="CL180" s="1164"/>
      <c r="CM180" s="1164"/>
      <c r="CN180" s="1164"/>
      <c r="CO180" s="1164"/>
      <c r="CP180" s="1164"/>
      <c r="CQ180" s="1164"/>
      <c r="CR180" s="1164"/>
      <c r="CS180" s="556"/>
      <c r="CT180" s="1164"/>
      <c r="CU180" s="1110"/>
      <c r="CV180" s="118"/>
      <c r="CW180" s="118"/>
      <c r="CX180" s="118"/>
      <c r="CY180" s="118"/>
      <c r="CZ180" s="118"/>
      <c r="DA180" s="118"/>
      <c r="DB180" s="118"/>
      <c r="DC180" s="118"/>
      <c r="DD180" s="118"/>
      <c r="DE180" s="118"/>
      <c r="DF180" s="118"/>
      <c r="DG180" s="1240"/>
      <c r="DH180" s="1240"/>
      <c r="DI180" s="1240"/>
      <c r="DJ180" s="1240"/>
      <c r="DK180" s="1240"/>
      <c r="DL180" s="1240"/>
      <c r="DM180" s="1240"/>
      <c r="DN180" s="1240"/>
      <c r="DO180" s="1240"/>
      <c r="DP180" s="1240"/>
      <c r="DQ180" s="1240"/>
      <c r="DR180" s="1240"/>
      <c r="DS180" s="401"/>
      <c r="DT180" s="401"/>
      <c r="DU180" s="401"/>
      <c r="DV180" s="401"/>
      <c r="DY180" s="401"/>
      <c r="DZ180" s="401"/>
    </row>
    <row r="181" spans="1:130" s="668" customFormat="1">
      <c r="A181" s="1304" t="s">
        <v>241</v>
      </c>
      <c r="B181" s="1305"/>
      <c r="C181" s="1305"/>
      <c r="D181" s="1305"/>
      <c r="E181" s="1305"/>
      <c r="F181" s="1305"/>
      <c r="G181" s="1305"/>
      <c r="H181" s="1305"/>
      <c r="I181" s="1305"/>
      <c r="J181" s="1305"/>
      <c r="K181" s="1305"/>
      <c r="L181" s="1305"/>
      <c r="M181" s="1305"/>
      <c r="N181" s="1305"/>
      <c r="O181" s="1305"/>
      <c r="P181" s="1305"/>
      <c r="Q181" s="1305"/>
      <c r="R181" s="1305"/>
      <c r="S181" s="1305"/>
      <c r="T181" s="1305"/>
      <c r="U181" s="1305"/>
      <c r="V181" s="1305"/>
      <c r="W181" s="1305">
        <f>+Cartao!W130*1000</f>
        <v>20116.999999999993</v>
      </c>
      <c r="X181" s="1305">
        <f>+Cartao!X130*1000</f>
        <v>9139.0000000000055</v>
      </c>
      <c r="Y181" s="1305">
        <f>+Cartao!Y130*1000</f>
        <v>19140.000000000004</v>
      </c>
      <c r="Z181" s="1305">
        <f>+Cartao!Z130*1000</f>
        <v>19234</v>
      </c>
      <c r="AA181" s="1305">
        <f>+Cartao!AA130*1000</f>
        <v>26345.000000000007</v>
      </c>
      <c r="AB181" s="1305">
        <f>+Cartao!AB130*1000</f>
        <v>24701.000000000007</v>
      </c>
      <c r="AC181" s="1305">
        <f>+Cartao!AC130*1000</f>
        <v>36513</v>
      </c>
      <c r="AD181" s="1305">
        <f>+Cartao!AD130*1000</f>
        <v>33500</v>
      </c>
      <c r="AE181" s="1305">
        <f>+Cartao!AE130*1000</f>
        <v>38500.000000000007</v>
      </c>
      <c r="AF181" s="1305">
        <f>+Cartao!AF130*1000</f>
        <v>32100.000000000007</v>
      </c>
      <c r="AG181" s="1305">
        <f>+Cartao!AG130*1000</f>
        <v>34000</v>
      </c>
      <c r="AH181" s="1305">
        <f>+Cartao!AH130*1000</f>
        <v>20500</v>
      </c>
      <c r="AI181" s="1305">
        <f>+Cartao!AI130*1000</f>
        <v>40919.999999999985</v>
      </c>
      <c r="AJ181" s="1305">
        <f>+Cartao!AJ130*1000</f>
        <v>32314.000000000007</v>
      </c>
      <c r="AK181" s="1305">
        <f>+Cartao!AK130*1000</f>
        <v>42999.999999999993</v>
      </c>
      <c r="AL181" s="1305">
        <f>+Cartao!AL130*1000</f>
        <v>32700.000000000011</v>
      </c>
      <c r="AM181" s="1305">
        <f>+Cartao!AM130*1000</f>
        <v>47599.999999999993</v>
      </c>
      <c r="AN181" s="1305">
        <f>+Cartao!AN130*1000</f>
        <v>41099.999999999993</v>
      </c>
      <c r="AO181" s="1305">
        <f>+Cartao!AO130*1000</f>
        <v>44999.999999999985</v>
      </c>
      <c r="AP181" s="1305">
        <f>+Cartao!AP130*1000</f>
        <v>40099.999999999971</v>
      </c>
      <c r="AQ181" s="1305">
        <f>+Cartao!AQ130*1000</f>
        <v>61399.999999999978</v>
      </c>
      <c r="AR181" s="1305">
        <f>+Cartao!AR130*1000</f>
        <v>52400.000000000007</v>
      </c>
      <c r="AS181" s="1305">
        <f>+Cartao!AS130*1000</f>
        <v>61699.999999999993</v>
      </c>
      <c r="AT181" s="1305">
        <f>+Cartao!AT130*1000</f>
        <v>42099.999999999993</v>
      </c>
      <c r="AU181" s="1305">
        <f>+Cartao!AU130*1000</f>
        <v>68071</v>
      </c>
      <c r="AV181" s="1305">
        <f>+Cartao!AV130*1000</f>
        <v>54023.999999999993</v>
      </c>
      <c r="AW181" s="1305">
        <f>+Cartao!AW130*1000</f>
        <v>47865.999999999978</v>
      </c>
      <c r="AX181" s="1305">
        <f>+Cartao!AX130*1000</f>
        <v>38401.000000000007</v>
      </c>
      <c r="AY181" s="1305">
        <f>+Cartao!AY130*1000</f>
        <v>68778.000000000015</v>
      </c>
      <c r="AZ181" s="1305">
        <f>+Cartao!AZ130*1000</f>
        <v>54300</v>
      </c>
      <c r="BA181" s="1305">
        <f>+Cartao!BA130*1000</f>
        <v>65336.000000000015</v>
      </c>
      <c r="BB181" s="1305">
        <f>+Cartao!BB130*1000</f>
        <v>62854.999999999993</v>
      </c>
      <c r="BC181" s="1305">
        <f>+Cartao!BC130*1000</f>
        <v>79058.999999999985</v>
      </c>
      <c r="BD181" s="1305">
        <f>+Cartao!BD130*1000</f>
        <v>78988.000000000029</v>
      </c>
      <c r="BE181" s="1305">
        <f>+Cartao!BE130*1000</f>
        <v>97821</v>
      </c>
      <c r="BF181" s="1305">
        <f>+Cartao!BF130*1000</f>
        <v>75726.000000000015</v>
      </c>
      <c r="BG181" s="1305">
        <f>+Cartao!BG130*1000</f>
        <v>102786</v>
      </c>
      <c r="BH181" s="1305">
        <f>+Cartao!BH130*1000</f>
        <v>81310.999999999985</v>
      </c>
      <c r="BI181" s="1305">
        <f>+Cartao!BI130*1000</f>
        <v>86619.356740000134</v>
      </c>
      <c r="BJ181" s="1305">
        <f>+Cartao!BJ130*1000</f>
        <v>78714.514530000393</v>
      </c>
      <c r="BK181" s="1305">
        <f>+Cartao!BK130*1000</f>
        <v>97726.224890000041</v>
      </c>
      <c r="BL181" s="1305">
        <f>+Cartao!BL130*1000</f>
        <v>91072.071050000013</v>
      </c>
      <c r="BM181" s="1305">
        <f>+Cartao!BM130*1000</f>
        <v>103263.00000000003</v>
      </c>
      <c r="BN181" s="1305">
        <f>+Cartao!BN130*1000</f>
        <v>99422.104867429778</v>
      </c>
      <c r="BO181" s="1305">
        <f>+Cartao!BO130*1000</f>
        <v>20671.000000000007</v>
      </c>
      <c r="BP181" s="1305">
        <f>+Cartao!BP130*1000</f>
        <v>52790.761149999977</v>
      </c>
      <c r="BQ181" s="1305">
        <f>+Cartao!BQ130*1000</f>
        <v>-51157.013730000006</v>
      </c>
      <c r="BR181" s="1305">
        <f>+Cartao!BR130*1000</f>
        <v>59500</v>
      </c>
      <c r="BS181" s="1305">
        <f>+Cartao!BS130*1000</f>
        <v>69400</v>
      </c>
      <c r="BT181" s="1305">
        <f>+Cartao!BT130*1000</f>
        <v>51533.080000000024</v>
      </c>
      <c r="BU181" s="1305">
        <f>+Cartao!BU130*1000</f>
        <v>74076.179999999964</v>
      </c>
      <c r="BV181" s="1305">
        <f>+Cartao!BV130*1000</f>
        <v>51551.889999999985</v>
      </c>
      <c r="BW181" s="1305">
        <f>+Cartao!BW130*1000</f>
        <v>85211.120000000024</v>
      </c>
      <c r="BX181" s="1305">
        <f>+Cartao!BX130*1000</f>
        <v>11948.999999999984</v>
      </c>
      <c r="BY181" s="1305">
        <f>+Cartao!BY130*1000</f>
        <v>19025.059999999969</v>
      </c>
      <c r="BZ181" s="1305">
        <f>+Cartao!BZ130*1000</f>
        <v>-34649.000000000087</v>
      </c>
      <c r="CA181" s="1305">
        <f>+Cartao!CA130*1000</f>
        <v>-10321.067740000046</v>
      </c>
      <c r="CB181" s="1305">
        <f>+Cartao!CB130*1000</f>
        <v>-53690.131400000013</v>
      </c>
      <c r="CC181" s="1305">
        <f>+Cartao!CC130*1000</f>
        <v>-35052.713340000024</v>
      </c>
      <c r="CD181" s="1305">
        <f>+Cartao!CD130*1000</f>
        <v>3192.4346199999718</v>
      </c>
      <c r="CE181" s="1305">
        <f>+Cartao!CE130*1000</f>
        <v>13401.999999999987</v>
      </c>
      <c r="CF181" s="1305">
        <f>+Cartao!CF130*1000</f>
        <v>34761.000000000022</v>
      </c>
      <c r="CG181" s="1305">
        <f>+Cartao!CG130*1000</f>
        <v>58311.002329999865</v>
      </c>
      <c r="CH181" s="1305">
        <f>+Cartao!CH130*1000</f>
        <v>61382.000000000007</v>
      </c>
      <c r="CI181" s="1305">
        <f>+Cartao!CI130*1000</f>
        <v>190465.53909999988</v>
      </c>
      <c r="CJ181" s="1305">
        <f>+Cartao!CJ130*1000</f>
        <v>118451.83437000006</v>
      </c>
      <c r="CK181" s="1305">
        <f>+Cartao!CK130*1000</f>
        <v>79810.971149999939</v>
      </c>
      <c r="CL181" s="1307">
        <f>+Cartao!CL130*1000</f>
        <v>75457.194738675302</v>
      </c>
      <c r="CM181" s="1307">
        <f>+Cartao!CM130*1000</f>
        <v>106289.85529449125</v>
      </c>
      <c r="CN181" s="1307">
        <f>+Cartao!CN130*1000</f>
        <v>-23589.324863412741</v>
      </c>
      <c r="CO181" s="1307">
        <f>+Cartao!CO130*1000</f>
        <v>42284.046862618365</v>
      </c>
      <c r="CP181" s="1307">
        <f>+Cartao!CP130*1000</f>
        <v>89227.485739968164</v>
      </c>
      <c r="CQ181" s="1307"/>
      <c r="CR181" s="1307"/>
      <c r="CS181" s="1307"/>
      <c r="CT181" s="1307">
        <v>75457.194738675302</v>
      </c>
      <c r="CU181" s="1134">
        <f>+CK181/CT181-1</f>
        <v>5.7698625378304946E-2</v>
      </c>
      <c r="CV181" s="1305"/>
      <c r="CW181" s="1305"/>
      <c r="CX181" s="1305" t="e">
        <v>#REF!</v>
      </c>
      <c r="CY181" s="1305" t="e">
        <v>#REF!</v>
      </c>
      <c r="CZ181" s="1305" t="e">
        <v>#REF!</v>
      </c>
      <c r="DA181" s="1305">
        <v>67630</v>
      </c>
      <c r="DB181" s="1305">
        <v>121059.00000000001</v>
      </c>
      <c r="DC181" s="1305">
        <v>125100.00000000003</v>
      </c>
      <c r="DD181" s="1305">
        <v>148934</v>
      </c>
      <c r="DE181" s="1305">
        <v>173799.99999999994</v>
      </c>
      <c r="DF181" s="1305">
        <f>+Cartao!DE130*1000</f>
        <v>217599.99999999997</v>
      </c>
      <c r="DG181" s="666">
        <f>+SUM(AU181:AX181)</f>
        <v>208361.99999999997</v>
      </c>
      <c r="DH181" s="1305">
        <f>+SUM(AY181:BB181)</f>
        <v>251269.00000000003</v>
      </c>
      <c r="DI181" s="1305">
        <f>+SUM(BC181:BF181)</f>
        <v>331594</v>
      </c>
      <c r="DJ181" s="1305">
        <f>+SUM(BG181:BJ181)</f>
        <v>349430.87127000053</v>
      </c>
      <c r="DK181" s="1305">
        <f>+SUM(BK181:BN181)</f>
        <v>391483.40080742986</v>
      </c>
      <c r="DL181" s="1306">
        <f>+SUM(BO181:BR181)</f>
        <v>81804.747419999971</v>
      </c>
      <c r="DM181" s="674">
        <f>+SUM(BS181:BV181)</f>
        <v>246561.14999999997</v>
      </c>
      <c r="DN181" s="674">
        <f>+SUM(BW181:BZ181)</f>
        <v>81536.179999999891</v>
      </c>
      <c r="DO181" s="674">
        <f>+SUM(CA181:CD181)</f>
        <v>-95871.477860000115</v>
      </c>
      <c r="DP181" s="674">
        <f>+SUM(CE181:CH181)</f>
        <v>167856.00232999987</v>
      </c>
      <c r="DQ181" s="674">
        <f>+SUM(CI181:CL181)</f>
        <v>464185.53935867519</v>
      </c>
      <c r="DR181" s="674">
        <f>+SUM(CM181:CP181)</f>
        <v>214212.06303366504</v>
      </c>
      <c r="DS181" s="1305">
        <f>+Cartao!DR130*1000</f>
        <v>424980.75518914848</v>
      </c>
      <c r="DT181" s="1305">
        <f>+Cartao!DS130*1000</f>
        <v>450939.91370462149</v>
      </c>
      <c r="DU181" s="1305">
        <f>+Cartao!DT130*1000</f>
        <v>469103.37491095869</v>
      </c>
      <c r="DV181" s="1305">
        <f>+Cartao!DU130*1000</f>
        <v>485285.86059512972</v>
      </c>
      <c r="DY181" s="1305">
        <v>202874.05385743341</v>
      </c>
      <c r="DZ181" s="1305">
        <v>246991.98725133931</v>
      </c>
    </row>
    <row r="182" spans="1:130" s="359" customFormat="1">
      <c r="A182" s="1329" t="s">
        <v>242</v>
      </c>
      <c r="B182" s="643"/>
      <c r="C182" s="641"/>
      <c r="D182" s="641"/>
      <c r="E182" s="641"/>
      <c r="F182" s="641"/>
      <c r="G182" s="641"/>
      <c r="H182" s="641"/>
      <c r="I182" s="641"/>
      <c r="J182" s="641"/>
      <c r="K182" s="641"/>
      <c r="L182" s="641"/>
      <c r="M182" s="641"/>
      <c r="N182" s="121"/>
      <c r="O182" s="121"/>
      <c r="P182" s="121"/>
      <c r="Q182" s="121"/>
      <c r="R182" s="121"/>
      <c r="S182" s="121"/>
      <c r="T182" s="121"/>
      <c r="U182" s="121"/>
      <c r="V182" s="121"/>
      <c r="W182" s="121">
        <v>0.35614764981853575</v>
      </c>
      <c r="X182" s="121">
        <v>0.15573770491803288</v>
      </c>
      <c r="Y182" s="121">
        <v>0.29185282322623934</v>
      </c>
      <c r="Z182" s="121">
        <v>0.28745647203001001</v>
      </c>
      <c r="AA182" s="121">
        <v>0.40252715855093291</v>
      </c>
      <c r="AB182" s="121">
        <v>0.34293131932971455</v>
      </c>
      <c r="AC182" s="121">
        <v>0.48597819866104108</v>
      </c>
      <c r="AD182" s="121">
        <v>0.44054022066462395</v>
      </c>
      <c r="AE182" s="121">
        <v>0.47495682210708129</v>
      </c>
      <c r="AF182" s="121">
        <v>0.36996058363875262</v>
      </c>
      <c r="AG182" s="121">
        <v>0.40072602126205126</v>
      </c>
      <c r="AH182" s="121">
        <v>0.22968158289824545</v>
      </c>
      <c r="AI182" s="121">
        <v>0.45427800659435802</v>
      </c>
      <c r="AJ182" s="121">
        <v>0.32222166824550041</v>
      </c>
      <c r="AK182" s="121">
        <v>0.42240515530756984</v>
      </c>
      <c r="AL182" s="121">
        <v>0.30169391445547489</v>
      </c>
      <c r="AM182" s="121">
        <v>0.44435316741659037</v>
      </c>
      <c r="AN182" s="121">
        <v>0.36307741234463198</v>
      </c>
      <c r="AO182" s="121">
        <v>0.39295475780888417</v>
      </c>
      <c r="AP182" s="121">
        <v>0.32939591581921807</v>
      </c>
      <c r="AQ182" s="733">
        <f t="shared" ref="AQ182:BJ182" si="1270">+AQ181/AQ$34</f>
        <v>0.4947702622121225</v>
      </c>
      <c r="AR182" s="733">
        <f t="shared" si="1270"/>
        <v>0.36381309449420263</v>
      </c>
      <c r="AS182" s="733">
        <f t="shared" si="1270"/>
        <v>0.39371586094236555</v>
      </c>
      <c r="AT182" s="733">
        <f t="shared" si="1270"/>
        <v>0.28332615484009899</v>
      </c>
      <c r="AU182" s="733">
        <f t="shared" si="1270"/>
        <v>0.41748031302897237</v>
      </c>
      <c r="AV182" s="733">
        <f t="shared" si="1270"/>
        <v>0.29655002058460267</v>
      </c>
      <c r="AW182" s="733">
        <f t="shared" si="1270"/>
        <v>0.27790292614955864</v>
      </c>
      <c r="AX182" s="733">
        <f t="shared" si="1270"/>
        <v>0.21710321745373962</v>
      </c>
      <c r="AY182" s="733">
        <f t="shared" si="1270"/>
        <v>0.40169138131420806</v>
      </c>
      <c r="AZ182" s="733">
        <f t="shared" si="1270"/>
        <v>0.29689652909914049</v>
      </c>
      <c r="BA182" s="733">
        <f t="shared" si="1270"/>
        <v>0.35238470209426631</v>
      </c>
      <c r="BB182" s="733">
        <f t="shared" si="1270"/>
        <v>0.33029774353908076</v>
      </c>
      <c r="BC182" s="733">
        <f t="shared" si="1270"/>
        <v>0.43766054030115137</v>
      </c>
      <c r="BD182" s="733">
        <f t="shared" si="1270"/>
        <v>0.39360959955350927</v>
      </c>
      <c r="BE182" s="733">
        <f t="shared" si="1270"/>
        <v>0.41839785456738482</v>
      </c>
      <c r="BF182" s="733">
        <f t="shared" si="1270"/>
        <v>0.33051235831474757</v>
      </c>
      <c r="BG182" s="733">
        <f t="shared" si="1270"/>
        <v>0.44793564188158597</v>
      </c>
      <c r="BH182" s="733">
        <f t="shared" si="1270"/>
        <v>0.33870269009355752</v>
      </c>
      <c r="BI182" s="733">
        <f t="shared" si="1270"/>
        <v>0.37363791422051845</v>
      </c>
      <c r="BJ182" s="733">
        <f t="shared" si="1270"/>
        <v>0.32832051241089805</v>
      </c>
      <c r="BK182" s="733">
        <f>+BK181/BK$34</f>
        <v>0.40419482541980328</v>
      </c>
      <c r="BL182" s="733">
        <f t="shared" ref="BL182:CD182" si="1271">+BL181/BL$34</f>
        <v>0.33405007170890955</v>
      </c>
      <c r="BM182" s="1222">
        <f t="shared" si="1271"/>
        <v>0.35143671021777834</v>
      </c>
      <c r="BN182" s="1222">
        <f t="shared" si="1271"/>
        <v>0.32543740934599585</v>
      </c>
      <c r="BO182" s="1222">
        <f t="shared" si="1271"/>
        <v>6.5919172398837961E-2</v>
      </c>
      <c r="BP182" s="1222">
        <f t="shared" si="1271"/>
        <v>0.196343069699111</v>
      </c>
      <c r="BQ182" s="1222">
        <f t="shared" si="1271"/>
        <v>-0.36845488922660297</v>
      </c>
      <c r="BR182" s="1222">
        <f t="shared" si="1271"/>
        <v>0.38308995853614569</v>
      </c>
      <c r="BS182" s="1222">
        <f t="shared" si="1271"/>
        <v>0.31984956930918945</v>
      </c>
      <c r="BT182" s="1222">
        <f t="shared" si="1271"/>
        <v>0.22253780714254878</v>
      </c>
      <c r="BU182" s="1222">
        <f t="shared" si="1271"/>
        <v>0.28894813580650219</v>
      </c>
      <c r="BV182" s="1222">
        <f t="shared" si="1271"/>
        <v>0.16580553869680956</v>
      </c>
      <c r="BW182" s="1222">
        <f t="shared" si="1271"/>
        <v>0.22227499550030136</v>
      </c>
      <c r="BX182" s="1222">
        <f t="shared" si="1271"/>
        <v>2.6518446843263935E-2</v>
      </c>
      <c r="BY182" s="1222">
        <f t="shared" si="1271"/>
        <v>4.7312955875367671E-2</v>
      </c>
      <c r="BZ182" s="1222">
        <f t="shared" ref="BZ182:CA182" si="1272">+BZ181/BZ$34</f>
        <v>-7.5441996167915193E-2</v>
      </c>
      <c r="CA182" s="1222">
        <f t="shared" si="1272"/>
        <v>-2.0754500344867203E-2</v>
      </c>
      <c r="CB182" s="1222">
        <f t="shared" ref="CB182:CC182" si="1273">+CB181/CB$34</f>
        <v>-0.10349326283446325</v>
      </c>
      <c r="CC182" s="1222">
        <f t="shared" si="1273"/>
        <v>-7.6037903945855717E-2</v>
      </c>
      <c r="CD182" s="1222">
        <f t="shared" si="1271"/>
        <v>6.8736252360333296E-3</v>
      </c>
      <c r="CE182" s="1222">
        <f t="shared" ref="CE182" si="1274">+CE181/CE$34</f>
        <v>2.9985255720400103E-2</v>
      </c>
      <c r="CF182" s="1222">
        <f t="shared" ref="CF182:CH182" si="1275">+CF181/CF$34</f>
        <v>7.8918332319260473E-2</v>
      </c>
      <c r="CG182" s="1222">
        <f t="shared" si="1275"/>
        <v>0.13418493392121142</v>
      </c>
      <c r="CH182" s="1222">
        <f t="shared" si="1275"/>
        <v>0.13873582287235728</v>
      </c>
      <c r="CI182" s="1222">
        <f t="shared" ref="CI182" si="1276">+CI181/CI$34</f>
        <v>0.38037117183505853</v>
      </c>
      <c r="CJ182" s="1222">
        <f t="shared" ref="CJ182:CL182" si="1277">+CJ181/CJ$34</f>
        <v>0.22871697339432367</v>
      </c>
      <c r="CK182" s="1222">
        <f t="shared" si="1277"/>
        <v>0.16478872808022732</v>
      </c>
      <c r="CL182" s="733">
        <f t="shared" si="1277"/>
        <v>0.16554831288497435</v>
      </c>
      <c r="CM182" s="733">
        <f t="shared" ref="CM182:CP182" si="1278">+CM181/CM$34</f>
        <v>0.21325240836594361</v>
      </c>
      <c r="CN182" s="733">
        <f t="shared" si="1278"/>
        <v>-4.6743534940061504E-2</v>
      </c>
      <c r="CO182" s="733">
        <f t="shared" si="1278"/>
        <v>8.3190502105215738E-2</v>
      </c>
      <c r="CP182" s="733">
        <f t="shared" si="1278"/>
        <v>0.17528641234226067</v>
      </c>
      <c r="CQ182" s="733"/>
      <c r="CR182" s="733"/>
      <c r="CS182" s="644"/>
      <c r="CT182" s="733">
        <v>0.16554831288497435</v>
      </c>
      <c r="CU182" s="1135">
        <f>+CK182-CT182</f>
        <v>-7.5958480474702661E-4</v>
      </c>
      <c r="CV182" s="121"/>
      <c r="CW182" s="121"/>
      <c r="CX182" s="121" t="e">
        <v>#REF!</v>
      </c>
      <c r="CY182" s="121" t="e">
        <v>#REF!</v>
      </c>
      <c r="CZ182" s="121" t="e">
        <v>#REF!</v>
      </c>
      <c r="DA182" s="121">
        <v>0.27307709390734841</v>
      </c>
      <c r="DB182" s="121">
        <v>0.41939138206988302</v>
      </c>
      <c r="DC182" s="121">
        <v>0.36586863824336269</v>
      </c>
      <c r="DD182" s="121">
        <v>0.37182559892946665</v>
      </c>
      <c r="DE182" s="121">
        <v>0.38065951780207447</v>
      </c>
      <c r="DF182" s="733">
        <f t="shared" ref="DF182:DV182" si="1279">+DF181/DF34</f>
        <v>0.37946957965373396</v>
      </c>
      <c r="DG182" s="1222">
        <f t="shared" si="1279"/>
        <v>0.30008381988230648</v>
      </c>
      <c r="DH182" s="1222">
        <f t="shared" si="1279"/>
        <v>0.34428805928020811</v>
      </c>
      <c r="DI182" s="1222">
        <f t="shared" si="1279"/>
        <v>0.39277591941551609</v>
      </c>
      <c r="DJ182" s="1222">
        <f t="shared" si="1279"/>
        <v>0.3712973126038675</v>
      </c>
      <c r="DK182" s="1222">
        <f t="shared" si="1279"/>
        <v>0.35150214125277429</v>
      </c>
      <c r="DL182" s="1222">
        <f t="shared" si="1279"/>
        <v>9.3319538608433145E-2</v>
      </c>
      <c r="DM182" s="1222">
        <f t="shared" si="1279"/>
        <v>0.24271896953759364</v>
      </c>
      <c r="DN182" s="1222">
        <f t="shared" si="1279"/>
        <v>4.8094237032999768E-2</v>
      </c>
      <c r="DO182" s="1222">
        <f t="shared" si="1279"/>
        <v>-4.9379878156629774E-2</v>
      </c>
      <c r="DP182" s="1222">
        <f t="shared" si="1279"/>
        <v>9.5134028670109477E-2</v>
      </c>
      <c r="DQ182" s="1222">
        <f t="shared" ref="DQ182:DR182" si="1280">+DQ181/DQ34</f>
        <v>0.23697956638041262</v>
      </c>
      <c r="DR182" s="1222">
        <f t="shared" si="1280"/>
        <v>0.10602484219459726</v>
      </c>
      <c r="DS182" s="733">
        <f t="shared" si="1279"/>
        <v>0.19651055373570384</v>
      </c>
      <c r="DT182" s="733">
        <f t="shared" si="1279"/>
        <v>0.20782489817455843</v>
      </c>
      <c r="DU182" s="733">
        <f t="shared" si="1279"/>
        <v>0.21534394839038695</v>
      </c>
      <c r="DV182" s="733">
        <f t="shared" si="1279"/>
        <v>0.22181246325169293</v>
      </c>
      <c r="DY182" s="733">
        <v>0.10690878008166323</v>
      </c>
      <c r="DZ182" s="733">
        <v>0.12972709685201486</v>
      </c>
    </row>
    <row r="183" spans="1:130">
      <c r="A183" s="1330" t="s">
        <v>169</v>
      </c>
      <c r="B183" s="8"/>
      <c r="C183" s="8"/>
      <c r="D183" s="8"/>
      <c r="E183" s="8"/>
      <c r="F183" s="8"/>
      <c r="G183" s="8"/>
      <c r="H183" s="8"/>
      <c r="I183" s="8"/>
      <c r="J183" s="8"/>
      <c r="K183" s="8"/>
      <c r="L183" s="8"/>
      <c r="M183" s="8"/>
      <c r="N183" s="113"/>
      <c r="O183" s="8"/>
      <c r="P183" s="8"/>
      <c r="Q183" s="8"/>
      <c r="R183" s="8"/>
      <c r="S183" s="8"/>
      <c r="T183" s="8"/>
      <c r="U183" s="8"/>
      <c r="V183" s="8"/>
      <c r="W183" s="8" t="e">
        <v>#DIV/0!</v>
      </c>
      <c r="X183" s="8" t="e">
        <v>#DIV/0!</v>
      </c>
      <c r="Y183" s="8" t="e">
        <v>#DIV/0!</v>
      </c>
      <c r="Z183" s="8" t="e">
        <v>#DIV/0!</v>
      </c>
      <c r="AA183" s="8">
        <v>0.30958890490629898</v>
      </c>
      <c r="AB183" s="8">
        <v>1.7028121238647547</v>
      </c>
      <c r="AC183" s="8">
        <v>0.90768025078369874</v>
      </c>
      <c r="AD183" s="8">
        <v>0.74170739315794942</v>
      </c>
      <c r="AE183" s="8">
        <v>0.46137787056367419</v>
      </c>
      <c r="AF183" s="8">
        <v>0.29954252864256503</v>
      </c>
      <c r="AG183" s="8">
        <v>-6.8824802125270423E-2</v>
      </c>
      <c r="AH183" s="8">
        <v>-0.38805970149253732</v>
      </c>
      <c r="AI183" s="8">
        <v>6.2857142857142279E-2</v>
      </c>
      <c r="AJ183" s="8">
        <v>6.6666666666665986E-3</v>
      </c>
      <c r="AK183" s="8">
        <v>0.2647058823529409</v>
      </c>
      <c r="AL183" s="8">
        <v>0.59512195121951272</v>
      </c>
      <c r="AM183" s="8">
        <v>0.16324535679374419</v>
      </c>
      <c r="AN183" s="8">
        <v>0.2718945348765236</v>
      </c>
      <c r="AO183" s="8">
        <v>4.6511627906976605E-2</v>
      </c>
      <c r="AP183" s="8">
        <v>0.22629969418960116</v>
      </c>
      <c r="AQ183" s="8">
        <f t="shared" ref="AQ183:BC183" si="1281">AQ181/AM181-1</f>
        <v>0.28991596638655426</v>
      </c>
      <c r="AR183" s="8">
        <f t="shared" si="1281"/>
        <v>0.27493917274939217</v>
      </c>
      <c r="AS183" s="8">
        <f t="shared" si="1281"/>
        <v>0.37111111111111139</v>
      </c>
      <c r="AT183" s="8">
        <f t="shared" si="1281"/>
        <v>4.9875311720698923E-2</v>
      </c>
      <c r="AU183" s="8">
        <f t="shared" si="1281"/>
        <v>0.10864820846905587</v>
      </c>
      <c r="AV183" s="8">
        <f t="shared" si="1281"/>
        <v>3.0992366412213368E-2</v>
      </c>
      <c r="AW183" s="8">
        <f t="shared" si="1281"/>
        <v>-0.22421393841166959</v>
      </c>
      <c r="AX183" s="8">
        <f t="shared" si="1281"/>
        <v>-8.7862232779097105E-2</v>
      </c>
      <c r="AY183" s="8">
        <f t="shared" si="1281"/>
        <v>1.0386214393794946E-2</v>
      </c>
      <c r="AZ183" s="8">
        <f t="shared" si="1281"/>
        <v>5.1088405153265626E-3</v>
      </c>
      <c r="BA183" s="8">
        <f t="shared" si="1281"/>
        <v>0.3649772280950998</v>
      </c>
      <c r="BB183" s="8">
        <f t="shared" si="1281"/>
        <v>0.63680633316840662</v>
      </c>
      <c r="BC183" s="8">
        <f t="shared" si="1281"/>
        <v>0.14948093867224932</v>
      </c>
      <c r="BD183" s="8">
        <f>BD181/AZ181-1</f>
        <v>0.45465930018416256</v>
      </c>
      <c r="BE183" s="8">
        <f>BE181/BA181-1</f>
        <v>0.49719909391453387</v>
      </c>
      <c r="BF183" s="8">
        <f>BF181/BB181-1</f>
        <v>0.20477288998488619</v>
      </c>
      <c r="BG183" s="8">
        <f>BG181/BC181-1</f>
        <v>0.30011763366599653</v>
      </c>
      <c r="BH183" s="8">
        <f t="shared" ref="BH183:BR183" si="1282">BH181/BD181-1</f>
        <v>2.9409530561603781E-2</v>
      </c>
      <c r="BI183" s="8">
        <f t="shared" si="1282"/>
        <v>-0.11451164126312208</v>
      </c>
      <c r="BJ183" s="8">
        <f t="shared" si="1282"/>
        <v>3.9464840741626039E-2</v>
      </c>
      <c r="BK183" s="8">
        <f t="shared" si="1282"/>
        <v>-4.9226306209016357E-2</v>
      </c>
      <c r="BL183" s="8">
        <f t="shared" si="1282"/>
        <v>0.12004613213464399</v>
      </c>
      <c r="BM183" s="8">
        <f t="shared" si="1282"/>
        <v>0.19214692750441542</v>
      </c>
      <c r="BN183" s="8">
        <f t="shared" si="1282"/>
        <v>0.26307207077466144</v>
      </c>
      <c r="BO183" s="8">
        <f t="shared" si="1282"/>
        <v>-0.78848052277403391</v>
      </c>
      <c r="BP183" s="8">
        <f t="shared" si="1282"/>
        <v>-0.4203408296159532</v>
      </c>
      <c r="BQ183" s="8">
        <f t="shared" si="1282"/>
        <v>-1.4954050698701373</v>
      </c>
      <c r="BR183" s="8">
        <f t="shared" si="1282"/>
        <v>-0.40154153767577372</v>
      </c>
      <c r="BS183" s="8">
        <f t="shared" ref="BS183:CE183" si="1283">BS181/BO181-1</f>
        <v>2.3573605534323439</v>
      </c>
      <c r="BT183" s="8">
        <f t="shared" si="1283"/>
        <v>-2.3823887411404621E-2</v>
      </c>
      <c r="BU183" s="8">
        <f t="shared" si="1283"/>
        <v>-2.4480161095986626</v>
      </c>
      <c r="BV183" s="8">
        <f t="shared" si="1283"/>
        <v>-0.13358168067226917</v>
      </c>
      <c r="BW183" s="8">
        <f t="shared" si="1283"/>
        <v>0.22782593659942396</v>
      </c>
      <c r="BX183" s="8">
        <f t="shared" si="1283"/>
        <v>-0.76812951991225875</v>
      </c>
      <c r="BY183" s="8">
        <f t="shared" si="1283"/>
        <v>-0.74316899170556616</v>
      </c>
      <c r="BZ183" s="8">
        <f t="shared" si="1283"/>
        <v>-1.6721189077645864</v>
      </c>
      <c r="CA183" s="8">
        <f t="shared" si="1283"/>
        <v>-1.1211234841180358</v>
      </c>
      <c r="CB183" s="8">
        <f t="shared" si="1283"/>
        <v>-5.4932740312996975</v>
      </c>
      <c r="CC183" s="8">
        <f t="shared" si="1283"/>
        <v>-2.8424495554810383</v>
      </c>
      <c r="CD183" s="8">
        <f t="shared" si="1283"/>
        <v>-1.0921364143265309</v>
      </c>
      <c r="CE183" s="8">
        <f t="shared" si="1283"/>
        <v>-2.2985090629780061</v>
      </c>
      <c r="CF183" s="8">
        <f t="shared" ref="CF183" si="1284">CF181/CB181-1</f>
        <v>-1.6474374171488806</v>
      </c>
      <c r="CG183" s="8">
        <f t="shared" ref="CG183:CI183" si="1285">CG181/CC181-1</f>
        <v>-2.6635232132931317</v>
      </c>
      <c r="CH183" s="8">
        <f t="shared" si="1285"/>
        <v>18.22733189755991</v>
      </c>
      <c r="CI183" s="8">
        <f t="shared" si="1285"/>
        <v>13.211725048500229</v>
      </c>
      <c r="CJ183" s="8">
        <f t="shared" ref="CJ183" si="1286">CJ181/CF181-1</f>
        <v>2.4076072141192713</v>
      </c>
      <c r="CK183" s="8">
        <f t="shared" ref="CK183" si="1287">CK181/CG181-1</f>
        <v>0.36871204336919394</v>
      </c>
      <c r="CL183" s="192">
        <f t="shared" ref="CL183" si="1288">CL181/CH181-1</f>
        <v>0.22930492226834076</v>
      </c>
      <c r="CM183" s="192">
        <f t="shared" ref="CM183" si="1289">CM181/CI181-1</f>
        <v>-0.44194705353661889</v>
      </c>
      <c r="CN183" s="192">
        <f t="shared" ref="CN183" si="1290">CN181/CJ181-1</f>
        <v>-1.1991469780850192</v>
      </c>
      <c r="CO183" s="192">
        <f t="shared" ref="CO183" si="1291">CO181/CK181-1</f>
        <v>-0.47019756490435338</v>
      </c>
      <c r="CP183" s="192">
        <f t="shared" ref="CP183" si="1292">CP181/CL181-1</f>
        <v>0.18249142509183347</v>
      </c>
      <c r="CQ183" s="192"/>
      <c r="CR183" s="192"/>
      <c r="CS183" s="192"/>
      <c r="CT183" s="192">
        <v>0.22930492226834076</v>
      </c>
      <c r="CU183" s="694"/>
      <c r="CV183" s="8"/>
      <c r="CW183" s="8"/>
      <c r="CX183" s="8"/>
      <c r="CY183" s="8" t="e">
        <v>#REF!</v>
      </c>
      <c r="CZ183" s="8" t="e">
        <v>#REF!</v>
      </c>
      <c r="DA183" s="8" t="e">
        <v>#REF!</v>
      </c>
      <c r="DB183" s="8">
        <v>0.79001922223865173</v>
      </c>
      <c r="DC183" s="8">
        <v>3.3380417812802099E-2</v>
      </c>
      <c r="DD183" s="8">
        <v>0.1905195843325338</v>
      </c>
      <c r="DE183" s="8">
        <v>0.16695986141512309</v>
      </c>
      <c r="DF183" s="8">
        <f t="shared" ref="DF183:DM183" si="1293">DF181/DE181-1</f>
        <v>0.25201380897583459</v>
      </c>
      <c r="DG183" s="8">
        <f t="shared" si="1293"/>
        <v>-4.2454044117647083E-2</v>
      </c>
      <c r="DH183" s="8">
        <f t="shared" si="1293"/>
        <v>0.20592526468357986</v>
      </c>
      <c r="DI183" s="8">
        <f t="shared" si="1293"/>
        <v>0.31967731793416609</v>
      </c>
      <c r="DJ183" s="8">
        <f t="shared" si="1293"/>
        <v>5.3791296796686705E-2</v>
      </c>
      <c r="DK183" s="8">
        <f t="shared" si="1293"/>
        <v>0.12034577650391953</v>
      </c>
      <c r="DL183" s="116">
        <f t="shared" si="1293"/>
        <v>-0.79103903958308663</v>
      </c>
      <c r="DM183" s="116">
        <f t="shared" si="1293"/>
        <v>2.0140200633358312</v>
      </c>
      <c r="DN183" s="116">
        <f t="shared" ref="DN183:DS183" si="1294">DN181/DM181-1</f>
        <v>-0.66930645805310407</v>
      </c>
      <c r="DO183" s="116">
        <f t="shared" si="1294"/>
        <v>-2.1758151762812563</v>
      </c>
      <c r="DP183" s="116">
        <f t="shared" si="1294"/>
        <v>-2.7508440057127088</v>
      </c>
      <c r="DQ183" s="116">
        <f t="shared" si="1294"/>
        <v>1.7653794497387132</v>
      </c>
      <c r="DR183" s="116">
        <f t="shared" si="1294"/>
        <v>-0.5385206024952367</v>
      </c>
      <c r="DS183" s="192">
        <f t="shared" si="1294"/>
        <v>0.98392541097164798</v>
      </c>
      <c r="DT183" s="192">
        <f t="shared" ref="DT183" si="1295">DT181/DS181-1</f>
        <v>6.1083138938654358E-2</v>
      </c>
      <c r="DU183" s="192">
        <f t="shared" ref="DU183" si="1296">DU181/DT181-1</f>
        <v>4.0279116251028535E-2</v>
      </c>
      <c r="DV183" s="192">
        <f t="shared" ref="DV183" si="1297">DV181/DU181-1</f>
        <v>3.4496630273109119E-2</v>
      </c>
      <c r="DY183" s="192">
        <v>-0.59079161617323916</v>
      </c>
      <c r="DZ183" s="192">
        <v>0.2174646415105852</v>
      </c>
    </row>
    <row r="184" spans="1:130" s="359" customFormat="1">
      <c r="A184" s="1331" t="s">
        <v>231</v>
      </c>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c r="AA184" s="91"/>
      <c r="AB184" s="91"/>
      <c r="AC184" s="91"/>
      <c r="AD184" s="91"/>
      <c r="AE184" s="91"/>
      <c r="AF184" s="91"/>
      <c r="AG184" s="91"/>
      <c r="AH184" s="91"/>
      <c r="AI184" s="93"/>
      <c r="AJ184" s="93"/>
      <c r="AK184" s="93"/>
      <c r="AL184" s="93"/>
      <c r="AM184" s="93"/>
      <c r="AN184" s="93">
        <v>-9.4076869945851072E-3</v>
      </c>
      <c r="AO184" s="93">
        <v>-1.2192860385231347E-2</v>
      </c>
      <c r="AP184" s="93">
        <v>4.2488818238968801E-2</v>
      </c>
      <c r="AQ184" s="1164">
        <f t="shared" ref="AQ184:CE184" si="1298">+AQ182-AM182</f>
        <v>5.0417094795532136E-2</v>
      </c>
      <c r="AR184" s="1164">
        <f t="shared" si="1298"/>
        <v>7.3568214957064892E-4</v>
      </c>
      <c r="AS184" s="1164">
        <f t="shared" si="1298"/>
        <v>7.6110313348137781E-4</v>
      </c>
      <c r="AT184" s="1164">
        <f t="shared" si="1298"/>
        <v>-4.6069760979119079E-2</v>
      </c>
      <c r="AU184" s="1164">
        <f t="shared" si="1298"/>
        <v>-7.7289949183150131E-2</v>
      </c>
      <c r="AV184" s="1164">
        <f t="shared" si="1298"/>
        <v>-6.7263073909599957E-2</v>
      </c>
      <c r="AW184" s="1164">
        <f t="shared" si="1298"/>
        <v>-0.11581293479280691</v>
      </c>
      <c r="AX184" s="1164">
        <f t="shared" si="1298"/>
        <v>-6.6222937386359371E-2</v>
      </c>
      <c r="AY184" s="1164">
        <f t="shared" si="1298"/>
        <v>-1.5788931714764309E-2</v>
      </c>
      <c r="AZ184" s="1164">
        <f t="shared" si="1298"/>
        <v>3.4650851453782439E-4</v>
      </c>
      <c r="BA184" s="1164">
        <f t="shared" si="1298"/>
        <v>7.4481775944707673E-2</v>
      </c>
      <c r="BB184" s="1164">
        <f t="shared" si="1298"/>
        <v>0.11319452608534114</v>
      </c>
      <c r="BC184" s="1164">
        <f t="shared" si="1298"/>
        <v>3.5969158986943306E-2</v>
      </c>
      <c r="BD184" s="1164">
        <f t="shared" si="1298"/>
        <v>9.6713070454368777E-2</v>
      </c>
      <c r="BE184" s="1164">
        <f t="shared" si="1298"/>
        <v>6.6013152473118508E-2</v>
      </c>
      <c r="BF184" s="1164">
        <f t="shared" si="1298"/>
        <v>2.1461477566681042E-4</v>
      </c>
      <c r="BG184" s="1164">
        <f t="shared" si="1298"/>
        <v>1.0275101580434598E-2</v>
      </c>
      <c r="BH184" s="1164">
        <f t="shared" si="1298"/>
        <v>-5.4906909459951747E-2</v>
      </c>
      <c r="BI184" s="1164">
        <f t="shared" si="1298"/>
        <v>-4.4759940346866367E-2</v>
      </c>
      <c r="BJ184" s="1164">
        <f t="shared" si="1298"/>
        <v>-2.1918459038495208E-3</v>
      </c>
      <c r="BK184" s="1164">
        <f t="shared" si="1298"/>
        <v>-4.3740816461782683E-2</v>
      </c>
      <c r="BL184" s="1164">
        <f t="shared" si="1298"/>
        <v>-4.6526183846479774E-3</v>
      </c>
      <c r="BM184" s="1223">
        <f t="shared" si="1298"/>
        <v>-2.2201204002740116E-2</v>
      </c>
      <c r="BN184" s="1223">
        <f t="shared" si="1298"/>
        <v>-2.8831030649021927E-3</v>
      </c>
      <c r="BO184" s="1223">
        <f t="shared" si="1298"/>
        <v>-0.33827565302096529</v>
      </c>
      <c r="BP184" s="1223">
        <f t="shared" si="1298"/>
        <v>-0.13770700200979855</v>
      </c>
      <c r="BQ184" s="1223">
        <f t="shared" si="1298"/>
        <v>-0.7198915994443813</v>
      </c>
      <c r="BR184" s="1223">
        <f t="shared" si="1298"/>
        <v>5.7652549190149838E-2</v>
      </c>
      <c r="BS184" s="1223">
        <f t="shared" si="1298"/>
        <v>0.25393039691035146</v>
      </c>
      <c r="BT184" s="1223">
        <f t="shared" si="1298"/>
        <v>2.6194737443437782E-2</v>
      </c>
      <c r="BU184" s="1223">
        <f t="shared" si="1298"/>
        <v>0.6574030250331051</v>
      </c>
      <c r="BV184" s="1223">
        <f t="shared" si="1298"/>
        <v>-0.21728441983933613</v>
      </c>
      <c r="BW184" s="1223">
        <f t="shared" si="1298"/>
        <v>-9.7574573808888093E-2</v>
      </c>
      <c r="BX184" s="1223">
        <f t="shared" si="1298"/>
        <v>-0.19601936029928485</v>
      </c>
      <c r="BY184" s="1223">
        <f t="shared" si="1298"/>
        <v>-0.24163517993113454</v>
      </c>
      <c r="BZ184" s="1223">
        <f t="shared" si="1298"/>
        <v>-0.24124753486472475</v>
      </c>
      <c r="CA184" s="1223">
        <f t="shared" si="1298"/>
        <v>-0.24302949584516856</v>
      </c>
      <c r="CB184" s="1223">
        <f t="shared" si="1298"/>
        <v>-0.13001170967772718</v>
      </c>
      <c r="CC184" s="1223">
        <f t="shared" si="1298"/>
        <v>-0.12335085982122339</v>
      </c>
      <c r="CD184" s="1223">
        <f t="shared" si="1298"/>
        <v>8.2315621403948519E-2</v>
      </c>
      <c r="CE184" s="1223">
        <f t="shared" si="1298"/>
        <v>5.0739756065267302E-2</v>
      </c>
      <c r="CF184" s="1223">
        <f t="shared" ref="CF184" si="1299">+CF182-CB182</f>
        <v>0.18241159515372374</v>
      </c>
      <c r="CG184" s="1223">
        <f t="shared" ref="CG184:CI184" si="1300">+CG182-CC182</f>
        <v>0.21022283786706714</v>
      </c>
      <c r="CH184" s="1223">
        <f t="shared" si="1300"/>
        <v>0.13186219763632395</v>
      </c>
      <c r="CI184" s="1223">
        <f t="shared" si="1300"/>
        <v>0.35038591611465841</v>
      </c>
      <c r="CJ184" s="1223">
        <f t="shared" ref="CJ184" si="1301">+CJ182-CF182</f>
        <v>0.14979864107506319</v>
      </c>
      <c r="CK184" s="1223">
        <f t="shared" ref="CK184" si="1302">+CK182-CG182</f>
        <v>3.0603794159015901E-2</v>
      </c>
      <c r="CL184" s="1164">
        <f t="shared" ref="CL184" si="1303">+CL182-CH182</f>
        <v>2.6812490012617068E-2</v>
      </c>
      <c r="CM184" s="1164">
        <f t="shared" ref="CM184" si="1304">+CM182-CI182</f>
        <v>-0.16711876346911492</v>
      </c>
      <c r="CN184" s="1164">
        <f t="shared" ref="CN184" si="1305">+CN182-CJ182</f>
        <v>-0.27546050833438518</v>
      </c>
      <c r="CO184" s="1164">
        <f t="shared" ref="CO184" si="1306">+CO182-CK182</f>
        <v>-8.1598225975011582E-2</v>
      </c>
      <c r="CP184" s="1164">
        <f t="shared" ref="CP184" si="1307">+CP182-CL182</f>
        <v>9.73809945728632E-3</v>
      </c>
      <c r="CQ184" s="1164"/>
      <c r="CR184" s="1164"/>
      <c r="CS184" s="556"/>
      <c r="CT184" s="1164">
        <v>2.6812490012617068E-2</v>
      </c>
      <c r="CU184" s="1110"/>
      <c r="CV184" s="118">
        <v>5.9298346410792992E-2</v>
      </c>
      <c r="CW184" s="118">
        <v>0.12627856600960963</v>
      </c>
      <c r="CX184" s="118">
        <v>0.12981064994468527</v>
      </c>
      <c r="CY184" s="118">
        <v>0.1325132487354598</v>
      </c>
      <c r="CZ184" s="118">
        <v>0.12498677283215308</v>
      </c>
      <c r="DA184" s="118">
        <v>0.15312731106586994</v>
      </c>
      <c r="DB184" s="118">
        <v>0.18343765833205516</v>
      </c>
      <c r="DC184" s="118">
        <v>0.18390652336761421</v>
      </c>
      <c r="DD184" s="118">
        <v>0.18489644552192513</v>
      </c>
      <c r="DE184" s="118">
        <v>0.19142697366042602</v>
      </c>
      <c r="DF184" s="118"/>
      <c r="DG184" s="1240">
        <f t="shared" ref="DG184:DS184" si="1308">+DG182-DF182</f>
        <v>-7.9385759771427478E-2</v>
      </c>
      <c r="DH184" s="1240">
        <f t="shared" si="1308"/>
        <v>4.4204239397901635E-2</v>
      </c>
      <c r="DI184" s="1240">
        <f t="shared" si="1308"/>
        <v>4.8487860135307981E-2</v>
      </c>
      <c r="DJ184" s="1240">
        <f t="shared" si="1308"/>
        <v>-2.1478606811648593E-2</v>
      </c>
      <c r="DK184" s="1240">
        <f t="shared" si="1308"/>
        <v>-1.979517135109321E-2</v>
      </c>
      <c r="DL184" s="1240">
        <f t="shared" si="1308"/>
        <v>-0.25818260264434112</v>
      </c>
      <c r="DM184" s="1240">
        <f t="shared" si="1308"/>
        <v>0.1493994309291605</v>
      </c>
      <c r="DN184" s="1240">
        <f t="shared" si="1308"/>
        <v>-0.19462473250459389</v>
      </c>
      <c r="DO184" s="1240">
        <f t="shared" si="1308"/>
        <v>-9.7474115189629534E-2</v>
      </c>
      <c r="DP184" s="1240">
        <f t="shared" si="1308"/>
        <v>0.14451390682673926</v>
      </c>
      <c r="DQ184" s="1240">
        <f t="shared" si="1308"/>
        <v>0.14184553771030314</v>
      </c>
      <c r="DR184" s="1240">
        <f t="shared" si="1308"/>
        <v>-0.13095472418581536</v>
      </c>
      <c r="DS184" s="401">
        <f t="shared" si="1308"/>
        <v>9.0485711541106573E-2</v>
      </c>
      <c r="DT184" s="401">
        <f t="shared" ref="DT184" si="1309">+DT182-DS182</f>
        <v>1.1314344438854596E-2</v>
      </c>
      <c r="DU184" s="401">
        <f t="shared" ref="DU184" si="1310">+DU182-DT182</f>
        <v>7.5190502158285211E-3</v>
      </c>
      <c r="DV184" s="401">
        <f t="shared" ref="DV184" si="1311">+DV182-DU182</f>
        <v>6.4685148613059795E-3</v>
      </c>
      <c r="DY184" s="401">
        <v>-0.13969653585067687</v>
      </c>
      <c r="DZ184" s="401">
        <v>2.2818316770351635E-2</v>
      </c>
    </row>
    <row r="185" spans="1:130">
      <c r="A185" s="1330" t="s">
        <v>243</v>
      </c>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f>+AQ181/AQ160</f>
        <v>0.45461178855753953</v>
      </c>
      <c r="AR185" s="8">
        <f t="shared" ref="AR185:CH185" si="1312">+AR181/AR148</f>
        <v>0.21705272227192898</v>
      </c>
      <c r="AS185" s="8">
        <f t="shared" si="1312"/>
        <v>0.31331884381791958</v>
      </c>
      <c r="AT185" s="8">
        <f t="shared" si="1312"/>
        <v>9.4654543393688548E-2</v>
      </c>
      <c r="AU185" s="8">
        <f t="shared" si="1312"/>
        <v>0.35461312763081743</v>
      </c>
      <c r="AV185" s="8">
        <f t="shared" si="1312"/>
        <v>0.17012294432747632</v>
      </c>
      <c r="AW185" s="8">
        <f t="shared" si="1312"/>
        <v>0.21284088736321141</v>
      </c>
      <c r="AX185" s="8">
        <f t="shared" si="1312"/>
        <v>8.2827662160709706E-2</v>
      </c>
      <c r="AY185" s="8">
        <f t="shared" si="1312"/>
        <v>0.38443007338926499</v>
      </c>
      <c r="AZ185" s="8">
        <f t="shared" si="1312"/>
        <v>0.15542217299088934</v>
      </c>
      <c r="BA185" s="8">
        <f t="shared" si="1312"/>
        <v>0.30892456086432313</v>
      </c>
      <c r="BB185" s="8">
        <f t="shared" si="1312"/>
        <v>0.11487142186166449</v>
      </c>
      <c r="BC185" s="8">
        <f t="shared" si="1312"/>
        <v>0.4316625716625716</v>
      </c>
      <c r="BD185" s="8">
        <f t="shared" si="1312"/>
        <v>0.21096207981453891</v>
      </c>
      <c r="BE185" s="8">
        <f t="shared" si="1312"/>
        <v>0.33883621928873525</v>
      </c>
      <c r="BF185" s="8">
        <f t="shared" si="1312"/>
        <v>0.13284657191075497</v>
      </c>
      <c r="BG185" s="8">
        <f t="shared" si="1312"/>
        <v>0.4214216307302493</v>
      </c>
      <c r="BH185" s="8">
        <f t="shared" si="1312"/>
        <v>0.18986586653252513</v>
      </c>
      <c r="BI185" s="8">
        <f t="shared" si="1312"/>
        <v>0.2549326952783445</v>
      </c>
      <c r="BJ185" s="8">
        <f t="shared" si="1312"/>
        <v>0.1083529085475549</v>
      </c>
      <c r="BK185" s="8">
        <f t="shared" si="1312"/>
        <v>0.23814986229030413</v>
      </c>
      <c r="BL185" s="8">
        <f t="shared" si="1312"/>
        <v>0.16905144573102371</v>
      </c>
      <c r="BM185" s="8">
        <f t="shared" si="1312"/>
        <v>0.22586303814800321</v>
      </c>
      <c r="BN185" s="8">
        <f t="shared" si="1312"/>
        <v>0.10669244837719712</v>
      </c>
      <c r="BO185" s="8">
        <f t="shared" si="1312"/>
        <v>9.6632743218037276E-2</v>
      </c>
      <c r="BP185" s="8">
        <f t="shared" si="1312"/>
        <v>8.7507830089064709E-2</v>
      </c>
      <c r="BQ185" s="8">
        <f t="shared" si="1312"/>
        <v>-0.71379555637723435</v>
      </c>
      <c r="BR185" s="8">
        <f t="shared" si="1312"/>
        <v>8.1767946690047263E-2</v>
      </c>
      <c r="BS185" s="8">
        <f t="shared" si="1312"/>
        <v>2.4684332207006934</v>
      </c>
      <c r="BT185" s="8">
        <f t="shared" si="1312"/>
        <v>0.10901257811078727</v>
      </c>
      <c r="BU185" s="8">
        <f t="shared" si="1312"/>
        <v>0.17050983479159548</v>
      </c>
      <c r="BV185" s="8">
        <f t="shared" si="1312"/>
        <v>6.8193324198867603E-2</v>
      </c>
      <c r="BW185" s="8">
        <f t="shared" si="1312"/>
        <v>0.22490740936252884</v>
      </c>
      <c r="BX185" s="8">
        <f t="shared" si="1312"/>
        <v>1.7426191351218891E-2</v>
      </c>
      <c r="BY185" s="8">
        <f t="shared" si="1312"/>
        <v>4.2074736881680175E-2</v>
      </c>
      <c r="BZ185" s="8">
        <f t="shared" si="1312"/>
        <v>-3.9172968627934339E-2</v>
      </c>
      <c r="CA185" s="8">
        <f t="shared" si="1312"/>
        <v>-4.4888064315506293E-2</v>
      </c>
      <c r="CB185" s="8">
        <f t="shared" si="1312"/>
        <v>-0.11373148378022278</v>
      </c>
      <c r="CC185" s="8">
        <f t="shared" si="1312"/>
        <v>-9.8440279992473692E-2</v>
      </c>
      <c r="CD185" s="8">
        <f t="shared" si="1312"/>
        <v>3.6226907299204318E-3</v>
      </c>
      <c r="CE185" s="8">
        <f t="shared" ref="CE185" si="1313">+CE181/CE148</f>
        <v>3.6020490988157981E-2</v>
      </c>
      <c r="CF185" s="8">
        <f t="shared" si="1312"/>
        <v>5.3150319641964337E-2</v>
      </c>
      <c r="CG185" s="8">
        <f t="shared" si="1312"/>
        <v>0.10244810450546028</v>
      </c>
      <c r="CH185" s="8">
        <f t="shared" si="1312"/>
        <v>7.1214434549361216E-2</v>
      </c>
      <c r="CI185" s="8">
        <f t="shared" ref="CI185" si="1314">+CI181/CI148</f>
        <v>0.32954967082326175</v>
      </c>
      <c r="CJ185" s="8">
        <f t="shared" ref="CJ185:CL185" si="1315">+CJ181/CJ148</f>
        <v>0.13445553940297905</v>
      </c>
      <c r="CK185" s="8">
        <f t="shared" si="1315"/>
        <v>0.13620898062104794</v>
      </c>
      <c r="CL185" s="8">
        <f t="shared" si="1315"/>
        <v>7.9140131123477286E-2</v>
      </c>
      <c r="CM185" s="8">
        <f t="shared" ref="CM185:CP185" si="1316">+CM181/CM148</f>
        <v>0.19745627808596689</v>
      </c>
      <c r="CN185" s="8">
        <f t="shared" si="1316"/>
        <v>-2.8893741587467707E-2</v>
      </c>
      <c r="CO185" s="8">
        <f t="shared" si="1316"/>
        <v>6.9749516366273953E-2</v>
      </c>
      <c r="CP185" s="8">
        <f t="shared" si="1316"/>
        <v>8.4146336798240268E-2</v>
      </c>
      <c r="CQ185" s="8"/>
      <c r="CR185" s="8"/>
      <c r="CS185" s="8"/>
      <c r="CT185" s="8">
        <v>7.9140131123477286E-2</v>
      </c>
      <c r="CU185" s="694"/>
      <c r="CV185" s="8"/>
      <c r="CW185" s="8"/>
      <c r="CX185" s="8"/>
      <c r="CY185" s="8"/>
      <c r="CZ185" s="8"/>
      <c r="DA185" s="8"/>
      <c r="DB185" s="8"/>
      <c r="DC185" s="8"/>
      <c r="DD185" s="8"/>
      <c r="DE185" s="8"/>
      <c r="DF185" s="8"/>
      <c r="DG185" s="8"/>
      <c r="DH185" s="8"/>
      <c r="DI185" s="8"/>
      <c r="DJ185" s="8"/>
      <c r="DK185" s="8"/>
      <c r="DL185" s="116"/>
      <c r="DM185" s="116"/>
      <c r="DN185" s="116"/>
      <c r="DO185" s="116"/>
      <c r="DP185" s="116"/>
      <c r="DQ185" s="116"/>
      <c r="DR185" s="116"/>
      <c r="DS185" s="192"/>
      <c r="DT185" s="192"/>
      <c r="DU185" s="192"/>
      <c r="DV185" s="192"/>
      <c r="DY185" s="192"/>
      <c r="DZ185" s="192"/>
    </row>
    <row r="186" spans="1:130">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c r="BU186" s="361"/>
      <c r="BV186" s="361"/>
      <c r="BW186" s="361"/>
      <c r="BX186" s="361"/>
      <c r="BY186" s="361"/>
      <c r="BZ186" s="361"/>
      <c r="CA186" s="361"/>
      <c r="CB186" s="361"/>
      <c r="CC186" s="361"/>
      <c r="CD186" s="361"/>
      <c r="CE186" s="361"/>
      <c r="CF186" s="361"/>
      <c r="CG186" s="361"/>
      <c r="CH186" s="361"/>
      <c r="CI186" s="361"/>
      <c r="CJ186" s="361"/>
      <c r="CK186" s="361"/>
      <c r="CL186" s="8"/>
      <c r="CM186" s="8"/>
      <c r="CN186" s="8"/>
      <c r="CO186" s="8"/>
      <c r="CP186" s="8"/>
      <c r="CQ186" s="8"/>
      <c r="CR186" s="8"/>
      <c r="CS186" s="8"/>
      <c r="CT186" s="8"/>
      <c r="CU186" s="694"/>
      <c r="CV186" s="8"/>
      <c r="CW186" s="8"/>
      <c r="CX186" s="8"/>
      <c r="CY186" s="8"/>
      <c r="CZ186" s="8"/>
      <c r="DA186" s="8"/>
      <c r="DB186" s="8"/>
      <c r="DC186" s="8"/>
      <c r="DD186" s="8"/>
      <c r="DE186" s="8"/>
      <c r="DF186" s="8"/>
      <c r="DG186" s="8"/>
      <c r="DH186" s="8"/>
      <c r="DI186" s="8"/>
      <c r="DJ186" s="8"/>
      <c r="DK186" s="8"/>
      <c r="DL186" s="116"/>
      <c r="DM186" s="116"/>
      <c r="DN186" s="116"/>
      <c r="DO186" s="116"/>
      <c r="DP186" s="116"/>
      <c r="DQ186" s="116"/>
      <c r="DR186" s="116"/>
      <c r="DS186" s="192"/>
      <c r="DT186" s="192"/>
      <c r="DU186" s="192"/>
      <c r="DV186" s="192"/>
      <c r="DY186" s="192"/>
      <c r="DZ186" s="192"/>
    </row>
    <row r="187" spans="1:130">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c r="BU187" s="361"/>
      <c r="BV187" s="361"/>
      <c r="BW187" s="361"/>
      <c r="BX187" s="361"/>
      <c r="BY187" s="361"/>
      <c r="BZ187" s="361"/>
      <c r="CA187" s="361"/>
      <c r="CB187" s="361"/>
      <c r="CC187" s="361"/>
      <c r="CD187" s="361"/>
      <c r="CE187" s="361"/>
      <c r="CF187" s="361"/>
      <c r="CG187" s="361"/>
      <c r="CH187" s="361"/>
      <c r="CI187" s="361"/>
      <c r="CJ187" s="361"/>
      <c r="CK187" s="361"/>
      <c r="CL187" s="8"/>
      <c r="CM187" s="8"/>
      <c r="CN187" s="8"/>
      <c r="CO187" s="8"/>
      <c r="CP187" s="8"/>
      <c r="CQ187" s="8"/>
      <c r="CR187" s="8"/>
      <c r="CS187" s="8"/>
      <c r="CT187" s="8"/>
      <c r="CU187" s="694"/>
      <c r="CV187" s="8"/>
      <c r="CW187" s="8"/>
      <c r="CX187" s="8"/>
      <c r="CY187" s="8"/>
      <c r="CZ187" s="8"/>
      <c r="DA187" s="8"/>
      <c r="DB187" s="8"/>
      <c r="DC187" s="8"/>
      <c r="DD187" s="8"/>
      <c r="DE187" s="8"/>
      <c r="DF187" s="8"/>
      <c r="DG187" s="8"/>
      <c r="DH187" s="8"/>
      <c r="DI187" s="8"/>
      <c r="DJ187" s="8"/>
      <c r="DK187" s="8"/>
      <c r="DL187" s="116"/>
      <c r="DM187" s="116"/>
      <c r="DN187" s="116"/>
      <c r="DO187" s="116"/>
      <c r="DP187" s="116"/>
      <c r="DQ187" s="116"/>
      <c r="DR187" s="116"/>
      <c r="DS187" s="192"/>
      <c r="DT187" s="192"/>
      <c r="DU187" s="192"/>
      <c r="DV187" s="192"/>
      <c r="DY187" s="192"/>
      <c r="DZ187" s="192"/>
    </row>
    <row r="188" spans="1:130" s="1353" customFormat="1">
      <c r="A188" s="1345" t="s">
        <v>244</v>
      </c>
      <c r="B188" s="1346"/>
      <c r="C188" s="1347"/>
      <c r="D188" s="1347"/>
      <c r="E188" s="1347"/>
      <c r="F188" s="1347"/>
      <c r="G188" s="1347"/>
      <c r="H188" s="1347"/>
      <c r="I188" s="1347"/>
      <c r="J188" s="1347"/>
      <c r="K188" s="1347"/>
      <c r="L188" s="1347"/>
      <c r="M188" s="1347"/>
      <c r="N188" s="1347"/>
      <c r="O188" s="1347"/>
      <c r="P188" s="1347"/>
      <c r="Q188" s="1347"/>
      <c r="R188" s="1347"/>
      <c r="S188" s="1347"/>
      <c r="T188" s="1347"/>
      <c r="U188" s="1347"/>
      <c r="V188" s="1347"/>
      <c r="W188" s="1347"/>
      <c r="X188" s="1347"/>
      <c r="Y188" s="1347"/>
      <c r="Z188" s="1347"/>
      <c r="AA188" s="1347"/>
      <c r="AB188" s="1347"/>
      <c r="AC188" s="1347"/>
      <c r="AD188" s="1347"/>
      <c r="AE188" s="1347"/>
      <c r="AF188" s="1347"/>
      <c r="AG188" s="1347"/>
      <c r="AH188" s="1347"/>
      <c r="AI188" s="1347"/>
      <c r="AJ188" s="1347"/>
      <c r="AK188" s="1347"/>
      <c r="AL188" s="1347"/>
      <c r="AM188" s="1347"/>
      <c r="AN188" s="1348"/>
      <c r="AO188" s="1348"/>
      <c r="AP188" s="1348"/>
      <c r="AQ188" s="1348"/>
      <c r="AR188" s="1348"/>
      <c r="AS188" s="1348"/>
      <c r="AT188" s="1348"/>
      <c r="AU188" s="1349"/>
      <c r="AV188" s="1349"/>
      <c r="AW188" s="1349"/>
      <c r="AX188" s="1349"/>
      <c r="AY188" s="1349"/>
      <c r="AZ188" s="1349"/>
      <c r="BA188" s="1349"/>
      <c r="BB188" s="1349"/>
      <c r="BC188" s="1349"/>
      <c r="BD188" s="1349"/>
      <c r="BE188" s="1349"/>
      <c r="BF188" s="1349"/>
      <c r="BG188" s="1349"/>
      <c r="BH188" s="1349"/>
      <c r="BI188" s="1349"/>
      <c r="BJ188" s="1349"/>
      <c r="BK188" s="1350">
        <f>+BK189+BK190+BK192</f>
        <v>-108884.45178999999</v>
      </c>
      <c r="BL188" s="1350">
        <f t="shared" ref="BL188:BW188" si="1317">+BL189+BL190+BL192</f>
        <v>-109834.33621000001</v>
      </c>
      <c r="BM188" s="1350">
        <f t="shared" si="1317"/>
        <v>-109580.53487999999</v>
      </c>
      <c r="BN188" s="1350">
        <f t="shared" si="1317"/>
        <v>-107321.84841999997</v>
      </c>
      <c r="BO188" s="1350">
        <f t="shared" si="1317"/>
        <v>-113697.61427000001</v>
      </c>
      <c r="BP188" s="1350">
        <f t="shared" si="1317"/>
        <v>-111054.22586000002</v>
      </c>
      <c r="BQ188" s="1350">
        <f t="shared" si="1317"/>
        <v>-125598.00287</v>
      </c>
      <c r="BR188" s="1350">
        <f t="shared" si="1317"/>
        <v>-120461.57171</v>
      </c>
      <c r="BS188" s="1350">
        <f t="shared" si="1317"/>
        <v>-133742.49</v>
      </c>
      <c r="BT188" s="1350">
        <f t="shared" si="1317"/>
        <v>-147232.14664999998</v>
      </c>
      <c r="BU188" s="1350">
        <f t="shared" si="1317"/>
        <v>-159938.52536999999</v>
      </c>
      <c r="BV188" s="1350">
        <f t="shared" si="1317"/>
        <v>-173195.76989</v>
      </c>
      <c r="BW188" s="1350">
        <f t="shared" si="1317"/>
        <v>-167773.22999999998</v>
      </c>
      <c r="BX188" s="1350">
        <f t="shared" ref="BX188:CD188" si="1318">+BX189+BX190+BX192</f>
        <v>-182623.46</v>
      </c>
      <c r="BY188" s="1350">
        <f t="shared" si="1318"/>
        <v>-178305</v>
      </c>
      <c r="BZ188" s="1350">
        <f t="shared" si="1318"/>
        <v>-181456.54</v>
      </c>
      <c r="CA188" s="1350">
        <f t="shared" si="1318"/>
        <v>-167306</v>
      </c>
      <c r="CB188" s="1350">
        <f t="shared" si="1318"/>
        <v>-158128.6899</v>
      </c>
      <c r="CC188" s="1350">
        <f t="shared" si="1318"/>
        <v>-167035.44989000002</v>
      </c>
      <c r="CD188" s="1350">
        <f t="shared" si="1318"/>
        <v>-181559.26381000003</v>
      </c>
      <c r="CE188" s="1350">
        <f t="shared" ref="CE188:CH188" si="1319">+CE189+CE190+CE192</f>
        <v>-179688</v>
      </c>
      <c r="CF188" s="1350">
        <f t="shared" si="1319"/>
        <v>-178467</v>
      </c>
      <c r="CG188" s="1350">
        <f t="shared" si="1319"/>
        <v>-171901</v>
      </c>
      <c r="CH188" s="1350">
        <f t="shared" si="1319"/>
        <v>-182423</v>
      </c>
      <c r="CI188" s="1350">
        <f t="shared" ref="CI188:CL188" si="1320">+CI189+CI190+CI192</f>
        <v>-180652</v>
      </c>
      <c r="CJ188" s="1350">
        <f t="shared" si="1320"/>
        <v>-179039</v>
      </c>
      <c r="CK188" s="1350">
        <f t="shared" si="1320"/>
        <v>-175196</v>
      </c>
      <c r="CL188" s="1350">
        <f t="shared" si="1320"/>
        <v>-194800.99580656632</v>
      </c>
      <c r="CM188" s="1350">
        <f t="shared" ref="CM188:CP188" si="1321">+CM189+CM190+CM192</f>
        <v>-220376.79720983797</v>
      </c>
      <c r="CN188" s="1350">
        <f t="shared" si="1321"/>
        <v>-213906.31622127307</v>
      </c>
      <c r="CO188" s="1350">
        <f t="shared" si="1321"/>
        <v>-204834.99829524916</v>
      </c>
      <c r="CP188" s="1350">
        <f t="shared" si="1321"/>
        <v>-213816.68670070235</v>
      </c>
      <c r="CQ188" s="1350"/>
      <c r="CR188" s="1349"/>
      <c r="CS188" s="1349"/>
      <c r="CT188" s="1350">
        <v>-194800.99580656632</v>
      </c>
      <c r="CU188" s="1351"/>
      <c r="CV188" s="1346"/>
      <c r="CW188" s="1347"/>
      <c r="CX188" s="1347"/>
      <c r="CY188" s="1347"/>
      <c r="CZ188" s="1347"/>
      <c r="DA188" s="1347"/>
      <c r="DB188" s="1347"/>
      <c r="DC188" s="1349"/>
      <c r="DD188" s="1346"/>
      <c r="DE188" s="1352"/>
      <c r="DF188" s="1350">
        <v>0</v>
      </c>
      <c r="DG188" s="1350">
        <v>0</v>
      </c>
      <c r="DH188" s="1350">
        <v>0</v>
      </c>
      <c r="DI188" s="1350">
        <v>0</v>
      </c>
      <c r="DJ188" s="1350">
        <v>0</v>
      </c>
      <c r="DK188" s="1350">
        <f t="shared" ref="DK188:DS188" si="1322">+DK189+DK190+DK192</f>
        <v>-435621.17129999993</v>
      </c>
      <c r="DL188" s="1350">
        <f t="shared" si="1322"/>
        <v>-470811.41471000004</v>
      </c>
      <c r="DM188" s="1350">
        <f t="shared" si="1322"/>
        <v>-614108.93191000004</v>
      </c>
      <c r="DN188" s="1350">
        <f t="shared" si="1322"/>
        <v>-710158.23</v>
      </c>
      <c r="DO188" s="1350">
        <f t="shared" si="1322"/>
        <v>-674029.40360000008</v>
      </c>
      <c r="DP188" s="1350">
        <f t="shared" ref="DP188:DQ188" si="1323">+DP189+DP190+DP192</f>
        <v>-712479</v>
      </c>
      <c r="DQ188" s="1350">
        <f t="shared" si="1323"/>
        <v>-729687.99580656621</v>
      </c>
      <c r="DR188" s="1350">
        <f t="shared" ref="DR188" si="1324">+DR189+DR190+DR192</f>
        <v>-852934.79842706257</v>
      </c>
      <c r="DS188" s="1350">
        <f t="shared" si="1322"/>
        <v>-947981.46217844984</v>
      </c>
      <c r="DT188" s="1350">
        <f t="shared" ref="DT188:DV188" si="1325">+DT189+DT190+DT192</f>
        <v>-1025841.5413893304</v>
      </c>
      <c r="DU188" s="1350">
        <f t="shared" si="1325"/>
        <v>-1111894.2464391557</v>
      </c>
      <c r="DV188" s="1350">
        <f t="shared" si="1325"/>
        <v>-1208520.0079140763</v>
      </c>
      <c r="DY188" s="1350">
        <v>-871039.58100063447</v>
      </c>
      <c r="DZ188" s="1350">
        <v>-952354.70394631242</v>
      </c>
    </row>
    <row r="189" spans="1:130" ht="15.75">
      <c r="A189" s="1332" t="s">
        <v>245</v>
      </c>
      <c r="B189" s="6"/>
      <c r="C189" s="65"/>
      <c r="D189" s="65"/>
      <c r="E189" s="65"/>
      <c r="F189" s="65"/>
      <c r="G189" s="65"/>
      <c r="H189" s="65"/>
      <c r="I189" s="65"/>
      <c r="J189" s="65"/>
      <c r="K189" s="65"/>
      <c r="L189" s="65"/>
      <c r="M189" s="65"/>
      <c r="N189" s="65"/>
      <c r="O189" s="65"/>
      <c r="P189" s="65"/>
      <c r="Q189" s="65"/>
      <c r="R189" s="65"/>
      <c r="S189" s="65"/>
      <c r="T189" s="65"/>
      <c r="U189" s="65"/>
      <c r="V189" s="65"/>
      <c r="W189" s="65"/>
      <c r="X189" s="65"/>
      <c r="Y189" s="65"/>
      <c r="Z189" s="65"/>
      <c r="AA189" s="65"/>
      <c r="AB189" s="65"/>
      <c r="AC189" s="65"/>
      <c r="AD189" s="65"/>
      <c r="AE189" s="65"/>
      <c r="AF189" s="65"/>
      <c r="AG189" s="65"/>
      <c r="AH189" s="65"/>
      <c r="AI189" s="65"/>
      <c r="AJ189" s="65"/>
      <c r="AK189" s="65"/>
      <c r="AL189" s="65"/>
      <c r="AM189" s="65"/>
      <c r="AN189" s="34"/>
      <c r="AO189" s="34"/>
      <c r="AP189" s="34"/>
      <c r="AQ189" s="34"/>
      <c r="AR189" s="34"/>
      <c r="AS189" s="34"/>
      <c r="AT189" s="34"/>
      <c r="AU189" s="113"/>
      <c r="AV189" s="113"/>
      <c r="AW189" s="113"/>
      <c r="AX189" s="113"/>
      <c r="AY189" s="113"/>
      <c r="AZ189" s="113"/>
      <c r="BA189" s="113"/>
      <c r="BB189" s="113"/>
      <c r="BC189" s="113"/>
      <c r="BD189" s="113"/>
      <c r="BE189" s="113"/>
      <c r="BF189" s="113"/>
      <c r="BG189" s="113"/>
      <c r="BH189" s="113"/>
      <c r="BI189" s="113"/>
      <c r="BJ189" s="113"/>
      <c r="BK189" s="1334">
        <v>-74103.165889999989</v>
      </c>
      <c r="BL189" s="1334">
        <v>-75763.632910000015</v>
      </c>
      <c r="BM189" s="1335">
        <v>-75995.115479999993</v>
      </c>
      <c r="BN189" s="1335">
        <v>-74960.325799999977</v>
      </c>
      <c r="BO189" s="1335">
        <v>-81911.143890000007</v>
      </c>
      <c r="BP189" s="1335">
        <v>-78396.136810000011</v>
      </c>
      <c r="BQ189" s="1335">
        <v>-88468.738169999997</v>
      </c>
      <c r="BR189" s="1335">
        <v>-86237.840260000012</v>
      </c>
      <c r="BS189" s="1335">
        <v>-90833.68</v>
      </c>
      <c r="BT189" s="1335">
        <v>-97597.731459999995</v>
      </c>
      <c r="BU189" s="1335">
        <v>-107731.49892000001</v>
      </c>
      <c r="BV189" s="1335">
        <v>-117024.02584999999</v>
      </c>
      <c r="BW189" s="1335">
        <v>-120543.15</v>
      </c>
      <c r="BX189" s="1335">
        <v>-127048.02</v>
      </c>
      <c r="BY189" s="1335">
        <v>-124403</v>
      </c>
      <c r="BZ189" s="1335">
        <v>-122462.49</v>
      </c>
      <c r="CA189" s="1335">
        <v>-119222</v>
      </c>
      <c r="CB189" s="1335">
        <v>-105162</v>
      </c>
      <c r="CC189" s="1335">
        <v>-118116</v>
      </c>
      <c r="CD189" s="1335">
        <v>-122492</v>
      </c>
      <c r="CE189" s="1335">
        <v>-126996</v>
      </c>
      <c r="CF189" s="1335">
        <v>-126199</v>
      </c>
      <c r="CG189" s="1335">
        <v>-122318</v>
      </c>
      <c r="CH189" s="1335">
        <v>-128854</v>
      </c>
      <c r="CI189" s="1335">
        <v>-129083</v>
      </c>
      <c r="CJ189" s="1335">
        <v>-141104</v>
      </c>
      <c r="CK189" s="1335">
        <v>-129643</v>
      </c>
      <c r="CL189" s="806">
        <f t="shared" ref="CL189:CP189" si="1326">-CL136</f>
        <v>-128381.58672762492</v>
      </c>
      <c r="CM189" s="806">
        <f t="shared" si="1326"/>
        <v>-153189.99720036102</v>
      </c>
      <c r="CN189" s="806">
        <f t="shared" si="1326"/>
        <v>-148495.22268003566</v>
      </c>
      <c r="CO189" s="806">
        <f t="shared" si="1326"/>
        <v>-141853.08167872648</v>
      </c>
      <c r="CP189" s="806">
        <f t="shared" si="1326"/>
        <v>-141789.50806194518</v>
      </c>
      <c r="CQ189" s="806"/>
      <c r="CR189" s="378"/>
      <c r="CS189" s="378"/>
      <c r="CT189" s="806">
        <v>-128381.58672762492</v>
      </c>
      <c r="CU189" s="1109"/>
      <c r="CV189" s="6"/>
      <c r="CW189" s="65"/>
      <c r="CX189" s="65"/>
      <c r="CY189" s="65"/>
      <c r="CZ189" s="65"/>
      <c r="DA189" s="65"/>
      <c r="DB189" s="65"/>
      <c r="DC189" s="113"/>
      <c r="DD189" s="6"/>
      <c r="DE189" s="33"/>
      <c r="DF189" s="33"/>
      <c r="DG189" s="33"/>
      <c r="DH189" s="33"/>
      <c r="DI189" s="33"/>
      <c r="DJ189" s="33"/>
      <c r="DK189" s="1333">
        <f>+SUM(BK189:BN189)</f>
        <v>-300822.24007999996</v>
      </c>
      <c r="DL189" s="1333">
        <f>+SUM(BO189:BR189)</f>
        <v>-335013.85913</v>
      </c>
      <c r="DM189" s="1333">
        <f>+SUM(BS189:BV189)</f>
        <v>-413186.93622999999</v>
      </c>
      <c r="DN189" s="1333">
        <f>+SUM(BW189:BZ189)</f>
        <v>-494456.66</v>
      </c>
      <c r="DO189" s="1333">
        <f>+SUM(CA189:CD189)</f>
        <v>-464992</v>
      </c>
      <c r="DP189" s="1333">
        <f>+SUM(CE189:CH189)</f>
        <v>-504367</v>
      </c>
      <c r="DQ189" s="1333">
        <f>+SUM(CI189:CL189)</f>
        <v>-528211.58672762488</v>
      </c>
      <c r="DR189" s="1333">
        <f>+SUM(CM189:CP189)</f>
        <v>-585327.8096210683</v>
      </c>
      <c r="DS189" s="806">
        <f t="shared" ref="DS189:DV189" si="1327">-DS136</f>
        <v>-642606.89819539152</v>
      </c>
      <c r="DT189" s="806">
        <f t="shared" si="1327"/>
        <v>-703531.78936026688</v>
      </c>
      <c r="DU189" s="806">
        <f t="shared" si="1327"/>
        <v>-768302.50078121957</v>
      </c>
      <c r="DV189" s="806">
        <f t="shared" si="1327"/>
        <v>-837129.21825287212</v>
      </c>
      <c r="DY189" s="806">
        <v>-575766.02928782627</v>
      </c>
      <c r="DZ189" s="806">
        <v>-632109.41985902435</v>
      </c>
    </row>
    <row r="190" spans="1:130" ht="15.75">
      <c r="A190" s="1325" t="s">
        <v>246</v>
      </c>
      <c r="B190" s="6"/>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c r="AA190" s="65"/>
      <c r="AB190" s="65"/>
      <c r="AC190" s="65"/>
      <c r="AD190" s="65"/>
      <c r="AE190" s="65"/>
      <c r="AF190" s="65"/>
      <c r="AG190" s="65"/>
      <c r="AH190" s="65"/>
      <c r="AI190" s="65"/>
      <c r="AJ190" s="65"/>
      <c r="AK190" s="65"/>
      <c r="AL190" s="65"/>
      <c r="AM190" s="65"/>
      <c r="AN190" s="34"/>
      <c r="AO190" s="34"/>
      <c r="AP190" s="34"/>
      <c r="AQ190" s="34"/>
      <c r="AR190" s="34"/>
      <c r="AS190" s="34"/>
      <c r="AT190" s="34"/>
      <c r="AU190" s="113"/>
      <c r="AV190" s="113"/>
      <c r="AW190" s="113"/>
      <c r="AX190" s="113"/>
      <c r="AY190" s="113"/>
      <c r="AZ190" s="113"/>
      <c r="BA190" s="113"/>
      <c r="BB190" s="113"/>
      <c r="BC190" s="113"/>
      <c r="BD190" s="113"/>
      <c r="BE190" s="113"/>
      <c r="BF190" s="113"/>
      <c r="BG190" s="113"/>
      <c r="BH190" s="113"/>
      <c r="BI190" s="113"/>
      <c r="BJ190" s="113"/>
      <c r="BK190" s="1334">
        <v>-34781.285900000003</v>
      </c>
      <c r="BL190" s="1334">
        <v>-34070.703299999994</v>
      </c>
      <c r="BM190" s="1335">
        <v>-33585.419399999992</v>
      </c>
      <c r="BN190" s="1335">
        <v>-32361.522619999996</v>
      </c>
      <c r="BO190" s="1335">
        <v>-31786.470379999999</v>
      </c>
      <c r="BP190" s="1335">
        <v>-32658.08905000001</v>
      </c>
      <c r="BQ190" s="1335">
        <v>-37129.264700000007</v>
      </c>
      <c r="BR190" s="1335">
        <v>-34223.731449999992</v>
      </c>
      <c r="BS190" s="1335">
        <v>-42908.81</v>
      </c>
      <c r="BT190" s="1335">
        <v>-49768.865189999997</v>
      </c>
      <c r="BU190" s="1335">
        <v>-52590.696449999996</v>
      </c>
      <c r="BV190" s="1335">
        <v>-56525.444040000009</v>
      </c>
      <c r="BW190" s="1335">
        <v>-50141.83</v>
      </c>
      <c r="BX190" s="1335">
        <v>-58429.890000000007</v>
      </c>
      <c r="BY190" s="1335">
        <v>-56685</v>
      </c>
      <c r="BZ190" s="1335">
        <v>-61850.7</v>
      </c>
      <c r="CA190" s="1335">
        <v>-52238</v>
      </c>
      <c r="CB190" s="1335">
        <v>-59876.674330000009</v>
      </c>
      <c r="CC190" s="1335">
        <v>-58766.387230000015</v>
      </c>
      <c r="CD190" s="1335">
        <v>-68447.582960000014</v>
      </c>
      <c r="CE190" s="1335">
        <v>-61674</v>
      </c>
      <c r="CF190" s="1335">
        <v>-60963</v>
      </c>
      <c r="CG190" s="1335">
        <v>-58024</v>
      </c>
      <c r="CH190" s="1335">
        <v>-63423</v>
      </c>
      <c r="CI190" s="1335">
        <v>-63091</v>
      </c>
      <c r="CJ190" s="1335">
        <v>-61985</v>
      </c>
      <c r="CK190" s="1335">
        <v>-58195</v>
      </c>
      <c r="CL190" s="806">
        <f t="shared" ref="CL190:CP190" si="1328">+CL191*CL30</f>
        <v>-66419.409078941389</v>
      </c>
      <c r="CM190" s="806">
        <f t="shared" si="1328"/>
        <v>-67186.800009476952</v>
      </c>
      <c r="CN190" s="806">
        <f t="shared" si="1328"/>
        <v>-65411.093541237409</v>
      </c>
      <c r="CO190" s="806">
        <f t="shared" si="1328"/>
        <v>-62981.916616522685</v>
      </c>
      <c r="CP190" s="806">
        <f t="shared" si="1328"/>
        <v>-72027.178638757177</v>
      </c>
      <c r="CQ190" s="806"/>
      <c r="CR190" s="378"/>
      <c r="CS190" s="378"/>
      <c r="CT190" s="806">
        <v>-66419.409078941389</v>
      </c>
      <c r="CU190" s="1109"/>
      <c r="CV190" s="6"/>
      <c r="CW190" s="65"/>
      <c r="CX190" s="65"/>
      <c r="CY190" s="65"/>
      <c r="CZ190" s="65"/>
      <c r="DA190" s="65"/>
      <c r="DB190" s="65"/>
      <c r="DC190" s="113"/>
      <c r="DD190" s="6"/>
      <c r="DE190" s="33"/>
      <c r="DF190" s="33"/>
      <c r="DG190" s="33"/>
      <c r="DH190" s="33"/>
      <c r="DI190" s="33"/>
      <c r="DJ190" s="33"/>
      <c r="DK190" s="1333">
        <f>+SUM(BK190:BN190)</f>
        <v>-134798.93122</v>
      </c>
      <c r="DL190" s="1333">
        <f>+SUM(BO190:BR190)</f>
        <v>-135797.55558000001</v>
      </c>
      <c r="DM190" s="1333">
        <f>+SUM(BS190:BV190)</f>
        <v>-201793.81568</v>
      </c>
      <c r="DN190" s="1333">
        <f>+SUM(BW190:BZ190)</f>
        <v>-227107.41999999998</v>
      </c>
      <c r="DO190" s="1333">
        <f>+SUM(CA190:CD190)</f>
        <v>-239328.64452000003</v>
      </c>
      <c r="DP190" s="1333">
        <f>+SUM(CE190:CH190)</f>
        <v>-244084</v>
      </c>
      <c r="DQ190" s="1333">
        <f>+SUM(CI190:CL190)</f>
        <v>-249690.40907894139</v>
      </c>
      <c r="DR190" s="1333">
        <f>+SUM(CM190:CP190)</f>
        <v>-267606.98880599422</v>
      </c>
      <c r="DS190" s="806">
        <f t="shared" ref="DS190:DV190" si="1329">+DS191*DS30</f>
        <v>-305374.56398305832</v>
      </c>
      <c r="DT190" s="806">
        <f t="shared" si="1329"/>
        <v>-322309.75202906353</v>
      </c>
      <c r="DU190" s="806">
        <f t="shared" si="1329"/>
        <v>-343591.74565793615</v>
      </c>
      <c r="DV190" s="806">
        <f t="shared" si="1329"/>
        <v>-371390.78966120415</v>
      </c>
      <c r="DY190" s="806">
        <v>-295273.5517128082</v>
      </c>
      <c r="DZ190" s="806">
        <v>-320245.28408728814</v>
      </c>
    </row>
    <row r="191" spans="1:130" ht="15.75">
      <c r="A191" s="1342" t="s">
        <v>247</v>
      </c>
      <c r="B191" s="6"/>
      <c r="C191" s="65"/>
      <c r="D191" s="65"/>
      <c r="E191" s="65"/>
      <c r="F191" s="65"/>
      <c r="G191" s="65"/>
      <c r="H191" s="65"/>
      <c r="I191" s="65"/>
      <c r="J191" s="65"/>
      <c r="K191" s="65"/>
      <c r="L191" s="65"/>
      <c r="M191" s="65"/>
      <c r="N191" s="65"/>
      <c r="O191" s="65"/>
      <c r="P191" s="65"/>
      <c r="Q191" s="65"/>
      <c r="R191" s="65"/>
      <c r="S191" s="65"/>
      <c r="T191" s="65"/>
      <c r="U191" s="65"/>
      <c r="V191" s="65"/>
      <c r="W191" s="65"/>
      <c r="X191" s="65"/>
      <c r="Y191" s="65"/>
      <c r="Z191" s="65"/>
      <c r="AA191" s="65"/>
      <c r="AB191" s="65"/>
      <c r="AC191" s="65"/>
      <c r="AD191" s="65"/>
      <c r="AE191" s="65"/>
      <c r="AF191" s="65"/>
      <c r="AG191" s="65"/>
      <c r="AH191" s="65"/>
      <c r="AI191" s="65"/>
      <c r="AJ191" s="65"/>
      <c r="AK191" s="65"/>
      <c r="AL191" s="65"/>
      <c r="AM191" s="65"/>
      <c r="AN191" s="34"/>
      <c r="AO191" s="34"/>
      <c r="AP191" s="34"/>
      <c r="AQ191" s="34"/>
      <c r="AR191" s="34"/>
      <c r="AS191" s="34"/>
      <c r="AT191" s="34"/>
      <c r="AU191" s="113"/>
      <c r="AV191" s="113"/>
      <c r="AW191" s="113"/>
      <c r="AX191" s="113"/>
      <c r="AY191" s="113"/>
      <c r="AZ191" s="113"/>
      <c r="BA191" s="113"/>
      <c r="BB191" s="113"/>
      <c r="BC191" s="113"/>
      <c r="BD191" s="113"/>
      <c r="BE191" s="113"/>
      <c r="BF191" s="113"/>
      <c r="BG191" s="113"/>
      <c r="BH191" s="113"/>
      <c r="BI191" s="113"/>
      <c r="BJ191" s="113"/>
      <c r="BK191" s="1341">
        <f t="shared" ref="BK191:CK191" si="1330">+BK190/BK30</f>
        <v>-2.1075262749365737E-2</v>
      </c>
      <c r="BL191" s="1341">
        <f t="shared" si="1330"/>
        <v>-1.6871913424655362E-2</v>
      </c>
      <c r="BM191" s="1341">
        <f t="shared" si="1330"/>
        <v>-1.7384441313426403E-2</v>
      </c>
      <c r="BN191" s="1341">
        <f t="shared" si="1330"/>
        <v>-1.1263790226302426E-2</v>
      </c>
      <c r="BO191" s="1341">
        <f t="shared" si="1330"/>
        <v>-2.0505019017146395E-2</v>
      </c>
      <c r="BP191" s="1341">
        <f t="shared" si="1330"/>
        <v>-6.0518736796655544E-2</v>
      </c>
      <c r="BQ191" s="1341">
        <f t="shared" si="1330"/>
        <v>-2.2486271898507573E-2</v>
      </c>
      <c r="BR191" s="1341">
        <f t="shared" si="1330"/>
        <v>-1.1722230368432479E-2</v>
      </c>
      <c r="BS191" s="1341">
        <f t="shared" si="1330"/>
        <v>-3.1448457473045262E-2</v>
      </c>
      <c r="BT191" s="1341">
        <f t="shared" si="1330"/>
        <v>-2.2034071991120646E-2</v>
      </c>
      <c r="BU191" s="1341">
        <f t="shared" si="1330"/>
        <v>-2.2172164135609154E-2</v>
      </c>
      <c r="BV191" s="1341">
        <f t="shared" si="1330"/>
        <v>-1.5874981536320179E-2</v>
      </c>
      <c r="BW191" s="1341">
        <f t="shared" si="1330"/>
        <v>-2.2488503878385319E-2</v>
      </c>
      <c r="BX191" s="1341">
        <f t="shared" si="1330"/>
        <v>-1.8398797762414806E-2</v>
      </c>
      <c r="BY191" s="1341">
        <f t="shared" si="1330"/>
        <v>-2.1672546311040899E-2</v>
      </c>
      <c r="BZ191" s="1341">
        <f t="shared" si="1330"/>
        <v>-1.7398893459777926E-2</v>
      </c>
      <c r="CA191" s="1341">
        <f t="shared" si="1330"/>
        <v>-2.2931528942725612E-2</v>
      </c>
      <c r="CB191" s="1341">
        <f t="shared" si="1330"/>
        <v>-2.0057144709550521E-2</v>
      </c>
      <c r="CC191" s="1341">
        <f t="shared" si="1330"/>
        <v>-2.2292877156684904E-2</v>
      </c>
      <c r="CD191" s="1341">
        <f t="shared" si="1330"/>
        <v>-1.7979727754456283E-2</v>
      </c>
      <c r="CE191" s="1341">
        <f t="shared" si="1330"/>
        <v>-2.5057530666770678E-2</v>
      </c>
      <c r="CF191" s="1341">
        <f t="shared" si="1330"/>
        <v>-1.9793676660098319E-2</v>
      </c>
      <c r="CG191" s="1341">
        <f t="shared" si="1330"/>
        <v>-1.9629547435141032E-2</v>
      </c>
      <c r="CH191" s="1341">
        <f t="shared" si="1330"/>
        <v>-1.5191941896804598E-2</v>
      </c>
      <c r="CI191" s="1341">
        <f t="shared" si="1330"/>
        <v>-2.2885259935288227E-2</v>
      </c>
      <c r="CJ191" s="1341">
        <f t="shared" si="1330"/>
        <v>-1.6983731949390478E-2</v>
      </c>
      <c r="CK191" s="1341">
        <f t="shared" si="1330"/>
        <v>-1.8899702482731429E-2</v>
      </c>
      <c r="CL191" s="1343">
        <f t="shared" ref="CL191" si="1331">+CH191</f>
        <v>-1.5191941896804598E-2</v>
      </c>
      <c r="CM191" s="1343">
        <f t="shared" ref="CM191" si="1332">+CI191</f>
        <v>-2.2885259935288227E-2</v>
      </c>
      <c r="CN191" s="1343">
        <f t="shared" ref="CN191" si="1333">+CJ191</f>
        <v>-1.6983731949390478E-2</v>
      </c>
      <c r="CO191" s="1343">
        <f t="shared" ref="CO191" si="1334">+CK191</f>
        <v>-1.8899702482731429E-2</v>
      </c>
      <c r="CP191" s="1343">
        <f t="shared" ref="CP191" si="1335">+CL191</f>
        <v>-1.5191941896804598E-2</v>
      </c>
      <c r="CQ191" s="1343"/>
      <c r="CR191" s="378"/>
      <c r="CS191" s="378"/>
      <c r="CT191" s="1343">
        <v>-1.5191941896804598E-2</v>
      </c>
      <c r="CU191" s="1109"/>
      <c r="CV191" s="6"/>
      <c r="CW191" s="65"/>
      <c r="CX191" s="65"/>
      <c r="CY191" s="65"/>
      <c r="CZ191" s="65"/>
      <c r="DA191" s="65"/>
      <c r="DB191" s="65"/>
      <c r="DC191" s="113"/>
      <c r="DD191" s="6"/>
      <c r="DE191" s="33"/>
      <c r="DF191" s="33"/>
      <c r="DG191" s="33"/>
      <c r="DH191" s="33"/>
      <c r="DI191" s="33"/>
      <c r="DJ191" s="33"/>
      <c r="DK191" s="1341">
        <f t="shared" ref="DK191:DP191" si="1336">+DK190/DK30</f>
        <v>-1.5906054793961268E-2</v>
      </c>
      <c r="DL191" s="1341">
        <f t="shared" si="1336"/>
        <v>-2.0388275356572283E-2</v>
      </c>
      <c r="DM191" s="1341">
        <f t="shared" si="1336"/>
        <v>-2.1117579884199524E-2</v>
      </c>
      <c r="DN191" s="1341">
        <f t="shared" si="1336"/>
        <v>-1.9619163953750043E-2</v>
      </c>
      <c r="DO191" s="1341">
        <f t="shared" si="1336"/>
        <v>-2.0444361305070588E-2</v>
      </c>
      <c r="DP191" s="1341">
        <f t="shared" si="1336"/>
        <v>-1.9261755294173351E-2</v>
      </c>
      <c r="DQ191" s="1341">
        <f t="shared" ref="DQ191:DR191" si="1337">+DQ190/DQ30</f>
        <v>-1.801820520395624E-2</v>
      </c>
      <c r="DR191" s="1341">
        <f t="shared" si="1337"/>
        <v>-1.8007599632852457E-2</v>
      </c>
      <c r="DS191" s="1343">
        <f>+AVERAGE(DO191:DR191)</f>
        <v>-1.8932980359013162E-2</v>
      </c>
      <c r="DT191" s="1343">
        <f t="shared" ref="DT191:DV191" si="1338">+AVERAGE(DP191:DS191)</f>
        <v>-1.8555135122498803E-2</v>
      </c>
      <c r="DU191" s="1343">
        <f t="shared" si="1338"/>
        <v>-1.8378480079580164E-2</v>
      </c>
      <c r="DV191" s="1343">
        <f t="shared" si="1338"/>
        <v>-1.8468548798486147E-2</v>
      </c>
      <c r="DY191" s="1343">
        <v>-1.9327151974595631E-2</v>
      </c>
      <c r="DZ191" s="1343">
        <v>-1.9254148979807026E-2</v>
      </c>
    </row>
    <row r="192" spans="1:130" ht="15.75">
      <c r="A192" s="1325" t="s">
        <v>248</v>
      </c>
      <c r="B192" s="6"/>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c r="AA192" s="65"/>
      <c r="AB192" s="65"/>
      <c r="AC192" s="65"/>
      <c r="AD192" s="65"/>
      <c r="AE192" s="65"/>
      <c r="AF192" s="65"/>
      <c r="AG192" s="65"/>
      <c r="AH192" s="65"/>
      <c r="AI192" s="65"/>
      <c r="AJ192" s="65"/>
      <c r="AK192" s="65"/>
      <c r="AL192" s="65"/>
      <c r="AM192" s="65"/>
      <c r="AN192" s="34"/>
      <c r="AO192" s="34"/>
      <c r="AP192" s="34"/>
      <c r="AQ192" s="34"/>
      <c r="AR192" s="34"/>
      <c r="AS192" s="34"/>
      <c r="AT192" s="34"/>
      <c r="AU192" s="113"/>
      <c r="AV192" s="113"/>
      <c r="AW192" s="113"/>
      <c r="AX192" s="113"/>
      <c r="AY192" s="113"/>
      <c r="AZ192" s="113"/>
      <c r="BA192" s="113"/>
      <c r="BB192" s="113"/>
      <c r="BC192" s="113"/>
      <c r="BD192" s="113"/>
      <c r="BE192" s="113"/>
      <c r="BF192" s="113"/>
      <c r="BG192" s="113"/>
      <c r="BH192" s="113"/>
      <c r="BI192" s="113"/>
      <c r="BJ192" s="113"/>
      <c r="BK192" s="1334">
        <v>0</v>
      </c>
      <c r="BL192" s="1334">
        <v>0</v>
      </c>
      <c r="BM192" s="1335">
        <v>0</v>
      </c>
      <c r="BN192" s="1335">
        <v>0</v>
      </c>
      <c r="BO192" s="1335">
        <v>0</v>
      </c>
      <c r="BP192" s="1335">
        <v>0</v>
      </c>
      <c r="BQ192" s="1335">
        <v>0</v>
      </c>
      <c r="BR192" s="1335">
        <v>0</v>
      </c>
      <c r="BS192" s="1335">
        <v>0</v>
      </c>
      <c r="BT192" s="1335">
        <v>134.44999999999999</v>
      </c>
      <c r="BU192" s="1335">
        <v>383.67</v>
      </c>
      <c r="BV192" s="1335">
        <v>353.7</v>
      </c>
      <c r="BW192" s="1335">
        <v>2911.75</v>
      </c>
      <c r="BX192" s="1335">
        <v>2854.45</v>
      </c>
      <c r="BY192" s="1335">
        <v>2783</v>
      </c>
      <c r="BZ192" s="1335">
        <v>2856.65</v>
      </c>
      <c r="CA192" s="1335">
        <v>4154</v>
      </c>
      <c r="CB192" s="1335">
        <v>6909.9844299999995</v>
      </c>
      <c r="CC192" s="1335">
        <v>9846.9373399999986</v>
      </c>
      <c r="CD192" s="1335">
        <v>9380.3191499999994</v>
      </c>
      <c r="CE192" s="1335">
        <v>8982</v>
      </c>
      <c r="CF192" s="1335">
        <v>8695</v>
      </c>
      <c r="CG192" s="1335">
        <v>8441</v>
      </c>
      <c r="CH192" s="1335">
        <v>9854</v>
      </c>
      <c r="CI192" s="1335">
        <v>11522</v>
      </c>
      <c r="CJ192" s="1335">
        <v>24050</v>
      </c>
      <c r="CK192" s="1335">
        <v>12642</v>
      </c>
      <c r="CL192" s="1344">
        <v>0</v>
      </c>
      <c r="CM192" s="1344">
        <v>0</v>
      </c>
      <c r="CN192" s="1344">
        <v>0</v>
      </c>
      <c r="CO192" s="1344">
        <v>0</v>
      </c>
      <c r="CP192" s="1344">
        <v>0</v>
      </c>
      <c r="CQ192" s="1344"/>
      <c r="CR192" s="378"/>
      <c r="CS192" s="378"/>
      <c r="CT192" s="1344">
        <v>0</v>
      </c>
      <c r="CU192" s="1109"/>
      <c r="CV192" s="6"/>
      <c r="CW192" s="65"/>
      <c r="CX192" s="65"/>
      <c r="CY192" s="65"/>
      <c r="CZ192" s="65"/>
      <c r="DA192" s="65"/>
      <c r="DB192" s="65"/>
      <c r="DC192" s="113"/>
      <c r="DD192" s="6"/>
      <c r="DE192" s="33"/>
      <c r="DF192" s="33"/>
      <c r="DG192" s="33"/>
      <c r="DH192" s="33"/>
      <c r="DI192" s="33"/>
      <c r="DJ192" s="33"/>
      <c r="DK192" s="1244">
        <f>+SUM(BK192:BN192)</f>
        <v>0</v>
      </c>
      <c r="DL192" s="1244">
        <f>+SUM(BO192:BR192)</f>
        <v>0</v>
      </c>
      <c r="DM192" s="1244">
        <f>+SUM(BS192:BV192)</f>
        <v>871.81999999999994</v>
      </c>
      <c r="DN192" s="1244">
        <f>+SUM(BW192:BZ192)</f>
        <v>11405.85</v>
      </c>
      <c r="DO192" s="1244">
        <f>+SUM(CA192:CD192)</f>
        <v>30291.24092</v>
      </c>
      <c r="DP192" s="1244">
        <f>+SUM(CE192:CH192)</f>
        <v>35972</v>
      </c>
      <c r="DQ192" s="1244">
        <f>+SUM(CI192:CL192)</f>
        <v>48214</v>
      </c>
      <c r="DR192" s="1244">
        <f>+SUM(CM192:CP192)</f>
        <v>0</v>
      </c>
      <c r="DS192" s="1344">
        <v>0</v>
      </c>
      <c r="DT192" s="1344">
        <v>0</v>
      </c>
      <c r="DU192" s="1344">
        <v>0</v>
      </c>
      <c r="DV192" s="1344">
        <v>0</v>
      </c>
      <c r="DY192" s="1344">
        <v>0</v>
      </c>
      <c r="DZ192" s="1344">
        <v>0</v>
      </c>
    </row>
    <row r="193" spans="1:130">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c r="BU193" s="8"/>
      <c r="BV193" s="8"/>
      <c r="BW193" s="8"/>
      <c r="BX193" s="8"/>
      <c r="BY193" s="8"/>
      <c r="BZ193" s="8"/>
      <c r="CA193" s="8"/>
      <c r="CB193" s="8"/>
      <c r="CC193" s="8"/>
      <c r="CD193" s="8"/>
      <c r="CE193" s="8"/>
      <c r="CF193" s="8"/>
      <c r="CG193" s="8"/>
      <c r="CH193" s="8"/>
      <c r="CI193" s="8"/>
      <c r="CJ193" s="8"/>
      <c r="CK193" s="8"/>
      <c r="CL193" s="8"/>
      <c r="CM193" s="8"/>
      <c r="CN193" s="8"/>
      <c r="CO193" s="8"/>
      <c r="CP193" s="8"/>
      <c r="CQ193" s="8"/>
      <c r="CR193" s="8"/>
      <c r="CS193" s="8"/>
      <c r="CT193" s="8"/>
      <c r="CU193" s="694"/>
      <c r="CV193" s="8"/>
      <c r="CW193" s="8"/>
      <c r="CX193" s="8"/>
      <c r="CY193" s="8"/>
      <c r="CZ193" s="8"/>
      <c r="DA193" s="8"/>
      <c r="DB193" s="8"/>
      <c r="DC193" s="8"/>
      <c r="DD193" s="8"/>
      <c r="DE193" s="8"/>
      <c r="DF193" s="8"/>
      <c r="DG193" s="8"/>
      <c r="DH193" s="8"/>
      <c r="DI193" s="8"/>
      <c r="DJ193" s="8"/>
      <c r="DK193" s="8"/>
      <c r="DL193" s="116"/>
      <c r="DM193" s="116"/>
      <c r="DN193" s="116"/>
      <c r="DO193" s="116"/>
      <c r="DP193" s="116"/>
      <c r="DQ193" s="116"/>
      <c r="DR193" s="116"/>
      <c r="DS193" s="192"/>
      <c r="DT193" s="192"/>
      <c r="DU193" s="192"/>
      <c r="DV193" s="192"/>
      <c r="DY193" s="192"/>
      <c r="DZ193" s="192"/>
    </row>
    <row r="194" spans="1:130" ht="15.75" thickBo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1149"/>
      <c r="BS194" s="1149"/>
      <c r="BT194" s="1149"/>
      <c r="BU194" s="1149"/>
      <c r="BV194" s="1149"/>
      <c r="BW194" s="1149"/>
      <c r="BX194" s="1149"/>
      <c r="BY194" s="1149"/>
      <c r="BZ194" s="1149"/>
      <c r="CA194" s="1149"/>
      <c r="CB194" s="1149"/>
      <c r="CC194" s="1149"/>
      <c r="CD194" s="1149"/>
      <c r="CE194" s="1149"/>
      <c r="CF194" s="1149"/>
      <c r="CG194" s="1149"/>
      <c r="CH194" s="1149"/>
      <c r="CI194" s="1149"/>
      <c r="CJ194" s="1149"/>
      <c r="CK194" s="1149"/>
      <c r="CL194" s="8"/>
      <c r="CM194" s="8"/>
      <c r="CN194" s="8"/>
      <c r="CO194" s="8"/>
      <c r="CP194" s="8"/>
      <c r="CQ194" s="8"/>
      <c r="CR194" s="8"/>
      <c r="CS194" s="8"/>
      <c r="CT194" s="8"/>
      <c r="CU194" s="694"/>
      <c r="CV194" s="8"/>
      <c r="CW194" s="8"/>
      <c r="CX194" s="8"/>
      <c r="CY194" s="8"/>
      <c r="CZ194" s="8"/>
      <c r="DA194" s="8"/>
      <c r="DB194" s="8"/>
      <c r="DC194" s="8"/>
      <c r="DD194" s="8"/>
      <c r="DE194" s="8"/>
      <c r="DF194" s="8"/>
      <c r="DG194" s="8"/>
      <c r="DH194" s="8"/>
      <c r="DI194" s="8"/>
      <c r="DJ194" s="8"/>
      <c r="DK194" s="8"/>
      <c r="DL194" s="116"/>
      <c r="DM194" s="116"/>
      <c r="DN194" s="116">
        <f>+DN195/DK195-1</f>
        <v>-0.10256418099527809</v>
      </c>
      <c r="DO194" s="116"/>
      <c r="DP194" s="116"/>
      <c r="DQ194" s="116"/>
      <c r="DR194" s="116"/>
      <c r="DS194" s="8"/>
      <c r="DT194" s="8"/>
      <c r="DU194" s="8"/>
      <c r="DV194" s="8"/>
      <c r="DY194" s="8"/>
      <c r="DZ194" s="8"/>
    </row>
    <row r="195" spans="1:130" s="1303" customFormat="1" ht="15.75" thickBot="1">
      <c r="A195" s="1298" t="s">
        <v>249</v>
      </c>
      <c r="B195" s="1299"/>
      <c r="C195" s="1299"/>
      <c r="D195" s="1299"/>
      <c r="E195" s="1299"/>
      <c r="F195" s="1299"/>
      <c r="G195" s="1299"/>
      <c r="H195" s="1299"/>
      <c r="I195" s="1299"/>
      <c r="J195" s="1299"/>
      <c r="K195" s="1299"/>
      <c r="L195" s="1299"/>
      <c r="M195" s="1299"/>
      <c r="N195" s="1299"/>
      <c r="O195" s="1299"/>
      <c r="P195" s="1299"/>
      <c r="Q195" s="1299"/>
      <c r="R195" s="1299"/>
      <c r="S195" s="1299"/>
      <c r="T195" s="1299"/>
      <c r="U195" s="1299"/>
      <c r="V195" s="1299"/>
      <c r="W195" s="1299"/>
      <c r="X195" s="1299"/>
      <c r="Y195" s="1299"/>
      <c r="Z195" s="1299"/>
      <c r="AA195" s="1299"/>
      <c r="AB195" s="1299"/>
      <c r="AC195" s="1299"/>
      <c r="AD195" s="1299"/>
      <c r="AE195" s="1299"/>
      <c r="AF195" s="1299"/>
      <c r="AG195" s="1299"/>
      <c r="AH195" s="1299"/>
      <c r="AI195" s="1299"/>
      <c r="AJ195" s="1299"/>
      <c r="AK195" s="1299"/>
      <c r="AL195" s="1299"/>
      <c r="AM195" s="1299"/>
      <c r="AN195" s="1299"/>
      <c r="AO195" s="1299"/>
      <c r="AP195" s="1299"/>
      <c r="AY195" s="1336"/>
      <c r="AZ195" s="1336"/>
      <c r="BA195" s="1336"/>
      <c r="BB195" s="1336"/>
      <c r="BC195" s="1336"/>
      <c r="BD195" s="1336"/>
      <c r="BE195" s="1336"/>
      <c r="BF195" s="1336"/>
      <c r="BG195" s="1336"/>
      <c r="BH195" s="1336"/>
      <c r="BI195" s="1336"/>
      <c r="BJ195" s="1336"/>
      <c r="BK195" s="1299">
        <f t="shared" ref="BK195:CG195" si="1339">+BK160+BK188</f>
        <v>306776.54821000004</v>
      </c>
      <c r="BL195" s="1299">
        <f t="shared" si="1339"/>
        <v>434338.66379000002</v>
      </c>
      <c r="BM195" s="1299">
        <f t="shared" si="1339"/>
        <v>354785.46512000001</v>
      </c>
      <c r="BN195" s="1299">
        <f t="shared" si="1339"/>
        <v>857306.15158000006</v>
      </c>
      <c r="BO195" s="1299">
        <f t="shared" si="1339"/>
        <v>105029.38572999999</v>
      </c>
      <c r="BP195" s="1299">
        <f t="shared" si="1339"/>
        <v>506994.77413999999</v>
      </c>
      <c r="BQ195" s="1299">
        <f t="shared" si="1339"/>
        <v>-38249.002869999997</v>
      </c>
      <c r="BR195" s="1299">
        <f t="shared" si="1339"/>
        <v>616661.42828999995</v>
      </c>
      <c r="BS195" s="1299">
        <f t="shared" si="1339"/>
        <v>-101960.48999999999</v>
      </c>
      <c r="BT195" s="1299">
        <f t="shared" si="1339"/>
        <v>329960.85334999999</v>
      </c>
      <c r="BU195" s="1299">
        <f t="shared" si="1339"/>
        <v>277846.81410000235</v>
      </c>
      <c r="BV195" s="1299">
        <f t="shared" si="1339"/>
        <v>602390.04365999915</v>
      </c>
      <c r="BW195" s="1299">
        <f t="shared" si="1339"/>
        <v>215472.77000000002</v>
      </c>
      <c r="BX195" s="1299">
        <f t="shared" si="1339"/>
        <v>519007.54000000004</v>
      </c>
      <c r="BY195" s="1299">
        <f t="shared" si="1339"/>
        <v>281223</v>
      </c>
      <c r="BZ195" s="1299">
        <f t="shared" si="1339"/>
        <v>737174.46</v>
      </c>
      <c r="CA195" s="1299">
        <f t="shared" si="1339"/>
        <v>84474</v>
      </c>
      <c r="CB195" s="1299">
        <f t="shared" si="1339"/>
        <v>323472.3101</v>
      </c>
      <c r="CC195" s="1299">
        <f t="shared" si="1339"/>
        <v>195541.55010999998</v>
      </c>
      <c r="CD195" s="1299">
        <f t="shared" ref="CD195:CE195" si="1340">+CD160+CD188</f>
        <v>826103.73618999997</v>
      </c>
      <c r="CE195" s="1299">
        <f t="shared" si="1340"/>
        <v>198217</v>
      </c>
      <c r="CF195" s="1299">
        <f t="shared" si="1339"/>
        <v>492018</v>
      </c>
      <c r="CG195" s="1299">
        <f t="shared" si="1339"/>
        <v>404855</v>
      </c>
      <c r="CH195" s="1299">
        <f>+CH160+CH188</f>
        <v>839498</v>
      </c>
      <c r="CI195" s="1299">
        <f t="shared" ref="CI195" si="1341">+CI160+CI188</f>
        <v>404510</v>
      </c>
      <c r="CJ195" s="1299">
        <f t="shared" ref="CJ195:CK195" si="1342">+CJ160+CJ188</f>
        <v>711892</v>
      </c>
      <c r="CK195" s="1299">
        <f t="shared" si="1342"/>
        <v>418711</v>
      </c>
      <c r="CL195" s="1301">
        <f>+CL160+CL188</f>
        <v>893471.2092499315</v>
      </c>
      <c r="CM195" s="1301">
        <f t="shared" ref="CM195:CP195" si="1343">+CM160+CM188</f>
        <v>325514.57752613595</v>
      </c>
      <c r="CN195" s="1301">
        <f t="shared" si="1343"/>
        <v>612917.41892132733</v>
      </c>
      <c r="CO195" s="1301">
        <f t="shared" si="1343"/>
        <v>409973.53977203812</v>
      </c>
      <c r="CP195" s="1301">
        <f t="shared" si="1343"/>
        <v>993170.94528124691</v>
      </c>
      <c r="CQ195" s="1301"/>
      <c r="CR195" s="1301"/>
      <c r="CS195" s="1301"/>
      <c r="CT195" s="1301">
        <v>893471.2092499315</v>
      </c>
      <c r="CU195" s="1337">
        <f>+CK195/CT195-1</f>
        <v>-0.53136598508696475</v>
      </c>
      <c r="CV195" s="1299"/>
      <c r="CW195" s="1299"/>
      <c r="CX195" s="1299"/>
      <c r="CY195" s="1299"/>
      <c r="CZ195" s="1299"/>
      <c r="DA195" s="1299"/>
      <c r="DB195" s="1299"/>
      <c r="DC195" s="1299"/>
      <c r="DD195" s="1299"/>
      <c r="DE195" s="1299"/>
      <c r="DF195" s="1299">
        <f t="shared" ref="DF195:DV195" si="1344">+DF160+DF188</f>
        <v>1053506.2560000001</v>
      </c>
      <c r="DG195" s="1299">
        <f t="shared" si="1344"/>
        <v>1247164.5778400002</v>
      </c>
      <c r="DH195" s="1299">
        <f t="shared" si="1344"/>
        <v>1339108</v>
      </c>
      <c r="DI195" s="1299">
        <f t="shared" si="1344"/>
        <v>1475830</v>
      </c>
      <c r="DJ195" s="1299">
        <f t="shared" si="1344"/>
        <v>1773318</v>
      </c>
      <c r="DK195" s="1299">
        <f t="shared" si="1344"/>
        <v>1953206.8287</v>
      </c>
      <c r="DL195" s="1300">
        <f t="shared" si="1344"/>
        <v>1190436.5852899998</v>
      </c>
      <c r="DM195" s="1302">
        <f t="shared" si="1344"/>
        <v>1108237.2211100014</v>
      </c>
      <c r="DN195" s="1302">
        <f t="shared" si="1344"/>
        <v>1752877.77</v>
      </c>
      <c r="DO195" s="1302">
        <f>+DO160+DO188</f>
        <v>1429591.5963999999</v>
      </c>
      <c r="DP195" s="1302">
        <f t="shared" si="1344"/>
        <v>1934588</v>
      </c>
      <c r="DQ195" s="1302">
        <f t="shared" ref="DQ195:DR195" si="1345">+DQ160+DQ188</f>
        <v>2428584.2092499314</v>
      </c>
      <c r="DR195" s="1302">
        <f t="shared" si="1345"/>
        <v>2341576.4815007485</v>
      </c>
      <c r="DS195" s="1301">
        <f t="shared" si="1344"/>
        <v>2948329.7300652107</v>
      </c>
      <c r="DT195" s="1301">
        <f t="shared" si="1344"/>
        <v>3237166.9990883153</v>
      </c>
      <c r="DU195" s="1301">
        <f t="shared" si="1344"/>
        <v>3534343.3866145634</v>
      </c>
      <c r="DV195" s="1301">
        <f t="shared" si="1344"/>
        <v>3844995.6003807783</v>
      </c>
      <c r="DY195" s="1301">
        <v>2549592.4173273826</v>
      </c>
      <c r="DZ195" s="1301">
        <v>3098029.9581854609</v>
      </c>
    </row>
    <row r="196" spans="1:130" s="359" customFormat="1">
      <c r="A196" s="1329" t="s">
        <v>250</v>
      </c>
      <c r="B196" s="643"/>
      <c r="C196" s="641"/>
      <c r="D196" s="641"/>
      <c r="E196" s="641"/>
      <c r="F196" s="641"/>
      <c r="G196" s="641"/>
      <c r="H196" s="641"/>
      <c r="I196" s="641"/>
      <c r="J196" s="641"/>
      <c r="K196" s="641"/>
      <c r="L196" s="641"/>
      <c r="M196" s="641"/>
      <c r="N196" s="121"/>
      <c r="O196" s="121"/>
      <c r="P196" s="121"/>
      <c r="Q196" s="121"/>
      <c r="R196" s="121"/>
      <c r="S196" s="121"/>
      <c r="T196" s="121"/>
      <c r="U196" s="121"/>
      <c r="V196" s="121"/>
      <c r="W196" s="121"/>
      <c r="X196" s="121"/>
      <c r="Y196" s="121"/>
      <c r="Z196" s="121"/>
      <c r="AA196" s="121"/>
      <c r="AB196" s="121"/>
      <c r="AC196" s="121"/>
      <c r="AD196" s="121"/>
      <c r="AE196" s="121"/>
      <c r="AF196" s="121"/>
      <c r="AG196" s="121"/>
      <c r="AH196" s="121"/>
      <c r="AI196" s="121"/>
      <c r="AJ196" s="121"/>
      <c r="AK196" s="121"/>
      <c r="AL196" s="121"/>
      <c r="AM196" s="121"/>
      <c r="AN196" s="121"/>
      <c r="AO196" s="121"/>
      <c r="AP196" s="121"/>
      <c r="AQ196" s="733"/>
      <c r="AR196" s="733"/>
      <c r="AS196" s="733"/>
      <c r="AT196" s="733"/>
      <c r="AU196" s="733"/>
      <c r="AV196" s="733"/>
      <c r="AW196" s="733"/>
      <c r="AX196" s="733"/>
      <c r="AY196" s="733"/>
      <c r="AZ196" s="733"/>
      <c r="BA196" s="733"/>
      <c r="BB196" s="733"/>
      <c r="BC196" s="733"/>
      <c r="BD196" s="733"/>
      <c r="BE196" s="733"/>
      <c r="BF196" s="733"/>
      <c r="BG196" s="733"/>
      <c r="BH196" s="733"/>
      <c r="BI196" s="733"/>
      <c r="BJ196" s="733"/>
      <c r="BK196" s="733">
        <f t="shared" ref="BK196:CH196" si="1346">+BK195/BK26</f>
        <v>0.16213402670659374</v>
      </c>
      <c r="BL196" s="733">
        <f t="shared" si="1346"/>
        <v>0.18950170409388467</v>
      </c>
      <c r="BM196" s="1222">
        <f t="shared" si="1346"/>
        <v>0.15940005306963256</v>
      </c>
      <c r="BN196" s="1222">
        <f t="shared" si="1346"/>
        <v>0.26971517978733145</v>
      </c>
      <c r="BO196" s="1222">
        <f t="shared" si="1346"/>
        <v>5.6353462557699185E-2</v>
      </c>
      <c r="BP196" s="1222">
        <f t="shared" si="1346"/>
        <v>0.62707608124120295</v>
      </c>
      <c r="BQ196" s="1222">
        <f t="shared" si="1346"/>
        <v>-2.1367692474856693E-2</v>
      </c>
      <c r="BR196" s="1222">
        <f t="shared" si="1346"/>
        <v>0.20054851948079822</v>
      </c>
      <c r="BS196" s="1222">
        <f t="shared" si="1346"/>
        <v>-6.4475070728736789E-2</v>
      </c>
      <c r="BT196" s="1222">
        <f t="shared" si="1346"/>
        <v>0.13249880771057862</v>
      </c>
      <c r="BU196" s="1222">
        <f t="shared" si="1346"/>
        <v>0.10571393717102337</v>
      </c>
      <c r="BV196" s="1222">
        <f t="shared" si="1346"/>
        <v>0.15559282584120221</v>
      </c>
      <c r="BW196" s="1222">
        <f t="shared" si="1346"/>
        <v>8.2461075749782634E-2</v>
      </c>
      <c r="BX196" s="1222">
        <f t="shared" si="1346"/>
        <v>0.14312170655953929</v>
      </c>
      <c r="BY196" s="1222">
        <f t="shared" si="1346"/>
        <v>9.3193272075587752E-2</v>
      </c>
      <c r="BZ196" s="1222">
        <f t="shared" si="1346"/>
        <v>0.18364424893576314</v>
      </c>
      <c r="CA196" s="1222">
        <f t="shared" si="1346"/>
        <v>3.0437878248487007E-2</v>
      </c>
      <c r="CB196" s="1222">
        <f t="shared" si="1346"/>
        <v>9.2312970354868878E-2</v>
      </c>
      <c r="CC196" s="1222">
        <f t="shared" si="1346"/>
        <v>6.3137064563061646E-2</v>
      </c>
      <c r="CD196" s="1222">
        <f t="shared" ref="CD196:CE196" si="1347">+CD195/CD26</f>
        <v>0.19340450229176626</v>
      </c>
      <c r="CE196" s="1222">
        <f t="shared" si="1347"/>
        <v>6.8156818759329066E-2</v>
      </c>
      <c r="CF196" s="1222">
        <f t="shared" si="1346"/>
        <v>0.13976231617453858</v>
      </c>
      <c r="CG196" s="1222">
        <f t="shared" si="1346"/>
        <v>0.11940832482674431</v>
      </c>
      <c r="CH196" s="1222">
        <f t="shared" si="1346"/>
        <v>0.18181904814090394</v>
      </c>
      <c r="CI196" s="1222">
        <f t="shared" ref="CI196:CL196" si="1348">+CI195/CI26</f>
        <v>0.12417515354975601</v>
      </c>
      <c r="CJ196" s="1222">
        <f t="shared" ref="CJ196:CK196" si="1349">+CJ195/CJ26</f>
        <v>0.17081721081321807</v>
      </c>
      <c r="CK196" s="1222">
        <f t="shared" si="1349"/>
        <v>0.11750085310057158</v>
      </c>
      <c r="CL196" s="733">
        <f t="shared" si="1348"/>
        <v>0.18506731647424748</v>
      </c>
      <c r="CM196" s="733">
        <f t="shared" ref="CM196:CP196" si="1350">+CM195/CM26</f>
        <v>9.4785209965094597E-2</v>
      </c>
      <c r="CN196" s="733">
        <f t="shared" si="1350"/>
        <v>0.14070482323412778</v>
      </c>
      <c r="CO196" s="733">
        <f t="shared" si="1350"/>
        <v>0.10674424112319876</v>
      </c>
      <c r="CP196" s="733">
        <f t="shared" si="1350"/>
        <v>0.18916886499674623</v>
      </c>
      <c r="CQ196" s="733"/>
      <c r="CR196" s="733"/>
      <c r="CS196" s="644"/>
      <c r="CT196" s="733">
        <v>0.18506731647424748</v>
      </c>
      <c r="CU196" s="1103">
        <f>+CK196-CT196</f>
        <v>-6.7566463373675903E-2</v>
      </c>
      <c r="CV196" s="121"/>
      <c r="CW196" s="121"/>
      <c r="CX196" s="121"/>
      <c r="CY196" s="121"/>
      <c r="CZ196" s="121"/>
      <c r="DA196" s="121"/>
      <c r="DB196" s="121"/>
      <c r="DC196" s="121"/>
      <c r="DD196" s="121"/>
      <c r="DE196" s="121"/>
      <c r="DF196" s="1222">
        <f t="shared" ref="DF196:DV196" si="1351">+DF195/DF26</f>
        <v>0.2019741888680387</v>
      </c>
      <c r="DG196" s="1222">
        <f t="shared" si="1351"/>
        <v>0.20294945384021804</v>
      </c>
      <c r="DH196" s="1222">
        <f t="shared" si="1351"/>
        <v>0.20756279857027271</v>
      </c>
      <c r="DI196" s="1222">
        <f t="shared" si="1351"/>
        <v>0.19824953437560658</v>
      </c>
      <c r="DJ196" s="1222">
        <f t="shared" si="1351"/>
        <v>0.21044435670579423</v>
      </c>
      <c r="DK196" s="1222">
        <f t="shared" si="1351"/>
        <v>0.20370440236505699</v>
      </c>
      <c r="DL196" s="1222">
        <f t="shared" si="1351"/>
        <v>0.15794190735659755</v>
      </c>
      <c r="DM196" s="1222">
        <f t="shared" si="1351"/>
        <v>0.1048319854776923</v>
      </c>
      <c r="DN196" s="1222">
        <f t="shared" si="1351"/>
        <v>0.13208195876510054</v>
      </c>
      <c r="DO196" s="1222">
        <f t="shared" si="1351"/>
        <v>0.10474849160479427</v>
      </c>
      <c r="DP196" s="1222">
        <f t="shared" si="1351"/>
        <v>0.13400796294579953</v>
      </c>
      <c r="DQ196" s="1222">
        <f t="shared" ref="DQ196:DR196" si="1352">+DQ195/DQ26</f>
        <v>0.15354817714493843</v>
      </c>
      <c r="DR196" s="1222">
        <f t="shared" si="1352"/>
        <v>0.13870932467039188</v>
      </c>
      <c r="DS196" s="733">
        <f t="shared" si="1351"/>
        <v>0.16118247994738563</v>
      </c>
      <c r="DT196" s="733">
        <f t="shared" si="1351"/>
        <v>0.16566714369028487</v>
      </c>
      <c r="DU196" s="733">
        <f t="shared" si="1351"/>
        <v>0.1693202367987153</v>
      </c>
      <c r="DV196" s="733">
        <f t="shared" si="1351"/>
        <v>0.17244309096757005</v>
      </c>
      <c r="DY196" s="733">
        <v>0.14844536470994177</v>
      </c>
      <c r="DZ196" s="733">
        <v>0.16713161246086522</v>
      </c>
    </row>
    <row r="197" spans="1:130" s="359" customFormat="1">
      <c r="A197" s="1328" t="s">
        <v>251</v>
      </c>
      <c r="B197" s="643"/>
      <c r="C197" s="641"/>
      <c r="D197" s="641"/>
      <c r="E197" s="641"/>
      <c r="F197" s="641"/>
      <c r="G197" s="641"/>
      <c r="H197" s="641"/>
      <c r="I197" s="641"/>
      <c r="J197" s="641"/>
      <c r="K197" s="641"/>
      <c r="L197" s="641"/>
      <c r="M197" s="641"/>
      <c r="N197" s="121"/>
      <c r="O197" s="121"/>
      <c r="P197" s="121"/>
      <c r="Q197" s="121"/>
      <c r="R197" s="121"/>
      <c r="S197" s="121"/>
      <c r="T197" s="121"/>
      <c r="U197" s="121"/>
      <c r="V197" s="121"/>
      <c r="W197" s="121"/>
      <c r="X197" s="121"/>
      <c r="Y197" s="121"/>
      <c r="Z197" s="121"/>
      <c r="AA197" s="121"/>
      <c r="AB197" s="121"/>
      <c r="AC197" s="121"/>
      <c r="AD197" s="121"/>
      <c r="AE197" s="121"/>
      <c r="AF197" s="121"/>
      <c r="AG197" s="121"/>
      <c r="AH197" s="121"/>
      <c r="AI197" s="121"/>
      <c r="AJ197" s="121"/>
      <c r="AK197" s="121"/>
      <c r="AL197" s="121"/>
      <c r="AM197" s="121"/>
      <c r="AN197" s="121"/>
      <c r="AO197" s="121"/>
      <c r="AP197" s="121"/>
      <c r="AQ197" s="121"/>
      <c r="AR197" s="121"/>
      <c r="AS197" s="121"/>
      <c r="AT197" s="121"/>
      <c r="AU197" s="121"/>
      <c r="AV197" s="121"/>
      <c r="AW197" s="121"/>
      <c r="AX197" s="121"/>
      <c r="AY197" s="750"/>
      <c r="AZ197" s="121"/>
      <c r="BA197" s="121"/>
      <c r="BB197" s="121"/>
      <c r="BC197" s="121"/>
      <c r="BD197" s="121"/>
      <c r="BE197" s="121"/>
      <c r="BF197" s="121"/>
      <c r="BG197" s="121"/>
      <c r="BH197" s="121"/>
      <c r="BI197" s="121"/>
      <c r="BJ197" s="121"/>
      <c r="BK197" s="121">
        <f t="shared" ref="BK197:BV197" si="1353">+BK195/BK$30</f>
        <v>0.18588721467797187</v>
      </c>
      <c r="BL197" s="121">
        <f t="shared" si="1353"/>
        <v>0.21508579579117093</v>
      </c>
      <c r="BM197" s="121">
        <f t="shared" si="1353"/>
        <v>0.18364359318482509</v>
      </c>
      <c r="BN197" s="121">
        <f t="shared" si="1353"/>
        <v>0.29839500336575175</v>
      </c>
      <c r="BO197" s="121">
        <f t="shared" si="1353"/>
        <v>6.775302592602149E-2</v>
      </c>
      <c r="BP197" s="121">
        <f t="shared" si="1353"/>
        <v>0.93951251239724554</v>
      </c>
      <c r="BQ197" s="121">
        <f t="shared" si="1353"/>
        <v>-2.3164409134706517E-2</v>
      </c>
      <c r="BR197" s="121">
        <f t="shared" si="1353"/>
        <v>0.21121739259504349</v>
      </c>
      <c r="BS197" s="121">
        <f>+BS195/BS$30</f>
        <v>-7.4728246569780346E-2</v>
      </c>
      <c r="BT197" s="121">
        <f>+BT195/BT$30</f>
        <v>0.14608292090265163</v>
      </c>
      <c r="BU197" s="121">
        <f t="shared" si="1353"/>
        <v>0.11713982857478085</v>
      </c>
      <c r="BV197" s="121">
        <f t="shared" si="1353"/>
        <v>0.16917922509371927</v>
      </c>
      <c r="BW197" s="121">
        <f t="shared" ref="BW197:BZ197" si="1354">+BW195/BW$30</f>
        <v>9.6639078067781492E-2</v>
      </c>
      <c r="BX197" s="121">
        <f t="shared" si="1354"/>
        <v>0.16342859392048167</v>
      </c>
      <c r="BY197" s="121">
        <f t="shared" si="1354"/>
        <v>0.10752083428120057</v>
      </c>
      <c r="BZ197" s="121">
        <f t="shared" si="1354"/>
        <v>0.20737065046651573</v>
      </c>
      <c r="CA197" s="121">
        <f t="shared" ref="CA197:CB197" si="1355">+CA195/CA$30</f>
        <v>3.7082544812355053E-2</v>
      </c>
      <c r="CB197" s="121">
        <f t="shared" si="1355"/>
        <v>0.1083548978931459</v>
      </c>
      <c r="CC197" s="121">
        <f t="shared" ref="CC197:CD197" si="1356">+CC195/CC$30</f>
        <v>7.417818179921444E-2</v>
      </c>
      <c r="CD197" s="121">
        <f t="shared" si="1356"/>
        <v>0.21699992361038326</v>
      </c>
      <c r="CE197" s="121">
        <f t="shared" ref="CE197" si="1357">+CE195/CE$30</f>
        <v>8.0533588808497633E-2</v>
      </c>
      <c r="CF197" s="121">
        <f t="shared" ref="CF197:CH197" si="1358">+CF195/CF$30</f>
        <v>0.15975009764854511</v>
      </c>
      <c r="CG197" s="121">
        <f t="shared" si="1358"/>
        <v>0.13696264350706641</v>
      </c>
      <c r="CH197" s="121">
        <f t="shared" si="1358"/>
        <v>0.20108800968865656</v>
      </c>
      <c r="CI197" s="121">
        <f t="shared" ref="CI197:CL197" si="1359">+CI195/CI$30</f>
        <v>0.14672958894966701</v>
      </c>
      <c r="CJ197" s="121">
        <f t="shared" ref="CJ197:CK197" si="1360">+CJ195/CJ$30</f>
        <v>0.19505659280334736</v>
      </c>
      <c r="CK197" s="121">
        <f t="shared" si="1360"/>
        <v>0.13598270171401253</v>
      </c>
      <c r="CL197" s="1150">
        <f t="shared" si="1359"/>
        <v>0.20436138902199702</v>
      </c>
      <c r="CM197" s="1150">
        <f t="shared" ref="CM197:CP197" si="1361">+CM195/CM$30</f>
        <v>0.11087722169176646</v>
      </c>
      <c r="CN197" s="1150">
        <f t="shared" si="1361"/>
        <v>0.15914158572367404</v>
      </c>
      <c r="CO197" s="1150">
        <f t="shared" si="1361"/>
        <v>0.12302543878842631</v>
      </c>
      <c r="CP197" s="1150">
        <f t="shared" si="1361"/>
        <v>0.20947919354137215</v>
      </c>
      <c r="CQ197" s="1150"/>
      <c r="CR197" s="1150"/>
      <c r="CS197" s="644"/>
      <c r="CT197" s="1150">
        <v>0.20436138902199702</v>
      </c>
      <c r="CU197" s="1103"/>
      <c r="CV197" s="121"/>
      <c r="CW197" s="121"/>
      <c r="CX197" s="121"/>
      <c r="CY197" s="121"/>
      <c r="CZ197" s="121"/>
      <c r="DA197" s="121"/>
      <c r="DB197" s="121"/>
      <c r="DC197" s="121"/>
      <c r="DD197" s="121"/>
      <c r="DE197" s="121"/>
      <c r="DF197" s="121">
        <f t="shared" ref="DF197:DS197" si="1362">+DF195/DF$30</f>
        <v>0.22692102118376467</v>
      </c>
      <c r="DG197" s="121">
        <f t="shared" si="1362"/>
        <v>0.22880176857489437</v>
      </c>
      <c r="DH197" s="121">
        <f t="shared" si="1362"/>
        <v>0.23403786039185859</v>
      </c>
      <c r="DI197" s="121">
        <f t="shared" si="1362"/>
        <v>0.223608132819137</v>
      </c>
      <c r="DJ197" s="121">
        <f t="shared" si="1362"/>
        <v>0.23690252788315652</v>
      </c>
      <c r="DK197" s="121">
        <f t="shared" si="1362"/>
        <v>0.23047523122076516</v>
      </c>
      <c r="DL197" s="1226">
        <f t="shared" si="1362"/>
        <v>0.17872890857105192</v>
      </c>
      <c r="DM197" s="1226">
        <f t="shared" si="1362"/>
        <v>0.11597624024586632</v>
      </c>
      <c r="DN197" s="1226">
        <f t="shared" si="1362"/>
        <v>0.15142612408046272</v>
      </c>
      <c r="DO197" s="1226">
        <f t="shared" si="1362"/>
        <v>0.12212114088604978</v>
      </c>
      <c r="DP197" s="1226">
        <f t="shared" ref="DP197:DQ197" si="1363">+DP195/DP$30</f>
        <v>0.15266695338917846</v>
      </c>
      <c r="DQ197" s="1226">
        <f t="shared" si="1363"/>
        <v>0.17525194018773235</v>
      </c>
      <c r="DR197" s="1226">
        <f t="shared" ref="DR197" si="1364">+DR195/DR$30</f>
        <v>0.15756752832467258</v>
      </c>
      <c r="DS197" s="1150">
        <f t="shared" si="1362"/>
        <v>0.18279410093342305</v>
      </c>
      <c r="DT197" s="1150">
        <f t="shared" ref="DT197:DV197" si="1365">+DT195/DT$30</f>
        <v>0.18636132076066173</v>
      </c>
      <c r="DU197" s="1150">
        <f t="shared" si="1365"/>
        <v>0.1890495343562725</v>
      </c>
      <c r="DV197" s="1150">
        <f t="shared" si="1365"/>
        <v>0.19120422706329401</v>
      </c>
      <c r="DY197" s="1150">
        <v>0.16688375859308463</v>
      </c>
      <c r="DZ197" s="1150">
        <v>0.18626325920399694</v>
      </c>
    </row>
    <row r="198" spans="1:130">
      <c r="A198" s="207" t="s">
        <v>252</v>
      </c>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f t="shared" ref="BK198:BQ198" si="1366">+BK196-BG196</f>
        <v>0.16213402670659374</v>
      </c>
      <c r="BL198" s="8">
        <f t="shared" si="1366"/>
        <v>0.18950170409388467</v>
      </c>
      <c r="BM198" s="8">
        <f t="shared" si="1366"/>
        <v>0.15940005306963256</v>
      </c>
      <c r="BN198" s="8">
        <f t="shared" si="1366"/>
        <v>0.26971517978733145</v>
      </c>
      <c r="BO198" s="8">
        <f t="shared" si="1366"/>
        <v>-0.10578056414889456</v>
      </c>
      <c r="BP198" s="8">
        <f t="shared" si="1366"/>
        <v>0.43757437714731828</v>
      </c>
      <c r="BQ198" s="8">
        <f t="shared" si="1366"/>
        <v>-0.18076774554448927</v>
      </c>
      <c r="BR198" s="8">
        <f t="shared" ref="BR198:CE198" si="1367">+BR196-BN196</f>
        <v>-6.9166660306533234E-2</v>
      </c>
      <c r="BS198" s="8">
        <f t="shared" si="1367"/>
        <v>-0.12082853328643597</v>
      </c>
      <c r="BT198" s="8">
        <f t="shared" si="1367"/>
        <v>-0.49457727353062431</v>
      </c>
      <c r="BU198" s="8">
        <f t="shared" si="1367"/>
        <v>0.12708162964588007</v>
      </c>
      <c r="BV198" s="8">
        <f t="shared" si="1367"/>
        <v>-4.4955693639596006E-2</v>
      </c>
      <c r="BW198" s="8">
        <f t="shared" si="1367"/>
        <v>0.14693614647851944</v>
      </c>
      <c r="BX198" s="8">
        <f t="shared" si="1367"/>
        <v>1.0622898848960671E-2</v>
      </c>
      <c r="BY198" s="8">
        <f t="shared" si="1367"/>
        <v>-1.2520665095435618E-2</v>
      </c>
      <c r="BZ198" s="8">
        <f t="shared" si="1367"/>
        <v>2.8051423094560934E-2</v>
      </c>
      <c r="CA198" s="8">
        <f t="shared" si="1367"/>
        <v>-5.2023197501295623E-2</v>
      </c>
      <c r="CB198" s="8">
        <f t="shared" si="1367"/>
        <v>-5.0808736204670413E-2</v>
      </c>
      <c r="CC198" s="8">
        <f t="shared" si="1367"/>
        <v>-3.0056207512526106E-2</v>
      </c>
      <c r="CD198" s="8">
        <f t="shared" si="1367"/>
        <v>9.7602533560031124E-3</v>
      </c>
      <c r="CE198" s="8">
        <f t="shared" si="1367"/>
        <v>3.7718940510842056E-2</v>
      </c>
      <c r="CF198" s="8">
        <f t="shared" ref="CF198" si="1368">+CF196-CB196</f>
        <v>4.7449345819669697E-2</v>
      </c>
      <c r="CG198" s="8">
        <f t="shared" ref="CG198:CH198" si="1369">+CG196-CC196</f>
        <v>5.6271260263682663E-2</v>
      </c>
      <c r="CH198" s="8">
        <f t="shared" si="1369"/>
        <v>-1.1585454150862318E-2</v>
      </c>
      <c r="CI198" s="8">
        <f t="shared" ref="CI198:CK198" si="1370">+CI196-CE196</f>
        <v>5.6018334790426949E-2</v>
      </c>
      <c r="CJ198" s="8">
        <f t="shared" si="1370"/>
        <v>3.1054894638679498E-2</v>
      </c>
      <c r="CK198" s="8">
        <f t="shared" si="1370"/>
        <v>-1.907471726172727E-3</v>
      </c>
      <c r="CL198" s="8">
        <f t="shared" ref="CL198" si="1371">+CL196-CH196</f>
        <v>3.2482683333435458E-3</v>
      </c>
      <c r="CM198" s="8">
        <f t="shared" ref="CM198" si="1372">+CM196-CI196</f>
        <v>-2.9389943584661418E-2</v>
      </c>
      <c r="CN198" s="8">
        <f t="shared" ref="CN198" si="1373">+CN196-CJ196</f>
        <v>-3.0112387579090294E-2</v>
      </c>
      <c r="CO198" s="8">
        <f t="shared" ref="CO198" si="1374">+CO196-CK196</f>
        <v>-1.0756611977372821E-2</v>
      </c>
      <c r="CP198" s="8">
        <f t="shared" ref="CP198" si="1375">+CP196-CL196</f>
        <v>4.1015485224987491E-3</v>
      </c>
      <c r="CQ198" s="8"/>
      <c r="CR198" s="8"/>
      <c r="CS198" s="192"/>
      <c r="CT198" s="8">
        <v>3.2482683333435458E-3</v>
      </c>
      <c r="CU198" s="694"/>
      <c r="CV198" s="8"/>
      <c r="CW198" s="8"/>
      <c r="CX198" s="8"/>
      <c r="CY198" s="8"/>
      <c r="CZ198" s="8"/>
      <c r="DA198" s="8"/>
      <c r="DB198" s="8"/>
      <c r="DC198" s="8"/>
      <c r="DD198" s="8"/>
      <c r="DE198" s="8"/>
      <c r="DF198" s="8">
        <f t="shared" ref="DF198:DR198" si="1376">+DF196-DE196</f>
        <v>0.2019741888680387</v>
      </c>
      <c r="DG198" s="8">
        <f t="shared" si="1376"/>
        <v>9.7526497217934049E-4</v>
      </c>
      <c r="DH198" s="8">
        <f t="shared" si="1376"/>
        <v>4.6133447300546748E-3</v>
      </c>
      <c r="DI198" s="8">
        <f t="shared" si="1376"/>
        <v>-9.3132641946661321E-3</v>
      </c>
      <c r="DJ198" s="8">
        <f t="shared" si="1376"/>
        <v>1.2194822330187649E-2</v>
      </c>
      <c r="DK198" s="8">
        <f t="shared" si="1376"/>
        <v>-6.7399543407372364E-3</v>
      </c>
      <c r="DL198" s="8">
        <f t="shared" si="1376"/>
        <v>-4.5762495008459442E-2</v>
      </c>
      <c r="DM198" s="8">
        <f t="shared" si="1376"/>
        <v>-5.3109921878905245E-2</v>
      </c>
      <c r="DN198" s="8">
        <f t="shared" si="1376"/>
        <v>2.7249973287408233E-2</v>
      </c>
      <c r="DO198" s="8">
        <f t="shared" si="1376"/>
        <v>-2.7333467160306268E-2</v>
      </c>
      <c r="DP198" s="8">
        <f t="shared" si="1376"/>
        <v>2.9259471341005261E-2</v>
      </c>
      <c r="DQ198" s="8">
        <f t="shared" si="1376"/>
        <v>1.95402141991389E-2</v>
      </c>
      <c r="DR198" s="8">
        <f t="shared" si="1376"/>
        <v>-1.4838852474546554E-2</v>
      </c>
      <c r="DS198" s="8">
        <f>+DS196-DO196</f>
        <v>5.6433988342591362E-2</v>
      </c>
      <c r="DT198" s="8">
        <f t="shared" ref="DT198:DV198" si="1377">+DT196-DP196</f>
        <v>3.1659180744485343E-2</v>
      </c>
      <c r="DU198" s="8">
        <f t="shared" si="1377"/>
        <v>1.5772059653776871E-2</v>
      </c>
      <c r="DV198" s="8">
        <f t="shared" si="1377"/>
        <v>3.3733766297178169E-2</v>
      </c>
      <c r="DY198" s="8">
        <v>1.6363405944841231E-2</v>
      </c>
      <c r="DZ198" s="8">
        <v>6.238312085607095E-2</v>
      </c>
    </row>
    <row r="199" spans="1:130" s="1340" customFormat="1">
      <c r="A199" s="1338" t="s">
        <v>253</v>
      </c>
      <c r="B199" s="1164"/>
      <c r="C199" s="1164"/>
      <c r="D199" s="1164"/>
      <c r="E199" s="1164"/>
      <c r="F199" s="1164"/>
      <c r="G199" s="1164"/>
      <c r="H199" s="1164"/>
      <c r="I199" s="1164"/>
      <c r="J199" s="1164"/>
      <c r="K199" s="1164"/>
      <c r="L199" s="1164"/>
      <c r="M199" s="1164"/>
      <c r="N199" s="1164"/>
      <c r="O199" s="1164"/>
      <c r="P199" s="1164"/>
      <c r="Q199" s="1164"/>
      <c r="R199" s="1164"/>
      <c r="S199" s="1164"/>
      <c r="T199" s="1164"/>
      <c r="U199" s="1164"/>
      <c r="V199" s="1164"/>
      <c r="W199" s="1164"/>
      <c r="X199" s="1164"/>
      <c r="Y199" s="1164"/>
      <c r="Z199" s="1164"/>
      <c r="AA199" s="1164"/>
      <c r="AB199" s="1164"/>
      <c r="AC199" s="1164"/>
      <c r="AD199" s="1164"/>
      <c r="AE199" s="1164"/>
      <c r="AF199" s="1164"/>
      <c r="AG199" s="1164"/>
      <c r="AH199" s="1164"/>
      <c r="AI199" s="1164"/>
      <c r="AJ199" s="1164"/>
      <c r="AK199" s="1164"/>
      <c r="AL199" s="1164"/>
      <c r="AM199" s="1164"/>
      <c r="AN199" s="1164"/>
      <c r="AO199" s="1164"/>
      <c r="AP199" s="1164"/>
      <c r="AQ199" s="1164"/>
      <c r="AR199" s="1164"/>
      <c r="AS199" s="1164"/>
      <c r="AT199" s="1164"/>
      <c r="AU199" s="1164"/>
      <c r="AV199" s="1164"/>
      <c r="AW199" s="1164"/>
      <c r="AX199" s="1164"/>
      <c r="AY199" s="1164"/>
      <c r="AZ199" s="1164"/>
      <c r="BA199" s="1164"/>
      <c r="BB199" s="1164"/>
      <c r="BC199" s="1164"/>
      <c r="BD199" s="1164"/>
      <c r="BE199" s="1164"/>
      <c r="BF199" s="1164"/>
      <c r="BG199" s="1164"/>
      <c r="BH199" s="1164"/>
      <c r="BI199" s="1164"/>
      <c r="BJ199" s="1164"/>
      <c r="BK199" s="1164">
        <f t="shared" ref="BK199:CH199" si="1378">+BK149-BK196</f>
        <v>5.4742625212922863E-2</v>
      </c>
      <c r="BL199" s="1164">
        <f t="shared" si="1378"/>
        <v>4.5543260923628398E-2</v>
      </c>
      <c r="BM199" s="1164">
        <f t="shared" si="1378"/>
        <v>4.6010245907568442E-2</v>
      </c>
      <c r="BN199" s="1164">
        <f t="shared" si="1378"/>
        <v>2.3454276454030587E-2</v>
      </c>
      <c r="BO199" s="1164">
        <f t="shared" si="1378"/>
        <v>5.842144688616191E-2</v>
      </c>
      <c r="BP199" s="1164">
        <f t="shared" si="1378"/>
        <v>0.1190766993194855</v>
      </c>
      <c r="BQ199" s="1164">
        <f t="shared" si="1378"/>
        <v>6.1405367631654953E-2</v>
      </c>
      <c r="BR199" s="1164">
        <f t="shared" si="1378"/>
        <v>3.6101502601407431E-2</v>
      </c>
      <c r="BS199" s="1164">
        <f t="shared" si="1378"/>
        <v>8.2253688834028699E-2</v>
      </c>
      <c r="BT199" s="1164">
        <f t="shared" si="1378"/>
        <v>5.7328654359145692E-2</v>
      </c>
      <c r="BU199" s="1164">
        <f t="shared" si="1378"/>
        <v>5.9579637225777082E-2</v>
      </c>
      <c r="BV199" s="1164">
        <f t="shared" si="1378"/>
        <v>3.966772668679136E-2</v>
      </c>
      <c r="BW199" s="1164">
        <f t="shared" si="1378"/>
        <v>6.2532617381241037E-2</v>
      </c>
      <c r="BX199" s="1164">
        <f t="shared" si="1378"/>
        <v>4.5964966852225814E-2</v>
      </c>
      <c r="BY199" s="1164">
        <f t="shared" si="1378"/>
        <v>5.6650380165639808E-2</v>
      </c>
      <c r="BZ199" s="1164">
        <f t="shared" si="1378"/>
        <v>3.6704846662202445E-2</v>
      </c>
      <c r="CA199" s="1164">
        <f t="shared" si="1378"/>
        <v>5.241070128836893E-2</v>
      </c>
      <c r="CB199" s="1164">
        <f t="shared" si="1378"/>
        <v>4.240929507092156E-2</v>
      </c>
      <c r="CC199" s="1164">
        <f t="shared" si="1378"/>
        <v>5.1835477456946777E-2</v>
      </c>
      <c r="CD199" s="1164">
        <f t="shared" ref="CD199:CE199" si="1379">+CD149-CD196</f>
        <v>1.2906669419096128E-2</v>
      </c>
      <c r="CE199" s="1164">
        <f t="shared" si="1379"/>
        <v>5.9777893846090904E-2</v>
      </c>
      <c r="CF199" s="1164">
        <f t="shared" si="1378"/>
        <v>4.6016195360117668E-2</v>
      </c>
      <c r="CG199" s="1164">
        <f t="shared" si="1378"/>
        <v>4.8464994489028038E-2</v>
      </c>
      <c r="CH199" s="1164">
        <f t="shared" si="1378"/>
        <v>4.8587709869386542E-3</v>
      </c>
      <c r="CI199" s="1164">
        <f t="shared" ref="CI199:CL199" si="1380">+CI149-CI196</f>
        <v>5.3244191386478776E-2</v>
      </c>
      <c r="CJ199" s="1164">
        <f t="shared" ref="CJ199:CK199" si="1381">+CJ149-CJ196</f>
        <v>4.057092317194258E-2</v>
      </c>
      <c r="CK199" s="1164">
        <f t="shared" si="1381"/>
        <v>4.6930072693148708E-2</v>
      </c>
      <c r="CL199" s="1164">
        <f t="shared" si="1380"/>
        <v>1.2426296535675035E-2</v>
      </c>
      <c r="CM199" s="1164">
        <f t="shared" ref="CM199:CP199" si="1382">+CM149-CM196</f>
        <v>6.1958818119306924E-2</v>
      </c>
      <c r="CN199" s="1164">
        <f t="shared" si="1382"/>
        <v>4.6716391309088057E-2</v>
      </c>
      <c r="CO199" s="1164">
        <f t="shared" si="1382"/>
        <v>5.1098266256305466E-2</v>
      </c>
      <c r="CP199" s="1164">
        <f t="shared" si="1382"/>
        <v>1.2802171109495109E-2</v>
      </c>
      <c r="CQ199" s="1164"/>
      <c r="CR199" s="1164"/>
      <c r="CS199" s="580"/>
      <c r="CT199" s="1164">
        <v>1.2426296535675035E-2</v>
      </c>
      <c r="CU199" s="1339"/>
      <c r="CV199" s="1164"/>
      <c r="CW199" s="1164"/>
      <c r="CX199" s="1164"/>
      <c r="CY199" s="1164"/>
      <c r="CZ199" s="1164"/>
      <c r="DA199" s="1164"/>
      <c r="DB199" s="1164"/>
      <c r="DC199" s="1164"/>
      <c r="DD199" s="1164"/>
      <c r="DE199" s="1164"/>
      <c r="DF199" s="1164">
        <f t="shared" ref="DF199:DV199" si="1383">+DF149-DF196</f>
        <v>-7.3524048110023554E-3</v>
      </c>
      <c r="DG199" s="1164">
        <f t="shared" si="1383"/>
        <v>-7.99505720726984E-3</v>
      </c>
      <c r="DH199" s="1164">
        <f t="shared" si="1383"/>
        <v>-8.0842212295282601E-3</v>
      </c>
      <c r="DI199" s="1164">
        <f t="shared" si="1383"/>
        <v>-7.997925931299138E-3</v>
      </c>
      <c r="DJ199" s="1164">
        <f t="shared" si="1383"/>
        <v>-4.1443283299754941E-3</v>
      </c>
      <c r="DK199" s="1164">
        <f t="shared" si="1383"/>
        <v>4.0144516911358979E-2</v>
      </c>
      <c r="DL199" s="1164">
        <f t="shared" si="1383"/>
        <v>5.6530879547788432E-2</v>
      </c>
      <c r="DM199" s="1164">
        <f t="shared" si="1383"/>
        <v>5.514892258728156E-2</v>
      </c>
      <c r="DN199" s="1164">
        <f t="shared" si="1383"/>
        <v>4.8855816197210522E-2</v>
      </c>
      <c r="DO199" s="1164">
        <f t="shared" si="1383"/>
        <v>3.7348698948823367E-2</v>
      </c>
      <c r="DP199" s="1164">
        <f t="shared" si="1383"/>
        <v>3.6200176692666258E-2</v>
      </c>
      <c r="DQ199" s="1164">
        <f t="shared" ref="DQ199:DR199" si="1384">+DQ149-DQ196</f>
        <v>3.6022973602658159E-2</v>
      </c>
      <c r="DR199" s="1164">
        <f t="shared" si="1384"/>
        <v>4.0266588152585436E-2</v>
      </c>
      <c r="DS199" s="1164">
        <f t="shared" si="1383"/>
        <v>4.1566070951493145E-2</v>
      </c>
      <c r="DT199" s="1164">
        <f t="shared" si="1383"/>
        <v>4.2239858784302337E-2</v>
      </c>
      <c r="DU199" s="1164">
        <f t="shared" si="1383"/>
        <v>4.3008453265157842E-2</v>
      </c>
      <c r="DV199" s="1164">
        <f t="shared" si="1383"/>
        <v>4.3941357446817542E-2</v>
      </c>
      <c r="DY199" s="1164">
        <v>4.3503031561264921E-2</v>
      </c>
      <c r="DZ199" s="1164">
        <v>4.4165694400566918E-2</v>
      </c>
    </row>
    <row r="200" spans="1:130">
      <c r="A200" s="207"/>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c r="BU200" s="361"/>
      <c r="BV200" s="361"/>
      <c r="BW200" s="361"/>
      <c r="BX200" s="361"/>
      <c r="BY200" s="361"/>
      <c r="BZ200" s="361"/>
      <c r="CA200" s="361"/>
      <c r="CB200" s="361"/>
      <c r="CC200" s="361"/>
      <c r="CD200" s="361"/>
      <c r="CE200" s="361"/>
      <c r="CF200" s="361"/>
      <c r="CG200" s="361"/>
      <c r="CH200" s="361"/>
      <c r="CI200" s="361"/>
      <c r="CJ200" s="361"/>
      <c r="CK200" s="361"/>
      <c r="CL200" s="192"/>
      <c r="CM200" s="192"/>
      <c r="CN200" s="192"/>
      <c r="CO200" s="192"/>
      <c r="CP200" s="192"/>
      <c r="CQ200" s="192"/>
      <c r="CR200" s="192"/>
      <c r="CS200" s="192"/>
      <c r="CT200" s="192"/>
      <c r="CU200" s="694"/>
      <c r="CV200" s="8"/>
      <c r="CW200" s="8"/>
      <c r="CX200" s="8"/>
      <c r="CY200" s="8"/>
      <c r="CZ200" s="8"/>
      <c r="DA200" s="8"/>
      <c r="DB200" s="8"/>
      <c r="DC200" s="8"/>
      <c r="DD200" s="8"/>
      <c r="DE200" s="8"/>
      <c r="DF200" s="8"/>
      <c r="DG200" s="8"/>
      <c r="DH200" s="8"/>
      <c r="DI200" s="8"/>
      <c r="DJ200" s="8"/>
      <c r="DK200" s="8"/>
      <c r="DL200" s="8"/>
      <c r="DM200" s="8"/>
      <c r="DN200" s="8"/>
      <c r="DO200" s="8"/>
      <c r="DP200" s="8"/>
      <c r="DQ200" s="8"/>
      <c r="DR200" s="8"/>
      <c r="DS200" s="8"/>
      <c r="DT200" s="8"/>
      <c r="DU200" s="8"/>
      <c r="DV200" s="8"/>
      <c r="DY200" s="8"/>
      <c r="DZ200" s="8"/>
    </row>
    <row r="201" spans="1:130" s="1660" customFormat="1" ht="12.75">
      <c r="A201" s="1655" t="s">
        <v>238</v>
      </c>
      <c r="B201" s="1661">
        <f t="shared" ref="B201:BM201" si="1385">+B195-B$111</f>
        <v>0</v>
      </c>
      <c r="C201" s="1661">
        <f t="shared" si="1385"/>
        <v>0</v>
      </c>
      <c r="D201" s="1661">
        <f t="shared" si="1385"/>
        <v>0</v>
      </c>
      <c r="E201" s="1661">
        <f t="shared" si="1385"/>
        <v>0</v>
      </c>
      <c r="F201" s="1661">
        <f t="shared" si="1385"/>
        <v>0</v>
      </c>
      <c r="G201" s="1661">
        <f t="shared" si="1385"/>
        <v>-296</v>
      </c>
      <c r="H201" s="1661">
        <f t="shared" si="1385"/>
        <v>-516</v>
      </c>
      <c r="I201" s="1661">
        <f t="shared" si="1385"/>
        <v>-522</v>
      </c>
      <c r="J201" s="1661">
        <f t="shared" si="1385"/>
        <v>-919</v>
      </c>
      <c r="K201" s="1661">
        <f t="shared" si="1385"/>
        <v>-1674</v>
      </c>
      <c r="L201" s="1661">
        <f t="shared" si="1385"/>
        <v>-530</v>
      </c>
      <c r="M201" s="1661">
        <f t="shared" si="1385"/>
        <v>-619</v>
      </c>
      <c r="N201" s="1661">
        <f t="shared" si="1385"/>
        <v>-1580</v>
      </c>
      <c r="O201" s="1661">
        <f t="shared" si="1385"/>
        <v>1143</v>
      </c>
      <c r="P201" s="1661">
        <f t="shared" si="1385"/>
        <v>456</v>
      </c>
      <c r="Q201" s="1661">
        <f t="shared" si="1385"/>
        <v>-7900</v>
      </c>
      <c r="R201" s="1661">
        <f t="shared" si="1385"/>
        <v>891</v>
      </c>
      <c r="S201" s="1661">
        <f t="shared" si="1385"/>
        <v>-587</v>
      </c>
      <c r="T201" s="1661">
        <f t="shared" si="1385"/>
        <v>-240</v>
      </c>
      <c r="U201" s="1661">
        <f t="shared" si="1385"/>
        <v>2205</v>
      </c>
      <c r="V201" s="1661">
        <f t="shared" si="1385"/>
        <v>583</v>
      </c>
      <c r="W201" s="1661">
        <f t="shared" si="1385"/>
        <v>-1132</v>
      </c>
      <c r="X201" s="1661">
        <f t="shared" si="1385"/>
        <v>-683</v>
      </c>
      <c r="Y201" s="1661">
        <f t="shared" si="1385"/>
        <v>66</v>
      </c>
      <c r="Z201" s="1661">
        <f t="shared" si="1385"/>
        <v>377</v>
      </c>
      <c r="AA201" s="1661">
        <f t="shared" si="1385"/>
        <v>-631</v>
      </c>
      <c r="AB201" s="1661">
        <f t="shared" si="1385"/>
        <v>-289</v>
      </c>
      <c r="AC201" s="1661">
        <f t="shared" si="1385"/>
        <v>-7254</v>
      </c>
      <c r="AD201" s="1661">
        <f t="shared" si="1385"/>
        <v>-1173</v>
      </c>
      <c r="AE201" s="1661">
        <f t="shared" si="1385"/>
        <v>-839</v>
      </c>
      <c r="AF201" s="1661">
        <f t="shared" si="1385"/>
        <v>600</v>
      </c>
      <c r="AG201" s="1661">
        <f t="shared" si="1385"/>
        <v>-3164</v>
      </c>
      <c r="AH201" s="1661">
        <f t="shared" si="1385"/>
        <v>-4518</v>
      </c>
      <c r="AI201" s="1661">
        <f t="shared" si="1385"/>
        <v>1548</v>
      </c>
      <c r="AJ201" s="1661">
        <f t="shared" si="1385"/>
        <v>-2306</v>
      </c>
      <c r="AK201" s="1661">
        <f t="shared" si="1385"/>
        <v>-590</v>
      </c>
      <c r="AL201" s="1661">
        <f t="shared" si="1385"/>
        <v>-8950</v>
      </c>
      <c r="AM201" s="1661">
        <f t="shared" si="1385"/>
        <v>-2669</v>
      </c>
      <c r="AN201" s="1661">
        <f t="shared" si="1385"/>
        <v>187</v>
      </c>
      <c r="AO201" s="1661">
        <f t="shared" si="1385"/>
        <v>-681</v>
      </c>
      <c r="AP201" s="1661">
        <f t="shared" si="1385"/>
        <v>-27813</v>
      </c>
      <c r="AQ201" s="1661">
        <f t="shared" si="1385"/>
        <v>-2191.84</v>
      </c>
      <c r="AR201" s="1661">
        <f t="shared" si="1385"/>
        <v>-1834</v>
      </c>
      <c r="AS201" s="1661">
        <f t="shared" si="1385"/>
        <v>-3811</v>
      </c>
      <c r="AT201" s="1661">
        <f t="shared" si="1385"/>
        <v>-3239.1</v>
      </c>
      <c r="AU201" s="1661">
        <f t="shared" si="1385"/>
        <v>-6501.8794900000103</v>
      </c>
      <c r="AV201" s="1661">
        <f t="shared" si="1385"/>
        <v>-13019.435009999999</v>
      </c>
      <c r="AW201" s="1661">
        <f t="shared" si="1385"/>
        <v>-3843</v>
      </c>
      <c r="AX201" s="1661">
        <f t="shared" si="1385"/>
        <v>-3930</v>
      </c>
      <c r="AY201" s="1661">
        <f t="shared" si="1385"/>
        <v>-9048</v>
      </c>
      <c r="AZ201" s="1661">
        <f t="shared" si="1385"/>
        <v>-13111</v>
      </c>
      <c r="BA201" s="1661">
        <f t="shared" si="1385"/>
        <v>-14747</v>
      </c>
      <c r="BB201" s="1661">
        <f t="shared" si="1385"/>
        <v>-34463</v>
      </c>
      <c r="BC201" s="1661">
        <f t="shared" si="1385"/>
        <v>-482.76788999996097</v>
      </c>
      <c r="BD201" s="1661">
        <f t="shared" si="1385"/>
        <v>-3163.9908700000415</v>
      </c>
      <c r="BE201" s="1661">
        <f t="shared" si="1385"/>
        <v>-4518.4292900000037</v>
      </c>
      <c r="BF201" s="1661">
        <f t="shared" si="1385"/>
        <v>1379.5645099998947</v>
      </c>
      <c r="BG201" s="1661">
        <f t="shared" si="1385"/>
        <v>749</v>
      </c>
      <c r="BH201" s="1661">
        <f t="shared" si="1385"/>
        <v>-8586</v>
      </c>
      <c r="BI201" s="1661">
        <f t="shared" si="1385"/>
        <v>-24010</v>
      </c>
      <c r="BJ201" s="1661">
        <f t="shared" si="1385"/>
        <v>2024</v>
      </c>
      <c r="BK201" s="1661">
        <f t="shared" si="1385"/>
        <v>278654.54821000004</v>
      </c>
      <c r="BL201" s="1661">
        <f t="shared" si="1385"/>
        <v>424504.66379000002</v>
      </c>
      <c r="BM201" s="1661">
        <f t="shared" si="1385"/>
        <v>352477.46512000001</v>
      </c>
      <c r="BN201" s="1661">
        <f t="shared" ref="BN201:BV201" si="1386">+BN195-BN$111</f>
        <v>836001.15158000006</v>
      </c>
      <c r="BO201" s="1661">
        <f t="shared" si="1386"/>
        <v>101111.38572999999</v>
      </c>
      <c r="BP201" s="1661">
        <f t="shared" si="1386"/>
        <v>-235926.22586000001</v>
      </c>
      <c r="BQ201" s="1661">
        <f t="shared" si="1386"/>
        <v>-41855.002869999997</v>
      </c>
      <c r="BR201" s="1661">
        <f t="shared" si="1386"/>
        <v>617981.42828999995</v>
      </c>
      <c r="BS201" s="1661">
        <f t="shared" si="1386"/>
        <v>-102422.48999999999</v>
      </c>
      <c r="BT201" s="1661">
        <f t="shared" si="1386"/>
        <v>282220.85334999999</v>
      </c>
      <c r="BU201" s="1661">
        <f t="shared" si="1386"/>
        <v>272885.81410000235</v>
      </c>
      <c r="BV201" s="1661">
        <f t="shared" si="1386"/>
        <v>614523.04365999915</v>
      </c>
      <c r="BW201" s="1661">
        <f t="shared" ref="BW201:CC201" si="1387">+BW195-BW$165</f>
        <v>200902.77000000002</v>
      </c>
      <c r="BX201" s="1661">
        <f t="shared" si="1387"/>
        <v>514150.54000000004</v>
      </c>
      <c r="BY201" s="1661">
        <f t="shared" si="1387"/>
        <v>237412</v>
      </c>
      <c r="BZ201" s="1661">
        <f t="shared" si="1387"/>
        <v>690348.46</v>
      </c>
      <c r="CA201" s="1661">
        <f t="shared" si="1387"/>
        <v>48430</v>
      </c>
      <c r="CB201" s="1661">
        <f t="shared" si="1387"/>
        <v>313515.3101</v>
      </c>
      <c r="CC201" s="1661">
        <f t="shared" si="1387"/>
        <v>175435.55010999998</v>
      </c>
      <c r="CD201" s="1661">
        <f>+CD195-CD$165</f>
        <v>672964.73618999997</v>
      </c>
      <c r="CE201" s="1661">
        <f>+CE195-CE$165</f>
        <v>143850</v>
      </c>
      <c r="CF201" s="1661">
        <f t="shared" ref="CF201:CH201" si="1388">+CF195-CF$165</f>
        <v>441400</v>
      </c>
      <c r="CG201" s="1661">
        <f>+CG195-CG$165</f>
        <v>366759</v>
      </c>
      <c r="CH201" s="1661">
        <f t="shared" si="1388"/>
        <v>832898</v>
      </c>
      <c r="CI201" s="1661">
        <f t="shared" ref="CI201:CL201" si="1389">+CI195-CI$165</f>
        <v>384724</v>
      </c>
      <c r="CJ201" s="1661">
        <f t="shared" ref="CJ201" si="1390">+CJ195-CJ$165</f>
        <v>702514</v>
      </c>
      <c r="CK201" s="1661">
        <f t="shared" si="1389"/>
        <v>392073</v>
      </c>
      <c r="CL201" s="1661">
        <f t="shared" si="1389"/>
        <v>869332.1222876407</v>
      </c>
      <c r="CM201" s="1661">
        <f t="shared" ref="CM201:CP201" si="1391">+CM195-CM$165</f>
        <v>308343.40822419478</v>
      </c>
      <c r="CN201" s="1661">
        <f t="shared" si="1391"/>
        <v>591137.16274981515</v>
      </c>
      <c r="CO201" s="1661">
        <f t="shared" si="1391"/>
        <v>390769.99607459089</v>
      </c>
      <c r="CP201" s="1661">
        <f t="shared" si="1391"/>
        <v>966920.03593370889</v>
      </c>
      <c r="CQ201" s="1656"/>
      <c r="CR201" s="1656"/>
      <c r="CS201" s="1657"/>
      <c r="CT201" s="1656">
        <v>869332.1222876407</v>
      </c>
      <c r="CU201" s="1658"/>
      <c r="CV201" s="1659"/>
      <c r="CW201" s="1659"/>
      <c r="CX201" s="1659"/>
      <c r="CY201" s="1659"/>
      <c r="CZ201" s="1659"/>
      <c r="DA201" s="1659"/>
      <c r="DB201" s="1659"/>
      <c r="DC201" s="1659"/>
      <c r="DD201" s="1659"/>
      <c r="DE201" s="1659"/>
      <c r="DF201" s="1659"/>
      <c r="DG201" s="1661">
        <f>+DG195-DG$111</f>
        <v>1219870.2633400001</v>
      </c>
      <c r="DH201" s="1661">
        <f t="shared" ref="DH201" si="1392">+DH195-DH$111</f>
        <v>1267739</v>
      </c>
      <c r="DI201" s="1661">
        <f t="shared" ref="DI201:DN201" si="1393">+DI195-DI165</f>
        <v>1475830</v>
      </c>
      <c r="DJ201" s="1661">
        <f t="shared" si="1393"/>
        <v>1773318</v>
      </c>
      <c r="DK201" s="1661">
        <f t="shared" si="1393"/>
        <v>1953206.8287</v>
      </c>
      <c r="DL201" s="1661">
        <f t="shared" si="1393"/>
        <v>1190436.5852899998</v>
      </c>
      <c r="DM201" s="1661">
        <f t="shared" si="1393"/>
        <v>1108237.2211100014</v>
      </c>
      <c r="DN201" s="1661">
        <f t="shared" si="1393"/>
        <v>1642813.77</v>
      </c>
      <c r="DO201" s="1661">
        <f>+DO195-DO165</f>
        <v>1210345.5963999999</v>
      </c>
      <c r="DP201" s="1661">
        <f t="shared" ref="DP201:DV201" si="1394">+DP195-DP165</f>
        <v>1784907</v>
      </c>
      <c r="DQ201" s="1661">
        <f t="shared" ref="DQ201:DR201" si="1395">+DQ195-DQ165</f>
        <v>2348643.1222876403</v>
      </c>
      <c r="DR201" s="1661">
        <f t="shared" si="1395"/>
        <v>2257170.6029823101</v>
      </c>
      <c r="DS201" s="1661">
        <f t="shared" si="1394"/>
        <v>2856870.3564711441</v>
      </c>
      <c r="DT201" s="1661">
        <f t="shared" si="1394"/>
        <v>3139466.0631338628</v>
      </c>
      <c r="DU201" s="1661">
        <f t="shared" si="1394"/>
        <v>3429974.7814957281</v>
      </c>
      <c r="DV201" s="1661">
        <f t="shared" si="1394"/>
        <v>3733509.6725072204</v>
      </c>
      <c r="DY201" s="1661">
        <v>2462796.304929228</v>
      </c>
      <c r="DZ201" s="1661">
        <v>3004355.0738229882</v>
      </c>
    </row>
    <row r="202" spans="1:130" s="359" customFormat="1">
      <c r="A202" s="1329" t="s">
        <v>236</v>
      </c>
      <c r="B202" s="643"/>
      <c r="C202" s="641"/>
      <c r="D202" s="641"/>
      <c r="E202" s="641"/>
      <c r="F202" s="641"/>
      <c r="G202" s="641"/>
      <c r="H202" s="641"/>
      <c r="I202" s="641"/>
      <c r="J202" s="641"/>
      <c r="K202" s="641"/>
      <c r="L202" s="641"/>
      <c r="M202" s="641"/>
      <c r="N202" s="121">
        <v>0.12987517731056131</v>
      </c>
      <c r="O202" s="121">
        <v>7.3994579316968151E-2</v>
      </c>
      <c r="P202" s="121">
        <v>0.14051827930370986</v>
      </c>
      <c r="Q202" s="121">
        <v>0.12600984424243344</v>
      </c>
      <c r="R202" s="121">
        <v>0.15970331814359456</v>
      </c>
      <c r="S202" s="121">
        <v>9.3749592444109409E-2</v>
      </c>
      <c r="T202" s="121">
        <v>0.13575667946791775</v>
      </c>
      <c r="U202" s="121">
        <v>7.7314858117648114E-2</v>
      </c>
      <c r="V202" s="121">
        <v>0.12833885668292716</v>
      </c>
      <c r="W202" s="121">
        <v>4.9896732101839522E-2</v>
      </c>
      <c r="X202" s="121">
        <v>0.15192020651413657</v>
      </c>
      <c r="Y202" s="121">
        <v>0.10061019456372115</v>
      </c>
      <c r="Z202" s="121">
        <v>0.19196244194769183</v>
      </c>
      <c r="AA202" s="121">
        <v>0.1054228772095601</v>
      </c>
      <c r="AB202" s="121">
        <v>0.20215591065875754</v>
      </c>
      <c r="AC202" s="121">
        <v>0.11325913422653586</v>
      </c>
      <c r="AD202" s="121">
        <v>0.17660605869305787</v>
      </c>
      <c r="AE202" s="121">
        <v>9.0255685165547314E-2</v>
      </c>
      <c r="AF202" s="121">
        <v>0.19672034928160095</v>
      </c>
      <c r="AG202" s="121">
        <v>0.10819600776774681</v>
      </c>
      <c r="AH202" s="121">
        <v>0.20725997243308852</v>
      </c>
      <c r="AI202" s="121">
        <v>6.8712966267710382E-2</v>
      </c>
      <c r="AJ202" s="121">
        <v>0.18493888342538142</v>
      </c>
      <c r="AK202" s="121">
        <v>0.13082065582750294</v>
      </c>
      <c r="AL202" s="121">
        <v>0.21912774458513323</v>
      </c>
      <c r="AM202" s="121">
        <v>5.83173141093472E-2</v>
      </c>
      <c r="AN202" s="121">
        <v>0.16913481059498334</v>
      </c>
      <c r="AO202" s="121">
        <v>0.12088634253592938</v>
      </c>
      <c r="AP202" s="121">
        <v>0.26297531647753786</v>
      </c>
      <c r="AQ202" s="733">
        <f t="shared" ref="AQ202:CH202" si="1396">AQ201/AQ$26</f>
        <v>-2.3351878407950446E-3</v>
      </c>
      <c r="AR202" s="733">
        <f t="shared" si="1396"/>
        <v>-1.4610891407776116E-3</v>
      </c>
      <c r="AS202" s="733">
        <f t="shared" si="1396"/>
        <v>-3.1658003842821459E-3</v>
      </c>
      <c r="AT202" s="733">
        <f t="shared" si="1396"/>
        <v>-1.7812922246437663E-3</v>
      </c>
      <c r="AU202" s="733">
        <f t="shared" si="1396"/>
        <v>-5.5384778784732273E-3</v>
      </c>
      <c r="AV202" s="733">
        <f t="shared" si="1396"/>
        <v>-8.4739823848070904E-3</v>
      </c>
      <c r="AW202" s="733">
        <f t="shared" si="1396"/>
        <v>-2.7051854667553611E-3</v>
      </c>
      <c r="AX202" s="733">
        <f t="shared" si="1396"/>
        <v>-1.9511032669809283E-3</v>
      </c>
      <c r="AY202" s="733">
        <f t="shared" si="1396"/>
        <v>-7.2536675193948224E-3</v>
      </c>
      <c r="AZ202" s="733">
        <f t="shared" si="1396"/>
        <v>-7.9577319462484364E-3</v>
      </c>
      <c r="BA202" s="733">
        <f t="shared" si="1396"/>
        <v>-1.0199684748334692E-2</v>
      </c>
      <c r="BB202" s="733">
        <f t="shared" si="1396"/>
        <v>-1.6326969559437597E-2</v>
      </c>
      <c r="BC202" s="733">
        <f t="shared" si="1396"/>
        <v>-3.4110061724379785E-4</v>
      </c>
      <c r="BD202" s="733">
        <f t="shared" si="1396"/>
        <v>-1.7278879239727347E-3</v>
      </c>
      <c r="BE202" s="733">
        <f t="shared" si="1396"/>
        <v>-2.5873160777999272E-3</v>
      </c>
      <c r="BF202" s="733">
        <f t="shared" si="1396"/>
        <v>5.6274944604706666E-4</v>
      </c>
      <c r="BG202" s="733">
        <f t="shared" si="1396"/>
        <v>4.5999318301157352E-4</v>
      </c>
      <c r="BH202" s="733">
        <f t="shared" si="1396"/>
        <v>-4.2502909513751075E-3</v>
      </c>
      <c r="BI202" s="733">
        <f t="shared" si="1396"/>
        <v>-1.2355348255122247E-2</v>
      </c>
      <c r="BJ202" s="733">
        <f t="shared" si="1396"/>
        <v>7.1396546791723501E-4</v>
      </c>
      <c r="BK202" s="733">
        <f t="shared" si="1396"/>
        <v>0.14727130944333783</v>
      </c>
      <c r="BL202" s="733">
        <f t="shared" si="1396"/>
        <v>0.1852111356655573</v>
      </c>
      <c r="BM202" s="1222">
        <f t="shared" si="1396"/>
        <v>0.15836310156328975</v>
      </c>
      <c r="BN202" s="1222">
        <f t="shared" si="1396"/>
        <v>0.26301246116717597</v>
      </c>
      <c r="BO202" s="1222">
        <f t="shared" si="1396"/>
        <v>5.4251261685377042E-2</v>
      </c>
      <c r="BP202" s="1222">
        <f t="shared" si="1396"/>
        <v>-0.29180516391962458</v>
      </c>
      <c r="BQ202" s="1222">
        <f t="shared" si="1396"/>
        <v>-2.3382173723589261E-2</v>
      </c>
      <c r="BR202" s="1222">
        <f t="shared" si="1396"/>
        <v>0.20097780536373197</v>
      </c>
      <c r="BS202" s="1222">
        <f t="shared" si="1396"/>
        <v>-6.4767218036744789E-2</v>
      </c>
      <c r="BT202" s="1222">
        <f t="shared" si="1396"/>
        <v>0.11332837274569699</v>
      </c>
      <c r="BU202" s="1222">
        <f t="shared" si="1396"/>
        <v>0.10382639765035538</v>
      </c>
      <c r="BV202" s="1222">
        <f t="shared" si="1396"/>
        <v>0.15872668865284725</v>
      </c>
      <c r="BW202" s="1222">
        <f t="shared" si="1396"/>
        <v>7.6885160641463696E-2</v>
      </c>
      <c r="BX202" s="1222">
        <f t="shared" si="1396"/>
        <v>0.14178233848646721</v>
      </c>
      <c r="BY202" s="1222">
        <f t="shared" si="1396"/>
        <v>7.8674934518191741E-2</v>
      </c>
      <c r="BZ202" s="1222">
        <f t="shared" si="1396"/>
        <v>0.17197899726566859</v>
      </c>
      <c r="CA202" s="1222">
        <f t="shared" si="1396"/>
        <v>1.7450416028295401E-2</v>
      </c>
      <c r="CB202" s="1222">
        <f t="shared" si="1396"/>
        <v>8.9471428074049619E-2</v>
      </c>
      <c r="CC202" s="1222">
        <f t="shared" si="1396"/>
        <v>5.6645176678410993E-2</v>
      </c>
      <c r="CD202" s="1222">
        <f t="shared" ref="CD202:CE202" si="1397">CD201/CD$26</f>
        <v>0.15755213801962739</v>
      </c>
      <c r="CE202" s="1222">
        <f t="shared" si="1397"/>
        <v>4.9462752329666411E-2</v>
      </c>
      <c r="CF202" s="1222">
        <f t="shared" si="1396"/>
        <v>0.12538379969724953</v>
      </c>
      <c r="CG202" s="1222">
        <f t="shared" si="1396"/>
        <v>0.10817225378254415</v>
      </c>
      <c r="CH202" s="1222">
        <f t="shared" si="1396"/>
        <v>0.1803896156494269</v>
      </c>
      <c r="CI202" s="1222">
        <f t="shared" ref="CI202:CL202" si="1398">CI201/CI$26</f>
        <v>0.1181013121412977</v>
      </c>
      <c r="CJ202" s="1222">
        <f t="shared" ref="CJ202" si="1399">CJ201/CJ$26</f>
        <v>0.16856697650379143</v>
      </c>
      <c r="CK202" s="1222">
        <f t="shared" si="1398"/>
        <v>0.11002555934212475</v>
      </c>
      <c r="CL202" s="733">
        <f t="shared" si="1398"/>
        <v>0.18006731647424748</v>
      </c>
      <c r="CM202" s="733">
        <f t="shared" ref="CM202:CP202" si="1400">CM201/CM$26</f>
        <v>8.9785209965094592E-2</v>
      </c>
      <c r="CN202" s="733">
        <f t="shared" si="1400"/>
        <v>0.13570482323412777</v>
      </c>
      <c r="CO202" s="733">
        <f t="shared" si="1400"/>
        <v>0.10174424112319877</v>
      </c>
      <c r="CP202" s="733">
        <f t="shared" si="1400"/>
        <v>0.1841688649967462</v>
      </c>
      <c r="CQ202" s="733"/>
      <c r="CR202" s="733"/>
      <c r="CS202" s="644"/>
      <c r="CT202" s="733">
        <v>0.18006731647424748</v>
      </c>
      <c r="CU202" s="1135">
        <f>+CK202-CT202</f>
        <v>-7.0041757132122726E-2</v>
      </c>
      <c r="CV202" s="121"/>
      <c r="CW202" s="121"/>
      <c r="CX202" s="121">
        <v>0.10843489268897978</v>
      </c>
      <c r="CY202" s="121">
        <v>0.10096830101476942</v>
      </c>
      <c r="CZ202" s="121">
        <v>8.0258852026639793E-2</v>
      </c>
      <c r="DA202" s="121">
        <v>0.12091812309159539</v>
      </c>
      <c r="DB202" s="121">
        <v>0.1557873442146861</v>
      </c>
      <c r="DC202" s="121">
        <v>0.15989796369280568</v>
      </c>
      <c r="DD202" s="121">
        <v>0.16160412020936116</v>
      </c>
      <c r="DE202" s="121">
        <v>0.16933746843865025</v>
      </c>
      <c r="DF202" s="733">
        <f t="shared" ref="DF202:DV202" si="1401">DF201/DF$26</f>
        <v>0</v>
      </c>
      <c r="DG202" s="1222">
        <f t="shared" si="1401"/>
        <v>0.19850788588748483</v>
      </c>
      <c r="DH202" s="1222">
        <f t="shared" si="1401"/>
        <v>0.19650054715279047</v>
      </c>
      <c r="DI202" s="1222">
        <f t="shared" si="1401"/>
        <v>0.19824953437560658</v>
      </c>
      <c r="DJ202" s="1222">
        <f t="shared" si="1401"/>
        <v>0.21044435670579423</v>
      </c>
      <c r="DK202" s="1222">
        <f t="shared" si="1401"/>
        <v>0.20370440236505699</v>
      </c>
      <c r="DL202" s="1222">
        <f t="shared" si="1401"/>
        <v>0.15794190735659755</v>
      </c>
      <c r="DM202" s="1222">
        <f t="shared" si="1401"/>
        <v>0.1048319854776923</v>
      </c>
      <c r="DN202" s="1222">
        <f t="shared" si="1401"/>
        <v>0.12378847192972238</v>
      </c>
      <c r="DO202" s="1222">
        <f t="shared" si="1401"/>
        <v>8.8683982098570979E-2</v>
      </c>
      <c r="DP202" s="1222">
        <f t="shared" si="1401"/>
        <v>0.12363963340912804</v>
      </c>
      <c r="DQ202" s="1222">
        <f t="shared" ref="DQ202:DR202" si="1402">DQ201/DQ$26</f>
        <v>0.14849387096305153</v>
      </c>
      <c r="DR202" s="1222">
        <f t="shared" si="1402"/>
        <v>0.1337093246703919</v>
      </c>
      <c r="DS202" s="733">
        <f t="shared" si="1401"/>
        <v>0.15618247994738563</v>
      </c>
      <c r="DT202" s="733">
        <f t="shared" si="1401"/>
        <v>0.16066714369028487</v>
      </c>
      <c r="DU202" s="733">
        <f t="shared" si="1401"/>
        <v>0.1643202367987153</v>
      </c>
      <c r="DV202" s="733">
        <f t="shared" si="1401"/>
        <v>0.16744309096757004</v>
      </c>
      <c r="DY202" s="733">
        <v>0.14339181949511276</v>
      </c>
      <c r="DZ202" s="733">
        <v>0.16207806724603616</v>
      </c>
    </row>
    <row r="203" spans="1:130" s="359" customFormat="1">
      <c r="A203" s="1331" t="s">
        <v>231</v>
      </c>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c r="AA203" s="91"/>
      <c r="AB203" s="91"/>
      <c r="AC203" s="91"/>
      <c r="AD203" s="91"/>
      <c r="AE203" s="91"/>
      <c r="AF203" s="91"/>
      <c r="AG203" s="91"/>
      <c r="AH203" s="91"/>
      <c r="AI203" s="93"/>
      <c r="AJ203" s="93"/>
      <c r="AK203" s="93"/>
      <c r="AL203" s="93"/>
      <c r="AM203" s="93"/>
      <c r="AN203" s="93">
        <v>-9.4076869945851072E-3</v>
      </c>
      <c r="AO203" s="93">
        <v>-1.2192860385231347E-2</v>
      </c>
      <c r="AP203" s="93">
        <v>4.2488818238968801E-2</v>
      </c>
      <c r="AQ203" s="1164">
        <f t="shared" ref="AQ203" si="1403">+AQ202-AM202</f>
        <v>-6.0652501950142247E-2</v>
      </c>
      <c r="AR203" s="1164">
        <f t="shared" ref="AR203" si="1404">+AR202-AN202</f>
        <v>-0.17059589973576095</v>
      </c>
      <c r="AS203" s="1164">
        <f t="shared" ref="AS203" si="1405">+AS202-AO202</f>
        <v>-0.12405214292021152</v>
      </c>
      <c r="AT203" s="1164">
        <f t="shared" ref="AT203" si="1406">+AT202-AP202</f>
        <v>-0.26475660870218165</v>
      </c>
      <c r="AU203" s="1164">
        <f t="shared" ref="AU203" si="1407">+AU202-AQ202</f>
        <v>-3.2032900376781828E-3</v>
      </c>
      <c r="AV203" s="1164">
        <f t="shared" ref="AV203" si="1408">+AV202-AR202</f>
        <v>-7.012893244029479E-3</v>
      </c>
      <c r="AW203" s="1164">
        <f t="shared" ref="AW203" si="1409">+AW202-AS202</f>
        <v>4.6061491752678483E-4</v>
      </c>
      <c r="AX203" s="1164">
        <f t="shared" ref="AX203" si="1410">+AX202-AT202</f>
        <v>-1.6981104233716195E-4</v>
      </c>
      <c r="AY203" s="1164">
        <f t="shared" ref="AY203" si="1411">+AY202-AU202</f>
        <v>-1.7151896409215951E-3</v>
      </c>
      <c r="AZ203" s="1164">
        <f t="shared" ref="AZ203" si="1412">+AZ202-AV202</f>
        <v>5.1625043855865402E-4</v>
      </c>
      <c r="BA203" s="1164">
        <f t="shared" ref="BA203" si="1413">+BA202-AW202</f>
        <v>-7.494499281579331E-3</v>
      </c>
      <c r="BB203" s="1164">
        <f t="shared" ref="BB203" si="1414">+BB202-AX202</f>
        <v>-1.4375866292456669E-2</v>
      </c>
      <c r="BC203" s="1164">
        <f t="shared" ref="BC203" si="1415">+BC202-AY202</f>
        <v>6.9125669021510242E-3</v>
      </c>
      <c r="BD203" s="1164">
        <f t="shared" ref="BD203" si="1416">+BD202-AZ202</f>
        <v>6.2298440222757021E-3</v>
      </c>
      <c r="BE203" s="1164">
        <f t="shared" ref="BE203" si="1417">+BE202-BA202</f>
        <v>7.6123686705347644E-3</v>
      </c>
      <c r="BF203" s="1164">
        <f t="shared" ref="BF203" si="1418">+BF202-BB202</f>
        <v>1.6889719005484662E-2</v>
      </c>
      <c r="BG203" s="1164">
        <f t="shared" ref="BG203" si="1419">+BG202-BC202</f>
        <v>8.0109380025537142E-4</v>
      </c>
      <c r="BH203" s="1164">
        <f t="shared" ref="BH203" si="1420">+BH202-BD202</f>
        <v>-2.5224030274023728E-3</v>
      </c>
      <c r="BI203" s="1164">
        <f t="shared" ref="BI203" si="1421">+BI202-BE202</f>
        <v>-9.7680321773223194E-3</v>
      </c>
      <c r="BJ203" s="1164">
        <f t="shared" ref="BJ203" si="1422">+BJ202-BF202</f>
        <v>1.5121602187016835E-4</v>
      </c>
      <c r="BK203" s="1164">
        <f t="shared" ref="BK203" si="1423">+BK202-BG202</f>
        <v>0.14681131626032626</v>
      </c>
      <c r="BL203" s="1164">
        <f t="shared" ref="BL203" si="1424">+BL202-BH202</f>
        <v>0.18946142661693241</v>
      </c>
      <c r="BM203" s="1223">
        <f t="shared" ref="BM203" si="1425">+BM202-BI202</f>
        <v>0.170718449818412</v>
      </c>
      <c r="BN203" s="1223">
        <f t="shared" ref="BN203" si="1426">+BN202-BJ202</f>
        <v>0.26229849569925873</v>
      </c>
      <c r="BO203" s="1223">
        <f t="shared" ref="BO203" si="1427">+BO202-BK202</f>
        <v>-9.3020047757960786E-2</v>
      </c>
      <c r="BP203" s="1223">
        <f t="shared" ref="BP203" si="1428">+BP202-BL202</f>
        <v>-0.47701629958518188</v>
      </c>
      <c r="BQ203" s="1223">
        <f t="shared" ref="BQ203" si="1429">+BQ202-BM202</f>
        <v>-0.181745275286879</v>
      </c>
      <c r="BR203" s="1223">
        <f t="shared" ref="BR203" si="1430">+BR202-BN202</f>
        <v>-6.2034655803444E-2</v>
      </c>
      <c r="BS203" s="1223">
        <f t="shared" ref="BS203" si="1431">+BS202-BO202</f>
        <v>-0.11901847972212183</v>
      </c>
      <c r="BT203" s="1223">
        <f t="shared" ref="BT203" si="1432">+BT202-BP202</f>
        <v>0.40513353666532159</v>
      </c>
      <c r="BU203" s="1223">
        <f t="shared" ref="BU203" si="1433">+BU202-BQ202</f>
        <v>0.12720857137394465</v>
      </c>
      <c r="BV203" s="1223">
        <f t="shared" ref="BV203" si="1434">+BV202-BR202</f>
        <v>-4.2251116710884717E-2</v>
      </c>
      <c r="BW203" s="1223">
        <f t="shared" ref="BW203" si="1435">+BW202-BS202</f>
        <v>0.14165237867820848</v>
      </c>
      <c r="BX203" s="1223">
        <f t="shared" ref="BX203" si="1436">+BX202-BT202</f>
        <v>2.8453965740770221E-2</v>
      </c>
      <c r="BY203" s="1223">
        <f t="shared" ref="BY203" si="1437">+BY202-BU202</f>
        <v>-2.515146313216364E-2</v>
      </c>
      <c r="BZ203" s="1223">
        <f t="shared" ref="BZ203" si="1438">+BZ202-BV202</f>
        <v>1.325230861282134E-2</v>
      </c>
      <c r="CA203" s="1223">
        <f t="shared" ref="CA203" si="1439">+CA202-BW202</f>
        <v>-5.9434744613168292E-2</v>
      </c>
      <c r="CB203" s="1223">
        <f t="shared" ref="CB203" si="1440">+CB202-BX202</f>
        <v>-5.2310910412417588E-2</v>
      </c>
      <c r="CC203" s="1223">
        <f t="shared" ref="CC203:CE203" si="1441">+CC202-BY202</f>
        <v>-2.2029757839780749E-2</v>
      </c>
      <c r="CD203" s="1223">
        <f t="shared" si="1441"/>
        <v>-1.4426859246041202E-2</v>
      </c>
      <c r="CE203" s="1223">
        <f t="shared" si="1441"/>
        <v>3.2012336301371014E-2</v>
      </c>
      <c r="CF203" s="1223">
        <f t="shared" ref="CF203" si="1442">+CF202-CB202</f>
        <v>3.5912371623199907E-2</v>
      </c>
      <c r="CG203" s="1223">
        <f t="shared" ref="CG203:CH203" si="1443">+CG202-CC202</f>
        <v>5.1527077104133158E-2</v>
      </c>
      <c r="CH203" s="1223">
        <f t="shared" si="1443"/>
        <v>2.2837477629799513E-2</v>
      </c>
      <c r="CI203" s="1223">
        <f t="shared" ref="CI203:CJ203" si="1444">+CI202-CE202</f>
        <v>6.8638559811631278E-2</v>
      </c>
      <c r="CJ203" s="1223">
        <f t="shared" si="1444"/>
        <v>4.3183176806541906E-2</v>
      </c>
      <c r="CK203" s="1223">
        <f t="shared" ref="CK203" si="1445">+CK202-CG202</f>
        <v>1.8533055595806036E-3</v>
      </c>
      <c r="CL203" s="1164">
        <f t="shared" ref="CL203" si="1446">+CL202-CH202</f>
        <v>-3.2229917517942464E-4</v>
      </c>
      <c r="CM203" s="1164">
        <f t="shared" ref="CM203" si="1447">+CM202-CI202</f>
        <v>-2.8316102176203103E-2</v>
      </c>
      <c r="CN203" s="1164">
        <f t="shared" ref="CN203" si="1448">+CN202-CJ202</f>
        <v>-3.2862153269663658E-2</v>
      </c>
      <c r="CO203" s="1164">
        <f t="shared" ref="CO203" si="1449">+CO202-CK202</f>
        <v>-8.2813182189259843E-3</v>
      </c>
      <c r="CP203" s="1164">
        <f t="shared" ref="CP203" si="1450">+CP202-CL202</f>
        <v>4.1015485224987214E-3</v>
      </c>
      <c r="CQ203" s="1164"/>
      <c r="CR203" s="1164"/>
      <c r="CS203" s="556"/>
      <c r="CT203" s="1164">
        <v>-3.2229917517942464E-4</v>
      </c>
      <c r="CU203" s="1110"/>
      <c r="CV203" s="118">
        <v>5.9298346410792992E-2</v>
      </c>
      <c r="CW203" s="118">
        <v>0.12627856600960963</v>
      </c>
      <c r="CX203" s="118">
        <v>0.12981064994468527</v>
      </c>
      <c r="CY203" s="118">
        <v>0.1325132487354598</v>
      </c>
      <c r="CZ203" s="118">
        <v>0.12498677283215308</v>
      </c>
      <c r="DA203" s="118">
        <v>0.15312731106586994</v>
      </c>
      <c r="DB203" s="118">
        <v>0.18343765833205516</v>
      </c>
      <c r="DC203" s="118">
        <v>0.18390652336761421</v>
      </c>
      <c r="DD203" s="118">
        <v>0.18489644552192513</v>
      </c>
      <c r="DE203" s="118">
        <v>0.19142697366042602</v>
      </c>
      <c r="DF203" s="118"/>
      <c r="DG203" s="1240">
        <f t="shared" ref="DG203" si="1451">+DG202-DF202</f>
        <v>0.19850788588748483</v>
      </c>
      <c r="DH203" s="1240">
        <f t="shared" ref="DH203" si="1452">+DH202-DG202</f>
        <v>-2.0073387346943583E-3</v>
      </c>
      <c r="DI203" s="1240">
        <f t="shared" ref="DI203" si="1453">+DI202-DH202</f>
        <v>1.7489872228161063E-3</v>
      </c>
      <c r="DJ203" s="1240">
        <f t="shared" ref="DJ203" si="1454">+DJ202-DI202</f>
        <v>1.2194822330187649E-2</v>
      </c>
      <c r="DK203" s="1240">
        <f t="shared" ref="DK203" si="1455">+DK202-DJ202</f>
        <v>-6.7399543407372364E-3</v>
      </c>
      <c r="DL203" s="1240">
        <f t="shared" ref="DL203" si="1456">+DL202-DK202</f>
        <v>-4.5762495008459442E-2</v>
      </c>
      <c r="DM203" s="1240">
        <f t="shared" ref="DM203" si="1457">+DM202-DL202</f>
        <v>-5.3109921878905245E-2</v>
      </c>
      <c r="DN203" s="1240">
        <f t="shared" ref="DN203" si="1458">+DN202-DM202</f>
        <v>1.8956486452030075E-2</v>
      </c>
      <c r="DO203" s="1240">
        <f t="shared" ref="DO203" si="1459">+DO202-DN202</f>
        <v>-3.51044898311514E-2</v>
      </c>
      <c r="DP203" s="1240">
        <f t="shared" ref="DP203:DR203" si="1460">+DP202-DO202</f>
        <v>3.4955651310557057E-2</v>
      </c>
      <c r="DQ203" s="1240">
        <f t="shared" si="1460"/>
        <v>2.4854237553923492E-2</v>
      </c>
      <c r="DR203" s="1240">
        <f t="shared" si="1460"/>
        <v>-1.4784546292659628E-2</v>
      </c>
      <c r="DS203" s="401">
        <f t="shared" ref="DS203" si="1461">+DS202-DR202</f>
        <v>2.2473155276993728E-2</v>
      </c>
      <c r="DT203" s="401">
        <f t="shared" ref="DT203" si="1462">+DT202-DS202</f>
        <v>4.484663742899242E-3</v>
      </c>
      <c r="DU203" s="401">
        <f t="shared" ref="DU203" si="1463">+DU202-DT202</f>
        <v>3.6530931084304274E-3</v>
      </c>
      <c r="DV203" s="401">
        <f t="shared" ref="DV203" si="1464">+DV202-DU202</f>
        <v>3.122854168854744E-3</v>
      </c>
      <c r="DY203" s="401">
        <v>-1.0367568443006542E-2</v>
      </c>
      <c r="DZ203" s="401">
        <v>1.8686247750923396E-2</v>
      </c>
    </row>
    <row r="204" spans="1:130">
      <c r="A204" s="207"/>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361"/>
      <c r="BV204" s="361"/>
      <c r="BW204" s="361"/>
      <c r="BX204" s="361"/>
      <c r="BY204" s="361"/>
      <c r="BZ204" s="361"/>
      <c r="CA204" s="361"/>
      <c r="CB204" s="361"/>
      <c r="CC204" s="361"/>
      <c r="CD204" s="361"/>
      <c r="CE204" s="361"/>
      <c r="CF204" s="361"/>
      <c r="CG204" s="361"/>
      <c r="CH204" s="361"/>
      <c r="CI204" s="361"/>
      <c r="CJ204" s="361"/>
      <c r="CK204" s="361"/>
      <c r="CL204" s="192"/>
      <c r="CM204" s="192"/>
      <c r="CN204" s="192"/>
      <c r="CO204" s="192"/>
      <c r="CP204" s="192"/>
      <c r="CQ204" s="192"/>
      <c r="CR204" s="192"/>
      <c r="CS204" s="192"/>
      <c r="CT204" s="192"/>
      <c r="CU204" s="694"/>
      <c r="CV204" s="8"/>
      <c r="CW204" s="8"/>
      <c r="CX204" s="8"/>
      <c r="CY204" s="8"/>
      <c r="CZ204" s="8"/>
      <c r="DA204" s="8"/>
      <c r="DB204" s="8"/>
      <c r="DC204" s="8"/>
      <c r="DD204" s="8"/>
      <c r="DE204" s="8"/>
      <c r="DF204" s="8"/>
      <c r="DG204" s="8"/>
      <c r="DH204" s="8"/>
      <c r="DI204" s="8"/>
      <c r="DJ204" s="8"/>
      <c r="DK204" s="8"/>
      <c r="DL204" s="8"/>
      <c r="DM204" s="8"/>
      <c r="DN204" s="8"/>
      <c r="DO204" s="8"/>
      <c r="DP204" s="8"/>
      <c r="DQ204" s="8"/>
      <c r="DR204" s="8"/>
      <c r="DS204" s="8"/>
      <c r="DT204" s="8"/>
      <c r="DU204" s="8"/>
      <c r="DV204" s="8"/>
      <c r="DY204" s="8"/>
      <c r="DZ204" s="8"/>
    </row>
    <row r="205" spans="1:130" s="668" customFormat="1">
      <c r="A205" s="1304" t="s">
        <v>254</v>
      </c>
      <c r="B205" s="1305"/>
      <c r="C205" s="1305"/>
      <c r="D205" s="1305"/>
      <c r="E205" s="1305"/>
      <c r="F205" s="1305"/>
      <c r="G205" s="1305"/>
      <c r="H205" s="1305"/>
      <c r="I205" s="1305"/>
      <c r="J205" s="1305"/>
      <c r="K205" s="1305"/>
      <c r="L205" s="1305"/>
      <c r="M205" s="1305"/>
      <c r="N205" s="1305">
        <v>65831</v>
      </c>
      <c r="O205" s="1305">
        <v>22960</v>
      </c>
      <c r="P205" s="1305">
        <v>62440</v>
      </c>
      <c r="Q205" s="1305">
        <v>49819</v>
      </c>
      <c r="R205" s="1305">
        <v>96097</v>
      </c>
      <c r="S205" s="1305">
        <v>35942</v>
      </c>
      <c r="T205" s="1305">
        <v>69215</v>
      </c>
      <c r="U205" s="1305">
        <v>34717</v>
      </c>
      <c r="V205" s="1305">
        <v>78769</v>
      </c>
      <c r="W205" s="1305">
        <v>18095</v>
      </c>
      <c r="X205" s="1305">
        <v>84275</v>
      </c>
      <c r="Y205" s="1305">
        <v>48970</v>
      </c>
      <c r="Z205" s="1305">
        <v>136650</v>
      </c>
      <c r="AA205" s="1305">
        <v>46412</v>
      </c>
      <c r="AB205" s="1305">
        <v>127356</v>
      </c>
      <c r="AC205" s="1305">
        <v>64415</v>
      </c>
      <c r="AD205" s="1305">
        <v>145472</v>
      </c>
      <c r="AE205" s="1305">
        <v>46726</v>
      </c>
      <c r="AF205" s="1305">
        <v>147472</v>
      </c>
      <c r="AG205" s="1305">
        <v>71093</v>
      </c>
      <c r="AH205" s="1305">
        <v>201494</v>
      </c>
      <c r="AI205" s="1305">
        <v>42547</v>
      </c>
      <c r="AJ205" s="1305">
        <v>158154</v>
      </c>
      <c r="AK205" s="1305">
        <v>105083</v>
      </c>
      <c r="AL205" s="1305">
        <v>259520</v>
      </c>
      <c r="AM205" s="1305">
        <v>42381</v>
      </c>
      <c r="AN205" s="1305">
        <v>160205</v>
      </c>
      <c r="AO205" s="1305">
        <v>109634</v>
      </c>
      <c r="AP205" s="1305">
        <v>350534</v>
      </c>
      <c r="AQ205" s="1306"/>
      <c r="AR205" s="1306"/>
      <c r="AS205" s="1306"/>
      <c r="AT205" s="1306"/>
      <c r="AU205" s="1306"/>
      <c r="AV205" s="1306"/>
      <c r="AW205" s="1306"/>
      <c r="AX205" s="1306"/>
      <c r="AY205" s="1306"/>
      <c r="AZ205" s="1306"/>
      <c r="BA205" s="1306"/>
      <c r="BB205" s="1306"/>
      <c r="BC205" s="1306"/>
      <c r="BD205" s="1306"/>
      <c r="BE205" s="1306"/>
      <c r="BF205" s="1306"/>
      <c r="BG205" s="1306"/>
      <c r="BH205" s="1306"/>
      <c r="BI205" s="1306"/>
      <c r="BJ205" s="1306"/>
      <c r="BK205" s="1583">
        <v>209061.01402999996</v>
      </c>
      <c r="BL205" s="1583">
        <v>343284.73408999993</v>
      </c>
      <c r="BM205" s="1583">
        <v>251550.05848999997</v>
      </c>
      <c r="BN205" s="1583">
        <v>757897.34762257</v>
      </c>
      <c r="BO205" s="1583">
        <v>84364.875729999985</v>
      </c>
      <c r="BP205" s="1583">
        <v>454187.72283999994</v>
      </c>
      <c r="BQ205" s="1583">
        <v>12908.010860000002</v>
      </c>
      <c r="BR205" s="1583">
        <v>557062.61280000012</v>
      </c>
      <c r="BS205" s="1583">
        <v>-171289</v>
      </c>
      <c r="BT205" s="1583">
        <v>278428</v>
      </c>
      <c r="BU205" s="1583">
        <v>203665</v>
      </c>
      <c r="BV205" s="1583">
        <v>551335</v>
      </c>
      <c r="BW205" s="1583">
        <v>130662.08999999997</v>
      </c>
      <c r="BX205" s="1583">
        <v>507483</v>
      </c>
      <c r="BY205" s="1583">
        <v>262598</v>
      </c>
      <c r="BZ205" s="1583">
        <v>772221.78</v>
      </c>
      <c r="CA205" s="1583">
        <v>95146</v>
      </c>
      <c r="CB205" s="1583">
        <v>377560.90905999998</v>
      </c>
      <c r="CC205" s="1583">
        <v>230333.55010999998</v>
      </c>
      <c r="CD205" s="1583">
        <v>823246.72993999987</v>
      </c>
      <c r="CE205" s="1583">
        <v>185160</v>
      </c>
      <c r="CF205" s="1583">
        <v>457602</v>
      </c>
      <c r="CG205" s="1583">
        <v>345803</v>
      </c>
      <c r="CH205" s="1583">
        <v>780714</v>
      </c>
      <c r="CI205" s="1583">
        <v>214044.46090000015</v>
      </c>
      <c r="CJ205" s="1583">
        <v>594361.16562999994</v>
      </c>
      <c r="CK205" s="1583">
        <v>338900.02885000006</v>
      </c>
      <c r="CL205" s="1306">
        <f t="shared" ref="CL205:CP205" si="1465">+CL195-CL214</f>
        <v>818014.01451125625</v>
      </c>
      <c r="CM205" s="1306">
        <f t="shared" si="1465"/>
        <v>219224.7222316447</v>
      </c>
      <c r="CN205" s="1306">
        <f t="shared" si="1465"/>
        <v>636506.7437847401</v>
      </c>
      <c r="CO205" s="1306">
        <f t="shared" si="1465"/>
        <v>367689.49290941976</v>
      </c>
      <c r="CP205" s="1306">
        <f t="shared" si="1465"/>
        <v>903943.45954127877</v>
      </c>
      <c r="CQ205" s="1306"/>
      <c r="CR205" s="1307"/>
      <c r="CS205" s="1307"/>
      <c r="CT205" s="1306">
        <v>818014.01451125625</v>
      </c>
      <c r="CU205" s="1308"/>
      <c r="CV205" s="1305">
        <v>77871</v>
      </c>
      <c r="CW205" s="1305">
        <v>193587</v>
      </c>
      <c r="CX205" s="1305">
        <v>155724</v>
      </c>
      <c r="CY205" s="1305">
        <v>176869</v>
      </c>
      <c r="CZ205" s="1305">
        <v>156988</v>
      </c>
      <c r="DA205" s="1305">
        <v>255859</v>
      </c>
      <c r="DB205" s="1305">
        <v>383655</v>
      </c>
      <c r="DC205" s="1305">
        <v>463163</v>
      </c>
      <c r="DD205" s="1305">
        <v>559467</v>
      </c>
      <c r="DE205" s="1305">
        <v>662754</v>
      </c>
      <c r="DF205" s="1306">
        <f t="shared" ref="DF205:DV205" si="1466">+DF195-DF214</f>
        <v>835906.25600000005</v>
      </c>
      <c r="DG205" s="1306">
        <f t="shared" si="1466"/>
        <v>1038802.5778400002</v>
      </c>
      <c r="DH205" s="1306">
        <f t="shared" si="1466"/>
        <v>1087839</v>
      </c>
      <c r="DI205" s="1306">
        <f t="shared" si="1466"/>
        <v>1144236</v>
      </c>
      <c r="DJ205" s="1306">
        <f t="shared" si="1466"/>
        <v>1423887.1287299995</v>
      </c>
      <c r="DK205" s="1306">
        <f t="shared" si="1466"/>
        <v>1561793.1542325697</v>
      </c>
      <c r="DL205" s="1306">
        <f t="shared" si="1466"/>
        <v>1108523.22223</v>
      </c>
      <c r="DM205" s="1306">
        <f t="shared" si="1466"/>
        <v>862139</v>
      </c>
      <c r="DN205" s="1306">
        <f t="shared" si="1466"/>
        <v>1672566.55</v>
      </c>
      <c r="DO205" s="1306">
        <f t="shared" si="1466"/>
        <v>1525463.0742600001</v>
      </c>
      <c r="DP205" s="1306">
        <f t="shared" si="1466"/>
        <v>1766731.9976700002</v>
      </c>
      <c r="DQ205" s="1306">
        <f t="shared" ref="DQ205:DR205" si="1467">+DQ195-DQ214</f>
        <v>1964398.6698912561</v>
      </c>
      <c r="DR205" s="1306">
        <f t="shared" si="1467"/>
        <v>2127364.4184670835</v>
      </c>
      <c r="DS205" s="1306">
        <f t="shared" si="1466"/>
        <v>2523348.974876062</v>
      </c>
      <c r="DT205" s="1306">
        <f t="shared" si="1466"/>
        <v>2786227.0853836937</v>
      </c>
      <c r="DU205" s="1306">
        <f t="shared" si="1466"/>
        <v>3065240.0117036048</v>
      </c>
      <c r="DV205" s="1306">
        <f t="shared" si="1466"/>
        <v>3359709.7397856484</v>
      </c>
      <c r="DY205" s="1306">
        <v>2346718.363469949</v>
      </c>
      <c r="DZ205" s="1306">
        <v>2851037.9709341214</v>
      </c>
    </row>
    <row r="206" spans="1:130" s="359" customFormat="1">
      <c r="A206" s="1329" t="s">
        <v>240</v>
      </c>
      <c r="B206" s="643"/>
      <c r="C206" s="641"/>
      <c r="D206" s="641"/>
      <c r="E206" s="641"/>
      <c r="F206" s="641"/>
      <c r="G206" s="641"/>
      <c r="H206" s="641"/>
      <c r="I206" s="641"/>
      <c r="J206" s="641"/>
      <c r="K206" s="641"/>
      <c r="L206" s="641"/>
      <c r="M206" s="641"/>
      <c r="N206" s="121">
        <v>0.12987517731056131</v>
      </c>
      <c r="O206" s="121">
        <v>7.3994579316968151E-2</v>
      </c>
      <c r="P206" s="121">
        <v>0.14051827930370986</v>
      </c>
      <c r="Q206" s="121">
        <v>0.12600984424243344</v>
      </c>
      <c r="R206" s="121">
        <v>0.15970331814359456</v>
      </c>
      <c r="S206" s="121">
        <v>9.3749592444109409E-2</v>
      </c>
      <c r="T206" s="121">
        <v>0.13575667946791775</v>
      </c>
      <c r="U206" s="121">
        <v>7.7314858117648114E-2</v>
      </c>
      <c r="V206" s="121">
        <v>0.12833885668292716</v>
      </c>
      <c r="W206" s="121">
        <v>4.9896732101839522E-2</v>
      </c>
      <c r="X206" s="121">
        <v>0.15192020651413657</v>
      </c>
      <c r="Y206" s="121">
        <v>0.10061019456372115</v>
      </c>
      <c r="Z206" s="121">
        <v>0.19196244194769183</v>
      </c>
      <c r="AA206" s="121">
        <v>0.1054228772095601</v>
      </c>
      <c r="AB206" s="121">
        <v>0.20215591065875754</v>
      </c>
      <c r="AC206" s="121">
        <v>0.11325913422653586</v>
      </c>
      <c r="AD206" s="121">
        <v>0.17660605869305787</v>
      </c>
      <c r="AE206" s="121">
        <v>9.0255685165547314E-2</v>
      </c>
      <c r="AF206" s="121">
        <v>0.19672034928160095</v>
      </c>
      <c r="AG206" s="121">
        <v>0.10819600776774681</v>
      </c>
      <c r="AH206" s="121">
        <v>0.20725997243308852</v>
      </c>
      <c r="AI206" s="121">
        <v>6.8712966267710382E-2</v>
      </c>
      <c r="AJ206" s="121">
        <v>0.18493888342538142</v>
      </c>
      <c r="AK206" s="121">
        <v>0.13082065582750294</v>
      </c>
      <c r="AL206" s="121">
        <v>0.21912774458513323</v>
      </c>
      <c r="AM206" s="121">
        <v>5.83173141093472E-2</v>
      </c>
      <c r="AN206" s="121">
        <v>0.16913481059498334</v>
      </c>
      <c r="AO206" s="121">
        <v>0.12088634253592938</v>
      </c>
      <c r="AP206" s="121">
        <v>0.26297531647753786</v>
      </c>
      <c r="AQ206" s="733"/>
      <c r="AR206" s="733"/>
      <c r="AS206" s="733"/>
      <c r="AT206" s="733"/>
      <c r="AU206" s="733"/>
      <c r="AV206" s="733"/>
      <c r="AW206" s="733"/>
      <c r="AX206" s="733"/>
      <c r="AY206" s="733"/>
      <c r="AZ206" s="733"/>
      <c r="BA206" s="733"/>
      <c r="BB206" s="733"/>
      <c r="BC206" s="733"/>
      <c r="BD206" s="733"/>
      <c r="BE206" s="733"/>
      <c r="BF206" s="733"/>
      <c r="BG206" s="733"/>
      <c r="BH206" s="733"/>
      <c r="BI206" s="733"/>
      <c r="BJ206" s="733"/>
      <c r="BK206" s="733">
        <f>BK205/BK$30</f>
        <v>0.12667777189143792</v>
      </c>
      <c r="BL206" s="733">
        <f t="shared" ref="BL206:CC206" si="1468">BL205/BL$30</f>
        <v>0.16999561947910585</v>
      </c>
      <c r="BM206" s="733">
        <f t="shared" si="1468"/>
        <v>0.13020701564347251</v>
      </c>
      <c r="BN206" s="733">
        <f t="shared" si="1468"/>
        <v>0.26379465629394533</v>
      </c>
      <c r="BO206" s="733">
        <f t="shared" si="1468"/>
        <v>5.4422632036279651E-2</v>
      </c>
      <c r="BP206" s="733">
        <f t="shared" si="1468"/>
        <v>0.84165571392568317</v>
      </c>
      <c r="BQ206" s="733">
        <f t="shared" si="1468"/>
        <v>7.8173657413379526E-3</v>
      </c>
      <c r="BR206" s="733">
        <f t="shared" si="1468"/>
        <v>0.1908037493346596</v>
      </c>
      <c r="BS206" s="733">
        <f t="shared" si="1468"/>
        <v>-0.12554006583031435</v>
      </c>
      <c r="BT206" s="733">
        <f t="shared" si="1468"/>
        <v>0.12326788189609793</v>
      </c>
      <c r="BU206" s="733">
        <f t="shared" si="1468"/>
        <v>8.5864879408320494E-2</v>
      </c>
      <c r="BV206" s="733">
        <f t="shared" si="1468"/>
        <v>0.15484058717227345</v>
      </c>
      <c r="BW206" s="733">
        <f t="shared" si="1468"/>
        <v>5.8601668860568723E-2</v>
      </c>
      <c r="BX206" s="733">
        <f>BX205/BX$30</f>
        <v>0.15979966905403298</v>
      </c>
      <c r="BY206" s="733">
        <f t="shared" si="1468"/>
        <v>0.10039988208850167</v>
      </c>
      <c r="BZ206" s="733">
        <f t="shared" si="1468"/>
        <v>0.21722962678741015</v>
      </c>
      <c r="CA206" s="733">
        <f t="shared" si="1468"/>
        <v>4.1767358106829723E-2</v>
      </c>
      <c r="CB206" s="733">
        <f t="shared" si="1468"/>
        <v>0.12647318633546198</v>
      </c>
      <c r="CC206" s="733">
        <f t="shared" si="1468"/>
        <v>8.7376437104577737E-2</v>
      </c>
      <c r="CD206" s="733">
        <f t="shared" ref="CD206:CE206" si="1469">CD205/CD$30</f>
        <v>0.21624944868714455</v>
      </c>
      <c r="CE206" s="733">
        <f t="shared" si="1469"/>
        <v>7.5228660023012262E-2</v>
      </c>
      <c r="CF206" s="733">
        <f t="shared" ref="CF206:CH206" si="1470">CF205/CF$30</f>
        <v>0.14857579231688584</v>
      </c>
      <c r="CG206" s="733">
        <f t="shared" si="1470"/>
        <v>0.11698532317168885</v>
      </c>
      <c r="CH206" s="733">
        <f t="shared" si="1470"/>
        <v>0.18700726433662715</v>
      </c>
      <c r="CI206" s="733">
        <f t="shared" ref="CI206:CL206" si="1471">CI205/CI$30</f>
        <v>7.7641234493115358E-2</v>
      </c>
      <c r="CJ206" s="733">
        <f t="shared" si="1471"/>
        <v>0.16285344386847134</v>
      </c>
      <c r="CK206" s="733">
        <f t="shared" si="1471"/>
        <v>0.11006288713212646</v>
      </c>
      <c r="CL206" s="733">
        <f t="shared" si="1471"/>
        <v>0.18710225748104392</v>
      </c>
      <c r="CM206" s="733">
        <f t="shared" ref="CM206:CP206" si="1472">CM205/CM$30</f>
        <v>7.4672625453286665E-2</v>
      </c>
      <c r="CN206" s="733">
        <f t="shared" si="1472"/>
        <v>0.1652664607052354</v>
      </c>
      <c r="CO206" s="733">
        <f t="shared" si="1472"/>
        <v>0.11033678229143254</v>
      </c>
      <c r="CP206" s="733">
        <f t="shared" si="1472"/>
        <v>0.19065937018333001</v>
      </c>
      <c r="CQ206" s="733"/>
      <c r="CR206" s="733"/>
      <c r="CS206" s="644"/>
      <c r="CT206" s="733">
        <v>0.18710225748104392</v>
      </c>
      <c r="CU206" s="1103"/>
      <c r="CV206" s="121"/>
      <c r="CW206" s="121"/>
      <c r="CX206" s="121">
        <v>0.10843489268897978</v>
      </c>
      <c r="CY206" s="121">
        <v>0.10096830101476942</v>
      </c>
      <c r="CZ206" s="121">
        <v>8.0258852026639793E-2</v>
      </c>
      <c r="DA206" s="121">
        <v>0.12091812309159539</v>
      </c>
      <c r="DB206" s="121">
        <v>0.1557873442146861</v>
      </c>
      <c r="DC206" s="121">
        <v>0.15989796369280568</v>
      </c>
      <c r="DD206" s="121">
        <v>0.16160412020936116</v>
      </c>
      <c r="DE206" s="121">
        <v>0.16933746843865025</v>
      </c>
      <c r="DF206" s="733">
        <f t="shared" ref="DF206:DS206" si="1473">DF205/DF$30</f>
        <v>0.18005085413125199</v>
      </c>
      <c r="DG206" s="733">
        <f t="shared" si="1473"/>
        <v>0.19057618475790578</v>
      </c>
      <c r="DH206" s="733">
        <f t="shared" si="1473"/>
        <v>0.19012321038394145</v>
      </c>
      <c r="DI206" s="733">
        <f t="shared" si="1473"/>
        <v>0.17336717336308249</v>
      </c>
      <c r="DJ206" s="733">
        <f t="shared" si="1473"/>
        <v>0.19022107722158485</v>
      </c>
      <c r="DK206" s="733">
        <f t="shared" si="1473"/>
        <v>0.18428905380201616</v>
      </c>
      <c r="DL206" s="733">
        <f t="shared" si="1473"/>
        <v>0.16643065920774661</v>
      </c>
      <c r="DM206" s="733">
        <f t="shared" si="1473"/>
        <v>9.0222235713382865E-2</v>
      </c>
      <c r="DN206" s="733">
        <f t="shared" si="1473"/>
        <v>0.14448826624866803</v>
      </c>
      <c r="DO206" s="733">
        <f t="shared" si="1473"/>
        <v>0.13031084645243518</v>
      </c>
      <c r="DP206" s="733">
        <f t="shared" ref="DP206:DQ206" si="1474">DP205/DP$30</f>
        <v>0.13942068881821662</v>
      </c>
      <c r="DQ206" s="733">
        <f t="shared" si="1474"/>
        <v>0.14175529795895758</v>
      </c>
      <c r="DR206" s="733">
        <f t="shared" ref="DR206" si="1475">DR205/DR$30</f>
        <v>0.14315293816449515</v>
      </c>
      <c r="DS206" s="733">
        <f t="shared" si="1473"/>
        <v>0.15644563174199058</v>
      </c>
      <c r="DT206" s="733">
        <f t="shared" ref="DT206:DV206" si="1476">DT205/DT$30</f>
        <v>0.16040104193496021</v>
      </c>
      <c r="DU206" s="733">
        <f t="shared" si="1476"/>
        <v>0.16395752577336567</v>
      </c>
      <c r="DV206" s="733">
        <f t="shared" si="1476"/>
        <v>0.16707189571013245</v>
      </c>
      <c r="DY206" s="733">
        <v>0.15360462252464807</v>
      </c>
      <c r="DZ206" s="733">
        <v>0.17141332774314938</v>
      </c>
    </row>
    <row r="207" spans="1:130">
      <c r="A207" s="1330" t="s">
        <v>169</v>
      </c>
      <c r="B207" s="8"/>
      <c r="C207" s="8"/>
      <c r="D207" s="8"/>
      <c r="E207" s="8"/>
      <c r="F207" s="8"/>
      <c r="G207" s="8"/>
      <c r="H207" s="8"/>
      <c r="I207" s="8"/>
      <c r="J207" s="8"/>
      <c r="K207" s="8"/>
      <c r="L207" s="8"/>
      <c r="M207" s="8"/>
      <c r="N207" s="8"/>
      <c r="O207" s="8"/>
      <c r="P207" s="8"/>
      <c r="Q207" s="8"/>
      <c r="R207" s="8">
        <v>0.45975300390393592</v>
      </c>
      <c r="S207" s="8">
        <v>0.56541811846689893</v>
      </c>
      <c r="T207" s="8">
        <v>0.10850416399743756</v>
      </c>
      <c r="U207" s="8">
        <v>-0.30313735723318413</v>
      </c>
      <c r="V207" s="8">
        <v>-0.18031780388565721</v>
      </c>
      <c r="W207" s="8">
        <v>-0.49654999721773974</v>
      </c>
      <c r="X207" s="8">
        <v>0.21758289388138419</v>
      </c>
      <c r="Y207" s="8">
        <v>0.41054814644122484</v>
      </c>
      <c r="Z207" s="8">
        <v>0.73481953560410829</v>
      </c>
      <c r="AA207" s="8">
        <v>1.5649074329925394</v>
      </c>
      <c r="AB207" s="8">
        <v>0.5111954909522396</v>
      </c>
      <c r="AC207" s="8">
        <v>0.3153971819481316</v>
      </c>
      <c r="AD207" s="8">
        <v>6.4559092572264998E-2</v>
      </c>
      <c r="AE207" s="8">
        <v>6.7654916831854095E-3</v>
      </c>
      <c r="AF207" s="8">
        <v>0.15795094067024729</v>
      </c>
      <c r="AG207" s="8">
        <v>0.10367150508421941</v>
      </c>
      <c r="AH207" s="8">
        <v>0.3851050373955125</v>
      </c>
      <c r="AI207" s="8">
        <v>-8.9436288147926257E-2</v>
      </c>
      <c r="AJ207" s="8">
        <v>7.2434089183031292E-2</v>
      </c>
      <c r="AK207" s="8">
        <v>0.47810614265820828</v>
      </c>
      <c r="AL207" s="8">
        <v>0.28797879837613038</v>
      </c>
      <c r="AM207" s="8">
        <v>-3.9015676780971287E-3</v>
      </c>
      <c r="AN207" s="8">
        <v>1.2968372598859412E-2</v>
      </c>
      <c r="AO207" s="8">
        <v>4.3308622707764366E-2</v>
      </c>
      <c r="AP207" s="8">
        <v>0.35070129469790379</v>
      </c>
      <c r="AQ207" s="8"/>
      <c r="AR207" s="8"/>
      <c r="AS207" s="8"/>
      <c r="AT207" s="8"/>
      <c r="AU207" s="8"/>
      <c r="AV207" s="8"/>
      <c r="AW207" s="8"/>
      <c r="AX207" s="8"/>
      <c r="AY207" s="8"/>
      <c r="AZ207" s="8"/>
      <c r="BA207" s="8"/>
      <c r="BB207" s="8"/>
      <c r="BC207" s="8"/>
      <c r="BD207" s="8"/>
      <c r="BE207" s="8"/>
      <c r="BF207" s="8"/>
      <c r="BG207" s="8"/>
      <c r="BH207" s="8"/>
      <c r="BI207" s="8"/>
      <c r="BJ207" s="8"/>
      <c r="BK207" s="8" t="e">
        <f t="shared" ref="BK207:CE207" si="1477">BK205/BG205-1</f>
        <v>#DIV/0!</v>
      </c>
      <c r="BL207" s="8" t="e">
        <f t="shared" si="1477"/>
        <v>#DIV/0!</v>
      </c>
      <c r="BM207" s="116" t="e">
        <f t="shared" si="1477"/>
        <v>#DIV/0!</v>
      </c>
      <c r="BN207" s="116" t="e">
        <f t="shared" si="1477"/>
        <v>#DIV/0!</v>
      </c>
      <c r="BO207" s="116">
        <f t="shared" si="1477"/>
        <v>-0.59645811476886001</v>
      </c>
      <c r="BP207" s="116">
        <f t="shared" si="1477"/>
        <v>0.32306414395032279</v>
      </c>
      <c r="BQ207" s="116">
        <f t="shared" si="1477"/>
        <v>-0.94868611465453845</v>
      </c>
      <c r="BR207" s="116">
        <f t="shared" si="1477"/>
        <v>-0.26498936228311598</v>
      </c>
      <c r="BS207" s="116">
        <f t="shared" si="1477"/>
        <v>-3.0303354745426354</v>
      </c>
      <c r="BT207" s="116">
        <f t="shared" si="1477"/>
        <v>-0.38697594408978797</v>
      </c>
      <c r="BU207" s="116">
        <f t="shared" si="1477"/>
        <v>14.778186291361701</v>
      </c>
      <c r="BV207" s="116">
        <f t="shared" si="1477"/>
        <v>-1.0281811538582764E-2</v>
      </c>
      <c r="BW207" s="116">
        <f t="shared" si="1477"/>
        <v>-1.7628165848361539</v>
      </c>
      <c r="BX207" s="116">
        <f t="shared" si="1477"/>
        <v>0.82267228870659559</v>
      </c>
      <c r="BY207" s="116">
        <f t="shared" si="1477"/>
        <v>0.28936243340780199</v>
      </c>
      <c r="BZ207" s="116">
        <f t="shared" si="1477"/>
        <v>0.40063986505482152</v>
      </c>
      <c r="CA207" s="116">
        <f t="shared" si="1477"/>
        <v>-0.27181633173019026</v>
      </c>
      <c r="CB207" s="116">
        <f t="shared" si="1477"/>
        <v>-0.25601269587355635</v>
      </c>
      <c r="CC207" s="116">
        <f t="shared" si="1477"/>
        <v>-0.12286631996435626</v>
      </c>
      <c r="CD207" s="116">
        <f t="shared" si="1477"/>
        <v>6.6075512581372564E-2</v>
      </c>
      <c r="CE207" s="116">
        <f t="shared" si="1477"/>
        <v>0.9460618418010216</v>
      </c>
      <c r="CF207" s="116">
        <f t="shared" ref="CF207" si="1478">CF205/CB205-1</f>
        <v>0.21199517486933561</v>
      </c>
      <c r="CG207" s="116">
        <f t="shared" ref="CG207:CH207" si="1479">CG205/CC205-1</f>
        <v>0.50131407185299537</v>
      </c>
      <c r="CH207" s="116">
        <f t="shared" si="1479"/>
        <v>-5.1664620572619557E-2</v>
      </c>
      <c r="CI207" s="116">
        <f t="shared" ref="CI207" si="1480">CI205/CE205-1</f>
        <v>0.15599730449341198</v>
      </c>
      <c r="CJ207" s="116">
        <f t="shared" ref="CJ207" si="1481">CJ205/CF205-1</f>
        <v>0.29886050679411347</v>
      </c>
      <c r="CK207" s="116">
        <f t="shared" ref="CK207" si="1482">CK205/CG205-1</f>
        <v>-1.9962149402983576E-2</v>
      </c>
      <c r="CL207" s="192">
        <f t="shared" ref="CL207" si="1483">CL205/CH205-1</f>
        <v>4.7776797279485583E-2</v>
      </c>
      <c r="CM207" s="192">
        <f t="shared" ref="CM207" si="1484">CM205/CI205-1</f>
        <v>2.4201800457077649E-2</v>
      </c>
      <c r="CN207" s="192">
        <f t="shared" ref="CN207" si="1485">CN205/CJ205-1</f>
        <v>7.0909037453797064E-2</v>
      </c>
      <c r="CO207" s="192">
        <f t="shared" ref="CO207" si="1486">CO205/CK205-1</f>
        <v>8.4949724427914264E-2</v>
      </c>
      <c r="CP207" s="192">
        <f t="shared" ref="CP207" si="1487">CP205/CL205-1</f>
        <v>0.10504642158406452</v>
      </c>
      <c r="CQ207" s="192"/>
      <c r="CR207" s="192"/>
      <c r="CS207" s="192"/>
      <c r="CT207" s="192">
        <v>4.7776797279485583E-2</v>
      </c>
      <c r="CU207" s="694"/>
      <c r="CV207" s="8"/>
      <c r="CW207" s="8">
        <v>1.485996070424163</v>
      </c>
      <c r="CX207" s="8">
        <v>-0.19558648049714078</v>
      </c>
      <c r="CY207" s="8">
        <v>0.13578510698415136</v>
      </c>
      <c r="CZ207" s="8">
        <v>-0.1124052264670462</v>
      </c>
      <c r="DA207" s="8">
        <v>0.62979972991566235</v>
      </c>
      <c r="DB207" s="8">
        <v>0.49947822824289934</v>
      </c>
      <c r="DC207" s="8">
        <v>0.2072382739701033</v>
      </c>
      <c r="DD207" s="8">
        <v>0.20792679898869304</v>
      </c>
      <c r="DE207" s="8">
        <v>0.184616787049102</v>
      </c>
      <c r="DF207" s="192">
        <f t="shared" ref="DF207:DK207" si="1488">DF205/DE205-1</f>
        <v>0.2612617290880177</v>
      </c>
      <c r="DG207" s="192">
        <f t="shared" si="1488"/>
        <v>0.24272616741846709</v>
      </c>
      <c r="DH207" s="192">
        <f t="shared" si="1488"/>
        <v>4.7204755943099475E-2</v>
      </c>
      <c r="DI207" s="192">
        <f t="shared" si="1488"/>
        <v>5.1843149583715942E-2</v>
      </c>
      <c r="DJ207" s="192">
        <f t="shared" si="1488"/>
        <v>0.24439986919656387</v>
      </c>
      <c r="DK207" s="192">
        <f t="shared" si="1488"/>
        <v>9.6851795848152733E-2</v>
      </c>
      <c r="DL207" s="192">
        <f>DL205/DK205-1</f>
        <v>-0.29022404841138938</v>
      </c>
      <c r="DM207" s="192">
        <f>DM205/DL205-1</f>
        <v>-0.22226347386241707</v>
      </c>
      <c r="DN207" s="192">
        <f t="shared" ref="DN207:DS207" si="1489">DN205/DM205-1</f>
        <v>0.94001959080844277</v>
      </c>
      <c r="DO207" s="192">
        <f t="shared" si="1489"/>
        <v>-8.7950745959854304E-2</v>
      </c>
      <c r="DP207" s="192">
        <f t="shared" si="1489"/>
        <v>0.15816110365505853</v>
      </c>
      <c r="DQ207" s="192">
        <f t="shared" si="1489"/>
        <v>0.11188265819713594</v>
      </c>
      <c r="DR207" s="192">
        <f t="shared" si="1489"/>
        <v>8.2959610527963079E-2</v>
      </c>
      <c r="DS207" s="192">
        <f t="shared" si="1489"/>
        <v>0.18613856327178468</v>
      </c>
      <c r="DT207" s="192">
        <f t="shared" ref="DT207" si="1490">DT205/DS205-1</f>
        <v>0.1041782619546483</v>
      </c>
      <c r="DU207" s="192">
        <f t="shared" ref="DU207" si="1491">DU205/DT205-1</f>
        <v>0.1001400523968734</v>
      </c>
      <c r="DV207" s="192">
        <f t="shared" ref="DV207" si="1492">DV205/DU205-1</f>
        <v>9.6067429290270345E-2</v>
      </c>
      <c r="DY207" s="192">
        <v>0.14374782606341774</v>
      </c>
      <c r="DZ207" s="192">
        <v>0.21490418932013045</v>
      </c>
    </row>
    <row r="208" spans="1:130" s="359" customFormat="1">
      <c r="A208" s="1331" t="s">
        <v>231</v>
      </c>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c r="AA208" s="91"/>
      <c r="AB208" s="91"/>
      <c r="AC208" s="91"/>
      <c r="AD208" s="91"/>
      <c r="AE208" s="91"/>
      <c r="AF208" s="91"/>
      <c r="AG208" s="91"/>
      <c r="AH208" s="91"/>
      <c r="AI208" s="93"/>
      <c r="AJ208" s="93"/>
      <c r="AK208" s="93"/>
      <c r="AL208" s="93"/>
      <c r="AM208" s="93"/>
      <c r="AN208" s="93">
        <v>-9.4076869945851072E-3</v>
      </c>
      <c r="AO208" s="93">
        <v>-1.2192860385231347E-2</v>
      </c>
      <c r="AP208" s="93">
        <v>4.2488818238968801E-2</v>
      </c>
      <c r="AQ208" s="1164"/>
      <c r="AR208" s="1164"/>
      <c r="AS208" s="1164"/>
      <c r="AT208" s="1164"/>
      <c r="AU208" s="1164"/>
      <c r="AV208" s="1164"/>
      <c r="AW208" s="1164"/>
      <c r="AX208" s="1164"/>
      <c r="AY208" s="1164"/>
      <c r="AZ208" s="1164"/>
      <c r="BA208" s="1164"/>
      <c r="BB208" s="1164"/>
      <c r="BC208" s="1164"/>
      <c r="BD208" s="1164"/>
      <c r="BE208" s="1164"/>
      <c r="BF208" s="1164"/>
      <c r="BG208" s="1164"/>
      <c r="BH208" s="1164"/>
      <c r="BI208" s="1164"/>
      <c r="BJ208" s="1164"/>
      <c r="BK208" s="1164">
        <f t="shared" ref="BK208:CB208" si="1493">+BK206-BG206</f>
        <v>0.12667777189143792</v>
      </c>
      <c r="BL208" s="1164">
        <f t="shared" si="1493"/>
        <v>0.16999561947910585</v>
      </c>
      <c r="BM208" s="1223">
        <f t="shared" si="1493"/>
        <v>0.13020701564347251</v>
      </c>
      <c r="BN208" s="1223">
        <f t="shared" si="1493"/>
        <v>0.26379465629394533</v>
      </c>
      <c r="BO208" s="1223">
        <f t="shared" si="1493"/>
        <v>-7.2255139855158274E-2</v>
      </c>
      <c r="BP208" s="1223">
        <f t="shared" si="1493"/>
        <v>0.67166009444657737</v>
      </c>
      <c r="BQ208" s="1223">
        <f t="shared" si="1493"/>
        <v>-0.12238964990213455</v>
      </c>
      <c r="BR208" s="1223">
        <f t="shared" si="1493"/>
        <v>-7.2990906959285728E-2</v>
      </c>
      <c r="BS208" s="1223">
        <f t="shared" si="1493"/>
        <v>-0.179962697866594</v>
      </c>
      <c r="BT208" s="1223">
        <f t="shared" si="1493"/>
        <v>-0.71838783202958523</v>
      </c>
      <c r="BU208" s="1223">
        <f t="shared" si="1493"/>
        <v>7.8047513666982538E-2</v>
      </c>
      <c r="BV208" s="1223">
        <f t="shared" si="1493"/>
        <v>-3.5963162162386153E-2</v>
      </c>
      <c r="BW208" s="1223">
        <f t="shared" si="1493"/>
        <v>0.18414173469088307</v>
      </c>
      <c r="BX208" s="1223">
        <f t="shared" si="1493"/>
        <v>3.653178715793505E-2</v>
      </c>
      <c r="BY208" s="1223">
        <f t="shared" si="1493"/>
        <v>1.453500268018118E-2</v>
      </c>
      <c r="BZ208" s="1223">
        <f t="shared" si="1493"/>
        <v>6.2389039615136699E-2</v>
      </c>
      <c r="CA208" s="1223">
        <f t="shared" si="1493"/>
        <v>-1.6834310753739E-2</v>
      </c>
      <c r="CB208" s="1223">
        <f t="shared" si="1493"/>
        <v>-3.3326482718570999E-2</v>
      </c>
      <c r="CC208" s="1223">
        <f>+CC206-BY206</f>
        <v>-1.3023444983923937E-2</v>
      </c>
      <c r="CD208" s="1223">
        <f>+CD206-BZ206</f>
        <v>-9.8017810026559959E-4</v>
      </c>
      <c r="CE208" s="1223">
        <f>+CE206-CA206</f>
        <v>3.3461301916182538E-2</v>
      </c>
      <c r="CF208" s="1223">
        <f t="shared" ref="CF208" si="1494">+CF206-CB206</f>
        <v>2.2102605981423856E-2</v>
      </c>
      <c r="CG208" s="1223">
        <f t="shared" ref="CG208:CH208" si="1495">+CG206-CC206</f>
        <v>2.9608886067111109E-2</v>
      </c>
      <c r="CH208" s="1223">
        <f t="shared" si="1495"/>
        <v>-2.9242184350517397E-2</v>
      </c>
      <c r="CI208" s="1223">
        <f t="shared" ref="CI208" si="1496">+CI206-CE206</f>
        <v>2.412574470103096E-3</v>
      </c>
      <c r="CJ208" s="1223">
        <f t="shared" ref="CJ208" si="1497">+CJ206-CF206</f>
        <v>1.4277651551585502E-2</v>
      </c>
      <c r="CK208" s="1223">
        <f t="shared" ref="CK208" si="1498">+CK206-CG206</f>
        <v>-6.9224360395623852E-3</v>
      </c>
      <c r="CL208" s="1164">
        <f t="shared" ref="CL208" si="1499">+CL206-CH206</f>
        <v>9.4993144416771758E-5</v>
      </c>
      <c r="CM208" s="1164">
        <f t="shared" ref="CM208" si="1500">+CM206-CI206</f>
        <v>-2.968609039828693E-3</v>
      </c>
      <c r="CN208" s="1164">
        <f t="shared" ref="CN208" si="1501">+CN206-CJ206</f>
        <v>2.4130168367640648E-3</v>
      </c>
      <c r="CO208" s="1164">
        <f t="shared" ref="CO208" si="1502">+CO206-CK206</f>
        <v>2.7389515930607844E-4</v>
      </c>
      <c r="CP208" s="1164">
        <f t="shared" ref="CP208" si="1503">+CP206-CL206</f>
        <v>3.5571127022860916E-3</v>
      </c>
      <c r="CQ208" s="1164"/>
      <c r="CR208" s="1164"/>
      <c r="CS208" s="556"/>
      <c r="CT208" s="1164">
        <v>9.4993144416771758E-5</v>
      </c>
      <c r="CU208" s="1110"/>
      <c r="CV208" s="118">
        <v>5.9298346410792992E-2</v>
      </c>
      <c r="CW208" s="118">
        <v>0.12627856600960963</v>
      </c>
      <c r="CX208" s="118">
        <v>0.12981064994468527</v>
      </c>
      <c r="CY208" s="118">
        <v>0.1325132487354598</v>
      </c>
      <c r="CZ208" s="118">
        <v>0.12498677283215308</v>
      </c>
      <c r="DA208" s="118">
        <v>0.15312731106586994</v>
      </c>
      <c r="DB208" s="118">
        <v>0.18343765833205516</v>
      </c>
      <c r="DC208" s="118">
        <v>0.18390652336761421</v>
      </c>
      <c r="DD208" s="118">
        <v>0.18489644552192513</v>
      </c>
      <c r="DE208" s="118">
        <v>0.19142697366042602</v>
      </c>
      <c r="DF208" s="1164">
        <f t="shared" ref="DF208:DK208" si="1504">+DF206-DE206</f>
        <v>1.0713385692601746E-2</v>
      </c>
      <c r="DG208" s="1164">
        <f t="shared" si="1504"/>
        <v>1.0525330626653784E-2</v>
      </c>
      <c r="DH208" s="1164">
        <f t="shared" si="1504"/>
        <v>-4.529743739643266E-4</v>
      </c>
      <c r="DI208" s="1164">
        <f t="shared" si="1504"/>
        <v>-1.6756037020858955E-2</v>
      </c>
      <c r="DJ208" s="1164">
        <f t="shared" si="1504"/>
        <v>1.6853903858502356E-2</v>
      </c>
      <c r="DK208" s="1164">
        <f t="shared" si="1504"/>
        <v>-5.9320234195686938E-3</v>
      </c>
      <c r="DL208" s="1164">
        <f>+DL206-DK206</f>
        <v>-1.785839459426955E-2</v>
      </c>
      <c r="DM208" s="1164">
        <f>+DM206-DL206</f>
        <v>-7.6208423494363742E-2</v>
      </c>
      <c r="DN208" s="1164">
        <f t="shared" ref="DN208:DS208" si="1505">+DN206-DM206</f>
        <v>5.426603053528517E-2</v>
      </c>
      <c r="DO208" s="1164">
        <f t="shared" si="1505"/>
        <v>-1.4177419796232854E-2</v>
      </c>
      <c r="DP208" s="1164">
        <f t="shared" si="1505"/>
        <v>9.1098423657814398E-3</v>
      </c>
      <c r="DQ208" s="1164">
        <f t="shared" si="1505"/>
        <v>2.3346091407409619E-3</v>
      </c>
      <c r="DR208" s="1164">
        <f t="shared" si="1505"/>
        <v>1.3976402055375647E-3</v>
      </c>
      <c r="DS208" s="1164">
        <f t="shared" si="1505"/>
        <v>1.3292693577495435E-2</v>
      </c>
      <c r="DT208" s="1164">
        <f t="shared" ref="DT208" si="1506">+DT206-DS206</f>
        <v>3.9554101929696328E-3</v>
      </c>
      <c r="DU208" s="1164">
        <f t="shared" ref="DU208" si="1507">+DU206-DT206</f>
        <v>3.5564838384054553E-3</v>
      </c>
      <c r="DV208" s="1164">
        <f t="shared" ref="DV208" si="1508">+DV206-DU206</f>
        <v>3.114369936766781E-3</v>
      </c>
      <c r="DY208" s="1164">
        <v>7.3708958123467339E-3</v>
      </c>
      <c r="DZ208" s="1164">
        <v>1.7808705218501308E-2</v>
      </c>
    </row>
    <row r="209" spans="1:130">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c r="AI209" s="116"/>
      <c r="AJ209" s="116"/>
      <c r="AK209" s="116"/>
      <c r="AL209" s="116"/>
      <c r="AM209" s="116"/>
      <c r="AN209" s="116"/>
      <c r="AO209" s="116"/>
      <c r="AP209" s="116"/>
      <c r="AQ209" s="116"/>
      <c r="AR209" s="117"/>
      <c r="AS209" s="116"/>
      <c r="AT209" s="116"/>
      <c r="AU209" s="116"/>
      <c r="AV209" s="361"/>
      <c r="AW209" s="361"/>
      <c r="AX209" s="361"/>
      <c r="AY209" s="361"/>
      <c r="AZ209" s="361"/>
      <c r="BA209" s="361"/>
      <c r="BB209" s="361"/>
      <c r="BC209" s="361"/>
      <c r="BD209" s="361"/>
      <c r="BE209" s="361"/>
      <c r="BF209" s="361"/>
      <c r="BG209" s="361"/>
      <c r="BH209" s="361"/>
      <c r="BI209" s="361"/>
      <c r="BJ209" s="361"/>
      <c r="BK209" s="361"/>
      <c r="BL209" s="361"/>
      <c r="BM209" s="361"/>
      <c r="BN209" s="361"/>
      <c r="BO209" s="361"/>
      <c r="BP209" s="361"/>
      <c r="BQ209" s="361"/>
      <c r="BR209" s="361"/>
      <c r="BS209" s="361"/>
      <c r="BT209" s="361"/>
      <c r="BU209" s="361"/>
      <c r="BV209" s="361"/>
      <c r="BW209" s="361"/>
      <c r="BX209" s="361"/>
      <c r="BY209" s="361"/>
      <c r="BZ209" s="361"/>
      <c r="CA209" s="361"/>
      <c r="CB209" s="361"/>
      <c r="CC209" s="361"/>
      <c r="CD209" s="361"/>
      <c r="CE209" s="361"/>
      <c r="CF209" s="361"/>
      <c r="CG209" s="361"/>
      <c r="CH209" s="361"/>
      <c r="CI209" s="361"/>
      <c r="CJ209" s="361"/>
      <c r="CK209" s="361"/>
      <c r="CL209" s="192"/>
      <c r="CM209" s="192"/>
      <c r="CN209" s="192"/>
      <c r="CO209" s="192"/>
      <c r="CP209" s="192"/>
      <c r="CQ209" s="192"/>
      <c r="CR209" s="192"/>
      <c r="CS209" s="192"/>
      <c r="CT209" s="192"/>
      <c r="CU209" s="694"/>
      <c r="CV209" s="116"/>
      <c r="CW209" s="116"/>
      <c r="CX209" s="116"/>
      <c r="CY209" s="116"/>
      <c r="CZ209" s="116"/>
      <c r="DA209" s="116"/>
      <c r="DB209" s="116"/>
      <c r="DC209" s="116"/>
      <c r="DD209" s="115"/>
      <c r="DE209" s="115"/>
      <c r="DF209" s="192"/>
      <c r="DG209" s="192"/>
      <c r="DH209" s="192"/>
      <c r="DI209" s="192"/>
      <c r="DJ209" s="192"/>
      <c r="DK209" s="192"/>
      <c r="DL209" s="192"/>
      <c r="DM209" s="192"/>
      <c r="DN209" s="192"/>
      <c r="DO209" s="192"/>
      <c r="DP209" s="192"/>
      <c r="DQ209" s="192"/>
      <c r="DR209" s="192"/>
      <c r="DS209" s="192"/>
      <c r="DT209" s="192"/>
      <c r="DU209" s="192"/>
      <c r="DV209" s="192"/>
      <c r="DY209" s="192"/>
      <c r="DZ209" s="192"/>
    </row>
    <row r="210" spans="1:130" s="1660" customFormat="1" ht="12.75">
      <c r="A210" s="1655" t="s">
        <v>238</v>
      </c>
      <c r="B210" s="1661">
        <f t="shared" ref="B210:BM210" si="1509">+B201-B214</f>
        <v>0</v>
      </c>
      <c r="C210" s="1661">
        <f t="shared" si="1509"/>
        <v>0</v>
      </c>
      <c r="D210" s="1661">
        <f t="shared" si="1509"/>
        <v>0</v>
      </c>
      <c r="E210" s="1661">
        <f t="shared" si="1509"/>
        <v>0</v>
      </c>
      <c r="F210" s="1661">
        <f t="shared" si="1509"/>
        <v>0</v>
      </c>
      <c r="G210" s="1661">
        <f t="shared" si="1509"/>
        <v>-296</v>
      </c>
      <c r="H210" s="1661">
        <f t="shared" si="1509"/>
        <v>-516</v>
      </c>
      <c r="I210" s="1661">
        <f t="shared" si="1509"/>
        <v>-522</v>
      </c>
      <c r="J210" s="1661">
        <f t="shared" si="1509"/>
        <v>-919</v>
      </c>
      <c r="K210" s="1661">
        <f t="shared" si="1509"/>
        <v>-1674</v>
      </c>
      <c r="L210" s="1661">
        <f t="shared" si="1509"/>
        <v>-530</v>
      </c>
      <c r="M210" s="1661">
        <f t="shared" si="1509"/>
        <v>-619</v>
      </c>
      <c r="N210" s="1661">
        <f t="shared" si="1509"/>
        <v>-1580</v>
      </c>
      <c r="O210" s="1661">
        <f t="shared" si="1509"/>
        <v>1143</v>
      </c>
      <c r="P210" s="1661">
        <f t="shared" si="1509"/>
        <v>456</v>
      </c>
      <c r="Q210" s="1661">
        <f t="shared" si="1509"/>
        <v>-7900</v>
      </c>
      <c r="R210" s="1661">
        <f t="shared" si="1509"/>
        <v>891</v>
      </c>
      <c r="S210" s="1661">
        <f t="shared" si="1509"/>
        <v>-587</v>
      </c>
      <c r="T210" s="1661">
        <f t="shared" si="1509"/>
        <v>-240</v>
      </c>
      <c r="U210" s="1661">
        <f t="shared" si="1509"/>
        <v>2205</v>
      </c>
      <c r="V210" s="1661">
        <f t="shared" si="1509"/>
        <v>583</v>
      </c>
      <c r="W210" s="1661">
        <f t="shared" si="1509"/>
        <v>-21248.999999999993</v>
      </c>
      <c r="X210" s="1661">
        <f t="shared" si="1509"/>
        <v>-9822.0000000000055</v>
      </c>
      <c r="Y210" s="1661">
        <f t="shared" si="1509"/>
        <v>-19074.000000000004</v>
      </c>
      <c r="Z210" s="1661">
        <f t="shared" si="1509"/>
        <v>-18857</v>
      </c>
      <c r="AA210" s="1661">
        <f t="shared" si="1509"/>
        <v>-26976.000000000007</v>
      </c>
      <c r="AB210" s="1661">
        <f t="shared" si="1509"/>
        <v>-24990.000000000007</v>
      </c>
      <c r="AC210" s="1661">
        <f t="shared" si="1509"/>
        <v>-43767</v>
      </c>
      <c r="AD210" s="1661">
        <f t="shared" si="1509"/>
        <v>-34673</v>
      </c>
      <c r="AE210" s="1661">
        <f t="shared" si="1509"/>
        <v>-39339.000000000007</v>
      </c>
      <c r="AF210" s="1661">
        <f t="shared" si="1509"/>
        <v>-31500.000000000007</v>
      </c>
      <c r="AG210" s="1661">
        <f t="shared" si="1509"/>
        <v>-37164</v>
      </c>
      <c r="AH210" s="1661">
        <f t="shared" si="1509"/>
        <v>-25018</v>
      </c>
      <c r="AI210" s="1661">
        <f t="shared" si="1509"/>
        <v>-39371.999999999985</v>
      </c>
      <c r="AJ210" s="1661">
        <f t="shared" si="1509"/>
        <v>-34620.000000000007</v>
      </c>
      <c r="AK210" s="1661">
        <f t="shared" si="1509"/>
        <v>-43589.999999999993</v>
      </c>
      <c r="AL210" s="1661">
        <f t="shared" si="1509"/>
        <v>-41650.000000000015</v>
      </c>
      <c r="AM210" s="1661">
        <f t="shared" si="1509"/>
        <v>-50268.999999999993</v>
      </c>
      <c r="AN210" s="1661">
        <f t="shared" si="1509"/>
        <v>-40912.999999999993</v>
      </c>
      <c r="AO210" s="1661">
        <f t="shared" si="1509"/>
        <v>-45680.999999999985</v>
      </c>
      <c r="AP210" s="1661">
        <f t="shared" si="1509"/>
        <v>-67912.999999999971</v>
      </c>
      <c r="AQ210" s="1661">
        <f t="shared" si="1509"/>
        <v>-2191.84</v>
      </c>
      <c r="AR210" s="1661">
        <f t="shared" si="1509"/>
        <v>-1834</v>
      </c>
      <c r="AS210" s="1661">
        <f t="shared" si="1509"/>
        <v>-3811</v>
      </c>
      <c r="AT210" s="1661">
        <f t="shared" si="1509"/>
        <v>-3239.1</v>
      </c>
      <c r="AU210" s="1661">
        <f t="shared" si="1509"/>
        <v>-6501.8794900000103</v>
      </c>
      <c r="AV210" s="1661">
        <f t="shared" si="1509"/>
        <v>-13019.435009999999</v>
      </c>
      <c r="AW210" s="1661">
        <f t="shared" si="1509"/>
        <v>-3843</v>
      </c>
      <c r="AX210" s="1661">
        <f t="shared" si="1509"/>
        <v>-3930</v>
      </c>
      <c r="AY210" s="1661">
        <f t="shared" si="1509"/>
        <v>-9048</v>
      </c>
      <c r="AZ210" s="1661">
        <f t="shared" si="1509"/>
        <v>-13111</v>
      </c>
      <c r="BA210" s="1661">
        <f t="shared" si="1509"/>
        <v>-14747</v>
      </c>
      <c r="BB210" s="1661">
        <f t="shared" si="1509"/>
        <v>-34463</v>
      </c>
      <c r="BC210" s="1661">
        <f t="shared" si="1509"/>
        <v>-482.76788999996097</v>
      </c>
      <c r="BD210" s="1661">
        <f t="shared" si="1509"/>
        <v>-3163.9908700000415</v>
      </c>
      <c r="BE210" s="1661">
        <f t="shared" si="1509"/>
        <v>-4518.4292900000037</v>
      </c>
      <c r="BF210" s="1661">
        <f t="shared" si="1509"/>
        <v>1379.5645099998947</v>
      </c>
      <c r="BG210" s="1661">
        <f t="shared" si="1509"/>
        <v>749</v>
      </c>
      <c r="BH210" s="1661">
        <f t="shared" si="1509"/>
        <v>-8586</v>
      </c>
      <c r="BI210" s="1661">
        <f t="shared" si="1509"/>
        <v>-24010</v>
      </c>
      <c r="BJ210" s="1661">
        <f t="shared" si="1509"/>
        <v>2024</v>
      </c>
      <c r="BK210" s="1661">
        <f t="shared" si="1509"/>
        <v>180939.01402999996</v>
      </c>
      <c r="BL210" s="1661">
        <f t="shared" si="1509"/>
        <v>333450.73408999993</v>
      </c>
      <c r="BM210" s="1661">
        <f t="shared" si="1509"/>
        <v>249242.05848999997</v>
      </c>
      <c r="BN210" s="1661">
        <f t="shared" ref="BN210:CH210" si="1510">+BN201-BN214</f>
        <v>736592.34762257</v>
      </c>
      <c r="BO210" s="1661">
        <f t="shared" si="1510"/>
        <v>80446.875729999985</v>
      </c>
      <c r="BP210" s="1661">
        <f t="shared" si="1510"/>
        <v>-288733.27716000006</v>
      </c>
      <c r="BQ210" s="1661">
        <f t="shared" si="1510"/>
        <v>9302.0108600000021</v>
      </c>
      <c r="BR210" s="1661">
        <f t="shared" si="1510"/>
        <v>558382.61280000012</v>
      </c>
      <c r="BS210" s="1661">
        <f t="shared" si="1510"/>
        <v>-171751</v>
      </c>
      <c r="BT210" s="1661">
        <f t="shared" si="1510"/>
        <v>230688</v>
      </c>
      <c r="BU210" s="1661">
        <f t="shared" si="1510"/>
        <v>198704</v>
      </c>
      <c r="BV210" s="1661">
        <f t="shared" si="1510"/>
        <v>563468</v>
      </c>
      <c r="BW210" s="1661">
        <f t="shared" si="1510"/>
        <v>116092.08999999997</v>
      </c>
      <c r="BX210" s="1661">
        <f t="shared" si="1510"/>
        <v>502626</v>
      </c>
      <c r="BY210" s="1661">
        <f t="shared" si="1510"/>
        <v>218787</v>
      </c>
      <c r="BZ210" s="1661">
        <f>+BZ201-BZ214</f>
        <v>724997.46000000008</v>
      </c>
      <c r="CA210" s="1661">
        <f t="shared" si="1510"/>
        <v>58751.067740000042</v>
      </c>
      <c r="CB210" s="1661">
        <f t="shared" si="1510"/>
        <v>367205.44150000002</v>
      </c>
      <c r="CC210" s="1661">
        <f t="shared" si="1510"/>
        <v>210488.26345</v>
      </c>
      <c r="CD210" s="1661">
        <f t="shared" ref="CD210:CE210" si="1511">+CD201-CD214</f>
        <v>669772.30157000001</v>
      </c>
      <c r="CE210" s="1661">
        <f t="shared" si="1511"/>
        <v>130448.00000000001</v>
      </c>
      <c r="CF210" s="1661">
        <f t="shared" si="1510"/>
        <v>406639</v>
      </c>
      <c r="CG210" s="1661">
        <f>+CG201-CG214</f>
        <v>308447.99767000013</v>
      </c>
      <c r="CH210" s="1661">
        <f t="shared" si="1510"/>
        <v>771516</v>
      </c>
      <c r="CI210" s="1661">
        <f t="shared" ref="CI210:CL210" si="1512">+CI201-CI214</f>
        <v>194258.46090000012</v>
      </c>
      <c r="CJ210" s="1661">
        <f t="shared" si="1512"/>
        <v>584062.16562999994</v>
      </c>
      <c r="CK210" s="1661">
        <f t="shared" si="1512"/>
        <v>312262.02885000006</v>
      </c>
      <c r="CL210" s="1661">
        <f t="shared" si="1512"/>
        <v>793874.92754896544</v>
      </c>
      <c r="CM210" s="1661">
        <f t="shared" ref="CM210:CP210" si="1513">+CM201-CM214</f>
        <v>202053.55292970352</v>
      </c>
      <c r="CN210" s="1661">
        <f t="shared" si="1513"/>
        <v>614726.48761322792</v>
      </c>
      <c r="CO210" s="1661">
        <f t="shared" si="1513"/>
        <v>348485.94921197253</v>
      </c>
      <c r="CP210" s="1661">
        <f t="shared" si="1513"/>
        <v>877692.55019374075</v>
      </c>
      <c r="CQ210" s="1656"/>
      <c r="CR210" s="1656"/>
      <c r="CS210" s="1657"/>
      <c r="CT210" s="1656">
        <v>793874.92754896544</v>
      </c>
      <c r="CU210" s="1658"/>
      <c r="CV210" s="1659"/>
      <c r="CW210" s="1659"/>
      <c r="CX210" s="1659"/>
      <c r="CY210" s="1659"/>
      <c r="CZ210" s="1659"/>
      <c r="DA210" s="1659"/>
      <c r="DB210" s="1659"/>
      <c r="DC210" s="1659"/>
      <c r="DD210" s="1659"/>
      <c r="DE210" s="1659"/>
      <c r="DF210" s="1659"/>
      <c r="DG210" s="1661">
        <f t="shared" ref="DG210:DV210" si="1514">+DG201-DG214</f>
        <v>1011508.2633400001</v>
      </c>
      <c r="DH210" s="1661">
        <f t="shared" si="1514"/>
        <v>1016470</v>
      </c>
      <c r="DI210" s="1661">
        <f t="shared" si="1514"/>
        <v>1144236</v>
      </c>
      <c r="DJ210" s="1661">
        <f t="shared" si="1514"/>
        <v>1423887.1287299995</v>
      </c>
      <c r="DK210" s="1661">
        <f t="shared" si="1514"/>
        <v>1561793.1542325697</v>
      </c>
      <c r="DL210" s="1661">
        <f t="shared" si="1514"/>
        <v>1108523.22223</v>
      </c>
      <c r="DM210" s="1661">
        <f t="shared" si="1514"/>
        <v>862139</v>
      </c>
      <c r="DN210" s="1661">
        <f t="shared" si="1514"/>
        <v>1562502.55</v>
      </c>
      <c r="DO210" s="1661">
        <f t="shared" si="1514"/>
        <v>1306217.0742600001</v>
      </c>
      <c r="DP210" s="1661">
        <f t="shared" si="1514"/>
        <v>1617050.9976700002</v>
      </c>
      <c r="DQ210" s="1661">
        <f t="shared" ref="DQ210:DR210" si="1515">+DQ201-DQ214</f>
        <v>1884457.5829289651</v>
      </c>
      <c r="DR210" s="1661">
        <f t="shared" si="1515"/>
        <v>2042958.539948645</v>
      </c>
      <c r="DS210" s="1661">
        <f t="shared" si="1514"/>
        <v>2431889.6012819959</v>
      </c>
      <c r="DT210" s="1661">
        <f t="shared" si="1514"/>
        <v>2688526.1494292412</v>
      </c>
      <c r="DU210" s="1661">
        <f t="shared" si="1514"/>
        <v>2960871.4065847695</v>
      </c>
      <c r="DV210" s="1661">
        <f t="shared" si="1514"/>
        <v>3248223.8119120905</v>
      </c>
      <c r="DY210" s="1661">
        <v>2259922.2510717944</v>
      </c>
      <c r="DZ210" s="1661">
        <v>2757363.0865716487</v>
      </c>
    </row>
    <row r="211" spans="1:130" s="359" customFormat="1">
      <c r="A211" s="1329" t="s">
        <v>236</v>
      </c>
      <c r="B211" s="643"/>
      <c r="C211" s="641"/>
      <c r="D211" s="641"/>
      <c r="E211" s="641"/>
      <c r="F211" s="641"/>
      <c r="G211" s="641"/>
      <c r="H211" s="641"/>
      <c r="I211" s="641"/>
      <c r="J211" s="641"/>
      <c r="K211" s="641"/>
      <c r="L211" s="641"/>
      <c r="M211" s="641"/>
      <c r="N211" s="1222">
        <f t="shared" ref="N211:BY211" si="1516">N210/N$30</f>
        <v>-3.1171147354694118E-3</v>
      </c>
      <c r="O211" s="1222">
        <f t="shared" si="1516"/>
        <v>3.6836151637323431E-3</v>
      </c>
      <c r="P211" s="1222">
        <f t="shared" si="1516"/>
        <v>1.0262065240629677E-3</v>
      </c>
      <c r="Q211" s="1222">
        <f t="shared" si="1516"/>
        <v>-1.9981889831494494E-2</v>
      </c>
      <c r="R211" s="1222">
        <f t="shared" si="1516"/>
        <v>1.4807502467917078E-3</v>
      </c>
      <c r="S211" s="1222">
        <f t="shared" si="1516"/>
        <v>-1.5311059697482674E-3</v>
      </c>
      <c r="T211" s="1222">
        <f t="shared" si="1516"/>
        <v>-4.7073037740808009E-4</v>
      </c>
      <c r="U211" s="1222">
        <f t="shared" si="1516"/>
        <v>4.9105412953139409E-3</v>
      </c>
      <c r="V211" s="1222">
        <f t="shared" si="1516"/>
        <v>9.4988578560279455E-4</v>
      </c>
      <c r="W211" s="1222">
        <f t="shared" si="1516"/>
        <v>-5.8593846942911719E-2</v>
      </c>
      <c r="X211" s="1222">
        <f t="shared" si="1516"/>
        <v>-1.7705847147811926E-2</v>
      </c>
      <c r="Y211" s="1222">
        <f t="shared" si="1516"/>
        <v>-3.9188050870092257E-2</v>
      </c>
      <c r="Z211" s="1222">
        <f t="shared" si="1516"/>
        <v>-2.6489833646598057E-2</v>
      </c>
      <c r="AA211" s="1222">
        <f t="shared" si="1516"/>
        <v>-6.1274832707168284E-2</v>
      </c>
      <c r="AB211" s="1222">
        <f t="shared" si="1516"/>
        <v>-3.966735927135237E-2</v>
      </c>
      <c r="AC211" s="1222">
        <f t="shared" si="1516"/>
        <v>-7.6954320075957386E-2</v>
      </c>
      <c r="AD211" s="1222">
        <f t="shared" si="1516"/>
        <v>-4.2093749127422427E-2</v>
      </c>
      <c r="AE211" s="1222">
        <f t="shared" si="1516"/>
        <v>-7.5986996505745544E-2</v>
      </c>
      <c r="AF211" s="1222">
        <f t="shared" si="1516"/>
        <v>-4.2019440994700223E-2</v>
      </c>
      <c r="AG211" s="1222">
        <f t="shared" si="1516"/>
        <v>-5.6559667374854662E-2</v>
      </c>
      <c r="AH211" s="1222">
        <f t="shared" si="1516"/>
        <v>-2.5733917587278075E-2</v>
      </c>
      <c r="AI211" s="1222">
        <f t="shared" si="1516"/>
        <v>-6.3585374007386938E-2</v>
      </c>
      <c r="AJ211" s="1222">
        <f t="shared" si="1516"/>
        <v>-4.04832261225559E-2</v>
      </c>
      <c r="AK211" s="1222">
        <f t="shared" si="1516"/>
        <v>-5.4266364564400059E-2</v>
      </c>
      <c r="AL211" s="1222">
        <f t="shared" si="1516"/>
        <v>-3.5167503706730892E-2</v>
      </c>
      <c r="AM211" s="1222">
        <f t="shared" si="1516"/>
        <v>-6.9171399045864279E-2</v>
      </c>
      <c r="AN211" s="1222">
        <f t="shared" si="1516"/>
        <v>-4.3193486507116206E-2</v>
      </c>
      <c r="AO211" s="1222">
        <f t="shared" si="1516"/>
        <v>-5.0369493162557129E-2</v>
      </c>
      <c r="AP211" s="1222">
        <f t="shared" si="1516"/>
        <v>-5.0949245060219611E-2</v>
      </c>
      <c r="AQ211" s="1222">
        <f t="shared" si="1516"/>
        <v>-2.6909723074807616E-3</v>
      </c>
      <c r="AR211" s="1222">
        <f t="shared" si="1516"/>
        <v>-1.6504709331730259E-3</v>
      </c>
      <c r="AS211" s="1222">
        <f t="shared" si="1516"/>
        <v>-3.6396072547658226E-3</v>
      </c>
      <c r="AT211" s="1222">
        <f t="shared" si="1516"/>
        <v>-1.9398050193824795E-3</v>
      </c>
      <c r="AU211" s="1222">
        <f t="shared" si="1516"/>
        <v>-6.4318049747995694E-3</v>
      </c>
      <c r="AV211" s="1222">
        <f t="shared" si="1516"/>
        <v>-9.6139307693102923E-3</v>
      </c>
      <c r="AW211" s="1222">
        <f t="shared" si="1516"/>
        <v>-3.0784265819692159E-3</v>
      </c>
      <c r="AX211" s="1222">
        <f t="shared" si="1516"/>
        <v>-2.1389314921469102E-3</v>
      </c>
      <c r="AY211" s="1222">
        <f t="shared" si="1516"/>
        <v>-8.4077654746373184E-3</v>
      </c>
      <c r="AZ211" s="1222">
        <f t="shared" si="1516"/>
        <v>-8.95139442666288E-3</v>
      </c>
      <c r="BA211" s="1222">
        <f t="shared" si="1516"/>
        <v>-1.1700086796602397E-2</v>
      </c>
      <c r="BB211" s="1222">
        <f t="shared" si="1516"/>
        <v>-1.7944768664892131E-2</v>
      </c>
      <c r="BC211" s="1222">
        <f t="shared" si="1516"/>
        <v>-3.9100522076900728E-4</v>
      </c>
      <c r="BD211" s="1222">
        <f t="shared" si="1516"/>
        <v>-1.9405558138337014E-3</v>
      </c>
      <c r="BE211" s="1222">
        <f t="shared" si="1516"/>
        <v>-2.9872372135519645E-3</v>
      </c>
      <c r="BF211" s="1222">
        <f t="shared" si="1516"/>
        <v>6.2076693867536674E-4</v>
      </c>
      <c r="BG211" s="1222">
        <f t="shared" si="1516"/>
        <v>5.3545169174853936E-4</v>
      </c>
      <c r="BH211" s="1222">
        <f t="shared" si="1516"/>
        <v>-4.8235115006424042E-3</v>
      </c>
      <c r="BI211" s="1222">
        <f t="shared" si="1516"/>
        <v>-1.4028949534929513E-2</v>
      </c>
      <c r="BJ211" s="1222">
        <f t="shared" si="1516"/>
        <v>7.7992479736983464E-4</v>
      </c>
      <c r="BK211" s="1222">
        <f t="shared" si="1516"/>
        <v>0.10963761585058079</v>
      </c>
      <c r="BL211" s="1222">
        <f t="shared" si="1516"/>
        <v>0.16512579348352505</v>
      </c>
      <c r="BM211" s="1222">
        <f t="shared" si="1516"/>
        <v>0.12901235167118374</v>
      </c>
      <c r="BN211" s="1222">
        <f t="shared" si="1516"/>
        <v>0.25637921254028634</v>
      </c>
      <c r="BO211" s="1222">
        <f t="shared" si="1516"/>
        <v>5.1895183610935494E-2</v>
      </c>
      <c r="BP211" s="1222">
        <f t="shared" si="1516"/>
        <v>-0.53505191862662993</v>
      </c>
      <c r="BQ211" s="1222">
        <f t="shared" si="1516"/>
        <v>5.6334954944806722E-3</v>
      </c>
      <c r="BR211" s="1222">
        <f t="shared" si="1516"/>
        <v>0.1912558725670119</v>
      </c>
      <c r="BS211" s="1222">
        <f t="shared" si="1516"/>
        <v>-0.12587867198957503</v>
      </c>
      <c r="BT211" s="1222">
        <f t="shared" si="1516"/>
        <v>0.10213204540795839</v>
      </c>
      <c r="BU211" s="1222">
        <f t="shared" si="1516"/>
        <v>8.377332874058338E-2</v>
      </c>
      <c r="BV211" s="1222">
        <f t="shared" si="1516"/>
        <v>0.158248099563399</v>
      </c>
      <c r="BW211" s="1222">
        <f t="shared" si="1516"/>
        <v>5.2067054916321492E-2</v>
      </c>
      <c r="BX211" s="1222">
        <f t="shared" si="1516"/>
        <v>0.15827026414274445</v>
      </c>
      <c r="BY211" s="1222">
        <f t="shared" si="1516"/>
        <v>8.3649490866255713E-2</v>
      </c>
      <c r="BZ211" s="1222">
        <f>BZ210/BZ$30</f>
        <v>0.2039452029669771</v>
      </c>
      <c r="CA211" s="1222">
        <f t="shared" ref="CA211:CB211" si="1517">CA210/CA$30</f>
        <v>2.5790646852786168E-2</v>
      </c>
      <c r="CB211" s="1222">
        <f t="shared" si="1517"/>
        <v>0.12300437124661341</v>
      </c>
      <c r="CC211" s="1222">
        <f>CC210/CC$30</f>
        <v>7.9848178885826293E-2</v>
      </c>
      <c r="CD211" s="1222">
        <f>CD210/CD$30</f>
        <v>0.17593497270373432</v>
      </c>
      <c r="CE211" s="1222">
        <f>CE210/CE$30</f>
        <v>5.2999720472466545E-2</v>
      </c>
      <c r="CF211" s="1222">
        <f t="shared" ref="CF211:CH211" si="1518">CF210/CF$30</f>
        <v>0.13202895007440121</v>
      </c>
      <c r="CG211" s="1222">
        <f t="shared" si="1518"/>
        <v>0.10434810770607916</v>
      </c>
      <c r="CH211" s="1222">
        <f t="shared" si="1518"/>
        <v>0.18480403393808389</v>
      </c>
      <c r="CI211" s="1222">
        <f t="shared" ref="CI211:CL211" si="1519">CI210/CI$30</f>
        <v>7.0464176702311393E-2</v>
      </c>
      <c r="CJ211" s="1222">
        <f t="shared" si="1519"/>
        <v>0.16003154412907031</v>
      </c>
      <c r="CK211" s="1222">
        <f t="shared" si="1519"/>
        <v>0.10141179554805567</v>
      </c>
      <c r="CL211" s="1222">
        <f t="shared" si="1519"/>
        <v>0.18158098573746098</v>
      </c>
      <c r="CM211" s="1222">
        <f t="shared" ref="CM211:CP211" si="1520">CM210/CM$30</f>
        <v>6.8823758223230516E-2</v>
      </c>
      <c r="CN211" s="1222">
        <f t="shared" si="1520"/>
        <v>0.15961130326053044</v>
      </c>
      <c r="CO211" s="1222">
        <f t="shared" si="1520"/>
        <v>0.10457415577903659</v>
      </c>
      <c r="CP211" s="1222">
        <f t="shared" si="1520"/>
        <v>0.18512253954407615</v>
      </c>
      <c r="CQ211" s="733"/>
      <c r="CR211" s="733"/>
      <c r="CS211" s="644"/>
      <c r="CT211" s="733">
        <v>0.18158098573746098</v>
      </c>
      <c r="CU211" s="1135">
        <f>+CK211-CT211</f>
        <v>-8.0169190189405312E-2</v>
      </c>
      <c r="CV211" s="121"/>
      <c r="CW211" s="121"/>
      <c r="CX211" s="121">
        <v>0.10843489268897978</v>
      </c>
      <c r="CY211" s="121">
        <v>0.10096830101476942</v>
      </c>
      <c r="CZ211" s="121">
        <v>8.0258852026639793E-2</v>
      </c>
      <c r="DA211" s="121">
        <v>0.12091812309159539</v>
      </c>
      <c r="DB211" s="121">
        <v>0.1557873442146861</v>
      </c>
      <c r="DC211" s="121">
        <v>0.15989796369280568</v>
      </c>
      <c r="DD211" s="121">
        <v>0.16160412020936116</v>
      </c>
      <c r="DE211" s="121">
        <v>0.16933746843865025</v>
      </c>
      <c r="DF211" s="733">
        <f t="shared" ref="DF211" si="1521">DF210/DF$26</f>
        <v>0</v>
      </c>
      <c r="DG211" s="733">
        <f t="shared" ref="DG211:DV211" si="1522">DG210/DG$30</f>
        <v>0.18556883645712635</v>
      </c>
      <c r="DH211" s="733">
        <f t="shared" si="1522"/>
        <v>0.17764994604805026</v>
      </c>
      <c r="DI211" s="733">
        <f t="shared" si="1522"/>
        <v>0.17336717336308249</v>
      </c>
      <c r="DJ211" s="733">
        <f t="shared" si="1522"/>
        <v>0.19022107722158485</v>
      </c>
      <c r="DK211" s="733">
        <f t="shared" si="1522"/>
        <v>0.18428905380201616</v>
      </c>
      <c r="DL211" s="733">
        <f t="shared" si="1522"/>
        <v>0.16643065920774661</v>
      </c>
      <c r="DM211" s="733">
        <f t="shared" si="1522"/>
        <v>9.0222235713382865E-2</v>
      </c>
      <c r="DN211" s="733">
        <f t="shared" si="1522"/>
        <v>0.1349801503913986</v>
      </c>
      <c r="DO211" s="733">
        <f t="shared" si="1522"/>
        <v>0.11158202087586727</v>
      </c>
      <c r="DP211" s="733">
        <f t="shared" si="1522"/>
        <v>0.12760869461053745</v>
      </c>
      <c r="DQ211" s="733">
        <f t="shared" ref="DQ211:DR211" si="1523">DQ210/DQ$30</f>
        <v>0.13598657454492177</v>
      </c>
      <c r="DR211" s="733">
        <f t="shared" si="1523"/>
        <v>0.13747316397847367</v>
      </c>
      <c r="DS211" s="733">
        <f t="shared" si="1522"/>
        <v>0.15077522323999049</v>
      </c>
      <c r="DT211" s="733">
        <f t="shared" si="1522"/>
        <v>0.15477647098475825</v>
      </c>
      <c r="DU211" s="733">
        <f t="shared" si="1522"/>
        <v>0.15837492271508471</v>
      </c>
      <c r="DV211" s="733">
        <f t="shared" si="1522"/>
        <v>0.16152791520066537</v>
      </c>
      <c r="DY211" s="733">
        <v>0.14792337662438937</v>
      </c>
      <c r="DZ211" s="733">
        <v>0.1657813004540617</v>
      </c>
    </row>
    <row r="212" spans="1:130" s="359" customFormat="1">
      <c r="A212" s="1331" t="s">
        <v>231</v>
      </c>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c r="AA212" s="91"/>
      <c r="AB212" s="91"/>
      <c r="AC212" s="91"/>
      <c r="AD212" s="91"/>
      <c r="AE212" s="91"/>
      <c r="AF212" s="91"/>
      <c r="AG212" s="91"/>
      <c r="AH212" s="91"/>
      <c r="AI212" s="93"/>
      <c r="AJ212" s="93"/>
      <c r="AK212" s="93"/>
      <c r="AL212" s="93"/>
      <c r="AM212" s="93"/>
      <c r="AN212" s="93">
        <v>-9.4076869945851072E-3</v>
      </c>
      <c r="AO212" s="93">
        <v>-1.2192860385231347E-2</v>
      </c>
      <c r="AP212" s="93">
        <v>4.2488818238968801E-2</v>
      </c>
      <c r="AQ212" s="1164">
        <f t="shared" ref="AQ212" si="1524">+AQ211-AM211</f>
        <v>6.6480426738383516E-2</v>
      </c>
      <c r="AR212" s="1164">
        <f t="shared" ref="AR212" si="1525">+AR211-AN211</f>
        <v>4.154301557394318E-2</v>
      </c>
      <c r="AS212" s="1164">
        <f t="shared" ref="AS212" si="1526">+AS211-AO211</f>
        <v>4.6729885907791306E-2</v>
      </c>
      <c r="AT212" s="1164">
        <f t="shared" ref="AT212" si="1527">+AT211-AP211</f>
        <v>4.9009440040837134E-2</v>
      </c>
      <c r="AU212" s="1164">
        <f t="shared" ref="AU212" si="1528">+AU211-AQ211</f>
        <v>-3.7408326673188078E-3</v>
      </c>
      <c r="AV212" s="1164">
        <f t="shared" ref="AV212" si="1529">+AV211-AR211</f>
        <v>-7.9634598361372662E-3</v>
      </c>
      <c r="AW212" s="1164">
        <f t="shared" ref="AW212" si="1530">+AW211-AS211</f>
        <v>5.6118067279660672E-4</v>
      </c>
      <c r="AX212" s="1164">
        <f t="shared" ref="AX212" si="1531">+AX211-AT211</f>
        <v>-1.9912647276443068E-4</v>
      </c>
      <c r="AY212" s="1164">
        <f t="shared" ref="AY212" si="1532">+AY211-AU211</f>
        <v>-1.975960499837749E-3</v>
      </c>
      <c r="AZ212" s="1164">
        <f t="shared" ref="AZ212" si="1533">+AZ211-AV211</f>
        <v>6.6253634264741221E-4</v>
      </c>
      <c r="BA212" s="1164">
        <f t="shared" ref="BA212" si="1534">+BA211-AW211</f>
        <v>-8.6216602146331808E-3</v>
      </c>
      <c r="BB212" s="1164">
        <f t="shared" ref="BB212" si="1535">+BB211-AX211</f>
        <v>-1.5805837172745221E-2</v>
      </c>
      <c r="BC212" s="1164">
        <f t="shared" ref="BC212" si="1536">+BC211-AY211</f>
        <v>8.0167602538683113E-3</v>
      </c>
      <c r="BD212" s="1164">
        <f t="shared" ref="BD212" si="1537">+BD211-AZ211</f>
        <v>7.0108386128291782E-3</v>
      </c>
      <c r="BE212" s="1164">
        <f t="shared" ref="BE212" si="1538">+BE211-BA211</f>
        <v>8.7128495830504325E-3</v>
      </c>
      <c r="BF212" s="1164">
        <f t="shared" ref="BF212" si="1539">+BF211-BB211</f>
        <v>1.8565535603567499E-2</v>
      </c>
      <c r="BG212" s="1164">
        <f t="shared" ref="BG212" si="1540">+BG211-BC211</f>
        <v>9.2645691251754664E-4</v>
      </c>
      <c r="BH212" s="1164">
        <f t="shared" ref="BH212" si="1541">+BH211-BD211</f>
        <v>-2.8829556868087028E-3</v>
      </c>
      <c r="BI212" s="1164">
        <f t="shared" ref="BI212" si="1542">+BI211-BE211</f>
        <v>-1.1041712321377548E-2</v>
      </c>
      <c r="BJ212" s="1164">
        <f t="shared" ref="BJ212" si="1543">+BJ211-BF211</f>
        <v>1.591578586944679E-4</v>
      </c>
      <c r="BK212" s="1164">
        <f t="shared" ref="BK212" si="1544">+BK211-BG211</f>
        <v>0.10910216415883225</v>
      </c>
      <c r="BL212" s="1164">
        <f t="shared" ref="BL212" si="1545">+BL211-BH211</f>
        <v>0.16994930498416744</v>
      </c>
      <c r="BM212" s="1223">
        <f t="shared" ref="BM212" si="1546">+BM211-BI211</f>
        <v>0.14304130120611325</v>
      </c>
      <c r="BN212" s="1223">
        <f t="shared" ref="BN212" si="1547">+BN211-BJ211</f>
        <v>0.25559928774291651</v>
      </c>
      <c r="BO212" s="1223">
        <f t="shared" ref="BO212" si="1548">+BO211-BK211</f>
        <v>-5.77424322396453E-2</v>
      </c>
      <c r="BP212" s="1223">
        <f t="shared" ref="BP212" si="1549">+BP211-BL211</f>
        <v>-0.700177712110155</v>
      </c>
      <c r="BQ212" s="1223">
        <f t="shared" ref="BQ212" si="1550">+BQ211-BM211</f>
        <v>-0.12337885617670308</v>
      </c>
      <c r="BR212" s="1223">
        <f t="shared" ref="BR212" si="1551">+BR211-BN211</f>
        <v>-6.5123339973274436E-2</v>
      </c>
      <c r="BS212" s="1223">
        <f t="shared" ref="BS212" si="1552">+BS211-BO211</f>
        <v>-0.17777385560051051</v>
      </c>
      <c r="BT212" s="1223">
        <f t="shared" ref="BT212" si="1553">+BT211-BP211</f>
        <v>0.63718396403458832</v>
      </c>
      <c r="BU212" s="1223">
        <f t="shared" ref="BU212" si="1554">+BU211-BQ211</f>
        <v>7.8139833246102713E-2</v>
      </c>
      <c r="BV212" s="1223">
        <f t="shared" ref="BV212" si="1555">+BV211-BR211</f>
        <v>-3.3007773003612906E-2</v>
      </c>
      <c r="BW212" s="1223">
        <f t="shared" ref="BW212" si="1556">+BW211-BS211</f>
        <v>0.17794572690589652</v>
      </c>
      <c r="BX212" s="1223">
        <f t="shared" ref="BX212" si="1557">+BX211-BT211</f>
        <v>5.6138218734786055E-2</v>
      </c>
      <c r="BY212" s="1223">
        <f t="shared" ref="BY212" si="1558">+BY211-BU211</f>
        <v>-1.2383787432766746E-4</v>
      </c>
      <c r="BZ212" s="1223">
        <f t="shared" ref="BZ212" si="1559">+BZ211-BV211</f>
        <v>4.5697103403578104E-2</v>
      </c>
      <c r="CA212" s="1223">
        <f t="shared" ref="CA212" si="1560">+CA211-BW211</f>
        <v>-2.6276408063535324E-2</v>
      </c>
      <c r="CB212" s="1223">
        <f t="shared" ref="CB212" si="1561">+CB211-BX211</f>
        <v>-3.5265892896131038E-2</v>
      </c>
      <c r="CC212" s="1223">
        <f t="shared" ref="CC212:CE212" si="1562">+CC211-BY211</f>
        <v>-3.8013119804294199E-3</v>
      </c>
      <c r="CD212" s="1223">
        <f t="shared" si="1562"/>
        <v>-2.8010230263242786E-2</v>
      </c>
      <c r="CE212" s="1223">
        <f t="shared" si="1562"/>
        <v>2.7209073619680377E-2</v>
      </c>
      <c r="CF212" s="1223">
        <f t="shared" ref="CF212" si="1563">+CF211-CB211</f>
        <v>9.024578827787802E-3</v>
      </c>
      <c r="CG212" s="1223">
        <f t="shared" ref="CG212:CH212" si="1564">+CG211-CC211</f>
        <v>2.449992882025287E-2</v>
      </c>
      <c r="CH212" s="1223">
        <f t="shared" si="1564"/>
        <v>8.8690612343495789E-3</v>
      </c>
      <c r="CI212" s="1223">
        <f t="shared" ref="CI212" si="1565">+CI211-CE211</f>
        <v>1.7464456229844848E-2</v>
      </c>
      <c r="CJ212" s="1223">
        <f t="shared" ref="CJ212" si="1566">+CJ211-CF211</f>
        <v>2.8002594054669094E-2</v>
      </c>
      <c r="CK212" s="1223">
        <f t="shared" ref="CK212" si="1567">+CK211-CG211</f>
        <v>-2.9363121580234935E-3</v>
      </c>
      <c r="CL212" s="1164">
        <f t="shared" ref="CL212" si="1568">+CL211-CH211</f>
        <v>-3.2230482006229133E-3</v>
      </c>
      <c r="CM212" s="1164">
        <f t="shared" ref="CM212" si="1569">+CM211-CI211</f>
        <v>-1.6404184790808768E-3</v>
      </c>
      <c r="CN212" s="1164">
        <f t="shared" ref="CN212" si="1570">+CN211-CJ211</f>
        <v>-4.2024086853986731E-4</v>
      </c>
      <c r="CO212" s="1164">
        <f t="shared" ref="CO212" si="1571">+CO211-CK211</f>
        <v>3.1623602309809179E-3</v>
      </c>
      <c r="CP212" s="1164">
        <f t="shared" ref="CP212" si="1572">+CP211-CL211</f>
        <v>3.5415538066151664E-3</v>
      </c>
      <c r="CQ212" s="1164"/>
      <c r="CR212" s="1164"/>
      <c r="CS212" s="556"/>
      <c r="CT212" s="1164">
        <v>-3.2230482006229133E-3</v>
      </c>
      <c r="CU212" s="1110"/>
      <c r="CV212" s="118">
        <v>5.9298346410792992E-2</v>
      </c>
      <c r="CW212" s="118">
        <v>0.12627856600960963</v>
      </c>
      <c r="CX212" s="118">
        <v>0.12981064994468527</v>
      </c>
      <c r="CY212" s="118">
        <v>0.1325132487354598</v>
      </c>
      <c r="CZ212" s="118">
        <v>0.12498677283215308</v>
      </c>
      <c r="DA212" s="118">
        <v>0.15312731106586994</v>
      </c>
      <c r="DB212" s="118">
        <v>0.18343765833205516</v>
      </c>
      <c r="DC212" s="118">
        <v>0.18390652336761421</v>
      </c>
      <c r="DD212" s="118">
        <v>0.18489644552192513</v>
      </c>
      <c r="DE212" s="118">
        <v>0.19142697366042602</v>
      </c>
      <c r="DF212" s="118"/>
      <c r="DG212" s="1240">
        <f t="shared" ref="DG212" si="1573">+DG211-DF211</f>
        <v>0.18556883645712635</v>
      </c>
      <c r="DH212" s="1240">
        <f t="shared" ref="DH212" si="1574">+DH211-DG211</f>
        <v>-7.9188904090760903E-3</v>
      </c>
      <c r="DI212" s="1240">
        <f t="shared" ref="DI212" si="1575">+DI211-DH211</f>
        <v>-4.2827726849677672E-3</v>
      </c>
      <c r="DJ212" s="1240">
        <f t="shared" ref="DJ212" si="1576">+DJ211-DI211</f>
        <v>1.6853903858502356E-2</v>
      </c>
      <c r="DK212" s="1240">
        <f t="shared" ref="DK212" si="1577">+DK211-DJ211</f>
        <v>-5.9320234195686938E-3</v>
      </c>
      <c r="DL212" s="1240">
        <f t="shared" ref="DL212" si="1578">+DL211-DK211</f>
        <v>-1.785839459426955E-2</v>
      </c>
      <c r="DM212" s="1240">
        <f t="shared" ref="DM212" si="1579">+DM211-DL211</f>
        <v>-7.6208423494363742E-2</v>
      </c>
      <c r="DN212" s="1240">
        <f t="shared" ref="DN212" si="1580">+DN211-DM211</f>
        <v>4.4757914678015737E-2</v>
      </c>
      <c r="DO212" s="1240">
        <f t="shared" ref="DO212" si="1581">+DO211-DN211</f>
        <v>-2.339812951553133E-2</v>
      </c>
      <c r="DP212" s="1240">
        <f t="shared" ref="DP212:DR212" si="1582">+DP211-DO211</f>
        <v>1.6026673734670177E-2</v>
      </c>
      <c r="DQ212" s="1240">
        <f t="shared" si="1582"/>
        <v>8.3778799343843247E-3</v>
      </c>
      <c r="DR212" s="1240">
        <f t="shared" si="1582"/>
        <v>1.4865894335518992E-3</v>
      </c>
      <c r="DS212" s="401">
        <f t="shared" ref="DS212" si="1583">+DS211-DR211</f>
        <v>1.3302059261516813E-2</v>
      </c>
      <c r="DT212" s="401">
        <f t="shared" ref="DT212" si="1584">+DT211-DS211</f>
        <v>4.0012477447677608E-3</v>
      </c>
      <c r="DU212" s="401">
        <f t="shared" ref="DU212" si="1585">+DU211-DT211</f>
        <v>3.5984517303264685E-3</v>
      </c>
      <c r="DV212" s="401">
        <f t="shared" ref="DV212" si="1586">+DV211-DU211</f>
        <v>3.1529924855806524E-3</v>
      </c>
      <c r="DY212" s="401">
        <v>7.4672851504697935E-3</v>
      </c>
      <c r="DZ212" s="401">
        <v>1.7857923829672329E-2</v>
      </c>
    </row>
    <row r="213" spans="1:130">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c r="AI213" s="116"/>
      <c r="AJ213" s="116"/>
      <c r="AK213" s="116"/>
      <c r="AL213" s="116"/>
      <c r="AM213" s="116"/>
      <c r="AN213" s="116"/>
      <c r="AO213" s="116"/>
      <c r="AP213" s="116"/>
      <c r="AQ213" s="116"/>
      <c r="AR213" s="117"/>
      <c r="AS213" s="116"/>
      <c r="AT213" s="116"/>
      <c r="AU213" s="116"/>
      <c r="AV213" s="361"/>
      <c r="AW213" s="361"/>
      <c r="AX213" s="361"/>
      <c r="AY213" s="361"/>
      <c r="AZ213" s="361"/>
      <c r="BA213" s="361"/>
      <c r="BB213" s="361"/>
      <c r="BC213" s="361"/>
      <c r="BD213" s="361"/>
      <c r="BE213" s="361"/>
      <c r="BF213" s="361"/>
      <c r="BG213" s="361"/>
      <c r="BH213" s="361"/>
      <c r="BI213" s="361"/>
      <c r="BJ213" s="361"/>
      <c r="BK213" s="361"/>
      <c r="BL213" s="361"/>
      <c r="BM213" s="361"/>
      <c r="BN213" s="361"/>
      <c r="BO213" s="361"/>
      <c r="BP213" s="361"/>
      <c r="BQ213" s="361"/>
      <c r="BR213" s="361"/>
      <c r="BS213" s="361"/>
      <c r="BT213" s="361"/>
      <c r="BU213" s="361"/>
      <c r="BV213" s="361"/>
      <c r="BW213" s="361"/>
      <c r="BX213" s="361"/>
      <c r="BY213" s="361"/>
      <c r="BZ213" s="361"/>
      <c r="CA213" s="361"/>
      <c r="CB213" s="361"/>
      <c r="CC213" s="361"/>
      <c r="CD213" s="361"/>
      <c r="CE213" s="361"/>
      <c r="CF213" s="361"/>
      <c r="CG213" s="361"/>
      <c r="CH213" s="361"/>
      <c r="CI213" s="361"/>
      <c r="CJ213" s="361"/>
      <c r="CK213" s="361"/>
      <c r="CL213" s="192"/>
      <c r="CM213" s="192"/>
      <c r="CN213" s="192"/>
      <c r="CO213" s="192"/>
      <c r="CP213" s="192"/>
      <c r="CQ213" s="192"/>
      <c r="CR213" s="192"/>
      <c r="CS213" s="192"/>
      <c r="CT213" s="192"/>
      <c r="CU213" s="694"/>
      <c r="CV213" s="116"/>
      <c r="CW213" s="116"/>
      <c r="CX213" s="116"/>
      <c r="CY213" s="116"/>
      <c r="CZ213" s="116"/>
      <c r="DA213" s="116"/>
      <c r="DB213" s="116"/>
      <c r="DC213" s="116"/>
      <c r="DD213" s="115"/>
      <c r="DE213" s="115"/>
      <c r="DF213" s="192"/>
      <c r="DG213" s="192"/>
      <c r="DH213" s="192"/>
      <c r="DI213" s="192"/>
      <c r="DJ213" s="192"/>
      <c r="DK213" s="192"/>
      <c r="DL213" s="192"/>
      <c r="DM213" s="192"/>
      <c r="DN213" s="192"/>
      <c r="DO213" s="192"/>
      <c r="DP213" s="192"/>
      <c r="DQ213" s="192"/>
      <c r="DR213" s="192"/>
      <c r="DS213" s="192"/>
      <c r="DT213" s="192"/>
      <c r="DU213" s="192"/>
      <c r="DV213" s="192"/>
      <c r="DY213" s="192"/>
      <c r="DZ213" s="192"/>
    </row>
    <row r="214" spans="1:130" s="668" customFormat="1">
      <c r="A214" s="1304" t="s">
        <v>255</v>
      </c>
      <c r="B214" s="1305"/>
      <c r="C214" s="1305"/>
      <c r="D214" s="1305"/>
      <c r="E214" s="1305"/>
      <c r="F214" s="1305"/>
      <c r="G214" s="1305"/>
      <c r="H214" s="1305"/>
      <c r="I214" s="1305"/>
      <c r="J214" s="1305"/>
      <c r="K214" s="1305"/>
      <c r="L214" s="1305"/>
      <c r="M214" s="1305"/>
      <c r="N214" s="1305"/>
      <c r="O214" s="1305"/>
      <c r="P214" s="1305"/>
      <c r="Q214" s="1305"/>
      <c r="R214" s="1305"/>
      <c r="S214" s="1305"/>
      <c r="T214" s="1305"/>
      <c r="U214" s="1305"/>
      <c r="V214" s="1305"/>
      <c r="W214" s="1305">
        <v>20116.999999999993</v>
      </c>
      <c r="X214" s="1305">
        <v>9139.0000000000055</v>
      </c>
      <c r="Y214" s="1305">
        <v>19140.000000000004</v>
      </c>
      <c r="Z214" s="1305">
        <v>19234</v>
      </c>
      <c r="AA214" s="1305">
        <v>26345.000000000007</v>
      </c>
      <c r="AB214" s="1305">
        <v>24701.000000000007</v>
      </c>
      <c r="AC214" s="1305">
        <v>36513</v>
      </c>
      <c r="AD214" s="1305">
        <v>33500</v>
      </c>
      <c r="AE214" s="1305">
        <v>38500.000000000007</v>
      </c>
      <c r="AF214" s="1305">
        <v>32100.000000000007</v>
      </c>
      <c r="AG214" s="1305">
        <v>34000</v>
      </c>
      <c r="AH214" s="1305">
        <v>20500</v>
      </c>
      <c r="AI214" s="1305">
        <v>40919.999999999985</v>
      </c>
      <c r="AJ214" s="1305">
        <v>32314.000000000007</v>
      </c>
      <c r="AK214" s="1305">
        <v>42999.999999999993</v>
      </c>
      <c r="AL214" s="1305">
        <v>32700.000000000011</v>
      </c>
      <c r="AM214" s="1305">
        <v>47599.999999999993</v>
      </c>
      <c r="AN214" s="1305">
        <v>41099.999999999993</v>
      </c>
      <c r="AO214" s="1305">
        <v>44999.999999999985</v>
      </c>
      <c r="AP214" s="1305">
        <v>40099.999999999971</v>
      </c>
      <c r="AQ214" s="1354"/>
      <c r="AR214" s="1354"/>
      <c r="AS214" s="1354"/>
      <c r="AT214" s="1354"/>
      <c r="AU214" s="1354"/>
      <c r="AV214" s="1354"/>
      <c r="AW214" s="1354"/>
      <c r="AX214" s="1354"/>
      <c r="AY214" s="1354"/>
      <c r="AZ214" s="1354"/>
      <c r="BA214" s="1354"/>
      <c r="BB214" s="1354"/>
      <c r="BC214" s="1354"/>
      <c r="BD214" s="1354"/>
      <c r="BE214" s="1354"/>
      <c r="BF214" s="1354"/>
      <c r="BG214" s="1354"/>
      <c r="BH214" s="1354"/>
      <c r="BI214" s="1354"/>
      <c r="BJ214" s="1354"/>
      <c r="BK214" s="1305">
        <f t="shared" ref="BK214:BY214" si="1587">+BK195-BK205</f>
        <v>97715.534180000075</v>
      </c>
      <c r="BL214" s="1305">
        <f t="shared" si="1587"/>
        <v>91053.929700000095</v>
      </c>
      <c r="BM214" s="1305">
        <f t="shared" si="1587"/>
        <v>103235.40663000004</v>
      </c>
      <c r="BN214" s="1305">
        <f t="shared" si="1587"/>
        <v>99408.803957430064</v>
      </c>
      <c r="BO214" s="1305">
        <f t="shared" si="1587"/>
        <v>20664.510000000009</v>
      </c>
      <c r="BP214" s="1305">
        <f t="shared" si="1587"/>
        <v>52807.05130000005</v>
      </c>
      <c r="BQ214" s="1305">
        <f t="shared" si="1587"/>
        <v>-51157.013729999999</v>
      </c>
      <c r="BR214" s="1305">
        <f t="shared" si="1587"/>
        <v>59598.815489999834</v>
      </c>
      <c r="BS214" s="1305">
        <f t="shared" si="1587"/>
        <v>69328.510000000009</v>
      </c>
      <c r="BT214" s="1305">
        <f t="shared" si="1587"/>
        <v>51532.85334999999</v>
      </c>
      <c r="BU214" s="1305">
        <f t="shared" si="1587"/>
        <v>74181.814100002346</v>
      </c>
      <c r="BV214" s="1305">
        <f t="shared" si="1587"/>
        <v>51055.043659999152</v>
      </c>
      <c r="BW214" s="1305">
        <f t="shared" si="1587"/>
        <v>84810.680000000051</v>
      </c>
      <c r="BX214" s="1305">
        <f t="shared" si="1587"/>
        <v>11524.540000000037</v>
      </c>
      <c r="BY214" s="1305">
        <f t="shared" si="1587"/>
        <v>18625</v>
      </c>
      <c r="BZ214" s="1305">
        <f t="shared" ref="BZ214:CH214" si="1588">+BZ181</f>
        <v>-34649.000000000087</v>
      </c>
      <c r="CA214" s="1305">
        <f t="shared" si="1588"/>
        <v>-10321.067740000046</v>
      </c>
      <c r="CB214" s="1305">
        <f t="shared" si="1588"/>
        <v>-53690.131400000013</v>
      </c>
      <c r="CC214" s="1305">
        <f t="shared" si="1588"/>
        <v>-35052.713340000024</v>
      </c>
      <c r="CD214" s="1305">
        <f t="shared" ref="CD214" si="1589">+CD181</f>
        <v>3192.4346199999718</v>
      </c>
      <c r="CE214" s="1305">
        <f t="shared" si="1588"/>
        <v>13401.999999999987</v>
      </c>
      <c r="CF214" s="1305">
        <f t="shared" si="1588"/>
        <v>34761.000000000022</v>
      </c>
      <c r="CG214" s="1305">
        <f t="shared" si="1588"/>
        <v>58311.002329999865</v>
      </c>
      <c r="CH214" s="1305">
        <f t="shared" si="1588"/>
        <v>61382.000000000007</v>
      </c>
      <c r="CI214" s="1305">
        <f>+CI181</f>
        <v>190465.53909999988</v>
      </c>
      <c r="CJ214" s="1305">
        <f t="shared" ref="CJ214:CL214" si="1590">+CJ181</f>
        <v>118451.83437000006</v>
      </c>
      <c r="CK214" s="1305">
        <f t="shared" si="1590"/>
        <v>79810.971149999939</v>
      </c>
      <c r="CL214" s="1355">
        <f t="shared" si="1590"/>
        <v>75457.194738675302</v>
      </c>
      <c r="CM214" s="1355">
        <f t="shared" ref="CM214:CP214" si="1591">+CM181</f>
        <v>106289.85529449125</v>
      </c>
      <c r="CN214" s="1355">
        <f t="shared" si="1591"/>
        <v>-23589.324863412741</v>
      </c>
      <c r="CO214" s="1355">
        <f t="shared" si="1591"/>
        <v>42284.046862618365</v>
      </c>
      <c r="CP214" s="1355">
        <f t="shared" si="1591"/>
        <v>89227.485739968164</v>
      </c>
      <c r="CQ214" s="1355"/>
      <c r="CR214" s="1307"/>
      <c r="CS214" s="1307"/>
      <c r="CT214" s="1355">
        <v>75457.194738675302</v>
      </c>
      <c r="CU214" s="1308"/>
      <c r="CV214" s="1305"/>
      <c r="CW214" s="1305"/>
      <c r="CX214" s="1305" t="e">
        <v>#REF!</v>
      </c>
      <c r="CY214" s="1305" t="e">
        <v>#REF!</v>
      </c>
      <c r="CZ214" s="1305" t="e">
        <v>#REF!</v>
      </c>
      <c r="DA214" s="1305">
        <v>67630</v>
      </c>
      <c r="DB214" s="1305">
        <v>121059.00000000001</v>
      </c>
      <c r="DC214" s="1305">
        <v>125100.00000000003</v>
      </c>
      <c r="DD214" s="1305">
        <v>148934</v>
      </c>
      <c r="DE214" s="1305">
        <v>173799.99999999994</v>
      </c>
      <c r="DF214" s="1355">
        <f>+DF181</f>
        <v>217599.99999999997</v>
      </c>
      <c r="DG214" s="1355">
        <f>+DG181</f>
        <v>208361.99999999997</v>
      </c>
      <c r="DH214" s="1355">
        <f>+DH181</f>
        <v>251269.00000000003</v>
      </c>
      <c r="DI214" s="1355">
        <f>+DI181</f>
        <v>331594</v>
      </c>
      <c r="DJ214" s="1355">
        <f>+DJ181</f>
        <v>349430.87127000053</v>
      </c>
      <c r="DK214" s="1355">
        <f>+SUM(BK214:BN214)</f>
        <v>391413.67446743028</v>
      </c>
      <c r="DL214" s="1355">
        <f>+SUM(BO214:BR214)</f>
        <v>81913.363059999887</v>
      </c>
      <c r="DM214" s="1355">
        <f>+SUM(BS214:BV214)</f>
        <v>246098.2211100015</v>
      </c>
      <c r="DN214" s="1355">
        <f>+SUM(BW214:BZ214)</f>
        <v>80311.22</v>
      </c>
      <c r="DO214" s="1355">
        <f t="shared" ref="DO214:DV214" si="1592">+DO181</f>
        <v>-95871.477860000115</v>
      </c>
      <c r="DP214" s="1355">
        <f t="shared" si="1592"/>
        <v>167856.00232999987</v>
      </c>
      <c r="DQ214" s="1355">
        <f t="shared" ref="DQ214:DR214" si="1593">+DQ181</f>
        <v>464185.53935867519</v>
      </c>
      <c r="DR214" s="1355">
        <f t="shared" si="1593"/>
        <v>214212.06303366504</v>
      </c>
      <c r="DS214" s="1355">
        <f t="shared" si="1592"/>
        <v>424980.75518914848</v>
      </c>
      <c r="DT214" s="1355">
        <f t="shared" si="1592"/>
        <v>450939.91370462149</v>
      </c>
      <c r="DU214" s="1355">
        <f t="shared" si="1592"/>
        <v>469103.37491095869</v>
      </c>
      <c r="DV214" s="1355">
        <f t="shared" si="1592"/>
        <v>485285.86059512972</v>
      </c>
      <c r="DY214" s="1355">
        <v>202874.05385743341</v>
      </c>
      <c r="DZ214" s="1355">
        <v>246991.98725133931</v>
      </c>
    </row>
    <row r="215" spans="1:130" s="359" customFormat="1">
      <c r="A215" s="1329" t="s">
        <v>242</v>
      </c>
      <c r="B215" s="643"/>
      <c r="C215" s="641"/>
      <c r="D215" s="641"/>
      <c r="E215" s="641"/>
      <c r="F215" s="641"/>
      <c r="G215" s="641"/>
      <c r="H215" s="641"/>
      <c r="I215" s="641"/>
      <c r="J215" s="641"/>
      <c r="K215" s="641"/>
      <c r="L215" s="641"/>
      <c r="M215" s="641"/>
      <c r="N215" s="121"/>
      <c r="O215" s="121"/>
      <c r="P215" s="121"/>
      <c r="Q215" s="121"/>
      <c r="R215" s="121"/>
      <c r="S215" s="121"/>
      <c r="T215" s="121"/>
      <c r="U215" s="121"/>
      <c r="V215" s="121"/>
      <c r="W215" s="121">
        <v>0.35614764981853575</v>
      </c>
      <c r="X215" s="121">
        <v>0.15573770491803288</v>
      </c>
      <c r="Y215" s="121">
        <v>0.29185282322623934</v>
      </c>
      <c r="Z215" s="121">
        <v>0.28745647203001001</v>
      </c>
      <c r="AA215" s="121">
        <v>0.40252715855093291</v>
      </c>
      <c r="AB215" s="121">
        <v>0.34293131932971455</v>
      </c>
      <c r="AC215" s="121">
        <v>0.48597819866104108</v>
      </c>
      <c r="AD215" s="121">
        <v>0.44054022066462395</v>
      </c>
      <c r="AE215" s="121">
        <v>0.47495682210708129</v>
      </c>
      <c r="AF215" s="121">
        <v>0.36996058363875262</v>
      </c>
      <c r="AG215" s="121">
        <v>0.40072602126205126</v>
      </c>
      <c r="AH215" s="121">
        <v>0.22968158289824545</v>
      </c>
      <c r="AI215" s="121">
        <v>0.45427800659435802</v>
      </c>
      <c r="AJ215" s="121">
        <v>0.32222166824550041</v>
      </c>
      <c r="AK215" s="121">
        <v>0.42240515530756984</v>
      </c>
      <c r="AL215" s="121">
        <v>0.30169391445547489</v>
      </c>
      <c r="AM215" s="121">
        <v>0.44435316741659037</v>
      </c>
      <c r="AN215" s="121">
        <v>0.36307741234463198</v>
      </c>
      <c r="AO215" s="121">
        <v>0.39295475780888417</v>
      </c>
      <c r="AP215" s="121">
        <v>0.32939591581921807</v>
      </c>
      <c r="AQ215" s="733"/>
      <c r="AR215" s="733"/>
      <c r="AS215" s="733"/>
      <c r="AT215" s="733"/>
      <c r="AU215" s="733"/>
      <c r="AV215" s="733"/>
      <c r="AW215" s="733"/>
      <c r="AX215" s="733"/>
      <c r="AY215" s="733"/>
      <c r="AZ215" s="733"/>
      <c r="BA215" s="733"/>
      <c r="BB215" s="733"/>
      <c r="BC215" s="733"/>
      <c r="BD215" s="733"/>
      <c r="BE215" s="733"/>
      <c r="BF215" s="733"/>
      <c r="BG215" s="733"/>
      <c r="BH215" s="733"/>
      <c r="BI215" s="733"/>
      <c r="BJ215" s="733"/>
      <c r="BK215" s="733">
        <f>+BK214/BK$34</f>
        <v>0.40415060873521413</v>
      </c>
      <c r="BL215" s="733">
        <f t="shared" ref="BL215:BW215" si="1594">+BL214/BL$34</f>
        <v>0.33398352969225725</v>
      </c>
      <c r="BM215" s="733">
        <f t="shared" si="1594"/>
        <v>0.35134280123608486</v>
      </c>
      <c r="BN215" s="733">
        <f t="shared" si="1594"/>
        <v>0.32539387160659655</v>
      </c>
      <c r="BO215" s="733">
        <f t="shared" si="1594"/>
        <v>6.5898475991849031E-2</v>
      </c>
      <c r="BP215" s="733">
        <f t="shared" si="1594"/>
        <v>0.19640365715773442</v>
      </c>
      <c r="BQ215" s="733">
        <f t="shared" si="1594"/>
        <v>-0.36845488922660291</v>
      </c>
      <c r="BR215" s="733">
        <f t="shared" si="1594"/>
        <v>0.3837261807540745</v>
      </c>
      <c r="BS215" s="733">
        <f t="shared" si="1594"/>
        <v>0.31952008738253368</v>
      </c>
      <c r="BT215" s="733">
        <f t="shared" si="1594"/>
        <v>0.22253682838882408</v>
      </c>
      <c r="BU215" s="733">
        <f t="shared" si="1594"/>
        <v>0.28936018157173043</v>
      </c>
      <c r="BV215" s="733">
        <f t="shared" si="1594"/>
        <v>0.16420753957294859</v>
      </c>
      <c r="BW215" s="733">
        <f t="shared" si="1594"/>
        <v>0.22123043935319125</v>
      </c>
      <c r="BX215" s="733">
        <f t="shared" ref="BX215:CC215" si="1595">+BX214/BX$34</f>
        <v>2.5576441658973166E-2</v>
      </c>
      <c r="BY215" s="733">
        <f t="shared" si="1595"/>
        <v>4.6318056457047931E-2</v>
      </c>
      <c r="BZ215" s="733">
        <f t="shared" si="1595"/>
        <v>-7.5441996167915193E-2</v>
      </c>
      <c r="CA215" s="733">
        <f t="shared" si="1595"/>
        <v>-2.0754500344867203E-2</v>
      </c>
      <c r="CB215" s="733">
        <f t="shared" si="1595"/>
        <v>-0.10349326283446325</v>
      </c>
      <c r="CC215" s="733">
        <f t="shared" si="1595"/>
        <v>-7.6037903945855717E-2</v>
      </c>
      <c r="CD215" s="733">
        <f t="shared" ref="CD215" si="1596">+CD214/CD$34</f>
        <v>6.8736252360333296E-3</v>
      </c>
      <c r="CE215" s="733">
        <f t="shared" ref="CE215:CH215" si="1597">+CE214/CE$34</f>
        <v>2.9985255720400103E-2</v>
      </c>
      <c r="CF215" s="733">
        <f t="shared" si="1597"/>
        <v>7.8918332319260473E-2</v>
      </c>
      <c r="CG215" s="733">
        <f t="shared" si="1597"/>
        <v>0.13418493392121142</v>
      </c>
      <c r="CH215" s="733">
        <f t="shared" si="1597"/>
        <v>0.13873582287235728</v>
      </c>
      <c r="CI215" s="733">
        <f t="shared" ref="CI215:CL215" si="1598">+CI214/CI$34</f>
        <v>0.38037117183505853</v>
      </c>
      <c r="CJ215" s="733">
        <f t="shared" si="1598"/>
        <v>0.22871697339432367</v>
      </c>
      <c r="CK215" s="733">
        <f t="shared" si="1598"/>
        <v>0.16478872808022732</v>
      </c>
      <c r="CL215" s="733">
        <f t="shared" si="1598"/>
        <v>0.16554831288497435</v>
      </c>
      <c r="CM215" s="733">
        <f t="shared" ref="CM215:CP215" si="1599">+CM214/CM$34</f>
        <v>0.21325240836594361</v>
      </c>
      <c r="CN215" s="733">
        <f t="shared" si="1599"/>
        <v>-4.6743534940061504E-2</v>
      </c>
      <c r="CO215" s="733">
        <f t="shared" si="1599"/>
        <v>8.3190502105215738E-2</v>
      </c>
      <c r="CP215" s="733">
        <f t="shared" si="1599"/>
        <v>0.17528641234226067</v>
      </c>
      <c r="CQ215" s="733"/>
      <c r="CR215" s="733"/>
      <c r="CS215" s="644"/>
      <c r="CT215" s="733">
        <v>0.16554831288497435</v>
      </c>
      <c r="CU215" s="1103"/>
      <c r="CV215" s="121"/>
      <c r="CW215" s="121"/>
      <c r="CX215" s="121" t="e">
        <v>#REF!</v>
      </c>
      <c r="CY215" s="121" t="e">
        <v>#REF!</v>
      </c>
      <c r="CZ215" s="121" t="e">
        <v>#REF!</v>
      </c>
      <c r="DA215" s="121">
        <v>0.27307709390734841</v>
      </c>
      <c r="DB215" s="121">
        <v>0.41939138206988302</v>
      </c>
      <c r="DC215" s="121">
        <v>0.36586863824336269</v>
      </c>
      <c r="DD215" s="121">
        <v>0.37182559892946665</v>
      </c>
      <c r="DE215" s="121">
        <v>0.38065951780207447</v>
      </c>
      <c r="DF215" s="733">
        <f t="shared" ref="DF215:DS215" si="1600">+DF214/DF$34</f>
        <v>0.37946957965373396</v>
      </c>
      <c r="DG215" s="733">
        <f t="shared" si="1600"/>
        <v>0.30008381988230648</v>
      </c>
      <c r="DH215" s="733">
        <f t="shared" si="1600"/>
        <v>0.34428805928020811</v>
      </c>
      <c r="DI215" s="733">
        <f t="shared" si="1600"/>
        <v>0.39277591941551609</v>
      </c>
      <c r="DJ215" s="733">
        <f t="shared" si="1600"/>
        <v>0.3712973126038675</v>
      </c>
      <c r="DK215" s="733">
        <f t="shared" si="1600"/>
        <v>0.35143953589642707</v>
      </c>
      <c r="DL215" s="733">
        <f t="shared" si="1600"/>
        <v>9.3443442926093495E-2</v>
      </c>
      <c r="DM215" s="733">
        <f t="shared" si="1600"/>
        <v>0.24226325450240008</v>
      </c>
      <c r="DN215" s="733">
        <f t="shared" si="1600"/>
        <v>4.7371692555248437E-2</v>
      </c>
      <c r="DO215" s="733">
        <f t="shared" si="1600"/>
        <v>-4.9379878156629774E-2</v>
      </c>
      <c r="DP215" s="733">
        <f t="shared" ref="DP215:DQ215" si="1601">+DP214/DP$34</f>
        <v>9.5134028670109477E-2</v>
      </c>
      <c r="DQ215" s="733">
        <f t="shared" si="1601"/>
        <v>0.23697956638041262</v>
      </c>
      <c r="DR215" s="733">
        <f t="shared" ref="DR215" si="1602">+DR214/DR$34</f>
        <v>0.10602484219459726</v>
      </c>
      <c r="DS215" s="733">
        <f t="shared" si="1600"/>
        <v>0.19651055373570384</v>
      </c>
      <c r="DT215" s="733">
        <f t="shared" ref="DT215:DV215" si="1603">+DT214/DT$34</f>
        <v>0.20782489817455843</v>
      </c>
      <c r="DU215" s="733">
        <f t="shared" si="1603"/>
        <v>0.21534394839038695</v>
      </c>
      <c r="DV215" s="733">
        <f t="shared" si="1603"/>
        <v>0.22181246325169293</v>
      </c>
      <c r="DY215" s="733">
        <v>0.10690878008166323</v>
      </c>
      <c r="DZ215" s="733">
        <v>0.12972709685201486</v>
      </c>
    </row>
    <row r="216" spans="1:130">
      <c r="A216" s="1330" t="s">
        <v>169</v>
      </c>
      <c r="B216" s="8"/>
      <c r="C216" s="8"/>
      <c r="D216" s="8"/>
      <c r="E216" s="8"/>
      <c r="F216" s="8"/>
      <c r="G216" s="8"/>
      <c r="H216" s="8"/>
      <c r="I216" s="8"/>
      <c r="J216" s="8"/>
      <c r="K216" s="8"/>
      <c r="L216" s="8"/>
      <c r="M216" s="8"/>
      <c r="N216" s="113"/>
      <c r="O216" s="8"/>
      <c r="P216" s="8"/>
      <c r="Q216" s="8"/>
      <c r="R216" s="8"/>
      <c r="S216" s="8"/>
      <c r="T216" s="8"/>
      <c r="U216" s="8"/>
      <c r="V216" s="8"/>
      <c r="W216" s="8" t="e">
        <v>#DIV/0!</v>
      </c>
      <c r="X216" s="8" t="e">
        <v>#DIV/0!</v>
      </c>
      <c r="Y216" s="8" t="e">
        <v>#DIV/0!</v>
      </c>
      <c r="Z216" s="8" t="e">
        <v>#DIV/0!</v>
      </c>
      <c r="AA216" s="8">
        <v>0.30958890490629898</v>
      </c>
      <c r="AB216" s="8">
        <v>1.7028121238647547</v>
      </c>
      <c r="AC216" s="8">
        <v>0.90768025078369874</v>
      </c>
      <c r="AD216" s="8">
        <v>0.74170739315794942</v>
      </c>
      <c r="AE216" s="8">
        <v>0.46137787056367419</v>
      </c>
      <c r="AF216" s="8">
        <v>0.29954252864256503</v>
      </c>
      <c r="AG216" s="8">
        <v>-6.8824802125270423E-2</v>
      </c>
      <c r="AH216" s="8">
        <v>-0.38805970149253732</v>
      </c>
      <c r="AI216" s="8">
        <v>6.2857142857142279E-2</v>
      </c>
      <c r="AJ216" s="8">
        <v>6.6666666666665986E-3</v>
      </c>
      <c r="AK216" s="8">
        <v>0.2647058823529409</v>
      </c>
      <c r="AL216" s="8">
        <v>0.59512195121951272</v>
      </c>
      <c r="AM216" s="8">
        <v>0.16324535679374419</v>
      </c>
      <c r="AN216" s="8">
        <v>0.2718945348765236</v>
      </c>
      <c r="AO216" s="8">
        <v>4.6511627906976605E-2</v>
      </c>
      <c r="AP216" s="8">
        <v>0.22629969418960116</v>
      </c>
      <c r="AQ216" s="8"/>
      <c r="AR216" s="8"/>
      <c r="AS216" s="8"/>
      <c r="AT216" s="8"/>
      <c r="AU216" s="8"/>
      <c r="AV216" s="8"/>
      <c r="AW216" s="8"/>
      <c r="AX216" s="8"/>
      <c r="AY216" s="8"/>
      <c r="AZ216" s="8"/>
      <c r="BA216" s="8"/>
      <c r="BB216" s="8"/>
      <c r="BC216" s="8"/>
      <c r="BD216" s="8"/>
      <c r="BE216" s="8"/>
      <c r="BF216" s="8"/>
      <c r="BG216" s="8"/>
      <c r="BH216" s="8"/>
      <c r="BI216" s="8"/>
      <c r="BJ216" s="8"/>
      <c r="BK216" s="8" t="e">
        <f t="shared" ref="BK216:CD216" si="1604">BK214/BG214-1</f>
        <v>#DIV/0!</v>
      </c>
      <c r="BL216" s="8" t="e">
        <f t="shared" si="1604"/>
        <v>#DIV/0!</v>
      </c>
      <c r="BM216" s="8" t="e">
        <f t="shared" si="1604"/>
        <v>#DIV/0!</v>
      </c>
      <c r="BN216" s="8" t="e">
        <f t="shared" si="1604"/>
        <v>#DIV/0!</v>
      </c>
      <c r="BO216" s="8">
        <f t="shared" si="1604"/>
        <v>-0.78852379845834664</v>
      </c>
      <c r="BP216" s="8">
        <f t="shared" si="1604"/>
        <v>-0.42004643320737434</v>
      </c>
      <c r="BQ216" s="8">
        <f t="shared" si="1604"/>
        <v>-1.49553748466695</v>
      </c>
      <c r="BR216" s="8">
        <f t="shared" si="1604"/>
        <v>-0.4004674322857571</v>
      </c>
      <c r="BS216" s="8">
        <f t="shared" si="1604"/>
        <v>2.3549554284132541</v>
      </c>
      <c r="BT216" s="8">
        <f t="shared" si="1604"/>
        <v>-2.4129314525843659E-2</v>
      </c>
      <c r="BU216" s="8">
        <f t="shared" si="1604"/>
        <v>-2.4500810092536716</v>
      </c>
      <c r="BV216" s="8">
        <f t="shared" si="1604"/>
        <v>-0.14335472542125027</v>
      </c>
      <c r="BW216" s="8">
        <f t="shared" si="1604"/>
        <v>0.22331606434351525</v>
      </c>
      <c r="BX216" s="8">
        <f t="shared" si="1604"/>
        <v>-0.77636518743241612</v>
      </c>
      <c r="BY216" s="8">
        <f t="shared" si="1604"/>
        <v>-0.74892768226330808</v>
      </c>
      <c r="BZ216" s="8">
        <f t="shared" si="1604"/>
        <v>-1.6786596879780371</v>
      </c>
      <c r="CA216" s="8">
        <f t="shared" si="1604"/>
        <v>-1.1216953777519534</v>
      </c>
      <c r="CB216" s="8">
        <f t="shared" si="1604"/>
        <v>-5.6587656774153103</v>
      </c>
      <c r="CC216" s="8">
        <f t="shared" si="1604"/>
        <v>-2.8820248773154375</v>
      </c>
      <c r="CD216" s="8">
        <f t="shared" si="1604"/>
        <v>-1.0921364143265309</v>
      </c>
      <c r="CE216" s="8">
        <f t="shared" ref="CE216" si="1605">CE214/CA214-1</f>
        <v>-2.2985090629780061</v>
      </c>
      <c r="CF216" s="8">
        <f t="shared" ref="CF216" si="1606">CF214/CB214-1</f>
        <v>-1.6474374171488806</v>
      </c>
      <c r="CG216" s="8">
        <f t="shared" ref="CG216:CH216" si="1607">CG214/CC214-1</f>
        <v>-2.6635232132931317</v>
      </c>
      <c r="CH216" s="8">
        <f t="shared" si="1607"/>
        <v>18.22733189755991</v>
      </c>
      <c r="CI216" s="8">
        <f t="shared" ref="CI216" si="1608">CI214/CE214-1</f>
        <v>13.211725048500229</v>
      </c>
      <c r="CJ216" s="8">
        <f t="shared" ref="CJ216" si="1609">CJ214/CF214-1</f>
        <v>2.4076072141192713</v>
      </c>
      <c r="CK216" s="8">
        <f t="shared" ref="CK216" si="1610">CK214/CG214-1</f>
        <v>0.36871204336919394</v>
      </c>
      <c r="CL216" s="192">
        <f t="shared" ref="CL216" si="1611">CL214/CH214-1</f>
        <v>0.22930492226834076</v>
      </c>
      <c r="CM216" s="192">
        <f t="shared" ref="CM216" si="1612">CM214/CI214-1</f>
        <v>-0.44194705353661889</v>
      </c>
      <c r="CN216" s="192">
        <f t="shared" ref="CN216" si="1613">CN214/CJ214-1</f>
        <v>-1.1991469780850192</v>
      </c>
      <c r="CO216" s="192">
        <f t="shared" ref="CO216" si="1614">CO214/CK214-1</f>
        <v>-0.47019756490435338</v>
      </c>
      <c r="CP216" s="192">
        <f t="shared" ref="CP216" si="1615">CP214/CL214-1</f>
        <v>0.18249142509183347</v>
      </c>
      <c r="CQ216" s="192"/>
      <c r="CR216" s="192"/>
      <c r="CS216" s="192"/>
      <c r="CT216" s="192">
        <v>0.22930492226834076</v>
      </c>
      <c r="CU216" s="694"/>
      <c r="CV216" s="8"/>
      <c r="CW216" s="8"/>
      <c r="CX216" s="8"/>
      <c r="CY216" s="8" t="e">
        <v>#REF!</v>
      </c>
      <c r="CZ216" s="8" t="e">
        <v>#REF!</v>
      </c>
      <c r="DA216" s="8" t="e">
        <v>#REF!</v>
      </c>
      <c r="DB216" s="8">
        <v>0.79001922223865173</v>
      </c>
      <c r="DC216" s="8">
        <v>3.3380417812802099E-2</v>
      </c>
      <c r="DD216" s="8">
        <v>0.1905195843325338</v>
      </c>
      <c r="DE216" s="8">
        <v>0.16695986141512309</v>
      </c>
      <c r="DF216" s="192">
        <f t="shared" ref="DF216:DK216" si="1616">DF214/DE214-1</f>
        <v>0.25201380897583459</v>
      </c>
      <c r="DG216" s="192">
        <f t="shared" si="1616"/>
        <v>-4.2454044117647083E-2</v>
      </c>
      <c r="DH216" s="192">
        <f t="shared" si="1616"/>
        <v>0.20592526468357986</v>
      </c>
      <c r="DI216" s="192">
        <f t="shared" si="1616"/>
        <v>0.31967731793416609</v>
      </c>
      <c r="DJ216" s="192">
        <f t="shared" si="1616"/>
        <v>5.3791296796686705E-2</v>
      </c>
      <c r="DK216" s="192">
        <f t="shared" si="1616"/>
        <v>0.12014623391700896</v>
      </c>
      <c r="DL216" s="192">
        <f>DL214/DK214-1</f>
        <v>-0.79072431955410405</v>
      </c>
      <c r="DM216" s="192">
        <f>DM214/DL214-1</f>
        <v>2.0043720818755726</v>
      </c>
      <c r="DN216" s="192">
        <f t="shared" ref="DN216:DS216" si="1617">DN214/DM214-1</f>
        <v>-0.67366192393523106</v>
      </c>
      <c r="DO216" s="192">
        <f t="shared" si="1617"/>
        <v>-2.1937494892992548</v>
      </c>
      <c r="DP216" s="192">
        <f t="shared" si="1617"/>
        <v>-2.7508440057127088</v>
      </c>
      <c r="DQ216" s="192">
        <f t="shared" si="1617"/>
        <v>1.7653794497387132</v>
      </c>
      <c r="DR216" s="192">
        <f t="shared" si="1617"/>
        <v>-0.5385206024952367</v>
      </c>
      <c r="DS216" s="192">
        <f t="shared" si="1617"/>
        <v>0.98392541097164798</v>
      </c>
      <c r="DT216" s="192">
        <f t="shared" ref="DT216" si="1618">DT214/DS214-1</f>
        <v>6.1083138938654358E-2</v>
      </c>
      <c r="DU216" s="192">
        <f t="shared" ref="DU216" si="1619">DU214/DT214-1</f>
        <v>4.0279116251028535E-2</v>
      </c>
      <c r="DV216" s="192">
        <f t="shared" ref="DV216" si="1620">DV214/DU214-1</f>
        <v>3.4496630273109119E-2</v>
      </c>
      <c r="DY216" s="192">
        <v>-0.59079161617323916</v>
      </c>
      <c r="DZ216" s="192">
        <v>0.2174646415105852</v>
      </c>
    </row>
    <row r="217" spans="1:130">
      <c r="A217" s="1338" t="s">
        <v>253</v>
      </c>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f t="shared" ref="BK217:CH217" si="1621">+BK215-BK182</f>
        <v>-4.4216684589148958E-5</v>
      </c>
      <c r="BL217" s="8">
        <f t="shared" si="1621"/>
        <v>-6.6542016652293423E-5</v>
      </c>
      <c r="BM217" s="8">
        <f t="shared" si="1621"/>
        <v>-9.3908981693480165E-5</v>
      </c>
      <c r="BN217" s="8">
        <f t="shared" si="1621"/>
        <v>-4.3537739399301945E-5</v>
      </c>
      <c r="BO217" s="8">
        <f t="shared" si="1621"/>
        <v>-2.0696406988929272E-5</v>
      </c>
      <c r="BP217" s="8">
        <f t="shared" si="1621"/>
        <v>6.0587458623417856E-5</v>
      </c>
      <c r="BQ217" s="8">
        <f t="shared" si="1621"/>
        <v>0</v>
      </c>
      <c r="BR217" s="8">
        <f t="shared" si="1621"/>
        <v>6.3622221792880573E-4</v>
      </c>
      <c r="BS217" s="8">
        <f t="shared" si="1621"/>
        <v>-3.2948192665577247E-4</v>
      </c>
      <c r="BT217" s="8">
        <f t="shared" si="1621"/>
        <v>-9.7875372470634936E-7</v>
      </c>
      <c r="BU217" s="8">
        <f t="shared" si="1621"/>
        <v>4.1204576522824166E-4</v>
      </c>
      <c r="BV217" s="8">
        <f t="shared" si="1621"/>
        <v>-1.5979991238609659E-3</v>
      </c>
      <c r="BW217" s="8">
        <f t="shared" si="1621"/>
        <v>-1.0445561471101039E-3</v>
      </c>
      <c r="BX217" s="8">
        <f t="shared" si="1621"/>
        <v>-9.4200518429076938E-4</v>
      </c>
      <c r="BY217" s="8">
        <f t="shared" si="1621"/>
        <v>-9.9489941831974044E-4</v>
      </c>
      <c r="BZ217" s="8">
        <f t="shared" si="1621"/>
        <v>0</v>
      </c>
      <c r="CA217" s="8">
        <f t="shared" si="1621"/>
        <v>0</v>
      </c>
      <c r="CB217" s="8">
        <f t="shared" si="1621"/>
        <v>0</v>
      </c>
      <c r="CC217" s="8">
        <f t="shared" si="1621"/>
        <v>0</v>
      </c>
      <c r="CD217" s="8">
        <f t="shared" ref="CD217" si="1622">+CD215-CD182</f>
        <v>0</v>
      </c>
      <c r="CE217" s="8">
        <f t="shared" si="1621"/>
        <v>0</v>
      </c>
      <c r="CF217" s="8">
        <f t="shared" si="1621"/>
        <v>0</v>
      </c>
      <c r="CG217" s="8">
        <f t="shared" si="1621"/>
        <v>0</v>
      </c>
      <c r="CH217" s="8">
        <f t="shared" si="1621"/>
        <v>0</v>
      </c>
      <c r="CI217" s="8">
        <f t="shared" ref="CI217:CL217" si="1623">+CI215-CI182</f>
        <v>0</v>
      </c>
      <c r="CJ217" s="8">
        <f t="shared" si="1623"/>
        <v>0</v>
      </c>
      <c r="CK217" s="8">
        <f t="shared" si="1623"/>
        <v>0</v>
      </c>
      <c r="CL217" s="8">
        <f t="shared" si="1623"/>
        <v>0</v>
      </c>
      <c r="CM217" s="8">
        <f t="shared" ref="CM217:CP217" si="1624">+CM215-CM182</f>
        <v>0</v>
      </c>
      <c r="CN217" s="8">
        <f t="shared" si="1624"/>
        <v>0</v>
      </c>
      <c r="CO217" s="8">
        <f t="shared" si="1624"/>
        <v>0</v>
      </c>
      <c r="CP217" s="8">
        <f t="shared" si="1624"/>
        <v>0</v>
      </c>
      <c r="CQ217" s="8"/>
      <c r="CR217" s="8"/>
      <c r="CS217" s="8"/>
      <c r="CT217" s="8">
        <v>0</v>
      </c>
      <c r="CU217" s="694"/>
      <c r="CV217" s="8"/>
      <c r="CW217" s="8"/>
      <c r="CX217" s="8"/>
      <c r="CY217" s="8"/>
      <c r="CZ217" s="8"/>
      <c r="DA217" s="8"/>
      <c r="DB217" s="8"/>
      <c r="DC217" s="8"/>
      <c r="DD217" s="8"/>
      <c r="DE217" s="8"/>
      <c r="DF217" s="8">
        <f t="shared" ref="DF217:DV217" si="1625">+DF215-DF182</f>
        <v>0</v>
      </c>
      <c r="DG217" s="8">
        <f t="shared" si="1625"/>
        <v>0</v>
      </c>
      <c r="DH217" s="8">
        <f t="shared" si="1625"/>
        <v>0</v>
      </c>
      <c r="DI217" s="8">
        <f t="shared" si="1625"/>
        <v>0</v>
      </c>
      <c r="DJ217" s="8">
        <f t="shared" si="1625"/>
        <v>0</v>
      </c>
      <c r="DK217" s="8">
        <f t="shared" si="1625"/>
        <v>-6.2605356347222862E-5</v>
      </c>
      <c r="DL217" s="8">
        <f t="shared" si="1625"/>
        <v>1.2390431766035048E-4</v>
      </c>
      <c r="DM217" s="8">
        <f t="shared" si="1625"/>
        <v>-4.5571503519356571E-4</v>
      </c>
      <c r="DN217" s="8">
        <f t="shared" si="1625"/>
        <v>-7.2254447775133013E-4</v>
      </c>
      <c r="DO217" s="8">
        <f t="shared" si="1625"/>
        <v>0</v>
      </c>
      <c r="DP217" s="8">
        <f t="shared" si="1625"/>
        <v>0</v>
      </c>
      <c r="DQ217" s="8">
        <f t="shared" ref="DQ217:DR217" si="1626">+DQ215-DQ182</f>
        <v>0</v>
      </c>
      <c r="DR217" s="8">
        <f t="shared" si="1626"/>
        <v>0</v>
      </c>
      <c r="DS217" s="8">
        <f t="shared" si="1625"/>
        <v>0</v>
      </c>
      <c r="DT217" s="8">
        <f t="shared" si="1625"/>
        <v>0</v>
      </c>
      <c r="DU217" s="8">
        <f t="shared" si="1625"/>
        <v>0</v>
      </c>
      <c r="DV217" s="8">
        <f t="shared" si="1625"/>
        <v>0</v>
      </c>
      <c r="DY217" s="8">
        <v>0</v>
      </c>
      <c r="DZ217" s="8">
        <v>0</v>
      </c>
    </row>
    <row r="218" spans="1:130">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116"/>
      <c r="BR218" s="116"/>
      <c r="BS218" s="116"/>
      <c r="BT218" s="116"/>
      <c r="BU218" s="116"/>
      <c r="BV218" s="116"/>
      <c r="BW218" s="116"/>
      <c r="BX218" s="116"/>
      <c r="BY218" s="116"/>
      <c r="BZ218" s="116"/>
      <c r="CA218" s="116"/>
      <c r="CB218" s="116"/>
      <c r="CC218" s="116"/>
      <c r="CD218" s="116"/>
      <c r="CE218" s="116"/>
      <c r="CF218" s="116"/>
      <c r="CG218" s="116"/>
      <c r="CH218" s="116"/>
      <c r="CI218" s="116"/>
      <c r="CJ218" s="116"/>
      <c r="CK218" s="116"/>
      <c r="CL218" s="192"/>
      <c r="CM218" s="192"/>
      <c r="CN218" s="192"/>
      <c r="CO218" s="192"/>
      <c r="CP218" s="192"/>
      <c r="CQ218" s="192"/>
      <c r="CR218" s="192"/>
      <c r="CS218" s="192"/>
      <c r="CT218" s="192"/>
      <c r="CU218" s="694"/>
      <c r="CV218" s="8"/>
      <c r="CW218" s="8"/>
      <c r="CX218" s="8"/>
      <c r="CY218" s="8"/>
      <c r="CZ218" s="8"/>
      <c r="DA218" s="8"/>
      <c r="DB218" s="8"/>
      <c r="DC218" s="8"/>
      <c r="DD218" s="8"/>
      <c r="DE218" s="8"/>
      <c r="DF218" s="8"/>
      <c r="DG218" s="8"/>
      <c r="DH218" s="8"/>
      <c r="DI218" s="8"/>
      <c r="DJ218" s="8"/>
      <c r="DK218" s="8"/>
      <c r="DL218" s="116"/>
      <c r="DM218" s="116"/>
      <c r="DN218" s="116"/>
      <c r="DO218" s="116"/>
      <c r="DP218" s="116"/>
      <c r="DQ218" s="116"/>
      <c r="DR218" s="116"/>
      <c r="DS218" s="192"/>
      <c r="DT218" s="192"/>
      <c r="DU218" s="192"/>
      <c r="DV218" s="192"/>
      <c r="DY218" s="192"/>
      <c r="DZ218" s="192"/>
    </row>
    <row r="219" spans="1:130">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116"/>
      <c r="BR219" s="116"/>
      <c r="BS219" s="116"/>
      <c r="BT219" s="116"/>
      <c r="BU219" s="116"/>
      <c r="BV219" s="116"/>
      <c r="BW219" s="116"/>
      <c r="BX219" s="116"/>
      <c r="BY219" s="116"/>
      <c r="BZ219" s="116"/>
      <c r="CA219" s="116"/>
      <c r="CB219" s="116"/>
      <c r="CC219" s="116"/>
      <c r="CD219" s="116"/>
      <c r="CE219" s="116"/>
      <c r="CF219" s="116"/>
      <c r="CG219" s="116"/>
      <c r="CH219" s="116"/>
      <c r="CI219" s="116"/>
      <c r="CJ219" s="116"/>
      <c r="CK219" s="116"/>
      <c r="CL219" s="192"/>
      <c r="CM219" s="192"/>
      <c r="CN219" s="192"/>
      <c r="CO219" s="192"/>
      <c r="CP219" s="192"/>
      <c r="CQ219" s="192"/>
      <c r="CR219" s="192"/>
      <c r="CS219" s="192"/>
      <c r="CT219" s="192"/>
      <c r="CU219" s="694"/>
      <c r="CV219" s="8"/>
      <c r="CW219" s="8"/>
      <c r="CX219" s="8"/>
      <c r="CY219" s="8"/>
      <c r="CZ219" s="8"/>
      <c r="DA219" s="8"/>
      <c r="DB219" s="8"/>
      <c r="DC219" s="8"/>
      <c r="DD219" s="8"/>
      <c r="DE219" s="8"/>
      <c r="DF219" s="8"/>
      <c r="DG219" s="8"/>
      <c r="DH219" s="8"/>
      <c r="DI219" s="8"/>
      <c r="DJ219" s="8"/>
      <c r="DK219" s="8"/>
      <c r="DL219" s="116"/>
      <c r="DM219" s="116"/>
      <c r="DN219" s="116"/>
      <c r="DO219" s="116"/>
      <c r="DP219" s="116"/>
      <c r="DQ219" s="116"/>
      <c r="DR219" s="116"/>
      <c r="DS219" s="192"/>
      <c r="DT219" s="192"/>
      <c r="DU219" s="192"/>
      <c r="DV219" s="192"/>
      <c r="DY219" s="192"/>
      <c r="DZ219" s="192"/>
    </row>
    <row r="220" spans="1:13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116"/>
      <c r="BR220" s="116"/>
      <c r="BS220" s="116"/>
      <c r="BT220" s="116"/>
      <c r="BU220" s="116"/>
      <c r="BV220" s="116"/>
      <c r="BW220" s="116"/>
      <c r="BX220" s="116"/>
      <c r="BY220" s="116"/>
      <c r="BZ220" s="116"/>
      <c r="CA220" s="116"/>
      <c r="CB220" s="116"/>
      <c r="CC220" s="116"/>
      <c r="CD220" s="116"/>
      <c r="CE220" s="116"/>
      <c r="CF220" s="116"/>
      <c r="CG220" s="116"/>
      <c r="CH220" s="116"/>
      <c r="CI220" s="116"/>
      <c r="CJ220" s="116"/>
      <c r="CK220" s="116"/>
      <c r="CL220" s="192"/>
      <c r="CM220" s="192"/>
      <c r="CN220" s="192"/>
      <c r="CO220" s="192"/>
      <c r="CP220" s="192"/>
      <c r="CQ220" s="192"/>
      <c r="CR220" s="192"/>
      <c r="CS220" s="192"/>
      <c r="CT220" s="192"/>
      <c r="CU220" s="694"/>
      <c r="CV220" s="8"/>
      <c r="CW220" s="8"/>
      <c r="CX220" s="8"/>
      <c r="CY220" s="8"/>
      <c r="CZ220" s="8"/>
      <c r="DA220" s="8"/>
      <c r="DB220" s="8"/>
      <c r="DC220" s="8"/>
      <c r="DD220" s="8"/>
      <c r="DE220" s="8"/>
      <c r="DF220" s="8"/>
      <c r="DG220" s="8"/>
      <c r="DH220" s="8"/>
      <c r="DI220" s="8"/>
      <c r="DJ220" s="8"/>
      <c r="DK220" s="8"/>
      <c r="DL220" s="116"/>
      <c r="DM220" s="116"/>
      <c r="DN220" s="116"/>
      <c r="DO220" s="116"/>
      <c r="DP220" s="116"/>
      <c r="DQ220" s="116"/>
      <c r="DR220" s="116"/>
      <c r="DS220" s="192"/>
      <c r="DT220" s="192"/>
      <c r="DU220" s="192"/>
      <c r="DV220" s="192"/>
      <c r="DY220" s="192"/>
      <c r="DZ220" s="192"/>
    </row>
    <row r="221" spans="1:130" s="739" customFormat="1">
      <c r="A221" s="738" t="s">
        <v>256</v>
      </c>
      <c r="B221" s="738"/>
      <c r="C221" s="738"/>
      <c r="D221" s="738"/>
      <c r="E221" s="738"/>
      <c r="F221" s="738"/>
      <c r="G221" s="738"/>
      <c r="H221" s="738"/>
      <c r="I221" s="738"/>
      <c r="J221" s="738"/>
      <c r="K221" s="738"/>
      <c r="L221" s="738"/>
      <c r="M221" s="738"/>
      <c r="N221" s="738"/>
      <c r="O221" s="738"/>
      <c r="P221" s="738"/>
      <c r="Q221" s="738"/>
      <c r="R221" s="738"/>
      <c r="S221" s="738"/>
      <c r="T221" s="738"/>
      <c r="U221" s="738"/>
      <c r="V221" s="738"/>
      <c r="W221" s="738"/>
      <c r="X221" s="738"/>
      <c r="Y221" s="738"/>
      <c r="Z221" s="738"/>
      <c r="AA221" s="738"/>
      <c r="AB221" s="738"/>
      <c r="AC221" s="738"/>
      <c r="AD221" s="738"/>
      <c r="AE221" s="738"/>
      <c r="AF221" s="738"/>
      <c r="AG221" s="738"/>
      <c r="AH221" s="738"/>
      <c r="AI221" s="738"/>
      <c r="AJ221" s="738"/>
      <c r="AK221" s="738"/>
      <c r="AL221" s="738"/>
      <c r="AM221" s="738"/>
      <c r="AN221" s="738"/>
      <c r="AO221" s="738"/>
      <c r="AP221" s="738"/>
      <c r="AQ221" s="738"/>
      <c r="AR221" s="738"/>
      <c r="AS221" s="738"/>
      <c r="AT221" s="738"/>
      <c r="AU221" s="738"/>
      <c r="AV221" s="738"/>
      <c r="AW221" s="738"/>
      <c r="AX221" s="738"/>
      <c r="AY221" s="738"/>
      <c r="AZ221" s="738"/>
      <c r="BA221" s="738"/>
      <c r="BB221" s="738"/>
      <c r="BC221" s="738"/>
      <c r="BD221" s="738"/>
      <c r="BE221" s="738"/>
      <c r="BF221" s="738"/>
      <c r="BG221" s="738"/>
      <c r="BH221" s="738"/>
      <c r="BI221" s="738"/>
      <c r="BJ221" s="738"/>
      <c r="BK221" s="738"/>
      <c r="BL221" s="738"/>
      <c r="BM221" s="738"/>
      <c r="BN221" s="738"/>
      <c r="BO221" s="738"/>
      <c r="BP221" s="738"/>
      <c r="BQ221" s="738"/>
      <c r="BR221" s="738"/>
      <c r="BS221" s="738"/>
      <c r="BT221" s="738"/>
      <c r="BU221" s="738"/>
      <c r="BV221" s="738"/>
      <c r="BW221" s="738"/>
      <c r="BX221" s="738"/>
      <c r="BY221" s="738"/>
      <c r="BZ221" s="738"/>
      <c r="CA221" s="738"/>
      <c r="CB221" s="738"/>
      <c r="CC221" s="738"/>
      <c r="CD221" s="738"/>
      <c r="CE221" s="738"/>
      <c r="CF221" s="738"/>
      <c r="CG221" s="738"/>
      <c r="CH221" s="738"/>
      <c r="CI221" s="738"/>
      <c r="CJ221" s="738"/>
      <c r="CK221" s="738"/>
      <c r="CL221" s="738"/>
      <c r="CM221" s="738"/>
      <c r="CN221" s="738"/>
      <c r="CO221" s="738"/>
      <c r="CP221" s="738"/>
      <c r="CQ221" s="738"/>
      <c r="CR221" s="738"/>
      <c r="CS221" s="738"/>
      <c r="CT221" s="738"/>
      <c r="CU221" s="1111"/>
      <c r="CV221" s="738"/>
      <c r="CW221" s="738"/>
      <c r="CX221" s="738"/>
      <c r="CY221" s="738"/>
      <c r="CZ221" s="738"/>
      <c r="DA221" s="738"/>
      <c r="DB221" s="738"/>
      <c r="DC221" s="738"/>
      <c r="DD221" s="738"/>
      <c r="DE221" s="738"/>
      <c r="DF221" s="738"/>
      <c r="DG221" s="738"/>
      <c r="DH221" s="738"/>
      <c r="DI221" s="738"/>
      <c r="DJ221" s="738"/>
      <c r="DK221" s="738"/>
      <c r="DL221" s="738"/>
      <c r="DM221" s="738"/>
      <c r="DN221" s="738"/>
      <c r="DO221" s="738"/>
      <c r="DP221" s="738"/>
      <c r="DQ221" s="738"/>
      <c r="DR221" s="738"/>
      <c r="DS221" s="738"/>
      <c r="DT221" s="738"/>
      <c r="DU221" s="738"/>
      <c r="DV221" s="738"/>
      <c r="DY221" s="738"/>
      <c r="DZ221" s="738"/>
    </row>
    <row r="222" spans="1:130">
      <c r="A222" s="45"/>
      <c r="B222" s="62"/>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c r="AG222" s="63"/>
      <c r="AH222" s="63"/>
      <c r="AI222" s="63"/>
      <c r="AJ222" s="63"/>
      <c r="AK222" s="63"/>
      <c r="AL222" s="63"/>
      <c r="AM222" s="63"/>
      <c r="AN222" s="63"/>
      <c r="AO222" s="63"/>
      <c r="AP222" s="63"/>
      <c r="AQ222" s="63"/>
      <c r="AR222" s="63"/>
      <c r="AS222" s="63"/>
      <c r="AT222" s="63"/>
      <c r="AU222" s="63"/>
      <c r="AV222" s="63"/>
      <c r="AW222" s="63"/>
      <c r="AX222" s="63"/>
      <c r="AY222" s="63"/>
      <c r="AZ222" s="63"/>
      <c r="BA222" s="64"/>
      <c r="BB222" s="63"/>
      <c r="BC222" s="64"/>
      <c r="BD222" s="63"/>
      <c r="BE222" s="63"/>
      <c r="BF222" s="63"/>
      <c r="BG222" s="63"/>
      <c r="BH222" s="1227"/>
      <c r="BI222" s="1227"/>
      <c r="BJ222" s="1227"/>
      <c r="BK222" s="1227"/>
      <c r="BL222" s="1227"/>
      <c r="BM222" s="1227"/>
      <c r="BN222" s="1227"/>
      <c r="BO222" s="1227"/>
      <c r="BP222" s="1227"/>
      <c r="BQ222" s="1227"/>
      <c r="BR222" s="1227"/>
      <c r="BS222" s="1227"/>
      <c r="BT222" s="1227"/>
      <c r="BU222" s="1227"/>
      <c r="BV222" s="1227"/>
      <c r="BW222" s="1227"/>
      <c r="BX222" s="1227"/>
      <c r="BY222" s="1227"/>
      <c r="BZ222" s="1227"/>
      <c r="CA222" s="1227"/>
      <c r="CB222" s="1227"/>
      <c r="CC222" s="1227"/>
      <c r="CD222" s="1227"/>
      <c r="CE222" s="1227"/>
      <c r="CF222" s="1227"/>
      <c r="CG222" s="1227"/>
      <c r="CH222" s="1227"/>
      <c r="CI222" s="1227"/>
      <c r="CJ222" s="1227"/>
      <c r="CK222" s="1227"/>
      <c r="CL222" s="367"/>
      <c r="CM222" s="367"/>
      <c r="CN222" s="367"/>
      <c r="CO222" s="367"/>
      <c r="CP222" s="367"/>
      <c r="CQ222" s="367"/>
      <c r="CR222" s="367"/>
      <c r="CS222" s="367"/>
      <c r="CT222" s="367"/>
      <c r="CU222" s="716"/>
      <c r="CV222" s="63"/>
      <c r="CW222" s="63"/>
      <c r="CX222" s="63"/>
      <c r="CY222" s="63"/>
      <c r="CZ222" s="63"/>
      <c r="DA222" s="63"/>
      <c r="DB222" s="103"/>
      <c r="DC222" s="103"/>
      <c r="DD222" s="103"/>
      <c r="DE222" s="103"/>
      <c r="DF222" s="103"/>
      <c r="DG222" s="103"/>
      <c r="DH222" s="103"/>
      <c r="DI222" s="103"/>
      <c r="DJ222" s="103"/>
      <c r="DK222" s="103"/>
      <c r="DL222" s="1242"/>
      <c r="DM222" s="1242"/>
      <c r="DN222" s="1242"/>
      <c r="DO222" s="1242"/>
      <c r="DP222" s="1242"/>
      <c r="DQ222" s="1242"/>
      <c r="DR222" s="1242"/>
      <c r="DS222" s="403"/>
      <c r="DT222" s="403"/>
      <c r="DU222" s="403"/>
      <c r="DV222" s="403"/>
      <c r="DY222" s="403"/>
      <c r="DZ222" s="403"/>
    </row>
    <row r="223" spans="1:130" s="686" customFormat="1" ht="12.75">
      <c r="A223" s="84" t="s">
        <v>257</v>
      </c>
      <c r="B223" s="740">
        <v>58</v>
      </c>
      <c r="C223" s="740">
        <v>59</v>
      </c>
      <c r="D223" s="740">
        <v>60</v>
      </c>
      <c r="E223" s="740">
        <v>61</v>
      </c>
      <c r="F223" s="740">
        <v>62</v>
      </c>
      <c r="G223" s="740">
        <v>62</v>
      </c>
      <c r="H223" s="740">
        <v>64</v>
      </c>
      <c r="I223" s="740">
        <v>64</v>
      </c>
      <c r="J223" s="740">
        <v>66</v>
      </c>
      <c r="K223" s="740">
        <v>68</v>
      </c>
      <c r="L223" s="740">
        <v>72</v>
      </c>
      <c r="M223" s="740">
        <v>75</v>
      </c>
      <c r="N223" s="740">
        <v>81</v>
      </c>
      <c r="O223" s="740">
        <v>81</v>
      </c>
      <c r="P223" s="740">
        <v>87</v>
      </c>
      <c r="Q223" s="740">
        <v>88</v>
      </c>
      <c r="R223" s="740">
        <v>95</v>
      </c>
      <c r="S223" s="740">
        <v>96</v>
      </c>
      <c r="T223" s="740">
        <v>101</v>
      </c>
      <c r="U223" s="740">
        <v>103</v>
      </c>
      <c r="V223" s="740">
        <v>110</v>
      </c>
      <c r="W223" s="740">
        <v>110</v>
      </c>
      <c r="X223" s="740">
        <v>115</v>
      </c>
      <c r="Y223" s="740">
        <v>116</v>
      </c>
      <c r="Z223" s="740">
        <v>120</v>
      </c>
      <c r="AA223" s="740">
        <v>121</v>
      </c>
      <c r="AB223" s="740">
        <v>125</v>
      </c>
      <c r="AC223" s="740">
        <v>126</v>
      </c>
      <c r="AD223" s="740">
        <v>134</v>
      </c>
      <c r="AE223" s="740">
        <v>134</v>
      </c>
      <c r="AF223" s="740">
        <v>143</v>
      </c>
      <c r="AG223" s="740">
        <v>144</v>
      </c>
      <c r="AH223" s="740">
        <v>164</v>
      </c>
      <c r="AI223" s="740">
        <v>166</v>
      </c>
      <c r="AJ223" s="740">
        <v>171</v>
      </c>
      <c r="AK223" s="740">
        <v>173</v>
      </c>
      <c r="AL223" s="740">
        <v>188</v>
      </c>
      <c r="AM223" s="740">
        <v>189</v>
      </c>
      <c r="AN223" s="740">
        <v>195</v>
      </c>
      <c r="AO223" s="740">
        <v>200</v>
      </c>
      <c r="AP223" s="740">
        <v>217</v>
      </c>
      <c r="AQ223" s="741">
        <v>218</v>
      </c>
      <c r="AR223" s="741">
        <v>228</v>
      </c>
      <c r="AS223" s="741">
        <v>232</v>
      </c>
      <c r="AT223" s="741">
        <v>248</v>
      </c>
      <c r="AU223" s="741">
        <v>249</v>
      </c>
      <c r="AV223" s="741">
        <v>259</v>
      </c>
      <c r="AW223" s="741">
        <v>264</v>
      </c>
      <c r="AX223" s="741">
        <v>275</v>
      </c>
      <c r="AY223" s="741">
        <v>277</v>
      </c>
      <c r="AZ223" s="741">
        <v>284</v>
      </c>
      <c r="BA223" s="741">
        <v>290</v>
      </c>
      <c r="BB223" s="741">
        <v>300</v>
      </c>
      <c r="BC223" s="742">
        <v>303</v>
      </c>
      <c r="BD223" s="741">
        <v>310</v>
      </c>
      <c r="BE223" s="741">
        <v>318</v>
      </c>
      <c r="BF223" s="741">
        <v>330</v>
      </c>
      <c r="BG223" s="741">
        <v>326</v>
      </c>
      <c r="BH223" s="1228">
        <v>334</v>
      </c>
      <c r="BI223" s="1228">
        <v>340</v>
      </c>
      <c r="BJ223" s="1228">
        <v>354</v>
      </c>
      <c r="BK223" s="1228">
        <v>354</v>
      </c>
      <c r="BL223" s="1228">
        <v>360</v>
      </c>
      <c r="BM223" s="1228">
        <v>368</v>
      </c>
      <c r="BN223" s="1228">
        <v>388</v>
      </c>
      <c r="BO223" s="1228">
        <v>387</v>
      </c>
      <c r="BP223" s="1228">
        <v>387</v>
      </c>
      <c r="BQ223" s="1228">
        <v>392</v>
      </c>
      <c r="BR223" s="1228">
        <v>393</v>
      </c>
      <c r="BS223" s="1228">
        <v>394</v>
      </c>
      <c r="BT223" s="1228">
        <v>411</v>
      </c>
      <c r="BU223" s="1228">
        <v>412</v>
      </c>
      <c r="BV223" s="1228">
        <v>413</v>
      </c>
      <c r="BW223" s="1228">
        <v>414</v>
      </c>
      <c r="BX223" s="1228">
        <v>419</v>
      </c>
      <c r="BY223" s="1228">
        <v>427</v>
      </c>
      <c r="BZ223" s="1228">
        <v>435</v>
      </c>
      <c r="CA223" s="1228">
        <v>431</v>
      </c>
      <c r="CB223" s="1228">
        <v>431</v>
      </c>
      <c r="CC223" s="1228">
        <v>438</v>
      </c>
      <c r="CD223" s="1228">
        <v>442</v>
      </c>
      <c r="CE223" s="1228">
        <v>438</v>
      </c>
      <c r="CF223" s="1228">
        <v>439</v>
      </c>
      <c r="CG223" s="1228">
        <v>442</v>
      </c>
      <c r="CH223" s="1228">
        <v>448</v>
      </c>
      <c r="CI223" s="1228">
        <v>449</v>
      </c>
      <c r="CJ223" s="1228">
        <v>450</v>
      </c>
      <c r="CK223" s="1228">
        <v>450</v>
      </c>
      <c r="CL223" s="745">
        <f t="shared" ref="CL223" si="1627">+CK223+CL224</f>
        <v>470</v>
      </c>
      <c r="CM223" s="745">
        <f t="shared" ref="CM223" si="1628">+CL223+CM224</f>
        <v>471</v>
      </c>
      <c r="CN223" s="745">
        <f t="shared" ref="CN223" si="1629">+CM223+CN224</f>
        <v>474</v>
      </c>
      <c r="CO223" s="745">
        <f t="shared" ref="CO223" si="1630">+CN223+CO224</f>
        <v>479</v>
      </c>
      <c r="CP223" s="745">
        <f t="shared" ref="CP223" si="1631">+CO223+CP224</f>
        <v>490</v>
      </c>
      <c r="CQ223" s="745"/>
      <c r="CR223" s="745"/>
      <c r="CS223" s="745"/>
      <c r="CT223" s="745">
        <v>470</v>
      </c>
      <c r="CU223" s="1112"/>
      <c r="CV223" s="740">
        <v>62</v>
      </c>
      <c r="CW223" s="740">
        <v>66</v>
      </c>
      <c r="CX223" s="740">
        <v>81</v>
      </c>
      <c r="CY223" s="740">
        <v>95</v>
      </c>
      <c r="CZ223" s="740">
        <v>110</v>
      </c>
      <c r="DA223" s="740">
        <v>120</v>
      </c>
      <c r="DB223" s="102">
        <v>134</v>
      </c>
      <c r="DC223" s="102">
        <v>164</v>
      </c>
      <c r="DD223" s="102">
        <v>188</v>
      </c>
      <c r="DE223" s="102">
        <v>217</v>
      </c>
      <c r="DF223" s="102">
        <f>AT223</f>
        <v>248</v>
      </c>
      <c r="DG223" s="102">
        <f>+AX223</f>
        <v>275</v>
      </c>
      <c r="DH223" s="102">
        <f>+BB223</f>
        <v>300</v>
      </c>
      <c r="DI223" s="102">
        <f>+BF223</f>
        <v>330</v>
      </c>
      <c r="DJ223" s="102">
        <f>+BJ223</f>
        <v>354</v>
      </c>
      <c r="DK223" s="102">
        <f>+BN223</f>
        <v>388</v>
      </c>
      <c r="DL223" s="132">
        <f>+BR223</f>
        <v>393</v>
      </c>
      <c r="DM223" s="132">
        <f>+BV223</f>
        <v>413</v>
      </c>
      <c r="DN223" s="132">
        <f>+BZ223</f>
        <v>435</v>
      </c>
      <c r="DO223" s="132">
        <f>+CD223</f>
        <v>442</v>
      </c>
      <c r="DP223" s="132">
        <f>+CH223</f>
        <v>448</v>
      </c>
      <c r="DQ223" s="132">
        <f>+CL223</f>
        <v>470</v>
      </c>
      <c r="DR223" s="132">
        <f>+CP223</f>
        <v>490</v>
      </c>
      <c r="DS223" s="370">
        <f>+DR223+DS224</f>
        <v>510</v>
      </c>
      <c r="DT223" s="370">
        <f t="shared" ref="DT223:DV223" si="1632">+DS223+DT224</f>
        <v>530</v>
      </c>
      <c r="DU223" s="370">
        <f t="shared" si="1632"/>
        <v>550</v>
      </c>
      <c r="DV223" s="370">
        <f t="shared" si="1632"/>
        <v>570</v>
      </c>
      <c r="DY223" s="370">
        <v>490</v>
      </c>
      <c r="DZ223" s="370">
        <v>510</v>
      </c>
    </row>
    <row r="224" spans="1:130" s="656" customFormat="1" ht="12">
      <c r="A224" s="45" t="s">
        <v>258</v>
      </c>
      <c r="B224" s="62"/>
      <c r="C224" s="63">
        <v>1</v>
      </c>
      <c r="D224" s="63">
        <v>1</v>
      </c>
      <c r="E224" s="63">
        <v>1</v>
      </c>
      <c r="F224" s="63">
        <v>1</v>
      </c>
      <c r="G224" s="63">
        <v>0</v>
      </c>
      <c r="H224" s="63">
        <v>2</v>
      </c>
      <c r="I224" s="63">
        <v>0</v>
      </c>
      <c r="J224" s="63">
        <v>2</v>
      </c>
      <c r="K224" s="63">
        <v>2</v>
      </c>
      <c r="L224" s="63">
        <v>4</v>
      </c>
      <c r="M224" s="63">
        <v>3</v>
      </c>
      <c r="N224" s="63">
        <v>6</v>
      </c>
      <c r="O224" s="63">
        <v>0</v>
      </c>
      <c r="P224" s="63">
        <v>6</v>
      </c>
      <c r="Q224" s="63">
        <v>1</v>
      </c>
      <c r="R224" s="63">
        <v>7</v>
      </c>
      <c r="S224" s="63">
        <v>1</v>
      </c>
      <c r="T224" s="63">
        <v>5</v>
      </c>
      <c r="U224" s="63">
        <v>2</v>
      </c>
      <c r="V224" s="63">
        <v>7</v>
      </c>
      <c r="W224" s="63">
        <v>0</v>
      </c>
      <c r="X224" s="63">
        <v>5</v>
      </c>
      <c r="Y224" s="63">
        <v>1</v>
      </c>
      <c r="Z224" s="63">
        <v>4</v>
      </c>
      <c r="AA224" s="63">
        <v>1</v>
      </c>
      <c r="AB224" s="63">
        <v>4</v>
      </c>
      <c r="AC224" s="63">
        <v>1</v>
      </c>
      <c r="AD224" s="63">
        <v>8</v>
      </c>
      <c r="AE224" s="63">
        <v>0</v>
      </c>
      <c r="AF224" s="63">
        <v>9</v>
      </c>
      <c r="AG224" s="63">
        <v>1</v>
      </c>
      <c r="AH224" s="63">
        <v>20</v>
      </c>
      <c r="AI224" s="63">
        <v>2</v>
      </c>
      <c r="AJ224" s="63">
        <v>5</v>
      </c>
      <c r="AK224" s="63">
        <v>2</v>
      </c>
      <c r="AL224" s="63">
        <v>15</v>
      </c>
      <c r="AM224" s="63">
        <v>1</v>
      </c>
      <c r="AN224" s="63">
        <v>6</v>
      </c>
      <c r="AO224" s="63">
        <v>5</v>
      </c>
      <c r="AP224" s="63">
        <v>17</v>
      </c>
      <c r="AQ224" s="63">
        <f t="shared" ref="AQ224:BD224" si="1633">+AQ223-AP223</f>
        <v>1</v>
      </c>
      <c r="AR224" s="63">
        <f t="shared" si="1633"/>
        <v>10</v>
      </c>
      <c r="AS224" s="63">
        <f t="shared" si="1633"/>
        <v>4</v>
      </c>
      <c r="AT224" s="63">
        <f t="shared" si="1633"/>
        <v>16</v>
      </c>
      <c r="AU224" s="63">
        <f t="shared" si="1633"/>
        <v>1</v>
      </c>
      <c r="AV224" s="63">
        <f t="shared" si="1633"/>
        <v>10</v>
      </c>
      <c r="AW224" s="63">
        <f t="shared" si="1633"/>
        <v>5</v>
      </c>
      <c r="AX224" s="63">
        <f t="shared" si="1633"/>
        <v>11</v>
      </c>
      <c r="AY224" s="63">
        <f t="shared" si="1633"/>
        <v>2</v>
      </c>
      <c r="AZ224" s="63">
        <f t="shared" si="1633"/>
        <v>7</v>
      </c>
      <c r="BA224" s="63">
        <f t="shared" si="1633"/>
        <v>6</v>
      </c>
      <c r="BB224" s="63">
        <f t="shared" si="1633"/>
        <v>10</v>
      </c>
      <c r="BC224" s="63">
        <f t="shared" si="1633"/>
        <v>3</v>
      </c>
      <c r="BD224" s="63">
        <f t="shared" si="1633"/>
        <v>7</v>
      </c>
      <c r="BE224" s="63">
        <f t="shared" ref="BE224:BX224" si="1634">+BE223-BD223</f>
        <v>8</v>
      </c>
      <c r="BF224" s="63">
        <f t="shared" si="1634"/>
        <v>12</v>
      </c>
      <c r="BG224" s="63">
        <f t="shared" si="1634"/>
        <v>-4</v>
      </c>
      <c r="BH224" s="1227">
        <f t="shared" si="1634"/>
        <v>8</v>
      </c>
      <c r="BI224" s="1227">
        <f t="shared" si="1634"/>
        <v>6</v>
      </c>
      <c r="BJ224" s="1227">
        <f t="shared" si="1634"/>
        <v>14</v>
      </c>
      <c r="BK224" s="1227">
        <f t="shared" si="1634"/>
        <v>0</v>
      </c>
      <c r="BL224" s="1227">
        <f t="shared" si="1634"/>
        <v>6</v>
      </c>
      <c r="BM224" s="1227">
        <f t="shared" si="1634"/>
        <v>8</v>
      </c>
      <c r="BN224" s="1227">
        <f t="shared" si="1634"/>
        <v>20</v>
      </c>
      <c r="BO224" s="1227">
        <f t="shared" si="1634"/>
        <v>-1</v>
      </c>
      <c r="BP224" s="1227">
        <f t="shared" si="1634"/>
        <v>0</v>
      </c>
      <c r="BQ224" s="1227">
        <f t="shared" si="1634"/>
        <v>5</v>
      </c>
      <c r="BR224" s="1227">
        <f t="shared" si="1634"/>
        <v>1</v>
      </c>
      <c r="BS224" s="1227">
        <f t="shared" si="1634"/>
        <v>1</v>
      </c>
      <c r="BT224" s="1227">
        <f t="shared" si="1634"/>
        <v>17</v>
      </c>
      <c r="BU224" s="1227">
        <f t="shared" si="1634"/>
        <v>1</v>
      </c>
      <c r="BV224" s="1227">
        <f t="shared" si="1634"/>
        <v>1</v>
      </c>
      <c r="BW224" s="1227">
        <f t="shared" si="1634"/>
        <v>1</v>
      </c>
      <c r="BX224" s="1227">
        <f t="shared" si="1634"/>
        <v>5</v>
      </c>
      <c r="BY224" s="1227">
        <f t="shared" ref="BY224:CK224" si="1635">BY223-BX223</f>
        <v>8</v>
      </c>
      <c r="BZ224" s="1227">
        <f t="shared" si="1635"/>
        <v>8</v>
      </c>
      <c r="CA224" s="1227">
        <f t="shared" si="1635"/>
        <v>-4</v>
      </c>
      <c r="CB224" s="1227">
        <f t="shared" si="1635"/>
        <v>0</v>
      </c>
      <c r="CC224" s="1227">
        <f t="shared" si="1635"/>
        <v>7</v>
      </c>
      <c r="CD224" s="1227">
        <f t="shared" si="1635"/>
        <v>4</v>
      </c>
      <c r="CE224" s="1227">
        <f t="shared" si="1635"/>
        <v>-4</v>
      </c>
      <c r="CF224" s="1227">
        <f t="shared" si="1635"/>
        <v>1</v>
      </c>
      <c r="CG224" s="1227">
        <f t="shared" si="1635"/>
        <v>3</v>
      </c>
      <c r="CH224" s="1227">
        <f t="shared" si="1635"/>
        <v>6</v>
      </c>
      <c r="CI224" s="1227">
        <f t="shared" si="1635"/>
        <v>1</v>
      </c>
      <c r="CJ224" s="1227">
        <f t="shared" si="1635"/>
        <v>1</v>
      </c>
      <c r="CK224" s="1227">
        <f t="shared" si="1635"/>
        <v>0</v>
      </c>
      <c r="CL224" s="747">
        <v>20</v>
      </c>
      <c r="CM224" s="747">
        <v>1</v>
      </c>
      <c r="CN224" s="747">
        <v>3</v>
      </c>
      <c r="CO224" s="747">
        <v>5</v>
      </c>
      <c r="CP224" s="747">
        <f>20-CO224-CN224-CM224</f>
        <v>11</v>
      </c>
      <c r="CQ224" s="747"/>
      <c r="CR224" s="747"/>
      <c r="CS224" s="747"/>
      <c r="CT224" s="747">
        <v>20</v>
      </c>
      <c r="CU224" s="1113"/>
      <c r="CV224" s="63"/>
      <c r="CW224" s="62">
        <v>4</v>
      </c>
      <c r="CX224" s="62">
        <v>15</v>
      </c>
      <c r="CY224" s="62">
        <v>14</v>
      </c>
      <c r="CZ224" s="62">
        <v>15</v>
      </c>
      <c r="DA224" s="62">
        <v>10</v>
      </c>
      <c r="DB224" s="62">
        <v>14</v>
      </c>
      <c r="DC224" s="62">
        <v>30</v>
      </c>
      <c r="DD224" s="62">
        <v>24</v>
      </c>
      <c r="DE224" s="62">
        <v>29</v>
      </c>
      <c r="DF224" s="62">
        <f t="shared" ref="DF224:DM224" si="1636">+DF223-DE223</f>
        <v>31</v>
      </c>
      <c r="DG224" s="62">
        <f t="shared" si="1636"/>
        <v>27</v>
      </c>
      <c r="DH224" s="62">
        <f t="shared" si="1636"/>
        <v>25</v>
      </c>
      <c r="DI224" s="62">
        <f t="shared" si="1636"/>
        <v>30</v>
      </c>
      <c r="DJ224" s="62">
        <f t="shared" si="1636"/>
        <v>24</v>
      </c>
      <c r="DK224" s="62">
        <f t="shared" si="1636"/>
        <v>34</v>
      </c>
      <c r="DL224" s="1235">
        <f t="shared" si="1636"/>
        <v>5</v>
      </c>
      <c r="DM224" s="1235">
        <f t="shared" si="1636"/>
        <v>20</v>
      </c>
      <c r="DN224" s="1235">
        <f>+DN223-DM223</f>
        <v>22</v>
      </c>
      <c r="DO224" s="1235">
        <f>+DO223-DN223</f>
        <v>7</v>
      </c>
      <c r="DP224" s="1235">
        <f>+DP223-DO223</f>
        <v>6</v>
      </c>
      <c r="DQ224" s="1235">
        <f>+DQ223-DP223</f>
        <v>22</v>
      </c>
      <c r="DR224" s="1235">
        <f>+DR223-DQ223</f>
        <v>20</v>
      </c>
      <c r="DS224" s="748">
        <v>20</v>
      </c>
      <c r="DT224" s="748">
        <v>20</v>
      </c>
      <c r="DU224" s="748">
        <v>20</v>
      </c>
      <c r="DV224" s="748">
        <v>20</v>
      </c>
      <c r="DY224" s="748">
        <v>20</v>
      </c>
      <c r="DZ224" s="748">
        <v>20</v>
      </c>
    </row>
    <row r="225" spans="1:130" s="656" customFormat="1" ht="12">
      <c r="A225" s="45" t="s">
        <v>259</v>
      </c>
      <c r="B225" s="63">
        <v>134383.05084745761</v>
      </c>
      <c r="C225" s="63">
        <v>136700</v>
      </c>
      <c r="D225" s="63">
        <v>138853</v>
      </c>
      <c r="E225" s="63">
        <v>138853</v>
      </c>
      <c r="F225" s="63">
        <v>142600</v>
      </c>
      <c r="G225" s="63">
        <v>143100</v>
      </c>
      <c r="H225" s="63">
        <v>146950</v>
      </c>
      <c r="I225" s="63">
        <v>146992</v>
      </c>
      <c r="J225" s="63">
        <v>150700</v>
      </c>
      <c r="K225" s="63">
        <v>154700</v>
      </c>
      <c r="L225" s="63">
        <v>161300</v>
      </c>
      <c r="M225" s="63">
        <v>167500</v>
      </c>
      <c r="N225" s="63">
        <v>178000</v>
      </c>
      <c r="O225" s="63">
        <v>178000</v>
      </c>
      <c r="P225" s="63">
        <v>192500</v>
      </c>
      <c r="Q225" s="63">
        <v>190000</v>
      </c>
      <c r="R225" s="63">
        <v>203500</v>
      </c>
      <c r="S225" s="63">
        <v>205400</v>
      </c>
      <c r="T225" s="63">
        <v>214300</v>
      </c>
      <c r="U225" s="63">
        <v>217600</v>
      </c>
      <c r="V225" s="63">
        <v>229700</v>
      </c>
      <c r="W225" s="63">
        <v>229700</v>
      </c>
      <c r="X225" s="63">
        <v>240600</v>
      </c>
      <c r="Y225" s="63">
        <v>242500</v>
      </c>
      <c r="Z225" s="63">
        <v>249700</v>
      </c>
      <c r="AA225" s="63">
        <v>252200</v>
      </c>
      <c r="AB225" s="63">
        <v>259400</v>
      </c>
      <c r="AC225" s="63">
        <v>261100</v>
      </c>
      <c r="AD225" s="63">
        <v>274700</v>
      </c>
      <c r="AE225" s="63">
        <v>274900</v>
      </c>
      <c r="AF225" s="63">
        <v>288600</v>
      </c>
      <c r="AG225" s="63">
        <v>290100</v>
      </c>
      <c r="AH225" s="63">
        <v>317300</v>
      </c>
      <c r="AI225" s="63">
        <v>320500</v>
      </c>
      <c r="AJ225" s="63">
        <v>329500</v>
      </c>
      <c r="AK225" s="63">
        <v>333400</v>
      </c>
      <c r="AL225" s="63">
        <v>361300</v>
      </c>
      <c r="AM225" s="63">
        <v>362700</v>
      </c>
      <c r="AN225" s="63">
        <v>371200</v>
      </c>
      <c r="AO225" s="63">
        <v>380700</v>
      </c>
      <c r="AP225" s="63">
        <v>411100</v>
      </c>
      <c r="AQ225" s="620">
        <v>411.9</v>
      </c>
      <c r="AR225" s="620">
        <v>426.9</v>
      </c>
      <c r="AS225" s="620">
        <v>432.4</v>
      </c>
      <c r="AT225" s="620">
        <v>455.7</v>
      </c>
      <c r="AU225" s="620">
        <v>459.7</v>
      </c>
      <c r="AV225" s="620">
        <v>472.75200000000001</v>
      </c>
      <c r="AW225" s="620">
        <v>481.1</v>
      </c>
      <c r="AX225" s="620">
        <v>497.57499999999999</v>
      </c>
      <c r="AY225" s="620">
        <v>499.93831999999998</v>
      </c>
      <c r="AZ225" s="620">
        <v>511.62743999999998</v>
      </c>
      <c r="BA225" s="620">
        <v>519.67007000000001</v>
      </c>
      <c r="BB225" s="620">
        <v>538.43799000000035</v>
      </c>
      <c r="BC225" s="618">
        <v>542.05771000000004</v>
      </c>
      <c r="BD225" s="620">
        <v>552.40200000000004</v>
      </c>
      <c r="BE225" s="620">
        <v>581.76599999999996</v>
      </c>
      <c r="BF225" s="620">
        <v>599.84299999999996</v>
      </c>
      <c r="BG225" s="620">
        <v>595.06790000000001</v>
      </c>
      <c r="BH225" s="1229">
        <v>606.24898000000007</v>
      </c>
      <c r="BI225" s="1229">
        <v>613.24337000000014</v>
      </c>
      <c r="BJ225" s="1229">
        <v>632.71015000000011</v>
      </c>
      <c r="BK225" s="1229">
        <v>635.25535000000002</v>
      </c>
      <c r="BL225" s="1229">
        <v>649.85599999999999</v>
      </c>
      <c r="BM225" s="1229">
        <v>659.40043000000003</v>
      </c>
      <c r="BN225" s="1229">
        <v>683.66242</v>
      </c>
      <c r="BO225" s="1229">
        <v>683.1</v>
      </c>
      <c r="BP225" s="1229">
        <v>683.1</v>
      </c>
      <c r="BQ225" s="1229">
        <v>689.60000000000014</v>
      </c>
      <c r="BR225" s="1229">
        <v>690.30590000000007</v>
      </c>
      <c r="BS225" s="1229">
        <v>690.4</v>
      </c>
      <c r="BT225" s="1229">
        <v>711.71590000000003</v>
      </c>
      <c r="BU225" s="1229">
        <v>712.61189999999999</v>
      </c>
      <c r="BV225" s="1229">
        <v>713.75800000000004</v>
      </c>
      <c r="BW225" s="1229">
        <v>714.27171999999996</v>
      </c>
      <c r="BX225" s="1229">
        <v>720.92460000000005</v>
      </c>
      <c r="BY225" s="1229">
        <v>729.60674000000017</v>
      </c>
      <c r="BZ225" s="1229">
        <v>734.83921999999995</v>
      </c>
      <c r="CA225" s="1229">
        <v>728.20091333333346</v>
      </c>
      <c r="CB225" s="1229">
        <v>728.10645999999997</v>
      </c>
      <c r="CC225" s="1229">
        <v>725.54651666666643</v>
      </c>
      <c r="CD225" s="1229">
        <v>731.68503666666629</v>
      </c>
      <c r="CE225" s="1229">
        <v>732.09830333333355</v>
      </c>
      <c r="CF225" s="1229">
        <v>731.80843000000016</v>
      </c>
      <c r="CG225" s="1229">
        <v>729.20684666666671</v>
      </c>
      <c r="CH225" s="1229">
        <v>730.67126416666679</v>
      </c>
      <c r="CI225" s="1229">
        <v>736.06420666666656</v>
      </c>
      <c r="CJ225" s="1229">
        <v>736.07884999999999</v>
      </c>
      <c r="CK225" s="1229">
        <v>736.09904666666648</v>
      </c>
      <c r="CL225" s="1169">
        <f t="shared" ref="CL225" si="1637">+CK225+CL224*CL233</f>
        <v>756.09904666666648</v>
      </c>
      <c r="CM225" s="1169">
        <f t="shared" ref="CM225" si="1638">+CL225+CM224*CM233</f>
        <v>757.09904666666648</v>
      </c>
      <c r="CN225" s="1169">
        <f t="shared" ref="CN225" si="1639">+CM225+CN224*CN233</f>
        <v>760.09904666666648</v>
      </c>
      <c r="CO225" s="1169">
        <f t="shared" ref="CO225" si="1640">+CN225+CO224*CO233</f>
        <v>765.09904666666648</v>
      </c>
      <c r="CP225" s="1169">
        <f t="shared" ref="CP225" si="1641">+CO225+CP224*CP233</f>
        <v>776.09904666666648</v>
      </c>
      <c r="CQ225" s="367"/>
      <c r="CR225" s="367"/>
      <c r="CS225" s="367"/>
      <c r="CT225" s="367">
        <v>756.09904666666648</v>
      </c>
      <c r="CU225" s="1113"/>
      <c r="CV225" s="63">
        <v>142600</v>
      </c>
      <c r="CW225" s="63">
        <v>150700</v>
      </c>
      <c r="CX225" s="63">
        <v>178000</v>
      </c>
      <c r="CY225" s="63">
        <v>203500</v>
      </c>
      <c r="CZ225" s="63">
        <v>229700</v>
      </c>
      <c r="DA225" s="63">
        <v>249700</v>
      </c>
      <c r="DB225" s="62">
        <v>274700</v>
      </c>
      <c r="DC225" s="62">
        <v>317300</v>
      </c>
      <c r="DD225" s="62">
        <v>361300</v>
      </c>
      <c r="DE225" s="62">
        <v>411100</v>
      </c>
      <c r="DF225" s="62">
        <f>AT225</f>
        <v>455.7</v>
      </c>
      <c r="DG225" s="62">
        <f>+AX225</f>
        <v>497.57499999999999</v>
      </c>
      <c r="DH225" s="62">
        <f>+BB225</f>
        <v>538.43799000000035</v>
      </c>
      <c r="DI225" s="62">
        <f>+BF225</f>
        <v>599.84299999999996</v>
      </c>
      <c r="DJ225" s="62">
        <f>+BJ225</f>
        <v>632.71015000000011</v>
      </c>
      <c r="DK225" s="62">
        <f>+BN225</f>
        <v>683.66242</v>
      </c>
      <c r="DL225" s="1235">
        <f>+BR225</f>
        <v>690.30590000000007</v>
      </c>
      <c r="DM225" s="1235">
        <f>+BV225</f>
        <v>713.75800000000004</v>
      </c>
      <c r="DN225" s="1235">
        <f>+BZ225</f>
        <v>734.83921999999995</v>
      </c>
      <c r="DO225" s="1235">
        <f>+CD225</f>
        <v>731.68503666666629</v>
      </c>
      <c r="DP225" s="1235">
        <f>+CH225</f>
        <v>730.67126416666679</v>
      </c>
      <c r="DQ225" s="1235">
        <f>+CL225</f>
        <v>756.09904666666648</v>
      </c>
      <c r="DR225" s="1235">
        <f>+CP225</f>
        <v>776.09904666666648</v>
      </c>
      <c r="DS225" s="1169">
        <f t="shared" ref="DS225" si="1642">+DR225+DS224*DS233</f>
        <v>796.09904666666648</v>
      </c>
      <c r="DT225" s="1169">
        <f t="shared" ref="DT225" si="1643">+DS225+DT224*DT233</f>
        <v>816.09904666666648</v>
      </c>
      <c r="DU225" s="1169">
        <f t="shared" ref="DU225" si="1644">+DT225+DU224*DU233</f>
        <v>836.09904666666648</v>
      </c>
      <c r="DV225" s="1169">
        <f t="shared" ref="DV225" si="1645">+DU225+DV224*DV233</f>
        <v>856.09904666666648</v>
      </c>
      <c r="DY225" s="62">
        <v>779.21521257575716</v>
      </c>
      <c r="DZ225" s="62">
        <v>802.33137848484785</v>
      </c>
    </row>
    <row r="226" spans="1:130" s="656" customFormat="1" ht="12">
      <c r="A226" s="45" t="s">
        <v>260</v>
      </c>
      <c r="B226" s="63">
        <v>2316.9491525423723</v>
      </c>
      <c r="C226" s="63">
        <v>2316.9491525423728</v>
      </c>
      <c r="D226" s="63">
        <v>2314.2166666666667</v>
      </c>
      <c r="E226" s="63">
        <v>2276.2786885245901</v>
      </c>
      <c r="F226" s="63">
        <v>2300</v>
      </c>
      <c r="G226" s="63">
        <v>2308.0645161290322</v>
      </c>
      <c r="H226" s="63">
        <v>2296.09375</v>
      </c>
      <c r="I226" s="63">
        <v>2296.75</v>
      </c>
      <c r="J226" s="63">
        <v>2283.3333333333335</v>
      </c>
      <c r="K226" s="63">
        <v>2275</v>
      </c>
      <c r="L226" s="63">
        <v>2240.2777777777778</v>
      </c>
      <c r="M226" s="63">
        <v>2233.3333333333335</v>
      </c>
      <c r="N226" s="63">
        <v>2197.5308641975307</v>
      </c>
      <c r="O226" s="63">
        <v>2197.5308641975307</v>
      </c>
      <c r="P226" s="63">
        <v>2212.6436781609195</v>
      </c>
      <c r="Q226" s="63">
        <v>2159.090909090909</v>
      </c>
      <c r="R226" s="63">
        <v>2142.1052631578946</v>
      </c>
      <c r="S226" s="63">
        <v>2139.5833333333335</v>
      </c>
      <c r="T226" s="63">
        <v>2121.7821782178216</v>
      </c>
      <c r="U226" s="63">
        <v>2112.6213592233012</v>
      </c>
      <c r="V226" s="63">
        <v>2088.181818181818</v>
      </c>
      <c r="W226" s="63">
        <v>2088.181818181818</v>
      </c>
      <c r="X226" s="63">
        <v>2092.1739130434785</v>
      </c>
      <c r="Y226" s="63">
        <v>2090.5172413793102</v>
      </c>
      <c r="Z226" s="63">
        <v>2080.8333333333335</v>
      </c>
      <c r="AA226" s="63">
        <v>2084.2975206611573</v>
      </c>
      <c r="AB226" s="63">
        <v>2075.1999999999998</v>
      </c>
      <c r="AC226" s="63">
        <v>2072.2222222222222</v>
      </c>
      <c r="AD226" s="63">
        <v>2050</v>
      </c>
      <c r="AE226" s="63">
        <v>2051.4925373134329</v>
      </c>
      <c r="AF226" s="63">
        <v>2018.1818181818182</v>
      </c>
      <c r="AG226" s="63">
        <v>2014.5833333333333</v>
      </c>
      <c r="AH226" s="63">
        <v>1934.7560975609756</v>
      </c>
      <c r="AI226" s="63">
        <v>1930.7228915662652</v>
      </c>
      <c r="AJ226" s="63">
        <v>1926.9005847953217</v>
      </c>
      <c r="AK226" s="63">
        <v>1927.1676300578035</v>
      </c>
      <c r="AL226" s="63">
        <v>1921.8085106382978</v>
      </c>
      <c r="AM226" s="63">
        <v>1919.047619047619</v>
      </c>
      <c r="AN226" s="63">
        <v>1903.5897435897436</v>
      </c>
      <c r="AO226" s="63">
        <v>1903.5</v>
      </c>
      <c r="AP226" s="63">
        <v>1894.4700460829492</v>
      </c>
      <c r="AQ226" s="1227">
        <f t="shared" ref="AQ226:BV226" si="1646">+AQ225/AQ223*1000</f>
        <v>1889.4495412844035</v>
      </c>
      <c r="AR226" s="1227">
        <f t="shared" si="1646"/>
        <v>1872.3684210526314</v>
      </c>
      <c r="AS226" s="1227">
        <f t="shared" si="1646"/>
        <v>1863.7931034482758</v>
      </c>
      <c r="AT226" s="1227">
        <f t="shared" si="1646"/>
        <v>1837.5</v>
      </c>
      <c r="AU226" s="1227">
        <f t="shared" si="1646"/>
        <v>1846.1847389558231</v>
      </c>
      <c r="AV226" s="1227">
        <f t="shared" si="1646"/>
        <v>1825.2972972972973</v>
      </c>
      <c r="AW226" s="1227">
        <f t="shared" si="1646"/>
        <v>1822.348484848485</v>
      </c>
      <c r="AX226" s="1227">
        <f t="shared" si="1646"/>
        <v>1809.3636363636363</v>
      </c>
      <c r="AY226" s="1227">
        <f t="shared" si="1646"/>
        <v>1804.8314801444044</v>
      </c>
      <c r="AZ226" s="1227">
        <f t="shared" si="1646"/>
        <v>1801.505070422535</v>
      </c>
      <c r="BA226" s="1227">
        <f t="shared" si="1646"/>
        <v>1791.9657586206897</v>
      </c>
      <c r="BB226" s="1227">
        <f t="shared" si="1646"/>
        <v>1794.7933000000012</v>
      </c>
      <c r="BC226" s="1227">
        <f t="shared" si="1646"/>
        <v>1788.9693399339935</v>
      </c>
      <c r="BD226" s="1227">
        <f t="shared" si="1646"/>
        <v>1781.941935483871</v>
      </c>
      <c r="BE226" s="1227">
        <f t="shared" si="1646"/>
        <v>1829.4528301886792</v>
      </c>
      <c r="BF226" s="1227">
        <f t="shared" si="1646"/>
        <v>1817.7060606060604</v>
      </c>
      <c r="BG226" s="1227">
        <f t="shared" si="1646"/>
        <v>1825.361656441718</v>
      </c>
      <c r="BH226" s="1227">
        <f t="shared" si="1646"/>
        <v>1815.1167065868265</v>
      </c>
      <c r="BI226" s="1227">
        <f t="shared" si="1646"/>
        <v>1803.6569705882357</v>
      </c>
      <c r="BJ226" s="1227">
        <f t="shared" si="1646"/>
        <v>1787.3168079096049</v>
      </c>
      <c r="BK226" s="1227">
        <f t="shared" si="1646"/>
        <v>1794.5066384180793</v>
      </c>
      <c r="BL226" s="1227">
        <f t="shared" si="1646"/>
        <v>1805.1555555555556</v>
      </c>
      <c r="BM226" s="1227">
        <f t="shared" si="1646"/>
        <v>1791.8489945652175</v>
      </c>
      <c r="BN226" s="1227">
        <f t="shared" si="1646"/>
        <v>1762.0165463917526</v>
      </c>
      <c r="BO226" s="1227">
        <f t="shared" si="1646"/>
        <v>1765.1162790697674</v>
      </c>
      <c r="BP226" s="1227">
        <f t="shared" si="1646"/>
        <v>1765.1162790697674</v>
      </c>
      <c r="BQ226" s="1227">
        <f t="shared" si="1646"/>
        <v>1759.1836734693882</v>
      </c>
      <c r="BR226" s="1227">
        <f t="shared" si="1646"/>
        <v>1756.5035623409672</v>
      </c>
      <c r="BS226" s="1227">
        <f t="shared" si="1646"/>
        <v>1752.2842639593907</v>
      </c>
      <c r="BT226" s="1227">
        <f t="shared" si="1646"/>
        <v>1731.6688564476888</v>
      </c>
      <c r="BU226" s="1227">
        <f t="shared" si="1646"/>
        <v>1729.6405339805824</v>
      </c>
      <c r="BV226" s="1227">
        <f t="shared" si="1646"/>
        <v>1728.2276029055693</v>
      </c>
      <c r="BW226" s="1227">
        <f>+BW225/BW223*1000</f>
        <v>1725.2940096618356</v>
      </c>
      <c r="BX226" s="1227">
        <f>+BX225/BX223*1000</f>
        <v>1720.583770883055</v>
      </c>
      <c r="BY226" s="1227">
        <f>+BY225/BY223*1000</f>
        <v>1708.6808899297428</v>
      </c>
      <c r="BZ226" s="1227">
        <f t="shared" ref="BZ226:CD226" si="1647">+BZ225/BZ223*1000</f>
        <v>1689.2855632183907</v>
      </c>
      <c r="CA226" s="1227">
        <f t="shared" si="1647"/>
        <v>1689.5612838360405</v>
      </c>
      <c r="CB226" s="1227">
        <f t="shared" si="1647"/>
        <v>1689.3421345707654</v>
      </c>
      <c r="CC226" s="1227">
        <f t="shared" si="1647"/>
        <v>1656.4988964992385</v>
      </c>
      <c r="CD226" s="1227">
        <f t="shared" si="1647"/>
        <v>1655.3960105580686</v>
      </c>
      <c r="CE226" s="1227">
        <f t="shared" ref="CE226:CH226" si="1648">+CE225/CE223*1000</f>
        <v>1671.4573135464236</v>
      </c>
      <c r="CF226" s="1227">
        <f t="shared" si="1648"/>
        <v>1666.9895899772214</v>
      </c>
      <c r="CG226" s="1227">
        <f t="shared" si="1648"/>
        <v>1649.7892458521872</v>
      </c>
      <c r="CH226" s="1227">
        <f t="shared" si="1648"/>
        <v>1630.9626432291668</v>
      </c>
      <c r="CI226" s="1227">
        <f t="shared" ref="CI226:CL226" si="1649">+CI225/CI223*1000</f>
        <v>1639.3412175204155</v>
      </c>
      <c r="CJ226" s="1227">
        <f t="shared" si="1649"/>
        <v>1635.7307777777776</v>
      </c>
      <c r="CK226" s="1227">
        <f t="shared" si="1649"/>
        <v>1635.7756592592589</v>
      </c>
      <c r="CL226" s="1227">
        <f t="shared" si="1649"/>
        <v>1608.7213758865244</v>
      </c>
      <c r="CM226" s="1227">
        <f t="shared" ref="CM226:CP226" si="1650">+CM225/CM223*1000</f>
        <v>1607.4289738145785</v>
      </c>
      <c r="CN226" s="1227">
        <f t="shared" si="1650"/>
        <v>1603.5844866385369</v>
      </c>
      <c r="CO226" s="1227">
        <f t="shared" si="1650"/>
        <v>1597.284022268615</v>
      </c>
      <c r="CP226" s="1227">
        <f t="shared" si="1650"/>
        <v>1583.8756054421765</v>
      </c>
      <c r="CQ226" s="1227"/>
      <c r="CR226" s="367"/>
      <c r="CS226" s="367"/>
      <c r="CT226" s="1227">
        <v>1608.7213758865244</v>
      </c>
      <c r="CU226" s="1113"/>
      <c r="CV226" s="63">
        <v>2300</v>
      </c>
      <c r="CW226" s="63">
        <v>2283.3333333333335</v>
      </c>
      <c r="CX226" s="63">
        <v>2197.5308641975307</v>
      </c>
      <c r="CY226" s="63">
        <v>2142.1052631578946</v>
      </c>
      <c r="CZ226" s="63">
        <v>2088.181818181818</v>
      </c>
      <c r="DA226" s="63">
        <v>2080.8333333333335</v>
      </c>
      <c r="DB226" s="63">
        <v>2050</v>
      </c>
      <c r="DC226" s="63">
        <v>1934.7560975609756</v>
      </c>
      <c r="DD226" s="63">
        <v>1921.8085106382978</v>
      </c>
      <c r="DE226" s="63">
        <v>1894.4700460829492</v>
      </c>
      <c r="DF226" s="1227">
        <f t="shared" ref="DF226:DS226" si="1651">+DF225/DF223*1000</f>
        <v>1837.5</v>
      </c>
      <c r="DG226" s="1227">
        <f t="shared" si="1651"/>
        <v>1809.3636363636363</v>
      </c>
      <c r="DH226" s="1227">
        <f t="shared" si="1651"/>
        <v>1794.7933000000012</v>
      </c>
      <c r="DI226" s="1227">
        <f t="shared" si="1651"/>
        <v>1817.7060606060604</v>
      </c>
      <c r="DJ226" s="1227">
        <f t="shared" si="1651"/>
        <v>1787.3168079096049</v>
      </c>
      <c r="DK226" s="1227">
        <f t="shared" si="1651"/>
        <v>1762.0165463917526</v>
      </c>
      <c r="DL226" s="1227">
        <f t="shared" si="1651"/>
        <v>1756.5035623409672</v>
      </c>
      <c r="DM226" s="1227">
        <f t="shared" si="1651"/>
        <v>1728.2276029055693</v>
      </c>
      <c r="DN226" s="1227">
        <f t="shared" si="1651"/>
        <v>1689.2855632183907</v>
      </c>
      <c r="DO226" s="1227">
        <f t="shared" si="1651"/>
        <v>1655.3960105580686</v>
      </c>
      <c r="DP226" s="1227">
        <f t="shared" ref="DP226:DQ226" si="1652">+DP225/DP223*1000</f>
        <v>1630.9626432291668</v>
      </c>
      <c r="DQ226" s="1227">
        <f t="shared" si="1652"/>
        <v>1608.7213758865244</v>
      </c>
      <c r="DR226" s="1227">
        <f t="shared" ref="DR226" si="1653">+DR225/DR223*1000</f>
        <v>1583.8756054421765</v>
      </c>
      <c r="DS226" s="1227">
        <f t="shared" si="1651"/>
        <v>1560.9785228758167</v>
      </c>
      <c r="DT226" s="1227">
        <f t="shared" ref="DT226:DV226" si="1654">+DT225/DT223*1000</f>
        <v>1539.8095220125783</v>
      </c>
      <c r="DU226" s="1227">
        <f t="shared" si="1654"/>
        <v>1520.1800848484845</v>
      </c>
      <c r="DV226" s="1227">
        <f t="shared" si="1654"/>
        <v>1501.9281520467832</v>
      </c>
      <c r="DY226" s="1227">
        <v>1590.2351277056268</v>
      </c>
      <c r="DZ226" s="1227">
        <v>1573.1987813428391</v>
      </c>
    </row>
    <row r="227" spans="1:130" s="656" customFormat="1" ht="12">
      <c r="A227" s="63" t="s">
        <v>261</v>
      </c>
      <c r="B227" s="111"/>
      <c r="C227" s="111"/>
      <c r="D227" s="111"/>
      <c r="E227" s="111"/>
      <c r="F227" s="111"/>
      <c r="G227" s="111"/>
      <c r="H227" s="111"/>
      <c r="I227" s="111"/>
      <c r="J227" s="111"/>
      <c r="K227" s="111"/>
      <c r="L227" s="111"/>
      <c r="M227" s="111"/>
      <c r="N227" s="111"/>
      <c r="O227" s="111"/>
      <c r="P227" s="111"/>
      <c r="Q227" s="111"/>
      <c r="R227" s="111"/>
      <c r="S227" s="111"/>
      <c r="T227" s="111"/>
      <c r="U227" s="111"/>
      <c r="V227" s="111"/>
      <c r="W227" s="111"/>
      <c r="X227" s="111"/>
      <c r="Y227" s="111"/>
      <c r="Z227" s="111"/>
      <c r="AA227" s="111"/>
      <c r="AB227" s="111"/>
      <c r="AC227" s="111"/>
      <c r="AD227" s="111"/>
      <c r="AE227" s="111"/>
      <c r="AF227" s="111"/>
      <c r="AG227" s="111"/>
      <c r="AH227" s="111"/>
      <c r="AI227" s="111"/>
      <c r="AJ227" s="111"/>
      <c r="AK227" s="111"/>
      <c r="AL227" s="111"/>
      <c r="AM227" s="111"/>
      <c r="AN227" s="111"/>
      <c r="AO227" s="111"/>
      <c r="AP227" s="111"/>
      <c r="AQ227" s="620">
        <v>766.77023799999802</v>
      </c>
      <c r="AR227" s="620">
        <v>1052.0978909200119</v>
      </c>
      <c r="AS227" s="620">
        <v>989.98845348998498</v>
      </c>
      <c r="AT227" s="620">
        <v>1581.21344729002</v>
      </c>
      <c r="AU227" s="620">
        <v>948.61135890999992</v>
      </c>
      <c r="AV227" s="620">
        <v>1280.3883513399855</v>
      </c>
      <c r="AW227" s="620">
        <v>1168.5135131100251</v>
      </c>
      <c r="AX227" s="620">
        <v>1716.8655402499962</v>
      </c>
      <c r="AY227" s="620">
        <v>998.26300000000003</v>
      </c>
      <c r="AZ227" s="620">
        <v>1364.127</v>
      </c>
      <c r="BA227" s="620">
        <v>1161.0999999999999</v>
      </c>
      <c r="BB227" s="620">
        <v>1767.8622757599976</v>
      </c>
      <c r="BC227" s="620">
        <v>1129.0529999999999</v>
      </c>
      <c r="BD227" s="620">
        <v>1498.4259999999999</v>
      </c>
      <c r="BE227" s="620">
        <v>1376.2189632000004</v>
      </c>
      <c r="BF227" s="620">
        <v>2027.9665260899988</v>
      </c>
      <c r="BG227" s="620">
        <v>1268.533068</v>
      </c>
      <c r="BH227" s="620">
        <v>1626.84118835</v>
      </c>
      <c r="BI227" s="620">
        <v>1551.9185057499981</v>
      </c>
      <c r="BJ227" s="620">
        <v>2353.5709758600001</v>
      </c>
      <c r="BK227" s="620">
        <v>1497.5674839200001</v>
      </c>
      <c r="BL227" s="620">
        <v>1853.5920886800004</v>
      </c>
      <c r="BM227" s="620">
        <v>1767.5585483499997</v>
      </c>
      <c r="BN227" s="620">
        <v>2609.6406938700015</v>
      </c>
      <c r="BO227" s="620">
        <v>1404.89307715</v>
      </c>
      <c r="BP227" s="620">
        <v>480.87224169999996</v>
      </c>
      <c r="BQ227" s="620">
        <v>1470.1051074000002</v>
      </c>
      <c r="BR227" s="620">
        <v>2625.1755681599993</v>
      </c>
      <c r="BS227" s="620">
        <v>1228.8516172700004</v>
      </c>
      <c r="BT227" s="620">
        <v>2045.7929738799999</v>
      </c>
      <c r="BU227" s="620">
        <v>2127.2705507700002</v>
      </c>
      <c r="BV227" s="620">
        <v>3211.9510967300007</v>
      </c>
      <c r="BW227" s="620">
        <v>2019.9490845300002</v>
      </c>
      <c r="BX227" s="620">
        <v>2941.9428606699989</v>
      </c>
      <c r="BY227" s="620">
        <v>2400.17571546</v>
      </c>
      <c r="BZ227" s="620">
        <v>3240.8</v>
      </c>
      <c r="CA227" s="620">
        <v>2082.5605861200002</v>
      </c>
      <c r="CB227" s="620">
        <v>2775.2538649599996</v>
      </c>
      <c r="CC227" s="620">
        <v>2425.5215631799997</v>
      </c>
      <c r="CD227" s="620">
        <v>3474.4335661600003</v>
      </c>
      <c r="CE227" s="620">
        <v>2252.9150843799998</v>
      </c>
      <c r="CF227" s="620">
        <v>2841.9739362699997</v>
      </c>
      <c r="CG227" s="620">
        <v>2705.7344747599996</v>
      </c>
      <c r="CH227" s="620">
        <v>3790.1</v>
      </c>
      <c r="CI227" s="620">
        <v>2522.5218989300001</v>
      </c>
      <c r="CJ227" s="620">
        <v>3376.7700307999999</v>
      </c>
      <c r="CK227" s="620">
        <v>2822.09330112</v>
      </c>
      <c r="CL227" s="755">
        <f t="shared" ref="CL227" si="1655">+CK227*CL$278/CK$278</f>
        <v>4013.9049239728338</v>
      </c>
      <c r="CM227" s="755">
        <f t="shared" ref="CM227" si="1656">+CL227*CM$278/CL$278</f>
        <v>2695.3394749556965</v>
      </c>
      <c r="CN227" s="755">
        <f t="shared" ref="CN227" si="1657">+CM227*CN$278/CM$278</f>
        <v>3535.929907628954</v>
      </c>
      <c r="CO227" s="755">
        <f t="shared" ref="CO227" si="1658">+CN227*CO$278/CN$278</f>
        <v>3059.4704969910349</v>
      </c>
      <c r="CP227" s="755">
        <f t="shared" ref="CP227" si="1659">+CO227*CP$278/CO$278</f>
        <v>4352.7976386294322</v>
      </c>
      <c r="CQ227" s="755"/>
      <c r="CR227" s="382"/>
      <c r="CS227" s="382"/>
      <c r="CT227" s="755">
        <v>4013.9049239728338</v>
      </c>
      <c r="CU227" s="1113"/>
      <c r="CV227" s="63"/>
      <c r="CW227" s="111"/>
      <c r="CX227" s="111"/>
      <c r="CY227" s="111"/>
      <c r="CZ227" s="111"/>
      <c r="DA227" s="111"/>
      <c r="DB227" s="111"/>
      <c r="DC227" s="111"/>
      <c r="DD227" s="111"/>
      <c r="DE227" s="111"/>
      <c r="DF227" s="1539">
        <f>+SUM(AQ227:AT227)</f>
        <v>4390.0700297000149</v>
      </c>
      <c r="DG227" s="1539">
        <f>+SUM(AU227:AX227)</f>
        <v>5114.3787636100069</v>
      </c>
      <c r="DH227" s="1539">
        <f>+SUM(AY227:BB227)</f>
        <v>5291.3522757599976</v>
      </c>
      <c r="DI227" s="1539">
        <f>+SUM(BC227:BF227)</f>
        <v>6031.6644892899985</v>
      </c>
      <c r="DJ227" s="1539">
        <f>+SUM(BG227:BJ227)</f>
        <v>6800.8637379599986</v>
      </c>
      <c r="DK227" s="1539">
        <f>+SUM(BK227:BN227)</f>
        <v>7728.3588148200015</v>
      </c>
      <c r="DL227" s="1540">
        <f>+SUM(BO227:BR227)</f>
        <v>5981.0459944099994</v>
      </c>
      <c r="DM227" s="1230"/>
      <c r="DN227" s="1230"/>
      <c r="DO227" s="1230"/>
      <c r="DP227" s="1230"/>
      <c r="DQ227" s="1230"/>
      <c r="DR227" s="1230"/>
      <c r="DS227" s="111"/>
      <c r="DT227" s="111"/>
      <c r="DU227" s="111"/>
      <c r="DV227" s="111"/>
      <c r="DY227" s="111"/>
      <c r="DZ227" s="111"/>
    </row>
    <row r="228" spans="1:130" s="656" customFormat="1" ht="12">
      <c r="A228" s="63" t="s">
        <v>120</v>
      </c>
      <c r="B228" s="111"/>
      <c r="C228" s="111"/>
      <c r="D228" s="111"/>
      <c r="E228" s="111"/>
      <c r="F228" s="111"/>
      <c r="G228" s="111"/>
      <c r="H228" s="111"/>
      <c r="I228" s="111"/>
      <c r="J228" s="111"/>
      <c r="K228" s="111"/>
      <c r="L228" s="111"/>
      <c r="M228" s="111"/>
      <c r="N228" s="111"/>
      <c r="O228" s="111"/>
      <c r="P228" s="111"/>
      <c r="Q228" s="111"/>
      <c r="R228" s="111"/>
      <c r="S228" s="111"/>
      <c r="T228" s="111"/>
      <c r="U228" s="111"/>
      <c r="V228" s="111"/>
      <c r="W228" s="111"/>
      <c r="X228" s="111"/>
      <c r="Y228" s="111"/>
      <c r="Z228" s="111"/>
      <c r="AA228" s="111"/>
      <c r="AB228" s="111"/>
      <c r="AC228" s="111"/>
      <c r="AD228" s="111"/>
      <c r="AE228" s="111"/>
      <c r="AF228" s="111"/>
      <c r="AG228" s="111"/>
      <c r="AH228" s="111"/>
      <c r="AI228" s="111"/>
      <c r="AJ228" s="111"/>
      <c r="AK228" s="111"/>
      <c r="AL228" s="111"/>
      <c r="AM228" s="111"/>
      <c r="AN228" s="111"/>
      <c r="AO228" s="111"/>
      <c r="AP228" s="111"/>
      <c r="AQ228" s="620"/>
      <c r="AR228" s="620"/>
      <c r="AS228" s="620"/>
      <c r="AT228" s="620"/>
      <c r="AU228" s="111">
        <f t="shared" ref="AU228:BJ228" si="1660">+AU227/AQ227-1</f>
        <v>0.23715203316225009</v>
      </c>
      <c r="AV228" s="111">
        <f t="shared" si="1660"/>
        <v>0.21698595006244514</v>
      </c>
      <c r="AW228" s="111">
        <f t="shared" si="1660"/>
        <v>0.18033044627004435</v>
      </c>
      <c r="AX228" s="111">
        <f t="shared" si="1660"/>
        <v>8.5789868023488536E-2</v>
      </c>
      <c r="AY228" s="111">
        <f t="shared" si="1660"/>
        <v>5.2341394211273373E-2</v>
      </c>
      <c r="AZ228" s="111">
        <f t="shared" si="1660"/>
        <v>6.5400976643045894E-2</v>
      </c>
      <c r="BA228" s="111">
        <f t="shared" si="1660"/>
        <v>-6.3443965575493699E-3</v>
      </c>
      <c r="BB228" s="111">
        <f t="shared" si="1660"/>
        <v>2.97033951200254E-2</v>
      </c>
      <c r="BC228" s="111">
        <f t="shared" si="1660"/>
        <v>0.13101757753217314</v>
      </c>
      <c r="BD228" s="111">
        <f t="shared" si="1660"/>
        <v>9.8450510839533267E-2</v>
      </c>
      <c r="BE228" s="111">
        <f t="shared" si="1660"/>
        <v>0.18527169339419558</v>
      </c>
      <c r="BF228" s="111">
        <f t="shared" si="1660"/>
        <v>0.14712924977042308</v>
      </c>
      <c r="BG228" s="111">
        <f t="shared" si="1660"/>
        <v>0.12353721924480077</v>
      </c>
      <c r="BH228" s="111">
        <f t="shared" si="1660"/>
        <v>8.5700053489461636E-2</v>
      </c>
      <c r="BI228" s="111">
        <f t="shared" si="1660"/>
        <v>0.12766830515215322</v>
      </c>
      <c r="BJ228" s="111">
        <f t="shared" si="1660"/>
        <v>0.16055711254651706</v>
      </c>
      <c r="BK228" s="111">
        <f>BK227/BG227-1</f>
        <v>0.1805506073886598</v>
      </c>
      <c r="BL228" s="111">
        <f t="shared" ref="BL228:CL228" si="1661">+BL227/BH227-1</f>
        <v>0.13938109137744359</v>
      </c>
      <c r="BM228" s="111">
        <f t="shared" si="1661"/>
        <v>0.13895062260101665</v>
      </c>
      <c r="BN228" s="111">
        <f t="shared" si="1661"/>
        <v>0.10880050809448516</v>
      </c>
      <c r="BO228" s="111">
        <f t="shared" si="1661"/>
        <v>-6.1883292582860849E-2</v>
      </c>
      <c r="BP228" s="111">
        <f t="shared" si="1661"/>
        <v>-0.74057278047488651</v>
      </c>
      <c r="BQ228" s="111">
        <f t="shared" si="1661"/>
        <v>-0.16828491549978342</v>
      </c>
      <c r="BR228" s="111">
        <f t="shared" si="1661"/>
        <v>5.9528786190714555E-3</v>
      </c>
      <c r="BS228" s="111">
        <f t="shared" si="1661"/>
        <v>-0.12530594871826228</v>
      </c>
      <c r="BT228" s="111">
        <f t="shared" si="1661"/>
        <v>3.254337839605018</v>
      </c>
      <c r="BU228" s="111">
        <f t="shared" si="1661"/>
        <v>0.44701935940638315</v>
      </c>
      <c r="BV228" s="111">
        <f t="shared" si="1661"/>
        <v>0.22351858507554057</v>
      </c>
      <c r="BW228" s="111">
        <f t="shared" si="1661"/>
        <v>0.64376972462915494</v>
      </c>
      <c r="BX228" s="111">
        <f t="shared" si="1661"/>
        <v>0.43804524613767915</v>
      </c>
      <c r="BY228" s="111">
        <f t="shared" si="1661"/>
        <v>0.12828888388983595</v>
      </c>
      <c r="BZ228" s="111">
        <f t="shared" si="1661"/>
        <v>8.9817380156782534E-3</v>
      </c>
      <c r="CA228" s="111">
        <f t="shared" si="1661"/>
        <v>3.0996574156010759E-2</v>
      </c>
      <c r="CB228" s="111">
        <f t="shared" si="1661"/>
        <v>-5.6659494627994689E-2</v>
      </c>
      <c r="CC228" s="111">
        <f t="shared" si="1661"/>
        <v>1.0559996735548305E-2</v>
      </c>
      <c r="CD228" s="111">
        <f t="shared" si="1661"/>
        <v>7.2091325030856579E-2</v>
      </c>
      <c r="CE228" s="111">
        <f t="shared" si="1661"/>
        <v>8.1800500497027917E-2</v>
      </c>
      <c r="CF228" s="111">
        <f t="shared" si="1661"/>
        <v>2.4041069594533004E-2</v>
      </c>
      <c r="CG228" s="111">
        <f t="shared" si="1661"/>
        <v>0.11552686887377095</v>
      </c>
      <c r="CH228" s="111">
        <f t="shared" si="1661"/>
        <v>9.0854070981382762E-2</v>
      </c>
      <c r="CI228" s="111">
        <f t="shared" si="1661"/>
        <v>0.11967020702167108</v>
      </c>
      <c r="CJ228" s="111">
        <f t="shared" si="1661"/>
        <v>0.18817769146465246</v>
      </c>
      <c r="CK228" s="111">
        <f t="shared" si="1661"/>
        <v>4.3004525183618192E-2</v>
      </c>
      <c r="CL228" s="111">
        <f t="shared" si="1661"/>
        <v>5.9049873083252047E-2</v>
      </c>
      <c r="CM228" s="111">
        <f t="shared" ref="CM228" si="1662">+CM227/CI227-1</f>
        <v>6.8509841717925957E-2</v>
      </c>
      <c r="CN228" s="111">
        <f t="shared" ref="CN228" si="1663">+CN227/CJ227-1</f>
        <v>4.7133762553337677E-2</v>
      </c>
      <c r="CO228" s="111">
        <f t="shared" ref="CO228" si="1664">+CO227/CK227-1</f>
        <v>8.4113872414079083E-2</v>
      </c>
      <c r="CP228" s="111">
        <f t="shared" ref="CP228" si="1665">+CP227/CL227-1</f>
        <v>8.4429681588265693E-2</v>
      </c>
      <c r="CQ228" s="382"/>
      <c r="CR228" s="382"/>
      <c r="CS228" s="382"/>
      <c r="CT228" s="382">
        <v>5.9049873083252047E-2</v>
      </c>
      <c r="CU228" s="1113"/>
      <c r="CV228" s="63"/>
      <c r="CW228" s="111"/>
      <c r="CX228" s="111"/>
      <c r="CY228" s="111"/>
      <c r="CZ228" s="111"/>
      <c r="DA228" s="111"/>
      <c r="DB228" s="111"/>
      <c r="DC228" s="111"/>
      <c r="DD228" s="111"/>
      <c r="DE228" s="111"/>
      <c r="DF228" s="111"/>
      <c r="DG228" s="111">
        <f t="shared" ref="DG228:DL228" si="1666">+DG227/DF227-1</f>
        <v>0.16498796807564498</v>
      </c>
      <c r="DH228" s="111">
        <f t="shared" si="1666"/>
        <v>3.4603129789525733E-2</v>
      </c>
      <c r="DI228" s="111">
        <f t="shared" si="1666"/>
        <v>0.13990983305371962</v>
      </c>
      <c r="DJ228" s="111">
        <f t="shared" si="1666"/>
        <v>0.12752686261575286</v>
      </c>
      <c r="DK228" s="111"/>
      <c r="DL228" s="111">
        <f t="shared" si="1666"/>
        <v>-0.2260910579176697</v>
      </c>
      <c r="DM228" s="1230"/>
      <c r="DN228" s="1230"/>
      <c r="DO228" s="1230"/>
      <c r="DP228" s="1230"/>
      <c r="DQ228" s="1230"/>
      <c r="DR228" s="1230"/>
      <c r="DS228" s="111"/>
      <c r="DT228" s="111"/>
      <c r="DU228" s="111"/>
      <c r="DV228" s="111"/>
      <c r="DY228" s="111"/>
      <c r="DZ228" s="111"/>
    </row>
    <row r="229" spans="1:130" s="686" customFormat="1" ht="12.75">
      <c r="A229" s="73" t="s">
        <v>99</v>
      </c>
      <c r="B229" s="7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c r="AJ229" s="33"/>
      <c r="AK229" s="33"/>
      <c r="AL229" s="33"/>
      <c r="AM229" s="33"/>
      <c r="AN229" s="33"/>
      <c r="AO229" s="33"/>
      <c r="AP229" s="33"/>
      <c r="AQ229" s="1999">
        <v>0.52300000000000002</v>
      </c>
      <c r="AR229" s="1999">
        <v>0.54702861803735603</v>
      </c>
      <c r="AS229" s="1999">
        <v>0.52488136929090012</v>
      </c>
      <c r="AT229" s="1999">
        <v>0.56074556030978639</v>
      </c>
      <c r="AU229" s="1999">
        <v>0.54902096141715284</v>
      </c>
      <c r="AV229" s="1999">
        <v>0.55779054545643891</v>
      </c>
      <c r="AW229" s="1999">
        <v>0.53518274059627213</v>
      </c>
      <c r="AX229" s="1999">
        <v>0.56057652017399306</v>
      </c>
      <c r="AY229" s="1999">
        <v>0.55700000000000005</v>
      </c>
      <c r="AZ229" s="1999">
        <v>0.57599999999999996</v>
      </c>
      <c r="BA229" s="1999">
        <v>0.53700000000000003</v>
      </c>
      <c r="BB229" s="1999">
        <v>0.55846055251423432</v>
      </c>
      <c r="BC229" s="1999">
        <v>0.54400000000000004</v>
      </c>
      <c r="BD229" s="1999">
        <v>0.56799999999999995</v>
      </c>
      <c r="BE229" s="1999">
        <v>0.53885812386689846</v>
      </c>
      <c r="BF229" s="1999">
        <v>0.56948545236428927</v>
      </c>
      <c r="BG229" s="1999">
        <v>0.56492036761788222</v>
      </c>
      <c r="BH229" s="2000">
        <v>0.57899999999999996</v>
      </c>
      <c r="BI229" s="2000">
        <v>0.54296622986835086</v>
      </c>
      <c r="BJ229" s="2000">
        <v>0.57628001511804805</v>
      </c>
      <c r="BK229" s="2000">
        <v>0.55255375743334734</v>
      </c>
      <c r="BL229" s="2000">
        <v>0.56499999999999995</v>
      </c>
      <c r="BM229" s="2000">
        <v>0.54398448518017906</v>
      </c>
      <c r="BN229" s="2000">
        <v>0.58337693737153173</v>
      </c>
      <c r="BO229" s="2000">
        <v>0.55522455695517403</v>
      </c>
      <c r="BP229" s="2000">
        <v>0.43964663111043101</v>
      </c>
      <c r="BQ229" s="2000">
        <v>0.47228401254339486</v>
      </c>
      <c r="BR229" s="2000">
        <v>0.53997280774388356</v>
      </c>
      <c r="BS229" s="2000">
        <v>0.52408193228466704</v>
      </c>
      <c r="BT229" s="2000">
        <v>0.55095941176395957</v>
      </c>
      <c r="BU229" s="2000">
        <v>0.53619453775048609</v>
      </c>
      <c r="BV229" s="2000">
        <v>0.55744462288358576</v>
      </c>
      <c r="BW229" s="2000">
        <v>0.55403049833822637</v>
      </c>
      <c r="BX229" s="2000">
        <v>0.56018162033734387</v>
      </c>
      <c r="BY229" s="2000">
        <v>0.53539302433268687</v>
      </c>
      <c r="BZ229" s="2000">
        <v>0.55600000000000005</v>
      </c>
      <c r="CA229" s="2000">
        <v>0.54146940569969271</v>
      </c>
      <c r="CB229" s="2000">
        <v>0.53590550963215622</v>
      </c>
      <c r="CC229" s="2000">
        <v>0.53352929322688714</v>
      </c>
      <c r="CD229" s="2000">
        <v>0.55723932421301092</v>
      </c>
      <c r="CE229" s="2000">
        <v>0.54530254655296428</v>
      </c>
      <c r="CF229" s="2000">
        <v>0.55944777499498832</v>
      </c>
      <c r="CG229" s="2000">
        <v>0.54351696387002046</v>
      </c>
      <c r="CH229" s="2000">
        <v>0.55405157381767633</v>
      </c>
      <c r="CI229" s="2000">
        <v>0.54844462099103797</v>
      </c>
      <c r="CJ229" s="2000">
        <v>0.56899999999999995</v>
      </c>
      <c r="CK229" s="2000">
        <v>0.54792925058788322</v>
      </c>
      <c r="CL229" s="2005">
        <f t="shared" ref="CL229" si="1667">+CH229+CL230</f>
        <v>0.54905157381767633</v>
      </c>
      <c r="CM229" s="2005">
        <f t="shared" ref="CM229" si="1668">+CI229+CM230</f>
        <v>0.54844462099103797</v>
      </c>
      <c r="CN229" s="2005">
        <f t="shared" ref="CN229" si="1669">+CJ229+CN230</f>
        <v>0.56899999999999995</v>
      </c>
      <c r="CO229" s="2005">
        <f t="shared" ref="CO229" si="1670">+CK229+CO230</f>
        <v>0.54792925058788322</v>
      </c>
      <c r="CP229" s="2005">
        <f t="shared" ref="CP229" si="1671">+CL229+CP230</f>
        <v>0.54905157381767633</v>
      </c>
      <c r="CQ229" s="2001"/>
      <c r="CR229" s="2001"/>
      <c r="CS229" s="2001"/>
      <c r="CT229" s="2001">
        <v>0.54905157381767633</v>
      </c>
      <c r="CU229" s="1112"/>
      <c r="CV229" s="33"/>
      <c r="CW229" s="33">
        <v>2025</v>
      </c>
      <c r="CX229" s="33">
        <v>1820</v>
      </c>
      <c r="CY229" s="33">
        <v>1821.4285714285713</v>
      </c>
      <c r="CZ229" s="33">
        <v>1746.6666666666667</v>
      </c>
      <c r="DA229" s="33">
        <v>2000</v>
      </c>
      <c r="DB229" s="33">
        <v>1785.7142857142858</v>
      </c>
      <c r="DC229" s="33">
        <v>1420</v>
      </c>
      <c r="DD229" s="33">
        <v>1833.3333333333333</v>
      </c>
      <c r="DE229" s="33">
        <v>1717.2413793103449</v>
      </c>
      <c r="DF229" s="33">
        <f t="shared" ref="DF229:DL229" si="1672">+(DF225-DE225)/DF224</f>
        <v>-13246.590322580645</v>
      </c>
      <c r="DG229" s="2002">
        <f t="shared" si="1672"/>
        <v>1.5509259259259258</v>
      </c>
      <c r="DH229" s="2002">
        <f t="shared" si="1672"/>
        <v>1.6345196000000146</v>
      </c>
      <c r="DI229" s="2002">
        <f t="shared" si="1672"/>
        <v>2.0468336666666533</v>
      </c>
      <c r="DJ229" s="2002">
        <f t="shared" si="1672"/>
        <v>1.3694645833333396</v>
      </c>
      <c r="DK229" s="2002">
        <f t="shared" si="1672"/>
        <v>1.4985961764705849</v>
      </c>
      <c r="DL229" s="2003">
        <f t="shared" si="1672"/>
        <v>1.3286960000000136</v>
      </c>
      <c r="DS229" s="2004"/>
      <c r="DT229" s="2004"/>
      <c r="DU229" s="2004"/>
      <c r="DV229" s="2004"/>
      <c r="DY229" s="2004">
        <v>1.1558082954545315</v>
      </c>
      <c r="DZ229" s="2004">
        <v>1.1558082954545315</v>
      </c>
    </row>
    <row r="230" spans="1:130" s="1654" customFormat="1" ht="15.75">
      <c r="A230" s="1647" t="s">
        <v>192</v>
      </c>
      <c r="B230" s="1647"/>
      <c r="C230" s="1648"/>
      <c r="D230" s="1648"/>
      <c r="E230" s="1648"/>
      <c r="F230" s="1648"/>
      <c r="G230" s="1649"/>
      <c r="H230" s="1649"/>
      <c r="I230" s="1649"/>
      <c r="J230" s="1649"/>
      <c r="K230" s="1649"/>
      <c r="L230" s="1649"/>
      <c r="M230" s="1649"/>
      <c r="N230" s="1649"/>
      <c r="O230" s="1649"/>
      <c r="P230" s="1649"/>
      <c r="Q230" s="1649"/>
      <c r="R230" s="1649"/>
      <c r="S230" s="1649"/>
      <c r="T230" s="1649"/>
      <c r="U230" s="1649"/>
      <c r="V230" s="1649"/>
      <c r="W230" s="1649"/>
      <c r="X230" s="1649"/>
      <c r="Y230" s="1649"/>
      <c r="Z230" s="1649"/>
      <c r="AA230" s="1649"/>
      <c r="AB230" s="1649"/>
      <c r="AC230" s="1649"/>
      <c r="AD230" s="1649"/>
      <c r="AE230" s="1649"/>
      <c r="AF230" s="1649"/>
      <c r="AG230" s="1649"/>
      <c r="AH230" s="1649"/>
      <c r="AI230" s="1649"/>
      <c r="AJ230" s="1649"/>
      <c r="AK230" s="1649"/>
      <c r="AL230" s="1649"/>
      <c r="AM230" s="1649"/>
      <c r="AN230" s="1649"/>
      <c r="AO230" s="1649"/>
      <c r="AP230" s="1649"/>
      <c r="AQ230" s="1649">
        <f t="shared" ref="AQ230:BR230" si="1673">+AQ229-AM229</f>
        <v>0.52300000000000002</v>
      </c>
      <c r="AR230" s="1649">
        <f t="shared" si="1673"/>
        <v>0.54702861803735603</v>
      </c>
      <c r="AS230" s="1649">
        <f t="shared" si="1673"/>
        <v>0.52488136929090012</v>
      </c>
      <c r="AT230" s="1649">
        <f t="shared" si="1673"/>
        <v>0.56074556030978639</v>
      </c>
      <c r="AU230" s="1649">
        <f t="shared" si="1673"/>
        <v>2.6020961417152821E-2</v>
      </c>
      <c r="AV230" s="1649">
        <f t="shared" si="1673"/>
        <v>1.0761927419082884E-2</v>
      </c>
      <c r="AW230" s="1649">
        <f t="shared" si="1673"/>
        <v>1.0301371305372009E-2</v>
      </c>
      <c r="AX230" s="1649">
        <f t="shared" si="1673"/>
        <v>-1.6904013579333022E-4</v>
      </c>
      <c r="AY230" s="1649">
        <f t="shared" si="1673"/>
        <v>7.9790385828472088E-3</v>
      </c>
      <c r="AZ230" s="1649">
        <f t="shared" si="1673"/>
        <v>1.8209454543561043E-2</v>
      </c>
      <c r="BA230" s="1649">
        <f t="shared" si="1673"/>
        <v>1.8172594037279E-3</v>
      </c>
      <c r="BB230" s="1649">
        <f t="shared" si="1673"/>
        <v>-2.115967659758744E-3</v>
      </c>
      <c r="BC230" s="1649">
        <f t="shared" si="1673"/>
        <v>-1.3000000000000012E-2</v>
      </c>
      <c r="BD230" s="1649">
        <f t="shared" si="1673"/>
        <v>-8.0000000000000071E-3</v>
      </c>
      <c r="BE230" s="1649">
        <f t="shared" si="1673"/>
        <v>1.8581238668984312E-3</v>
      </c>
      <c r="BF230" s="1649">
        <f t="shared" si="1673"/>
        <v>1.1024899850054948E-2</v>
      </c>
      <c r="BG230" s="1649">
        <f t="shared" si="1673"/>
        <v>2.0920367617882185E-2</v>
      </c>
      <c r="BH230" s="1649">
        <f t="shared" si="1673"/>
        <v>1.100000000000001E-2</v>
      </c>
      <c r="BI230" s="1649">
        <f t="shared" si="1673"/>
        <v>4.108106001452394E-3</v>
      </c>
      <c r="BJ230" s="1649">
        <f t="shared" si="1673"/>
        <v>6.7945627537587816E-3</v>
      </c>
      <c r="BK230" s="1649">
        <f t="shared" si="1673"/>
        <v>-1.2366610184534887E-2</v>
      </c>
      <c r="BL230" s="1649">
        <f t="shared" si="1673"/>
        <v>-1.4000000000000012E-2</v>
      </c>
      <c r="BM230" s="1649">
        <f t="shared" si="1673"/>
        <v>1.0182553118281978E-3</v>
      </c>
      <c r="BN230" s="1649">
        <f t="shared" si="1673"/>
        <v>7.096922253483684E-3</v>
      </c>
      <c r="BO230" s="1649">
        <f t="shared" si="1673"/>
        <v>2.6707995218266944E-3</v>
      </c>
      <c r="BP230" s="1649">
        <f t="shared" si="1673"/>
        <v>-0.12535336888956894</v>
      </c>
      <c r="BQ230" s="1649">
        <f t="shared" si="1673"/>
        <v>-7.1700472636784196E-2</v>
      </c>
      <c r="BR230" s="1649">
        <f t="shared" si="1673"/>
        <v>-4.3404129627648169E-2</v>
      </c>
      <c r="BS230" s="1649">
        <f t="shared" ref="BS230:CB230" si="1674">+BS229-BO229</f>
        <v>-3.1142624670506991E-2</v>
      </c>
      <c r="BT230" s="1649">
        <f t="shared" si="1674"/>
        <v>0.11131278065352856</v>
      </c>
      <c r="BU230" s="1649">
        <f t="shared" si="1674"/>
        <v>6.3910525207091229E-2</v>
      </c>
      <c r="BV230" s="1649">
        <f t="shared" si="1674"/>
        <v>1.7471815139702196E-2</v>
      </c>
      <c r="BW230" s="1649">
        <f t="shared" si="1674"/>
        <v>2.9948566053559333E-2</v>
      </c>
      <c r="BX230" s="1649">
        <f t="shared" si="1674"/>
        <v>9.222208573384294E-3</v>
      </c>
      <c r="BY230" s="1649">
        <f t="shared" si="1674"/>
        <v>-8.0151341779921559E-4</v>
      </c>
      <c r="BZ230" s="1649">
        <f t="shared" si="1674"/>
        <v>-1.4446228835857111E-3</v>
      </c>
      <c r="CA230" s="1649">
        <f t="shared" si="1674"/>
        <v>-1.2561092638533666E-2</v>
      </c>
      <c r="CB230" s="1649">
        <f t="shared" si="1674"/>
        <v>-2.4276110705187648E-2</v>
      </c>
      <c r="CC230" s="1649">
        <f>+CC229-BY229</f>
        <v>-1.8637311057997374E-3</v>
      </c>
      <c r="CD230" s="1649">
        <f>+CD229-BZ229</f>
        <v>1.2393242130108728E-3</v>
      </c>
      <c r="CE230" s="1649">
        <f>+CE229-CA229</f>
        <v>3.8331408532715772E-3</v>
      </c>
      <c r="CF230" s="1649">
        <f>+CF229-CB229</f>
        <v>2.3542265362832104E-2</v>
      </c>
      <c r="CG230" s="1649">
        <f>+CG229-CC229</f>
        <v>9.9876706431333284E-3</v>
      </c>
      <c r="CH230" s="1649">
        <f t="shared" ref="CH230:CK230" si="1675">+CH229-CD229</f>
        <v>-3.1877503953345876E-3</v>
      </c>
      <c r="CI230" s="1649">
        <f t="shared" si="1675"/>
        <v>3.1420744380736831E-3</v>
      </c>
      <c r="CJ230" s="1649">
        <f t="shared" si="1675"/>
        <v>9.5522250050116275E-3</v>
      </c>
      <c r="CK230" s="1649">
        <f t="shared" si="1675"/>
        <v>4.4122867178627567E-3</v>
      </c>
      <c r="CL230" s="2012">
        <v>-5.0000000000000001E-3</v>
      </c>
      <c r="CM230" s="2012">
        <v>0</v>
      </c>
      <c r="CN230" s="2012">
        <v>0</v>
      </c>
      <c r="CO230" s="2012">
        <v>0</v>
      </c>
      <c r="CP230" s="2012">
        <v>0</v>
      </c>
      <c r="CQ230" s="1650"/>
      <c r="CR230" s="1650"/>
      <c r="CS230" s="1650"/>
      <c r="CT230" s="1650">
        <v>-5.0000000000000001E-3</v>
      </c>
      <c r="CU230" s="1646"/>
      <c r="CV230" s="1648"/>
      <c r="CW230" s="1648"/>
      <c r="CX230" s="1648"/>
      <c r="CY230" s="1648"/>
      <c r="CZ230" s="1648"/>
      <c r="DA230" s="1648"/>
      <c r="DB230" s="1648"/>
      <c r="DC230" s="1648"/>
      <c r="DD230" s="1648"/>
      <c r="DE230" s="1648"/>
      <c r="DF230" s="1648"/>
      <c r="DG230" s="1651"/>
      <c r="DH230" s="1651"/>
      <c r="DI230" s="1651"/>
      <c r="DJ230" s="1651"/>
      <c r="DK230" s="1651"/>
      <c r="DL230" s="1652"/>
      <c r="DM230" s="1652"/>
      <c r="DN230" s="1652"/>
      <c r="DO230" s="1652"/>
      <c r="DP230" s="1652"/>
      <c r="DQ230" s="1652"/>
      <c r="DR230" s="1652"/>
      <c r="DS230" s="1653"/>
      <c r="DT230" s="1653"/>
      <c r="DU230" s="1653"/>
      <c r="DV230" s="1653"/>
      <c r="DY230" s="1653"/>
      <c r="DZ230" s="1653"/>
    </row>
    <row r="231" spans="1:130" s="1654" customFormat="1" ht="15.75">
      <c r="A231" s="1647"/>
      <c r="B231" s="1647"/>
      <c r="C231" s="1648"/>
      <c r="D231" s="1648"/>
      <c r="E231" s="1648"/>
      <c r="F231" s="1648"/>
      <c r="G231" s="1649"/>
      <c r="H231" s="1649"/>
      <c r="I231" s="1649"/>
      <c r="J231" s="1649"/>
      <c r="K231" s="1649"/>
      <c r="L231" s="1649"/>
      <c r="M231" s="1649"/>
      <c r="N231" s="1649"/>
      <c r="O231" s="1649"/>
      <c r="P231" s="1649"/>
      <c r="Q231" s="1649"/>
      <c r="R231" s="1649"/>
      <c r="S231" s="1649"/>
      <c r="T231" s="1649"/>
      <c r="U231" s="1649"/>
      <c r="V231" s="1649"/>
      <c r="W231" s="1649"/>
      <c r="X231" s="1649"/>
      <c r="Y231" s="1649"/>
      <c r="Z231" s="1649"/>
      <c r="AA231" s="1649"/>
      <c r="AB231" s="1649"/>
      <c r="AC231" s="1649"/>
      <c r="AD231" s="1649"/>
      <c r="AE231" s="1649"/>
      <c r="AF231" s="1649"/>
      <c r="AG231" s="1649"/>
      <c r="AH231" s="1649"/>
      <c r="AI231" s="1649"/>
      <c r="AJ231" s="1649"/>
      <c r="AK231" s="1649"/>
      <c r="AL231" s="1649"/>
      <c r="AM231" s="1649"/>
      <c r="AN231" s="1649"/>
      <c r="AO231" s="1649"/>
      <c r="AP231" s="1649"/>
      <c r="AQ231" s="1649"/>
      <c r="AR231" s="1649"/>
      <c r="AS231" s="1649"/>
      <c r="AT231" s="1649"/>
      <c r="AU231" s="1649"/>
      <c r="AV231" s="1649"/>
      <c r="AW231" s="1649"/>
      <c r="AX231" s="1649"/>
      <c r="AY231" s="1649"/>
      <c r="AZ231" s="1649"/>
      <c r="BA231" s="1649"/>
      <c r="BB231" s="1649"/>
      <c r="BC231" s="1649"/>
      <c r="BD231" s="1649"/>
      <c r="BE231" s="1649"/>
      <c r="BF231" s="1649"/>
      <c r="BG231" s="1649"/>
      <c r="BH231" s="1649"/>
      <c r="BI231" s="1649"/>
      <c r="BJ231" s="1649"/>
      <c r="BK231" s="1649"/>
      <c r="BL231" s="1649"/>
      <c r="BM231" s="1649"/>
      <c r="BN231" s="1649"/>
      <c r="BO231" s="1649"/>
      <c r="BP231" s="1649"/>
      <c r="BQ231" s="1649"/>
      <c r="BR231" s="1649"/>
      <c r="BS231" s="1649"/>
      <c r="BT231" s="1649"/>
      <c r="BU231" s="1649"/>
      <c r="BV231" s="1649"/>
      <c r="BW231" s="1649"/>
      <c r="BX231" s="1649"/>
      <c r="BY231" s="1649"/>
      <c r="BZ231" s="1649"/>
      <c r="CA231" s="1649"/>
      <c r="CB231" s="1649"/>
      <c r="CC231" s="1649"/>
      <c r="CD231" s="1649"/>
      <c r="CE231" s="1649"/>
      <c r="CF231" s="1649"/>
      <c r="CG231" s="1649"/>
      <c r="CH231" s="1649"/>
      <c r="CI231" s="2147">
        <f>+CI229*CI227</f>
        <v>1383.4635668002572</v>
      </c>
      <c r="CJ231" s="2147">
        <f>+CJ229*CJ227</f>
        <v>1921.3821475251998</v>
      </c>
      <c r="CK231" s="2147">
        <f>+CK229*CK227</f>
        <v>1546.3074675717671</v>
      </c>
      <c r="CL231" s="2012"/>
      <c r="CM231" s="2012"/>
      <c r="CN231" s="2012"/>
      <c r="CO231" s="2012"/>
      <c r="CP231" s="2012"/>
      <c r="CQ231" s="1650"/>
      <c r="CR231" s="1650"/>
      <c r="CS231" s="1650"/>
      <c r="CT231" s="1650"/>
      <c r="CU231" s="1646"/>
      <c r="CV231" s="1648"/>
      <c r="CW231" s="1648"/>
      <c r="CX231" s="1648"/>
      <c r="CY231" s="1648"/>
      <c r="CZ231" s="1648"/>
      <c r="DA231" s="1648"/>
      <c r="DB231" s="1648"/>
      <c r="DC231" s="1648"/>
      <c r="DD231" s="1648"/>
      <c r="DE231" s="1648"/>
      <c r="DF231" s="1648"/>
      <c r="DG231" s="1651"/>
      <c r="DH231" s="1651"/>
      <c r="DI231" s="1651"/>
      <c r="DJ231" s="1651"/>
      <c r="DK231" s="1651"/>
      <c r="DL231" s="1652"/>
      <c r="DM231" s="1652"/>
      <c r="DN231" s="1652"/>
      <c r="DO231" s="1652"/>
      <c r="DP231" s="1652"/>
      <c r="DQ231" s="1652"/>
      <c r="DR231" s="1652"/>
      <c r="DS231" s="1653"/>
      <c r="DT231" s="1653"/>
      <c r="DU231" s="1653"/>
      <c r="DV231" s="1653"/>
      <c r="DY231" s="1653"/>
      <c r="DZ231" s="1653"/>
    </row>
    <row r="232" spans="1:130" s="656" customFormat="1" ht="12">
      <c r="A232" s="111"/>
      <c r="B232" s="111"/>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c r="AG232" s="63"/>
      <c r="AH232" s="63"/>
      <c r="AI232" s="63"/>
      <c r="AJ232" s="63"/>
      <c r="AK232" s="63"/>
      <c r="AL232" s="63"/>
      <c r="AM232" s="63"/>
      <c r="AN232" s="63"/>
      <c r="AO232" s="63"/>
      <c r="AP232" s="63"/>
      <c r="AQ232" s="752"/>
      <c r="AR232" s="752"/>
      <c r="AS232" s="752"/>
      <c r="AT232" s="752"/>
      <c r="AU232" s="752"/>
      <c r="AV232" s="752"/>
      <c r="AW232" s="752"/>
      <c r="AX232" s="752"/>
      <c r="AY232" s="752"/>
      <c r="AZ232" s="752"/>
      <c r="BA232" s="752"/>
      <c r="BB232" s="752"/>
      <c r="BC232" s="752"/>
      <c r="BD232" s="752"/>
      <c r="BE232" s="752"/>
      <c r="BF232" s="752"/>
      <c r="BG232" s="752"/>
      <c r="BH232" s="1232"/>
      <c r="BI232" s="1232"/>
      <c r="BJ232" s="1232"/>
      <c r="BK232" s="1232"/>
      <c r="BL232" s="1232"/>
      <c r="BM232" s="1232"/>
      <c r="BN232" s="1232"/>
      <c r="BO232" s="1232"/>
      <c r="BP232" s="1232"/>
      <c r="BQ232" s="1232"/>
      <c r="BR232" s="1232"/>
      <c r="BS232" s="1232"/>
      <c r="BT232" s="1232"/>
      <c r="BU232" s="1232"/>
      <c r="BV232" s="1232"/>
      <c r="BW232" s="1232"/>
      <c r="BX232" s="1232"/>
      <c r="BY232" s="1232"/>
      <c r="BZ232" s="1232"/>
      <c r="CA232" s="1232"/>
      <c r="CB232" s="1232"/>
      <c r="CC232" s="1232"/>
      <c r="CD232" s="1232"/>
      <c r="CE232" s="1232"/>
      <c r="CF232" s="1232"/>
      <c r="CG232" s="1232"/>
      <c r="CH232" s="1232"/>
      <c r="CI232" s="1232"/>
      <c r="CJ232" s="1232"/>
      <c r="CK232" s="1232"/>
      <c r="CL232" s="755"/>
      <c r="CM232" s="755"/>
      <c r="CN232" s="755"/>
      <c r="CO232" s="755"/>
      <c r="CP232" s="755"/>
      <c r="CQ232" s="755"/>
      <c r="CR232" s="755"/>
      <c r="CS232" s="755"/>
      <c r="CT232" s="755"/>
      <c r="CU232" s="1113"/>
      <c r="CV232" s="63"/>
      <c r="CW232" s="63"/>
      <c r="CX232" s="63"/>
      <c r="CY232" s="63"/>
      <c r="CZ232" s="63"/>
      <c r="DA232" s="63"/>
      <c r="DB232" s="63"/>
      <c r="DC232" s="63"/>
      <c r="DD232" s="63"/>
      <c r="DE232" s="63"/>
      <c r="DF232" s="63"/>
      <c r="DG232" s="63"/>
      <c r="DH232" s="63"/>
      <c r="DI232" s="63"/>
      <c r="DJ232" s="63"/>
      <c r="DK232" s="63"/>
      <c r="DL232" s="1227"/>
      <c r="DM232" s="1227"/>
      <c r="DN232" s="1227"/>
      <c r="DO232" s="1227"/>
      <c r="DP232" s="1227"/>
      <c r="DQ232" s="1227"/>
      <c r="DR232" s="1227"/>
      <c r="DS232" s="749"/>
      <c r="DT232" s="749"/>
      <c r="DU232" s="749"/>
      <c r="DV232" s="749"/>
      <c r="DY232" s="749"/>
      <c r="DZ232" s="749"/>
    </row>
    <row r="233" spans="1:130" s="656" customFormat="1" ht="15.75">
      <c r="A233" s="111" t="s">
        <v>262</v>
      </c>
      <c r="B233" s="111"/>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c r="AG233" s="63"/>
      <c r="AH233" s="63"/>
      <c r="AI233" s="63"/>
      <c r="AJ233" s="63"/>
      <c r="AK233" s="63"/>
      <c r="AL233" s="63"/>
      <c r="AM233" s="63"/>
      <c r="AN233" s="63"/>
      <c r="AO233" s="63"/>
      <c r="AP233" s="63"/>
      <c r="AQ233" s="1450">
        <f t="shared" ref="AQ233:BV233" si="1676">+(AQ225-AP225)/AQ224</f>
        <v>-410688.1</v>
      </c>
      <c r="AR233" s="1450">
        <f t="shared" si="1676"/>
        <v>1.5</v>
      </c>
      <c r="AS233" s="1450">
        <f t="shared" si="1676"/>
        <v>1.375</v>
      </c>
      <c r="AT233" s="1450">
        <f t="shared" si="1676"/>
        <v>1.4562500000000007</v>
      </c>
      <c r="AU233" s="1450">
        <f t="shared" si="1676"/>
        <v>4</v>
      </c>
      <c r="AV233" s="1450">
        <f t="shared" si="1676"/>
        <v>1.3052000000000021</v>
      </c>
      <c r="AW233" s="1450">
        <f t="shared" si="1676"/>
        <v>1.6696000000000026</v>
      </c>
      <c r="AX233" s="1450">
        <f t="shared" si="1676"/>
        <v>1.4977272727272697</v>
      </c>
      <c r="AY233" s="1450">
        <f t="shared" si="1676"/>
        <v>1.1816599999999937</v>
      </c>
      <c r="AZ233" s="1450">
        <f t="shared" si="1676"/>
        <v>1.6698742857142861</v>
      </c>
      <c r="BA233" s="1450">
        <f t="shared" si="1676"/>
        <v>1.3404383333333385</v>
      </c>
      <c r="BB233" s="1450">
        <f t="shared" si="1676"/>
        <v>1.8767920000000344</v>
      </c>
      <c r="BC233" s="1450">
        <f t="shared" si="1676"/>
        <v>1.2065733333332294</v>
      </c>
      <c r="BD233" s="1450">
        <f t="shared" si="1676"/>
        <v>1.4777557142857145</v>
      </c>
      <c r="BE233" s="1450">
        <f t="shared" si="1676"/>
        <v>3.6704999999999899</v>
      </c>
      <c r="BF233" s="1450">
        <f t="shared" si="1676"/>
        <v>1.5064166666666665</v>
      </c>
      <c r="BG233" s="1450">
        <f t="shared" si="1676"/>
        <v>1.193774999999988</v>
      </c>
      <c r="BH233" s="1450">
        <f t="shared" si="1676"/>
        <v>1.3976350000000082</v>
      </c>
      <c r="BI233" s="1450">
        <f t="shared" si="1676"/>
        <v>1.1657316666666777</v>
      </c>
      <c r="BJ233" s="1450">
        <f t="shared" si="1676"/>
        <v>1.3904842857142836</v>
      </c>
      <c r="BK233" s="1450" t="e">
        <f t="shared" si="1676"/>
        <v>#DIV/0!</v>
      </c>
      <c r="BL233" s="1450">
        <f t="shared" si="1676"/>
        <v>2.4334416666666621</v>
      </c>
      <c r="BM233" s="1450">
        <f t="shared" si="1676"/>
        <v>1.1930537500000042</v>
      </c>
      <c r="BN233" s="1450">
        <f t="shared" si="1676"/>
        <v>1.2130994999999984</v>
      </c>
      <c r="BO233" s="1450">
        <f t="shared" si="1676"/>
        <v>0.56241999999997461</v>
      </c>
      <c r="BP233" s="1450" t="e">
        <f t="shared" si="1676"/>
        <v>#DIV/0!</v>
      </c>
      <c r="BQ233" s="1450">
        <f t="shared" si="1676"/>
        <v>1.3000000000000227</v>
      </c>
      <c r="BR233" s="1450">
        <f t="shared" si="1676"/>
        <v>0.7058999999999287</v>
      </c>
      <c r="BS233" s="1450">
        <f t="shared" si="1676"/>
        <v>9.4099999999912143E-2</v>
      </c>
      <c r="BT233" s="1450">
        <f t="shared" si="1676"/>
        <v>1.2538764705882386</v>
      </c>
      <c r="BU233" s="1450">
        <f t="shared" si="1676"/>
        <v>0.89599999999995816</v>
      </c>
      <c r="BV233" s="1450">
        <f t="shared" si="1676"/>
        <v>1.1461000000000467</v>
      </c>
      <c r="BW233" s="1450">
        <f t="shared" ref="BW233:CJ233" si="1677">+(BW225-BV225)/BW224</f>
        <v>0.51371999999992113</v>
      </c>
      <c r="BX233" s="1450">
        <f t="shared" si="1677"/>
        <v>1.3305760000000191</v>
      </c>
      <c r="BY233" s="1450">
        <f t="shared" si="1677"/>
        <v>1.0852675000000147</v>
      </c>
      <c r="BZ233" s="1450">
        <f t="shared" si="1677"/>
        <v>0.65405999999997277</v>
      </c>
      <c r="CA233" s="1450">
        <f t="shared" si="1677"/>
        <v>1.6595766666666236</v>
      </c>
      <c r="CB233" s="1450" t="e">
        <f t="shared" si="1677"/>
        <v>#DIV/0!</v>
      </c>
      <c r="CC233" s="1450">
        <f t="shared" si="1677"/>
        <v>-0.36570619047621938</v>
      </c>
      <c r="CD233" s="1450">
        <f t="shared" si="1677"/>
        <v>1.5346299999999644</v>
      </c>
      <c r="CE233" s="1450">
        <f t="shared" si="1677"/>
        <v>-0.10331666666681372</v>
      </c>
      <c r="CF233" s="1450">
        <f t="shared" si="1677"/>
        <v>-0.28987333333338938</v>
      </c>
      <c r="CG233" s="1450">
        <f t="shared" si="1677"/>
        <v>-0.86719444444448379</v>
      </c>
      <c r="CH233" s="1450">
        <f t="shared" si="1677"/>
        <v>0.24406958333334691</v>
      </c>
      <c r="CI233" s="1450">
        <f t="shared" si="1677"/>
        <v>5.3929424999997764</v>
      </c>
      <c r="CJ233" s="1450">
        <f t="shared" si="1677"/>
        <v>1.464333333342438E-2</v>
      </c>
      <c r="CK233" s="1450">
        <v>1</v>
      </c>
      <c r="CL233" s="1451">
        <v>1</v>
      </c>
      <c r="CM233" s="1451">
        <v>1</v>
      </c>
      <c r="CN233" s="1451">
        <v>1</v>
      </c>
      <c r="CO233" s="1451">
        <v>1</v>
      </c>
      <c r="CP233" s="1451">
        <v>1</v>
      </c>
      <c r="CQ233" s="1451"/>
      <c r="CR233" s="755"/>
      <c r="CS233" s="755"/>
      <c r="CT233" s="1451">
        <v>1</v>
      </c>
      <c r="CU233" s="1113"/>
      <c r="CV233" s="63"/>
      <c r="CW233" s="63"/>
      <c r="CX233" s="63"/>
      <c r="CY233" s="63"/>
      <c r="CZ233" s="63"/>
      <c r="DA233" s="63"/>
      <c r="DB233" s="63"/>
      <c r="DC233" s="63"/>
      <c r="DD233" s="63"/>
      <c r="DE233" s="63"/>
      <c r="DF233" s="63"/>
      <c r="DG233" s="63"/>
      <c r="DH233" s="63"/>
      <c r="DI233" s="63"/>
      <c r="DJ233" s="63"/>
      <c r="DK233" s="63"/>
      <c r="DL233" s="1227"/>
      <c r="DM233" s="2003">
        <f t="shared" ref="DM233:DR233" si="1678">+(DM225-DL225)/DM224</f>
        <v>1.1726049999999986</v>
      </c>
      <c r="DN233" s="2003">
        <f t="shared" si="1678"/>
        <v>0.95823727272726889</v>
      </c>
      <c r="DO233" s="2003">
        <f t="shared" si="1678"/>
        <v>-0.4505976190476661</v>
      </c>
      <c r="DP233" s="2003">
        <f t="shared" si="1678"/>
        <v>-0.16896208333325072</v>
      </c>
      <c r="DQ233" s="2003">
        <f t="shared" si="1678"/>
        <v>1.1558082954545315</v>
      </c>
      <c r="DR233" s="2003">
        <f t="shared" si="1678"/>
        <v>1</v>
      </c>
      <c r="DS233" s="2004">
        <v>1</v>
      </c>
      <c r="DT233" s="2004">
        <f t="shared" ref="DT233" si="1679">+DS233</f>
        <v>1</v>
      </c>
      <c r="DU233" s="2004">
        <f t="shared" ref="DU233" si="1680">+DT233</f>
        <v>1</v>
      </c>
      <c r="DV233" s="2004">
        <f t="shared" ref="DV233" si="1681">+DU233</f>
        <v>1</v>
      </c>
      <c r="DY233" s="749"/>
      <c r="DZ233" s="749"/>
    </row>
    <row r="234" spans="1:130">
      <c r="A234" s="1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108"/>
      <c r="AU234" s="108"/>
      <c r="AV234" s="7"/>
      <c r="AW234" s="7"/>
      <c r="AX234" s="7"/>
      <c r="AY234" s="7"/>
      <c r="AZ234" s="7"/>
      <c r="BA234" s="8"/>
      <c r="BB234" s="9"/>
      <c r="BC234" s="107"/>
      <c r="BD234" s="9"/>
      <c r="BE234" s="9"/>
      <c r="BF234" s="9"/>
      <c r="BG234" s="9"/>
      <c r="BH234" s="1231"/>
      <c r="BI234" s="1231"/>
      <c r="BJ234" s="1231"/>
      <c r="BK234" s="1231"/>
      <c r="BL234" s="1231"/>
      <c r="BM234" s="1231"/>
      <c r="BN234" s="1231"/>
      <c r="BO234" s="1231"/>
      <c r="BP234" s="1231"/>
      <c r="BQ234" s="1231"/>
      <c r="BR234" s="1231"/>
      <c r="BS234" s="1231"/>
      <c r="BT234" s="1231"/>
      <c r="BU234" s="1231"/>
      <c r="BV234" s="1231"/>
      <c r="BW234" s="1231"/>
      <c r="BX234" s="1231"/>
      <c r="BY234" s="1231"/>
      <c r="BZ234" s="1231"/>
      <c r="CA234" s="1231"/>
      <c r="CB234" s="1231"/>
      <c r="CC234" s="1231"/>
      <c r="CD234" s="1231"/>
      <c r="CE234" s="1231"/>
      <c r="CF234" s="1231"/>
      <c r="CG234" s="1231"/>
      <c r="CH234" s="1231"/>
      <c r="CI234" s="1231"/>
      <c r="CJ234" s="1231"/>
      <c r="CK234" s="1231"/>
      <c r="CL234" s="169"/>
      <c r="CM234" s="169"/>
      <c r="CN234" s="169"/>
      <c r="CO234" s="169"/>
      <c r="CP234" s="169"/>
      <c r="CQ234" s="169"/>
      <c r="CR234" s="169"/>
      <c r="CS234" s="169"/>
      <c r="CT234" s="169"/>
      <c r="CU234" s="1114"/>
      <c r="CV234" s="23"/>
      <c r="CW234" s="7"/>
      <c r="CX234" s="7"/>
      <c r="CY234" s="7"/>
      <c r="CZ234" s="7"/>
      <c r="DA234" s="7"/>
      <c r="DB234" s="7"/>
      <c r="DC234" s="7"/>
      <c r="DD234" s="7"/>
      <c r="DE234" s="7"/>
      <c r="DF234" s="9"/>
      <c r="DG234" s="9"/>
      <c r="DH234" s="9"/>
      <c r="DI234" s="9"/>
      <c r="DJ234" s="9"/>
      <c r="DK234" s="9"/>
      <c r="DL234" s="1231"/>
      <c r="DM234" s="1231"/>
      <c r="DN234" s="1231"/>
      <c r="DO234" s="1231"/>
      <c r="DP234" s="1231"/>
      <c r="DQ234" s="1231"/>
      <c r="DR234" s="1231"/>
      <c r="DS234" s="169"/>
      <c r="DT234" s="169"/>
      <c r="DU234" s="169"/>
      <c r="DV234" s="169"/>
      <c r="DY234" s="169"/>
      <c r="DZ234" s="169"/>
    </row>
    <row r="235" spans="1:130" s="686" customFormat="1" ht="12.75">
      <c r="A235" s="84" t="s">
        <v>263</v>
      </c>
      <c r="B235" s="102"/>
      <c r="C235" s="740"/>
      <c r="D235" s="740"/>
      <c r="E235" s="740"/>
      <c r="F235" s="740"/>
      <c r="G235" s="740"/>
      <c r="H235" s="740"/>
      <c r="I235" s="740"/>
      <c r="J235" s="740"/>
      <c r="K235" s="740"/>
      <c r="L235" s="740"/>
      <c r="M235" s="740"/>
      <c r="N235" s="740"/>
      <c r="O235" s="740"/>
      <c r="P235" s="740"/>
      <c r="Q235" s="740"/>
      <c r="R235" s="740"/>
      <c r="S235" s="740"/>
      <c r="T235" s="740"/>
      <c r="U235" s="740"/>
      <c r="V235" s="740"/>
      <c r="W235" s="740"/>
      <c r="X235" s="740"/>
      <c r="Y235" s="740"/>
      <c r="Z235" s="740"/>
      <c r="AA235" s="740"/>
      <c r="AB235" s="740"/>
      <c r="AC235" s="740"/>
      <c r="AD235" s="740"/>
      <c r="AE235" s="740">
        <v>1</v>
      </c>
      <c r="AF235" s="740">
        <v>1</v>
      </c>
      <c r="AG235" s="740">
        <v>2</v>
      </c>
      <c r="AH235" s="740">
        <v>3</v>
      </c>
      <c r="AI235" s="740">
        <v>3</v>
      </c>
      <c r="AJ235" s="740">
        <v>3</v>
      </c>
      <c r="AK235" s="740">
        <v>3</v>
      </c>
      <c r="AL235" s="740">
        <v>4</v>
      </c>
      <c r="AM235" s="740">
        <v>4</v>
      </c>
      <c r="AN235" s="740">
        <v>7</v>
      </c>
      <c r="AO235" s="84">
        <v>9</v>
      </c>
      <c r="AP235" s="740">
        <v>15</v>
      </c>
      <c r="AQ235" s="741">
        <v>15</v>
      </c>
      <c r="AR235" s="741">
        <v>20</v>
      </c>
      <c r="AS235" s="741">
        <v>23</v>
      </c>
      <c r="AT235" s="741">
        <v>25</v>
      </c>
      <c r="AU235" s="741">
        <v>25</v>
      </c>
      <c r="AV235" s="741">
        <v>28</v>
      </c>
      <c r="AW235" s="741">
        <v>28</v>
      </c>
      <c r="AX235" s="741">
        <v>37</v>
      </c>
      <c r="AY235" s="741">
        <v>41</v>
      </c>
      <c r="AZ235" s="741">
        <v>52</v>
      </c>
      <c r="BA235" s="742">
        <v>52</v>
      </c>
      <c r="BB235" s="741">
        <v>59</v>
      </c>
      <c r="BC235" s="741">
        <v>64</v>
      </c>
      <c r="BD235" s="741">
        <v>70</v>
      </c>
      <c r="BE235" s="741">
        <v>76</v>
      </c>
      <c r="BF235" s="741">
        <v>84</v>
      </c>
      <c r="BG235" s="741">
        <v>82</v>
      </c>
      <c r="BH235" s="1228">
        <v>92</v>
      </c>
      <c r="BI235" s="1228">
        <v>90</v>
      </c>
      <c r="BJ235" s="1228">
        <v>94</v>
      </c>
      <c r="BK235" s="1228">
        <v>94</v>
      </c>
      <c r="BL235" s="1228">
        <v>97</v>
      </c>
      <c r="BM235" s="1228">
        <v>96</v>
      </c>
      <c r="BN235" s="1228">
        <v>101</v>
      </c>
      <c r="BO235" s="1228">
        <v>98</v>
      </c>
      <c r="BP235" s="1228">
        <v>98</v>
      </c>
      <c r="BQ235" s="1228">
        <v>100</v>
      </c>
      <c r="BR235" s="1228">
        <v>100</v>
      </c>
      <c r="BS235" s="1228">
        <v>99</v>
      </c>
      <c r="BT235" s="1228">
        <v>103</v>
      </c>
      <c r="BU235" s="1228">
        <v>104</v>
      </c>
      <c r="BV235" s="1228">
        <v>104</v>
      </c>
      <c r="BW235" s="1228">
        <v>104</v>
      </c>
      <c r="BX235" s="1228">
        <v>112</v>
      </c>
      <c r="BY235" s="1228">
        <v>113</v>
      </c>
      <c r="BZ235" s="1228">
        <v>114</v>
      </c>
      <c r="CA235" s="1228">
        <v>111</v>
      </c>
      <c r="CB235" s="1228">
        <v>115</v>
      </c>
      <c r="CC235" s="1228">
        <v>118</v>
      </c>
      <c r="CD235" s="1228">
        <v>124</v>
      </c>
      <c r="CE235" s="1228">
        <v>124</v>
      </c>
      <c r="CF235" s="1228">
        <v>128</v>
      </c>
      <c r="CG235" s="1228">
        <v>129</v>
      </c>
      <c r="CH235" s="1228">
        <v>135</v>
      </c>
      <c r="CI235" s="1228">
        <v>135</v>
      </c>
      <c r="CJ235" s="1228">
        <v>139</v>
      </c>
      <c r="CK235" s="1228">
        <v>142</v>
      </c>
      <c r="CL235" s="745">
        <f t="shared" ref="CL235" si="1682">+CK235+CL236</f>
        <v>147</v>
      </c>
      <c r="CM235" s="745">
        <f t="shared" ref="CM235" si="1683">+CL235+CM236</f>
        <v>148</v>
      </c>
      <c r="CN235" s="745">
        <f t="shared" ref="CN235" si="1684">+CM235+CN236</f>
        <v>151</v>
      </c>
      <c r="CO235" s="745">
        <f t="shared" ref="CO235" si="1685">+CN235+CO236</f>
        <v>156</v>
      </c>
      <c r="CP235" s="745">
        <f t="shared" ref="CP235" si="1686">+CO235+CP236</f>
        <v>167</v>
      </c>
      <c r="CQ235" s="745"/>
      <c r="CR235" s="745"/>
      <c r="CS235" s="745"/>
      <c r="CT235" s="745">
        <v>147</v>
      </c>
      <c r="CU235" s="1112"/>
      <c r="CV235" s="740"/>
      <c r="CW235" s="740"/>
      <c r="CX235" s="740"/>
      <c r="CY235" s="740"/>
      <c r="CZ235" s="740"/>
      <c r="DA235" s="740"/>
      <c r="DB235" s="746">
        <v>0</v>
      </c>
      <c r="DC235" s="102">
        <v>3</v>
      </c>
      <c r="DD235" s="102">
        <v>4</v>
      </c>
      <c r="DE235" s="102">
        <v>15</v>
      </c>
      <c r="DF235" s="102">
        <f>AT235</f>
        <v>25</v>
      </c>
      <c r="DG235" s="102">
        <f>+AX235</f>
        <v>37</v>
      </c>
      <c r="DH235" s="102">
        <f>+BB235</f>
        <v>59</v>
      </c>
      <c r="DI235" s="102">
        <f>+BF235</f>
        <v>84</v>
      </c>
      <c r="DJ235" s="102">
        <f>+BJ235</f>
        <v>94</v>
      </c>
      <c r="DK235" s="102">
        <f>+BN235</f>
        <v>101</v>
      </c>
      <c r="DL235" s="132">
        <f>+BR235</f>
        <v>100</v>
      </c>
      <c r="DM235" s="132">
        <f>+BV235</f>
        <v>104</v>
      </c>
      <c r="DN235" s="132">
        <f>+BZ235</f>
        <v>114</v>
      </c>
      <c r="DO235" s="132">
        <f>+CD235</f>
        <v>124</v>
      </c>
      <c r="DP235" s="132">
        <f>+CH235</f>
        <v>135</v>
      </c>
      <c r="DQ235" s="132">
        <f>+CL235</f>
        <v>147</v>
      </c>
      <c r="DR235" s="132">
        <f>+CP235</f>
        <v>167</v>
      </c>
      <c r="DS235" s="376">
        <f>+DR235+DS236</f>
        <v>187</v>
      </c>
      <c r="DT235" s="376">
        <f t="shared" ref="DT235:DV235" si="1687">+DS235+DT236</f>
        <v>207</v>
      </c>
      <c r="DU235" s="376">
        <f t="shared" si="1687"/>
        <v>227</v>
      </c>
      <c r="DV235" s="376">
        <f t="shared" si="1687"/>
        <v>247</v>
      </c>
      <c r="DY235" s="376">
        <v>167</v>
      </c>
      <c r="DZ235" s="376">
        <v>187</v>
      </c>
    </row>
    <row r="236" spans="1:130" s="656" customFormat="1" ht="12">
      <c r="A236" s="45" t="s">
        <v>264</v>
      </c>
      <c r="B236" s="62"/>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v>1</v>
      </c>
      <c r="AF236" s="63">
        <v>0</v>
      </c>
      <c r="AG236" s="63">
        <v>1</v>
      </c>
      <c r="AH236" s="63">
        <v>1</v>
      </c>
      <c r="AI236" s="63">
        <v>0</v>
      </c>
      <c r="AJ236" s="63">
        <v>0</v>
      </c>
      <c r="AK236" s="63">
        <v>0</v>
      </c>
      <c r="AL236" s="63">
        <v>1</v>
      </c>
      <c r="AM236" s="63">
        <v>0</v>
      </c>
      <c r="AN236" s="63">
        <v>3</v>
      </c>
      <c r="AO236" s="63">
        <v>2</v>
      </c>
      <c r="AP236" s="63">
        <v>6</v>
      </c>
      <c r="AQ236" s="63">
        <f t="shared" ref="AQ236:BD236" si="1688">+AQ235-AP235</f>
        <v>0</v>
      </c>
      <c r="AR236" s="63">
        <f t="shared" si="1688"/>
        <v>5</v>
      </c>
      <c r="AS236" s="63">
        <f t="shared" si="1688"/>
        <v>3</v>
      </c>
      <c r="AT236" s="63">
        <f t="shared" si="1688"/>
        <v>2</v>
      </c>
      <c r="AU236" s="63">
        <f t="shared" si="1688"/>
        <v>0</v>
      </c>
      <c r="AV236" s="63">
        <f t="shared" si="1688"/>
        <v>3</v>
      </c>
      <c r="AW236" s="63">
        <f t="shared" si="1688"/>
        <v>0</v>
      </c>
      <c r="AX236" s="63">
        <f t="shared" si="1688"/>
        <v>9</v>
      </c>
      <c r="AY236" s="63">
        <f t="shared" si="1688"/>
        <v>4</v>
      </c>
      <c r="AZ236" s="63">
        <f t="shared" si="1688"/>
        <v>11</v>
      </c>
      <c r="BA236" s="63">
        <f t="shared" si="1688"/>
        <v>0</v>
      </c>
      <c r="BB236" s="63">
        <f t="shared" si="1688"/>
        <v>7</v>
      </c>
      <c r="BC236" s="63">
        <f t="shared" si="1688"/>
        <v>5</v>
      </c>
      <c r="BD236" s="63">
        <f t="shared" si="1688"/>
        <v>6</v>
      </c>
      <c r="BE236" s="63">
        <f t="shared" ref="BE236:BN236" si="1689">+BE235-BD235</f>
        <v>6</v>
      </c>
      <c r="BF236" s="63">
        <f t="shared" si="1689"/>
        <v>8</v>
      </c>
      <c r="BG236" s="63">
        <f t="shared" si="1689"/>
        <v>-2</v>
      </c>
      <c r="BH236" s="1227">
        <f t="shared" si="1689"/>
        <v>10</v>
      </c>
      <c r="BI236" s="1227">
        <f t="shared" si="1689"/>
        <v>-2</v>
      </c>
      <c r="BJ236" s="1227">
        <f t="shared" si="1689"/>
        <v>4</v>
      </c>
      <c r="BK236" s="1227">
        <f t="shared" si="1689"/>
        <v>0</v>
      </c>
      <c r="BL236" s="1227">
        <f t="shared" si="1689"/>
        <v>3</v>
      </c>
      <c r="BM236" s="1227">
        <f t="shared" si="1689"/>
        <v>-1</v>
      </c>
      <c r="BN236" s="1227">
        <f t="shared" si="1689"/>
        <v>5</v>
      </c>
      <c r="BO236" s="1227">
        <f t="shared" ref="BO236:BX236" si="1690">+BO235-BN235</f>
        <v>-3</v>
      </c>
      <c r="BP236" s="1227">
        <f t="shared" si="1690"/>
        <v>0</v>
      </c>
      <c r="BQ236" s="1227">
        <f t="shared" si="1690"/>
        <v>2</v>
      </c>
      <c r="BR236" s="1227">
        <f t="shared" si="1690"/>
        <v>0</v>
      </c>
      <c r="BS236" s="1227">
        <f t="shared" si="1690"/>
        <v>-1</v>
      </c>
      <c r="BT236" s="1227">
        <f t="shared" si="1690"/>
        <v>4</v>
      </c>
      <c r="BU236" s="1227">
        <f t="shared" si="1690"/>
        <v>1</v>
      </c>
      <c r="BV236" s="1227">
        <f t="shared" si="1690"/>
        <v>0</v>
      </c>
      <c r="BW236" s="1227">
        <f t="shared" si="1690"/>
        <v>0</v>
      </c>
      <c r="BX236" s="1227">
        <f t="shared" si="1690"/>
        <v>8</v>
      </c>
      <c r="BY236" s="1227">
        <f t="shared" ref="BY236:CK236" si="1691">BY235-BX235</f>
        <v>1</v>
      </c>
      <c r="BZ236" s="1227">
        <f t="shared" si="1691"/>
        <v>1</v>
      </c>
      <c r="CA236" s="1227">
        <f t="shared" si="1691"/>
        <v>-3</v>
      </c>
      <c r="CB236" s="1227">
        <f t="shared" si="1691"/>
        <v>4</v>
      </c>
      <c r="CC236" s="1227">
        <f t="shared" si="1691"/>
        <v>3</v>
      </c>
      <c r="CD236" s="1227">
        <f t="shared" si="1691"/>
        <v>6</v>
      </c>
      <c r="CE236" s="1227">
        <f t="shared" si="1691"/>
        <v>0</v>
      </c>
      <c r="CF236" s="1227">
        <f t="shared" si="1691"/>
        <v>4</v>
      </c>
      <c r="CG236" s="1227">
        <f t="shared" si="1691"/>
        <v>1</v>
      </c>
      <c r="CH236" s="1227">
        <f t="shared" si="1691"/>
        <v>6</v>
      </c>
      <c r="CI236" s="1227">
        <f t="shared" si="1691"/>
        <v>0</v>
      </c>
      <c r="CJ236" s="1227">
        <f t="shared" si="1691"/>
        <v>4</v>
      </c>
      <c r="CK236" s="1227">
        <f t="shared" si="1691"/>
        <v>3</v>
      </c>
      <c r="CL236" s="747">
        <v>5</v>
      </c>
      <c r="CM236" s="747">
        <v>1</v>
      </c>
      <c r="CN236" s="747">
        <v>3</v>
      </c>
      <c r="CO236" s="747">
        <v>5</v>
      </c>
      <c r="CP236" s="747">
        <f>20-CO236-CN236-CM236</f>
        <v>11</v>
      </c>
      <c r="CQ236" s="747"/>
      <c r="CR236" s="747"/>
      <c r="CS236" s="747"/>
      <c r="CT236" s="747">
        <v>5</v>
      </c>
      <c r="CU236" s="1113"/>
      <c r="CV236" s="63"/>
      <c r="CW236" s="63"/>
      <c r="CX236" s="63"/>
      <c r="CY236" s="63"/>
      <c r="CZ236" s="63"/>
      <c r="DA236" s="63"/>
      <c r="DB236" s="105"/>
      <c r="DC236" s="62">
        <v>3</v>
      </c>
      <c r="DD236" s="62">
        <v>1</v>
      </c>
      <c r="DE236" s="62">
        <v>11</v>
      </c>
      <c r="DF236" s="62">
        <f t="shared" ref="DF236:DM236" si="1692">+DF235-DE235</f>
        <v>10</v>
      </c>
      <c r="DG236" s="62">
        <f t="shared" si="1692"/>
        <v>12</v>
      </c>
      <c r="DH236" s="62">
        <f t="shared" si="1692"/>
        <v>22</v>
      </c>
      <c r="DI236" s="62">
        <f t="shared" si="1692"/>
        <v>25</v>
      </c>
      <c r="DJ236" s="62">
        <f t="shared" si="1692"/>
        <v>10</v>
      </c>
      <c r="DK236" s="62">
        <f t="shared" si="1692"/>
        <v>7</v>
      </c>
      <c r="DL236" s="1235">
        <f t="shared" si="1692"/>
        <v>-1</v>
      </c>
      <c r="DM236" s="1235">
        <f t="shared" si="1692"/>
        <v>4</v>
      </c>
      <c r="DN236" s="1235">
        <f>+DN235-DM235</f>
        <v>10</v>
      </c>
      <c r="DO236" s="1235">
        <f>+DO235-DN235</f>
        <v>10</v>
      </c>
      <c r="DP236" s="1235">
        <f>+DP235-DO235</f>
        <v>11</v>
      </c>
      <c r="DQ236" s="1235">
        <f>+DQ235-DP235</f>
        <v>12</v>
      </c>
      <c r="DR236" s="1235">
        <f>+DR235-DQ235</f>
        <v>20</v>
      </c>
      <c r="DS236" s="748">
        <v>20</v>
      </c>
      <c r="DT236" s="748">
        <v>20</v>
      </c>
      <c r="DU236" s="748">
        <v>20</v>
      </c>
      <c r="DV236" s="748">
        <v>20</v>
      </c>
      <c r="DY236" s="748">
        <v>20</v>
      </c>
      <c r="DZ236" s="748">
        <v>20</v>
      </c>
    </row>
    <row r="237" spans="1:130" s="656" customFormat="1" ht="12">
      <c r="A237" s="45" t="s">
        <v>265</v>
      </c>
      <c r="B237" s="62"/>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v>50</v>
      </c>
      <c r="AF237" s="63">
        <v>50</v>
      </c>
      <c r="AG237" s="63">
        <v>100</v>
      </c>
      <c r="AH237" s="63">
        <v>250</v>
      </c>
      <c r="AI237" s="63">
        <v>500</v>
      </c>
      <c r="AJ237" s="63">
        <v>500</v>
      </c>
      <c r="AK237" s="63">
        <v>500</v>
      </c>
      <c r="AL237" s="63">
        <v>700</v>
      </c>
      <c r="AM237" s="63">
        <v>700</v>
      </c>
      <c r="AN237" s="63">
        <v>1100</v>
      </c>
      <c r="AO237" s="63">
        <v>1400</v>
      </c>
      <c r="AP237" s="63">
        <v>2200</v>
      </c>
      <c r="AQ237" s="1445">
        <v>2.2000000000000002</v>
      </c>
      <c r="AR237" s="1445">
        <v>2.5</v>
      </c>
      <c r="AS237" s="1445">
        <v>3</v>
      </c>
      <c r="AT237" s="1445">
        <v>3.3</v>
      </c>
      <c r="AU237" s="1445">
        <v>3.3</v>
      </c>
      <c r="AV237" s="1445">
        <v>3.8010000000000002</v>
      </c>
      <c r="AW237" s="1445">
        <v>3.8</v>
      </c>
      <c r="AX237" s="1445">
        <v>5.3680000000000003</v>
      </c>
      <c r="AY237" s="1445">
        <v>6.0901100000000001</v>
      </c>
      <c r="AZ237" s="1445">
        <v>8.0619999999999994</v>
      </c>
      <c r="BA237" s="1446">
        <v>8.0617199999999993</v>
      </c>
      <c r="BB237" s="1445">
        <v>8.6921900000000001</v>
      </c>
      <c r="BC237" s="1445">
        <v>9.3627800000000008</v>
      </c>
      <c r="BD237" s="1445">
        <v>10.329000000000001</v>
      </c>
      <c r="BE237" s="1445">
        <v>11.573</v>
      </c>
      <c r="BF237" s="1445">
        <v>13.0776</v>
      </c>
      <c r="BG237" s="1445">
        <v>13.54894</v>
      </c>
      <c r="BH237" s="1447">
        <v>14.743770000000005</v>
      </c>
      <c r="BI237" s="1447">
        <v>14.572310000000005</v>
      </c>
      <c r="BJ237" s="1447">
        <v>15.461620000000005</v>
      </c>
      <c r="BK237" s="1447">
        <v>15.461620000000005</v>
      </c>
      <c r="BL237" s="1447">
        <v>16.03603</v>
      </c>
      <c r="BM237" s="1447">
        <v>15.803179999999999</v>
      </c>
      <c r="BN237" s="1447">
        <v>16.710180000000001</v>
      </c>
      <c r="BO237" s="1447">
        <v>16.322590000000005</v>
      </c>
      <c r="BP237" s="1447">
        <v>16.322590000000005</v>
      </c>
      <c r="BQ237" s="1447">
        <v>16.699590000000004</v>
      </c>
      <c r="BR237" s="1447">
        <v>16.894489999999998</v>
      </c>
      <c r="BS237" s="1447">
        <v>16.7</v>
      </c>
      <c r="BT237" s="1447">
        <v>17.558799999999998</v>
      </c>
      <c r="BU237" s="1447">
        <v>17.680430000000001</v>
      </c>
      <c r="BV237" s="1447">
        <v>17.680430000000001</v>
      </c>
      <c r="BW237" s="1447">
        <v>17.680430000000001</v>
      </c>
      <c r="BX237" s="1447">
        <v>19.261399999999998</v>
      </c>
      <c r="BY237" s="1447">
        <v>19.4514</v>
      </c>
      <c r="BZ237" s="1447">
        <v>19.596450000000001</v>
      </c>
      <c r="CA237" s="1447">
        <v>19.373783333333328</v>
      </c>
      <c r="CB237" s="1447">
        <v>19.511200000000002</v>
      </c>
      <c r="CC237" s="1447">
        <v>20.366303333333335</v>
      </c>
      <c r="CD237" s="1447">
        <v>21.650216666666672</v>
      </c>
      <c r="CE237" s="1447">
        <v>22.499536666666671</v>
      </c>
      <c r="CF237" s="1447">
        <v>23.545263333333331</v>
      </c>
      <c r="CG237" s="1447">
        <v>23.633286666666663</v>
      </c>
      <c r="CH237" s="1447">
        <v>24.185373333333335</v>
      </c>
      <c r="CI237" s="1447">
        <v>24.364266666666662</v>
      </c>
      <c r="CJ237" s="1447">
        <v>25.124870000000001</v>
      </c>
      <c r="CK237" s="1447">
        <v>26.158736666666663</v>
      </c>
      <c r="CL237" s="1448">
        <f t="shared" ref="CL237:CP237" si="1693">+CL235*CL238/1000</f>
        <v>27.079818943661969</v>
      </c>
      <c r="CM237" s="1448">
        <f t="shared" si="1693"/>
        <v>27.264035399061026</v>
      </c>
      <c r="CN237" s="1448">
        <f t="shared" si="1693"/>
        <v>27.816684765258209</v>
      </c>
      <c r="CO237" s="1448">
        <f t="shared" si="1693"/>
        <v>28.737767042253516</v>
      </c>
      <c r="CP237" s="1448">
        <f t="shared" si="1693"/>
        <v>30.764148051643186</v>
      </c>
      <c r="CQ237" s="1448"/>
      <c r="CR237" s="367"/>
      <c r="CS237" s="367"/>
      <c r="CT237" s="1448">
        <v>27.079818943661969</v>
      </c>
      <c r="CU237" s="1113"/>
      <c r="CV237" s="63"/>
      <c r="CW237" s="63"/>
      <c r="CX237" s="63"/>
      <c r="CY237" s="63"/>
      <c r="CZ237" s="63"/>
      <c r="DA237" s="63"/>
      <c r="DB237" s="105"/>
      <c r="DC237" s="62">
        <v>250</v>
      </c>
      <c r="DD237" s="62">
        <v>700</v>
      </c>
      <c r="DE237" s="62">
        <v>2200</v>
      </c>
      <c r="DF237" s="62">
        <f>AT237</f>
        <v>3.3</v>
      </c>
      <c r="DG237" s="62">
        <f>+AX237</f>
        <v>5.3680000000000003</v>
      </c>
      <c r="DH237" s="62">
        <f>+BB237</f>
        <v>8.6921900000000001</v>
      </c>
      <c r="DI237" s="62">
        <f>+BF237</f>
        <v>13.0776</v>
      </c>
      <c r="DJ237" s="62">
        <f>+BJ237</f>
        <v>15.461620000000005</v>
      </c>
      <c r="DK237" s="62">
        <f>+BN237</f>
        <v>16.710180000000001</v>
      </c>
      <c r="DL237" s="1235">
        <f>+BR237</f>
        <v>16.894489999999998</v>
      </c>
      <c r="DM237" s="1235">
        <f>+BV237</f>
        <v>17.680430000000001</v>
      </c>
      <c r="DN237" s="1235">
        <f>+BZ237</f>
        <v>19.596450000000001</v>
      </c>
      <c r="DO237" s="1235">
        <f>+CD237</f>
        <v>21.650216666666672</v>
      </c>
      <c r="DP237" s="1235">
        <f>+CH237</f>
        <v>24.185373333333335</v>
      </c>
      <c r="DQ237" s="1235">
        <f>+CL237</f>
        <v>27.079818943661969</v>
      </c>
      <c r="DR237" s="1235">
        <f>+CP237</f>
        <v>30.764148051643186</v>
      </c>
      <c r="DS237" s="62">
        <f>+DS235*DS238/1000</f>
        <v>34.44847715962441</v>
      </c>
      <c r="DT237" s="62">
        <f t="shared" ref="DT237:DV237" si="1694">+DT235*DT238/1000</f>
        <v>38.132806267605631</v>
      </c>
      <c r="DU237" s="62">
        <f t="shared" si="1694"/>
        <v>41.817135375586851</v>
      </c>
      <c r="DV237" s="62">
        <f t="shared" si="1694"/>
        <v>45.501464483568064</v>
      </c>
      <c r="DW237" s="1580" t="s">
        <v>266</v>
      </c>
      <c r="DY237" s="62">
        <v>30.764148051643186</v>
      </c>
      <c r="DZ237" s="62">
        <v>34.44847715962441</v>
      </c>
    </row>
    <row r="238" spans="1:130" s="656" customFormat="1" ht="12">
      <c r="A238" s="45" t="s">
        <v>260</v>
      </c>
      <c r="B238" s="62"/>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v>50</v>
      </c>
      <c r="AF238" s="63">
        <v>50</v>
      </c>
      <c r="AG238" s="63">
        <v>50</v>
      </c>
      <c r="AH238" s="63">
        <v>83.333333333333329</v>
      </c>
      <c r="AI238" s="63">
        <v>166.66666666666666</v>
      </c>
      <c r="AJ238" s="63">
        <v>166.66666666666666</v>
      </c>
      <c r="AK238" s="63">
        <v>166.66666666666666</v>
      </c>
      <c r="AL238" s="63">
        <v>175</v>
      </c>
      <c r="AM238" s="63">
        <v>175</v>
      </c>
      <c r="AN238" s="63">
        <v>157.14285714285714</v>
      </c>
      <c r="AO238" s="63">
        <v>155.55555555555554</v>
      </c>
      <c r="AP238" s="63">
        <v>146.66666666666666</v>
      </c>
      <c r="AQ238" s="63">
        <f>+AQ237/AQ235*1000</f>
        <v>146.66666666666666</v>
      </c>
      <c r="AR238" s="63">
        <f t="shared" ref="AR238:CK238" si="1695">+AR237/AR235*1000</f>
        <v>125</v>
      </c>
      <c r="AS238" s="63">
        <f t="shared" si="1695"/>
        <v>130.43478260869566</v>
      </c>
      <c r="AT238" s="63">
        <f t="shared" si="1695"/>
        <v>132</v>
      </c>
      <c r="AU238" s="63">
        <f t="shared" si="1695"/>
        <v>132</v>
      </c>
      <c r="AV238" s="63">
        <f t="shared" si="1695"/>
        <v>135.75</v>
      </c>
      <c r="AW238" s="63">
        <f t="shared" si="1695"/>
        <v>135.71428571428569</v>
      </c>
      <c r="AX238" s="63">
        <f t="shared" si="1695"/>
        <v>145.08108108108109</v>
      </c>
      <c r="AY238" s="63">
        <f t="shared" si="1695"/>
        <v>148.53926829268295</v>
      </c>
      <c r="AZ238" s="63">
        <f t="shared" si="1695"/>
        <v>155.03846153846152</v>
      </c>
      <c r="BA238" s="63">
        <f t="shared" si="1695"/>
        <v>155.03307692307692</v>
      </c>
      <c r="BB238" s="63">
        <f t="shared" si="1695"/>
        <v>147.32525423728816</v>
      </c>
      <c r="BC238" s="63">
        <f t="shared" si="1695"/>
        <v>146.29343750000001</v>
      </c>
      <c r="BD238" s="63">
        <f t="shared" si="1695"/>
        <v>147.55714285714285</v>
      </c>
      <c r="BE238" s="63">
        <f t="shared" si="1695"/>
        <v>152.27631578947367</v>
      </c>
      <c r="BF238" s="63">
        <f t="shared" si="1695"/>
        <v>155.68571428571428</v>
      </c>
      <c r="BG238" s="63">
        <f t="shared" si="1695"/>
        <v>165.23097560975611</v>
      </c>
      <c r="BH238" s="63">
        <f t="shared" si="1695"/>
        <v>160.25836956521744</v>
      </c>
      <c r="BI238" s="63">
        <f t="shared" si="1695"/>
        <v>161.91455555555561</v>
      </c>
      <c r="BJ238" s="63">
        <f t="shared" si="1695"/>
        <v>164.48531914893621</v>
      </c>
      <c r="BK238" s="63">
        <f t="shared" si="1695"/>
        <v>164.48531914893621</v>
      </c>
      <c r="BL238" s="63">
        <f t="shared" si="1695"/>
        <v>165.3198969072165</v>
      </c>
      <c r="BM238" s="63">
        <f t="shared" si="1695"/>
        <v>164.61645833333333</v>
      </c>
      <c r="BN238" s="63">
        <f t="shared" si="1695"/>
        <v>165.44732673267328</v>
      </c>
      <c r="BO238" s="63">
        <f t="shared" si="1695"/>
        <v>166.55704081632658</v>
      </c>
      <c r="BP238" s="63">
        <f t="shared" si="1695"/>
        <v>166.55704081632658</v>
      </c>
      <c r="BQ238" s="63">
        <f t="shared" si="1695"/>
        <v>166.99590000000003</v>
      </c>
      <c r="BR238" s="63">
        <f t="shared" si="1695"/>
        <v>168.94489999999999</v>
      </c>
      <c r="BS238" s="63">
        <f t="shared" si="1695"/>
        <v>168.68686868686868</v>
      </c>
      <c r="BT238" s="63">
        <f t="shared" si="1695"/>
        <v>170.47378640776697</v>
      </c>
      <c r="BU238" s="63">
        <f t="shared" si="1695"/>
        <v>170.00413461538463</v>
      </c>
      <c r="BV238" s="63">
        <f t="shared" si="1695"/>
        <v>170.00413461538463</v>
      </c>
      <c r="BW238" s="63">
        <f t="shared" si="1695"/>
        <v>170.00413461538463</v>
      </c>
      <c r="BX238" s="63">
        <f t="shared" si="1695"/>
        <v>171.97678571428571</v>
      </c>
      <c r="BY238" s="63">
        <f t="shared" si="1695"/>
        <v>172.13628318584071</v>
      </c>
      <c r="BZ238" s="63">
        <f t="shared" si="1695"/>
        <v>171.89868421052631</v>
      </c>
      <c r="CA238" s="63">
        <f t="shared" si="1695"/>
        <v>174.53858858858854</v>
      </c>
      <c r="CB238" s="63">
        <f t="shared" si="1695"/>
        <v>169.66260869565218</v>
      </c>
      <c r="CC238" s="63">
        <f t="shared" si="1695"/>
        <v>172.59579096045201</v>
      </c>
      <c r="CD238" s="63">
        <f t="shared" si="1695"/>
        <v>174.5985215053764</v>
      </c>
      <c r="CE238" s="63">
        <f t="shared" si="1695"/>
        <v>181.44787634408604</v>
      </c>
      <c r="CF238" s="63">
        <f t="shared" si="1695"/>
        <v>183.94736979166666</v>
      </c>
      <c r="CG238" s="63">
        <f t="shared" si="1695"/>
        <v>183.20377260981911</v>
      </c>
      <c r="CH238" s="63">
        <f t="shared" si="1695"/>
        <v>179.15091358024694</v>
      </c>
      <c r="CI238" s="63">
        <f t="shared" si="1695"/>
        <v>180.47604938271601</v>
      </c>
      <c r="CJ238" s="63">
        <f t="shared" si="1695"/>
        <v>180.75446043165468</v>
      </c>
      <c r="CK238" s="63">
        <f t="shared" si="1695"/>
        <v>184.216455399061</v>
      </c>
      <c r="CL238" s="747">
        <f t="shared" ref="CL238" si="1696">+CK238</f>
        <v>184.216455399061</v>
      </c>
      <c r="CM238" s="747">
        <f t="shared" ref="CM238" si="1697">+CL238</f>
        <v>184.216455399061</v>
      </c>
      <c r="CN238" s="747">
        <f t="shared" ref="CN238" si="1698">+CM238</f>
        <v>184.216455399061</v>
      </c>
      <c r="CO238" s="747">
        <f t="shared" ref="CO238" si="1699">+CN238</f>
        <v>184.216455399061</v>
      </c>
      <c r="CP238" s="747">
        <f t="shared" ref="CP238" si="1700">+CO238</f>
        <v>184.216455399061</v>
      </c>
      <c r="CQ238" s="747"/>
      <c r="CR238" s="747"/>
      <c r="CS238" s="747"/>
      <c r="CT238" s="747">
        <v>184.216455399061</v>
      </c>
      <c r="CU238" s="1113"/>
      <c r="CV238" s="63"/>
      <c r="CW238" s="63"/>
      <c r="CX238" s="63"/>
      <c r="CY238" s="63"/>
      <c r="CZ238" s="63"/>
      <c r="DA238" s="63"/>
      <c r="DB238" s="105"/>
      <c r="DC238" s="63">
        <v>83.333333333333329</v>
      </c>
      <c r="DD238" s="63">
        <v>175</v>
      </c>
      <c r="DE238" s="63">
        <v>146.66666666666666</v>
      </c>
      <c r="DF238" s="1227">
        <f t="shared" ref="DF238:DK238" si="1701">+DF237/DF235*1000</f>
        <v>132</v>
      </c>
      <c r="DG238" s="1227">
        <f t="shared" si="1701"/>
        <v>145.08108108108109</v>
      </c>
      <c r="DH238" s="1227">
        <f t="shared" si="1701"/>
        <v>147.32525423728816</v>
      </c>
      <c r="DI238" s="1227">
        <f t="shared" si="1701"/>
        <v>155.68571428571428</v>
      </c>
      <c r="DJ238" s="1227">
        <f t="shared" si="1701"/>
        <v>164.48531914893621</v>
      </c>
      <c r="DK238" s="1227">
        <f t="shared" si="1701"/>
        <v>165.44732673267328</v>
      </c>
      <c r="DL238" s="1227">
        <f t="shared" ref="DL238:DQ238" si="1702">+DL237/DL235*1000</f>
        <v>168.94489999999999</v>
      </c>
      <c r="DM238" s="1227">
        <f t="shared" si="1702"/>
        <v>170.00413461538463</v>
      </c>
      <c r="DN238" s="1227">
        <f t="shared" si="1702"/>
        <v>171.89868421052631</v>
      </c>
      <c r="DO238" s="1227">
        <f t="shared" si="1702"/>
        <v>174.5985215053764</v>
      </c>
      <c r="DP238" s="1227">
        <f t="shared" si="1702"/>
        <v>179.15091358024694</v>
      </c>
      <c r="DQ238" s="1227">
        <f t="shared" si="1702"/>
        <v>184.216455399061</v>
      </c>
      <c r="DR238" s="1227">
        <f t="shared" ref="DR238" si="1703">+DR237/DR235*1000</f>
        <v>184.216455399061</v>
      </c>
      <c r="DS238" s="748">
        <f>+DR238</f>
        <v>184.216455399061</v>
      </c>
      <c r="DT238" s="748">
        <f t="shared" ref="DT238:DV238" si="1704">+DS238</f>
        <v>184.216455399061</v>
      </c>
      <c r="DU238" s="748">
        <f t="shared" si="1704"/>
        <v>184.216455399061</v>
      </c>
      <c r="DV238" s="748">
        <f t="shared" si="1704"/>
        <v>184.216455399061</v>
      </c>
      <c r="DW238" s="656">
        <f>+DV238*DU238</f>
        <v>33935.70243979423</v>
      </c>
      <c r="DY238" s="748">
        <v>184.216455399061</v>
      </c>
      <c r="DZ238" s="748">
        <v>184.216455399061</v>
      </c>
    </row>
    <row r="239" spans="1:130" s="656" customFormat="1" ht="12">
      <c r="A239" s="63" t="s">
        <v>261</v>
      </c>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c r="AG239" s="63"/>
      <c r="AH239" s="63"/>
      <c r="AI239" s="63">
        <v>1068.8042752171009</v>
      </c>
      <c r="AJ239" s="63">
        <v>1642.8571428571429</v>
      </c>
      <c r="AK239" s="63">
        <v>1458.4654407102094</v>
      </c>
      <c r="AL239" s="63">
        <v>2388.2424984690751</v>
      </c>
      <c r="AM239" s="63">
        <v>1600</v>
      </c>
      <c r="AN239" s="63">
        <v>2300</v>
      </c>
      <c r="AO239" s="63">
        <v>2300</v>
      </c>
      <c r="AP239" s="63">
        <v>3900</v>
      </c>
      <c r="AQ239" s="1443">
        <v>2.3800158800000002</v>
      </c>
      <c r="AR239" s="1443">
        <v>3.7154575600000008</v>
      </c>
      <c r="AS239" s="1443">
        <v>4.6048006399999997</v>
      </c>
      <c r="AT239" s="1443">
        <v>8.9905459099999998</v>
      </c>
      <c r="AU239" s="1443">
        <v>5.5799252400000006</v>
      </c>
      <c r="AV239" s="1443">
        <v>8.3310957999999999</v>
      </c>
      <c r="AW239" s="1443">
        <v>9.2939566500000108</v>
      </c>
      <c r="AX239" s="1443">
        <v>18.517465940000001</v>
      </c>
      <c r="AY239" s="1443">
        <v>10.106</v>
      </c>
      <c r="AZ239" s="1443">
        <v>19.824999999999999</v>
      </c>
      <c r="BA239" s="1443">
        <v>17.725137639999993</v>
      </c>
      <c r="BB239" s="1443">
        <v>34.332819830000005</v>
      </c>
      <c r="BC239" s="1443">
        <v>20.21</v>
      </c>
      <c r="BD239" s="1443">
        <v>30.225999999999999</v>
      </c>
      <c r="BE239" s="1443">
        <v>26.286999999999999</v>
      </c>
      <c r="BF239" s="1443">
        <v>47.679047580000017</v>
      </c>
      <c r="BG239" s="1443">
        <v>28.698306660000004</v>
      </c>
      <c r="BH239" s="1444">
        <v>39.08343854000001</v>
      </c>
      <c r="BI239" s="1444">
        <v>38.505805120000005</v>
      </c>
      <c r="BJ239" s="1444">
        <v>73.271547820000009</v>
      </c>
      <c r="BK239" s="1444">
        <v>39.27059302</v>
      </c>
      <c r="BL239" s="1444">
        <v>48.551588269999996</v>
      </c>
      <c r="BM239" s="1444">
        <v>47.755697840000003</v>
      </c>
      <c r="BN239" s="1444">
        <v>85.733633600000019</v>
      </c>
      <c r="BO239" s="1444">
        <v>37.210050809999998</v>
      </c>
      <c r="BP239" s="1444">
        <v>9.7372756600000017</v>
      </c>
      <c r="BQ239" s="1444">
        <v>34.522097400000007</v>
      </c>
      <c r="BR239" s="1444">
        <v>91.192974559999996</v>
      </c>
      <c r="BS239" s="1444">
        <v>31.964400040000001</v>
      </c>
      <c r="BT239" s="1444">
        <v>62.233227120000009</v>
      </c>
      <c r="BU239" s="1444">
        <v>69.287725109999982</v>
      </c>
      <c r="BV239" s="1444">
        <v>127.55995187999996</v>
      </c>
      <c r="BW239" s="1444">
        <v>71.008868399999997</v>
      </c>
      <c r="BX239" s="1444">
        <v>103.56205632999999</v>
      </c>
      <c r="BY239" s="1444">
        <v>88.099545970000008</v>
      </c>
      <c r="BZ239" s="1444">
        <v>143.19399999999999</v>
      </c>
      <c r="CA239" s="1444">
        <v>77.016738679999975</v>
      </c>
      <c r="CB239" s="1444">
        <v>97.63303147000002</v>
      </c>
      <c r="CC239" s="1444">
        <v>91.235989969999991</v>
      </c>
      <c r="CD239" s="1444">
        <v>162.17721339000002</v>
      </c>
      <c r="CE239" s="1444">
        <v>83.070184130000001</v>
      </c>
      <c r="CF239" s="1444">
        <v>115.03058410999999</v>
      </c>
      <c r="CG239" s="1444">
        <v>116.042</v>
      </c>
      <c r="CH239" s="1444">
        <v>193.50736358000003</v>
      </c>
      <c r="CI239" s="1444">
        <v>106.42407971999995</v>
      </c>
      <c r="CJ239" s="1444">
        <v>140.0360226</v>
      </c>
      <c r="CK239" s="1444">
        <v>121.84361882999994</v>
      </c>
      <c r="CL239" s="755">
        <f t="shared" ref="CL239" si="1705">+CK239*CL$278/CK$278</f>
        <v>173.29997607885957</v>
      </c>
      <c r="CM239" s="755">
        <f t="shared" ref="CM239" si="1706">+CL239*CM$278/CL$278</f>
        <v>116.37103403832131</v>
      </c>
      <c r="CN239" s="755">
        <f t="shared" ref="CN239" si="1707">+CM239*CN$278/CM$278</f>
        <v>152.66344869028819</v>
      </c>
      <c r="CO239" s="755">
        <f t="shared" ref="CO239" si="1708">+CN239*CO$278/CN$278</f>
        <v>132.09235743873623</v>
      </c>
      <c r="CP239" s="755">
        <f t="shared" ref="CP239" si="1709">+CO239*CP$278/CO$278</f>
        <v>187.93163787845177</v>
      </c>
      <c r="CQ239" s="751"/>
      <c r="CR239" s="751"/>
      <c r="CS239" s="751"/>
      <c r="CT239" s="751">
        <v>173.29997607885957</v>
      </c>
      <c r="CU239" s="1115"/>
      <c r="CV239" s="63"/>
      <c r="CW239" s="63"/>
      <c r="CX239" s="63"/>
      <c r="CY239" s="63"/>
      <c r="CZ239" s="63"/>
      <c r="DA239" s="63"/>
      <c r="DB239" s="104"/>
      <c r="DC239" s="63"/>
      <c r="DD239" s="63"/>
      <c r="DE239" s="63"/>
      <c r="DF239" s="1539">
        <f>+SUM(AQ239:AT239)</f>
        <v>19.690819990000001</v>
      </c>
      <c r="DG239" s="1539">
        <f>+SUM(AU239:AX239)</f>
        <v>41.722443630000015</v>
      </c>
      <c r="DH239" s="1539">
        <f>+SUM(AY239:BB239)</f>
        <v>81.988957470000003</v>
      </c>
      <c r="DI239" s="1539">
        <f>+SUM(BC239:BF239)</f>
        <v>124.40204758000002</v>
      </c>
      <c r="DJ239" s="1539">
        <f>+SUM(BG239:BJ239)</f>
        <v>179.55909814000003</v>
      </c>
      <c r="DK239" s="1539">
        <f>+SUM(BK239:BN239)</f>
        <v>221.31151273000003</v>
      </c>
      <c r="DL239" s="1540">
        <f>+SUM(BO239:BR239)</f>
        <v>172.66239843</v>
      </c>
      <c r="DM239" s="1227"/>
      <c r="DN239" s="1227"/>
      <c r="DO239" s="1227"/>
      <c r="DP239" s="1227"/>
      <c r="DQ239" s="1227"/>
      <c r="DR239" s="1227"/>
      <c r="DS239" s="751"/>
      <c r="DT239" s="751"/>
      <c r="DU239" s="751"/>
      <c r="DV239" s="751"/>
      <c r="DW239" s="656">
        <f>+DV239*DU239</f>
        <v>0</v>
      </c>
      <c r="DY239" s="751"/>
      <c r="DZ239" s="751"/>
    </row>
    <row r="240" spans="1:130" s="656" customFormat="1" ht="12">
      <c r="A240" s="63" t="s">
        <v>120</v>
      </c>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c r="AG240" s="63"/>
      <c r="AH240" s="63"/>
      <c r="AI240" s="63"/>
      <c r="AJ240" s="63"/>
      <c r="AK240" s="63"/>
      <c r="AL240" s="63"/>
      <c r="AM240" s="63"/>
      <c r="AN240" s="63"/>
      <c r="AO240" s="63"/>
      <c r="AP240" s="63"/>
      <c r="AQ240" s="620"/>
      <c r="AR240" s="620"/>
      <c r="AS240" s="620"/>
      <c r="AT240" s="620"/>
      <c r="AU240" s="111">
        <f t="shared" ref="AU240:CK240" si="1710">+AU239/AQ239-1</f>
        <v>1.3444907602885405</v>
      </c>
      <c r="AV240" s="111">
        <f t="shared" si="1710"/>
        <v>1.24227989836062</v>
      </c>
      <c r="AW240" s="111">
        <f t="shared" si="1710"/>
        <v>1.0183190058799183</v>
      </c>
      <c r="AX240" s="111">
        <f t="shared" si="1710"/>
        <v>1.0596597943405643</v>
      </c>
      <c r="AY240" s="111">
        <f t="shared" si="1710"/>
        <v>0.81113537643024025</v>
      </c>
      <c r="AZ240" s="111">
        <f t="shared" si="1710"/>
        <v>1.3796389425746369</v>
      </c>
      <c r="BA240" s="111">
        <f t="shared" si="1710"/>
        <v>0.90716809939069076</v>
      </c>
      <c r="BB240" s="111">
        <f t="shared" si="1710"/>
        <v>0.85407765518482193</v>
      </c>
      <c r="BC240" s="111">
        <f t="shared" si="1710"/>
        <v>0.99980209776370477</v>
      </c>
      <c r="BD240" s="111">
        <f t="shared" si="1710"/>
        <v>0.52464060529634304</v>
      </c>
      <c r="BE240" s="111">
        <f t="shared" si="1710"/>
        <v>0.4830350282120579</v>
      </c>
      <c r="BF240" s="111">
        <f t="shared" si="1710"/>
        <v>0.38873089411485173</v>
      </c>
      <c r="BG240" s="111">
        <f t="shared" si="1710"/>
        <v>0.420005277585354</v>
      </c>
      <c r="BH240" s="111">
        <f t="shared" si="1710"/>
        <v>0.29304038046714775</v>
      </c>
      <c r="BI240" s="111">
        <f t="shared" si="1710"/>
        <v>0.46482311104348173</v>
      </c>
      <c r="BJ240" s="111">
        <f t="shared" si="1710"/>
        <v>0.53676618009323041</v>
      </c>
      <c r="BK240" s="111">
        <f t="shared" si="1710"/>
        <v>0.36839408280265395</v>
      </c>
      <c r="BL240" s="111">
        <f t="shared" si="1710"/>
        <v>0.24225477807715912</v>
      </c>
      <c r="BM240" s="111">
        <f t="shared" si="1710"/>
        <v>0.24022073272259892</v>
      </c>
      <c r="BN240" s="111">
        <f t="shared" si="1710"/>
        <v>0.17008083152023157</v>
      </c>
      <c r="BO240" s="111">
        <f t="shared" si="1710"/>
        <v>-5.2470361447065295E-2</v>
      </c>
      <c r="BP240" s="111">
        <f t="shared" si="1710"/>
        <v>-0.79944475542488769</v>
      </c>
      <c r="BQ240" s="111">
        <f t="shared" si="1710"/>
        <v>-0.27711039810029914</v>
      </c>
      <c r="BR240" s="111">
        <f t="shared" si="1710"/>
        <v>6.3677937476336988E-2</v>
      </c>
      <c r="BS240" s="111">
        <f t="shared" si="1710"/>
        <v>-0.14097402867803277</v>
      </c>
      <c r="BT240" s="111">
        <f t="shared" si="1710"/>
        <v>5.3912360390134006</v>
      </c>
      <c r="BU240" s="111">
        <f t="shared" si="1710"/>
        <v>1.007054331235389</v>
      </c>
      <c r="BV240" s="111">
        <f t="shared" si="1710"/>
        <v>0.3987914364617251</v>
      </c>
      <c r="BW240" s="111">
        <f t="shared" si="1710"/>
        <v>1.2214985518620733</v>
      </c>
      <c r="BX240" s="111">
        <f t="shared" si="1710"/>
        <v>0.66409587165242878</v>
      </c>
      <c r="BY240" s="111">
        <f t="shared" si="1710"/>
        <v>0.27150293692186755</v>
      </c>
      <c r="BZ240" s="111">
        <f t="shared" si="1710"/>
        <v>0.12256235510897273</v>
      </c>
      <c r="CA240" s="111">
        <f t="shared" si="1710"/>
        <v>8.4607323217109176E-2</v>
      </c>
      <c r="CB240" s="111">
        <f t="shared" si="1710"/>
        <v>-5.7250937941084934E-2</v>
      </c>
      <c r="CC240" s="111">
        <f t="shared" si="1710"/>
        <v>3.5601136935121236E-2</v>
      </c>
      <c r="CD240" s="111">
        <f t="shared" si="1710"/>
        <v>0.13256989392013652</v>
      </c>
      <c r="CE240" s="111">
        <f t="shared" si="1710"/>
        <v>7.859908837677132E-2</v>
      </c>
      <c r="CF240" s="111">
        <f t="shared" si="1710"/>
        <v>0.17819330587256998</v>
      </c>
      <c r="CG240" s="111">
        <f t="shared" si="1710"/>
        <v>0.27188842953484338</v>
      </c>
      <c r="CH240" s="111">
        <f t="shared" si="1710"/>
        <v>0.19318466222907649</v>
      </c>
      <c r="CI240" s="111">
        <f t="shared" si="1710"/>
        <v>0.28113451095103459</v>
      </c>
      <c r="CJ240" s="111">
        <f t="shared" si="1710"/>
        <v>0.21738078341050682</v>
      </c>
      <c r="CK240" s="111">
        <f t="shared" si="1710"/>
        <v>4.9995853484082753E-2</v>
      </c>
      <c r="CL240" s="111">
        <f t="shared" ref="CL240" si="1711">+CL239/CH239-1</f>
        <v>-0.10442696922376449</v>
      </c>
      <c r="CM240" s="111">
        <f t="shared" ref="CM240" si="1712">+CM239/CI239-1</f>
        <v>9.3465260347955548E-2</v>
      </c>
      <c r="CN240" s="111">
        <f t="shared" ref="CN240" si="1713">+CN239/CJ239-1</f>
        <v>9.0172698823054009E-2</v>
      </c>
      <c r="CO240" s="111">
        <f t="shared" ref="CO240" si="1714">+CO239/CK239-1</f>
        <v>8.4113872414079083E-2</v>
      </c>
      <c r="CP240" s="111">
        <f t="shared" ref="CP240" si="1715">+CP239/CL239-1</f>
        <v>8.4429681588265915E-2</v>
      </c>
      <c r="CQ240" s="751"/>
      <c r="CR240" s="751"/>
      <c r="CS240" s="751"/>
      <c r="CT240" s="751">
        <v>-0.10442696922376449</v>
      </c>
      <c r="CU240" s="1115"/>
      <c r="CV240" s="63"/>
      <c r="CW240" s="63"/>
      <c r="CX240" s="63"/>
      <c r="CY240" s="63"/>
      <c r="CZ240" s="63"/>
      <c r="DA240" s="63"/>
      <c r="DB240" s="104"/>
      <c r="DC240" s="63"/>
      <c r="DD240" s="63"/>
      <c r="DE240" s="63"/>
      <c r="DF240" s="63"/>
      <c r="DG240" s="111">
        <f t="shared" ref="DG240:DL240" si="1716">+DG239/DF239-1</f>
        <v>1.1188779162670115</v>
      </c>
      <c r="DH240" s="111">
        <f t="shared" si="1716"/>
        <v>0.96510439793720137</v>
      </c>
      <c r="DI240" s="111">
        <f t="shared" si="1716"/>
        <v>0.51730246875646735</v>
      </c>
      <c r="DJ240" s="111">
        <f t="shared" si="1716"/>
        <v>0.44337735296945024</v>
      </c>
      <c r="DK240" s="111">
        <f t="shared" si="1716"/>
        <v>0.23252742424361128</v>
      </c>
      <c r="DL240" s="111">
        <f t="shared" si="1716"/>
        <v>-0.2198218868051024</v>
      </c>
      <c r="DM240" s="1227"/>
      <c r="DN240" s="1227"/>
      <c r="DO240" s="1227"/>
      <c r="DP240" s="1227"/>
      <c r="DQ240" s="1227"/>
      <c r="DR240" s="1227"/>
      <c r="DS240" s="751"/>
      <c r="DT240" s="751"/>
      <c r="DU240" s="751"/>
      <c r="DV240" s="751"/>
      <c r="DW240" s="656">
        <f>+DV240*DU240</f>
        <v>0</v>
      </c>
      <c r="DY240" s="751"/>
      <c r="DZ240" s="751"/>
    </row>
    <row r="241" spans="1:130" s="656" customFormat="1" ht="12.75">
      <c r="A241" s="111" t="s">
        <v>99</v>
      </c>
      <c r="B241" s="111"/>
      <c r="C241" s="111"/>
      <c r="D241" s="111"/>
      <c r="E241" s="111"/>
      <c r="F241" s="111"/>
      <c r="G241" s="111"/>
      <c r="H241" s="111"/>
      <c r="I241" s="111"/>
      <c r="J241" s="111"/>
      <c r="K241" s="111"/>
      <c r="L241" s="111"/>
      <c r="M241" s="111"/>
      <c r="N241" s="111"/>
      <c r="O241" s="111"/>
      <c r="P241" s="111"/>
      <c r="Q241" s="111"/>
      <c r="R241" s="111"/>
      <c r="S241" s="111"/>
      <c r="T241" s="111"/>
      <c r="U241" s="111"/>
      <c r="V241" s="111"/>
      <c r="W241" s="111"/>
      <c r="X241" s="111"/>
      <c r="Y241" s="111"/>
      <c r="Z241" s="111"/>
      <c r="AA241" s="111"/>
      <c r="AB241" s="111"/>
      <c r="AC241" s="111"/>
      <c r="AD241" s="111"/>
      <c r="AE241" s="111"/>
      <c r="AF241" s="111"/>
      <c r="AG241" s="111"/>
      <c r="AH241" s="111"/>
      <c r="AI241" s="111"/>
      <c r="AJ241" s="111"/>
      <c r="AK241" s="111"/>
      <c r="AL241" s="111"/>
      <c r="AM241" s="111">
        <v>0.59599999999999997</v>
      </c>
      <c r="AN241" s="111">
        <v>0.61499999999999999</v>
      </c>
      <c r="AO241" s="111">
        <v>0.504</v>
      </c>
      <c r="AP241" s="111">
        <v>0.50600000000000001</v>
      </c>
      <c r="AQ241" s="752">
        <v>0.39900000000000002</v>
      </c>
      <c r="AR241" s="752">
        <v>0.496</v>
      </c>
      <c r="AS241" s="752">
        <v>0.55400000000000005</v>
      </c>
      <c r="AT241" s="752">
        <v>0.56999999999999995</v>
      </c>
      <c r="AU241" s="752">
        <v>0.54600000000000004</v>
      </c>
      <c r="AV241" s="752">
        <v>0.59599999999999997</v>
      </c>
      <c r="AW241" s="752">
        <v>0.56100000000000005</v>
      </c>
      <c r="AX241" s="752">
        <v>0.60445053638910518</v>
      </c>
      <c r="AY241" s="752">
        <v>0.57499999999999996</v>
      </c>
      <c r="AZ241" s="752">
        <v>0.57499999999999996</v>
      </c>
      <c r="BA241" s="752">
        <v>0.58199999999999996</v>
      </c>
      <c r="BB241" s="752">
        <v>0.59750924630066971</v>
      </c>
      <c r="BC241" s="752">
        <v>0.53500000000000003</v>
      </c>
      <c r="BD241" s="752">
        <v>0.61599999999999999</v>
      </c>
      <c r="BE241" s="752">
        <v>0.57951033389816042</v>
      </c>
      <c r="BF241" s="752">
        <v>0.63672218198281394</v>
      </c>
      <c r="BG241" s="752">
        <v>0.55997514419200922</v>
      </c>
      <c r="BH241" s="1232">
        <v>0.59960000000000002</v>
      </c>
      <c r="BI241" s="1232">
        <v>0.57196518450566514</v>
      </c>
      <c r="BJ241" s="1232">
        <v>0.6076359056775279</v>
      </c>
      <c r="BK241" s="1232">
        <v>0.58610174586052122</v>
      </c>
      <c r="BL241" s="1232">
        <v>0.62313871735261361</v>
      </c>
      <c r="BM241" s="1232">
        <v>0.60427317399242508</v>
      </c>
      <c r="BN241" s="1232">
        <v>1.6042731739924201</v>
      </c>
      <c r="BO241" s="1232">
        <v>0.60084789010800055</v>
      </c>
      <c r="BP241" s="1232">
        <v>0.53800000000000003</v>
      </c>
      <c r="BQ241" s="1232">
        <v>0.46800000000000003</v>
      </c>
      <c r="BR241" s="1232">
        <v>0.58499999999999996</v>
      </c>
      <c r="BS241" s="1232">
        <v>0.56661686743174666</v>
      </c>
      <c r="BT241" s="1232">
        <v>0.602817339002233</v>
      </c>
      <c r="BU241" s="1232">
        <v>0.60320748752606868</v>
      </c>
      <c r="BV241" s="1232">
        <v>0.61444291828937936</v>
      </c>
      <c r="BW241" s="1232">
        <v>0.58481246083341332</v>
      </c>
      <c r="BX241" s="1232">
        <v>0.62513482798859765</v>
      </c>
      <c r="BY241" s="1232">
        <v>0.6137447983944474</v>
      </c>
      <c r="BZ241" s="1232">
        <v>0.61399999999999999</v>
      </c>
      <c r="CA241" s="1232">
        <v>0.60170487694299235</v>
      </c>
      <c r="CB241" s="1232">
        <v>0.62159434800145308</v>
      </c>
      <c r="CC241" s="1232">
        <v>0.59338063189538937</v>
      </c>
      <c r="CD241" s="1232">
        <v>0.62465099875890762</v>
      </c>
      <c r="CE241" s="1232">
        <v>0.58988709189947941</v>
      </c>
      <c r="CF241" s="1232">
        <v>0.63131983630157718</v>
      </c>
      <c r="CG241" s="1232">
        <v>0.61009582619778457</v>
      </c>
      <c r="CH241" s="1232">
        <v>0.61952960658490741</v>
      </c>
      <c r="CI241" s="1232">
        <v>0.59752560987426107</v>
      </c>
      <c r="CJ241" s="1232">
        <v>0.63700000000000001</v>
      </c>
      <c r="CK241" s="1232">
        <v>0.60332726166452433</v>
      </c>
      <c r="CL241" s="2005">
        <f t="shared" ref="CL241" si="1717">+CH241+CL242</f>
        <v>0.61452960658490741</v>
      </c>
      <c r="CM241" s="2005">
        <f t="shared" ref="CM241" si="1718">+CI241+CM242</f>
        <v>0.59752560987426107</v>
      </c>
      <c r="CN241" s="2005">
        <f t="shared" ref="CN241" si="1719">+CJ241+CN242</f>
        <v>0.63700000000000001</v>
      </c>
      <c r="CO241" s="2005">
        <f t="shared" ref="CO241" si="1720">+CK241+CO242</f>
        <v>0.60332726166452433</v>
      </c>
      <c r="CP241" s="2005">
        <f t="shared" ref="CP241" si="1721">+CL241+CP242</f>
        <v>0.61452960658490741</v>
      </c>
      <c r="CQ241" s="753"/>
      <c r="CR241" s="753"/>
      <c r="CS241" s="753"/>
      <c r="CT241" s="753">
        <v>0.61452960658490741</v>
      </c>
      <c r="CU241" s="1116"/>
      <c r="CV241" s="111"/>
      <c r="CW241" s="111"/>
      <c r="CX241" s="111"/>
      <c r="CY241" s="111"/>
      <c r="CZ241" s="111"/>
      <c r="DA241" s="111"/>
      <c r="DB241" s="754"/>
      <c r="DC241" s="111"/>
      <c r="DD241" s="111"/>
      <c r="DE241" s="111"/>
      <c r="DF241" s="111">
        <f>+AVERAGE(AQ241:AT241)</f>
        <v>0.50475000000000003</v>
      </c>
      <c r="DG241" s="111">
        <f>+AVERAGE(AU241:AX241)</f>
        <v>0.57686263409727623</v>
      </c>
      <c r="DH241" s="111">
        <f>+AVERAGE(AY241:BB241)</f>
        <v>0.58237731157516737</v>
      </c>
      <c r="DI241" s="111">
        <f>+AVERAGE(BC241:BF241)</f>
        <v>0.5918081289702436</v>
      </c>
      <c r="DJ241" s="111">
        <f>+AVERAGE(BG241:BJ241)</f>
        <v>0.58479405859380051</v>
      </c>
      <c r="DK241" s="111">
        <f>+AVERAGE(BK241:BN241)</f>
        <v>0.85444670279949497</v>
      </c>
      <c r="DL241" s="1230">
        <f>+AVERAGE(BO241:BR241)</f>
        <v>0.54796197252700019</v>
      </c>
      <c r="DM241" s="1230"/>
      <c r="DN241" s="1230"/>
      <c r="DO241" s="1230"/>
      <c r="DP241" s="1230"/>
      <c r="DQ241" s="1230"/>
      <c r="DR241" s="1230"/>
      <c r="DS241" s="753"/>
      <c r="DT241" s="753"/>
      <c r="DU241" s="753"/>
      <c r="DV241" s="753"/>
      <c r="DW241" s="656">
        <f>+DV241*DU241</f>
        <v>0</v>
      </c>
      <c r="DY241" s="753"/>
      <c r="DZ241" s="753"/>
    </row>
    <row r="242" spans="1:130" s="1654" customFormat="1" ht="15.75">
      <c r="A242" s="1647" t="s">
        <v>192</v>
      </c>
      <c r="B242" s="1647"/>
      <c r="C242" s="1648"/>
      <c r="D242" s="1648"/>
      <c r="E242" s="1648"/>
      <c r="F242" s="1648"/>
      <c r="G242" s="1649"/>
      <c r="H242" s="1649"/>
      <c r="I242" s="1649"/>
      <c r="J242" s="1649"/>
      <c r="K242" s="1649"/>
      <c r="L242" s="1649"/>
      <c r="M242" s="1649"/>
      <c r="N242" s="1649"/>
      <c r="O242" s="1649"/>
      <c r="P242" s="1649"/>
      <c r="Q242" s="1649"/>
      <c r="R242" s="1649"/>
      <c r="S242" s="1649"/>
      <c r="T242" s="1649"/>
      <c r="U242" s="1649"/>
      <c r="V242" s="1649"/>
      <c r="W242" s="1649"/>
      <c r="X242" s="1649"/>
      <c r="Y242" s="1649"/>
      <c r="Z242" s="1649"/>
      <c r="AA242" s="1649"/>
      <c r="AB242" s="1649"/>
      <c r="AC242" s="1649"/>
      <c r="AD242" s="1649"/>
      <c r="AE242" s="1649"/>
      <c r="AF242" s="1649"/>
      <c r="AG242" s="1649"/>
      <c r="AH242" s="1649"/>
      <c r="AI242" s="1649"/>
      <c r="AJ242" s="1649"/>
      <c r="AK242" s="1649"/>
      <c r="AL242" s="1649"/>
      <c r="AM242" s="1649"/>
      <c r="AN242" s="1649"/>
      <c r="AO242" s="1649"/>
      <c r="AP242" s="1649"/>
      <c r="AQ242" s="1649">
        <f t="shared" ref="AQ242" si="1722">+AQ241-AM241</f>
        <v>-0.19699999999999995</v>
      </c>
      <c r="AR242" s="1649">
        <f t="shared" ref="AR242" si="1723">+AR241-AN241</f>
        <v>-0.11899999999999999</v>
      </c>
      <c r="AS242" s="1649">
        <f t="shared" ref="AS242" si="1724">+AS241-AO241</f>
        <v>5.0000000000000044E-2</v>
      </c>
      <c r="AT242" s="1649">
        <f t="shared" ref="AT242" si="1725">+AT241-AP241</f>
        <v>6.3999999999999946E-2</v>
      </c>
      <c r="AU242" s="1649">
        <f t="shared" ref="AU242" si="1726">+AU241-AQ241</f>
        <v>0.14700000000000002</v>
      </c>
      <c r="AV242" s="1649">
        <f t="shared" ref="AV242" si="1727">+AV241-AR241</f>
        <v>9.9999999999999978E-2</v>
      </c>
      <c r="AW242" s="1649">
        <f t="shared" ref="AW242" si="1728">+AW241-AS241</f>
        <v>7.0000000000000062E-3</v>
      </c>
      <c r="AX242" s="1649">
        <f t="shared" ref="AX242" si="1729">+AX241-AT241</f>
        <v>3.4450536389105224E-2</v>
      </c>
      <c r="AY242" s="1649">
        <f t="shared" ref="AY242" si="1730">+AY241-AU241</f>
        <v>2.8999999999999915E-2</v>
      </c>
      <c r="AZ242" s="1649">
        <f t="shared" ref="AZ242" si="1731">+AZ241-AV241</f>
        <v>-2.1000000000000019E-2</v>
      </c>
      <c r="BA242" s="1649">
        <f t="shared" ref="BA242" si="1732">+BA241-AW241</f>
        <v>2.0999999999999908E-2</v>
      </c>
      <c r="BB242" s="1649">
        <f t="shared" ref="BB242" si="1733">+BB241-AX241</f>
        <v>-6.94129008843547E-3</v>
      </c>
      <c r="BC242" s="1649">
        <f t="shared" ref="BC242" si="1734">+BC241-AY241</f>
        <v>-3.9999999999999925E-2</v>
      </c>
      <c r="BD242" s="1649">
        <f t="shared" ref="BD242" si="1735">+BD241-AZ241</f>
        <v>4.1000000000000036E-2</v>
      </c>
      <c r="BE242" s="1649">
        <f t="shared" ref="BE242" si="1736">+BE241-BA241</f>
        <v>-2.4896661018395383E-3</v>
      </c>
      <c r="BF242" s="1649">
        <f t="shared" ref="BF242" si="1737">+BF241-BB241</f>
        <v>3.9212935682144234E-2</v>
      </c>
      <c r="BG242" s="1649">
        <f t="shared" ref="BG242" si="1738">+BG241-BC241</f>
        <v>2.4975144192009191E-2</v>
      </c>
      <c r="BH242" s="1649">
        <f t="shared" ref="BH242" si="1739">+BH241-BD241</f>
        <v>-1.639999999999997E-2</v>
      </c>
      <c r="BI242" s="1649">
        <f t="shared" ref="BI242" si="1740">+BI241-BE241</f>
        <v>-7.5451493924952873E-3</v>
      </c>
      <c r="BJ242" s="1649">
        <f t="shared" ref="BJ242" si="1741">+BJ241-BF241</f>
        <v>-2.9086276305286041E-2</v>
      </c>
      <c r="BK242" s="1649">
        <f t="shared" ref="BK242" si="1742">+BK241-BG241</f>
        <v>2.6126601668511995E-2</v>
      </c>
      <c r="BL242" s="1649">
        <f t="shared" ref="BL242" si="1743">+BL241-BH241</f>
        <v>2.3538717352613592E-2</v>
      </c>
      <c r="BM242" s="1649">
        <f t="shared" ref="BM242" si="1744">+BM241-BI241</f>
        <v>3.2307989486759947E-2</v>
      </c>
      <c r="BN242" s="1649">
        <f t="shared" ref="BN242" si="1745">+BN241-BJ241</f>
        <v>0.99663726831489219</v>
      </c>
      <c r="BO242" s="1649">
        <f t="shared" ref="BO242" si="1746">+BO241-BK241</f>
        <v>1.4746144247479331E-2</v>
      </c>
      <c r="BP242" s="1649">
        <f t="shared" ref="BP242" si="1747">+BP241-BL241</f>
        <v>-8.513871735261358E-2</v>
      </c>
      <c r="BQ242" s="1649">
        <f t="shared" ref="BQ242" si="1748">+BQ241-BM241</f>
        <v>-0.13627317399242506</v>
      </c>
      <c r="BR242" s="1649">
        <f t="shared" ref="BR242" si="1749">+BR241-BN241</f>
        <v>-1.0192731739924201</v>
      </c>
      <c r="BS242" s="1649">
        <f t="shared" ref="BS242" si="1750">+BS241-BO241</f>
        <v>-3.4231022676253886E-2</v>
      </c>
      <c r="BT242" s="1649">
        <f t="shared" ref="BT242" si="1751">+BT241-BP241</f>
        <v>6.4817339002232965E-2</v>
      </c>
      <c r="BU242" s="1649">
        <f t="shared" ref="BU242" si="1752">+BU241-BQ241</f>
        <v>0.13520748752606865</v>
      </c>
      <c r="BV242" s="1649">
        <f t="shared" ref="BV242" si="1753">+BV241-BR241</f>
        <v>2.9442918289379394E-2</v>
      </c>
      <c r="BW242" s="1649">
        <f t="shared" ref="BW242" si="1754">+BW241-BS241</f>
        <v>1.8195593401666654E-2</v>
      </c>
      <c r="BX242" s="1649">
        <f t="shared" ref="BX242" si="1755">+BX241-BT241</f>
        <v>2.2317488986364653E-2</v>
      </c>
      <c r="BY242" s="1649">
        <f t="shared" ref="BY242" si="1756">+BY241-BU241</f>
        <v>1.0537310868378724E-2</v>
      </c>
      <c r="BZ242" s="1649">
        <f t="shared" ref="BZ242" si="1757">+BZ241-BV241</f>
        <v>-4.4291828937936817E-4</v>
      </c>
      <c r="CA242" s="1649">
        <f t="shared" ref="CA242" si="1758">+CA241-BW241</f>
        <v>1.6892416109579034E-2</v>
      </c>
      <c r="CB242" s="1649">
        <f t="shared" ref="CB242" si="1759">+CB241-BX241</f>
        <v>-3.5404799871445736E-3</v>
      </c>
      <c r="CC242" s="1649">
        <f>+CC241-BY241</f>
        <v>-2.0364166499058034E-2</v>
      </c>
      <c r="CD242" s="1649">
        <f>+CD241-BZ241</f>
        <v>1.0650998758907626E-2</v>
      </c>
      <c r="CE242" s="1649">
        <f>+CE241-CA241</f>
        <v>-1.1817785043512941E-2</v>
      </c>
      <c r="CF242" s="1649">
        <f>+CF241-CB241</f>
        <v>9.7254883001240966E-3</v>
      </c>
      <c r="CG242" s="1649">
        <f>+CG241-CC241</f>
        <v>1.6715194302395209E-2</v>
      </c>
      <c r="CH242" s="1649">
        <f t="shared" ref="CH242:CI242" si="1760">+CH241-CD241</f>
        <v>-5.1213921740002055E-3</v>
      </c>
      <c r="CI242" s="1649">
        <f t="shared" si="1760"/>
        <v>7.6385179747816556E-3</v>
      </c>
      <c r="CJ242" s="1649">
        <f>+CJ241-CF241</f>
        <v>5.6801636984228354E-3</v>
      </c>
      <c r="CK242" s="1649">
        <f>+CK241-CG241</f>
        <v>-6.7685645332602462E-3</v>
      </c>
      <c r="CL242" s="2012">
        <v>-5.0000000000000001E-3</v>
      </c>
      <c r="CM242" s="2012">
        <v>0</v>
      </c>
      <c r="CN242" s="2012">
        <v>0</v>
      </c>
      <c r="CO242" s="2012">
        <v>0</v>
      </c>
      <c r="CP242" s="2012">
        <v>0</v>
      </c>
      <c r="CQ242" s="1650"/>
      <c r="CR242" s="1650"/>
      <c r="CS242" s="1650"/>
      <c r="CT242" s="1650">
        <v>-5.0000000000000001E-3</v>
      </c>
      <c r="CU242" s="1646"/>
      <c r="CV242" s="1648"/>
      <c r="CW242" s="1648"/>
      <c r="CX242" s="1648"/>
      <c r="CY242" s="1648"/>
      <c r="CZ242" s="1648"/>
      <c r="DA242" s="1648"/>
      <c r="DB242" s="1648"/>
      <c r="DC242" s="1648"/>
      <c r="DD242" s="1648"/>
      <c r="DE242" s="1648"/>
      <c r="DF242" s="1648"/>
      <c r="DG242" s="1651"/>
      <c r="DH242" s="1651"/>
      <c r="DI242" s="1651"/>
      <c r="DJ242" s="1651"/>
      <c r="DK242" s="1651"/>
      <c r="DL242" s="1652"/>
      <c r="DM242" s="1652"/>
      <c r="DN242" s="1652"/>
      <c r="DO242" s="1652"/>
      <c r="DP242" s="1652"/>
      <c r="DQ242" s="1652"/>
      <c r="DR242" s="1652"/>
      <c r="DS242" s="1653"/>
      <c r="DT242" s="1653"/>
      <c r="DU242" s="1653"/>
      <c r="DV242" s="1653"/>
      <c r="DY242" s="1653"/>
      <c r="DZ242" s="1653"/>
    </row>
    <row r="243" spans="1:130" ht="15.75">
      <c r="A243" s="17"/>
      <c r="B243" s="29"/>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4"/>
      <c r="BB243" s="18"/>
      <c r="BC243" s="106"/>
      <c r="BD243" s="18"/>
      <c r="BE243" s="18"/>
      <c r="BF243" s="18"/>
      <c r="BG243" s="18"/>
      <c r="BH243" s="1233"/>
      <c r="BI243" s="1233"/>
      <c r="BJ243" s="1233"/>
      <c r="BK243" s="1233"/>
      <c r="BL243" s="1233"/>
      <c r="BM243" s="1233"/>
      <c r="BN243" s="1233"/>
      <c r="BO243" s="1233"/>
      <c r="BP243" s="1233"/>
      <c r="BQ243" s="1233"/>
      <c r="BR243" s="1233"/>
      <c r="BS243" s="1233"/>
      <c r="BT243" s="1233"/>
      <c r="BU243" s="1233"/>
      <c r="BV243" s="1233"/>
      <c r="BW243" s="1233"/>
      <c r="BX243" s="1233"/>
      <c r="BY243" s="1233"/>
      <c r="BZ243" s="1233"/>
      <c r="CA243" s="1233"/>
      <c r="CB243" s="1233"/>
      <c r="CC243" s="1233"/>
      <c r="CD243" s="1233"/>
      <c r="CE243" s="1233"/>
      <c r="CF243" s="1233"/>
      <c r="CG243" s="1233"/>
      <c r="CH243" s="1233"/>
      <c r="CI243" s="2147">
        <f>+CI241*CI239</f>
        <v>63.591113139999948</v>
      </c>
      <c r="CJ243" s="2147">
        <f>+CJ241*CJ239</f>
        <v>89.202946396200005</v>
      </c>
      <c r="CK243" s="2147">
        <f>+CK241*CK239</f>
        <v>73.511576899999937</v>
      </c>
      <c r="CL243" s="383"/>
      <c r="CM243" s="383"/>
      <c r="CN243" s="383"/>
      <c r="CO243" s="383"/>
      <c r="CP243" s="383"/>
      <c r="CQ243" s="383"/>
      <c r="CR243" s="383"/>
      <c r="CS243" s="383"/>
      <c r="CT243" s="383"/>
      <c r="CU243" s="1114"/>
      <c r="CV243" s="23"/>
      <c r="CW243" s="23"/>
      <c r="CX243" s="23"/>
      <c r="CY243" s="23"/>
      <c r="CZ243" s="23"/>
      <c r="DA243" s="23"/>
      <c r="DB243" s="75"/>
      <c r="DC243" s="29"/>
      <c r="DD243" s="29"/>
      <c r="DE243" s="29"/>
      <c r="DF243" s="75"/>
      <c r="DG243" s="75"/>
      <c r="DH243" s="75"/>
      <c r="DI243" s="75"/>
      <c r="DJ243" s="75"/>
      <c r="DK243" s="75"/>
      <c r="DL243" s="1243"/>
      <c r="DM243" s="1243"/>
      <c r="DN243" s="1243"/>
      <c r="DO243" s="1243"/>
      <c r="DP243" s="1243"/>
      <c r="DQ243" s="1243"/>
      <c r="DR243" s="1243"/>
      <c r="DS243" s="388"/>
      <c r="DT243" s="388"/>
      <c r="DU243" s="388"/>
      <c r="DV243" s="388"/>
      <c r="DW243" s="1407">
        <f>+SUM(DW238:DW241)</f>
        <v>33935.70243979423</v>
      </c>
      <c r="DY243" s="388"/>
      <c r="DZ243" s="388"/>
    </row>
    <row r="244" spans="1:130" ht="15.75">
      <c r="A244" s="17"/>
      <c r="B244" s="29"/>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4"/>
      <c r="BB244" s="18"/>
      <c r="BC244" s="106"/>
      <c r="BD244" s="18"/>
      <c r="BE244" s="18"/>
      <c r="BF244" s="18"/>
      <c r="BG244" s="18"/>
      <c r="BH244" s="1233"/>
      <c r="BI244" s="1233"/>
      <c r="BJ244" s="1233"/>
      <c r="BK244" s="1233"/>
      <c r="BL244" s="1233"/>
      <c r="BM244" s="1233"/>
      <c r="BN244" s="1233"/>
      <c r="BO244" s="1233"/>
      <c r="BP244" s="1233"/>
      <c r="BQ244" s="1233"/>
      <c r="BR244" s="1233"/>
      <c r="BS244" s="1233"/>
      <c r="BT244" s="1233"/>
      <c r="BU244" s="1233"/>
      <c r="BV244" s="1233"/>
      <c r="BW244" s="1233"/>
      <c r="BX244" s="1233"/>
      <c r="BY244" s="1233"/>
      <c r="BZ244" s="1233"/>
      <c r="CA244" s="1233"/>
      <c r="CB244" s="1233"/>
      <c r="CC244" s="1233"/>
      <c r="CD244" s="1233"/>
      <c r="CE244" s="1233"/>
      <c r="CF244" s="1233"/>
      <c r="CG244" s="1233"/>
      <c r="CH244" s="1233"/>
      <c r="CI244" s="2147"/>
      <c r="CJ244" s="2147"/>
      <c r="CK244" s="2147"/>
      <c r="CL244" s="383"/>
      <c r="CM244" s="383"/>
      <c r="CN244" s="383"/>
      <c r="CO244" s="383"/>
      <c r="CP244" s="383"/>
      <c r="CQ244" s="383"/>
      <c r="CR244" s="383"/>
      <c r="CS244" s="383"/>
      <c r="CT244" s="383"/>
      <c r="CU244" s="1114"/>
      <c r="CV244" s="23"/>
      <c r="CW244" s="23"/>
      <c r="CX244" s="23"/>
      <c r="CY244" s="23"/>
      <c r="CZ244" s="23"/>
      <c r="DA244" s="23"/>
      <c r="DB244" s="75"/>
      <c r="DC244" s="29"/>
      <c r="DD244" s="29"/>
      <c r="DE244" s="29"/>
      <c r="DF244" s="75"/>
      <c r="DG244" s="75"/>
      <c r="DH244" s="75"/>
      <c r="DI244" s="75"/>
      <c r="DJ244" s="75"/>
      <c r="DK244" s="75"/>
      <c r="DL244" s="1243"/>
      <c r="DM244" s="1243"/>
      <c r="DN244" s="1243"/>
      <c r="DO244" s="1243"/>
      <c r="DP244" s="1243"/>
      <c r="DQ244" s="1243"/>
      <c r="DR244" s="1243"/>
      <c r="DS244" s="388"/>
      <c r="DT244" s="388"/>
      <c r="DU244" s="388"/>
      <c r="DV244" s="388"/>
      <c r="DW244" s="1407"/>
      <c r="DY244" s="388"/>
      <c r="DZ244" s="388"/>
    </row>
    <row r="245" spans="1:130" s="686" customFormat="1" ht="12.75">
      <c r="A245" s="84" t="s">
        <v>267</v>
      </c>
      <c r="B245" s="102"/>
      <c r="C245" s="740"/>
      <c r="D245" s="740"/>
      <c r="E245" s="740"/>
      <c r="F245" s="740"/>
      <c r="G245" s="740"/>
      <c r="H245" s="740"/>
      <c r="I245" s="740"/>
      <c r="J245" s="740"/>
      <c r="K245" s="740"/>
      <c r="L245" s="740"/>
      <c r="M245" s="740"/>
      <c r="N245" s="740"/>
      <c r="O245" s="740"/>
      <c r="P245" s="740"/>
      <c r="Q245" s="740"/>
      <c r="R245" s="740"/>
      <c r="S245" s="740"/>
      <c r="T245" s="740"/>
      <c r="U245" s="740"/>
      <c r="V245" s="740"/>
      <c r="W245" s="740"/>
      <c r="X245" s="740"/>
      <c r="Y245" s="740"/>
      <c r="Z245" s="740"/>
      <c r="AA245" s="740"/>
      <c r="AB245" s="740"/>
      <c r="AC245" s="740"/>
      <c r="AD245" s="740"/>
      <c r="AE245" s="740">
        <v>27</v>
      </c>
      <c r="AF245" s="740">
        <v>28</v>
      </c>
      <c r="AG245" s="740">
        <v>28</v>
      </c>
      <c r="AH245" s="740">
        <v>30</v>
      </c>
      <c r="AI245" s="740">
        <v>31</v>
      </c>
      <c r="AJ245" s="740">
        <v>33</v>
      </c>
      <c r="AK245" s="740">
        <v>35</v>
      </c>
      <c r="AL245" s="740">
        <v>40</v>
      </c>
      <c r="AM245" s="740">
        <v>41</v>
      </c>
      <c r="AN245" s="740">
        <v>41</v>
      </c>
      <c r="AO245" s="740">
        <v>42</v>
      </c>
      <c r="AP245" s="740">
        <v>46</v>
      </c>
      <c r="AQ245" s="741">
        <v>48</v>
      </c>
      <c r="AR245" s="741">
        <v>55</v>
      </c>
      <c r="AS245" s="741">
        <v>58</v>
      </c>
      <c r="AT245" s="741">
        <v>59</v>
      </c>
      <c r="AU245" s="741">
        <v>58</v>
      </c>
      <c r="AV245" s="741">
        <v>63</v>
      </c>
      <c r="AW245" s="741">
        <v>64</v>
      </c>
      <c r="AX245" s="741">
        <v>68</v>
      </c>
      <c r="AY245" s="741">
        <v>69</v>
      </c>
      <c r="AZ245" s="741">
        <v>72</v>
      </c>
      <c r="BA245" s="742">
        <v>76</v>
      </c>
      <c r="BB245" s="741">
        <v>85</v>
      </c>
      <c r="BC245" s="741">
        <v>84</v>
      </c>
      <c r="BD245" s="741">
        <v>93</v>
      </c>
      <c r="BE245" s="741">
        <v>96</v>
      </c>
      <c r="BF245" s="741">
        <v>98</v>
      </c>
      <c r="BG245" s="741">
        <v>98</v>
      </c>
      <c r="BH245" s="1228">
        <v>101</v>
      </c>
      <c r="BI245" s="1228">
        <v>107</v>
      </c>
      <c r="BJ245" s="1228">
        <v>108</v>
      </c>
      <c r="BK245" s="1228">
        <v>110</v>
      </c>
      <c r="BL245" s="1228">
        <v>113</v>
      </c>
      <c r="BM245" s="1228">
        <v>113</v>
      </c>
      <c r="BN245" s="1228">
        <v>114</v>
      </c>
      <c r="BO245" s="1228">
        <v>112</v>
      </c>
      <c r="BP245" s="1228">
        <v>112</v>
      </c>
      <c r="BQ245" s="1228">
        <v>113</v>
      </c>
      <c r="BR245" s="1228">
        <v>113</v>
      </c>
      <c r="BS245" s="1228">
        <v>113</v>
      </c>
      <c r="BT245" s="1228">
        <v>119</v>
      </c>
      <c r="BU245" s="1228">
        <v>119</v>
      </c>
      <c r="BV245" s="1228">
        <v>119</v>
      </c>
      <c r="BW245" s="1228">
        <v>120</v>
      </c>
      <c r="BX245" s="1228">
        <v>120</v>
      </c>
      <c r="BY245" s="1228">
        <v>123</v>
      </c>
      <c r="BZ245" s="1228">
        <v>123</v>
      </c>
      <c r="CA245" s="1228">
        <v>110</v>
      </c>
      <c r="CB245" s="1228">
        <v>109</v>
      </c>
      <c r="CC245" s="1228">
        <v>107</v>
      </c>
      <c r="CD245" s="1228">
        <v>107</v>
      </c>
      <c r="CE245" s="1228">
        <v>104</v>
      </c>
      <c r="CF245" s="1228">
        <v>104</v>
      </c>
      <c r="CG245" s="1228">
        <v>104</v>
      </c>
      <c r="CH245" s="1228">
        <v>103</v>
      </c>
      <c r="CI245" s="1228">
        <v>102</v>
      </c>
      <c r="CJ245" s="1228">
        <v>102</v>
      </c>
      <c r="CK245" s="1228">
        <v>102</v>
      </c>
      <c r="CL245" s="745">
        <f t="shared" ref="CL245" si="1761">+CK245+CL246</f>
        <v>102</v>
      </c>
      <c r="CM245" s="745">
        <f t="shared" ref="CM245" si="1762">+CL245+CM246</f>
        <v>102</v>
      </c>
      <c r="CN245" s="745">
        <f t="shared" ref="CN245" si="1763">+CM245+CN246</f>
        <v>102</v>
      </c>
      <c r="CO245" s="745">
        <f t="shared" ref="CO245" si="1764">+CN245+CO246</f>
        <v>102</v>
      </c>
      <c r="CP245" s="745">
        <f t="shared" ref="CP245" si="1765">+CO245+CP246</f>
        <v>102</v>
      </c>
      <c r="CQ245" s="745"/>
      <c r="CR245" s="745"/>
      <c r="CS245" s="745"/>
      <c r="CT245" s="745">
        <v>102</v>
      </c>
      <c r="CU245" s="1112"/>
      <c r="CV245" s="740"/>
      <c r="CW245" s="740"/>
      <c r="CX245" s="740"/>
      <c r="CY245" s="740"/>
      <c r="CZ245" s="740"/>
      <c r="DA245" s="740"/>
      <c r="DB245" s="746"/>
      <c r="DC245" s="102">
        <v>30</v>
      </c>
      <c r="DD245" s="102">
        <v>40</v>
      </c>
      <c r="DE245" s="102">
        <v>46</v>
      </c>
      <c r="DF245" s="102">
        <f>AT245</f>
        <v>59</v>
      </c>
      <c r="DG245" s="102">
        <f>+AX245</f>
        <v>68</v>
      </c>
      <c r="DH245" s="102">
        <f>+BB245</f>
        <v>85</v>
      </c>
      <c r="DI245" s="102">
        <f>+BF245</f>
        <v>98</v>
      </c>
      <c r="DJ245" s="102">
        <f>+BJ245</f>
        <v>108</v>
      </c>
      <c r="DK245" s="102">
        <f>+BN245</f>
        <v>114</v>
      </c>
      <c r="DL245" s="132">
        <f>+BR245</f>
        <v>113</v>
      </c>
      <c r="DM245" s="132">
        <f>+BV245</f>
        <v>119</v>
      </c>
      <c r="DN245" s="132">
        <f>+BZ245</f>
        <v>123</v>
      </c>
      <c r="DO245" s="132">
        <f>+CD245</f>
        <v>107</v>
      </c>
      <c r="DP245" s="132">
        <f>+CH245</f>
        <v>103</v>
      </c>
      <c r="DQ245" s="132">
        <f>+CL245</f>
        <v>102</v>
      </c>
      <c r="DR245" s="132">
        <f>+CP245</f>
        <v>102</v>
      </c>
      <c r="DS245" s="376">
        <f>+DR245+DS246</f>
        <v>102</v>
      </c>
      <c r="DT245" s="376">
        <f t="shared" ref="DT245:DV245" si="1766">+DS245+DT246</f>
        <v>102</v>
      </c>
      <c r="DU245" s="376">
        <f t="shared" si="1766"/>
        <v>102</v>
      </c>
      <c r="DV245" s="376">
        <f t="shared" si="1766"/>
        <v>102</v>
      </c>
      <c r="DW245" s="1581">
        <f>+DU243*27.27</f>
        <v>0</v>
      </c>
      <c r="DY245" s="376">
        <v>102</v>
      </c>
      <c r="DZ245" s="376">
        <v>102</v>
      </c>
    </row>
    <row r="246" spans="1:130" s="656" customFormat="1" ht="12">
      <c r="A246" s="45" t="s">
        <v>264</v>
      </c>
      <c r="B246" s="62"/>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v>1</v>
      </c>
      <c r="AG246" s="63">
        <v>0</v>
      </c>
      <c r="AH246" s="63">
        <v>2</v>
      </c>
      <c r="AI246" s="63">
        <v>1</v>
      </c>
      <c r="AJ246" s="63">
        <v>2</v>
      </c>
      <c r="AK246" s="63">
        <v>2</v>
      </c>
      <c r="AL246" s="63">
        <v>5</v>
      </c>
      <c r="AM246" s="63">
        <v>1</v>
      </c>
      <c r="AN246" s="63">
        <v>0</v>
      </c>
      <c r="AO246" s="63">
        <v>1</v>
      </c>
      <c r="AP246" s="63">
        <v>4</v>
      </c>
      <c r="AQ246" s="63">
        <f t="shared" ref="AQ246:BD246" si="1767">+AQ245-AP245</f>
        <v>2</v>
      </c>
      <c r="AR246" s="63">
        <f t="shared" si="1767"/>
        <v>7</v>
      </c>
      <c r="AS246" s="63">
        <f t="shared" si="1767"/>
        <v>3</v>
      </c>
      <c r="AT246" s="63">
        <f t="shared" si="1767"/>
        <v>1</v>
      </c>
      <c r="AU246" s="63">
        <f t="shared" si="1767"/>
        <v>-1</v>
      </c>
      <c r="AV246" s="63">
        <f t="shared" si="1767"/>
        <v>5</v>
      </c>
      <c r="AW246" s="63">
        <f t="shared" si="1767"/>
        <v>1</v>
      </c>
      <c r="AX246" s="63">
        <f t="shared" si="1767"/>
        <v>4</v>
      </c>
      <c r="AY246" s="63">
        <f t="shared" si="1767"/>
        <v>1</v>
      </c>
      <c r="AZ246" s="63">
        <f t="shared" si="1767"/>
        <v>3</v>
      </c>
      <c r="BA246" s="63">
        <f t="shared" si="1767"/>
        <v>4</v>
      </c>
      <c r="BB246" s="63">
        <f t="shared" si="1767"/>
        <v>9</v>
      </c>
      <c r="BC246" s="63">
        <f t="shared" si="1767"/>
        <v>-1</v>
      </c>
      <c r="BD246" s="63">
        <f t="shared" si="1767"/>
        <v>9</v>
      </c>
      <c r="BE246" s="63">
        <f t="shared" ref="BE246:BO246" si="1768">+BE245-BD245</f>
        <v>3</v>
      </c>
      <c r="BF246" s="63">
        <f t="shared" si="1768"/>
        <v>2</v>
      </c>
      <c r="BG246" s="63">
        <f t="shared" si="1768"/>
        <v>0</v>
      </c>
      <c r="BH246" s="1227">
        <f t="shared" si="1768"/>
        <v>3</v>
      </c>
      <c r="BI246" s="1227">
        <f t="shared" si="1768"/>
        <v>6</v>
      </c>
      <c r="BJ246" s="1227">
        <f t="shared" si="1768"/>
        <v>1</v>
      </c>
      <c r="BK246" s="1227">
        <f t="shared" si="1768"/>
        <v>2</v>
      </c>
      <c r="BL246" s="1227">
        <f t="shared" si="1768"/>
        <v>3</v>
      </c>
      <c r="BM246" s="1227">
        <f t="shared" si="1768"/>
        <v>0</v>
      </c>
      <c r="BN246" s="1227">
        <f t="shared" si="1768"/>
        <v>1</v>
      </c>
      <c r="BO246" s="1227">
        <f t="shared" si="1768"/>
        <v>-2</v>
      </c>
      <c r="BP246" s="1227">
        <f>+BP245-BO245</f>
        <v>0</v>
      </c>
      <c r="BQ246" s="1227">
        <f t="shared" ref="BQ246:BX246" si="1769">+BQ245-BP245</f>
        <v>1</v>
      </c>
      <c r="BR246" s="1227">
        <f t="shared" si="1769"/>
        <v>0</v>
      </c>
      <c r="BS246" s="1227">
        <f t="shared" si="1769"/>
        <v>0</v>
      </c>
      <c r="BT246" s="1227">
        <f t="shared" si="1769"/>
        <v>6</v>
      </c>
      <c r="BU246" s="1227">
        <f t="shared" si="1769"/>
        <v>0</v>
      </c>
      <c r="BV246" s="1227">
        <f t="shared" si="1769"/>
        <v>0</v>
      </c>
      <c r="BW246" s="1227">
        <f t="shared" si="1769"/>
        <v>1</v>
      </c>
      <c r="BX246" s="1227">
        <f t="shared" si="1769"/>
        <v>0</v>
      </c>
      <c r="BY246" s="1227">
        <f t="shared" ref="BY246:CC246" si="1770">BY245-BX245</f>
        <v>3</v>
      </c>
      <c r="BZ246" s="1227">
        <f t="shared" si="1770"/>
        <v>0</v>
      </c>
      <c r="CA246" s="1227">
        <f t="shared" si="1770"/>
        <v>-13</v>
      </c>
      <c r="CB246" s="1227">
        <f t="shared" si="1770"/>
        <v>-1</v>
      </c>
      <c r="CC246" s="1227">
        <f t="shared" si="1770"/>
        <v>-2</v>
      </c>
      <c r="CD246" s="1227">
        <f t="shared" ref="CD246" si="1771">CD245-CC245</f>
        <v>0</v>
      </c>
      <c r="CE246" s="1227">
        <f t="shared" ref="CE246:CK246" si="1772">CE245-CD245</f>
        <v>-3</v>
      </c>
      <c r="CF246" s="1227">
        <f t="shared" si="1772"/>
        <v>0</v>
      </c>
      <c r="CG246" s="1227">
        <f t="shared" si="1772"/>
        <v>0</v>
      </c>
      <c r="CH246" s="1227">
        <f t="shared" si="1772"/>
        <v>-1</v>
      </c>
      <c r="CI246" s="1227">
        <f t="shared" si="1772"/>
        <v>-1</v>
      </c>
      <c r="CJ246" s="1227">
        <f t="shared" si="1772"/>
        <v>0</v>
      </c>
      <c r="CK246" s="1227">
        <f t="shared" si="1772"/>
        <v>0</v>
      </c>
      <c r="CL246" s="747">
        <v>0</v>
      </c>
      <c r="CM246" s="747">
        <v>0</v>
      </c>
      <c r="CN246" s="747">
        <v>0</v>
      </c>
      <c r="CO246" s="747">
        <v>0</v>
      </c>
      <c r="CP246" s="747">
        <v>0</v>
      </c>
      <c r="CQ246" s="747"/>
      <c r="CR246" s="747"/>
      <c r="CS246" s="747"/>
      <c r="CT246" s="747">
        <v>0</v>
      </c>
      <c r="CU246" s="1117"/>
      <c r="CV246" s="63"/>
      <c r="CW246" s="63"/>
      <c r="CX246" s="63"/>
      <c r="CY246" s="63"/>
      <c r="CZ246" s="63"/>
      <c r="DA246" s="63"/>
      <c r="DB246" s="105"/>
      <c r="DC246" s="62"/>
      <c r="DD246" s="62">
        <v>10</v>
      </c>
      <c r="DE246" s="62">
        <v>6</v>
      </c>
      <c r="DF246" s="62">
        <f>SUM(AQ246:AT246)</f>
        <v>13</v>
      </c>
      <c r="DG246" s="62">
        <f t="shared" ref="DG246:DM246" si="1773">+DG245-DF245</f>
        <v>9</v>
      </c>
      <c r="DH246" s="62">
        <f t="shared" si="1773"/>
        <v>17</v>
      </c>
      <c r="DI246" s="62">
        <f t="shared" si="1773"/>
        <v>13</v>
      </c>
      <c r="DJ246" s="62">
        <f t="shared" si="1773"/>
        <v>10</v>
      </c>
      <c r="DK246" s="62">
        <f t="shared" si="1773"/>
        <v>6</v>
      </c>
      <c r="DL246" s="1235">
        <f t="shared" si="1773"/>
        <v>-1</v>
      </c>
      <c r="DM246" s="1235">
        <f t="shared" si="1773"/>
        <v>6</v>
      </c>
      <c r="DN246" s="1235">
        <f>+DN245-DM245</f>
        <v>4</v>
      </c>
      <c r="DO246" s="1235">
        <f>+DO245-DN245</f>
        <v>-16</v>
      </c>
      <c r="DP246" s="1235">
        <f>+DP245-DO245</f>
        <v>-4</v>
      </c>
      <c r="DQ246" s="1235">
        <f>+DQ245-DP245</f>
        <v>-1</v>
      </c>
      <c r="DR246" s="1235">
        <f>+DR245-DQ245</f>
        <v>0</v>
      </c>
      <c r="DS246" s="748">
        <v>0</v>
      </c>
      <c r="DT246" s="748">
        <v>0</v>
      </c>
      <c r="DU246" s="748">
        <v>0</v>
      </c>
      <c r="DV246" s="748">
        <v>0</v>
      </c>
      <c r="DW246" s="748">
        <v>0</v>
      </c>
      <c r="DY246" s="748">
        <v>0</v>
      </c>
      <c r="DZ246" s="748">
        <v>0</v>
      </c>
    </row>
    <row r="247" spans="1:130" s="656" customFormat="1" ht="12">
      <c r="A247" s="45" t="s">
        <v>265</v>
      </c>
      <c r="B247" s="62"/>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v>14300</v>
      </c>
      <c r="AG247" s="63">
        <v>14300</v>
      </c>
      <c r="AH247" s="63">
        <v>15500</v>
      </c>
      <c r="AI247" s="63">
        <v>16000</v>
      </c>
      <c r="AJ247" s="63">
        <v>18200</v>
      </c>
      <c r="AK247" s="63"/>
      <c r="AL247" s="63">
        <v>20700</v>
      </c>
      <c r="AM247" s="63">
        <v>21100</v>
      </c>
      <c r="AN247" s="63">
        <v>21100</v>
      </c>
      <c r="AO247" s="63">
        <v>21500</v>
      </c>
      <c r="AP247" s="63">
        <v>23000</v>
      </c>
      <c r="AQ247" s="1445">
        <v>23.652999999999999</v>
      </c>
      <c r="AR247" s="1445">
        <v>26.2</v>
      </c>
      <c r="AS247" s="1445">
        <v>27.2</v>
      </c>
      <c r="AT247" s="1445">
        <v>27.6</v>
      </c>
      <c r="AU247" s="1445">
        <v>26.7</v>
      </c>
      <c r="AV247" s="1445">
        <v>28.934000000000001</v>
      </c>
      <c r="AW247" s="1445">
        <v>29</v>
      </c>
      <c r="AX247" s="1445">
        <v>30.69547</v>
      </c>
      <c r="AY247" s="1445">
        <v>31.097940000000001</v>
      </c>
      <c r="AZ247" s="1445">
        <v>32.5</v>
      </c>
      <c r="BA247" s="1446">
        <v>33.81447</v>
      </c>
      <c r="BB247" s="1445">
        <v>37.513259999999995</v>
      </c>
      <c r="BC247" s="1445">
        <v>36.662570000000002</v>
      </c>
      <c r="BD247" s="1445">
        <v>40.119999999999997</v>
      </c>
      <c r="BE247" s="1445">
        <v>41.438139999999997</v>
      </c>
      <c r="BF247" s="1445">
        <v>42.099200000000003</v>
      </c>
      <c r="BG247" s="1445">
        <v>42.099200000000003</v>
      </c>
      <c r="BH247" s="1447">
        <v>43.517769999999977</v>
      </c>
      <c r="BI247" s="1447">
        <v>46.406519999999979</v>
      </c>
      <c r="BJ247" s="1447">
        <v>46.768429999999988</v>
      </c>
      <c r="BK247" s="1447">
        <v>47.557510000000001</v>
      </c>
      <c r="BL247" s="1447">
        <v>49.118369999999999</v>
      </c>
      <c r="BM247" s="1447">
        <v>48.43188</v>
      </c>
      <c r="BN247" s="1447">
        <v>48.726179999999999</v>
      </c>
      <c r="BO247" s="1447">
        <v>47.895000000000003</v>
      </c>
      <c r="BP247" s="1447">
        <v>47.895000000000003</v>
      </c>
      <c r="BQ247" s="1447">
        <v>48.58381</v>
      </c>
      <c r="BR247" s="1447">
        <v>48.292819999999992</v>
      </c>
      <c r="BS247" s="1447">
        <v>47.3</v>
      </c>
      <c r="BT247" s="1447">
        <v>50.08726999999999</v>
      </c>
      <c r="BU247" s="1447">
        <v>49.78826999999999</v>
      </c>
      <c r="BV247" s="1447">
        <v>49.78826999999999</v>
      </c>
      <c r="BW247" s="1447">
        <v>50.279819999999994</v>
      </c>
      <c r="BX247" s="1447">
        <v>50.279819999999994</v>
      </c>
      <c r="BY247" s="1447">
        <v>51.632969999999993</v>
      </c>
      <c r="BZ247" s="1447">
        <v>51.63297</v>
      </c>
      <c r="CA247" s="1447">
        <v>49.734943333333327</v>
      </c>
      <c r="CB247" s="1447">
        <v>46.859516666666671</v>
      </c>
      <c r="CC247" s="1447">
        <v>46.376060000000003</v>
      </c>
      <c r="CD247" s="1447">
        <v>45.651520000000012</v>
      </c>
      <c r="CE247" s="1447">
        <v>45.14091333333333</v>
      </c>
      <c r="CF247" s="1447">
        <v>45.120583333333343</v>
      </c>
      <c r="CG247" s="1447">
        <v>44.10460666666669</v>
      </c>
      <c r="CH247" s="1447">
        <v>43.972653333333348</v>
      </c>
      <c r="CI247" s="1447">
        <v>43.587410000000006</v>
      </c>
      <c r="CJ247" s="1447">
        <v>43.358359999999998</v>
      </c>
      <c r="CK247" s="1447">
        <v>43.538396666666678</v>
      </c>
      <c r="CL247" s="1448">
        <f t="shared" ref="CL247:CP247" si="1774">+CL245*CL248/1000</f>
        <v>43.538396666666685</v>
      </c>
      <c r="CM247" s="1448">
        <f t="shared" si="1774"/>
        <v>43.538396666666685</v>
      </c>
      <c r="CN247" s="1448">
        <f t="shared" si="1774"/>
        <v>43.538396666666685</v>
      </c>
      <c r="CO247" s="1448">
        <f t="shared" si="1774"/>
        <v>43.538396666666685</v>
      </c>
      <c r="CP247" s="1448">
        <f t="shared" si="1774"/>
        <v>43.538396666666685</v>
      </c>
      <c r="CQ247" s="1448"/>
      <c r="CR247" s="367"/>
      <c r="CS247" s="367"/>
      <c r="CT247" s="1448">
        <v>43.538396666666685</v>
      </c>
      <c r="CU247" s="1113"/>
      <c r="CV247" s="63"/>
      <c r="CW247" s="63"/>
      <c r="CX247" s="63"/>
      <c r="CY247" s="63"/>
      <c r="CZ247" s="63"/>
      <c r="DA247" s="63"/>
      <c r="DB247" s="105"/>
      <c r="DC247" s="62"/>
      <c r="DD247" s="62">
        <v>20700</v>
      </c>
      <c r="DE247" s="62">
        <v>23000</v>
      </c>
      <c r="DF247" s="62">
        <f>AT247</f>
        <v>27.6</v>
      </c>
      <c r="DG247" s="62">
        <f>+AX247</f>
        <v>30.69547</v>
      </c>
      <c r="DH247" s="62">
        <f>+BB247</f>
        <v>37.513259999999995</v>
      </c>
      <c r="DI247" s="62">
        <f>+BF247</f>
        <v>42.099200000000003</v>
      </c>
      <c r="DJ247" s="62">
        <f>+BJ247</f>
        <v>46.768429999999988</v>
      </c>
      <c r="DK247" s="62">
        <f>+BN247</f>
        <v>48.726179999999999</v>
      </c>
      <c r="DL247" s="1235">
        <f>+BR247</f>
        <v>48.292819999999992</v>
      </c>
      <c r="DM247" s="1235">
        <f>+BV247</f>
        <v>49.78826999999999</v>
      </c>
      <c r="DN247" s="1235">
        <f>+BZ247</f>
        <v>51.63297</v>
      </c>
      <c r="DO247" s="1235">
        <f>+CD247</f>
        <v>45.651520000000012</v>
      </c>
      <c r="DP247" s="1235">
        <f>+CH247</f>
        <v>43.972653333333348</v>
      </c>
      <c r="DQ247" s="1235">
        <f>+CL247</f>
        <v>43.538396666666685</v>
      </c>
      <c r="DR247" s="1235">
        <f>+CP247</f>
        <v>43.538396666666685</v>
      </c>
      <c r="DS247" s="62">
        <f>+DS245*DS248/1000</f>
        <v>43.538396666666685</v>
      </c>
      <c r="DT247" s="62">
        <f t="shared" ref="DT247:DV247" si="1775">+DT245*DT248/1000</f>
        <v>43.538396666666685</v>
      </c>
      <c r="DU247" s="62">
        <f t="shared" si="1775"/>
        <v>43.538396666666685</v>
      </c>
      <c r="DV247" s="62">
        <f t="shared" si="1775"/>
        <v>43.538396666666685</v>
      </c>
      <c r="DW247" s="1579"/>
      <c r="DY247" s="62">
        <v>43.538396666666685</v>
      </c>
      <c r="DZ247" s="62">
        <v>43.538396666666685</v>
      </c>
    </row>
    <row r="248" spans="1:130" s="656" customFormat="1" ht="15.75">
      <c r="A248" s="45" t="s">
        <v>260</v>
      </c>
      <c r="B248" s="62"/>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c r="AG248" s="63"/>
      <c r="AH248" s="63"/>
      <c r="AI248" s="63"/>
      <c r="AJ248" s="63"/>
      <c r="AK248" s="63"/>
      <c r="AL248" s="63">
        <v>517.5</v>
      </c>
      <c r="AM248" s="63">
        <v>514.63414634146341</v>
      </c>
      <c r="AN248" s="63">
        <v>514.63414634146341</v>
      </c>
      <c r="AO248" s="63">
        <v>511.90476190476193</v>
      </c>
      <c r="AP248" s="63">
        <v>500</v>
      </c>
      <c r="AQ248" s="1438">
        <f t="shared" ref="AQ248:BV248" si="1776">+AQ247/AQ245*1000</f>
        <v>492.77083333333331</v>
      </c>
      <c r="AR248" s="1438">
        <f t="shared" si="1776"/>
        <v>476.36363636363637</v>
      </c>
      <c r="AS248" s="1438">
        <f t="shared" si="1776"/>
        <v>468.9655172413793</v>
      </c>
      <c r="AT248" s="1438">
        <f t="shared" si="1776"/>
        <v>467.79661016949154</v>
      </c>
      <c r="AU248" s="1438">
        <f t="shared" si="1776"/>
        <v>460.34482758620686</v>
      </c>
      <c r="AV248" s="1438">
        <f t="shared" si="1776"/>
        <v>459.26984126984127</v>
      </c>
      <c r="AW248" s="1438">
        <f t="shared" si="1776"/>
        <v>453.125</v>
      </c>
      <c r="AX248" s="1438">
        <f t="shared" si="1776"/>
        <v>451.40397058823527</v>
      </c>
      <c r="AY248" s="1438">
        <f t="shared" si="1776"/>
        <v>450.69478260869568</v>
      </c>
      <c r="AZ248" s="1438">
        <f t="shared" si="1776"/>
        <v>451.38888888888891</v>
      </c>
      <c r="BA248" s="1438">
        <f t="shared" si="1776"/>
        <v>444.92723684210529</v>
      </c>
      <c r="BB248" s="1438">
        <f t="shared" si="1776"/>
        <v>441.3324705882352</v>
      </c>
      <c r="BC248" s="1438">
        <f t="shared" si="1776"/>
        <v>436.4591666666667</v>
      </c>
      <c r="BD248" s="1438">
        <f t="shared" si="1776"/>
        <v>431.39784946236557</v>
      </c>
      <c r="BE248" s="1438">
        <f t="shared" si="1776"/>
        <v>431.64729166666666</v>
      </c>
      <c r="BF248" s="1438">
        <f t="shared" si="1776"/>
        <v>429.5836734693878</v>
      </c>
      <c r="BG248" s="1438">
        <f t="shared" si="1776"/>
        <v>429.5836734693878</v>
      </c>
      <c r="BH248" s="1438">
        <f t="shared" si="1776"/>
        <v>430.86900990098985</v>
      </c>
      <c r="BI248" s="1438">
        <f t="shared" si="1776"/>
        <v>433.70579439252316</v>
      </c>
      <c r="BJ248" s="1438">
        <f t="shared" si="1776"/>
        <v>433.0410185185184</v>
      </c>
      <c r="BK248" s="1438">
        <f t="shared" si="1776"/>
        <v>432.34100000000001</v>
      </c>
      <c r="BL248" s="1438">
        <f t="shared" si="1776"/>
        <v>434.6758407079646</v>
      </c>
      <c r="BM248" s="1438">
        <f t="shared" si="1776"/>
        <v>428.60070796460178</v>
      </c>
      <c r="BN248" s="1438">
        <f t="shared" si="1776"/>
        <v>427.4226315789474</v>
      </c>
      <c r="BO248" s="1438">
        <f t="shared" si="1776"/>
        <v>427.63392857142861</v>
      </c>
      <c r="BP248" s="1438">
        <f t="shared" si="1776"/>
        <v>427.63392857142861</v>
      </c>
      <c r="BQ248" s="1438">
        <f t="shared" si="1776"/>
        <v>429.94522123893802</v>
      </c>
      <c r="BR248" s="1438">
        <f t="shared" si="1776"/>
        <v>427.37008849557515</v>
      </c>
      <c r="BS248" s="1438">
        <f t="shared" si="1776"/>
        <v>418.58407079646014</v>
      </c>
      <c r="BT248" s="1438">
        <f t="shared" si="1776"/>
        <v>420.90142857142848</v>
      </c>
      <c r="BU248" s="1438">
        <f t="shared" si="1776"/>
        <v>418.3888235294117</v>
      </c>
      <c r="BV248" s="1438">
        <f t="shared" si="1776"/>
        <v>418.3888235294117</v>
      </c>
      <c r="BW248" s="1438">
        <f t="shared" ref="BW248:CK248" si="1777">+BW247/BW245*1000</f>
        <v>418.99849999999992</v>
      </c>
      <c r="BX248" s="1438">
        <f t="shared" si="1777"/>
        <v>418.99849999999992</v>
      </c>
      <c r="BY248" s="1438">
        <f t="shared" si="1777"/>
        <v>419.78024390243894</v>
      </c>
      <c r="BZ248" s="1438">
        <f t="shared" si="1777"/>
        <v>419.780243902439</v>
      </c>
      <c r="CA248" s="1438">
        <f t="shared" si="1777"/>
        <v>452.13584848484845</v>
      </c>
      <c r="CB248" s="1438">
        <f t="shared" si="1777"/>
        <v>429.90382262996945</v>
      </c>
      <c r="CC248" s="1438">
        <f t="shared" si="1777"/>
        <v>433.42112149532716</v>
      </c>
      <c r="CD248" s="1438">
        <f t="shared" si="1777"/>
        <v>426.64971962616835</v>
      </c>
      <c r="CE248" s="1438">
        <f t="shared" si="1777"/>
        <v>434.04724358974357</v>
      </c>
      <c r="CF248" s="1438">
        <f t="shared" si="1777"/>
        <v>433.85176282051293</v>
      </c>
      <c r="CG248" s="1438">
        <f t="shared" si="1777"/>
        <v>424.08275641025659</v>
      </c>
      <c r="CH248" s="1438">
        <f t="shared" si="1777"/>
        <v>426.9189644012946</v>
      </c>
      <c r="CI248" s="1438">
        <f t="shared" si="1777"/>
        <v>427.32754901960789</v>
      </c>
      <c r="CJ248" s="1438">
        <f t="shared" si="1777"/>
        <v>425.08196078431371</v>
      </c>
      <c r="CK248" s="1438">
        <f t="shared" si="1777"/>
        <v>426.84702614379097</v>
      </c>
      <c r="CL248" s="747">
        <f t="shared" ref="CL248" si="1778">+CK248</f>
        <v>426.84702614379097</v>
      </c>
      <c r="CM248" s="747">
        <f t="shared" ref="CM248" si="1779">+CL248</f>
        <v>426.84702614379097</v>
      </c>
      <c r="CN248" s="747">
        <f t="shared" ref="CN248" si="1780">+CM248</f>
        <v>426.84702614379097</v>
      </c>
      <c r="CO248" s="747">
        <f t="shared" ref="CO248" si="1781">+CN248</f>
        <v>426.84702614379097</v>
      </c>
      <c r="CP248" s="747">
        <f t="shared" ref="CP248" si="1782">+CO248</f>
        <v>426.84702614379097</v>
      </c>
      <c r="CQ248" s="747"/>
      <c r="CR248" s="747"/>
      <c r="CS248" s="747"/>
      <c r="CT248" s="747">
        <v>426.84702614379097</v>
      </c>
      <c r="CU248" s="1113"/>
      <c r="CV248" s="63"/>
      <c r="CW248" s="63"/>
      <c r="CX248" s="63"/>
      <c r="CY248" s="63"/>
      <c r="CZ248" s="63"/>
      <c r="DA248" s="63"/>
      <c r="DB248" s="105"/>
      <c r="DC248" s="62"/>
      <c r="DD248" s="63">
        <v>517.5</v>
      </c>
      <c r="DE248" s="63">
        <v>500</v>
      </c>
      <c r="DF248" s="1227">
        <f t="shared" ref="DF248:DO248" si="1783">+DF247/DF245*1000</f>
        <v>467.79661016949154</v>
      </c>
      <c r="DG248" s="1227">
        <f t="shared" si="1783"/>
        <v>451.40397058823527</v>
      </c>
      <c r="DH248" s="1227">
        <f t="shared" si="1783"/>
        <v>441.3324705882352</v>
      </c>
      <c r="DI248" s="1227">
        <f t="shared" si="1783"/>
        <v>429.5836734693878</v>
      </c>
      <c r="DJ248" s="1227">
        <f t="shared" si="1783"/>
        <v>433.0410185185184</v>
      </c>
      <c r="DK248" s="1227">
        <f t="shared" si="1783"/>
        <v>427.4226315789474</v>
      </c>
      <c r="DL248" s="1227">
        <f t="shared" si="1783"/>
        <v>427.37008849557515</v>
      </c>
      <c r="DM248" s="1227">
        <f t="shared" si="1783"/>
        <v>418.3888235294117</v>
      </c>
      <c r="DN248" s="1227">
        <f t="shared" si="1783"/>
        <v>419.780243902439</v>
      </c>
      <c r="DO248" s="1227">
        <f t="shared" si="1783"/>
        <v>426.64971962616835</v>
      </c>
      <c r="DP248" s="1227">
        <f t="shared" ref="DP248:DQ248" si="1784">+DP247/DP245*1000</f>
        <v>426.9189644012946</v>
      </c>
      <c r="DQ248" s="1227">
        <f t="shared" si="1784"/>
        <v>426.84702614379103</v>
      </c>
      <c r="DR248" s="1227">
        <f t="shared" ref="DR248" si="1785">+DR247/DR245*1000</f>
        <v>426.84702614379103</v>
      </c>
      <c r="DS248" s="748">
        <f>+DR248</f>
        <v>426.84702614379103</v>
      </c>
      <c r="DT248" s="748">
        <f t="shared" ref="DT248:DV248" si="1786">+DS248</f>
        <v>426.84702614379103</v>
      </c>
      <c r="DU248" s="748">
        <f t="shared" si="1786"/>
        <v>426.84702614379103</v>
      </c>
      <c r="DV248" s="748">
        <f t="shared" si="1786"/>
        <v>426.84702614379103</v>
      </c>
      <c r="DY248" s="748">
        <v>426.84702614379103</v>
      </c>
      <c r="DZ248" s="748">
        <v>426.84702614379103</v>
      </c>
    </row>
    <row r="249" spans="1:130" s="656" customFormat="1" ht="12">
      <c r="A249" s="63" t="s">
        <v>261</v>
      </c>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c r="AG249" s="63"/>
      <c r="AH249" s="63"/>
      <c r="AI249" s="63">
        <v>32022.029897718334</v>
      </c>
      <c r="AJ249" s="63">
        <v>34920.634920634919</v>
      </c>
      <c r="AK249" s="63">
        <v>37459.283387622148</v>
      </c>
      <c r="AL249" s="63">
        <v>54101.221640488664</v>
      </c>
      <c r="AM249" s="63">
        <v>40700</v>
      </c>
      <c r="AN249" s="63">
        <v>44000</v>
      </c>
      <c r="AO249" s="63">
        <v>46000</v>
      </c>
      <c r="AP249" s="63">
        <v>62000</v>
      </c>
      <c r="AQ249" s="1443">
        <v>45.365772700000001</v>
      </c>
      <c r="AR249" s="1443">
        <v>55.548293349999987</v>
      </c>
      <c r="AS249" s="1443">
        <v>52.893536570000002</v>
      </c>
      <c r="AT249" s="1443">
        <v>79.602951810000036</v>
      </c>
      <c r="AU249" s="1443">
        <v>56.702676799999999</v>
      </c>
      <c r="AV249" s="1443">
        <v>65.50685383000021</v>
      </c>
      <c r="AW249" s="1443">
        <v>70.557607810000093</v>
      </c>
      <c r="AX249" s="1443">
        <v>101.98353217</v>
      </c>
      <c r="AY249" s="1443">
        <v>67.8</v>
      </c>
      <c r="AZ249" s="1443">
        <v>80.736000000000004</v>
      </c>
      <c r="BA249" s="1443">
        <v>81.593259880000232</v>
      </c>
      <c r="BB249" s="1443">
        <v>118.30827736000003</v>
      </c>
      <c r="BC249" s="1443">
        <v>85.421000000000006</v>
      </c>
      <c r="BD249" s="1443">
        <v>101.8</v>
      </c>
      <c r="BE249" s="1443">
        <v>110.07299999999999</v>
      </c>
      <c r="BF249" s="1443">
        <v>146.70941041000009</v>
      </c>
      <c r="BG249" s="1443">
        <v>101.58779016</v>
      </c>
      <c r="BH249" s="1444">
        <v>114.10680934999999</v>
      </c>
      <c r="BI249" s="1444">
        <v>121.0368014099999</v>
      </c>
      <c r="BJ249" s="1444">
        <v>168.27832018999999</v>
      </c>
      <c r="BK249" s="1444">
        <v>113.49926604000001</v>
      </c>
      <c r="BL249" s="1444">
        <v>117.23031178000002</v>
      </c>
      <c r="BM249" s="1444">
        <v>116.60939334999999</v>
      </c>
      <c r="BN249" s="1444">
        <v>177.68380674000002</v>
      </c>
      <c r="BO249" s="1444">
        <v>108.07665738999999</v>
      </c>
      <c r="BP249" s="1444">
        <v>49.026179129999989</v>
      </c>
      <c r="BQ249" s="1444">
        <v>146.57026763999997</v>
      </c>
      <c r="BR249" s="1444">
        <v>203.18919783000001</v>
      </c>
      <c r="BS249" s="1444">
        <v>103.60151150999999</v>
      </c>
      <c r="BT249" s="1444">
        <v>150.69684502000001</v>
      </c>
      <c r="BU249" s="1444">
        <v>175.16589417000006</v>
      </c>
      <c r="BV249" s="1444">
        <v>221.1509849599999</v>
      </c>
      <c r="BW249" s="1444">
        <v>138.70628652000002</v>
      </c>
      <c r="BX249" s="1444">
        <v>130.24131421999999</v>
      </c>
      <c r="BY249" s="1444">
        <v>127.24505265000002</v>
      </c>
      <c r="BZ249" s="1444">
        <v>170.9</v>
      </c>
      <c r="CA249" s="1444">
        <v>118.42135658999995</v>
      </c>
      <c r="CB249" s="1444">
        <v>112.41673906000007</v>
      </c>
      <c r="CC249" s="1444">
        <v>119.34855048999995</v>
      </c>
      <c r="CD249" s="1444">
        <v>170.32064994000001</v>
      </c>
      <c r="CE249" s="1444">
        <v>125.31086768999992</v>
      </c>
      <c r="CF249" s="1444">
        <v>122.91834192000002</v>
      </c>
      <c r="CG249" s="1444">
        <v>134.17599999999999</v>
      </c>
      <c r="CH249" s="1444">
        <v>191.17776520999999</v>
      </c>
      <c r="CI249" s="1444">
        <v>127.89402134999997</v>
      </c>
      <c r="CJ249" s="1444">
        <v>132.86294659999999</v>
      </c>
      <c r="CK249" s="1444">
        <v>135.21208005</v>
      </c>
      <c r="CL249" s="755">
        <f t="shared" ref="CL249" si="1787">+CK249*CL$278/CK$278</f>
        <v>192.31413563751138</v>
      </c>
      <c r="CM249" s="755">
        <f t="shared" ref="CM249" si="1788">+CL249*CM$278/CL$278</f>
        <v>129.13905316489672</v>
      </c>
      <c r="CN249" s="755">
        <f t="shared" ref="CN249" si="1789">+CM249*CN$278/CM$278</f>
        <v>169.41340583309992</v>
      </c>
      <c r="CO249" s="755">
        <f t="shared" ref="CO249" si="1790">+CN249*CO$278/CN$278</f>
        <v>146.58529170016794</v>
      </c>
      <c r="CP249" s="755">
        <f t="shared" ref="CP249" si="1791">+CO249*CP$278/CO$278</f>
        <v>208.55115687430902</v>
      </c>
      <c r="CQ249" s="751"/>
      <c r="CR249" s="751"/>
      <c r="CS249" s="751"/>
      <c r="CT249" s="751">
        <v>192.31413563751138</v>
      </c>
      <c r="CU249" s="1115"/>
      <c r="CV249" s="63"/>
      <c r="CW249" s="63"/>
      <c r="CX249" s="63"/>
      <c r="CY249" s="63"/>
      <c r="CZ249" s="63"/>
      <c r="DA249" s="63"/>
      <c r="DB249" s="104"/>
      <c r="DC249" s="63"/>
      <c r="DD249" s="63"/>
      <c r="DE249" s="63"/>
      <c r="DF249" s="1539">
        <f>+SUM(AQ249:AT249)</f>
        <v>233.41055443000002</v>
      </c>
      <c r="DG249" s="1539">
        <f>+SUM(AU249:AX249)</f>
        <v>294.75067061000033</v>
      </c>
      <c r="DH249" s="1539">
        <f>+SUM(AY249:BB249)</f>
        <v>348.43753724000027</v>
      </c>
      <c r="DI249" s="1539">
        <f>+SUM(BC249:BF249)</f>
        <v>444.00341041000007</v>
      </c>
      <c r="DJ249" s="1539">
        <f>+SUM(BG249:BJ249)</f>
        <v>505.00972110999987</v>
      </c>
      <c r="DK249" s="1539">
        <f>+SUM(BK249:BN249)</f>
        <v>525.02277791000006</v>
      </c>
      <c r="DL249" s="1540">
        <f>+SUM(BO249:BR249)</f>
        <v>506.86230198999999</v>
      </c>
      <c r="DM249" s="1227"/>
      <c r="DN249" s="1227"/>
      <c r="DO249" s="1227"/>
      <c r="DP249" s="1227"/>
      <c r="DQ249" s="1227"/>
      <c r="DR249" s="1227"/>
      <c r="DS249" s="751"/>
      <c r="DT249" s="751"/>
      <c r="DU249" s="751"/>
      <c r="DV249" s="751"/>
      <c r="DY249" s="751"/>
      <c r="DZ249" s="751"/>
    </row>
    <row r="250" spans="1:130" s="656" customFormat="1" ht="12">
      <c r="A250" s="63" t="s">
        <v>120</v>
      </c>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c r="AG250" s="63"/>
      <c r="AH250" s="63"/>
      <c r="AI250" s="63"/>
      <c r="AJ250" s="63"/>
      <c r="AK250" s="63"/>
      <c r="AL250" s="63"/>
      <c r="AM250" s="63"/>
      <c r="AN250" s="63"/>
      <c r="AO250" s="63"/>
      <c r="AP250" s="63"/>
      <c r="AQ250" s="620"/>
      <c r="AR250" s="620"/>
      <c r="AS250" s="620"/>
      <c r="AT250" s="620"/>
      <c r="AU250" s="111">
        <f t="shared" ref="AU250:BV250" si="1792">+AU249/AQ249-1</f>
        <v>0.24989994494241241</v>
      </c>
      <c r="AV250" s="111">
        <f t="shared" si="1792"/>
        <v>0.17927752374412464</v>
      </c>
      <c r="AW250" s="111">
        <f t="shared" si="1792"/>
        <v>0.33395519349747449</v>
      </c>
      <c r="AX250" s="111">
        <f t="shared" si="1792"/>
        <v>0.28115264385445093</v>
      </c>
      <c r="AY250" s="111">
        <f t="shared" si="1792"/>
        <v>0.19571074641047637</v>
      </c>
      <c r="AZ250" s="111">
        <f t="shared" si="1792"/>
        <v>0.23248172182901095</v>
      </c>
      <c r="BA250" s="111">
        <f t="shared" si="1792"/>
        <v>0.15640626733997731</v>
      </c>
      <c r="BB250" s="111">
        <f t="shared" si="1792"/>
        <v>0.16007236504407141</v>
      </c>
      <c r="BC250" s="111">
        <f t="shared" si="1792"/>
        <v>0.25989675516224198</v>
      </c>
      <c r="BD250" s="111">
        <f t="shared" si="1792"/>
        <v>0.2608997225525167</v>
      </c>
      <c r="BE250" s="111">
        <f t="shared" si="1792"/>
        <v>0.34904525400609199</v>
      </c>
      <c r="BF250" s="111">
        <f t="shared" si="1792"/>
        <v>0.24006040560947661</v>
      </c>
      <c r="BG250" s="111">
        <f t="shared" si="1792"/>
        <v>0.18926013696866106</v>
      </c>
      <c r="BH250" s="111">
        <f t="shared" si="1792"/>
        <v>0.12089203683693506</v>
      </c>
      <c r="BI250" s="111">
        <f t="shared" si="1792"/>
        <v>9.9604820528194082E-2</v>
      </c>
      <c r="BJ250" s="111">
        <f t="shared" si="1792"/>
        <v>0.14701790239441737</v>
      </c>
      <c r="BK250" s="111">
        <f t="shared" si="1792"/>
        <v>0.1172530267785088</v>
      </c>
      <c r="BL250" s="111">
        <f t="shared" si="1792"/>
        <v>2.737349723292426E-2</v>
      </c>
      <c r="BM250" s="111">
        <f t="shared" si="1792"/>
        <v>-3.6579023969763647E-2</v>
      </c>
      <c r="BN250" s="111">
        <f t="shared" si="1792"/>
        <v>5.5892443776360823E-2</v>
      </c>
      <c r="BO250" s="111">
        <f t="shared" si="1792"/>
        <v>-4.7776596617716938E-2</v>
      </c>
      <c r="BP250" s="111">
        <f t="shared" si="1792"/>
        <v>-0.58179605269663659</v>
      </c>
      <c r="BQ250" s="111">
        <f t="shared" si="1792"/>
        <v>0.25693362626519467</v>
      </c>
      <c r="BR250" s="111">
        <f t="shared" si="1792"/>
        <v>0.14354370022768226</v>
      </c>
      <c r="BS250" s="111">
        <f t="shared" si="1792"/>
        <v>-4.1407145521268451E-2</v>
      </c>
      <c r="BT250" s="111">
        <f t="shared" si="1792"/>
        <v>2.0738035819680252</v>
      </c>
      <c r="BU250" s="111">
        <f t="shared" si="1792"/>
        <v>0.19509841245726256</v>
      </c>
      <c r="BV250" s="111">
        <f t="shared" si="1792"/>
        <v>8.8399321035893763E-2</v>
      </c>
      <c r="BW250" s="111">
        <f t="shared" ref="BW250:CJ250" si="1793">+BW249/BS249-1</f>
        <v>0.33884423594159219</v>
      </c>
      <c r="BX250" s="111">
        <f t="shared" si="1793"/>
        <v>-0.13573960886364422</v>
      </c>
      <c r="BY250" s="111">
        <f t="shared" si="1793"/>
        <v>-0.2735740410373062</v>
      </c>
      <c r="BZ250" s="111">
        <f t="shared" si="1793"/>
        <v>-0.22722478477357411</v>
      </c>
      <c r="CA250" s="111">
        <f t="shared" si="1793"/>
        <v>-0.14624376759646862</v>
      </c>
      <c r="CB250" s="111">
        <f t="shared" si="1793"/>
        <v>-0.13685807200848077</v>
      </c>
      <c r="CC250" s="111">
        <f t="shared" si="1793"/>
        <v>-6.2057439527493208E-2</v>
      </c>
      <c r="CD250" s="111">
        <f t="shared" si="1793"/>
        <v>-3.3899944997074494E-3</v>
      </c>
      <c r="CE250" s="111">
        <f t="shared" si="1793"/>
        <v>5.8177944404512516E-2</v>
      </c>
      <c r="CF250" s="111">
        <f t="shared" si="1793"/>
        <v>9.3416718433675161E-2</v>
      </c>
      <c r="CG250" s="111">
        <f t="shared" si="1793"/>
        <v>0.12423652779295713</v>
      </c>
      <c r="CH250" s="111">
        <f t="shared" si="1793"/>
        <v>0.12245793611841815</v>
      </c>
      <c r="CI250" s="111">
        <f t="shared" si="1793"/>
        <v>2.0613963558135939E-2</v>
      </c>
      <c r="CJ250" s="111">
        <f t="shared" si="1793"/>
        <v>8.0904155756284846E-2</v>
      </c>
      <c r="CK250" s="111">
        <f t="shared" ref="CK250" si="1794">+CK249/CG249-1</f>
        <v>7.7217986077988687E-3</v>
      </c>
      <c r="CL250" s="111">
        <f t="shared" ref="CL250" si="1795">+CL249/CH249-1</f>
        <v>5.9440512146542446E-3</v>
      </c>
      <c r="CM250" s="111">
        <f t="shared" ref="CM250" si="1796">+CM249/CI249-1</f>
        <v>9.7348711202811522E-3</v>
      </c>
      <c r="CN250" s="111">
        <f t="shared" ref="CN250" si="1797">+CN249/CJ249-1</f>
        <v>0.2750989660280494</v>
      </c>
      <c r="CO250" s="111">
        <f t="shared" ref="CO250" si="1798">+CO249/CK249-1</f>
        <v>8.4113872414079083E-2</v>
      </c>
      <c r="CP250" s="111">
        <f t="shared" ref="CP250" si="1799">+CP249/CL249-1</f>
        <v>8.4429681588265693E-2</v>
      </c>
      <c r="CQ250" s="751"/>
      <c r="CR250" s="751"/>
      <c r="CS250" s="751"/>
      <c r="CT250" s="751">
        <v>5.9440512146542446E-3</v>
      </c>
      <c r="CU250" s="1115"/>
      <c r="CV250" s="63"/>
      <c r="CW250" s="63"/>
      <c r="CX250" s="63"/>
      <c r="CY250" s="63"/>
      <c r="CZ250" s="63"/>
      <c r="DA250" s="63"/>
      <c r="DB250" s="104"/>
      <c r="DC250" s="63"/>
      <c r="DD250" s="63"/>
      <c r="DE250" s="63"/>
      <c r="DF250" s="63"/>
      <c r="DG250" s="111">
        <f t="shared" ref="DG250:DL250" si="1800">+DG249/DF249-1</f>
        <v>0.26279923943369177</v>
      </c>
      <c r="DH250" s="111">
        <f t="shared" si="1800"/>
        <v>0.1821433230970857</v>
      </c>
      <c r="DI250" s="111">
        <f t="shared" si="1800"/>
        <v>0.27426974121957182</v>
      </c>
      <c r="DJ250" s="111">
        <f t="shared" si="1800"/>
        <v>0.13740054528785173</v>
      </c>
      <c r="DK250" s="111">
        <f t="shared" si="1800"/>
        <v>3.9629052597268677E-2</v>
      </c>
      <c r="DL250" s="111">
        <f t="shared" si="1800"/>
        <v>-3.4589881971012648E-2</v>
      </c>
      <c r="DM250" s="1227"/>
      <c r="DN250" s="1227"/>
      <c r="DO250" s="1227"/>
      <c r="DP250" s="1227"/>
      <c r="DQ250" s="1227"/>
      <c r="DR250" s="1227"/>
      <c r="DS250" s="751"/>
      <c r="DT250" s="751"/>
      <c r="DU250" s="751"/>
      <c r="DV250" s="751"/>
      <c r="DY250" s="751"/>
      <c r="DZ250" s="751"/>
    </row>
    <row r="251" spans="1:130" s="656" customFormat="1" ht="12.75">
      <c r="A251" s="111" t="s">
        <v>99</v>
      </c>
      <c r="B251" s="111"/>
      <c r="C251" s="111"/>
      <c r="D251" s="111"/>
      <c r="E251" s="111"/>
      <c r="F251" s="111"/>
      <c r="G251" s="111"/>
      <c r="H251" s="111"/>
      <c r="I251" s="111"/>
      <c r="J251" s="111"/>
      <c r="K251" s="111"/>
      <c r="L251" s="111"/>
      <c r="M251" s="111"/>
      <c r="N251" s="111"/>
      <c r="O251" s="111"/>
      <c r="P251" s="111"/>
      <c r="Q251" s="111"/>
      <c r="R251" s="111"/>
      <c r="S251" s="111"/>
      <c r="T251" s="111"/>
      <c r="U251" s="111"/>
      <c r="V251" s="111"/>
      <c r="W251" s="111"/>
      <c r="X251" s="111"/>
      <c r="Y251" s="111"/>
      <c r="Z251" s="111"/>
      <c r="AA251" s="111"/>
      <c r="AB251" s="111"/>
      <c r="AC251" s="111"/>
      <c r="AD251" s="111"/>
      <c r="AE251" s="111"/>
      <c r="AF251" s="111"/>
      <c r="AG251" s="111"/>
      <c r="AH251" s="111"/>
      <c r="AI251" s="111"/>
      <c r="AJ251" s="111"/>
      <c r="AK251" s="111"/>
      <c r="AL251" s="111"/>
      <c r="AM251" s="111">
        <v>0.39300000000000002</v>
      </c>
      <c r="AN251" s="111">
        <v>0.40100000000000002</v>
      </c>
      <c r="AO251" s="111">
        <v>0.45900000000000002</v>
      </c>
      <c r="AP251" s="111">
        <v>0.44900000000000001</v>
      </c>
      <c r="AQ251" s="752">
        <v>0.45100000000000001</v>
      </c>
      <c r="AR251" s="752">
        <v>0.443</v>
      </c>
      <c r="AS251" s="752">
        <v>0.44900000000000001</v>
      </c>
      <c r="AT251" s="752">
        <v>0.47399999999999998</v>
      </c>
      <c r="AU251" s="752">
        <v>0.46700000000000003</v>
      </c>
      <c r="AV251" s="752">
        <v>0.45900000000000002</v>
      </c>
      <c r="AW251" s="752">
        <v>0.45</v>
      </c>
      <c r="AX251" s="752">
        <v>0.48171539350204162</v>
      </c>
      <c r="AY251" s="752">
        <v>0.53500000000000003</v>
      </c>
      <c r="AZ251" s="752">
        <v>0.53500000000000003</v>
      </c>
      <c r="BA251" s="752">
        <v>0.52500000000000002</v>
      </c>
      <c r="BB251" s="752">
        <v>0.54303999999999997</v>
      </c>
      <c r="BC251" s="752">
        <v>0.54800000000000004</v>
      </c>
      <c r="BD251" s="752">
        <v>0.52700000000000002</v>
      </c>
      <c r="BE251" s="752">
        <v>0.53451881492202569</v>
      </c>
      <c r="BF251" s="752">
        <v>0.55195651344857721</v>
      </c>
      <c r="BG251" s="752">
        <v>0.52653665726711973</v>
      </c>
      <c r="BH251" s="1232">
        <v>0.50449591719690201</v>
      </c>
      <c r="BI251" s="1232">
        <v>0.53271213332536838</v>
      </c>
      <c r="BJ251" s="1232">
        <v>0.52509108161658535</v>
      </c>
      <c r="BK251" s="1232">
        <v>0.54100783857368451</v>
      </c>
      <c r="BL251" s="1232">
        <v>0.52366069430238604</v>
      </c>
      <c r="BM251" s="1232">
        <v>0.51</v>
      </c>
      <c r="BN251" s="1232">
        <v>0.51</v>
      </c>
      <c r="BO251" s="1232">
        <v>0.52325331913191209</v>
      </c>
      <c r="BP251" s="1232">
        <v>0.51400000000000001</v>
      </c>
      <c r="BQ251" s="1232">
        <v>0.52255446915140802</v>
      </c>
      <c r="BR251" s="1232">
        <v>0.48899999999999999</v>
      </c>
      <c r="BS251" s="1232">
        <v>0.46728557552217242</v>
      </c>
      <c r="BT251" s="1232">
        <v>0.5088274975965863</v>
      </c>
      <c r="BU251" s="1232">
        <v>0.47248748302334842</v>
      </c>
      <c r="BV251" s="1232">
        <v>0.41573296796529485</v>
      </c>
      <c r="BW251" s="1232">
        <v>0.48487264793367929</v>
      </c>
      <c r="BX251" s="1232">
        <v>0.52956109298387877</v>
      </c>
      <c r="BY251" s="1232">
        <v>0.50567141087194167</v>
      </c>
      <c r="BZ251" s="1232">
        <v>0.53300000000000003</v>
      </c>
      <c r="CA251" s="1232">
        <v>0.50281267462720569</v>
      </c>
      <c r="CB251" s="1232">
        <v>0.54646082784177163</v>
      </c>
      <c r="CC251" s="1232">
        <v>0.54319515213074943</v>
      </c>
      <c r="CD251" s="1232">
        <v>0.53477918897142973</v>
      </c>
      <c r="CE251" s="1232">
        <v>0.50012192633633157</v>
      </c>
      <c r="CF251" s="1232">
        <v>0.56127693672358636</v>
      </c>
      <c r="CG251" s="1232">
        <v>0.55530190310281324</v>
      </c>
      <c r="CH251" s="1232">
        <v>0.56560166414344082</v>
      </c>
      <c r="CI251" s="1232">
        <v>0.55353821986925889</v>
      </c>
      <c r="CJ251" s="1232">
        <v>0.55900000000000005</v>
      </c>
      <c r="CK251" s="1232">
        <v>0.5618674222148391</v>
      </c>
      <c r="CL251" s="2005">
        <f t="shared" ref="CL251" si="1801">+CH251+CL252</f>
        <v>0.56060166414344081</v>
      </c>
      <c r="CM251" s="2005">
        <f t="shared" ref="CM251" si="1802">+CI251+CM252</f>
        <v>0.55353821986925889</v>
      </c>
      <c r="CN251" s="2005">
        <f t="shared" ref="CN251" si="1803">+CJ251+CN252</f>
        <v>0.55900000000000005</v>
      </c>
      <c r="CO251" s="2005">
        <f t="shared" ref="CO251" si="1804">+CK251+CO252</f>
        <v>0.5618674222148391</v>
      </c>
      <c r="CP251" s="2005">
        <f t="shared" ref="CP251" si="1805">+CL251+CP252</f>
        <v>0.56060166414344081</v>
      </c>
      <c r="CQ251" s="753"/>
      <c r="CR251" s="753"/>
      <c r="CS251" s="753"/>
      <c r="CT251" s="753">
        <v>0.56060166414344081</v>
      </c>
      <c r="CU251" s="1116"/>
      <c r="CV251" s="111"/>
      <c r="CW251" s="111"/>
      <c r="CX251" s="111"/>
      <c r="CY251" s="111"/>
      <c r="CZ251" s="111"/>
      <c r="DA251" s="111"/>
      <c r="DB251" s="754"/>
      <c r="DC251" s="111"/>
      <c r="DD251" s="111"/>
      <c r="DE251" s="111"/>
      <c r="DF251" s="111">
        <f>+AVERAGE(AQ251:AT251)</f>
        <v>0.45424999999999999</v>
      </c>
      <c r="DG251" s="111">
        <f>+AVERAGE(AU251:AX251)</f>
        <v>0.46442884837551046</v>
      </c>
      <c r="DH251" s="111">
        <f>+AVERAGE(AY251:BB251)</f>
        <v>0.53451000000000004</v>
      </c>
      <c r="DI251" s="111">
        <f>+AVERAGE(BC251:BF251)</f>
        <v>0.54036883209265074</v>
      </c>
      <c r="DJ251" s="111">
        <f>+AVERAGE(BG251:BJ251)</f>
        <v>0.52220894735149392</v>
      </c>
      <c r="DK251" s="111">
        <f>+AVERAGE(BK251:BN251)</f>
        <v>0.52116713321901764</v>
      </c>
      <c r="DL251" s="1230">
        <f>+AVERAGE(BO251:BR251)</f>
        <v>0.51220194707083</v>
      </c>
      <c r="DM251" s="1230"/>
      <c r="DN251" s="1230"/>
      <c r="DO251" s="1230"/>
      <c r="DP251" s="1230"/>
      <c r="DQ251" s="1230"/>
      <c r="DR251" s="1230"/>
      <c r="DS251" s="753"/>
      <c r="DT251" s="753"/>
      <c r="DU251" s="753"/>
      <c r="DV251" s="753"/>
      <c r="DY251" s="753"/>
      <c r="DZ251" s="753"/>
    </row>
    <row r="252" spans="1:130" s="1654" customFormat="1" ht="15.75">
      <c r="A252" s="1647" t="s">
        <v>192</v>
      </c>
      <c r="B252" s="1647"/>
      <c r="C252" s="1648"/>
      <c r="D252" s="1648"/>
      <c r="E252" s="1648"/>
      <c r="F252" s="1648"/>
      <c r="G252" s="1649"/>
      <c r="H252" s="1649"/>
      <c r="I252" s="1649"/>
      <c r="J252" s="1649"/>
      <c r="K252" s="1649"/>
      <c r="L252" s="1649"/>
      <c r="M252" s="1649"/>
      <c r="N252" s="1649"/>
      <c r="O252" s="1649"/>
      <c r="P252" s="1649"/>
      <c r="Q252" s="1649"/>
      <c r="R252" s="1649"/>
      <c r="S252" s="1649"/>
      <c r="T252" s="1649"/>
      <c r="U252" s="1649"/>
      <c r="V252" s="1649"/>
      <c r="W252" s="1649"/>
      <c r="X252" s="1649"/>
      <c r="Y252" s="1649"/>
      <c r="Z252" s="1649"/>
      <c r="AA252" s="1649"/>
      <c r="AB252" s="1649"/>
      <c r="AC252" s="1649"/>
      <c r="AD252" s="1649"/>
      <c r="AE252" s="1649"/>
      <c r="AF252" s="1649"/>
      <c r="AG252" s="1649"/>
      <c r="AH252" s="1649"/>
      <c r="AI252" s="1649"/>
      <c r="AJ252" s="1649"/>
      <c r="AK252" s="1649"/>
      <c r="AL252" s="1649"/>
      <c r="AM252" s="1649"/>
      <c r="AN252" s="1649"/>
      <c r="AO252" s="1649"/>
      <c r="AP252" s="1649"/>
      <c r="AQ252" s="1649">
        <f t="shared" ref="AQ252" si="1806">+AQ251-AM251</f>
        <v>5.7999999999999996E-2</v>
      </c>
      <c r="AR252" s="1649">
        <f t="shared" ref="AR252" si="1807">+AR251-AN251</f>
        <v>4.1999999999999982E-2</v>
      </c>
      <c r="AS252" s="1649">
        <f t="shared" ref="AS252" si="1808">+AS251-AO251</f>
        <v>-1.0000000000000009E-2</v>
      </c>
      <c r="AT252" s="1649">
        <f t="shared" ref="AT252" si="1809">+AT251-AP251</f>
        <v>2.4999999999999967E-2</v>
      </c>
      <c r="AU252" s="1649">
        <f t="shared" ref="AU252" si="1810">+AU251-AQ251</f>
        <v>1.6000000000000014E-2</v>
      </c>
      <c r="AV252" s="1649">
        <f t="shared" ref="AV252" si="1811">+AV251-AR251</f>
        <v>1.6000000000000014E-2</v>
      </c>
      <c r="AW252" s="1649">
        <f t="shared" ref="AW252" si="1812">+AW251-AS251</f>
        <v>1.0000000000000009E-3</v>
      </c>
      <c r="AX252" s="1649">
        <f t="shared" ref="AX252" si="1813">+AX251-AT251</f>
        <v>7.7153935020416453E-3</v>
      </c>
      <c r="AY252" s="1649">
        <f t="shared" ref="AY252" si="1814">+AY251-AU251</f>
        <v>6.8000000000000005E-2</v>
      </c>
      <c r="AZ252" s="1649">
        <f t="shared" ref="AZ252" si="1815">+AZ251-AV251</f>
        <v>7.6000000000000012E-2</v>
      </c>
      <c r="BA252" s="1649">
        <f t="shared" ref="BA252" si="1816">+BA251-AW251</f>
        <v>7.5000000000000011E-2</v>
      </c>
      <c r="BB252" s="1649">
        <f t="shared" ref="BB252" si="1817">+BB251-AX251</f>
        <v>6.1324606497958345E-2</v>
      </c>
      <c r="BC252" s="1649">
        <f t="shared" ref="BC252" si="1818">+BC251-AY251</f>
        <v>1.3000000000000012E-2</v>
      </c>
      <c r="BD252" s="1649">
        <f t="shared" ref="BD252" si="1819">+BD251-AZ251</f>
        <v>-8.0000000000000071E-3</v>
      </c>
      <c r="BE252" s="1649">
        <f t="shared" ref="BE252" si="1820">+BE251-BA251</f>
        <v>9.5188149220256646E-3</v>
      </c>
      <c r="BF252" s="1649">
        <f t="shared" ref="BF252" si="1821">+BF251-BB251</f>
        <v>8.9165134485772457E-3</v>
      </c>
      <c r="BG252" s="1649">
        <f t="shared" ref="BG252" si="1822">+BG251-BC251</f>
        <v>-2.1463342732880308E-2</v>
      </c>
      <c r="BH252" s="1649">
        <f t="shared" ref="BH252" si="1823">+BH251-BD251</f>
        <v>-2.2504082803098013E-2</v>
      </c>
      <c r="BI252" s="1649">
        <f t="shared" ref="BI252" si="1824">+BI251-BE251</f>
        <v>-1.8066815966573113E-3</v>
      </c>
      <c r="BJ252" s="1649">
        <f t="shared" ref="BJ252" si="1825">+BJ251-BF251</f>
        <v>-2.6865431831991859E-2</v>
      </c>
      <c r="BK252" s="1649">
        <f t="shared" ref="BK252" si="1826">+BK251-BG251</f>
        <v>1.4471181306564773E-2</v>
      </c>
      <c r="BL252" s="1649">
        <f t="shared" ref="BL252" si="1827">+BL251-BH251</f>
        <v>1.9164777105484032E-2</v>
      </c>
      <c r="BM252" s="1649">
        <f t="shared" ref="BM252" si="1828">+BM251-BI251</f>
        <v>-2.2712133325368367E-2</v>
      </c>
      <c r="BN252" s="1649">
        <f t="shared" ref="BN252" si="1829">+BN251-BJ251</f>
        <v>-1.5091081616585345E-2</v>
      </c>
      <c r="BO252" s="1649">
        <f t="shared" ref="BO252" si="1830">+BO251-BK251</f>
        <v>-1.7754519441772421E-2</v>
      </c>
      <c r="BP252" s="1649">
        <f t="shared" ref="BP252" si="1831">+BP251-BL251</f>
        <v>-9.6606943023860303E-3</v>
      </c>
      <c r="BQ252" s="1649">
        <f t="shared" ref="BQ252" si="1832">+BQ251-BM251</f>
        <v>1.255446915140801E-2</v>
      </c>
      <c r="BR252" s="1649">
        <f t="shared" ref="BR252" si="1833">+BR251-BN251</f>
        <v>-2.1000000000000019E-2</v>
      </c>
      <c r="BS252" s="1649">
        <f t="shared" ref="BS252" si="1834">+BS251-BO251</f>
        <v>-5.5967743609739662E-2</v>
      </c>
      <c r="BT252" s="1649">
        <f t="shared" ref="BT252" si="1835">+BT251-BP251</f>
        <v>-5.1725024034137146E-3</v>
      </c>
      <c r="BU252" s="1649">
        <f t="shared" ref="BU252" si="1836">+BU251-BQ251</f>
        <v>-5.0066986128059598E-2</v>
      </c>
      <c r="BV252" s="1649">
        <f t="shared" ref="BV252" si="1837">+BV251-BR251</f>
        <v>-7.3267032034705137E-2</v>
      </c>
      <c r="BW252" s="1649">
        <f t="shared" ref="BW252" si="1838">+BW251-BS251</f>
        <v>1.7587072411506866E-2</v>
      </c>
      <c r="BX252" s="1649">
        <f t="shared" ref="BX252" si="1839">+BX251-BT251</f>
        <v>2.0733595387292469E-2</v>
      </c>
      <c r="BY252" s="1649">
        <f t="shared" ref="BY252" si="1840">+BY251-BU251</f>
        <v>3.3183927848593253E-2</v>
      </c>
      <c r="BZ252" s="1649">
        <f t="shared" ref="BZ252" si="1841">+BZ251-BV251</f>
        <v>0.11726703203470518</v>
      </c>
      <c r="CA252" s="1649">
        <f t="shared" ref="CA252" si="1842">+CA251-BW251</f>
        <v>1.7940026693526401E-2</v>
      </c>
      <c r="CB252" s="1649">
        <f t="shared" ref="CB252" si="1843">+CB251-BX251</f>
        <v>1.6899734857892867E-2</v>
      </c>
      <c r="CC252" s="1649">
        <f>+CC251-BY251</f>
        <v>3.7523741258807752E-2</v>
      </c>
      <c r="CD252" s="1649">
        <f>+CD251-BZ251</f>
        <v>1.7791889714297016E-3</v>
      </c>
      <c r="CE252" s="1649">
        <f>+CE251-CA251</f>
        <v>-2.6907482908741231E-3</v>
      </c>
      <c r="CF252" s="1649">
        <f>+CF251-CB251</f>
        <v>1.4816108881814727E-2</v>
      </c>
      <c r="CG252" s="1649">
        <f>+CG251-CC251</f>
        <v>1.2106750972063818E-2</v>
      </c>
      <c r="CH252" s="1649">
        <f t="shared" ref="CH252:CK252" si="1844">+CH251-CD251</f>
        <v>3.0822475172011088E-2</v>
      </c>
      <c r="CI252" s="1649">
        <f t="shared" si="1844"/>
        <v>5.3416293532927317E-2</v>
      </c>
      <c r="CJ252" s="1649">
        <f t="shared" si="1844"/>
        <v>-2.2769367235863092E-3</v>
      </c>
      <c r="CK252" s="1649">
        <f t="shared" si="1844"/>
        <v>6.5655191120258527E-3</v>
      </c>
      <c r="CL252" s="2012">
        <v>-5.0000000000000001E-3</v>
      </c>
      <c r="CM252" s="2012">
        <v>0</v>
      </c>
      <c r="CN252" s="2012">
        <v>0</v>
      </c>
      <c r="CO252" s="2012">
        <v>0</v>
      </c>
      <c r="CP252" s="2012">
        <v>0</v>
      </c>
      <c r="CQ252" s="1650"/>
      <c r="CR252" s="1650"/>
      <c r="CS252" s="1650"/>
      <c r="CT252" s="1650">
        <v>-5.0000000000000001E-3</v>
      </c>
      <c r="CU252" s="1646"/>
      <c r="CV252" s="1648"/>
      <c r="CW252" s="1648"/>
      <c r="CX252" s="1648"/>
      <c r="CY252" s="1648"/>
      <c r="CZ252" s="1648"/>
      <c r="DA252" s="1648"/>
      <c r="DB252" s="1648"/>
      <c r="DC252" s="1648"/>
      <c r="DD252" s="1648"/>
      <c r="DE252" s="1648"/>
      <c r="DF252" s="1648"/>
      <c r="DG252" s="1651"/>
      <c r="DH252" s="1651"/>
      <c r="DI252" s="1651"/>
      <c r="DJ252" s="1651"/>
      <c r="DK252" s="1651"/>
      <c r="DL252" s="1652"/>
      <c r="DM252" s="1652"/>
      <c r="DN252" s="1652"/>
      <c r="DO252" s="1652"/>
      <c r="DP252" s="1652"/>
      <c r="DQ252" s="1652"/>
      <c r="DR252" s="1652"/>
      <c r="DS252" s="1653"/>
      <c r="DT252" s="1653"/>
      <c r="DU252" s="1653"/>
      <c r="DV252" s="1653"/>
      <c r="DY252" s="1653"/>
      <c r="DZ252" s="1653"/>
    </row>
    <row r="253" spans="1:130" ht="15.75">
      <c r="A253" s="45"/>
      <c r="B253" s="62"/>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c r="AG253" s="63"/>
      <c r="AH253" s="63"/>
      <c r="AI253" s="63"/>
      <c r="AJ253" s="63"/>
      <c r="AK253" s="63"/>
      <c r="AL253" s="63"/>
      <c r="AM253" s="63"/>
      <c r="AN253" s="63"/>
      <c r="AO253" s="63"/>
      <c r="AP253" s="63"/>
      <c r="AQ253" s="63"/>
      <c r="AR253" s="63"/>
      <c r="AS253" s="63"/>
      <c r="AT253" s="63"/>
      <c r="AU253" s="63"/>
      <c r="AV253" s="63"/>
      <c r="AW253" s="63"/>
      <c r="AX253" s="63"/>
      <c r="AY253" s="63"/>
      <c r="AZ253" s="63"/>
      <c r="BA253" s="64"/>
      <c r="BB253" s="63"/>
      <c r="BC253" s="64"/>
      <c r="BD253" s="63"/>
      <c r="BE253" s="63"/>
      <c r="BF253" s="63"/>
      <c r="BG253" s="63"/>
      <c r="BH253" s="1227"/>
      <c r="BI253" s="1227"/>
      <c r="BJ253" s="1227"/>
      <c r="BK253" s="1227"/>
      <c r="BL253" s="1227"/>
      <c r="BM253" s="1227"/>
      <c r="BN253" s="1227"/>
      <c r="BO253" s="1227"/>
      <c r="BP253" s="1227"/>
      <c r="BQ253" s="1227"/>
      <c r="BR253" s="1227"/>
      <c r="BS253" s="1227"/>
      <c r="BT253" s="1227"/>
      <c r="BU253" s="1227"/>
      <c r="BV253" s="1227"/>
      <c r="BW253" s="1227"/>
      <c r="BX253" s="1227"/>
      <c r="BY253" s="1227"/>
      <c r="BZ253" s="1227"/>
      <c r="CA253" s="1227"/>
      <c r="CB253" s="1227"/>
      <c r="CC253" s="1227"/>
      <c r="CD253" s="1227"/>
      <c r="CE253" s="1227"/>
      <c r="CF253" s="1227"/>
      <c r="CG253" s="1227"/>
      <c r="CH253" s="1227"/>
      <c r="CI253" s="2147">
        <f>+CI251*CI249</f>
        <v>70.794228909999973</v>
      </c>
      <c r="CJ253" s="2147">
        <f>+CJ251*CJ249</f>
        <v>74.270387149399994</v>
      </c>
      <c r="CK253" s="2147">
        <f>+CK251*CK249</f>
        <v>75.971262869999975</v>
      </c>
      <c r="CL253" s="367"/>
      <c r="CM253" s="367"/>
      <c r="CN253" s="367"/>
      <c r="CO253" s="367"/>
      <c r="CP253" s="367"/>
      <c r="CQ253" s="367"/>
      <c r="CR253" s="367"/>
      <c r="CS253" s="367"/>
      <c r="CT253" s="367"/>
      <c r="CU253" s="1113"/>
      <c r="CV253" s="63"/>
      <c r="CW253" s="63"/>
      <c r="CX253" s="63"/>
      <c r="CY253" s="63"/>
      <c r="CZ253" s="63"/>
      <c r="DA253" s="63"/>
      <c r="DB253" s="103"/>
      <c r="DC253" s="103"/>
      <c r="DD253" s="103"/>
      <c r="DE253" s="103"/>
      <c r="DF253" s="103"/>
      <c r="DG253" s="103"/>
      <c r="DH253" s="103"/>
      <c r="DI253" s="103"/>
      <c r="DJ253" s="103"/>
      <c r="DK253" s="103"/>
      <c r="DL253" s="1242"/>
      <c r="DM253" s="1242"/>
      <c r="DN253" s="1242"/>
      <c r="DO253" s="1242"/>
      <c r="DP253" s="1242"/>
      <c r="DQ253" s="1242"/>
      <c r="DR253" s="1242"/>
      <c r="DS253" s="403"/>
      <c r="DT253" s="403"/>
      <c r="DU253" s="403"/>
      <c r="DV253" s="403"/>
      <c r="DY253" s="403"/>
      <c r="DZ253" s="403"/>
    </row>
    <row r="254" spans="1:130" ht="15.75">
      <c r="A254" s="45"/>
      <c r="B254" s="62"/>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c r="AG254" s="63"/>
      <c r="AH254" s="63"/>
      <c r="AI254" s="63"/>
      <c r="AJ254" s="63"/>
      <c r="AK254" s="63"/>
      <c r="AL254" s="63"/>
      <c r="AM254" s="63"/>
      <c r="AN254" s="63"/>
      <c r="AO254" s="63"/>
      <c r="AP254" s="63"/>
      <c r="AQ254" s="63"/>
      <c r="AR254" s="63"/>
      <c r="AS254" s="63"/>
      <c r="AT254" s="63"/>
      <c r="AU254" s="63"/>
      <c r="AV254" s="63"/>
      <c r="AW254" s="63"/>
      <c r="AX254" s="63"/>
      <c r="AY254" s="63"/>
      <c r="AZ254" s="63"/>
      <c r="BA254" s="64"/>
      <c r="BB254" s="63"/>
      <c r="BC254" s="64"/>
      <c r="BD254" s="63"/>
      <c r="BE254" s="63"/>
      <c r="BF254" s="63"/>
      <c r="BG254" s="63"/>
      <c r="BH254" s="1227"/>
      <c r="BI254" s="1227"/>
      <c r="BJ254" s="1227"/>
      <c r="BK254" s="1227"/>
      <c r="BL254" s="1227"/>
      <c r="BM254" s="1227"/>
      <c r="BN254" s="1227"/>
      <c r="BO254" s="1227"/>
      <c r="BP254" s="1227"/>
      <c r="BQ254" s="1227"/>
      <c r="BR254" s="1227"/>
      <c r="BS254" s="1227"/>
      <c r="BT254" s="1227"/>
      <c r="BU254" s="1227"/>
      <c r="BV254" s="1227"/>
      <c r="BW254" s="1227"/>
      <c r="BX254" s="1227"/>
      <c r="BY254" s="1227"/>
      <c r="BZ254" s="1227"/>
      <c r="CA254" s="1227"/>
      <c r="CB254" s="1227"/>
      <c r="CC254" s="1227"/>
      <c r="CD254" s="1227"/>
      <c r="CE254" s="1227"/>
      <c r="CF254" s="1227"/>
      <c r="CG254" s="1227"/>
      <c r="CH254" s="1227"/>
      <c r="CI254" s="2147"/>
      <c r="CJ254" s="2147"/>
      <c r="CK254" s="2147"/>
      <c r="CL254" s="367"/>
      <c r="CM254" s="367"/>
      <c r="CN254" s="367"/>
      <c r="CO254" s="367"/>
      <c r="CP254" s="367"/>
      <c r="CQ254" s="367"/>
      <c r="CR254" s="367"/>
      <c r="CS254" s="367"/>
      <c r="CT254" s="367"/>
      <c r="CU254" s="1113"/>
      <c r="CV254" s="63"/>
      <c r="CW254" s="63"/>
      <c r="CX254" s="63"/>
      <c r="CY254" s="63"/>
      <c r="CZ254" s="63"/>
      <c r="DA254" s="63"/>
      <c r="DB254" s="103"/>
      <c r="DC254" s="103"/>
      <c r="DD254" s="103"/>
      <c r="DE254" s="103"/>
      <c r="DF254" s="103"/>
      <c r="DG254" s="103"/>
      <c r="DH254" s="103"/>
      <c r="DI254" s="103"/>
      <c r="DJ254" s="103"/>
      <c r="DK254" s="103"/>
      <c r="DL254" s="1242"/>
      <c r="DM254" s="1242"/>
      <c r="DN254" s="1242"/>
      <c r="DO254" s="1242"/>
      <c r="DP254" s="1242"/>
      <c r="DQ254" s="1242"/>
      <c r="DR254" s="1242"/>
      <c r="DS254" s="403"/>
      <c r="DT254" s="403"/>
      <c r="DU254" s="403"/>
      <c r="DV254" s="403"/>
      <c r="DY254" s="403"/>
      <c r="DZ254" s="403"/>
    </row>
    <row r="255" spans="1:130" ht="15.75">
      <c r="A255" s="45"/>
      <c r="B255" s="62"/>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c r="AG255" s="63"/>
      <c r="AH255" s="63"/>
      <c r="AI255" s="63"/>
      <c r="AJ255" s="63"/>
      <c r="AK255" s="63"/>
      <c r="AL255" s="63"/>
      <c r="AM255" s="63"/>
      <c r="AN255" s="63"/>
      <c r="AO255" s="63"/>
      <c r="AP255" s="63"/>
      <c r="AQ255" s="63"/>
      <c r="AR255" s="63"/>
      <c r="AS255" s="63"/>
      <c r="AT255" s="63"/>
      <c r="AU255" s="63"/>
      <c r="AV255" s="63"/>
      <c r="AW255" s="63"/>
      <c r="AX255" s="63"/>
      <c r="AY255" s="63"/>
      <c r="AZ255" s="63"/>
      <c r="BA255" s="64"/>
      <c r="BB255" s="63"/>
      <c r="BC255" s="64"/>
      <c r="BD255" s="63"/>
      <c r="BE255" s="63"/>
      <c r="BF255" s="63"/>
      <c r="BG255" s="63"/>
      <c r="BH255" s="1227"/>
      <c r="BI255" s="1227"/>
      <c r="BJ255" s="1227"/>
      <c r="BK255" s="1227"/>
      <c r="BL255" s="1227"/>
      <c r="BM255" s="1227"/>
      <c r="BN255" s="1227"/>
      <c r="BO255" s="1227"/>
      <c r="BP255" s="1227"/>
      <c r="BQ255" s="1227"/>
      <c r="BR255" s="1227"/>
      <c r="BS255" s="1227"/>
      <c r="BT255" s="1227"/>
      <c r="BU255" s="1227"/>
      <c r="BV255" s="1227"/>
      <c r="BW255" s="1227"/>
      <c r="BX255" s="1227"/>
      <c r="BY255" s="1227"/>
      <c r="BZ255" s="1227"/>
      <c r="CA255" s="1227"/>
      <c r="CB255" s="1227"/>
      <c r="CC255" s="1227"/>
      <c r="CD255" s="1227"/>
      <c r="CE255" s="1227"/>
      <c r="CF255" s="1227"/>
      <c r="CG255" s="1227"/>
      <c r="CH255" s="1227"/>
      <c r="CI255" s="2147"/>
      <c r="CJ255" s="2147"/>
      <c r="CK255" s="2147"/>
      <c r="CL255" s="367"/>
      <c r="CM255" s="367"/>
      <c r="CN255" s="367"/>
      <c r="CO255" s="367"/>
      <c r="CP255" s="367"/>
      <c r="CQ255" s="367"/>
      <c r="CR255" s="367"/>
      <c r="CS255" s="367"/>
      <c r="CT255" s="367"/>
      <c r="CU255" s="1113"/>
      <c r="CV255" s="63"/>
      <c r="CW255" s="63"/>
      <c r="CX255" s="63"/>
      <c r="CY255" s="63"/>
      <c r="CZ255" s="63"/>
      <c r="DA255" s="63"/>
      <c r="DB255" s="103"/>
      <c r="DC255" s="103"/>
      <c r="DD255" s="103"/>
      <c r="DE255" s="103"/>
      <c r="DF255" s="103"/>
      <c r="DG255" s="103"/>
      <c r="DH255" s="103"/>
      <c r="DI255" s="103"/>
      <c r="DJ255" s="103"/>
      <c r="DK255" s="103"/>
      <c r="DL255" s="1242"/>
      <c r="DM255" s="1242"/>
      <c r="DN255" s="1242"/>
      <c r="DO255" s="1242"/>
      <c r="DP255" s="1242"/>
      <c r="DQ255" s="1242"/>
      <c r="DR255" s="1242"/>
      <c r="DS255" s="403"/>
      <c r="DT255" s="403"/>
      <c r="DU255" s="403"/>
      <c r="DV255" s="403"/>
      <c r="DY255" s="403"/>
      <c r="DZ255" s="403"/>
    </row>
    <row r="256" spans="1:130" ht="15.75">
      <c r="A256" s="45" t="s">
        <v>268</v>
      </c>
      <c r="B256" s="62"/>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c r="AG256" s="63"/>
      <c r="AH256" s="63"/>
      <c r="AI256" s="63"/>
      <c r="AJ256" s="63"/>
      <c r="AK256" s="63"/>
      <c r="AL256" s="63"/>
      <c r="AM256" s="63"/>
      <c r="AN256" s="63"/>
      <c r="AO256" s="63"/>
      <c r="AP256" s="63"/>
      <c r="AQ256" s="63"/>
      <c r="AR256" s="63"/>
      <c r="AS256" s="63"/>
      <c r="AT256" s="63"/>
      <c r="AU256" s="63"/>
      <c r="AV256" s="63"/>
      <c r="AW256" s="63"/>
      <c r="AX256" s="63"/>
      <c r="AY256" s="63"/>
      <c r="AZ256" s="63"/>
      <c r="BA256" s="64"/>
      <c r="BB256" s="63"/>
      <c r="BC256" s="64"/>
      <c r="BD256" s="63"/>
      <c r="BE256" s="63"/>
      <c r="BF256" s="63"/>
      <c r="BG256" s="63"/>
      <c r="BH256" s="1227"/>
      <c r="BI256" s="1227"/>
      <c r="BJ256" s="1227"/>
      <c r="BK256" s="1227"/>
      <c r="BL256" s="1227"/>
      <c r="BM256" s="1227"/>
      <c r="BN256" s="1227"/>
      <c r="BO256" s="1227"/>
      <c r="BP256" s="1227"/>
      <c r="BQ256" s="1227"/>
      <c r="BR256" s="1227"/>
      <c r="BS256" s="1227"/>
      <c r="BT256" s="1227"/>
      <c r="BU256" s="1227"/>
      <c r="BV256" s="1227"/>
      <c r="BW256" s="1227"/>
      <c r="BX256" s="1227"/>
      <c r="BY256" s="1227"/>
      <c r="BZ256" s="1227"/>
      <c r="CA256" s="1227"/>
      <c r="CB256" s="1227"/>
      <c r="CC256" s="1227"/>
      <c r="CD256" s="1227"/>
      <c r="CE256" s="1227"/>
      <c r="CF256" s="1227"/>
      <c r="CG256" s="1227"/>
      <c r="CH256" s="1227"/>
      <c r="CI256" s="2148">
        <f>+CI30</f>
        <v>2756840</v>
      </c>
      <c r="CJ256" s="2148">
        <f>+CJ30</f>
        <v>3649669</v>
      </c>
      <c r="CK256" s="2148"/>
      <c r="CL256" s="367"/>
      <c r="CM256" s="367"/>
      <c r="CN256" s="367"/>
      <c r="CO256" s="367"/>
      <c r="CP256" s="367"/>
      <c r="CQ256" s="367"/>
      <c r="CR256" s="367"/>
      <c r="CS256" s="367"/>
      <c r="CT256" s="367"/>
      <c r="CU256" s="1113"/>
      <c r="CV256" s="63"/>
      <c r="CW256" s="63"/>
      <c r="CX256" s="63"/>
      <c r="CY256" s="63"/>
      <c r="CZ256" s="63"/>
      <c r="DA256" s="63"/>
      <c r="DB256" s="103"/>
      <c r="DC256" s="103"/>
      <c r="DD256" s="103"/>
      <c r="DE256" s="103"/>
      <c r="DF256" s="103"/>
      <c r="DG256" s="103"/>
      <c r="DH256" s="103"/>
      <c r="DI256" s="103"/>
      <c r="DJ256" s="103"/>
      <c r="DK256" s="103"/>
      <c r="DL256" s="1242"/>
      <c r="DM256" s="1242"/>
      <c r="DN256" s="1242"/>
      <c r="DO256" s="1242"/>
      <c r="DP256" s="1242"/>
      <c r="DQ256" s="1242"/>
      <c r="DR256" s="1242"/>
      <c r="DS256" s="403"/>
      <c r="DT256" s="403"/>
      <c r="DU256" s="403"/>
      <c r="DV256" s="403"/>
      <c r="DY256" s="403"/>
      <c r="DZ256" s="403"/>
    </row>
    <row r="257" spans="1:130">
      <c r="A257" s="45" t="s">
        <v>269</v>
      </c>
      <c r="B257" s="62"/>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c r="AG257" s="63"/>
      <c r="AH257" s="63"/>
      <c r="AI257" s="63"/>
      <c r="AJ257" s="63"/>
      <c r="AK257" s="63"/>
      <c r="AL257" s="63"/>
      <c r="AM257" s="63"/>
      <c r="AN257" s="63"/>
      <c r="AO257" s="63"/>
      <c r="AP257" s="63"/>
      <c r="AQ257" s="63"/>
      <c r="AR257" s="63"/>
      <c r="AS257" s="63"/>
      <c r="AT257" s="63"/>
      <c r="AU257" s="63"/>
      <c r="AV257" s="63"/>
      <c r="AW257" s="63"/>
      <c r="AX257" s="63"/>
      <c r="AY257" s="63"/>
      <c r="AZ257" s="63"/>
      <c r="BA257" s="64"/>
      <c r="BB257" s="63"/>
      <c r="BC257" s="64"/>
      <c r="BD257" s="63"/>
      <c r="BE257" s="63"/>
      <c r="BF257" s="63"/>
      <c r="BG257" s="63"/>
      <c r="BH257" s="1227"/>
      <c r="BI257" s="1227"/>
      <c r="BJ257" s="1227"/>
      <c r="BK257" s="1227"/>
      <c r="BL257" s="1227"/>
      <c r="BM257" s="1227"/>
      <c r="BN257" s="1227"/>
      <c r="BO257" s="1227"/>
      <c r="BP257" s="1227"/>
      <c r="BQ257" s="1227"/>
      <c r="BR257" s="1227"/>
      <c r="BS257" s="1227"/>
      <c r="BT257" s="1227"/>
      <c r="BU257" s="1227"/>
      <c r="BV257" s="1227"/>
      <c r="BW257" s="1227"/>
      <c r="BX257" s="1227"/>
      <c r="BY257" s="1227"/>
      <c r="BZ257" s="1227"/>
      <c r="CA257" s="1227"/>
      <c r="CB257" s="1227"/>
      <c r="CC257" s="1227">
        <f t="shared" ref="CC257:CG257" si="1845">+CC53</f>
        <v>1413054</v>
      </c>
      <c r="CD257" s="1227">
        <f t="shared" si="1845"/>
        <v>2128803</v>
      </c>
      <c r="CE257" s="1227">
        <f t="shared" si="1845"/>
        <v>1340221</v>
      </c>
      <c r="CF257" s="1227">
        <f t="shared" si="1845"/>
        <v>1731548</v>
      </c>
      <c r="CG257" s="1227">
        <f t="shared" si="1845"/>
        <v>1615918</v>
      </c>
      <c r="CH257" s="1227">
        <f>+CH53</f>
        <v>2328068</v>
      </c>
      <c r="CI257" s="1227">
        <f>+CI53</f>
        <v>1517925</v>
      </c>
      <c r="CJ257" s="1227">
        <f>+CJ53</f>
        <v>2084289</v>
      </c>
      <c r="CK257" s="1227">
        <f>+CK53</f>
        <v>1695790</v>
      </c>
      <c r="CL257" s="1227">
        <f t="shared" ref="CL257:CP257" si="1846">+CL53</f>
        <v>2418150.4062594161</v>
      </c>
      <c r="CM257" s="1227">
        <f t="shared" si="1846"/>
        <v>1619262.5114742049</v>
      </c>
      <c r="CN257" s="1227">
        <f t="shared" si="1846"/>
        <v>2203892.828117291</v>
      </c>
      <c r="CO257" s="1227">
        <f t="shared" si="1846"/>
        <v>1838429.796894544</v>
      </c>
      <c r="CP257" s="1227">
        <f t="shared" si="1846"/>
        <v>2622314.0750924344</v>
      </c>
      <c r="CQ257" s="367"/>
      <c r="CR257" s="367"/>
      <c r="CS257" s="367"/>
      <c r="CT257" s="367">
        <v>2418150.4062594161</v>
      </c>
      <c r="CU257" s="1113"/>
      <c r="CV257" s="63"/>
      <c r="CW257" s="63"/>
      <c r="CX257" s="63"/>
      <c r="CY257" s="63"/>
      <c r="CZ257" s="63"/>
      <c r="DA257" s="63"/>
      <c r="DB257" s="103"/>
      <c r="DC257" s="103"/>
      <c r="DD257" s="103"/>
      <c r="DE257" s="103"/>
      <c r="DF257" s="103"/>
      <c r="DG257" s="103"/>
      <c r="DH257" s="103"/>
      <c r="DI257" s="103"/>
      <c r="DJ257" s="103"/>
      <c r="DK257" s="103"/>
      <c r="DL257" s="1242"/>
      <c r="DM257" s="1242"/>
      <c r="DN257" s="1242"/>
      <c r="DO257" s="1242"/>
      <c r="DP257" s="1242"/>
      <c r="DQ257" s="1242"/>
      <c r="DR257" s="1242"/>
      <c r="DS257" s="403"/>
      <c r="DT257" s="403"/>
      <c r="DU257" s="403"/>
      <c r="DV257" s="403"/>
      <c r="DY257" s="403"/>
      <c r="DZ257" s="403"/>
    </row>
    <row r="258" spans="1:130" s="359" customFormat="1">
      <c r="A258" s="87" t="s">
        <v>270</v>
      </c>
      <c r="B258" s="1267">
        <f t="shared" ref="B258:BM258" si="1847">(+B251*B249+B241*B239+B229*B227)*1000</f>
        <v>0</v>
      </c>
      <c r="C258" s="1267">
        <f t="shared" si="1847"/>
        <v>0</v>
      </c>
      <c r="D258" s="1267">
        <f t="shared" si="1847"/>
        <v>0</v>
      </c>
      <c r="E258" s="1267">
        <f t="shared" si="1847"/>
        <v>0</v>
      </c>
      <c r="F258" s="1267">
        <f t="shared" si="1847"/>
        <v>0</v>
      </c>
      <c r="G258" s="1267">
        <f t="shared" si="1847"/>
        <v>0</v>
      </c>
      <c r="H258" s="1267">
        <f t="shared" si="1847"/>
        <v>0</v>
      </c>
      <c r="I258" s="1267">
        <f t="shared" si="1847"/>
        <v>0</v>
      </c>
      <c r="J258" s="1267">
        <f t="shared" si="1847"/>
        <v>0</v>
      </c>
      <c r="K258" s="1267">
        <f t="shared" si="1847"/>
        <v>0</v>
      </c>
      <c r="L258" s="1267">
        <f t="shared" si="1847"/>
        <v>0</v>
      </c>
      <c r="M258" s="1267">
        <f t="shared" si="1847"/>
        <v>0</v>
      </c>
      <c r="N258" s="1267">
        <f t="shared" si="1847"/>
        <v>0</v>
      </c>
      <c r="O258" s="1267">
        <f t="shared" si="1847"/>
        <v>0</v>
      </c>
      <c r="P258" s="1267">
        <f t="shared" si="1847"/>
        <v>0</v>
      </c>
      <c r="Q258" s="1267">
        <f t="shared" si="1847"/>
        <v>0</v>
      </c>
      <c r="R258" s="1267">
        <f t="shared" si="1847"/>
        <v>0</v>
      </c>
      <c r="S258" s="1267">
        <f t="shared" si="1847"/>
        <v>0</v>
      </c>
      <c r="T258" s="1267">
        <f t="shared" si="1847"/>
        <v>0</v>
      </c>
      <c r="U258" s="1267">
        <f t="shared" si="1847"/>
        <v>0</v>
      </c>
      <c r="V258" s="1267">
        <f t="shared" si="1847"/>
        <v>0</v>
      </c>
      <c r="W258" s="1267">
        <f t="shared" si="1847"/>
        <v>0</v>
      </c>
      <c r="X258" s="1267">
        <f t="shared" si="1847"/>
        <v>0</v>
      </c>
      <c r="Y258" s="1267">
        <f t="shared" si="1847"/>
        <v>0</v>
      </c>
      <c r="Z258" s="1267">
        <f t="shared" si="1847"/>
        <v>0</v>
      </c>
      <c r="AA258" s="1267">
        <f t="shared" si="1847"/>
        <v>0</v>
      </c>
      <c r="AB258" s="1267">
        <f t="shared" si="1847"/>
        <v>0</v>
      </c>
      <c r="AC258" s="1267">
        <f t="shared" si="1847"/>
        <v>0</v>
      </c>
      <c r="AD258" s="1267">
        <f t="shared" si="1847"/>
        <v>0</v>
      </c>
      <c r="AE258" s="1267">
        <f t="shared" si="1847"/>
        <v>0</v>
      </c>
      <c r="AF258" s="1267">
        <f t="shared" si="1847"/>
        <v>0</v>
      </c>
      <c r="AG258" s="1267">
        <f t="shared" si="1847"/>
        <v>0</v>
      </c>
      <c r="AH258" s="1267">
        <f t="shared" si="1847"/>
        <v>0</v>
      </c>
      <c r="AI258" s="1267">
        <f t="shared" si="1847"/>
        <v>0</v>
      </c>
      <c r="AJ258" s="1267">
        <f t="shared" si="1847"/>
        <v>0</v>
      </c>
      <c r="AK258" s="1267">
        <f t="shared" si="1847"/>
        <v>0</v>
      </c>
      <c r="AL258" s="1267">
        <f t="shared" si="1847"/>
        <v>0</v>
      </c>
      <c r="AM258" s="1267">
        <f t="shared" si="1847"/>
        <v>16948700</v>
      </c>
      <c r="AN258" s="1267">
        <f t="shared" si="1847"/>
        <v>19058500</v>
      </c>
      <c r="AO258" s="1267">
        <f t="shared" si="1847"/>
        <v>22273200</v>
      </c>
      <c r="AP258" s="1267">
        <f t="shared" si="1847"/>
        <v>29811400</v>
      </c>
      <c r="AQ258" s="1267">
        <f t="shared" si="1847"/>
        <v>422430.42429781903</v>
      </c>
      <c r="AR258" s="1267">
        <f t="shared" si="1847"/>
        <v>601978.41621380101</v>
      </c>
      <c r="AS258" s="1267">
        <f t="shared" si="1847"/>
        <v>545926.75252449384</v>
      </c>
      <c r="AT258" s="1267">
        <f t="shared" si="1847"/>
        <v>929514.83079665119</v>
      </c>
      <c r="AU258" s="1267">
        <f t="shared" si="1847"/>
        <v>550334.30952663987</v>
      </c>
      <c r="AV258" s="1267">
        <f t="shared" si="1847"/>
        <v>749221.49589477119</v>
      </c>
      <c r="AW258" s="1267">
        <f t="shared" si="1847"/>
        <v>662333.09756515117</v>
      </c>
      <c r="AX258" s="1267">
        <f t="shared" si="1847"/>
        <v>1022754.4397099852</v>
      </c>
      <c r="AY258" s="1267">
        <f t="shared" si="1847"/>
        <v>598116.44099999999</v>
      </c>
      <c r="AZ258" s="1267">
        <f t="shared" si="1847"/>
        <v>840330.28699999989</v>
      </c>
      <c r="BA258" s="1267">
        <f t="shared" si="1847"/>
        <v>676663.19154348015</v>
      </c>
      <c r="BB258" s="1267">
        <f t="shared" si="1847"/>
        <v>1072041.6475275743</v>
      </c>
      <c r="BC258" s="1267">
        <f t="shared" si="1847"/>
        <v>671827.89</v>
      </c>
      <c r="BD258" s="1267">
        <f t="shared" si="1847"/>
        <v>923373.78399999987</v>
      </c>
      <c r="BE258" s="1267">
        <f t="shared" si="1847"/>
        <v>815656.4462020935</v>
      </c>
      <c r="BF258" s="1267">
        <f t="shared" si="1847"/>
        <v>1266232.9563599993</v>
      </c>
      <c r="BG258" s="1267">
        <f t="shared" si="1847"/>
        <v>786180.20097000001</v>
      </c>
      <c r="BH258" s="1267">
        <f t="shared" si="1847"/>
        <v>1022941.8972446743</v>
      </c>
      <c r="BI258" s="1267">
        <f t="shared" si="1847"/>
        <v>929141.092750001</v>
      </c>
      <c r="BJ258" s="1267">
        <f t="shared" si="1847"/>
        <v>1489199.7860311891</v>
      </c>
      <c r="BK258" s="1267">
        <f t="shared" si="1847"/>
        <v>911907.09597999987</v>
      </c>
      <c r="BL258" s="1267">
        <f t="shared" si="1847"/>
        <v>1138922.8110042003</v>
      </c>
      <c r="BM258" s="1267">
        <f t="shared" si="1847"/>
        <v>1049852.7046684993</v>
      </c>
      <c r="BN258" s="1267">
        <f t="shared" ref="BN258:CG258" si="1848">(+BN251*BN249+BN241*BN239+BN229*BN227)*1000</f>
        <v>1750563.1055607758</v>
      </c>
      <c r="BO258" s="1267">
        <f t="shared" si="1848"/>
        <v>858940.18654999987</v>
      </c>
      <c r="BP258" s="1267">
        <f t="shared" si="1848"/>
        <v>241851.97143582589</v>
      </c>
      <c r="BQ258" s="1267">
        <f t="shared" si="1848"/>
        <v>787054.42896661046</v>
      </c>
      <c r="BR258" s="1267">
        <f t="shared" si="1848"/>
        <v>1570230.8302164697</v>
      </c>
      <c r="BS258" s="1267">
        <f t="shared" si="1848"/>
        <v>710541.99022091727</v>
      </c>
      <c r="BT258" s="1267">
        <f t="shared" si="1848"/>
        <v>1241342.8603969936</v>
      </c>
      <c r="BU258" s="1267">
        <f t="shared" si="1848"/>
        <v>1265189.4166682595</v>
      </c>
      <c r="BV258" s="1267">
        <f t="shared" si="1848"/>
        <v>1960802.932273044</v>
      </c>
      <c r="BW258" s="1267">
        <f t="shared" si="1848"/>
        <v>1227895.1534200001</v>
      </c>
      <c r="BX258" s="1267">
        <f t="shared" si="1848"/>
        <v>1781733.2996100006</v>
      </c>
      <c r="BY258" s="1267">
        <f t="shared" si="1848"/>
        <v>1403452.1586099998</v>
      </c>
      <c r="BZ258" s="1267">
        <f t="shared" si="1848"/>
        <v>1980895.6160000002</v>
      </c>
      <c r="CA258" s="1267">
        <f t="shared" si="1848"/>
        <v>1233527.94921</v>
      </c>
      <c r="CB258" s="1267">
        <f t="shared" si="1848"/>
        <v>1609393.3216899999</v>
      </c>
      <c r="CC258" s="1267">
        <f t="shared" si="1848"/>
        <v>1413054.0287299999</v>
      </c>
      <c r="CD258" s="1267">
        <f t="shared" si="1848"/>
        <v>2128479.1097900001</v>
      </c>
      <c r="CE258" s="1267">
        <f t="shared" si="1848"/>
        <v>1340193.0745600003</v>
      </c>
      <c r="CF258" s="1267">
        <f t="shared" si="1848"/>
        <v>1731548.31519</v>
      </c>
      <c r="CG258" s="1267">
        <f t="shared" si="1848"/>
        <v>1615917.5147743658</v>
      </c>
      <c r="CH258" s="1267">
        <f>(+CH251*CH249+CH241*CH239+CH229*CH227)*1000</f>
        <v>2327924.8729063752</v>
      </c>
      <c r="CI258" s="1267">
        <f>(+CI251*CI249+CI241*CI239+CI229*CI227)*1000</f>
        <v>1517848.9088502573</v>
      </c>
      <c r="CJ258" s="1267">
        <f>(+CJ251*CJ249+CJ241*CJ239+CJ229*CJ227)*1000</f>
        <v>2084855.4810707998</v>
      </c>
      <c r="CK258" s="1267">
        <f>(+CK251*CK249+CK241*CK239+CK229*CK227)*1000</f>
        <v>1695790.307341767</v>
      </c>
      <c r="CL258" s="2013">
        <f t="shared" ref="CL258:CP258" si="1849">(+CL251*CL249+CL241*CL239+CL229*CL227)*1000</f>
        <v>2418150.4062594161</v>
      </c>
      <c r="CM258" s="2013">
        <f t="shared" si="1849"/>
        <v>1619262.5114742049</v>
      </c>
      <c r="CN258" s="2013">
        <f t="shared" si="1849"/>
        <v>2203892.828117291</v>
      </c>
      <c r="CO258" s="2013">
        <f t="shared" si="1849"/>
        <v>1838429.796894544</v>
      </c>
      <c r="CP258" s="2013">
        <f t="shared" si="1849"/>
        <v>2622314.0750924344</v>
      </c>
      <c r="CQ258" s="2007"/>
      <c r="CR258" s="2007"/>
      <c r="CS258" s="2007"/>
      <c r="CT258" s="2007">
        <v>2418150.4062594161</v>
      </c>
      <c r="CU258" s="1113"/>
      <c r="CV258" s="2008"/>
      <c r="CW258" s="2008"/>
      <c r="CX258" s="2008"/>
      <c r="CY258" s="2008"/>
      <c r="CZ258" s="2008"/>
      <c r="DA258" s="2008"/>
      <c r="DB258" s="2009"/>
      <c r="DC258" s="2009"/>
      <c r="DD258" s="2009"/>
      <c r="DE258" s="2009"/>
      <c r="DF258" s="2009"/>
      <c r="DG258" s="2009"/>
      <c r="DH258" s="2009"/>
      <c r="DI258" s="2009"/>
      <c r="DJ258" s="2009"/>
      <c r="DK258" s="2009"/>
      <c r="DL258" s="2010"/>
      <c r="DM258" s="2010"/>
      <c r="DN258" s="2010"/>
      <c r="DO258" s="2010"/>
      <c r="DP258" s="2010"/>
      <c r="DQ258" s="2010"/>
      <c r="DR258" s="2010"/>
      <c r="DS258" s="2011"/>
      <c r="DT258" s="2011"/>
      <c r="DU258" s="2011"/>
      <c r="DV258" s="2011"/>
      <c r="DY258" s="2011"/>
      <c r="DZ258" s="2011"/>
    </row>
    <row r="259" spans="1:130" s="359" customFormat="1">
      <c r="A259" s="87"/>
      <c r="B259" s="2006" t="e">
        <f t="shared" ref="B259:BM259" si="1850">+B258/B277</f>
        <v>#DIV/0!</v>
      </c>
      <c r="C259" s="2006">
        <f t="shared" si="1850"/>
        <v>0</v>
      </c>
      <c r="D259" s="2006">
        <f t="shared" si="1850"/>
        <v>0</v>
      </c>
      <c r="E259" s="2006">
        <f t="shared" si="1850"/>
        <v>0</v>
      </c>
      <c r="F259" s="2006">
        <f t="shared" si="1850"/>
        <v>0</v>
      </c>
      <c r="G259" s="2006">
        <f t="shared" si="1850"/>
        <v>0</v>
      </c>
      <c r="H259" s="2006">
        <f t="shared" si="1850"/>
        <v>0</v>
      </c>
      <c r="I259" s="2006">
        <f t="shared" si="1850"/>
        <v>0</v>
      </c>
      <c r="J259" s="2006">
        <f t="shared" si="1850"/>
        <v>0</v>
      </c>
      <c r="K259" s="2006">
        <f t="shared" si="1850"/>
        <v>0</v>
      </c>
      <c r="L259" s="2006">
        <f t="shared" si="1850"/>
        <v>0</v>
      </c>
      <c r="M259" s="2006">
        <f t="shared" si="1850"/>
        <v>0</v>
      </c>
      <c r="N259" s="2006">
        <f t="shared" si="1850"/>
        <v>0</v>
      </c>
      <c r="O259" s="2006">
        <f t="shared" si="1850"/>
        <v>0</v>
      </c>
      <c r="P259" s="2006">
        <f t="shared" si="1850"/>
        <v>0</v>
      </c>
      <c r="Q259" s="2006">
        <f t="shared" si="1850"/>
        <v>0</v>
      </c>
      <c r="R259" s="2006">
        <f t="shared" si="1850"/>
        <v>0</v>
      </c>
      <c r="S259" s="2006">
        <f t="shared" si="1850"/>
        <v>0</v>
      </c>
      <c r="T259" s="2006">
        <f t="shared" si="1850"/>
        <v>0</v>
      </c>
      <c r="U259" s="2006">
        <f t="shared" si="1850"/>
        <v>0</v>
      </c>
      <c r="V259" s="2006">
        <f t="shared" si="1850"/>
        <v>0</v>
      </c>
      <c r="W259" s="2006">
        <f t="shared" si="1850"/>
        <v>0</v>
      </c>
      <c r="X259" s="2006">
        <f t="shared" si="1850"/>
        <v>0</v>
      </c>
      <c r="Y259" s="2006">
        <f t="shared" si="1850"/>
        <v>0</v>
      </c>
      <c r="Z259" s="2006">
        <f t="shared" si="1850"/>
        <v>0</v>
      </c>
      <c r="AA259" s="2006">
        <f t="shared" si="1850"/>
        <v>0</v>
      </c>
      <c r="AB259" s="2006">
        <f t="shared" si="1850"/>
        <v>0</v>
      </c>
      <c r="AC259" s="2006">
        <f t="shared" si="1850"/>
        <v>0</v>
      </c>
      <c r="AD259" s="2006">
        <f t="shared" si="1850"/>
        <v>0</v>
      </c>
      <c r="AE259" s="2006">
        <f t="shared" si="1850"/>
        <v>0</v>
      </c>
      <c r="AF259" s="2006">
        <f t="shared" si="1850"/>
        <v>0</v>
      </c>
      <c r="AG259" s="2006">
        <f t="shared" si="1850"/>
        <v>0</v>
      </c>
      <c r="AH259" s="2006">
        <f t="shared" si="1850"/>
        <v>0</v>
      </c>
      <c r="AI259" s="2006">
        <f t="shared" si="1850"/>
        <v>0</v>
      </c>
      <c r="AJ259" s="2006">
        <f t="shared" si="1850"/>
        <v>0</v>
      </c>
      <c r="AK259" s="2006">
        <f t="shared" si="1850"/>
        <v>0</v>
      </c>
      <c r="AL259" s="2006">
        <f t="shared" si="1850"/>
        <v>0</v>
      </c>
      <c r="AM259" s="2006">
        <f t="shared" si="1850"/>
        <v>23.321834351362472</v>
      </c>
      <c r="AN259" s="2006">
        <f t="shared" si="1850"/>
        <v>20.120818874095626</v>
      </c>
      <c r="AO259" s="2006">
        <f t="shared" si="1850"/>
        <v>24.55922145111245</v>
      </c>
      <c r="AP259" s="2006">
        <f t="shared" si="1850"/>
        <v>22.364912817696634</v>
      </c>
      <c r="AQ259" s="2006">
        <f t="shared" si="1850"/>
        <v>0.51862753377198123</v>
      </c>
      <c r="AR259" s="2006">
        <f t="shared" si="1850"/>
        <v>0.54173821066434691</v>
      </c>
      <c r="AS259" s="2006">
        <f t="shared" si="1850"/>
        <v>0.52137469668299496</v>
      </c>
      <c r="AT259" s="2006">
        <f t="shared" si="1850"/>
        <v>0.55666003963131738</v>
      </c>
      <c r="AU259" s="2006">
        <f t="shared" si="1850"/>
        <v>0.54440303842302107</v>
      </c>
      <c r="AV259" s="2006">
        <f t="shared" si="1850"/>
        <v>0.5532470177760368</v>
      </c>
      <c r="AW259" s="2006">
        <f t="shared" si="1850"/>
        <v>0.53056045112218875</v>
      </c>
      <c r="AX259" s="2006">
        <f t="shared" si="1850"/>
        <v>0.55664164881138822</v>
      </c>
      <c r="AY259" s="2006">
        <f t="shared" si="1850"/>
        <v>0.55579385084579447</v>
      </c>
      <c r="AZ259" s="2006">
        <f t="shared" si="1850"/>
        <v>0.57372647758430462</v>
      </c>
      <c r="BA259" s="2006">
        <f t="shared" si="1850"/>
        <v>0.53685617909572869</v>
      </c>
      <c r="BB259" s="2006">
        <f t="shared" si="1850"/>
        <v>0.55820849502400116</v>
      </c>
      <c r="BC259" s="2006">
        <f t="shared" si="1850"/>
        <v>0.5441294209692521</v>
      </c>
      <c r="BD259" s="2006">
        <f t="shared" si="1850"/>
        <v>0.56632855103112245</v>
      </c>
      <c r="BE259" s="2006">
        <f t="shared" si="1850"/>
        <v>0.53924918001061339</v>
      </c>
      <c r="BF259" s="2006">
        <f t="shared" si="1850"/>
        <v>0.56977078655750291</v>
      </c>
      <c r="BG259" s="2006">
        <f t="shared" si="1850"/>
        <v>0.56203140003817509</v>
      </c>
      <c r="BH259" s="2006">
        <f t="shared" si="1850"/>
        <v>0.57467645071612472</v>
      </c>
      <c r="BI259" s="2006">
        <f t="shared" si="1850"/>
        <v>0.54289352357430343</v>
      </c>
      <c r="BJ259" s="2006">
        <f t="shared" si="1850"/>
        <v>0.57384577142469184</v>
      </c>
      <c r="BK259" s="2006">
        <f t="shared" si="1850"/>
        <v>0.55255811145238809</v>
      </c>
      <c r="BL259" s="2006">
        <f t="shared" si="1850"/>
        <v>0.56399795728983348</v>
      </c>
      <c r="BM259" s="2006">
        <f t="shared" si="1850"/>
        <v>0.54342339795380112</v>
      </c>
      <c r="BN259" s="2006">
        <f t="shared" ref="BN259:CG259" si="1851">+BN258/BN277</f>
        <v>0.60930308596651228</v>
      </c>
      <c r="BO259" s="2006">
        <f t="shared" si="1851"/>
        <v>0.55409061305783835</v>
      </c>
      <c r="BP259" s="2006">
        <f t="shared" si="1851"/>
        <v>0.44817612508399346</v>
      </c>
      <c r="BQ259" s="2006">
        <f t="shared" si="1851"/>
        <v>0.47665689131376238</v>
      </c>
      <c r="BR259" s="2006">
        <f t="shared" si="1851"/>
        <v>0.53783169583083112</v>
      </c>
      <c r="BS259" s="2006">
        <f t="shared" si="1851"/>
        <v>0.52076600498302006</v>
      </c>
      <c r="BT259" s="2006">
        <f t="shared" si="1851"/>
        <v>0.54957728787327775</v>
      </c>
      <c r="BU259" s="2006">
        <f t="shared" si="1851"/>
        <v>0.5334020901524732</v>
      </c>
      <c r="BV259" s="2006">
        <f t="shared" si="1851"/>
        <v>0.55068493268570595</v>
      </c>
      <c r="BW259" s="2006">
        <f t="shared" si="1851"/>
        <v>0.55070835906739357</v>
      </c>
      <c r="BX259" s="2006">
        <f t="shared" si="1851"/>
        <v>0.5610441958060236</v>
      </c>
      <c r="BY259" s="2006">
        <f t="shared" si="1851"/>
        <v>0.53658607925916091</v>
      </c>
      <c r="BZ259" s="2006">
        <f t="shared" si="1851"/>
        <v>0.55723527426084374</v>
      </c>
      <c r="CA259" s="2006">
        <f t="shared" si="1851"/>
        <v>0.54149626457693789</v>
      </c>
      <c r="CB259" s="2006">
        <f t="shared" si="1851"/>
        <v>0.53910533791198478</v>
      </c>
      <c r="CC259" s="2006">
        <f t="shared" si="1851"/>
        <v>0.53603839478761472</v>
      </c>
      <c r="CD259" s="2006">
        <f t="shared" si="1851"/>
        <v>0.55910630105720338</v>
      </c>
      <c r="CE259" s="2006">
        <f t="shared" si="1851"/>
        <v>0.54450707048644309</v>
      </c>
      <c r="CF259" s="2006">
        <f t="shared" si="1851"/>
        <v>0.56220506655198843</v>
      </c>
      <c r="CG259" s="2006">
        <f t="shared" si="1851"/>
        <v>0.54666568157208428</v>
      </c>
      <c r="CH259" s="2006">
        <f>+CH258/CH277</f>
        <v>0.55761631284108093</v>
      </c>
      <c r="CI259" s="2006">
        <f>+CI258/CI277</f>
        <v>0.55057562602481724</v>
      </c>
      <c r="CJ259" s="2006">
        <f>+CJ258/CJ277</f>
        <v>0.57124508580663058</v>
      </c>
      <c r="CK259" s="2006">
        <f>+CK258/CK277</f>
        <v>0.55073343555046117</v>
      </c>
      <c r="CL259" s="2014">
        <f t="shared" ref="CL259:CP259" si="1852">+CL258/CL277</f>
        <v>0.55309736986616675</v>
      </c>
      <c r="CM259" s="2014">
        <f t="shared" si="1852"/>
        <v>0.55155541673852237</v>
      </c>
      <c r="CN259" s="2014">
        <f t="shared" si="1852"/>
        <v>0.57223206357696499</v>
      </c>
      <c r="CO259" s="2014">
        <f t="shared" si="1852"/>
        <v>0.5516786097230334</v>
      </c>
      <c r="CP259" s="2014">
        <f t="shared" si="1852"/>
        <v>0.55309736986616687</v>
      </c>
      <c r="CQ259" s="2007"/>
      <c r="CR259" s="2007"/>
      <c r="CS259" s="2007"/>
      <c r="CT259" s="2007">
        <v>0.55309736986616675</v>
      </c>
      <c r="CU259" s="1113"/>
      <c r="CV259" s="2008"/>
      <c r="CW259" s="2008"/>
      <c r="CX259" s="2008"/>
      <c r="CY259" s="2008"/>
      <c r="CZ259" s="2008"/>
      <c r="DA259" s="2008"/>
      <c r="DB259" s="2009"/>
      <c r="DC259" s="2009"/>
      <c r="DD259" s="2009"/>
      <c r="DE259" s="2009"/>
      <c r="DF259" s="2009"/>
      <c r="DG259" s="2009"/>
      <c r="DH259" s="2009"/>
      <c r="DI259" s="2009"/>
      <c r="DJ259" s="2009"/>
      <c r="DK259" s="2009"/>
      <c r="DL259" s="2010"/>
      <c r="DM259" s="2010"/>
      <c r="DN259" s="2010"/>
      <c r="DO259" s="2010"/>
      <c r="DP259" s="2010"/>
      <c r="DQ259" s="2010"/>
      <c r="DR259" s="2010"/>
      <c r="DS259" s="2011"/>
      <c r="DT259" s="2011"/>
      <c r="DU259" s="2011"/>
      <c r="DV259" s="2011"/>
      <c r="DY259" s="2011"/>
      <c r="DZ259" s="2011"/>
    </row>
    <row r="260" spans="1:130">
      <c r="A260" s="45"/>
      <c r="B260" s="1230"/>
      <c r="C260" s="1230"/>
      <c r="D260" s="1230"/>
      <c r="E260" s="1230"/>
      <c r="F260" s="1230"/>
      <c r="G260" s="1230"/>
      <c r="H260" s="1230"/>
      <c r="I260" s="1230"/>
      <c r="J260" s="1230"/>
      <c r="K260" s="1230"/>
      <c r="L260" s="1230"/>
      <c r="M260" s="1230"/>
      <c r="N260" s="1230"/>
      <c r="O260" s="1230"/>
      <c r="P260" s="1230"/>
      <c r="Q260" s="1230"/>
      <c r="R260" s="1230"/>
      <c r="S260" s="1230"/>
      <c r="T260" s="1230"/>
      <c r="U260" s="1230"/>
      <c r="V260" s="1230"/>
      <c r="W260" s="1230"/>
      <c r="X260" s="1230"/>
      <c r="Y260" s="1230"/>
      <c r="Z260" s="1230"/>
      <c r="AA260" s="1230"/>
      <c r="AB260" s="1230"/>
      <c r="AC260" s="1230"/>
      <c r="AD260" s="1230"/>
      <c r="AE260" s="1230"/>
      <c r="AF260" s="1230"/>
      <c r="AG260" s="1230"/>
      <c r="AH260" s="1230"/>
      <c r="AI260" s="1230"/>
      <c r="AJ260" s="1230"/>
      <c r="AK260" s="1230"/>
      <c r="AL260" s="1230"/>
      <c r="AM260" s="1230"/>
      <c r="AN260" s="1230"/>
      <c r="AO260" s="1230"/>
      <c r="AP260" s="1230"/>
      <c r="AQ260" s="1230"/>
      <c r="AR260" s="1230"/>
      <c r="AS260" s="1230"/>
      <c r="AT260" s="1230"/>
      <c r="AU260" s="1230"/>
      <c r="AV260" s="1230"/>
      <c r="AW260" s="1230"/>
      <c r="AX260" s="1230"/>
      <c r="AY260" s="1230"/>
      <c r="AZ260" s="1230"/>
      <c r="BA260" s="1230"/>
      <c r="BB260" s="1230"/>
      <c r="BC260" s="1230"/>
      <c r="BD260" s="1230"/>
      <c r="BE260" s="1230"/>
      <c r="BF260" s="1230"/>
      <c r="BG260" s="1230"/>
      <c r="BH260" s="1230"/>
      <c r="BI260" s="1230"/>
      <c r="BJ260" s="1230"/>
      <c r="BK260" s="1230"/>
      <c r="BL260" s="1230"/>
      <c r="BM260" s="1230"/>
      <c r="BN260" s="1230"/>
      <c r="BO260" s="1230"/>
      <c r="BP260" s="1230"/>
      <c r="BQ260" s="1230"/>
      <c r="BR260" s="1230"/>
      <c r="BS260" s="1230"/>
      <c r="BT260" s="1230"/>
      <c r="BU260" s="1230"/>
      <c r="BV260" s="1230"/>
      <c r="BW260" s="1230"/>
      <c r="BX260" s="1230"/>
      <c r="BY260" s="1230"/>
      <c r="BZ260" s="1230"/>
      <c r="CA260" s="1230"/>
      <c r="CB260" s="1230"/>
      <c r="CC260" s="1230"/>
      <c r="CD260" s="1230"/>
      <c r="CE260" s="1230"/>
      <c r="CF260" s="1230"/>
      <c r="CG260" s="1230"/>
      <c r="CH260" s="1245">
        <f>+CH259-CD259</f>
        <v>-1.4899882161224509E-3</v>
      </c>
      <c r="CI260" s="1245">
        <f>+CI259-CE259</f>
        <v>6.0685555383741541E-3</v>
      </c>
      <c r="CJ260" s="1245">
        <f>+CJ259-CF259</f>
        <v>9.0400192546421509E-3</v>
      </c>
      <c r="CK260" s="1245">
        <f>+CK259-CG259</f>
        <v>4.0677539783768868E-3</v>
      </c>
      <c r="CL260" s="2015">
        <f t="shared" ref="CL260" si="1853">+CL259-CH259</f>
        <v>-4.5189429749141752E-3</v>
      </c>
      <c r="CM260" s="2015">
        <f t="shared" ref="CM260" si="1854">+CM259-CI259</f>
        <v>9.7979071370513093E-4</v>
      </c>
      <c r="CN260" s="2015">
        <f t="shared" ref="CN260" si="1855">+CN259-CJ259</f>
        <v>9.8697777033440737E-4</v>
      </c>
      <c r="CO260" s="2015">
        <f t="shared" ref="CO260" si="1856">+CO259-CK259</f>
        <v>9.4517417257222736E-4</v>
      </c>
      <c r="CP260" s="2015">
        <f t="shared" ref="CP260" si="1857">+CP259-CL259</f>
        <v>0</v>
      </c>
      <c r="CQ260" s="367"/>
      <c r="CR260" s="367"/>
      <c r="CS260" s="367"/>
      <c r="CT260" s="367">
        <v>-4.5189429749141752E-3</v>
      </c>
      <c r="CU260" s="1113"/>
      <c r="CV260" s="63"/>
      <c r="CW260" s="63"/>
      <c r="CX260" s="63"/>
      <c r="CY260" s="63"/>
      <c r="CZ260" s="63"/>
      <c r="DA260" s="63"/>
      <c r="DB260" s="103"/>
      <c r="DC260" s="103"/>
      <c r="DD260" s="103"/>
      <c r="DE260" s="103"/>
      <c r="DF260" s="103"/>
      <c r="DG260" s="103"/>
      <c r="DH260" s="103"/>
      <c r="DI260" s="103"/>
      <c r="DJ260" s="103"/>
      <c r="DK260" s="103"/>
      <c r="DL260" s="1242"/>
      <c r="DM260" s="1242"/>
      <c r="DN260" s="1242"/>
      <c r="DO260" s="1242"/>
      <c r="DP260" s="1242"/>
      <c r="DQ260" s="1242"/>
      <c r="DR260" s="1242"/>
      <c r="DS260" s="403"/>
      <c r="DT260" s="403"/>
      <c r="DU260" s="403"/>
      <c r="DV260" s="403"/>
      <c r="DY260" s="403"/>
      <c r="DZ260" s="403"/>
    </row>
    <row r="261" spans="1:130">
      <c r="A261" s="45"/>
      <c r="B261" s="62"/>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c r="AG261" s="63"/>
      <c r="AH261" s="63"/>
      <c r="AI261" s="63"/>
      <c r="AJ261" s="63"/>
      <c r="AK261" s="63"/>
      <c r="AL261" s="63"/>
      <c r="AM261" s="63"/>
      <c r="AN261" s="63"/>
      <c r="AO261" s="63"/>
      <c r="AP261" s="63"/>
      <c r="AQ261" s="63"/>
      <c r="AR261" s="63"/>
      <c r="AS261" s="63"/>
      <c r="AT261" s="63"/>
      <c r="AU261" s="63"/>
      <c r="AV261" s="63"/>
      <c r="AW261" s="63"/>
      <c r="AX261" s="63"/>
      <c r="AY261" s="63"/>
      <c r="AZ261" s="63"/>
      <c r="BA261" s="64"/>
      <c r="BB261" s="63"/>
      <c r="BC261" s="64"/>
      <c r="BD261" s="63"/>
      <c r="BE261" s="63"/>
      <c r="BF261" s="63"/>
      <c r="BG261" s="63"/>
      <c r="BH261" s="1227"/>
      <c r="BI261" s="1227"/>
      <c r="BJ261" s="1227"/>
      <c r="BK261" s="1227"/>
      <c r="BL261" s="1227"/>
      <c r="BM261" s="1227"/>
      <c r="BN261" s="1227"/>
      <c r="BO261" s="1227"/>
      <c r="BP261" s="1227"/>
      <c r="BQ261" s="1227"/>
      <c r="BR261" s="1227"/>
      <c r="BS261" s="1227"/>
      <c r="BT261" s="1227"/>
      <c r="BU261" s="1227"/>
      <c r="BV261" s="1227"/>
      <c r="BW261" s="1227"/>
      <c r="BX261" s="1227"/>
      <c r="BY261" s="1227"/>
      <c r="BZ261" s="1227"/>
      <c r="CA261" s="1227"/>
      <c r="CB261" s="1227"/>
      <c r="CC261" s="1227"/>
      <c r="CD261" s="1227"/>
      <c r="CE261" s="1227"/>
      <c r="CF261" s="1227"/>
      <c r="CG261" s="1227"/>
      <c r="CH261" s="1227"/>
      <c r="CI261" s="1227"/>
      <c r="CJ261" s="1227"/>
      <c r="CK261" s="1227"/>
      <c r="CL261" s="367"/>
      <c r="CM261" s="367"/>
      <c r="CN261" s="367"/>
      <c r="CO261" s="367"/>
      <c r="CP261" s="367"/>
      <c r="CQ261" s="367"/>
      <c r="CR261" s="367"/>
      <c r="CS261" s="367"/>
      <c r="CT261" s="367"/>
      <c r="CU261" s="1113"/>
      <c r="CV261" s="63"/>
      <c r="CW261" s="63"/>
      <c r="CX261" s="63"/>
      <c r="CY261" s="63"/>
      <c r="CZ261" s="63"/>
      <c r="DA261" s="63"/>
      <c r="DB261" s="103"/>
      <c r="DC261" s="103"/>
      <c r="DD261" s="103"/>
      <c r="DE261" s="103"/>
      <c r="DF261" s="103"/>
      <c r="DG261" s="103"/>
      <c r="DH261" s="103"/>
      <c r="DI261" s="103"/>
      <c r="DJ261" s="103"/>
      <c r="DK261" s="103"/>
      <c r="DL261" s="1242"/>
      <c r="DM261" s="1242"/>
      <c r="DN261" s="1242"/>
      <c r="DO261" s="1242"/>
      <c r="DP261" s="1242"/>
      <c r="DQ261" s="1242"/>
      <c r="DR261" s="1242"/>
      <c r="DS261" s="403"/>
      <c r="DT261" s="403"/>
      <c r="DU261" s="403"/>
      <c r="DV261" s="403"/>
      <c r="DY261" s="403"/>
      <c r="DZ261" s="403"/>
    </row>
    <row r="262" spans="1:130">
      <c r="A262" s="122" t="s">
        <v>271</v>
      </c>
      <c r="B262" s="102">
        <v>58</v>
      </c>
      <c r="C262" s="102">
        <v>59</v>
      </c>
      <c r="D262" s="102">
        <v>60</v>
      </c>
      <c r="E262" s="102">
        <v>61</v>
      </c>
      <c r="F262" s="102">
        <v>62</v>
      </c>
      <c r="G262" s="102">
        <v>62</v>
      </c>
      <c r="H262" s="102">
        <v>64</v>
      </c>
      <c r="I262" s="102">
        <v>64</v>
      </c>
      <c r="J262" s="102">
        <v>66</v>
      </c>
      <c r="K262" s="102">
        <v>68</v>
      </c>
      <c r="L262" s="102">
        <v>72</v>
      </c>
      <c r="M262" s="102">
        <v>75</v>
      </c>
      <c r="N262" s="102">
        <v>81</v>
      </c>
      <c r="O262" s="102">
        <v>81</v>
      </c>
      <c r="P262" s="102">
        <v>87</v>
      </c>
      <c r="Q262" s="102">
        <v>88</v>
      </c>
      <c r="R262" s="102">
        <v>95</v>
      </c>
      <c r="S262" s="102">
        <v>96</v>
      </c>
      <c r="T262" s="102">
        <v>101</v>
      </c>
      <c r="U262" s="102">
        <v>103</v>
      </c>
      <c r="V262" s="102">
        <v>110</v>
      </c>
      <c r="W262" s="102">
        <v>110</v>
      </c>
      <c r="X262" s="102">
        <v>115</v>
      </c>
      <c r="Y262" s="102">
        <v>116</v>
      </c>
      <c r="Z262" s="102">
        <v>120</v>
      </c>
      <c r="AA262" s="102">
        <v>121</v>
      </c>
      <c r="AB262" s="102">
        <v>125</v>
      </c>
      <c r="AC262" s="102">
        <v>126</v>
      </c>
      <c r="AD262" s="102">
        <v>134</v>
      </c>
      <c r="AE262" s="102">
        <v>135</v>
      </c>
      <c r="AF262" s="102">
        <v>144</v>
      </c>
      <c r="AG262" s="102">
        <v>146</v>
      </c>
      <c r="AH262" s="102">
        <v>167</v>
      </c>
      <c r="AI262" s="102">
        <v>200</v>
      </c>
      <c r="AJ262" s="102">
        <v>207</v>
      </c>
      <c r="AK262" s="102">
        <v>211</v>
      </c>
      <c r="AL262" s="102">
        <v>232</v>
      </c>
      <c r="AM262" s="102">
        <v>234</v>
      </c>
      <c r="AN262" s="102">
        <v>243</v>
      </c>
      <c r="AO262" s="102">
        <v>251</v>
      </c>
      <c r="AP262" s="102">
        <v>278</v>
      </c>
      <c r="AQ262" s="102">
        <f t="shared" ref="AQ262:CD262" si="1858">+AQ223+AQ235+AQ245</f>
        <v>281</v>
      </c>
      <c r="AR262" s="102">
        <f t="shared" si="1858"/>
        <v>303</v>
      </c>
      <c r="AS262" s="102">
        <f t="shared" si="1858"/>
        <v>313</v>
      </c>
      <c r="AT262" s="102">
        <f t="shared" si="1858"/>
        <v>332</v>
      </c>
      <c r="AU262" s="102">
        <f t="shared" si="1858"/>
        <v>332</v>
      </c>
      <c r="AV262" s="102">
        <f t="shared" si="1858"/>
        <v>350</v>
      </c>
      <c r="AW262" s="102">
        <f t="shared" si="1858"/>
        <v>356</v>
      </c>
      <c r="AX262" s="102">
        <f t="shared" si="1858"/>
        <v>380</v>
      </c>
      <c r="AY262" s="102">
        <f t="shared" si="1858"/>
        <v>387</v>
      </c>
      <c r="AZ262" s="102">
        <f t="shared" si="1858"/>
        <v>408</v>
      </c>
      <c r="BA262" s="102">
        <f t="shared" si="1858"/>
        <v>418</v>
      </c>
      <c r="BB262" s="102">
        <f t="shared" si="1858"/>
        <v>444</v>
      </c>
      <c r="BC262" s="102">
        <f t="shared" si="1858"/>
        <v>451</v>
      </c>
      <c r="BD262" s="102">
        <f t="shared" si="1858"/>
        <v>473</v>
      </c>
      <c r="BE262" s="132">
        <f t="shared" si="1858"/>
        <v>490</v>
      </c>
      <c r="BF262" s="132">
        <f t="shared" si="1858"/>
        <v>512</v>
      </c>
      <c r="BG262" s="132">
        <f t="shared" si="1858"/>
        <v>506</v>
      </c>
      <c r="BH262" s="132">
        <f t="shared" si="1858"/>
        <v>527</v>
      </c>
      <c r="BI262" s="132">
        <f t="shared" si="1858"/>
        <v>537</v>
      </c>
      <c r="BJ262" s="132">
        <f t="shared" si="1858"/>
        <v>556</v>
      </c>
      <c r="BK262" s="132">
        <f t="shared" si="1858"/>
        <v>558</v>
      </c>
      <c r="BL262" s="132">
        <f t="shared" si="1858"/>
        <v>570</v>
      </c>
      <c r="BM262" s="132">
        <f t="shared" si="1858"/>
        <v>577</v>
      </c>
      <c r="BN262" s="132">
        <f t="shared" si="1858"/>
        <v>603</v>
      </c>
      <c r="BO262" s="132">
        <f t="shared" si="1858"/>
        <v>597</v>
      </c>
      <c r="BP262" s="132">
        <f t="shared" si="1858"/>
        <v>597</v>
      </c>
      <c r="BQ262" s="132">
        <f t="shared" si="1858"/>
        <v>605</v>
      </c>
      <c r="BR262" s="132">
        <f t="shared" si="1858"/>
        <v>606</v>
      </c>
      <c r="BS262" s="132">
        <f t="shared" si="1858"/>
        <v>606</v>
      </c>
      <c r="BT262" s="132">
        <f t="shared" si="1858"/>
        <v>633</v>
      </c>
      <c r="BU262" s="132">
        <f t="shared" si="1858"/>
        <v>635</v>
      </c>
      <c r="BV262" s="132">
        <f t="shared" si="1858"/>
        <v>636</v>
      </c>
      <c r="BW262" s="132">
        <f t="shared" si="1858"/>
        <v>638</v>
      </c>
      <c r="BX262" s="132">
        <f t="shared" ref="BX262:CC262" si="1859">+BX223+BX235+BX245</f>
        <v>651</v>
      </c>
      <c r="BY262" s="132">
        <f t="shared" si="1859"/>
        <v>663</v>
      </c>
      <c r="BZ262" s="132">
        <f t="shared" si="1859"/>
        <v>672</v>
      </c>
      <c r="CA262" s="132">
        <f t="shared" si="1859"/>
        <v>652</v>
      </c>
      <c r="CB262" s="132">
        <f t="shared" si="1859"/>
        <v>655</v>
      </c>
      <c r="CC262" s="132">
        <f t="shared" si="1859"/>
        <v>663</v>
      </c>
      <c r="CD262" s="132">
        <f t="shared" si="1858"/>
        <v>673</v>
      </c>
      <c r="CE262" s="132">
        <f t="shared" ref="CE262:CF262" si="1860">+CE223+CE235+CE245</f>
        <v>666</v>
      </c>
      <c r="CF262" s="132">
        <f t="shared" si="1860"/>
        <v>671</v>
      </c>
      <c r="CG262" s="132">
        <f t="shared" ref="CG262:CH262" si="1861">+CG223+CG235+CG245</f>
        <v>675</v>
      </c>
      <c r="CH262" s="132">
        <f t="shared" si="1861"/>
        <v>686</v>
      </c>
      <c r="CI262" s="132">
        <f t="shared" ref="CI262:CJ262" si="1862">+CI223+CI235+CI245</f>
        <v>686</v>
      </c>
      <c r="CJ262" s="132">
        <f t="shared" si="1862"/>
        <v>691</v>
      </c>
      <c r="CK262" s="132">
        <f t="shared" ref="CK262" si="1863">+CK223+CK235+CK245</f>
        <v>694</v>
      </c>
      <c r="CL262" s="376">
        <f t="shared" ref="CL262:CP262" si="1864">+CL223+CL235+CL245</f>
        <v>719</v>
      </c>
      <c r="CM262" s="376">
        <f t="shared" si="1864"/>
        <v>721</v>
      </c>
      <c r="CN262" s="376">
        <f t="shared" si="1864"/>
        <v>727</v>
      </c>
      <c r="CO262" s="376">
        <f t="shared" si="1864"/>
        <v>737</v>
      </c>
      <c r="CP262" s="376">
        <f t="shared" si="1864"/>
        <v>759</v>
      </c>
      <c r="CQ262" s="376"/>
      <c r="CR262" s="376"/>
      <c r="CS262" s="376"/>
      <c r="CT262" s="376">
        <v>719</v>
      </c>
      <c r="CU262" s="1108"/>
      <c r="CV262" s="84">
        <v>62</v>
      </c>
      <c r="CW262" s="84">
        <v>66</v>
      </c>
      <c r="CX262" s="84">
        <v>81</v>
      </c>
      <c r="CY262" s="84">
        <v>95</v>
      </c>
      <c r="CZ262" s="84">
        <v>110</v>
      </c>
      <c r="DA262" s="84">
        <v>120</v>
      </c>
      <c r="DB262" s="84">
        <v>134</v>
      </c>
      <c r="DC262" s="84">
        <v>167</v>
      </c>
      <c r="DD262" s="84">
        <v>232</v>
      </c>
      <c r="DE262" s="84">
        <v>278</v>
      </c>
      <c r="DF262" s="102">
        <f>AT262</f>
        <v>332</v>
      </c>
      <c r="DG262" s="102">
        <f>+AX262</f>
        <v>380</v>
      </c>
      <c r="DH262" s="102">
        <f>+BB262</f>
        <v>444</v>
      </c>
      <c r="DI262" s="102">
        <f>+BF262</f>
        <v>512</v>
      </c>
      <c r="DJ262" s="102">
        <f>+BJ262</f>
        <v>556</v>
      </c>
      <c r="DK262" s="102">
        <f>+BN262</f>
        <v>603</v>
      </c>
      <c r="DL262" s="132">
        <f>+BR262</f>
        <v>606</v>
      </c>
      <c r="DM262" s="132">
        <f>+BV262</f>
        <v>636</v>
      </c>
      <c r="DN262" s="132">
        <f>+BZ262</f>
        <v>672</v>
      </c>
      <c r="DO262" s="132">
        <f>+CD262</f>
        <v>673</v>
      </c>
      <c r="DP262" s="132">
        <f>+CH262</f>
        <v>686</v>
      </c>
      <c r="DQ262" s="132">
        <f>+CL262</f>
        <v>719</v>
      </c>
      <c r="DR262" s="132">
        <f>+CP262</f>
        <v>759</v>
      </c>
      <c r="DS262" s="102">
        <f>+DR262+DS263</f>
        <v>799</v>
      </c>
      <c r="DT262" s="102">
        <f t="shared" ref="DT262:DV262" si="1865">+DS262+DT263</f>
        <v>839</v>
      </c>
      <c r="DU262" s="102">
        <f t="shared" si="1865"/>
        <v>879</v>
      </c>
      <c r="DV262" s="102">
        <f t="shared" si="1865"/>
        <v>919</v>
      </c>
      <c r="DY262" s="102">
        <v>759</v>
      </c>
      <c r="DZ262" s="102">
        <v>799</v>
      </c>
    </row>
    <row r="263" spans="1:130">
      <c r="A263" s="17" t="s">
        <v>264</v>
      </c>
      <c r="B263" s="17"/>
      <c r="C263" s="17">
        <v>1</v>
      </c>
      <c r="D263" s="17">
        <v>1</v>
      </c>
      <c r="E263" s="17">
        <v>1</v>
      </c>
      <c r="F263" s="17">
        <v>1</v>
      </c>
      <c r="G263" s="17">
        <v>0</v>
      </c>
      <c r="H263" s="17">
        <v>2</v>
      </c>
      <c r="I263" s="17">
        <v>0</v>
      </c>
      <c r="J263" s="17">
        <v>2</v>
      </c>
      <c r="K263" s="17">
        <v>2</v>
      </c>
      <c r="L263" s="17">
        <v>4</v>
      </c>
      <c r="M263" s="17">
        <v>3</v>
      </c>
      <c r="N263" s="17">
        <v>6</v>
      </c>
      <c r="O263" s="17">
        <v>0</v>
      </c>
      <c r="P263" s="17">
        <v>6</v>
      </c>
      <c r="Q263" s="17">
        <v>1</v>
      </c>
      <c r="R263" s="17">
        <v>7</v>
      </c>
      <c r="S263" s="17">
        <v>1</v>
      </c>
      <c r="T263" s="17">
        <v>5</v>
      </c>
      <c r="U263" s="79">
        <v>2</v>
      </c>
      <c r="V263" s="79">
        <v>7</v>
      </c>
      <c r="W263" s="79">
        <v>0</v>
      </c>
      <c r="X263" s="79">
        <v>5</v>
      </c>
      <c r="Y263" s="79">
        <v>1</v>
      </c>
      <c r="Z263" s="79">
        <v>4</v>
      </c>
      <c r="AA263" s="79">
        <v>1</v>
      </c>
      <c r="AB263" s="79">
        <v>4</v>
      </c>
      <c r="AC263" s="81">
        <v>1</v>
      </c>
      <c r="AD263" s="81">
        <v>8</v>
      </c>
      <c r="AE263" s="81">
        <v>1</v>
      </c>
      <c r="AF263" s="112">
        <v>9</v>
      </c>
      <c r="AG263" s="112">
        <v>2</v>
      </c>
      <c r="AH263" s="109">
        <v>21</v>
      </c>
      <c r="AI263" s="109">
        <v>2</v>
      </c>
      <c r="AJ263" s="23">
        <v>7</v>
      </c>
      <c r="AK263" s="23">
        <v>4</v>
      </c>
      <c r="AL263" s="23">
        <v>21</v>
      </c>
      <c r="AM263" s="23">
        <v>2</v>
      </c>
      <c r="AN263" s="23">
        <v>9</v>
      </c>
      <c r="AO263" s="23">
        <v>8</v>
      </c>
      <c r="AP263" s="23">
        <v>27</v>
      </c>
      <c r="AQ263" s="23">
        <f t="shared" ref="AQ263:BK263" si="1866">+AQ262-AP262</f>
        <v>3</v>
      </c>
      <c r="AR263" s="23">
        <f t="shared" si="1866"/>
        <v>22</v>
      </c>
      <c r="AS263" s="23">
        <f t="shared" si="1866"/>
        <v>10</v>
      </c>
      <c r="AT263" s="23">
        <f t="shared" si="1866"/>
        <v>19</v>
      </c>
      <c r="AU263" s="23">
        <f t="shared" si="1866"/>
        <v>0</v>
      </c>
      <c r="AV263" s="23">
        <f t="shared" si="1866"/>
        <v>18</v>
      </c>
      <c r="AW263" s="23">
        <f t="shared" si="1866"/>
        <v>6</v>
      </c>
      <c r="AX263" s="23">
        <f t="shared" si="1866"/>
        <v>24</v>
      </c>
      <c r="AY263" s="23">
        <f t="shared" si="1866"/>
        <v>7</v>
      </c>
      <c r="AZ263" s="23">
        <f t="shared" si="1866"/>
        <v>21</v>
      </c>
      <c r="BA263" s="23">
        <f t="shared" si="1866"/>
        <v>10</v>
      </c>
      <c r="BB263" s="23">
        <f t="shared" si="1866"/>
        <v>26</v>
      </c>
      <c r="BC263" s="24">
        <f t="shared" si="1866"/>
        <v>7</v>
      </c>
      <c r="BD263" s="23">
        <f t="shared" si="1866"/>
        <v>22</v>
      </c>
      <c r="BE263" s="1234">
        <f t="shared" si="1866"/>
        <v>17</v>
      </c>
      <c r="BF263" s="1234">
        <f t="shared" si="1866"/>
        <v>22</v>
      </c>
      <c r="BG263" s="1234">
        <f t="shared" si="1866"/>
        <v>-6</v>
      </c>
      <c r="BH263" s="1234">
        <f>+BH262-BG262</f>
        <v>21</v>
      </c>
      <c r="BI263" s="1234">
        <f>+BI262-BH262</f>
        <v>10</v>
      </c>
      <c r="BJ263" s="1234">
        <f t="shared" si="1866"/>
        <v>19</v>
      </c>
      <c r="BK263" s="1234">
        <f t="shared" si="1866"/>
        <v>2</v>
      </c>
      <c r="BL263" s="1234">
        <f t="shared" ref="BL263:BV263" si="1867">+BL262-BK262</f>
        <v>12</v>
      </c>
      <c r="BM263" s="1234">
        <f t="shared" si="1867"/>
        <v>7</v>
      </c>
      <c r="BN263" s="1234">
        <f t="shared" si="1867"/>
        <v>26</v>
      </c>
      <c r="BO263" s="1234">
        <f t="shared" si="1867"/>
        <v>-6</v>
      </c>
      <c r="BP263" s="1234">
        <f t="shared" si="1867"/>
        <v>0</v>
      </c>
      <c r="BQ263" s="1234">
        <f t="shared" si="1867"/>
        <v>8</v>
      </c>
      <c r="BR263" s="1234">
        <f t="shared" si="1867"/>
        <v>1</v>
      </c>
      <c r="BS263" s="1234">
        <f t="shared" si="1867"/>
        <v>0</v>
      </c>
      <c r="BT263" s="1234">
        <f t="shared" si="1867"/>
        <v>27</v>
      </c>
      <c r="BU263" s="1234">
        <f t="shared" si="1867"/>
        <v>2</v>
      </c>
      <c r="BV263" s="1234">
        <f t="shared" si="1867"/>
        <v>1</v>
      </c>
      <c r="BW263" s="1234">
        <f t="shared" ref="BW263:CK263" si="1868">+BW262-BV262</f>
        <v>2</v>
      </c>
      <c r="BX263" s="1234">
        <f t="shared" si="1868"/>
        <v>13</v>
      </c>
      <c r="BY263" s="1234">
        <f t="shared" si="1868"/>
        <v>12</v>
      </c>
      <c r="BZ263" s="1234">
        <f t="shared" si="1868"/>
        <v>9</v>
      </c>
      <c r="CA263" s="1234">
        <f t="shared" si="1868"/>
        <v>-20</v>
      </c>
      <c r="CB263" s="1234">
        <f t="shared" si="1868"/>
        <v>3</v>
      </c>
      <c r="CC263" s="1234">
        <f t="shared" si="1868"/>
        <v>8</v>
      </c>
      <c r="CD263" s="1234">
        <f t="shared" si="1868"/>
        <v>10</v>
      </c>
      <c r="CE263" s="1234">
        <f t="shared" si="1868"/>
        <v>-7</v>
      </c>
      <c r="CF263" s="1234">
        <f t="shared" si="1868"/>
        <v>5</v>
      </c>
      <c r="CG263" s="1234">
        <f t="shared" si="1868"/>
        <v>4</v>
      </c>
      <c r="CH263" s="1234">
        <f t="shared" si="1868"/>
        <v>11</v>
      </c>
      <c r="CI263" s="1234">
        <f t="shared" si="1868"/>
        <v>0</v>
      </c>
      <c r="CJ263" s="1234">
        <f t="shared" si="1868"/>
        <v>5</v>
      </c>
      <c r="CK263" s="1234">
        <f t="shared" si="1868"/>
        <v>3</v>
      </c>
      <c r="CL263" s="381">
        <f t="shared" ref="CL263" si="1869">+CL262-CK262</f>
        <v>25</v>
      </c>
      <c r="CM263" s="381">
        <f t="shared" ref="CM263" si="1870">+CM262-CL262</f>
        <v>2</v>
      </c>
      <c r="CN263" s="381">
        <f t="shared" ref="CN263" si="1871">+CN262-CM262</f>
        <v>6</v>
      </c>
      <c r="CO263" s="381">
        <f t="shared" ref="CO263" si="1872">+CO262-CN262</f>
        <v>10</v>
      </c>
      <c r="CP263" s="381">
        <f t="shared" ref="CP263" si="1873">+CP262-CO262</f>
        <v>22</v>
      </c>
      <c r="CQ263" s="381"/>
      <c r="CR263" s="381"/>
      <c r="CS263" s="381"/>
      <c r="CT263" s="381">
        <v>25</v>
      </c>
      <c r="CU263" s="693"/>
      <c r="CV263" s="17"/>
      <c r="CW263" s="17">
        <v>4</v>
      </c>
      <c r="CX263" s="17">
        <v>15</v>
      </c>
      <c r="CY263" s="17">
        <v>14</v>
      </c>
      <c r="CZ263" s="17">
        <v>15</v>
      </c>
      <c r="DA263" s="17">
        <v>10</v>
      </c>
      <c r="DB263" s="17">
        <v>14</v>
      </c>
      <c r="DC263" s="17">
        <v>33</v>
      </c>
      <c r="DD263" s="17">
        <v>65</v>
      </c>
      <c r="DE263" s="17">
        <v>46</v>
      </c>
      <c r="DF263" s="17">
        <f t="shared" ref="DF263:DK263" si="1874">DF262-DE262</f>
        <v>54</v>
      </c>
      <c r="DG263" s="17">
        <f t="shared" si="1874"/>
        <v>48</v>
      </c>
      <c r="DH263" s="17">
        <f t="shared" si="1874"/>
        <v>64</v>
      </c>
      <c r="DI263" s="17">
        <f t="shared" si="1874"/>
        <v>68</v>
      </c>
      <c r="DJ263" s="17">
        <f t="shared" si="1874"/>
        <v>44</v>
      </c>
      <c r="DK263" s="17">
        <f t="shared" si="1874"/>
        <v>47</v>
      </c>
      <c r="DL263" s="127">
        <f t="shared" ref="DL263:DR263" si="1875">DL262-DK262</f>
        <v>3</v>
      </c>
      <c r="DM263" s="127">
        <f t="shared" si="1875"/>
        <v>30</v>
      </c>
      <c r="DN263" s="127">
        <f t="shared" si="1875"/>
        <v>36</v>
      </c>
      <c r="DO263" s="127">
        <f t="shared" si="1875"/>
        <v>1</v>
      </c>
      <c r="DP263" s="127">
        <f t="shared" si="1875"/>
        <v>13</v>
      </c>
      <c r="DQ263" s="127">
        <f t="shared" si="1875"/>
        <v>33</v>
      </c>
      <c r="DR263" s="127">
        <f t="shared" si="1875"/>
        <v>40</v>
      </c>
      <c r="DS263" s="17">
        <f>+DS224+DS236+DS246</f>
        <v>40</v>
      </c>
      <c r="DT263" s="17">
        <f t="shared" ref="DT263:DV263" si="1876">+DT224+DT236+DT246</f>
        <v>40</v>
      </c>
      <c r="DU263" s="17">
        <f t="shared" si="1876"/>
        <v>40</v>
      </c>
      <c r="DV263" s="17">
        <f t="shared" si="1876"/>
        <v>40</v>
      </c>
      <c r="DY263" s="17">
        <v>40</v>
      </c>
      <c r="DZ263" s="17">
        <v>40</v>
      </c>
    </row>
    <row r="264" spans="1:130">
      <c r="A264" s="45" t="s">
        <v>92</v>
      </c>
      <c r="B264" s="45"/>
      <c r="C264" s="63"/>
      <c r="D264" s="63"/>
      <c r="E264" s="63"/>
      <c r="F264" s="63"/>
      <c r="G264" s="83">
        <v>5.0847457627118731E-2</v>
      </c>
      <c r="H264" s="83">
        <v>6.6666666666666652E-2</v>
      </c>
      <c r="I264" s="83">
        <v>4.9180327868852514E-2</v>
      </c>
      <c r="J264" s="83">
        <v>6.4516129032258007E-2</v>
      </c>
      <c r="K264" s="83">
        <v>9.6774193548387011E-2</v>
      </c>
      <c r="L264" s="83">
        <v>0.125</v>
      </c>
      <c r="M264" s="83">
        <v>0.171875</v>
      </c>
      <c r="N264" s="83">
        <v>0.22727272727272729</v>
      </c>
      <c r="O264" s="83">
        <v>0.19117647058823528</v>
      </c>
      <c r="P264" s="83">
        <v>0.20833333333333326</v>
      </c>
      <c r="Q264" s="83">
        <v>0.17333333333333334</v>
      </c>
      <c r="R264" s="83">
        <v>0.17283950617283961</v>
      </c>
      <c r="S264" s="83">
        <v>0.18518518518518512</v>
      </c>
      <c r="T264" s="83">
        <v>0.16091954022988508</v>
      </c>
      <c r="U264" s="83">
        <v>0.17045454545454541</v>
      </c>
      <c r="V264" s="83">
        <v>0.15789473684210531</v>
      </c>
      <c r="W264" s="83">
        <v>0.14583333333333326</v>
      </c>
      <c r="X264" s="83">
        <v>0.13861386138613851</v>
      </c>
      <c r="Y264" s="83">
        <v>0.12621359223300965</v>
      </c>
      <c r="Z264" s="83">
        <v>9.0909090909090828E-2</v>
      </c>
      <c r="AA264" s="83">
        <v>0.10000000000000009</v>
      </c>
      <c r="AB264" s="83">
        <v>8.6956521739130377E-2</v>
      </c>
      <c r="AC264" s="83">
        <v>8.6206896551724199E-2</v>
      </c>
      <c r="AD264" s="83">
        <v>0.1166666666666667</v>
      </c>
      <c r="AE264" s="83">
        <v>0.11570247933884303</v>
      </c>
      <c r="AF264" s="83">
        <v>0.15199999999999991</v>
      </c>
      <c r="AG264" s="83">
        <v>0.15873015873015883</v>
      </c>
      <c r="AH264" s="83">
        <v>0.24626865671641784</v>
      </c>
      <c r="AI264" s="83">
        <v>0.4814814814814814</v>
      </c>
      <c r="AJ264" s="83">
        <v>0.4375</v>
      </c>
      <c r="AK264" s="83">
        <v>0.4452054794520548</v>
      </c>
      <c r="AL264" s="83">
        <v>0.38922155688622762</v>
      </c>
      <c r="AM264" s="83">
        <v>0.16999999999999993</v>
      </c>
      <c r="AN264" s="83">
        <v>0.17391304347826098</v>
      </c>
      <c r="AO264" s="83">
        <v>0.18957345971563977</v>
      </c>
      <c r="AP264" s="83">
        <v>0.19827586206896552</v>
      </c>
      <c r="AQ264" s="83">
        <f t="shared" ref="AQ264:BK264" si="1877">AQ262/AM262-1</f>
        <v>0.20085470085470081</v>
      </c>
      <c r="AR264" s="83">
        <f t="shared" si="1877"/>
        <v>0.24691358024691357</v>
      </c>
      <c r="AS264" s="83">
        <f t="shared" si="1877"/>
        <v>0.24701195219123506</v>
      </c>
      <c r="AT264" s="83">
        <f t="shared" si="1877"/>
        <v>0.19424460431654667</v>
      </c>
      <c r="AU264" s="83">
        <f t="shared" si="1877"/>
        <v>0.18149466192170816</v>
      </c>
      <c r="AV264" s="83">
        <f t="shared" si="1877"/>
        <v>0.15511551155115511</v>
      </c>
      <c r="AW264" s="83">
        <f t="shared" si="1877"/>
        <v>0.13738019169329063</v>
      </c>
      <c r="AX264" s="83">
        <f t="shared" si="1877"/>
        <v>0.14457831325301207</v>
      </c>
      <c r="AY264" s="83">
        <f t="shared" si="1877"/>
        <v>0.1656626506024097</v>
      </c>
      <c r="AZ264" s="83">
        <f t="shared" si="1877"/>
        <v>0.1657142857142857</v>
      </c>
      <c r="BA264" s="83">
        <f t="shared" si="1877"/>
        <v>0.17415730337078661</v>
      </c>
      <c r="BB264" s="83">
        <f t="shared" si="1877"/>
        <v>0.16842105263157903</v>
      </c>
      <c r="BC264" s="83">
        <f t="shared" si="1877"/>
        <v>0.1653746770025839</v>
      </c>
      <c r="BD264" s="83">
        <f t="shared" si="1877"/>
        <v>0.15931372549019618</v>
      </c>
      <c r="BE264" s="683">
        <f t="shared" si="1877"/>
        <v>0.17224880382775121</v>
      </c>
      <c r="BF264" s="683">
        <f t="shared" si="1877"/>
        <v>0.15315315315315314</v>
      </c>
      <c r="BG264" s="683">
        <f t="shared" si="1877"/>
        <v>0.12195121951219523</v>
      </c>
      <c r="BH264" s="683">
        <f>BH262/BD262-1</f>
        <v>0.11416490486257924</v>
      </c>
      <c r="BI264" s="683">
        <f>BI262/BE262-1</f>
        <v>9.5918367346938815E-2</v>
      </c>
      <c r="BJ264" s="683">
        <f t="shared" si="1877"/>
        <v>8.59375E-2</v>
      </c>
      <c r="BK264" s="683">
        <f t="shared" si="1877"/>
        <v>0.1027667984189724</v>
      </c>
      <c r="BL264" s="683">
        <f t="shared" ref="BL264:BV264" si="1878">BL262/BH262-1</f>
        <v>8.1593927893738094E-2</v>
      </c>
      <c r="BM264" s="683">
        <f t="shared" si="1878"/>
        <v>7.4487895716945918E-2</v>
      </c>
      <c r="BN264" s="683">
        <f t="shared" si="1878"/>
        <v>8.4532374100719343E-2</v>
      </c>
      <c r="BO264" s="683">
        <f t="shared" si="1878"/>
        <v>6.9892473118279508E-2</v>
      </c>
      <c r="BP264" s="683">
        <f t="shared" si="1878"/>
        <v>4.7368421052631504E-2</v>
      </c>
      <c r="BQ264" s="683">
        <f t="shared" si="1878"/>
        <v>4.8526863084922045E-2</v>
      </c>
      <c r="BR264" s="683">
        <f t="shared" si="1878"/>
        <v>4.9751243781095411E-3</v>
      </c>
      <c r="BS264" s="683">
        <f t="shared" si="1878"/>
        <v>1.5075376884422065E-2</v>
      </c>
      <c r="BT264" s="683">
        <f t="shared" si="1878"/>
        <v>6.0301507537688481E-2</v>
      </c>
      <c r="BU264" s="683">
        <f t="shared" si="1878"/>
        <v>4.9586776859504189E-2</v>
      </c>
      <c r="BV264" s="683">
        <f t="shared" si="1878"/>
        <v>4.9504950495049549E-2</v>
      </c>
      <c r="BW264" s="683">
        <f t="shared" ref="BW264:CK264" si="1879">BW262/BS262-1</f>
        <v>5.2805280528052778E-2</v>
      </c>
      <c r="BX264" s="683">
        <f t="shared" si="1879"/>
        <v>2.8436018957346043E-2</v>
      </c>
      <c r="BY264" s="683">
        <f t="shared" si="1879"/>
        <v>4.4094488188976433E-2</v>
      </c>
      <c r="BZ264" s="683">
        <f t="shared" si="1879"/>
        <v>5.6603773584905648E-2</v>
      </c>
      <c r="CA264" s="683">
        <f t="shared" si="1879"/>
        <v>2.1943573667711602E-2</v>
      </c>
      <c r="CB264" s="683">
        <f t="shared" si="1879"/>
        <v>6.1443932411673341E-3</v>
      </c>
      <c r="CC264" s="683">
        <f t="shared" si="1879"/>
        <v>0</v>
      </c>
      <c r="CD264" s="683">
        <f t="shared" si="1879"/>
        <v>1.4880952380953438E-3</v>
      </c>
      <c r="CE264" s="683">
        <f t="shared" si="1879"/>
        <v>2.1472392638036908E-2</v>
      </c>
      <c r="CF264" s="683">
        <f t="shared" si="1879"/>
        <v>2.4427480916030531E-2</v>
      </c>
      <c r="CG264" s="683">
        <f t="shared" si="1879"/>
        <v>1.8099547511312153E-2</v>
      </c>
      <c r="CH264" s="683">
        <f t="shared" si="1879"/>
        <v>1.9316493313521477E-2</v>
      </c>
      <c r="CI264" s="683">
        <f t="shared" si="1879"/>
        <v>3.0030030030030019E-2</v>
      </c>
      <c r="CJ264" s="683">
        <f t="shared" si="1879"/>
        <v>2.9806259314456129E-2</v>
      </c>
      <c r="CK264" s="683">
        <f t="shared" si="1879"/>
        <v>2.8148148148148255E-2</v>
      </c>
      <c r="CL264" s="369">
        <f t="shared" ref="CL264" si="1880">CL262/CH262-1</f>
        <v>4.8104956268221644E-2</v>
      </c>
      <c r="CM264" s="369">
        <f t="shared" ref="CM264" si="1881">CM262/CI262-1</f>
        <v>5.1020408163265252E-2</v>
      </c>
      <c r="CN264" s="369">
        <f t="shared" ref="CN264" si="1882">CN262/CJ262-1</f>
        <v>5.2098408104196858E-2</v>
      </c>
      <c r="CO264" s="369">
        <f t="shared" ref="CO264" si="1883">CO262/CK262-1</f>
        <v>6.1959654178674439E-2</v>
      </c>
      <c r="CP264" s="369">
        <f t="shared" ref="CP264" si="1884">CP262/CL262-1</f>
        <v>5.5632823365785899E-2</v>
      </c>
      <c r="CQ264" s="369"/>
      <c r="CR264" s="369"/>
      <c r="CS264" s="369"/>
      <c r="CT264" s="369">
        <v>4.8104956268221644E-2</v>
      </c>
      <c r="CU264" s="716"/>
      <c r="CV264" s="83"/>
      <c r="CW264" s="83">
        <v>6.4516129032258007E-2</v>
      </c>
      <c r="CX264" s="83">
        <v>0.22727272727272729</v>
      </c>
      <c r="CY264" s="83">
        <v>0.17283950617283961</v>
      </c>
      <c r="CZ264" s="83">
        <v>0.15789473684210531</v>
      </c>
      <c r="DA264" s="83">
        <v>9.0909090909090828E-2</v>
      </c>
      <c r="DB264" s="83">
        <v>0.1166666666666667</v>
      </c>
      <c r="DC264" s="83">
        <v>0.24626865671641784</v>
      </c>
      <c r="DD264" s="83">
        <v>0.38922155688622762</v>
      </c>
      <c r="DE264" s="83">
        <v>0.19827586206896552</v>
      </c>
      <c r="DF264" s="83">
        <f t="shared" ref="DF264:DM264" si="1885">DF262/DE262-1</f>
        <v>0.19424460431654667</v>
      </c>
      <c r="DG264" s="83">
        <f t="shared" si="1885"/>
        <v>0.14457831325301207</v>
      </c>
      <c r="DH264" s="83">
        <f t="shared" si="1885"/>
        <v>0.16842105263157903</v>
      </c>
      <c r="DI264" s="83">
        <f t="shared" si="1885"/>
        <v>0.15315315315315314</v>
      </c>
      <c r="DJ264" s="83">
        <f t="shared" si="1885"/>
        <v>8.59375E-2</v>
      </c>
      <c r="DK264" s="83">
        <f t="shared" si="1885"/>
        <v>8.4532374100719343E-2</v>
      </c>
      <c r="DL264" s="683">
        <f t="shared" si="1885"/>
        <v>4.9751243781095411E-3</v>
      </c>
      <c r="DM264" s="683">
        <f t="shared" si="1885"/>
        <v>4.9504950495049549E-2</v>
      </c>
      <c r="DN264" s="683">
        <f t="shared" ref="DN264:DS264" si="1886">DN262/DM262-1</f>
        <v>5.6603773584905648E-2</v>
      </c>
      <c r="DO264" s="683">
        <f t="shared" si="1886"/>
        <v>1.4880952380953438E-3</v>
      </c>
      <c r="DP264" s="683">
        <f t="shared" si="1886"/>
        <v>1.9316493313521477E-2</v>
      </c>
      <c r="DQ264" s="683">
        <f t="shared" si="1886"/>
        <v>4.8104956268221644E-2</v>
      </c>
      <c r="DR264" s="683">
        <f t="shared" si="1886"/>
        <v>5.5632823365785899E-2</v>
      </c>
      <c r="DS264" s="83">
        <f t="shared" si="1886"/>
        <v>5.2700922266139649E-2</v>
      </c>
      <c r="DT264" s="83">
        <f t="shared" ref="DT264" si="1887">DT262/DS262-1</f>
        <v>5.0062578222778376E-2</v>
      </c>
      <c r="DU264" s="83">
        <f t="shared" ref="DU264" si="1888">DU262/DT262-1</f>
        <v>4.7675804529201393E-2</v>
      </c>
      <c r="DV264" s="83">
        <f t="shared" ref="DV264" si="1889">DV262/DU262-1</f>
        <v>4.550625711035261E-2</v>
      </c>
      <c r="DY264" s="83">
        <v>5.5632823365785899E-2</v>
      </c>
      <c r="DZ264" s="83">
        <v>5.2700922266139649E-2</v>
      </c>
    </row>
    <row r="265" spans="1:130">
      <c r="A265" s="45" t="s">
        <v>272</v>
      </c>
      <c r="B265" s="105">
        <v>2316.9491525423728</v>
      </c>
      <c r="C265" s="63">
        <v>2316.9491525423728</v>
      </c>
      <c r="D265" s="63">
        <v>2314.2166666666667</v>
      </c>
      <c r="E265" s="63">
        <v>2276.2786885245901</v>
      </c>
      <c r="F265" s="63">
        <v>2300</v>
      </c>
      <c r="G265" s="63">
        <v>2308.0645161290322</v>
      </c>
      <c r="H265" s="63">
        <v>2296.09375</v>
      </c>
      <c r="I265" s="63">
        <v>2296.75</v>
      </c>
      <c r="J265" s="63">
        <v>2283.3333333333335</v>
      </c>
      <c r="K265" s="63">
        <v>2275</v>
      </c>
      <c r="L265" s="63">
        <v>2240.2777777777778</v>
      </c>
      <c r="M265" s="63">
        <v>2233.3333333333335</v>
      </c>
      <c r="N265" s="63">
        <v>2197.5308641975307</v>
      </c>
      <c r="O265" s="63">
        <v>2197.5308641975307</v>
      </c>
      <c r="P265" s="63">
        <v>2212.6436781609195</v>
      </c>
      <c r="Q265" s="63">
        <v>2159.090909090909</v>
      </c>
      <c r="R265" s="63">
        <v>2142.1052631578946</v>
      </c>
      <c r="S265" s="63">
        <v>2139.5833333333335</v>
      </c>
      <c r="T265" s="63">
        <v>2121.7821782178216</v>
      </c>
      <c r="U265" s="63">
        <v>2112.6213592233012</v>
      </c>
      <c r="V265" s="63">
        <v>2088.181818181818</v>
      </c>
      <c r="W265" s="63">
        <v>2088.181818181818</v>
      </c>
      <c r="X265" s="63">
        <v>2092.1739130434785</v>
      </c>
      <c r="Y265" s="63">
        <v>2090.5172413793102</v>
      </c>
      <c r="Z265" s="63">
        <v>2080.8333333333335</v>
      </c>
      <c r="AA265" s="63">
        <v>2084.2975206611573</v>
      </c>
      <c r="AB265" s="63">
        <v>2075.1999999999998</v>
      </c>
      <c r="AC265" s="63">
        <v>2072.2222222222222</v>
      </c>
      <c r="AD265" s="63">
        <v>2050</v>
      </c>
      <c r="AE265" s="63">
        <v>2037.7777777777778</v>
      </c>
      <c r="AF265" s="63">
        <v>2005.5555555555557</v>
      </c>
      <c r="AG265" s="63">
        <v>1989.7260273972602</v>
      </c>
      <c r="AH265" s="63">
        <v>1904.1916167664672</v>
      </c>
      <c r="AI265" s="63">
        <v>1606</v>
      </c>
      <c r="AJ265" s="63">
        <v>1682.1256038647343</v>
      </c>
      <c r="AK265" s="63">
        <v>1582.4644549763034</v>
      </c>
      <c r="AL265" s="63">
        <v>1649.5689655172414</v>
      </c>
      <c r="AM265" s="63">
        <v>1643.1623931623931</v>
      </c>
      <c r="AN265" s="63">
        <v>1618.9300411522634</v>
      </c>
      <c r="AO265" s="63">
        <v>1607.9681274900399</v>
      </c>
      <c r="AP265" s="63">
        <v>1569.4244604316548</v>
      </c>
      <c r="AQ265" s="1227">
        <f t="shared" ref="AQ265:BU265" si="1890">AQ268/AQ262*1000</f>
        <v>1557.8398576512454</v>
      </c>
      <c r="AR265" s="1227">
        <f t="shared" si="1890"/>
        <v>1503.6303630363034</v>
      </c>
      <c r="AS265" s="1227">
        <f t="shared" si="1890"/>
        <v>1477.9552715654952</v>
      </c>
      <c r="AT265" s="1227">
        <f t="shared" si="1890"/>
        <v>1465.6626506024097</v>
      </c>
      <c r="AU265" s="1227">
        <f t="shared" si="1890"/>
        <v>1474.9999999999998</v>
      </c>
      <c r="AV265" s="1227">
        <f t="shared" si="1890"/>
        <v>1444.2485714285715</v>
      </c>
      <c r="AW265" s="1227">
        <f t="shared" si="1890"/>
        <v>1443.5393258426971</v>
      </c>
      <c r="AX265" s="1227">
        <f t="shared" si="1890"/>
        <v>1404.3117631578948</v>
      </c>
      <c r="AY265" s="1227">
        <f t="shared" si="1890"/>
        <v>1387.9234366925064</v>
      </c>
      <c r="AZ265" s="1227">
        <f t="shared" si="1890"/>
        <v>1353.4054901960783</v>
      </c>
      <c r="BA265" s="1227">
        <f t="shared" si="1890"/>
        <v>1343.4121052631581</v>
      </c>
      <c r="BB265" s="1227">
        <f t="shared" si="1890"/>
        <v>1316.7645045045051</v>
      </c>
      <c r="BC265" s="1227">
        <f t="shared" si="1890"/>
        <v>1303.9535698447894</v>
      </c>
      <c r="BD265" s="1227">
        <f t="shared" si="1890"/>
        <v>1274.5264270613109</v>
      </c>
      <c r="BE265" s="1227">
        <f t="shared" si="1890"/>
        <v>1295.463551020408</v>
      </c>
      <c r="BF265" s="1227">
        <f t="shared" si="1890"/>
        <v>1279.3355468749999</v>
      </c>
      <c r="BG265" s="1227">
        <f t="shared" si="1890"/>
        <v>1286.0000790513834</v>
      </c>
      <c r="BH265" s="1227">
        <f t="shared" si="1890"/>
        <v>1260.9307779886149</v>
      </c>
      <c r="BI265" s="1227">
        <f t="shared" si="1890"/>
        <v>1255.534823091248</v>
      </c>
      <c r="BJ265" s="1227">
        <f t="shared" si="1890"/>
        <v>1249.8924460431658</v>
      </c>
      <c r="BK265" s="1227">
        <f t="shared" si="1890"/>
        <v>1251.3879569892474</v>
      </c>
      <c r="BL265" s="1227">
        <f t="shared" si="1890"/>
        <v>1254.4042105263159</v>
      </c>
      <c r="BM265" s="1227">
        <f t="shared" si="1890"/>
        <v>1254.1342980935874</v>
      </c>
      <c r="BN265" s="1227">
        <f t="shared" si="1890"/>
        <v>1242.2865339966834</v>
      </c>
      <c r="BO265" s="1227">
        <f t="shared" si="1890"/>
        <v>1251.7882579564489</v>
      </c>
      <c r="BP265" s="1227">
        <f t="shared" si="1890"/>
        <v>1251.7882579564489</v>
      </c>
      <c r="BQ265" s="1227">
        <f t="shared" si="1890"/>
        <v>1247.7411570247937</v>
      </c>
      <c r="BR265" s="1227">
        <f t="shared" si="1890"/>
        <v>1246.6884653465349</v>
      </c>
      <c r="BS265" s="1227">
        <f t="shared" si="1890"/>
        <v>1244.8844884488449</v>
      </c>
      <c r="BT265" s="1227">
        <f t="shared" si="1890"/>
        <v>1231.2195418641393</v>
      </c>
      <c r="BU265" s="1227">
        <f t="shared" si="1890"/>
        <v>1228.4733858267716</v>
      </c>
      <c r="BV265" s="1227">
        <f>BV268/BV262*1000</f>
        <v>1228.3438679245285</v>
      </c>
      <c r="BW265" s="1227">
        <f t="shared" ref="BW265:CD265" si="1891">BW268/BW262*1000</f>
        <v>1226.0689184952978</v>
      </c>
      <c r="BX265" s="1227">
        <f t="shared" ref="BX265:CC265" si="1892">BX268/BX262*1000</f>
        <v>1214.2332104454686</v>
      </c>
      <c r="BY265" s="1227">
        <f t="shared" si="1892"/>
        <v>1207.6788989441934</v>
      </c>
      <c r="BZ265" s="1227">
        <f t="shared" si="1892"/>
        <v>1199.5069047619047</v>
      </c>
      <c r="CA265" s="1227">
        <f t="shared" si="1892"/>
        <v>1222.8675460122702</v>
      </c>
      <c r="CB265" s="1227">
        <f t="shared" si="1892"/>
        <v>1212.9422544529261</v>
      </c>
      <c r="CC265" s="1227">
        <f t="shared" si="1892"/>
        <v>1195.0058521870283</v>
      </c>
      <c r="CD265" s="1227">
        <f t="shared" si="1891"/>
        <v>1187.2017434373447</v>
      </c>
      <c r="CE265" s="1227">
        <f t="shared" ref="CE265:CF265" si="1893">CE268/CE262*1000</f>
        <v>1200.808938938939</v>
      </c>
      <c r="CF265" s="1227">
        <f t="shared" si="1893"/>
        <v>1192.9571932439146</v>
      </c>
      <c r="CG265" s="1227">
        <f t="shared" ref="CG265:CH265" si="1894">CG268/CG262*1000</f>
        <v>1180.6588740740742</v>
      </c>
      <c r="CH265" s="1227">
        <f t="shared" si="1894"/>
        <v>1164.4741848882411</v>
      </c>
      <c r="CI265" s="1227">
        <f t="shared" ref="CI265:CJ265" si="1895">CI268/CI262*1000</f>
        <v>1172.0348153547131</v>
      </c>
      <c r="CJ265" s="1227">
        <f t="shared" si="1895"/>
        <v>1164.344544138929</v>
      </c>
      <c r="CK265" s="1227">
        <f t="shared" ref="CK265" si="1896">CK268/CK262*1000</f>
        <v>1161.0895965417865</v>
      </c>
      <c r="CL265" s="1227">
        <f t="shared" ref="CL265:CP265" si="1897">CL268/CL262*1000</f>
        <v>1149.8153856425524</v>
      </c>
      <c r="CM265" s="1227">
        <f t="shared" si="1897"/>
        <v>1148.2683477564415</v>
      </c>
      <c r="CN265" s="1227">
        <f t="shared" si="1897"/>
        <v>1143.6783055001256</v>
      </c>
      <c r="CO265" s="1227">
        <f t="shared" si="1897"/>
        <v>1136.1943152993035</v>
      </c>
      <c r="CP265" s="1227">
        <f t="shared" si="1897"/>
        <v>1120.4237040645276</v>
      </c>
      <c r="CQ265" s="1227"/>
      <c r="CR265" s="367"/>
      <c r="CS265" s="367"/>
      <c r="CT265" s="1227">
        <v>1149.8153856425524</v>
      </c>
      <c r="CU265" s="716"/>
      <c r="CV265" s="63">
        <v>2300</v>
      </c>
      <c r="CW265" s="63">
        <v>2283.3333333333335</v>
      </c>
      <c r="CX265" s="63">
        <v>2197.5308641975307</v>
      </c>
      <c r="CY265" s="63">
        <v>2142.1052631578946</v>
      </c>
      <c r="CZ265" s="63">
        <v>2088.181818181818</v>
      </c>
      <c r="DA265" s="63">
        <v>2080.8333333333335</v>
      </c>
      <c r="DB265" s="63">
        <v>2050</v>
      </c>
      <c r="DC265" s="63">
        <v>1904.1916167664672</v>
      </c>
      <c r="DD265" s="63">
        <v>1649.5689655172414</v>
      </c>
      <c r="DE265" s="63">
        <v>1569.4244604316548</v>
      </c>
      <c r="DF265" s="63">
        <f t="shared" ref="DF265:DM265" si="1898">DF268/DF262</f>
        <v>1.4656626506024097</v>
      </c>
      <c r="DG265" s="63">
        <f t="shared" si="1898"/>
        <v>1.4043117631578947</v>
      </c>
      <c r="DH265" s="63">
        <f t="shared" si="1898"/>
        <v>1.3167645045045051</v>
      </c>
      <c r="DI265" s="63">
        <f t="shared" si="1898"/>
        <v>1.2793355468749998</v>
      </c>
      <c r="DJ265" s="63">
        <f t="shared" si="1898"/>
        <v>1.2498924460431657</v>
      </c>
      <c r="DK265" s="63">
        <f t="shared" si="1898"/>
        <v>1.2422865339966833</v>
      </c>
      <c r="DL265" s="1227">
        <f t="shared" si="1898"/>
        <v>1.2466884653465349</v>
      </c>
      <c r="DM265" s="1227">
        <f t="shared" si="1898"/>
        <v>1.2283438679245284</v>
      </c>
      <c r="DN265" s="1227">
        <f t="shared" ref="DN265:DS265" si="1899">DN268/DN262</f>
        <v>1.1995069047619047</v>
      </c>
      <c r="DO265" s="1227">
        <f t="shared" si="1899"/>
        <v>1.1872017434373447</v>
      </c>
      <c r="DP265" s="1227">
        <f t="shared" si="1899"/>
        <v>1.1644741848882412</v>
      </c>
      <c r="DQ265" s="1227">
        <f t="shared" si="1899"/>
        <v>1.1498153856425524</v>
      </c>
      <c r="DR265" s="1227">
        <f t="shared" ref="DR265" si="1900">DR268/DR262</f>
        <v>1.1204237040645275</v>
      </c>
      <c r="DS265" s="63">
        <f t="shared" si="1899"/>
        <v>1.0939748692027005</v>
      </c>
      <c r="DT265" s="63">
        <f t="shared" ref="DT265:DV265" si="1901">DT268/DT262</f>
        <v>1.0700479733026684</v>
      </c>
      <c r="DU265" s="63">
        <f t="shared" si="1901"/>
        <v>1.0482987243559956</v>
      </c>
      <c r="DV265" s="63">
        <f t="shared" si="1901"/>
        <v>1.0284427723796532</v>
      </c>
      <c r="DY265" s="63">
        <v>1.124529324498112</v>
      </c>
      <c r="DZ265" s="63">
        <v>1.1017750341816508</v>
      </c>
    </row>
    <row r="266" spans="1:130">
      <c r="A266" s="45" t="s">
        <v>273</v>
      </c>
      <c r="B266" s="105"/>
      <c r="C266" s="111">
        <v>0</v>
      </c>
      <c r="D266" s="111">
        <v>-1.1793465008533843E-3</v>
      </c>
      <c r="E266" s="111">
        <v>-1.6393442622950838E-2</v>
      </c>
      <c r="F266" s="111">
        <v>1.0421092810382282E-2</v>
      </c>
      <c r="G266" s="111">
        <v>3.5063113604487661E-3</v>
      </c>
      <c r="H266" s="111">
        <v>-5.1864954577218736E-3</v>
      </c>
      <c r="I266" s="111">
        <v>2.8581150051043558E-4</v>
      </c>
      <c r="J266" s="111">
        <v>-5.8415877508072311E-3</v>
      </c>
      <c r="K266" s="111">
        <v>-3.6496350364964014E-3</v>
      </c>
      <c r="L266" s="111">
        <v>-1.5262515262515208E-2</v>
      </c>
      <c r="M266" s="111">
        <v>-3.0998140111593298E-3</v>
      </c>
      <c r="N266" s="111">
        <v>-1.6030956329463941E-2</v>
      </c>
      <c r="O266" s="111">
        <v>0</v>
      </c>
      <c r="P266" s="111">
        <v>6.8771793878341647E-3</v>
      </c>
      <c r="Q266" s="111">
        <v>-2.4203069657615095E-2</v>
      </c>
      <c r="R266" s="111">
        <v>-7.8670360110804083E-3</v>
      </c>
      <c r="S266" s="111">
        <v>-1.1773136773135517E-3</v>
      </c>
      <c r="T266" s="111">
        <v>-8.3199167044262223E-3</v>
      </c>
      <c r="U266" s="111">
        <v>-4.3175115186494528E-3</v>
      </c>
      <c r="V266" s="111">
        <v>-1.156834893048142E-2</v>
      </c>
      <c r="W266" s="111">
        <v>0</v>
      </c>
      <c r="X266" s="111">
        <v>1.9117563551704908E-3</v>
      </c>
      <c r="Y266" s="111">
        <v>-7.9184223349682004E-4</v>
      </c>
      <c r="Z266" s="111">
        <v>-4.6323024054981676E-3</v>
      </c>
      <c r="AA266" s="111">
        <v>1.6648076865792838E-3</v>
      </c>
      <c r="AB266" s="111">
        <v>-4.3647898493260895E-3</v>
      </c>
      <c r="AC266" s="111">
        <v>-1.4349353208257254E-3</v>
      </c>
      <c r="AD266" s="111">
        <v>-1.072386058981234E-2</v>
      </c>
      <c r="AE266" s="111">
        <v>-5.9620596205961496E-3</v>
      </c>
      <c r="AF266" s="111">
        <v>-1.5812431842966213E-2</v>
      </c>
      <c r="AG266" s="111">
        <v>-7.8928395249119321E-3</v>
      </c>
      <c r="AH266" s="111">
        <v>-4.2988034258505281E-2</v>
      </c>
      <c r="AI266" s="111">
        <v>-0.15659748427672959</v>
      </c>
      <c r="AJ266" s="111">
        <v>4.7400749604442405E-2</v>
      </c>
      <c r="AK266" s="111">
        <v>-5.9247150545391203E-2</v>
      </c>
      <c r="AL266" s="111">
        <v>4.2405066559263016E-2</v>
      </c>
      <c r="AM266" s="111">
        <v>-3.8837856972167017E-3</v>
      </c>
      <c r="AN266" s="111">
        <v>-1.4747387179116611E-2</v>
      </c>
      <c r="AO266" s="111">
        <v>-6.7710854598889147E-3</v>
      </c>
      <c r="AP266" s="111">
        <v>-2.3970417323227688E-2</v>
      </c>
      <c r="AQ266" s="111">
        <f t="shared" ref="AQ266:BK266" si="1902">+AQ265/AP265-1</f>
        <v>-7.3814338137836444E-3</v>
      </c>
      <c r="AR266" s="111">
        <f t="shared" si="1902"/>
        <v>-3.4797860864000274E-2</v>
      </c>
      <c r="AS266" s="111">
        <f t="shared" si="1902"/>
        <v>-1.7075401044018612E-2</v>
      </c>
      <c r="AT266" s="111">
        <f t="shared" si="1902"/>
        <v>-8.3173159564327026E-3</v>
      </c>
      <c r="AU266" s="111">
        <f t="shared" si="1902"/>
        <v>6.3707357172213541E-3</v>
      </c>
      <c r="AV266" s="111">
        <f t="shared" si="1902"/>
        <v>-2.0848426150120836E-2</v>
      </c>
      <c r="AW266" s="111">
        <f t="shared" si="1902"/>
        <v>-4.9108276781806293E-4</v>
      </c>
      <c r="AX266" s="111">
        <f t="shared" si="1902"/>
        <v>-2.7174571542692316E-2</v>
      </c>
      <c r="AY266" s="111">
        <f t="shared" si="1902"/>
        <v>-1.16700058315653E-2</v>
      </c>
      <c r="AZ266" s="111">
        <f t="shared" si="1902"/>
        <v>-2.487020939619411E-2</v>
      </c>
      <c r="BA266" s="83">
        <f t="shared" si="1902"/>
        <v>-7.383880888108707E-3</v>
      </c>
      <c r="BB266" s="111">
        <f t="shared" si="1902"/>
        <v>-1.9835760489468779E-2</v>
      </c>
      <c r="BC266" s="83">
        <f t="shared" si="1902"/>
        <v>-9.7291008497654152E-3</v>
      </c>
      <c r="BD266" s="111">
        <f t="shared" si="1902"/>
        <v>-2.2567630829816498E-2</v>
      </c>
      <c r="BE266" s="1230">
        <f t="shared" si="1902"/>
        <v>1.6427375309409742E-2</v>
      </c>
      <c r="BF266" s="1230">
        <f t="shared" si="1902"/>
        <v>-1.2449600865037436E-2</v>
      </c>
      <c r="BG266" s="1230">
        <f t="shared" si="1902"/>
        <v>5.2093699676076799E-3</v>
      </c>
      <c r="BH266" s="1230">
        <f>+BH265/BG265-1</f>
        <v>-1.9494012069782185E-2</v>
      </c>
      <c r="BI266" s="1230">
        <f>+BI265/BH265-1</f>
        <v>-4.2793426820576519E-3</v>
      </c>
      <c r="BJ266" s="1230">
        <f t="shared" si="1902"/>
        <v>-4.4940028299573775E-3</v>
      </c>
      <c r="BK266" s="1230">
        <f t="shared" si="1902"/>
        <v>1.1965117085201982E-3</v>
      </c>
      <c r="BL266" s="1230">
        <f t="shared" ref="BL266:BV266" si="1903">+BL265/BK265-1</f>
        <v>2.4103264860606544E-3</v>
      </c>
      <c r="BM266" s="1230">
        <f t="shared" si="1903"/>
        <v>-2.1517181659902462E-4</v>
      </c>
      <c r="BN266" s="1230">
        <f t="shared" si="1903"/>
        <v>-9.4469660186423665E-3</v>
      </c>
      <c r="BO266" s="1230">
        <f t="shared" si="1903"/>
        <v>7.6485767974934227E-3</v>
      </c>
      <c r="BP266" s="1230">
        <f t="shared" si="1903"/>
        <v>0</v>
      </c>
      <c r="BQ266" s="1230">
        <f t="shared" si="1903"/>
        <v>-3.2330555155247742E-3</v>
      </c>
      <c r="BR266" s="1230">
        <f t="shared" si="1903"/>
        <v>-8.4367793138184766E-4</v>
      </c>
      <c r="BS266" s="1230">
        <f t="shared" si="1903"/>
        <v>-1.4470149903798024E-3</v>
      </c>
      <c r="BT266" s="1230">
        <f t="shared" si="1903"/>
        <v>-1.0976879149432128E-2</v>
      </c>
      <c r="BU266" s="1230">
        <f t="shared" si="1903"/>
        <v>-2.2304357135282116E-3</v>
      </c>
      <c r="BV266" s="1230">
        <f t="shared" si="1903"/>
        <v>-1.0542996188389608E-4</v>
      </c>
      <c r="BW266" s="1230">
        <f t="shared" ref="BW266:CK266" si="1904">+BW265/BV265-1</f>
        <v>-1.85204606677003E-3</v>
      </c>
      <c r="BX266" s="1230">
        <f t="shared" si="1904"/>
        <v>-9.6533790811325071E-3</v>
      </c>
      <c r="BY266" s="1230">
        <f t="shared" si="1904"/>
        <v>-5.3979016921061884E-3</v>
      </c>
      <c r="BZ266" s="1230">
        <f t="shared" si="1904"/>
        <v>-6.766694515763283E-3</v>
      </c>
      <c r="CA266" s="1230">
        <f t="shared" si="1904"/>
        <v>1.9475203650455297E-2</v>
      </c>
      <c r="CB266" s="1230">
        <f t="shared" si="1904"/>
        <v>-8.1164076941203644E-3</v>
      </c>
      <c r="CC266" s="1230">
        <f t="shared" si="1904"/>
        <v>-1.4787515399063866E-2</v>
      </c>
      <c r="CD266" s="1230">
        <f t="shared" si="1904"/>
        <v>-6.5306029551244205E-3</v>
      </c>
      <c r="CE266" s="1230">
        <f t="shared" si="1904"/>
        <v>1.146156967576295E-2</v>
      </c>
      <c r="CF266" s="1230">
        <f t="shared" si="1904"/>
        <v>-6.5387135625109005E-3</v>
      </c>
      <c r="CG266" s="1230">
        <f t="shared" si="1904"/>
        <v>-1.0309103494651417E-2</v>
      </c>
      <c r="CH266" s="1230">
        <f t="shared" si="1904"/>
        <v>-1.3708184083676023E-2</v>
      </c>
      <c r="CI266" s="1230">
        <f t="shared" si="1904"/>
        <v>6.4927420157430138E-3</v>
      </c>
      <c r="CJ266" s="1230">
        <f t="shared" si="1904"/>
        <v>-6.56146994529061E-3</v>
      </c>
      <c r="CK266" s="1230">
        <f t="shared" si="1904"/>
        <v>-2.7955192589059763E-3</v>
      </c>
      <c r="CL266" s="382">
        <f t="shared" ref="CL266" si="1905">+CL265/CK265-1</f>
        <v>-9.7100266274139369E-3</v>
      </c>
      <c r="CM266" s="382">
        <f t="shared" ref="CM266" si="1906">+CM265/CL265-1</f>
        <v>-1.3454663291415647E-3</v>
      </c>
      <c r="CN266" s="382">
        <f t="shared" ref="CN266" si="1907">+CN265/CM265-1</f>
        <v>-3.9973602558009969E-3</v>
      </c>
      <c r="CO266" s="382">
        <f t="shared" ref="CO266" si="1908">+CO265/CN265-1</f>
        <v>-6.5437895996018902E-3</v>
      </c>
      <c r="CP266" s="382">
        <f t="shared" ref="CP266" si="1909">+CP265/CO265-1</f>
        <v>-1.3880206072516388E-2</v>
      </c>
      <c r="CQ266" s="382"/>
      <c r="CR266" s="382"/>
      <c r="CS266" s="382"/>
      <c r="CT266" s="382">
        <v>-9.7100266274139369E-3</v>
      </c>
      <c r="CU266" s="716"/>
      <c r="CV266" s="63"/>
      <c r="CW266" s="63"/>
      <c r="CX266" s="110">
        <v>-3.7577723709110722E-2</v>
      </c>
      <c r="CY266" s="110">
        <v>-2.5221762270845716E-2</v>
      </c>
      <c r="CZ266" s="110">
        <v>-2.5173106991288829E-2</v>
      </c>
      <c r="DA266" s="110">
        <v>-3.5190828617035486E-3</v>
      </c>
      <c r="DB266" s="110">
        <v>-1.4817781337605251E-2</v>
      </c>
      <c r="DC266" s="110">
        <v>-7.1126040601723339E-2</v>
      </c>
      <c r="DD266" s="110">
        <v>-0.13371692691390158</v>
      </c>
      <c r="DE266" s="110">
        <v>-4.8585119362048901E-2</v>
      </c>
      <c r="DF266" s="110">
        <f t="shared" ref="DF266:DM266" si="1910">+DF265/DE265-1</f>
        <v>-0.99906611456138561</v>
      </c>
      <c r="DG266" s="110">
        <f t="shared" si="1910"/>
        <v>-4.185880524368879E-2</v>
      </c>
      <c r="DH266" s="110">
        <f t="shared" si="1910"/>
        <v>-6.2341754124825455E-2</v>
      </c>
      <c r="DI266" s="110">
        <f t="shared" si="1910"/>
        <v>-2.8424944248926054E-2</v>
      </c>
      <c r="DJ266" s="110">
        <f t="shared" si="1910"/>
        <v>-2.301436937616097E-2</v>
      </c>
      <c r="DK266" s="110">
        <f t="shared" si="1910"/>
        <v>-6.085253231636667E-3</v>
      </c>
      <c r="DL266" s="1245">
        <f t="shared" si="1910"/>
        <v>3.5434106620231276E-3</v>
      </c>
      <c r="DM266" s="1245">
        <f t="shared" si="1910"/>
        <v>-1.4714660423931436E-2</v>
      </c>
      <c r="DN266" s="1245">
        <f t="shared" ref="DN266:DS266" si="1911">+DN265/DM265-1</f>
        <v>-2.3476295128454616E-2</v>
      </c>
      <c r="DO266" s="1245">
        <f t="shared" si="1911"/>
        <v>-1.0258516458479638E-2</v>
      </c>
      <c r="DP266" s="1245">
        <f t="shared" si="1911"/>
        <v>-1.9143804896461614E-2</v>
      </c>
      <c r="DQ266" s="1245">
        <f t="shared" si="1911"/>
        <v>-1.2588341962338712E-2</v>
      </c>
      <c r="DR266" s="1245">
        <f t="shared" si="1911"/>
        <v>-2.5562087570779823E-2</v>
      </c>
      <c r="DS266" s="110">
        <f t="shared" si="1911"/>
        <v>-2.3606100768735372E-2</v>
      </c>
      <c r="DT266" s="110">
        <f t="shared" ref="DT266" si="1912">+DT265/DS265-1</f>
        <v>-2.1871522439514735E-2</v>
      </c>
      <c r="DU266" s="110">
        <f t="shared" ref="DU266" si="1913">+DU265/DT265-1</f>
        <v>-2.0325489594213653E-2</v>
      </c>
      <c r="DV266" s="110">
        <f t="shared" ref="DV266" si="1914">+DV265/DU265-1</f>
        <v>-1.894112004051185E-2</v>
      </c>
      <c r="DY266" s="110">
        <v>-2.1991409629911751E-2</v>
      </c>
      <c r="DZ266" s="110">
        <v>-2.0234501511658398E-2</v>
      </c>
    </row>
    <row r="267" spans="1:130">
      <c r="A267" s="45"/>
      <c r="B267" s="105"/>
      <c r="C267" s="63"/>
      <c r="D267" s="63"/>
      <c r="E267" s="63"/>
      <c r="F267" s="63"/>
      <c r="G267" s="63"/>
      <c r="H267" s="63"/>
      <c r="I267" s="63"/>
      <c r="J267" s="63"/>
      <c r="K267" s="63"/>
      <c r="L267" s="63"/>
      <c r="M267" s="63"/>
      <c r="N267" s="63"/>
      <c r="O267" s="63"/>
      <c r="P267" s="63"/>
      <c r="Q267" s="63"/>
      <c r="R267" s="63"/>
      <c r="S267" s="104"/>
      <c r="T267" s="104"/>
      <c r="U267" s="104"/>
      <c r="V267" s="104"/>
      <c r="W267" s="104"/>
      <c r="X267" s="104"/>
      <c r="Y267" s="104"/>
      <c r="Z267" s="104"/>
      <c r="AA267" s="63"/>
      <c r="AB267" s="63"/>
      <c r="AC267" s="63"/>
      <c r="AD267" s="63"/>
      <c r="AE267" s="63"/>
      <c r="AF267" s="63"/>
      <c r="AG267" s="63"/>
      <c r="AH267" s="63"/>
      <c r="AI267" s="63"/>
      <c r="AJ267" s="63"/>
      <c r="AK267" s="63"/>
      <c r="AL267" s="63"/>
      <c r="AM267" s="63"/>
      <c r="AN267" s="63"/>
      <c r="AO267" s="63"/>
      <c r="AP267" s="63"/>
      <c r="AQ267" s="63"/>
      <c r="AR267" s="63"/>
      <c r="AS267" s="63"/>
      <c r="AT267" s="63"/>
      <c r="AU267" s="63"/>
      <c r="AV267" s="63"/>
      <c r="AW267" s="63"/>
      <c r="AX267" s="63"/>
      <c r="AY267" s="63"/>
      <c r="AZ267" s="63"/>
      <c r="BA267" s="64"/>
      <c r="BB267" s="63"/>
      <c r="BC267" s="64"/>
      <c r="BD267" s="63"/>
      <c r="BE267" s="1227"/>
      <c r="BF267" s="1227"/>
      <c r="BG267" s="1227"/>
      <c r="BH267" s="1227"/>
      <c r="BI267" s="1227"/>
      <c r="BJ267" s="1227"/>
      <c r="BK267" s="1227"/>
      <c r="BL267" s="1227"/>
      <c r="BM267" s="1227"/>
      <c r="BN267" s="1227"/>
      <c r="BO267" s="1227"/>
      <c r="BP267" s="1227"/>
      <c r="BQ267" s="1227"/>
      <c r="BR267" s="1227"/>
      <c r="BS267" s="1227"/>
      <c r="BT267" s="1227"/>
      <c r="BU267" s="1227"/>
      <c r="BV267" s="1227"/>
      <c r="BW267" s="1227"/>
      <c r="BX267" s="1227"/>
      <c r="BY267" s="1227"/>
      <c r="BZ267" s="1227"/>
      <c r="CA267" s="1227"/>
      <c r="CB267" s="1227"/>
      <c r="CC267" s="1227"/>
      <c r="CD267" s="1227"/>
      <c r="CE267" s="1227"/>
      <c r="CF267" s="1227"/>
      <c r="CG267" s="1227"/>
      <c r="CH267" s="1227"/>
      <c r="CI267" s="1227"/>
      <c r="CJ267" s="1227"/>
      <c r="CK267" s="1227"/>
      <c r="CL267" s="367"/>
      <c r="CM267" s="367"/>
      <c r="CN267" s="367"/>
      <c r="CO267" s="367"/>
      <c r="CP267" s="367"/>
      <c r="CQ267" s="367"/>
      <c r="CR267" s="367"/>
      <c r="CS267" s="367"/>
      <c r="CT267" s="367"/>
      <c r="CU267" s="716"/>
      <c r="CV267" s="63"/>
      <c r="CW267" s="63"/>
      <c r="CX267" s="63"/>
      <c r="CY267" s="63"/>
      <c r="CZ267" s="63"/>
      <c r="DA267" s="63"/>
      <c r="DB267" s="103"/>
      <c r="DC267" s="103"/>
      <c r="DD267" s="103"/>
      <c r="DE267" s="103"/>
      <c r="DF267" s="103"/>
      <c r="DG267" s="103"/>
      <c r="DH267" s="103"/>
      <c r="DI267" s="103"/>
      <c r="DJ267" s="103"/>
      <c r="DK267" s="103"/>
      <c r="DL267" s="1242"/>
      <c r="DM267" s="1242"/>
      <c r="DN267" s="1242"/>
      <c r="DO267" s="1242"/>
      <c r="DP267" s="1242"/>
      <c r="DQ267" s="1242"/>
      <c r="DR267" s="1242"/>
      <c r="DS267" s="403"/>
      <c r="DT267" s="403"/>
      <c r="DU267" s="403"/>
      <c r="DV267" s="403"/>
      <c r="DY267" s="403"/>
      <c r="DZ267" s="403"/>
    </row>
    <row r="268" spans="1:130">
      <c r="A268" s="84" t="s">
        <v>274</v>
      </c>
      <c r="B268" s="102">
        <v>134383.05084745761</v>
      </c>
      <c r="C268" s="102">
        <v>136700</v>
      </c>
      <c r="D268" s="102">
        <v>138853</v>
      </c>
      <c r="E268" s="102">
        <v>138853</v>
      </c>
      <c r="F268" s="102">
        <v>142600</v>
      </c>
      <c r="G268" s="102">
        <v>143100</v>
      </c>
      <c r="H268" s="102">
        <v>146950</v>
      </c>
      <c r="I268" s="102">
        <v>146992</v>
      </c>
      <c r="J268" s="102">
        <v>150700</v>
      </c>
      <c r="K268" s="102">
        <v>154700</v>
      </c>
      <c r="L268" s="102">
        <v>161300</v>
      </c>
      <c r="M268" s="102">
        <v>167500</v>
      </c>
      <c r="N268" s="102">
        <v>178000</v>
      </c>
      <c r="O268" s="102">
        <v>178000</v>
      </c>
      <c r="P268" s="102">
        <v>192500</v>
      </c>
      <c r="Q268" s="102">
        <v>190000</v>
      </c>
      <c r="R268" s="102">
        <v>203500</v>
      </c>
      <c r="S268" s="102">
        <v>205400</v>
      </c>
      <c r="T268" s="102">
        <v>214300</v>
      </c>
      <c r="U268" s="102">
        <v>217600</v>
      </c>
      <c r="V268" s="102">
        <v>229700</v>
      </c>
      <c r="W268" s="102">
        <v>229700</v>
      </c>
      <c r="X268" s="102">
        <v>240600</v>
      </c>
      <c r="Y268" s="102">
        <v>242500</v>
      </c>
      <c r="Z268" s="102">
        <v>249700</v>
      </c>
      <c r="AA268" s="102">
        <v>252200</v>
      </c>
      <c r="AB268" s="102">
        <v>259400</v>
      </c>
      <c r="AC268" s="102">
        <v>261100</v>
      </c>
      <c r="AD268" s="102">
        <v>274700</v>
      </c>
      <c r="AE268" s="102">
        <v>275100</v>
      </c>
      <c r="AF268" s="102">
        <v>288800</v>
      </c>
      <c r="AG268" s="102">
        <v>290500</v>
      </c>
      <c r="AH268" s="102">
        <v>318000</v>
      </c>
      <c r="AI268" s="102">
        <v>321200</v>
      </c>
      <c r="AJ268" s="102">
        <v>348200</v>
      </c>
      <c r="AK268" s="102">
        <v>333900</v>
      </c>
      <c r="AL268" s="102">
        <v>382700</v>
      </c>
      <c r="AM268" s="102">
        <v>384500</v>
      </c>
      <c r="AN268" s="102">
        <v>393400</v>
      </c>
      <c r="AO268" s="102">
        <v>403600</v>
      </c>
      <c r="AP268" s="102">
        <v>436300</v>
      </c>
      <c r="AQ268" s="102">
        <f t="shared" ref="AQ268:BW268" si="1915">+AQ225+AQ237+AQ247</f>
        <v>437.75299999999999</v>
      </c>
      <c r="AR268" s="102">
        <f t="shared" si="1915"/>
        <v>455.59999999999997</v>
      </c>
      <c r="AS268" s="102">
        <f t="shared" si="1915"/>
        <v>462.59999999999997</v>
      </c>
      <c r="AT268" s="102">
        <f t="shared" si="1915"/>
        <v>486.6</v>
      </c>
      <c r="AU268" s="102">
        <f t="shared" si="1915"/>
        <v>489.7</v>
      </c>
      <c r="AV268" s="102">
        <f t="shared" si="1915"/>
        <v>505.48700000000002</v>
      </c>
      <c r="AW268" s="102">
        <f t="shared" si="1915"/>
        <v>513.90000000000009</v>
      </c>
      <c r="AX268" s="102">
        <f t="shared" si="1915"/>
        <v>533.63846999999998</v>
      </c>
      <c r="AY268" s="102">
        <f t="shared" si="1915"/>
        <v>537.12636999999995</v>
      </c>
      <c r="AZ268" s="102">
        <f t="shared" si="1915"/>
        <v>552.18943999999999</v>
      </c>
      <c r="BA268" s="102">
        <f t="shared" si="1915"/>
        <v>561.54626000000007</v>
      </c>
      <c r="BB268" s="102">
        <f t="shared" si="1915"/>
        <v>584.64344000000028</v>
      </c>
      <c r="BC268" s="102">
        <f t="shared" si="1915"/>
        <v>588.08306000000005</v>
      </c>
      <c r="BD268" s="102">
        <f t="shared" si="1915"/>
        <v>602.851</v>
      </c>
      <c r="BE268" s="132">
        <f t="shared" si="1915"/>
        <v>634.77713999999992</v>
      </c>
      <c r="BF268" s="132">
        <f t="shared" si="1915"/>
        <v>655.01979999999992</v>
      </c>
      <c r="BG268" s="132">
        <f t="shared" si="1915"/>
        <v>650.71604000000002</v>
      </c>
      <c r="BH268" s="132">
        <f t="shared" si="1915"/>
        <v>664.51052000000004</v>
      </c>
      <c r="BI268" s="132">
        <f t="shared" si="1915"/>
        <v>674.22220000000016</v>
      </c>
      <c r="BJ268" s="132">
        <f t="shared" si="1915"/>
        <v>694.94020000000012</v>
      </c>
      <c r="BK268" s="132">
        <f t="shared" si="1915"/>
        <v>698.27448000000004</v>
      </c>
      <c r="BL268" s="132">
        <f t="shared" si="1915"/>
        <v>715.0104</v>
      </c>
      <c r="BM268" s="132">
        <f t="shared" si="1915"/>
        <v>723.63549</v>
      </c>
      <c r="BN268" s="132">
        <f t="shared" si="1915"/>
        <v>749.09878000000003</v>
      </c>
      <c r="BO268" s="132">
        <f t="shared" si="1915"/>
        <v>747.31759</v>
      </c>
      <c r="BP268" s="132">
        <f t="shared" si="1915"/>
        <v>747.31759</v>
      </c>
      <c r="BQ268" s="132">
        <f t="shared" si="1915"/>
        <v>754.88340000000017</v>
      </c>
      <c r="BR268" s="132">
        <f t="shared" si="1915"/>
        <v>755.49321000000009</v>
      </c>
      <c r="BS268" s="132">
        <f t="shared" si="1915"/>
        <v>754.4</v>
      </c>
      <c r="BT268" s="132">
        <f t="shared" si="1915"/>
        <v>779.36197000000004</v>
      </c>
      <c r="BU268" s="132">
        <f t="shared" si="1915"/>
        <v>780.0806</v>
      </c>
      <c r="BV268" s="132">
        <f t="shared" si="1915"/>
        <v>781.22670000000005</v>
      </c>
      <c r="BW268" s="132">
        <f t="shared" si="1915"/>
        <v>782.23196999999993</v>
      </c>
      <c r="BX268" s="132">
        <f t="shared" ref="BX268:CC268" si="1916">+BX225+BX237+BX247</f>
        <v>790.46582000000001</v>
      </c>
      <c r="BY268" s="132">
        <f t="shared" si="1916"/>
        <v>800.69111000000021</v>
      </c>
      <c r="BZ268" s="132">
        <f t="shared" si="1916"/>
        <v>806.06863999999996</v>
      </c>
      <c r="CA268" s="132">
        <f t="shared" si="1916"/>
        <v>797.30964000000017</v>
      </c>
      <c r="CB268" s="132">
        <f t="shared" si="1916"/>
        <v>794.47717666666665</v>
      </c>
      <c r="CC268" s="132">
        <f t="shared" si="1916"/>
        <v>792.28887999999984</v>
      </c>
      <c r="CD268" s="132">
        <f t="shared" ref="CD268:CE268" si="1917">+CD225+CD237+CD247</f>
        <v>798.98677333333296</v>
      </c>
      <c r="CE268" s="132">
        <f t="shared" si="1917"/>
        <v>799.73875333333353</v>
      </c>
      <c r="CF268" s="132">
        <f t="shared" ref="CF268:CG268" si="1918">+CF225+CF237+CF247</f>
        <v>800.47427666666681</v>
      </c>
      <c r="CG268" s="132">
        <f t="shared" si="1918"/>
        <v>796.94474000000002</v>
      </c>
      <c r="CH268" s="132">
        <f>+CH225+CH237+CH247</f>
        <v>798.82929083333352</v>
      </c>
      <c r="CI268" s="132">
        <f>+CI225+CI237+CI247</f>
        <v>804.01588333333325</v>
      </c>
      <c r="CJ268" s="132">
        <f>+CJ225+CJ237+CJ247</f>
        <v>804.56207999999992</v>
      </c>
      <c r="CK268" s="132">
        <f>+CK225+CK237+CK247</f>
        <v>805.79617999999982</v>
      </c>
      <c r="CL268" s="370">
        <f t="shared" ref="CL268:CP268" si="1919">+CL225+CL237+CL247</f>
        <v>826.71726227699514</v>
      </c>
      <c r="CM268" s="370">
        <f t="shared" si="1919"/>
        <v>827.90147873239425</v>
      </c>
      <c r="CN268" s="370">
        <f t="shared" si="1919"/>
        <v>831.45412809859135</v>
      </c>
      <c r="CO268" s="370">
        <f t="shared" si="1919"/>
        <v>837.37521037558668</v>
      </c>
      <c r="CP268" s="370">
        <f t="shared" si="1919"/>
        <v>850.40159138497631</v>
      </c>
      <c r="CQ268" s="370"/>
      <c r="CR268" s="370"/>
      <c r="CS268" s="370"/>
      <c r="CT268" s="370">
        <v>826.71726227699514</v>
      </c>
      <c r="CU268" s="1108"/>
      <c r="CV268" s="102">
        <v>142600</v>
      </c>
      <c r="CW268" s="102">
        <v>150700</v>
      </c>
      <c r="CX268" s="102">
        <v>178000</v>
      </c>
      <c r="CY268" s="102">
        <v>203500</v>
      </c>
      <c r="CZ268" s="102">
        <v>229700</v>
      </c>
      <c r="DA268" s="102">
        <v>249700</v>
      </c>
      <c r="DB268" s="102">
        <v>274700</v>
      </c>
      <c r="DC268" s="102">
        <v>318000</v>
      </c>
      <c r="DD268" s="102">
        <v>382700</v>
      </c>
      <c r="DE268" s="102">
        <v>436300</v>
      </c>
      <c r="DF268" s="102">
        <f>AT268</f>
        <v>486.6</v>
      </c>
      <c r="DG268" s="102">
        <f t="shared" ref="DG268:DO268" si="1920">+DG225+DG237+DG247</f>
        <v>533.63846999999998</v>
      </c>
      <c r="DH268" s="102">
        <f t="shared" si="1920"/>
        <v>584.64344000000028</v>
      </c>
      <c r="DI268" s="102">
        <f t="shared" si="1920"/>
        <v>655.01979999999992</v>
      </c>
      <c r="DJ268" s="102">
        <f t="shared" si="1920"/>
        <v>694.94020000000012</v>
      </c>
      <c r="DK268" s="102">
        <f t="shared" si="1920"/>
        <v>749.09878000000003</v>
      </c>
      <c r="DL268" s="132">
        <f t="shared" si="1920"/>
        <v>755.49321000000009</v>
      </c>
      <c r="DM268" s="132">
        <f t="shared" si="1920"/>
        <v>781.22670000000005</v>
      </c>
      <c r="DN268" s="132">
        <f t="shared" si="1920"/>
        <v>806.06863999999996</v>
      </c>
      <c r="DO268" s="132">
        <f t="shared" si="1920"/>
        <v>798.98677333333296</v>
      </c>
      <c r="DP268" s="132">
        <f t="shared" ref="DP268:DQ268" si="1921">+DP225+DP237+DP247</f>
        <v>798.82929083333352</v>
      </c>
      <c r="DQ268" s="132">
        <f t="shared" si="1921"/>
        <v>826.71726227699514</v>
      </c>
      <c r="DR268" s="132">
        <f t="shared" ref="DR268" si="1922">+DR225+DR237+DR247</f>
        <v>850.40159138497631</v>
      </c>
      <c r="DS268" s="370">
        <f>+DS225+DS237+DS247</f>
        <v>874.0859204929576</v>
      </c>
      <c r="DT268" s="370">
        <f t="shared" ref="DT268:DV268" si="1923">+DT225+DT237+DT247</f>
        <v>897.77024960093877</v>
      </c>
      <c r="DU268" s="370">
        <f t="shared" si="1923"/>
        <v>921.45457870892005</v>
      </c>
      <c r="DV268" s="370">
        <f t="shared" si="1923"/>
        <v>945.13890781690122</v>
      </c>
      <c r="DY268" s="370">
        <v>853.517757294067</v>
      </c>
      <c r="DZ268" s="370">
        <v>880.31825231113896</v>
      </c>
    </row>
    <row r="269" spans="1:130">
      <c r="A269" s="45" t="s">
        <v>275</v>
      </c>
      <c r="B269" s="45"/>
      <c r="C269" s="62"/>
      <c r="D269" s="83">
        <v>1.5749817117776121E-2</v>
      </c>
      <c r="E269" s="83">
        <v>0</v>
      </c>
      <c r="F269" s="83">
        <v>2.6985373020388392E-2</v>
      </c>
      <c r="G269" s="83">
        <v>3.5063113604487661E-3</v>
      </c>
      <c r="H269" s="83">
        <v>2.6904262753319363E-2</v>
      </c>
      <c r="I269" s="83">
        <v>2.8581150051043558E-4</v>
      </c>
      <c r="J269" s="83">
        <v>2.5225862631979901E-2</v>
      </c>
      <c r="K269" s="83">
        <v>2.654280026542799E-2</v>
      </c>
      <c r="L269" s="83">
        <v>4.266321913380744E-2</v>
      </c>
      <c r="M269" s="83">
        <v>3.8437693738375689E-2</v>
      </c>
      <c r="N269" s="83">
        <v>6.2686567164179197E-2</v>
      </c>
      <c r="O269" s="83">
        <v>0</v>
      </c>
      <c r="P269" s="83">
        <v>8.1460674157303403E-2</v>
      </c>
      <c r="Q269" s="83">
        <v>-1.2987012987012991E-2</v>
      </c>
      <c r="R269" s="83">
        <v>7.1052631578947478E-2</v>
      </c>
      <c r="S269" s="83">
        <v>9.3366093366094027E-3</v>
      </c>
      <c r="T269" s="83">
        <v>4.3330087633885128E-2</v>
      </c>
      <c r="U269" s="83">
        <v>1.5398973401773208E-2</v>
      </c>
      <c r="V269" s="83">
        <v>5.5606617647058876E-2</v>
      </c>
      <c r="W269" s="83">
        <v>0</v>
      </c>
      <c r="X269" s="83">
        <v>4.7453199825859826E-2</v>
      </c>
      <c r="Y269" s="83">
        <v>7.8969243557771573E-3</v>
      </c>
      <c r="Z269" s="83">
        <v>2.9690721649484608E-2</v>
      </c>
      <c r="AA269" s="83">
        <v>1.0012014417300819E-2</v>
      </c>
      <c r="AB269" s="83">
        <v>2.8548770816811952E-2</v>
      </c>
      <c r="AC269" s="83">
        <v>6.5535851966076475E-3</v>
      </c>
      <c r="AD269" s="83">
        <v>5.2087322864802665E-2</v>
      </c>
      <c r="AE269" s="83">
        <v>1.4561339643246463E-3</v>
      </c>
      <c r="AF269" s="83">
        <v>4.9800072700836084E-2</v>
      </c>
      <c r="AG269" s="83">
        <v>5.886426592797811E-3</v>
      </c>
      <c r="AH269" s="83">
        <v>9.4664371772805511E-2</v>
      </c>
      <c r="AI269" s="83">
        <v>1.0062893081761004E-2</v>
      </c>
      <c r="AJ269" s="83">
        <v>8.405977584059765E-2</v>
      </c>
      <c r="AK269" s="83">
        <v>-4.1068351522113744E-2</v>
      </c>
      <c r="AL269" s="83">
        <v>0.14615154237795758</v>
      </c>
      <c r="AM269" s="83">
        <v>4.7034230467728477E-3</v>
      </c>
      <c r="AN269" s="83">
        <v>2.3146944083225041E-2</v>
      </c>
      <c r="AO269" s="83">
        <v>2.5927808845958245E-2</v>
      </c>
      <c r="AP269" s="83">
        <v>8.1020812685827615E-2</v>
      </c>
      <c r="AQ269" s="83">
        <f t="shared" ref="AQ269:BG269" si="1924">AQ268/AP268-1</f>
        <v>-0.99899666972266787</v>
      </c>
      <c r="AR269" s="83">
        <f t="shared" si="1924"/>
        <v>4.0769566399316393E-2</v>
      </c>
      <c r="AS269" s="83">
        <f t="shared" si="1924"/>
        <v>1.5364354697102733E-2</v>
      </c>
      <c r="AT269" s="83">
        <f t="shared" si="1924"/>
        <v>5.1880674448767872E-2</v>
      </c>
      <c r="AU269" s="83">
        <f t="shared" si="1924"/>
        <v>6.3707357172215762E-3</v>
      </c>
      <c r="AV269" s="83">
        <f t="shared" si="1924"/>
        <v>3.2238104962221792E-2</v>
      </c>
      <c r="AW269" s="83">
        <f t="shared" si="1924"/>
        <v>1.6643355813305005E-2</v>
      </c>
      <c r="AX269" s="83">
        <f t="shared" si="1924"/>
        <v>3.8409165207238471E-2</v>
      </c>
      <c r="AY269" s="83">
        <f t="shared" si="1924"/>
        <v>6.5360730083796614E-3</v>
      </c>
      <c r="AZ269" s="83">
        <f t="shared" si="1924"/>
        <v>2.8043810248973733E-2</v>
      </c>
      <c r="BA269" s="83">
        <f t="shared" si="1924"/>
        <v>1.6944945560712021E-2</v>
      </c>
      <c r="BB269" s="83">
        <f t="shared" si="1924"/>
        <v>4.1131393164296481E-2</v>
      </c>
      <c r="BC269" s="83">
        <f t="shared" si="1924"/>
        <v>5.8832781908915166E-3</v>
      </c>
      <c r="BD269" s="83">
        <f t="shared" si="1924"/>
        <v>2.5111996934582548E-2</v>
      </c>
      <c r="BE269" s="683">
        <f t="shared" si="1924"/>
        <v>5.295859175816231E-2</v>
      </c>
      <c r="BF269" s="683">
        <f t="shared" si="1924"/>
        <v>3.1889396647144519E-2</v>
      </c>
      <c r="BG269" s="683">
        <f t="shared" si="1924"/>
        <v>-6.5704273367002131E-3</v>
      </c>
      <c r="BH269" s="683">
        <f t="shared" ref="BH269:BV269" si="1925">BH268/BG268-1</f>
        <v>2.1198924188191137E-2</v>
      </c>
      <c r="BI269" s="683">
        <f t="shared" si="1925"/>
        <v>1.4614787437827292E-2</v>
      </c>
      <c r="BJ269" s="683">
        <f t="shared" si="1925"/>
        <v>3.0728741948870875E-2</v>
      </c>
      <c r="BK269" s="683">
        <f t="shared" si="1925"/>
        <v>4.7979380096301316E-3</v>
      </c>
      <c r="BL269" s="683">
        <f t="shared" si="1925"/>
        <v>2.3967537808341488E-2</v>
      </c>
      <c r="BM269" s="683">
        <f t="shared" si="1925"/>
        <v>1.2062887476881556E-2</v>
      </c>
      <c r="BN269" s="683">
        <f t="shared" si="1925"/>
        <v>3.5188006049841514E-2</v>
      </c>
      <c r="BO269" s="683">
        <f t="shared" si="1925"/>
        <v>-2.3777772004915931E-3</v>
      </c>
      <c r="BP269" s="683">
        <f t="shared" si="1925"/>
        <v>0</v>
      </c>
      <c r="BQ269" s="683">
        <f t="shared" si="1925"/>
        <v>1.0123955465841661E-2</v>
      </c>
      <c r="BR269" s="683">
        <f t="shared" si="1925"/>
        <v>8.0782012162394778E-4</v>
      </c>
      <c r="BS269" s="683">
        <f t="shared" si="1925"/>
        <v>-1.4470149903796914E-3</v>
      </c>
      <c r="BT269" s="683">
        <f t="shared" si="1925"/>
        <v>3.3088507423117752E-2</v>
      </c>
      <c r="BU269" s="683">
        <f t="shared" si="1925"/>
        <v>9.2207475815109241E-4</v>
      </c>
      <c r="BV269" s="683">
        <f t="shared" si="1925"/>
        <v>1.4692071562862896E-3</v>
      </c>
      <c r="BW269" s="683">
        <f t="shared" ref="BW269:CK269" si="1926">BW268/BV268-1</f>
        <v>1.2867839770451805E-3</v>
      </c>
      <c r="BX269" s="683">
        <f t="shared" si="1926"/>
        <v>1.0526097520662692E-2</v>
      </c>
      <c r="BY269" s="683">
        <f t="shared" si="1926"/>
        <v>1.2935777539375692E-2</v>
      </c>
      <c r="BZ269" s="683">
        <f t="shared" si="1926"/>
        <v>6.7161105360589168E-3</v>
      </c>
      <c r="CA269" s="683">
        <f t="shared" si="1926"/>
        <v>-1.0866320267712948E-2</v>
      </c>
      <c r="CB269" s="683">
        <f t="shared" si="1926"/>
        <v>-3.5525261344306891E-3</v>
      </c>
      <c r="CC269" s="683">
        <f t="shared" si="1926"/>
        <v>-2.7543858161516166E-3</v>
      </c>
      <c r="CD269" s="683">
        <f t="shared" si="1926"/>
        <v>8.4538525055823932E-3</v>
      </c>
      <c r="CE269" s="683">
        <f t="shared" si="1926"/>
        <v>9.4116701940305525E-4</v>
      </c>
      <c r="CF269" s="683">
        <f t="shared" si="1926"/>
        <v>9.1970450383649371E-4</v>
      </c>
      <c r="CG269" s="683">
        <f t="shared" si="1926"/>
        <v>-4.4093067941726183E-3</v>
      </c>
      <c r="CH269" s="683">
        <f t="shared" si="1926"/>
        <v>2.3647195831086876E-3</v>
      </c>
      <c r="CI269" s="683">
        <f t="shared" si="1926"/>
        <v>6.4927420157430138E-3</v>
      </c>
      <c r="CJ269" s="683">
        <f t="shared" si="1926"/>
        <v>6.7933566735312034E-4</v>
      </c>
      <c r="CK269" s="683">
        <f t="shared" si="1926"/>
        <v>1.5338779078426512E-3</v>
      </c>
      <c r="CL269" s="369">
        <f t="shared" ref="CL269" si="1927">CL268/CK268-1</f>
        <v>2.5963243306756922E-2</v>
      </c>
      <c r="CM269" s="369">
        <f t="shared" ref="CM269" si="1928">CM268/CL268-1</f>
        <v>1.4324322346159768E-3</v>
      </c>
      <c r="CN269" s="369">
        <f t="shared" ref="CN269" si="1929">CN268/CM268-1</f>
        <v>4.2911499223754479E-3</v>
      </c>
      <c r="CO269" s="369">
        <f t="shared" ref="CO269" si="1930">CO268/CN268-1</f>
        <v>7.1213577236497461E-3</v>
      </c>
      <c r="CP269" s="369">
        <f t="shared" ref="CP269" si="1931">CP268/CO268-1</f>
        <v>1.5556205686512836E-2</v>
      </c>
      <c r="CQ269" s="369"/>
      <c r="CR269" s="369"/>
      <c r="CS269" s="369"/>
      <c r="CT269" s="369">
        <v>2.5963243306756922E-2</v>
      </c>
      <c r="CU269" s="716"/>
      <c r="CV269" s="83"/>
      <c r="CW269" s="83">
        <v>5.6802244039270589E-2</v>
      </c>
      <c r="CX269" s="83">
        <v>0.18115461181154613</v>
      </c>
      <c r="CY269" s="83">
        <v>0.14325842696629221</v>
      </c>
      <c r="CZ269" s="83">
        <v>0.12874692874692872</v>
      </c>
      <c r="DA269" s="83">
        <v>8.7070091423596008E-2</v>
      </c>
      <c r="DB269" s="83">
        <v>0.10012014417300752</v>
      </c>
      <c r="DC269" s="83">
        <v>0.15762650163815062</v>
      </c>
      <c r="DD269" s="83">
        <v>0.20345911949685536</v>
      </c>
      <c r="DE269" s="83">
        <v>0.1400574862816828</v>
      </c>
      <c r="DF269" s="83">
        <f t="shared" ref="DF269:DK269" si="1932">DF268/DE268-1</f>
        <v>-0.99888471235388498</v>
      </c>
      <c r="DG269" s="83">
        <f t="shared" si="1932"/>
        <v>9.6667632552404292E-2</v>
      </c>
      <c r="DH269" s="83">
        <f t="shared" si="1932"/>
        <v>9.5579634654151313E-2</v>
      </c>
      <c r="DI269" s="83">
        <f t="shared" si="1932"/>
        <v>0.12037483906430158</v>
      </c>
      <c r="DJ269" s="83">
        <f t="shared" si="1932"/>
        <v>6.0945333255575163E-2</v>
      </c>
      <c r="DK269" s="83">
        <f t="shared" si="1932"/>
        <v>7.7932719966408381E-2</v>
      </c>
      <c r="DL269" s="683">
        <f t="shared" ref="DL269:DS269" si="1933">DL268/DK268-1</f>
        <v>8.5361639488987784E-3</v>
      </c>
      <c r="DM269" s="683">
        <f t="shared" si="1933"/>
        <v>3.4061841535280024E-2</v>
      </c>
      <c r="DN269" s="683">
        <f t="shared" si="1933"/>
        <v>3.1798631562387492E-2</v>
      </c>
      <c r="DO269" s="683">
        <f t="shared" si="1933"/>
        <v>-8.7856868698762414E-3</v>
      </c>
      <c r="DP269" s="683">
        <f t="shared" si="1933"/>
        <v>-1.9710276221773793E-4</v>
      </c>
      <c r="DQ269" s="683">
        <f t="shared" si="1933"/>
        <v>3.4911052666295017E-2</v>
      </c>
      <c r="DR269" s="683">
        <f t="shared" si="1933"/>
        <v>2.864864469231998E-2</v>
      </c>
      <c r="DS269" s="683">
        <f t="shared" si="1933"/>
        <v>2.7850758215784532E-2</v>
      </c>
      <c r="DT269" s="683">
        <f t="shared" ref="DT269" si="1934">DT268/DS268-1</f>
        <v>2.7096110980284305E-2</v>
      </c>
      <c r="DU269" s="683">
        <f t="shared" ref="DU269" si="1935">DU268/DT268-1</f>
        <v>2.6381280866133672E-2</v>
      </c>
      <c r="DV269" s="683">
        <f t="shared" ref="DV269" si="1936">DV268/DU268-1</f>
        <v>2.5703197591319116E-2</v>
      </c>
      <c r="DY269" s="683">
        <v>3.2417969528368396E-2</v>
      </c>
      <c r="DZ269" s="683">
        <v>3.1400043863221372E-2</v>
      </c>
    </row>
    <row r="270" spans="1:130">
      <c r="A270" s="45" t="s">
        <v>92</v>
      </c>
      <c r="B270" s="45"/>
      <c r="C270" s="63"/>
      <c r="D270" s="63"/>
      <c r="E270" s="63"/>
      <c r="F270" s="63"/>
      <c r="G270" s="83">
        <v>4.681784930504751E-2</v>
      </c>
      <c r="H270" s="83">
        <v>5.8313468200182905E-2</v>
      </c>
      <c r="I270" s="83">
        <v>5.8615946360539573E-2</v>
      </c>
      <c r="J270" s="83">
        <v>5.6802244039270589E-2</v>
      </c>
      <c r="K270" s="83">
        <v>8.1062194269741372E-2</v>
      </c>
      <c r="L270" s="83">
        <v>9.7652262674378987E-2</v>
      </c>
      <c r="M270" s="83">
        <v>0.13951779688690547</v>
      </c>
      <c r="N270" s="83">
        <v>0.18115461181154613</v>
      </c>
      <c r="O270" s="83">
        <v>0.15061409179056229</v>
      </c>
      <c r="P270" s="83">
        <v>0.19342839429634218</v>
      </c>
      <c r="Q270" s="83">
        <v>0.13432835820895517</v>
      </c>
      <c r="R270" s="83">
        <v>0.14325842696629221</v>
      </c>
      <c r="S270" s="83">
        <v>0.15393258426966283</v>
      </c>
      <c r="T270" s="83">
        <v>0.11324675324675315</v>
      </c>
      <c r="U270" s="83">
        <v>0.14526315789473676</v>
      </c>
      <c r="V270" s="83">
        <v>0.12874692874692872</v>
      </c>
      <c r="W270" s="83">
        <v>0.11830574488802337</v>
      </c>
      <c r="X270" s="83">
        <v>0.12272515165655618</v>
      </c>
      <c r="Y270" s="83">
        <v>0.11443014705882359</v>
      </c>
      <c r="Z270" s="83">
        <v>8.7070091423596008E-2</v>
      </c>
      <c r="AA270" s="83">
        <v>9.7953852851545564E-2</v>
      </c>
      <c r="AB270" s="83">
        <v>7.8137988362427357E-2</v>
      </c>
      <c r="AC270" s="83">
        <v>7.670103092783509E-2</v>
      </c>
      <c r="AD270" s="83">
        <v>0.10012014417300752</v>
      </c>
      <c r="AE270" s="83">
        <v>9.0800951625693793E-2</v>
      </c>
      <c r="AF270" s="83">
        <v>0.11333847340015413</v>
      </c>
      <c r="AG270" s="83">
        <v>0.11260053619302957</v>
      </c>
      <c r="AH270" s="83">
        <v>0.15762650163815062</v>
      </c>
      <c r="AI270" s="83">
        <v>0.16757542711741191</v>
      </c>
      <c r="AJ270" s="83">
        <v>0.20567867036011078</v>
      </c>
      <c r="AK270" s="83">
        <v>0.14939759036144573</v>
      </c>
      <c r="AL270" s="83">
        <v>0.20345911949685536</v>
      </c>
      <c r="AM270" s="83">
        <v>0.19707347447073476</v>
      </c>
      <c r="AN270" s="83">
        <v>0.12981045376220557</v>
      </c>
      <c r="AO270" s="83">
        <v>0.20874513327343514</v>
      </c>
      <c r="AP270" s="83">
        <v>0.1400574862816828</v>
      </c>
      <c r="AQ270" s="83">
        <f t="shared" ref="AQ270:BG270" si="1937">AQ268/AM268-1</f>
        <v>-0.99886150065019508</v>
      </c>
      <c r="AR270" s="83">
        <f t="shared" si="1937"/>
        <v>-0.99884189120488054</v>
      </c>
      <c r="AS270" s="83">
        <f t="shared" si="1937"/>
        <v>-0.99885381565906839</v>
      </c>
      <c r="AT270" s="83">
        <f t="shared" si="1937"/>
        <v>-0.99888471235388498</v>
      </c>
      <c r="AU270" s="83">
        <f t="shared" si="1937"/>
        <v>0.11866737635150426</v>
      </c>
      <c r="AV270" s="83">
        <f t="shared" si="1937"/>
        <v>0.10949736611062355</v>
      </c>
      <c r="AW270" s="83">
        <f t="shared" si="1937"/>
        <v>0.11089494163424152</v>
      </c>
      <c r="AX270" s="83">
        <f t="shared" si="1937"/>
        <v>9.6667632552404292E-2</v>
      </c>
      <c r="AY270" s="83">
        <f t="shared" si="1937"/>
        <v>9.6847804778435798E-2</v>
      </c>
      <c r="AZ270" s="83">
        <f t="shared" si="1937"/>
        <v>9.2390981370440661E-2</v>
      </c>
      <c r="BA270" s="83">
        <f t="shared" si="1937"/>
        <v>9.2715041836933132E-2</v>
      </c>
      <c r="BB270" s="83">
        <f t="shared" si="1937"/>
        <v>9.5579634654151313E-2</v>
      </c>
      <c r="BC270" s="83">
        <f t="shared" si="1937"/>
        <v>9.4869090117471133E-2</v>
      </c>
      <c r="BD270" s="83">
        <f t="shared" si="1937"/>
        <v>9.1746702001400227E-2</v>
      </c>
      <c r="BE270" s="683">
        <f t="shared" si="1937"/>
        <v>0.13040934508227298</v>
      </c>
      <c r="BF270" s="683">
        <f t="shared" si="1937"/>
        <v>0.12037483906430158</v>
      </c>
      <c r="BG270" s="683">
        <f t="shared" si="1937"/>
        <v>0.10650362892615872</v>
      </c>
      <c r="BH270" s="683">
        <f t="shared" ref="BH270:BV270" si="1938">BH268/BD268-1</f>
        <v>0.10227986683276646</v>
      </c>
      <c r="BI270" s="683">
        <f t="shared" si="1938"/>
        <v>6.2140013422663953E-2</v>
      </c>
      <c r="BJ270" s="683">
        <f t="shared" si="1938"/>
        <v>6.0945333255575163E-2</v>
      </c>
      <c r="BK270" s="683">
        <f t="shared" si="1938"/>
        <v>7.3086318880352108E-2</v>
      </c>
      <c r="BL270" s="683">
        <f t="shared" si="1938"/>
        <v>7.5995606510488312E-2</v>
      </c>
      <c r="BM270" s="683">
        <f t="shared" si="1938"/>
        <v>7.3289325091935309E-2</v>
      </c>
      <c r="BN270" s="683">
        <f t="shared" si="1938"/>
        <v>7.7932719966408381E-2</v>
      </c>
      <c r="BO270" s="683">
        <f t="shared" si="1938"/>
        <v>7.0234716296663002E-2</v>
      </c>
      <c r="BP270" s="683">
        <f t="shared" si="1938"/>
        <v>4.5184223893806275E-2</v>
      </c>
      <c r="BQ270" s="683">
        <f t="shared" si="1938"/>
        <v>4.3181837308725823E-2</v>
      </c>
      <c r="BR270" s="683">
        <f t="shared" si="1938"/>
        <v>8.5361639488987784E-3</v>
      </c>
      <c r="BS270" s="683">
        <f t="shared" si="1938"/>
        <v>9.4771086547018601E-3</v>
      </c>
      <c r="BT270" s="683">
        <f t="shared" si="1938"/>
        <v>4.2879199457890538E-2</v>
      </c>
      <c r="BU270" s="683">
        <f t="shared" si="1938"/>
        <v>3.337892977908874E-2</v>
      </c>
      <c r="BV270" s="683">
        <f t="shared" si="1938"/>
        <v>3.4061841535280024E-2</v>
      </c>
      <c r="BW270" s="683">
        <f t="shared" ref="BW270:CK270" si="1939">BW268/BS268-1</f>
        <v>3.6892855249204715E-2</v>
      </c>
      <c r="BX270" s="683">
        <f t="shared" si="1939"/>
        <v>1.4247359285442185E-2</v>
      </c>
      <c r="BY270" s="683">
        <f t="shared" si="1939"/>
        <v>2.6421000599169187E-2</v>
      </c>
      <c r="BZ270" s="683">
        <f t="shared" si="1939"/>
        <v>3.1798631562387492E-2</v>
      </c>
      <c r="CA270" s="683">
        <f t="shared" si="1939"/>
        <v>1.9275190197097558E-2</v>
      </c>
      <c r="CB270" s="683">
        <f t="shared" si="1939"/>
        <v>5.0746744073850714E-3</v>
      </c>
      <c r="CC270" s="683">
        <f t="shared" si="1939"/>
        <v>-1.0493722104645831E-2</v>
      </c>
      <c r="CD270" s="683">
        <f t="shared" si="1939"/>
        <v>-8.7856868698762414E-3</v>
      </c>
      <c r="CE270" s="683">
        <f t="shared" si="1939"/>
        <v>3.0466373557622717E-3</v>
      </c>
      <c r="CF270" s="683">
        <f t="shared" si="1939"/>
        <v>7.5484861946089055E-3</v>
      </c>
      <c r="CG270" s="683">
        <f t="shared" si="1939"/>
        <v>5.876467684363007E-3</v>
      </c>
      <c r="CH270" s="683">
        <f t="shared" si="1939"/>
        <v>-1.9710276221773793E-4</v>
      </c>
      <c r="CI270" s="683">
        <f t="shared" si="1939"/>
        <v>5.3481589858843659E-3</v>
      </c>
      <c r="CJ270" s="683">
        <f t="shared" si="1939"/>
        <v>5.1067266650410836E-3</v>
      </c>
      <c r="CK270" s="683">
        <f t="shared" si="1939"/>
        <v>1.1106717386703435E-2</v>
      </c>
      <c r="CL270" s="369">
        <f t="shared" ref="CL270" si="1940">CL268/CH268-1</f>
        <v>3.4911052666295017E-2</v>
      </c>
      <c r="CM270" s="369">
        <f t="shared" ref="CM270" si="1941">CM268/CI268-1</f>
        <v>2.9707865098429043E-2</v>
      </c>
      <c r="CN270" s="369">
        <f t="shared" ref="CN270" si="1942">CN268/CJ268-1</f>
        <v>3.342445383281234E-2</v>
      </c>
      <c r="CO270" s="369">
        <f t="shared" ref="CO270" si="1943">CO268/CK268-1</f>
        <v>3.9189848697950946E-2</v>
      </c>
      <c r="CP270" s="369">
        <f t="shared" ref="CP270" si="1944">CP268/CL268-1</f>
        <v>2.864864469231998E-2</v>
      </c>
      <c r="CQ270" s="369"/>
      <c r="CR270" s="369"/>
      <c r="CS270" s="369"/>
      <c r="CT270" s="369">
        <v>3.4911052666295017E-2</v>
      </c>
      <c r="CU270" s="716"/>
      <c r="CV270" s="83"/>
      <c r="CW270" s="45"/>
      <c r="CX270" s="45"/>
      <c r="CY270" s="62"/>
      <c r="CZ270" s="45"/>
      <c r="DA270" s="45"/>
      <c r="DB270" s="45"/>
      <c r="DC270" s="45"/>
      <c r="DD270" s="45"/>
      <c r="DE270" s="45"/>
      <c r="DF270" s="45"/>
      <c r="DG270" s="45"/>
      <c r="DH270" s="45"/>
      <c r="DI270" s="45"/>
      <c r="DJ270" s="45"/>
      <c r="DK270" s="45"/>
      <c r="DL270" s="1246"/>
      <c r="DM270" s="1246"/>
      <c r="DN270" s="1246"/>
      <c r="DO270" s="1246"/>
      <c r="DP270" s="1246"/>
      <c r="DQ270" s="1246"/>
      <c r="DR270" s="1246"/>
      <c r="DS270" s="369"/>
      <c r="DT270" s="369"/>
      <c r="DU270" s="369"/>
      <c r="DV270" s="369"/>
      <c r="DY270" s="369"/>
      <c r="DZ270" s="369"/>
    </row>
    <row r="271" spans="1:130">
      <c r="A271" s="45" t="s">
        <v>276</v>
      </c>
      <c r="B271" s="45"/>
      <c r="C271" s="62">
        <v>2316.9491525423946</v>
      </c>
      <c r="D271" s="62">
        <v>2153</v>
      </c>
      <c r="E271" s="62">
        <v>0</v>
      </c>
      <c r="F271" s="62">
        <v>3747</v>
      </c>
      <c r="G271" s="62">
        <v>500</v>
      </c>
      <c r="H271" s="62">
        <v>3850</v>
      </c>
      <c r="I271" s="62">
        <v>42</v>
      </c>
      <c r="J271" s="62">
        <v>3708</v>
      </c>
      <c r="K271" s="62">
        <v>4000</v>
      </c>
      <c r="L271" s="62">
        <v>6600</v>
      </c>
      <c r="M271" s="62">
        <v>6200</v>
      </c>
      <c r="N271" s="62">
        <v>10500</v>
      </c>
      <c r="O271" s="62">
        <v>0</v>
      </c>
      <c r="P271" s="62">
        <v>14500</v>
      </c>
      <c r="Q271" s="62">
        <v>-2500</v>
      </c>
      <c r="R271" s="62">
        <v>13500</v>
      </c>
      <c r="S271" s="62">
        <v>1900</v>
      </c>
      <c r="T271" s="62">
        <v>8900</v>
      </c>
      <c r="U271" s="62">
        <v>3300</v>
      </c>
      <c r="V271" s="62">
        <v>12100</v>
      </c>
      <c r="W271" s="62">
        <v>0</v>
      </c>
      <c r="X271" s="62">
        <v>10900</v>
      </c>
      <c r="Y271" s="62">
        <v>1900</v>
      </c>
      <c r="Z271" s="62">
        <v>7200</v>
      </c>
      <c r="AA271" s="62">
        <v>2500</v>
      </c>
      <c r="AB271" s="62">
        <v>7200</v>
      </c>
      <c r="AC271" s="62">
        <v>1700</v>
      </c>
      <c r="AD271" s="62">
        <v>13600</v>
      </c>
      <c r="AE271" s="62">
        <v>400</v>
      </c>
      <c r="AF271" s="62">
        <v>13700</v>
      </c>
      <c r="AG271" s="62">
        <v>1700</v>
      </c>
      <c r="AH271" s="62">
        <v>27500</v>
      </c>
      <c r="AI271" s="62">
        <v>3200</v>
      </c>
      <c r="AJ271" s="62">
        <v>27000</v>
      </c>
      <c r="AK271" s="62">
        <v>-14300</v>
      </c>
      <c r="AL271" s="62">
        <v>48800</v>
      </c>
      <c r="AM271" s="62">
        <v>1800</v>
      </c>
      <c r="AN271" s="62">
        <v>8900</v>
      </c>
      <c r="AO271" s="62">
        <v>10200</v>
      </c>
      <c r="AP271" s="62">
        <v>32700</v>
      </c>
      <c r="AQ271" s="1235">
        <f t="shared" ref="AQ271:BV271" si="1945">(AQ268-AP268)</f>
        <v>-435862.24699999997</v>
      </c>
      <c r="AR271" s="1235">
        <f t="shared" si="1945"/>
        <v>17.84699999999998</v>
      </c>
      <c r="AS271" s="1235">
        <f t="shared" si="1945"/>
        <v>7</v>
      </c>
      <c r="AT271" s="1235">
        <f t="shared" si="1945"/>
        <v>24.000000000000057</v>
      </c>
      <c r="AU271" s="1235">
        <f t="shared" si="1945"/>
        <v>3.0999999999999659</v>
      </c>
      <c r="AV271" s="1235">
        <f t="shared" si="1945"/>
        <v>15.787000000000035</v>
      </c>
      <c r="AW271" s="1235">
        <f t="shared" si="1945"/>
        <v>8.4130000000000678</v>
      </c>
      <c r="AX271" s="1235">
        <f t="shared" si="1945"/>
        <v>19.738469999999893</v>
      </c>
      <c r="AY271" s="1235">
        <f t="shared" si="1945"/>
        <v>3.4878999999999678</v>
      </c>
      <c r="AZ271" s="1235">
        <f t="shared" si="1945"/>
        <v>15.063070000000039</v>
      </c>
      <c r="BA271" s="1235">
        <f t="shared" si="1945"/>
        <v>9.3568200000000843</v>
      </c>
      <c r="BB271" s="1235">
        <f t="shared" si="1945"/>
        <v>23.097180000000208</v>
      </c>
      <c r="BC271" s="1235">
        <f t="shared" si="1945"/>
        <v>3.4396199999997634</v>
      </c>
      <c r="BD271" s="1235">
        <f t="shared" si="1945"/>
        <v>14.767939999999953</v>
      </c>
      <c r="BE271" s="1235">
        <f t="shared" si="1945"/>
        <v>31.926139999999918</v>
      </c>
      <c r="BF271" s="1235">
        <f t="shared" si="1945"/>
        <v>20.242660000000001</v>
      </c>
      <c r="BG271" s="1235">
        <f t="shared" si="1945"/>
        <v>-4.3037599999998974</v>
      </c>
      <c r="BH271" s="1235">
        <f t="shared" si="1945"/>
        <v>13.794480000000021</v>
      </c>
      <c r="BI271" s="1235">
        <f t="shared" si="1945"/>
        <v>9.7116800000001149</v>
      </c>
      <c r="BJ271" s="1235">
        <f t="shared" si="1945"/>
        <v>20.717999999999961</v>
      </c>
      <c r="BK271" s="1235">
        <f t="shared" si="1945"/>
        <v>3.3342799999999215</v>
      </c>
      <c r="BL271" s="1235">
        <f t="shared" si="1945"/>
        <v>16.735919999999965</v>
      </c>
      <c r="BM271" s="1235">
        <f t="shared" si="1945"/>
        <v>8.6250900000000001</v>
      </c>
      <c r="BN271" s="1235">
        <f t="shared" si="1945"/>
        <v>25.463290000000029</v>
      </c>
      <c r="BO271" s="1235">
        <f t="shared" si="1945"/>
        <v>-1.7811900000000378</v>
      </c>
      <c r="BP271" s="1235">
        <f t="shared" si="1945"/>
        <v>0</v>
      </c>
      <c r="BQ271" s="1235">
        <f t="shared" si="1945"/>
        <v>7.5658100000001696</v>
      </c>
      <c r="BR271" s="1235">
        <f t="shared" si="1945"/>
        <v>0.60980999999992491</v>
      </c>
      <c r="BS271" s="1235">
        <f t="shared" si="1945"/>
        <v>-1.0932100000001128</v>
      </c>
      <c r="BT271" s="1235">
        <f t="shared" si="1945"/>
        <v>24.961970000000065</v>
      </c>
      <c r="BU271" s="1235">
        <f t="shared" si="1945"/>
        <v>0.71862999999996191</v>
      </c>
      <c r="BV271" s="1235">
        <f t="shared" si="1945"/>
        <v>1.1461000000000467</v>
      </c>
      <c r="BW271" s="1235">
        <f t="shared" ref="BW271:CK271" si="1946">(BW268-BV268)</f>
        <v>1.0052699999998822</v>
      </c>
      <c r="BX271" s="1235">
        <f t="shared" si="1946"/>
        <v>8.2338500000000749</v>
      </c>
      <c r="BY271" s="1235">
        <f t="shared" si="1946"/>
        <v>10.2252900000002</v>
      </c>
      <c r="BZ271" s="1235">
        <f t="shared" si="1946"/>
        <v>5.3775299999997515</v>
      </c>
      <c r="CA271" s="1235">
        <f t="shared" si="1946"/>
        <v>-8.7589999999997872</v>
      </c>
      <c r="CB271" s="1235">
        <f t="shared" si="1946"/>
        <v>-2.8324633333335214</v>
      </c>
      <c r="CC271" s="1235">
        <f t="shared" si="1946"/>
        <v>-2.1882966666668153</v>
      </c>
      <c r="CD271" s="1235">
        <f t="shared" si="1946"/>
        <v>6.697893333333127</v>
      </c>
      <c r="CE271" s="1235">
        <f t="shared" si="1946"/>
        <v>0.75198000000057164</v>
      </c>
      <c r="CF271" s="1235">
        <f t="shared" si="1946"/>
        <v>0.73552333333327624</v>
      </c>
      <c r="CG271" s="1235">
        <f t="shared" si="1946"/>
        <v>-3.529536666666786</v>
      </c>
      <c r="CH271" s="1235">
        <f t="shared" si="1946"/>
        <v>1.8845508333334919</v>
      </c>
      <c r="CI271" s="1235">
        <f t="shared" si="1946"/>
        <v>5.1865924999997333</v>
      </c>
      <c r="CJ271" s="1235">
        <f t="shared" si="1946"/>
        <v>0.54619666666667399</v>
      </c>
      <c r="CK271" s="1235">
        <f t="shared" si="1946"/>
        <v>1.2340999999998985</v>
      </c>
      <c r="CL271" s="1235">
        <f t="shared" ref="CL271" si="1947">(CL268-CK268)</f>
        <v>20.921082276995321</v>
      </c>
      <c r="CM271" s="1235">
        <f t="shared" ref="CM271" si="1948">(CM268-CL268)</f>
        <v>1.1842164553991097</v>
      </c>
      <c r="CN271" s="1235">
        <f t="shared" ref="CN271" si="1949">(CN268-CM268)</f>
        <v>3.5526493661971017</v>
      </c>
      <c r="CO271" s="1235">
        <f t="shared" ref="CO271" si="1950">(CO268-CN268)</f>
        <v>5.9210822769953211</v>
      </c>
      <c r="CP271" s="1235">
        <f t="shared" ref="CP271" si="1951">(CP268-CO268)</f>
        <v>13.026381009389638</v>
      </c>
      <c r="CQ271" s="1235"/>
      <c r="CR271" s="384"/>
      <c r="CS271" s="384"/>
      <c r="CT271" s="1235">
        <v>20.921082276995321</v>
      </c>
      <c r="CU271" s="1105"/>
      <c r="CV271" s="62">
        <v>142600</v>
      </c>
      <c r="CW271" s="62">
        <v>8100</v>
      </c>
      <c r="CX271" s="62">
        <v>27300</v>
      </c>
      <c r="CY271" s="62">
        <v>25500</v>
      </c>
      <c r="CZ271" s="62">
        <v>26200</v>
      </c>
      <c r="DA271" s="62">
        <v>20000</v>
      </c>
      <c r="DB271" s="62">
        <v>25000</v>
      </c>
      <c r="DC271" s="62">
        <v>43300</v>
      </c>
      <c r="DD271" s="62">
        <v>64700</v>
      </c>
      <c r="DE271" s="62">
        <v>53600</v>
      </c>
      <c r="DF271" s="62">
        <f t="shared" ref="DF271:DK271" si="1952">DF268-DE268</f>
        <v>-435813.4</v>
      </c>
      <c r="DG271" s="62">
        <f t="shared" si="1952"/>
        <v>47.038469999999961</v>
      </c>
      <c r="DH271" s="62">
        <f t="shared" si="1952"/>
        <v>51.004970000000299</v>
      </c>
      <c r="DI271" s="62">
        <f t="shared" si="1952"/>
        <v>70.376359999999636</v>
      </c>
      <c r="DJ271" s="62">
        <f t="shared" si="1952"/>
        <v>39.9204000000002</v>
      </c>
      <c r="DK271" s="62">
        <f t="shared" si="1952"/>
        <v>54.158579999999915</v>
      </c>
      <c r="DL271" s="1235">
        <f t="shared" ref="DL271:DS271" si="1953">DL268-DK268</f>
        <v>6.3944300000000567</v>
      </c>
      <c r="DM271" s="1235">
        <f t="shared" si="1953"/>
        <v>25.733489999999961</v>
      </c>
      <c r="DN271" s="1235">
        <f t="shared" si="1953"/>
        <v>24.841939999999909</v>
      </c>
      <c r="DO271" s="1235">
        <f t="shared" si="1953"/>
        <v>-7.0818666666669969</v>
      </c>
      <c r="DP271" s="1235">
        <f t="shared" si="1953"/>
        <v>-0.15748249999944619</v>
      </c>
      <c r="DQ271" s="1235">
        <f t="shared" si="1953"/>
        <v>27.887971443661627</v>
      </c>
      <c r="DR271" s="1235">
        <f t="shared" si="1953"/>
        <v>23.684329107981171</v>
      </c>
      <c r="DS271" s="1235">
        <f t="shared" si="1953"/>
        <v>23.684329107981284</v>
      </c>
      <c r="DT271" s="1235">
        <f t="shared" ref="DT271" si="1954">DT268-DS268</f>
        <v>23.684329107981171</v>
      </c>
      <c r="DU271" s="1235">
        <f t="shared" ref="DU271" si="1955">DU268-DT268</f>
        <v>23.684329107981284</v>
      </c>
      <c r="DV271" s="1235">
        <f t="shared" ref="DV271" si="1956">DV268-DU268</f>
        <v>23.684329107981171</v>
      </c>
      <c r="DY271" s="1235">
        <v>26.800495017071853</v>
      </c>
      <c r="DZ271" s="1235">
        <v>26.800495017071967</v>
      </c>
    </row>
    <row r="272" spans="1:130">
      <c r="A272" s="45" t="s">
        <v>277</v>
      </c>
      <c r="B272" s="45"/>
      <c r="C272" s="62"/>
      <c r="D272" s="62"/>
      <c r="E272" s="62"/>
      <c r="F272" s="62">
        <v>8216.9491525423946</v>
      </c>
      <c r="G272" s="62">
        <v>6400</v>
      </c>
      <c r="H272" s="62">
        <v>8097</v>
      </c>
      <c r="I272" s="62">
        <v>8139</v>
      </c>
      <c r="J272" s="62">
        <v>8100</v>
      </c>
      <c r="K272" s="62">
        <v>11600</v>
      </c>
      <c r="L272" s="62">
        <v>14350</v>
      </c>
      <c r="M272" s="62">
        <v>20508</v>
      </c>
      <c r="N272" s="62">
        <v>27300</v>
      </c>
      <c r="O272" s="62">
        <v>23300</v>
      </c>
      <c r="P272" s="62">
        <v>31200</v>
      </c>
      <c r="Q272" s="62">
        <v>22500</v>
      </c>
      <c r="R272" s="62">
        <v>25500</v>
      </c>
      <c r="S272" s="62">
        <v>27400</v>
      </c>
      <c r="T272" s="62">
        <v>21800</v>
      </c>
      <c r="U272" s="62">
        <v>27600</v>
      </c>
      <c r="V272" s="62">
        <v>26200</v>
      </c>
      <c r="W272" s="62">
        <v>24300</v>
      </c>
      <c r="X272" s="62">
        <v>26300</v>
      </c>
      <c r="Y272" s="62">
        <v>24900</v>
      </c>
      <c r="Z272" s="62">
        <v>20000</v>
      </c>
      <c r="AA272" s="62">
        <v>22500</v>
      </c>
      <c r="AB272" s="62">
        <v>18800</v>
      </c>
      <c r="AC272" s="62">
        <v>18600</v>
      </c>
      <c r="AD272" s="62">
        <v>25000</v>
      </c>
      <c r="AE272" s="62">
        <v>22900</v>
      </c>
      <c r="AF272" s="62">
        <v>29400</v>
      </c>
      <c r="AG272" s="62">
        <v>29400</v>
      </c>
      <c r="AH272" s="62">
        <v>43300</v>
      </c>
      <c r="AI272" s="62">
        <v>46100</v>
      </c>
      <c r="AJ272" s="62">
        <v>59400</v>
      </c>
      <c r="AK272" s="62">
        <v>43400</v>
      </c>
      <c r="AL272" s="62">
        <v>64700</v>
      </c>
      <c r="AM272" s="62">
        <v>63300</v>
      </c>
      <c r="AN272" s="62">
        <v>45200</v>
      </c>
      <c r="AO272" s="62">
        <v>69700</v>
      </c>
      <c r="AP272" s="62">
        <v>53600</v>
      </c>
      <c r="AQ272" s="1235">
        <f t="shared" ref="AQ272:BV272" si="1957">(AQ268-AM268)</f>
        <v>-384062.24699999997</v>
      </c>
      <c r="AR272" s="1235">
        <f t="shared" si="1957"/>
        <v>-392944.4</v>
      </c>
      <c r="AS272" s="1235">
        <f t="shared" si="1957"/>
        <v>-403137.4</v>
      </c>
      <c r="AT272" s="1235">
        <f t="shared" si="1957"/>
        <v>-435813.4</v>
      </c>
      <c r="AU272" s="1235">
        <f t="shared" si="1957"/>
        <v>51.947000000000003</v>
      </c>
      <c r="AV272" s="1235">
        <f t="shared" si="1957"/>
        <v>49.887000000000057</v>
      </c>
      <c r="AW272" s="1235">
        <f t="shared" si="1957"/>
        <v>51.300000000000125</v>
      </c>
      <c r="AX272" s="1235">
        <f t="shared" si="1957"/>
        <v>47.038469999999961</v>
      </c>
      <c r="AY272" s="1235">
        <f t="shared" si="1957"/>
        <v>47.426369999999963</v>
      </c>
      <c r="AZ272" s="1235">
        <f t="shared" si="1957"/>
        <v>46.702439999999967</v>
      </c>
      <c r="BA272" s="1235">
        <f t="shared" si="1957"/>
        <v>47.646259999999984</v>
      </c>
      <c r="BB272" s="1235">
        <f t="shared" si="1957"/>
        <v>51.004970000000299</v>
      </c>
      <c r="BC272" s="1235">
        <f t="shared" si="1957"/>
        <v>50.956690000000094</v>
      </c>
      <c r="BD272" s="1235">
        <f t="shared" si="1957"/>
        <v>50.661560000000009</v>
      </c>
      <c r="BE272" s="1235">
        <f t="shared" si="1957"/>
        <v>73.230879999999843</v>
      </c>
      <c r="BF272" s="1235">
        <f t="shared" si="1957"/>
        <v>70.376359999999636</v>
      </c>
      <c r="BG272" s="1235">
        <f t="shared" si="1957"/>
        <v>62.632979999999975</v>
      </c>
      <c r="BH272" s="1235">
        <f t="shared" si="1957"/>
        <v>61.659520000000043</v>
      </c>
      <c r="BI272" s="1235">
        <f t="shared" si="1957"/>
        <v>39.44506000000024</v>
      </c>
      <c r="BJ272" s="1235">
        <f t="shared" si="1957"/>
        <v>39.9204000000002</v>
      </c>
      <c r="BK272" s="1235">
        <f t="shared" si="1957"/>
        <v>47.558440000000019</v>
      </c>
      <c r="BL272" s="1235">
        <f t="shared" si="1957"/>
        <v>50.499879999999962</v>
      </c>
      <c r="BM272" s="1235">
        <f t="shared" si="1957"/>
        <v>49.413289999999847</v>
      </c>
      <c r="BN272" s="1235">
        <f t="shared" si="1957"/>
        <v>54.158579999999915</v>
      </c>
      <c r="BO272" s="1235">
        <f t="shared" si="1957"/>
        <v>49.043109999999956</v>
      </c>
      <c r="BP272" s="1235">
        <f t="shared" si="1957"/>
        <v>32.307189999999991</v>
      </c>
      <c r="BQ272" s="1235">
        <f t="shared" si="1957"/>
        <v>31.247910000000161</v>
      </c>
      <c r="BR272" s="1235">
        <f t="shared" si="1957"/>
        <v>6.3944300000000567</v>
      </c>
      <c r="BS272" s="1235">
        <f t="shared" si="1957"/>
        <v>7.0824099999999817</v>
      </c>
      <c r="BT272" s="1235">
        <f t="shared" si="1957"/>
        <v>32.044380000000046</v>
      </c>
      <c r="BU272" s="1235">
        <f t="shared" si="1957"/>
        <v>25.197199999999839</v>
      </c>
      <c r="BV272" s="1235">
        <f t="shared" si="1957"/>
        <v>25.733489999999961</v>
      </c>
      <c r="BW272" s="1235">
        <f t="shared" ref="BW272:CK272" si="1958">(BW268-BS268)</f>
        <v>27.831969999999956</v>
      </c>
      <c r="BX272" s="1235">
        <f t="shared" si="1958"/>
        <v>11.103849999999966</v>
      </c>
      <c r="BY272" s="1235">
        <f t="shared" si="1958"/>
        <v>20.610510000000204</v>
      </c>
      <c r="BZ272" s="1235">
        <f t="shared" si="1958"/>
        <v>24.841939999999909</v>
      </c>
      <c r="CA272" s="1235">
        <f t="shared" si="1958"/>
        <v>15.077670000000239</v>
      </c>
      <c r="CB272" s="1235">
        <f t="shared" si="1958"/>
        <v>4.0113566666666429</v>
      </c>
      <c r="CC272" s="1235">
        <f t="shared" si="1958"/>
        <v>-8.4022300000003725</v>
      </c>
      <c r="CD272" s="1235">
        <f t="shared" si="1958"/>
        <v>-7.0818666666669969</v>
      </c>
      <c r="CE272" s="1235">
        <f t="shared" si="1958"/>
        <v>2.4291133333333619</v>
      </c>
      <c r="CF272" s="1235">
        <f t="shared" si="1958"/>
        <v>5.9971000000001595</v>
      </c>
      <c r="CG272" s="1235">
        <f t="shared" si="1958"/>
        <v>4.6558600000001888</v>
      </c>
      <c r="CH272" s="1235">
        <f t="shared" si="1958"/>
        <v>-0.15748249999944619</v>
      </c>
      <c r="CI272" s="1235">
        <f t="shared" si="1958"/>
        <v>4.2771299999997154</v>
      </c>
      <c r="CJ272" s="1235">
        <f t="shared" si="1958"/>
        <v>4.0878033333331132</v>
      </c>
      <c r="CK272" s="1235">
        <f t="shared" si="1958"/>
        <v>8.8514399999997977</v>
      </c>
      <c r="CL272" s="1235">
        <f t="shared" ref="CL272" si="1959">(CL268-CH268)</f>
        <v>27.887971443661627</v>
      </c>
      <c r="CM272" s="1235">
        <f t="shared" ref="CM272" si="1960">(CM268-CI268)</f>
        <v>23.885595399061003</v>
      </c>
      <c r="CN272" s="1235">
        <f t="shared" ref="CN272" si="1961">(CN268-CJ268)</f>
        <v>26.892048098591431</v>
      </c>
      <c r="CO272" s="1235">
        <f t="shared" ref="CO272" si="1962">(CO268-CK268)</f>
        <v>31.579030375586854</v>
      </c>
      <c r="CP272" s="1235">
        <f t="shared" ref="CP272" si="1963">(CP268-CL268)</f>
        <v>23.684329107981171</v>
      </c>
      <c r="CQ272" s="1235"/>
      <c r="CR272" s="384"/>
      <c r="CS272" s="384"/>
      <c r="CT272" s="1235">
        <v>27.887971443661627</v>
      </c>
      <c r="CU272" s="1105"/>
      <c r="CV272" s="62"/>
      <c r="CW272" s="62"/>
      <c r="CX272" s="62"/>
      <c r="CY272" s="62"/>
      <c r="CZ272" s="62"/>
      <c r="DA272" s="62"/>
      <c r="DB272" s="62"/>
      <c r="DC272" s="62"/>
      <c r="DD272" s="62"/>
      <c r="DE272" s="62"/>
      <c r="DF272" s="62"/>
      <c r="DG272" s="62"/>
      <c r="DH272" s="62"/>
      <c r="DI272" s="62"/>
      <c r="DJ272" s="62"/>
      <c r="DK272" s="62"/>
      <c r="DL272" s="1235"/>
      <c r="DM272" s="1235"/>
      <c r="DN272" s="1235"/>
      <c r="DO272" s="1235"/>
      <c r="DP272" s="1235"/>
      <c r="DQ272" s="1235"/>
      <c r="DR272" s="1235"/>
      <c r="DS272" s="1235"/>
      <c r="DT272" s="1235"/>
      <c r="DU272" s="1235"/>
      <c r="DV272" s="1235"/>
      <c r="DY272" s="1235"/>
      <c r="DZ272" s="1235"/>
    </row>
    <row r="273" spans="1:130">
      <c r="A273" s="45"/>
      <c r="B273" s="45"/>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c r="AA273" s="62"/>
      <c r="AB273" s="62"/>
      <c r="AC273" s="62"/>
      <c r="AD273" s="62"/>
      <c r="AE273" s="62"/>
      <c r="AF273" s="62"/>
      <c r="AG273" s="62"/>
      <c r="AH273" s="62"/>
      <c r="AI273" s="62"/>
      <c r="AJ273" s="62"/>
      <c r="AK273" s="62"/>
      <c r="AL273" s="62"/>
      <c r="AM273" s="62"/>
      <c r="AN273" s="62"/>
      <c r="AO273" s="62"/>
      <c r="AP273" s="62"/>
      <c r="AQ273" s="62"/>
      <c r="AR273" s="62"/>
      <c r="AS273" s="62"/>
      <c r="AT273" s="62"/>
      <c r="AU273" s="62"/>
      <c r="AV273" s="62"/>
      <c r="AW273" s="62"/>
      <c r="AX273" s="62"/>
      <c r="AY273" s="62"/>
      <c r="AZ273" s="62"/>
      <c r="BA273" s="62"/>
      <c r="BB273" s="62"/>
      <c r="BC273" s="62"/>
      <c r="BD273" s="62"/>
      <c r="BE273" s="62"/>
      <c r="BF273" s="62"/>
      <c r="BG273" s="62"/>
      <c r="BH273" s="1235"/>
      <c r="BI273" s="1235"/>
      <c r="BJ273" s="1235"/>
      <c r="BK273" s="1235"/>
      <c r="BL273" s="1235"/>
      <c r="BM273" s="1235"/>
      <c r="BN273" s="1235"/>
      <c r="BO273" s="1235"/>
      <c r="BP273" s="1235"/>
      <c r="BQ273" s="1235"/>
      <c r="BR273" s="1235"/>
      <c r="BS273" s="1235"/>
      <c r="BT273" s="1235"/>
      <c r="BU273" s="1235"/>
      <c r="BV273" s="1235"/>
      <c r="BW273" s="1235"/>
      <c r="BX273" s="1235"/>
      <c r="BY273" s="1235"/>
      <c r="BZ273" s="1235"/>
      <c r="CA273" s="1235"/>
      <c r="CB273" s="1235"/>
      <c r="CC273" s="1235"/>
      <c r="CD273" s="1235"/>
      <c r="CE273" s="1235"/>
      <c r="CF273" s="1235"/>
      <c r="CG273" s="1235"/>
      <c r="CH273" s="1235"/>
      <c r="CI273" s="1235"/>
      <c r="CJ273" s="1235"/>
      <c r="CK273" s="1235"/>
      <c r="CL273" s="384"/>
      <c r="CM273" s="384"/>
      <c r="CN273" s="384"/>
      <c r="CO273" s="384"/>
      <c r="CP273" s="384"/>
      <c r="CQ273" s="384"/>
      <c r="CR273" s="384"/>
      <c r="CS273" s="384"/>
      <c r="CT273" s="384"/>
      <c r="CU273" s="1105"/>
      <c r="CV273" s="62"/>
      <c r="CW273" s="62"/>
      <c r="CX273" s="62"/>
      <c r="CY273" s="62"/>
      <c r="CZ273" s="62"/>
      <c r="DA273" s="62"/>
      <c r="DB273" s="62"/>
      <c r="DC273" s="62"/>
      <c r="DD273" s="62"/>
      <c r="DE273" s="62"/>
      <c r="DF273" s="62"/>
      <c r="DG273" s="62"/>
      <c r="DH273" s="62"/>
      <c r="DI273" s="62"/>
      <c r="DJ273" s="62"/>
      <c r="DK273" s="62"/>
      <c r="DL273" s="1235"/>
      <c r="DM273" s="1235"/>
      <c r="DN273" s="1235"/>
      <c r="DO273" s="1235"/>
      <c r="DP273" s="1235"/>
      <c r="DQ273" s="1235"/>
      <c r="DR273" s="1235"/>
      <c r="DS273" s="384"/>
      <c r="DT273" s="384"/>
      <c r="DU273" s="384"/>
      <c r="DV273" s="384"/>
      <c r="DY273" s="384"/>
      <c r="DZ273" s="384"/>
    </row>
    <row r="274" spans="1:130">
      <c r="A274" s="98" t="s">
        <v>278</v>
      </c>
      <c r="B274" s="96"/>
      <c r="C274" s="101">
        <v>115731.61016949153</v>
      </c>
      <c r="D274" s="101">
        <v>119297.86916666666</v>
      </c>
      <c r="E274" s="101">
        <v>119732.25901639345</v>
      </c>
      <c r="F274" s="101">
        <v>123395</v>
      </c>
      <c r="G274" s="101">
        <v>126828.14516129033</v>
      </c>
      <c r="H274" s="101">
        <v>131336.5625</v>
      </c>
      <c r="I274" s="101">
        <v>132522.47500000001</v>
      </c>
      <c r="J274" s="101">
        <v>135858.33333333334</v>
      </c>
      <c r="K274" s="101">
        <v>140140</v>
      </c>
      <c r="L274" s="101">
        <v>145506.04166666666</v>
      </c>
      <c r="M274" s="101">
        <v>149856.66666666669</v>
      </c>
      <c r="N274" s="101">
        <v>156024.69135802466</v>
      </c>
      <c r="O274" s="101">
        <v>157013.58024691357</v>
      </c>
      <c r="P274" s="101">
        <v>167939.6551724138</v>
      </c>
      <c r="Q274" s="101">
        <v>165818.18181818182</v>
      </c>
      <c r="R274" s="101">
        <v>174260.26315789472</v>
      </c>
      <c r="S274" s="101">
        <v>175873.75000000003</v>
      </c>
      <c r="T274" s="101">
        <v>183003.71287128711</v>
      </c>
      <c r="U274" s="101">
        <v>185276.89320388352</v>
      </c>
      <c r="V274" s="101">
        <v>193365.63636363635</v>
      </c>
      <c r="W274" s="101">
        <v>194096.5</v>
      </c>
      <c r="X274" s="101">
        <v>203359.30434782614</v>
      </c>
      <c r="Y274" s="101">
        <v>205393.31896551725</v>
      </c>
      <c r="Z274" s="101">
        <v>212036.91666666669</v>
      </c>
      <c r="AA274" s="101">
        <v>214370.00000000006</v>
      </c>
      <c r="AB274" s="101">
        <v>221631.35999999999</v>
      </c>
      <c r="AC274" s="101">
        <v>223592.77777777775</v>
      </c>
      <c r="AD274" s="101">
        <v>234417.5</v>
      </c>
      <c r="AE274" s="101">
        <v>234853.88888888888</v>
      </c>
      <c r="AF274" s="101">
        <v>245480</v>
      </c>
      <c r="AG274" s="101">
        <v>247024.48630136985</v>
      </c>
      <c r="AH274" s="101">
        <v>264873.0538922156</v>
      </c>
      <c r="AI274" s="101">
        <v>275348.7</v>
      </c>
      <c r="AJ274" s="101">
        <v>300259.4202898551</v>
      </c>
      <c r="AK274" s="101">
        <v>288483.27014218009</v>
      </c>
      <c r="AL274" s="101">
        <v>329089.00862068968</v>
      </c>
      <c r="AM274" s="101">
        <v>331015.06410256412</v>
      </c>
      <c r="AN274" s="101">
        <v>340137.20164609054</v>
      </c>
      <c r="AO274" s="101">
        <v>348446.69322709169</v>
      </c>
      <c r="AP274" s="101">
        <v>377838.93884892086</v>
      </c>
      <c r="AQ274" s="1449">
        <f>(AQ330+AQ342)/1000</f>
        <v>379.72346530249109</v>
      </c>
      <c r="AR274" s="1449">
        <f t="shared" ref="AR274:CB274" si="1964">(AR330+AR342)/1000</f>
        <v>396.9584158415841</v>
      </c>
      <c r="AS274" s="1449">
        <f t="shared" si="1964"/>
        <v>403.85127795527154</v>
      </c>
      <c r="AT274" s="1449">
        <f t="shared" si="1964"/>
        <v>425.18873493975906</v>
      </c>
      <c r="AU274" s="1449">
        <f t="shared" si="1964"/>
        <v>427.8237499999999</v>
      </c>
      <c r="AV274" s="1449">
        <f t="shared" si="1964"/>
        <v>442.44554985714285</v>
      </c>
      <c r="AW274" s="1449">
        <f t="shared" si="1964"/>
        <v>449.37379213483166</v>
      </c>
      <c r="AX274" s="1449">
        <f t="shared" si="1964"/>
        <v>471.84875242105267</v>
      </c>
      <c r="AY274" s="1449">
        <f t="shared" si="1964"/>
        <v>475.46787132493535</v>
      </c>
      <c r="AZ274" s="1449">
        <f t="shared" si="1964"/>
        <v>492.40275247058821</v>
      </c>
      <c r="BA274" s="1449">
        <f t="shared" si="1964"/>
        <v>500.68969163157902</v>
      </c>
      <c r="BB274" s="1449">
        <f t="shared" si="1964"/>
        <v>528.31883831981997</v>
      </c>
      <c r="BC274" s="1449">
        <f t="shared" si="1964"/>
        <v>531.52407390798237</v>
      </c>
      <c r="BD274" s="1449">
        <f t="shared" si="1964"/>
        <v>548.26940576109939</v>
      </c>
      <c r="BE274" s="1449">
        <f t="shared" si="1964"/>
        <v>577.12901197959184</v>
      </c>
      <c r="BF274" s="1449">
        <f t="shared" si="1964"/>
        <v>600.93588975585931</v>
      </c>
      <c r="BG274" s="1449">
        <f t="shared" si="1964"/>
        <v>599.30818683992095</v>
      </c>
      <c r="BH274" s="1449">
        <f t="shared" si="1964"/>
        <v>614.10481214990511</v>
      </c>
      <c r="BI274" s="1449">
        <f t="shared" si="1964"/>
        <v>623.49859314711364</v>
      </c>
      <c r="BJ274" s="1449">
        <f t="shared" si="1964"/>
        <v>645.22572795863323</v>
      </c>
      <c r="BK274" s="1449">
        <f t="shared" si="1964"/>
        <v>648.90722509677425</v>
      </c>
      <c r="BL274" s="1449">
        <f t="shared" si="1964"/>
        <v>666.6844777894737</v>
      </c>
      <c r="BM274" s="1449">
        <f t="shared" si="1964"/>
        <v>674.03447851039869</v>
      </c>
      <c r="BN274" s="1449">
        <f t="shared" si="1964"/>
        <v>696.64323110199007</v>
      </c>
      <c r="BO274" s="1449">
        <f t="shared" si="1964"/>
        <v>695.36837729480737</v>
      </c>
      <c r="BP274" s="1449">
        <f t="shared" si="1964"/>
        <v>699.43668913316583</v>
      </c>
      <c r="BQ274" s="1449">
        <f t="shared" si="1964"/>
        <v>707.71878426446301</v>
      </c>
      <c r="BR274" s="1449">
        <f t="shared" si="1964"/>
        <v>714.4148250668319</v>
      </c>
      <c r="BS274" s="1449">
        <f t="shared" si="1964"/>
        <v>713.03871287128709</v>
      </c>
      <c r="BT274" s="1449">
        <f t="shared" si="1964"/>
        <v>733.31435913428129</v>
      </c>
      <c r="BU274" s="1449">
        <f t="shared" si="1964"/>
        <v>736.77691314960623</v>
      </c>
      <c r="BV274" s="1449">
        <f t="shared" si="1964"/>
        <v>743.02520570754723</v>
      </c>
      <c r="BW274" s="1449">
        <f t="shared" si="1964"/>
        <v>743.73340595924765</v>
      </c>
      <c r="BX274" s="1449">
        <f>(BX330+BX342)/1000</f>
        <v>753.49241874193547</v>
      </c>
      <c r="BY274" s="1449">
        <f>(BY330+BY342)/1000</f>
        <v>763.01152835294135</v>
      </c>
      <c r="BZ274" s="1449">
        <f>(BZ330+BZ342)/1000</f>
        <v>770.02345751190467</v>
      </c>
      <c r="CA274" s="1449">
        <f>(CA330+CA342)/1000</f>
        <v>762.24391311809825</v>
      </c>
      <c r="CB274" s="1449">
        <f t="shared" si="1964"/>
        <v>762.97100160725176</v>
      </c>
      <c r="CC274" s="1449">
        <f t="shared" ref="CC274:CD274" si="1965">(CC330+CC342)/1000</f>
        <v>760.80047579487155</v>
      </c>
      <c r="CD274" s="1449">
        <f t="shared" si="1965"/>
        <v>770.58297162159454</v>
      </c>
      <c r="CE274" s="1449">
        <f t="shared" ref="CE274:CF274" si="1966">(CE330+CE342)/1000</f>
        <v>772.51041064289291</v>
      </c>
      <c r="CF274" s="1449">
        <f t="shared" si="1966"/>
        <v>775.95900634550424</v>
      </c>
      <c r="CG274" s="1449">
        <f t="shared" ref="CG274:CH274" si="1967">(CG330+CG342)/1000</f>
        <v>773.98092489925932</v>
      </c>
      <c r="CH274" s="1449">
        <f t="shared" si="1967"/>
        <v>777.40296583138968</v>
      </c>
      <c r="CI274" s="1449">
        <f t="shared" ref="CI274:CJ274" si="1968">(CI330+CI342)/1000</f>
        <v>781.57141661929052</v>
      </c>
      <c r="CJ274" s="1449">
        <f t="shared" si="1968"/>
        <v>784.12783325036173</v>
      </c>
      <c r="CK274" s="1449">
        <f t="shared" ref="CK274" si="1969">(CK330+CK342)/1000</f>
        <v>787.82831849351567</v>
      </c>
      <c r="CL274" s="1449">
        <f t="shared" ref="CL274:CP274" si="1970">(CL330+CL342)/1000</f>
        <v>802.34117610137321</v>
      </c>
      <c r="CM274" s="1449">
        <f t="shared" si="1970"/>
        <v>802.72569520783429</v>
      </c>
      <c r="CN274" s="1449">
        <f t="shared" si="1970"/>
        <v>807.49406759836359</v>
      </c>
      <c r="CO274" s="1449">
        <f t="shared" si="1970"/>
        <v>813.14586660182908</v>
      </c>
      <c r="CP274" s="1449">
        <f t="shared" si="1970"/>
        <v>824.21168730246814</v>
      </c>
      <c r="CQ274" s="1449"/>
      <c r="CR274" s="101"/>
      <c r="CS274" s="101"/>
      <c r="CT274" s="1449">
        <v>802.34117610137321</v>
      </c>
      <c r="CU274" s="1106"/>
      <c r="CV274" s="100">
        <v>123395</v>
      </c>
      <c r="CW274" s="100">
        <v>135858.33333333334</v>
      </c>
      <c r="CX274" s="100">
        <v>156024.69135802466</v>
      </c>
      <c r="CY274" s="100">
        <v>174260.26315789472</v>
      </c>
      <c r="CZ274" s="100">
        <v>193365.63636363635</v>
      </c>
      <c r="DA274" s="100">
        <v>212036.91666666669</v>
      </c>
      <c r="DB274" s="99">
        <v>234417.5</v>
      </c>
      <c r="DC274" s="99">
        <v>264873.0538922156</v>
      </c>
      <c r="DD274" s="99">
        <v>329089.00862068968</v>
      </c>
      <c r="DE274" s="99">
        <v>377838.93884892086</v>
      </c>
      <c r="DF274" s="99">
        <f>AT274</f>
        <v>425.18873493975906</v>
      </c>
      <c r="DG274" s="99">
        <f>+AX274</f>
        <v>471.84875242105267</v>
      </c>
      <c r="DH274" s="99">
        <f>+BB274</f>
        <v>528.31883831981997</v>
      </c>
      <c r="DI274" s="99">
        <f>+BF274</f>
        <v>600.93588975585931</v>
      </c>
      <c r="DJ274" s="99">
        <f>+BJ274</f>
        <v>645.22572795863323</v>
      </c>
      <c r="DK274" s="99">
        <f>+BN274</f>
        <v>696.64323110199007</v>
      </c>
      <c r="DL274" s="99">
        <f>+BR274</f>
        <v>714.4148250668319</v>
      </c>
      <c r="DM274" s="99">
        <f>+BV274</f>
        <v>743.02520570754723</v>
      </c>
      <c r="DN274" s="99">
        <f>+BZ274</f>
        <v>770.02345751190467</v>
      </c>
      <c r="DO274" s="99">
        <f>+CD274</f>
        <v>770.58297162159454</v>
      </c>
      <c r="DP274" s="99">
        <f>+CE274</f>
        <v>772.51041064289291</v>
      </c>
      <c r="DQ274" s="99">
        <f>+CI274</f>
        <v>781.57141661929052</v>
      </c>
      <c r="DR274" s="99">
        <f>+CM274</f>
        <v>802.72569520783429</v>
      </c>
      <c r="DS274" s="1449">
        <f>+DS268-DS271-DR271</f>
        <v>826.71726227699514</v>
      </c>
      <c r="DT274" s="1449">
        <f t="shared" ref="DT274:DV274" si="1971">+DT268-DT271-DS271</f>
        <v>850.40159138497631</v>
      </c>
      <c r="DU274" s="1449">
        <f t="shared" si="1971"/>
        <v>874.0859204929576</v>
      </c>
      <c r="DV274" s="1449">
        <f t="shared" si="1971"/>
        <v>897.77024960093877</v>
      </c>
      <c r="DY274" s="1449">
        <v>798.82929083333352</v>
      </c>
      <c r="DZ274" s="1449">
        <v>826.71726227699514</v>
      </c>
    </row>
    <row r="275" spans="1:130">
      <c r="A275" s="98" t="s">
        <v>279</v>
      </c>
      <c r="B275" s="96"/>
      <c r="C275" s="97">
        <v>0.84661016949152545</v>
      </c>
      <c r="D275" s="97">
        <v>0.85916666666666663</v>
      </c>
      <c r="E275" s="97">
        <v>0.86229508196721316</v>
      </c>
      <c r="F275" s="97">
        <v>0.86532258064516132</v>
      </c>
      <c r="G275" s="97">
        <v>0.88629032258064522</v>
      </c>
      <c r="H275" s="97">
        <v>0.89375000000000004</v>
      </c>
      <c r="I275" s="97">
        <v>0.90156250000000004</v>
      </c>
      <c r="J275" s="97">
        <v>0.9015151515151516</v>
      </c>
      <c r="K275" s="97">
        <v>0.90588235294117647</v>
      </c>
      <c r="L275" s="97">
        <v>0.90208333333333324</v>
      </c>
      <c r="M275" s="97">
        <v>0.89466666666666683</v>
      </c>
      <c r="N275" s="97">
        <v>0.87654320987654299</v>
      </c>
      <c r="O275" s="97">
        <v>0.88209876543209864</v>
      </c>
      <c r="P275" s="97">
        <v>0.87241379310344824</v>
      </c>
      <c r="Q275" s="97">
        <v>0.8727272727272728</v>
      </c>
      <c r="R275" s="97">
        <v>0.85631578947368414</v>
      </c>
      <c r="S275" s="97">
        <v>0.85625000000000018</v>
      </c>
      <c r="T275" s="97">
        <v>0.85396039603960383</v>
      </c>
      <c r="U275" s="97">
        <v>0.85145631067961181</v>
      </c>
      <c r="V275" s="97">
        <v>0.8418181818181818</v>
      </c>
      <c r="W275" s="97">
        <v>0.84499999999999997</v>
      </c>
      <c r="X275" s="97">
        <v>0.84521739130434803</v>
      </c>
      <c r="Y275" s="97">
        <v>0.84698275862068972</v>
      </c>
      <c r="Z275" s="97">
        <v>0.84916666666666674</v>
      </c>
      <c r="AA275" s="97">
        <v>0.8500000000000002</v>
      </c>
      <c r="AB275" s="97">
        <v>0.85439999999999994</v>
      </c>
      <c r="AC275" s="97">
        <v>0.8563492063492063</v>
      </c>
      <c r="AD275" s="97">
        <v>0.85335820895522385</v>
      </c>
      <c r="AE275" s="97">
        <v>0.85370370370370363</v>
      </c>
      <c r="AF275" s="97">
        <v>0.85</v>
      </c>
      <c r="AG275" s="97">
        <v>0.85034246575342465</v>
      </c>
      <c r="AH275" s="97">
        <v>0.83293413173652708</v>
      </c>
      <c r="AI275" s="97">
        <v>0.85725000000000007</v>
      </c>
      <c r="AJ275" s="97">
        <v>0.8623188405797102</v>
      </c>
      <c r="AK275" s="97">
        <v>0.86398104265402842</v>
      </c>
      <c r="AL275" s="97">
        <v>0.8599137931034484</v>
      </c>
      <c r="AM275" s="97">
        <v>0.86089743589743595</v>
      </c>
      <c r="AN275" s="97">
        <v>0.86460905349794237</v>
      </c>
      <c r="AO275" s="97">
        <v>0.86334661354581688</v>
      </c>
      <c r="AP275" s="97">
        <v>0.86600719424460437</v>
      </c>
      <c r="AQ275" s="97">
        <f t="shared" ref="AQ275:BJ275" si="1972">AQ274/AQ268</f>
        <v>0.86743772241992878</v>
      </c>
      <c r="AR275" s="97">
        <f t="shared" si="1972"/>
        <v>0.87128712871287117</v>
      </c>
      <c r="AS275" s="97">
        <f t="shared" si="1972"/>
        <v>0.8730031948881789</v>
      </c>
      <c r="AT275" s="97">
        <f t="shared" si="1972"/>
        <v>0.87379518072289153</v>
      </c>
      <c r="AU275" s="97">
        <f t="shared" si="1972"/>
        <v>0.87364457831325282</v>
      </c>
      <c r="AV275" s="97">
        <f t="shared" si="1972"/>
        <v>0.87528571428571422</v>
      </c>
      <c r="AW275" s="97">
        <f t="shared" si="1972"/>
        <v>0.87443820224719127</v>
      </c>
      <c r="AX275" s="97">
        <f t="shared" si="1972"/>
        <v>0.88421052631578956</v>
      </c>
      <c r="AY275" s="97">
        <f t="shared" si="1972"/>
        <v>0.8852067183462532</v>
      </c>
      <c r="AZ275" s="97">
        <f t="shared" si="1972"/>
        <v>0.89172794117647058</v>
      </c>
      <c r="BA275" s="97">
        <f t="shared" si="1972"/>
        <v>0.89162679425837321</v>
      </c>
      <c r="BB275" s="97">
        <f t="shared" si="1972"/>
        <v>0.90365990990990974</v>
      </c>
      <c r="BC275" s="97">
        <f t="shared" si="1972"/>
        <v>0.90382483370288258</v>
      </c>
      <c r="BD275" s="97">
        <f t="shared" si="1972"/>
        <v>0.90946088794926006</v>
      </c>
      <c r="BE275" s="97">
        <f t="shared" si="1972"/>
        <v>0.90918367346938789</v>
      </c>
      <c r="BF275" s="97">
        <f t="shared" si="1972"/>
        <v>0.91743164062500004</v>
      </c>
      <c r="BG275" s="97">
        <f t="shared" si="1972"/>
        <v>0.92099802371541495</v>
      </c>
      <c r="BH275" s="97">
        <f t="shared" si="1972"/>
        <v>0.92414611005692593</v>
      </c>
      <c r="BI275" s="97">
        <f t="shared" si="1972"/>
        <v>0.9247672253258844</v>
      </c>
      <c r="BJ275" s="97">
        <f t="shared" si="1972"/>
        <v>0.92846223021582741</v>
      </c>
      <c r="BK275" s="97">
        <f t="shared" ref="BK275:BV275" si="1973">BK274/BK268</f>
        <v>0.92930107526881722</v>
      </c>
      <c r="BL275" s="97">
        <f t="shared" si="1973"/>
        <v>0.93241228070175441</v>
      </c>
      <c r="BM275" s="97">
        <f t="shared" si="1973"/>
        <v>0.93145580589254773</v>
      </c>
      <c r="BN275" s="97">
        <f t="shared" si="1973"/>
        <v>0.92997512437810947</v>
      </c>
      <c r="BO275" s="97">
        <f>BO274/BO268</f>
        <v>0.93048576214405365</v>
      </c>
      <c r="BP275" s="97">
        <f t="shared" si="1973"/>
        <v>0.93592964824120606</v>
      </c>
      <c r="BQ275" s="97">
        <f>BQ274/BQ268</f>
        <v>0.93752066115702481</v>
      </c>
      <c r="BR275" s="97">
        <f t="shared" si="1973"/>
        <v>0.94562706270627084</v>
      </c>
      <c r="BS275" s="97">
        <f>BS274/BS268</f>
        <v>0.94517326732673268</v>
      </c>
      <c r="BT275" s="97">
        <f t="shared" si="1973"/>
        <v>0.94091627172195902</v>
      </c>
      <c r="BU275" s="97">
        <f>BU274/BU268</f>
        <v>0.94448818897637787</v>
      </c>
      <c r="BV275" s="97">
        <f t="shared" si="1973"/>
        <v>0.95110062893081759</v>
      </c>
      <c r="BW275" s="97">
        <f t="shared" ref="BW275:CB275" si="1974">BW274/BW268</f>
        <v>0.95078369905956117</v>
      </c>
      <c r="BX275" s="97">
        <f t="shared" si="1974"/>
        <v>0.95322580645161292</v>
      </c>
      <c r="BY275" s="97">
        <f t="shared" si="1974"/>
        <v>0.95294117647058818</v>
      </c>
      <c r="BZ275" s="97">
        <f t="shared" ref="BZ275:CA275" si="1975">BZ274/BZ268</f>
        <v>0.955282738095238</v>
      </c>
      <c r="CA275" s="97">
        <f t="shared" si="1975"/>
        <v>0.95601993865030666</v>
      </c>
      <c r="CB275" s="97">
        <f t="shared" si="1974"/>
        <v>0.96034351145038155</v>
      </c>
      <c r="CC275" s="97">
        <f t="shared" ref="CC275:CD275" si="1976">CC274/CC268</f>
        <v>0.96025641025641018</v>
      </c>
      <c r="CD275" s="97">
        <f t="shared" si="1976"/>
        <v>0.96445022288261517</v>
      </c>
      <c r="CE275" s="97">
        <f t="shared" ref="CE275:CF275" si="1977">CE274/CE268</f>
        <v>0.96595345345345318</v>
      </c>
      <c r="CF275" s="97">
        <f t="shared" si="1977"/>
        <v>0.96937406855439623</v>
      </c>
      <c r="CG275" s="97">
        <f t="shared" ref="CG275:CH275" si="1978">CG274/CG268</f>
        <v>0.97118518518518526</v>
      </c>
      <c r="CH275" s="97">
        <f t="shared" si="1978"/>
        <v>0.97317784256559747</v>
      </c>
      <c r="CI275" s="97">
        <f t="shared" ref="CI275:CJ275" si="1979">CI274/CI268</f>
        <v>0.97208454810495626</v>
      </c>
      <c r="CJ275" s="97">
        <f t="shared" si="1979"/>
        <v>0.9746020260492041</v>
      </c>
      <c r="CK275" s="97">
        <f t="shared" ref="CK275" si="1980">CK274/CK268</f>
        <v>0.97770172910662823</v>
      </c>
      <c r="CL275" s="97">
        <f t="shared" ref="CL275:CP275" si="1981">CL274/CL268</f>
        <v>0.97051460361613373</v>
      </c>
      <c r="CM275" s="97">
        <f t="shared" si="1981"/>
        <v>0.96959084604715673</v>
      </c>
      <c r="CN275" s="97">
        <f t="shared" si="1981"/>
        <v>0.97118294360385127</v>
      </c>
      <c r="CO275" s="97">
        <f t="shared" si="1981"/>
        <v>0.97106512890094987</v>
      </c>
      <c r="CP275" s="97">
        <f t="shared" si="1981"/>
        <v>0.96920289855072483</v>
      </c>
      <c r="CQ275" s="97"/>
      <c r="CR275" s="97"/>
      <c r="CS275" s="97"/>
      <c r="CT275" s="97">
        <v>0.97051460361613373</v>
      </c>
      <c r="CU275" s="1118"/>
      <c r="CV275" s="97">
        <v>0.86532258064516132</v>
      </c>
      <c r="CW275" s="97">
        <v>0.9015151515151516</v>
      </c>
      <c r="CX275" s="97">
        <v>0.87654320987654299</v>
      </c>
      <c r="CY275" s="97">
        <v>0.85631578947368414</v>
      </c>
      <c r="CZ275" s="97">
        <v>0.8418181818181818</v>
      </c>
      <c r="DA275" s="97">
        <v>0.84916666666666674</v>
      </c>
      <c r="DB275" s="97">
        <v>0.85335820895522385</v>
      </c>
      <c r="DC275" s="97">
        <v>0.83293413173652708</v>
      </c>
      <c r="DD275" s="97">
        <v>0.8599137931034484</v>
      </c>
      <c r="DE275" s="97">
        <v>0.86600719424460437</v>
      </c>
      <c r="DF275" s="97">
        <f t="shared" ref="DF275:DK275" si="1982">DF274/DF268</f>
        <v>0.87379518072289153</v>
      </c>
      <c r="DG275" s="97">
        <f t="shared" si="1982"/>
        <v>0.88421052631578956</v>
      </c>
      <c r="DH275" s="97">
        <f t="shared" si="1982"/>
        <v>0.90365990990990974</v>
      </c>
      <c r="DI275" s="97">
        <f t="shared" si="1982"/>
        <v>0.91743164062500004</v>
      </c>
      <c r="DJ275" s="97">
        <f t="shared" si="1982"/>
        <v>0.92846223021582741</v>
      </c>
      <c r="DK275" s="97">
        <f t="shared" si="1982"/>
        <v>0.92997512437810947</v>
      </c>
      <c r="DL275" s="97">
        <f t="shared" ref="DL275:DS275" si="1983">DL274/DL268</f>
        <v>0.94562706270627084</v>
      </c>
      <c r="DM275" s="97">
        <f t="shared" si="1983"/>
        <v>0.95110062893081759</v>
      </c>
      <c r="DN275" s="97">
        <f t="shared" si="1983"/>
        <v>0.955282738095238</v>
      </c>
      <c r="DO275" s="97">
        <f t="shared" si="1983"/>
        <v>0.96445022288261517</v>
      </c>
      <c r="DP275" s="97">
        <f t="shared" ref="DP275:DQ275" si="1984">DP274/DP268</f>
        <v>0.96705318584026267</v>
      </c>
      <c r="DQ275" s="97">
        <f t="shared" si="1984"/>
        <v>0.94539143221303834</v>
      </c>
      <c r="DR275" s="97">
        <f t="shared" ref="DR275" si="1985">DR274/DR268</f>
        <v>0.94393719783673458</v>
      </c>
      <c r="DS275" s="97">
        <f t="shared" si="1983"/>
        <v>0.94580777803943117</v>
      </c>
      <c r="DT275" s="97">
        <f t="shared" ref="DT275:DV275" si="1986">DT274/DT268</f>
        <v>0.94723743826773277</v>
      </c>
      <c r="DU275" s="97">
        <f t="shared" si="1986"/>
        <v>0.94859360481736144</v>
      </c>
      <c r="DV275" s="97">
        <f t="shared" si="1986"/>
        <v>0.94988180274434431</v>
      </c>
      <c r="DY275" s="97">
        <v>0.93592580119936353</v>
      </c>
      <c r="DZ275" s="97">
        <v>0.93911180428961605</v>
      </c>
    </row>
    <row r="276" spans="1:130">
      <c r="A276" s="40"/>
      <c r="B276" s="87"/>
      <c r="C276" s="95"/>
      <c r="D276" s="95"/>
      <c r="E276" s="95"/>
      <c r="F276" s="95"/>
      <c r="G276" s="95"/>
      <c r="H276" s="95"/>
      <c r="I276" s="95"/>
      <c r="J276" s="95"/>
      <c r="K276" s="95"/>
      <c r="L276" s="95"/>
      <c r="M276" s="95"/>
      <c r="N276" s="95"/>
      <c r="O276" s="95"/>
      <c r="P276" s="95"/>
      <c r="Q276" s="95"/>
      <c r="R276" s="95"/>
      <c r="S276" s="95"/>
      <c r="T276" s="95"/>
      <c r="U276" s="95"/>
      <c r="V276" s="95"/>
      <c r="W276" s="95"/>
      <c r="X276" s="95"/>
      <c r="Y276" s="95"/>
      <c r="Z276" s="95"/>
      <c r="AA276" s="95"/>
      <c r="AB276" s="95"/>
      <c r="AC276" s="95"/>
      <c r="AD276" s="95"/>
      <c r="AE276" s="95"/>
      <c r="AF276" s="95"/>
      <c r="AG276" s="95"/>
      <c r="AH276" s="95"/>
      <c r="AI276" s="95"/>
      <c r="AJ276" s="95"/>
      <c r="AK276" s="95"/>
      <c r="AL276" s="95"/>
      <c r="AM276" s="95"/>
      <c r="AN276" s="95"/>
      <c r="AO276" s="95"/>
      <c r="AP276" s="95"/>
      <c r="AQ276" s="95"/>
      <c r="AR276" s="95"/>
      <c r="AS276" s="95"/>
      <c r="AT276" s="95"/>
      <c r="AU276" s="95"/>
      <c r="AV276" s="95"/>
      <c r="AW276" s="95"/>
      <c r="AX276" s="95"/>
      <c r="AY276" s="95"/>
      <c r="AZ276" s="95"/>
      <c r="BA276" s="95"/>
      <c r="BB276" s="95"/>
      <c r="BC276" s="95"/>
      <c r="BD276" s="95"/>
      <c r="BE276" s="95"/>
      <c r="BF276" s="95"/>
      <c r="BG276" s="95"/>
      <c r="BH276" s="95"/>
      <c r="BI276" s="1247"/>
      <c r="BJ276" s="1247"/>
      <c r="BK276" s="1247"/>
      <c r="BL276" s="1247"/>
      <c r="BM276" s="1247"/>
      <c r="BN276" s="1247"/>
      <c r="BO276" s="1247"/>
      <c r="BP276" s="1247"/>
      <c r="BQ276" s="1247"/>
      <c r="BR276" s="1247"/>
      <c r="BS276" s="1247"/>
      <c r="BT276" s="1247"/>
      <c r="BU276" s="1247"/>
      <c r="BV276" s="1247"/>
      <c r="BW276" s="1247"/>
      <c r="BX276" s="1247"/>
      <c r="BY276" s="1247"/>
      <c r="BZ276" s="1247"/>
      <c r="CA276" s="1247"/>
      <c r="CB276" s="1247"/>
      <c r="CC276" s="1247"/>
      <c r="CD276" s="1247"/>
      <c r="CE276" s="1247"/>
      <c r="CF276" s="1247"/>
      <c r="CG276" s="1247"/>
      <c r="CH276" s="1247"/>
      <c r="CI276" s="1247"/>
      <c r="CJ276" s="1247"/>
      <c r="CK276" s="1247"/>
      <c r="CL276" s="385"/>
      <c r="CM276" s="385"/>
      <c r="CN276" s="385"/>
      <c r="CO276" s="385"/>
      <c r="CP276" s="385"/>
      <c r="CQ276" s="385"/>
      <c r="CR276" s="385"/>
      <c r="CS276" s="385"/>
      <c r="CT276" s="385"/>
      <c r="CU276" s="1118"/>
      <c r="CV276" s="95"/>
      <c r="CW276" s="95"/>
      <c r="CX276" s="95"/>
      <c r="CY276" s="95"/>
      <c r="CZ276" s="95"/>
      <c r="DA276" s="95"/>
      <c r="DB276" s="95"/>
      <c r="DC276" s="95"/>
      <c r="DD276" s="95"/>
      <c r="DE276" s="95"/>
      <c r="DF276" s="95"/>
      <c r="DG276" s="95"/>
      <c r="DH276" s="95"/>
      <c r="DI276" s="95"/>
      <c r="DJ276" s="95"/>
      <c r="DK276" s="95"/>
      <c r="DL276" s="1247"/>
      <c r="DM276" s="1247"/>
      <c r="DN276" s="1247"/>
      <c r="DO276" s="1247"/>
      <c r="DP276" s="1247"/>
      <c r="DQ276" s="1247"/>
      <c r="DR276" s="1247"/>
      <c r="DS276" s="385"/>
      <c r="DT276" s="385"/>
      <c r="DU276" s="385"/>
      <c r="DV276" s="385"/>
      <c r="DY276" s="385"/>
      <c r="DZ276" s="385"/>
    </row>
    <row r="277" spans="1:130">
      <c r="A277" s="86" t="s">
        <v>280</v>
      </c>
      <c r="B277" s="45">
        <v>0</v>
      </c>
      <c r="C277" s="63">
        <v>176353</v>
      </c>
      <c r="D277" s="63">
        <v>239469</v>
      </c>
      <c r="E277" s="63">
        <v>209955</v>
      </c>
      <c r="F277" s="63">
        <v>328027</v>
      </c>
      <c r="G277" s="63">
        <v>210204</v>
      </c>
      <c r="H277" s="63">
        <v>295782</v>
      </c>
      <c r="I277" s="63">
        <v>271867</v>
      </c>
      <c r="J277" s="63">
        <v>424275</v>
      </c>
      <c r="K277" s="63">
        <v>266752</v>
      </c>
      <c r="L277" s="63">
        <v>380860</v>
      </c>
      <c r="M277" s="63">
        <v>346787</v>
      </c>
      <c r="N277" s="63">
        <v>506879</v>
      </c>
      <c r="O277" s="63">
        <v>310293</v>
      </c>
      <c r="P277" s="63">
        <v>490872</v>
      </c>
      <c r="Q277" s="63">
        <v>444012</v>
      </c>
      <c r="R277" s="63">
        <v>601722</v>
      </c>
      <c r="S277" s="63">
        <v>383383</v>
      </c>
      <c r="T277" s="63">
        <v>509846</v>
      </c>
      <c r="U277" s="63">
        <v>449034</v>
      </c>
      <c r="V277" s="63">
        <v>613758</v>
      </c>
      <c r="W277" s="63">
        <v>362649</v>
      </c>
      <c r="X277" s="63">
        <v>554732</v>
      </c>
      <c r="Y277" s="63">
        <v>486730</v>
      </c>
      <c r="Z277" s="63">
        <v>711858</v>
      </c>
      <c r="AA277" s="63">
        <v>440246</v>
      </c>
      <c r="AB277" s="63">
        <v>629989</v>
      </c>
      <c r="AC277" s="63">
        <v>568740</v>
      </c>
      <c r="AD277" s="63">
        <v>823709</v>
      </c>
      <c r="AE277" s="63">
        <v>517707</v>
      </c>
      <c r="AF277" s="63">
        <v>749653</v>
      </c>
      <c r="AG277" s="63">
        <v>657076</v>
      </c>
      <c r="AH277" s="63">
        <v>972180</v>
      </c>
      <c r="AI277" s="63">
        <v>619199</v>
      </c>
      <c r="AJ277" s="63">
        <v>855169</v>
      </c>
      <c r="AK277" s="63">
        <v>803260</v>
      </c>
      <c r="AL277" s="63">
        <v>1184332</v>
      </c>
      <c r="AM277" s="63">
        <v>726731</v>
      </c>
      <c r="AN277" s="63">
        <v>947203</v>
      </c>
      <c r="AO277" s="63">
        <v>906918</v>
      </c>
      <c r="AP277" s="63">
        <v>1332954</v>
      </c>
      <c r="AQ277" s="63">
        <f t="shared" ref="AQ277:CC277" si="1987">AQ30</f>
        <v>814516</v>
      </c>
      <c r="AR277" s="63">
        <f t="shared" si="1987"/>
        <v>1111198</v>
      </c>
      <c r="AS277" s="63">
        <f t="shared" si="1987"/>
        <v>1047091</v>
      </c>
      <c r="AT277" s="63">
        <f t="shared" si="1987"/>
        <v>1669807</v>
      </c>
      <c r="AU277" s="63">
        <f t="shared" si="1987"/>
        <v>1010895</v>
      </c>
      <c r="AV277" s="63">
        <f t="shared" si="1987"/>
        <v>1354226</v>
      </c>
      <c r="AW277" s="63">
        <f t="shared" si="1987"/>
        <v>1248365</v>
      </c>
      <c r="AX277" s="63">
        <f t="shared" si="1987"/>
        <v>1837366</v>
      </c>
      <c r="AY277" s="63">
        <f t="shared" si="1987"/>
        <v>1076148</v>
      </c>
      <c r="AZ277" s="63">
        <f t="shared" si="1987"/>
        <v>1464688</v>
      </c>
      <c r="BA277" s="63">
        <f t="shared" si="1987"/>
        <v>1260418</v>
      </c>
      <c r="BB277" s="63">
        <f t="shared" si="1987"/>
        <v>1920504</v>
      </c>
      <c r="BC277" s="63">
        <f t="shared" si="1987"/>
        <v>1234684</v>
      </c>
      <c r="BD277" s="63">
        <f t="shared" si="1987"/>
        <v>1630456</v>
      </c>
      <c r="BE277" s="63">
        <f t="shared" si="1987"/>
        <v>1512578</v>
      </c>
      <c r="BF277" s="63">
        <f t="shared" si="1987"/>
        <v>2222355</v>
      </c>
      <c r="BG277" s="63">
        <f t="shared" si="1987"/>
        <v>1398819</v>
      </c>
      <c r="BH277" s="63">
        <f t="shared" si="1987"/>
        <v>1780031</v>
      </c>
      <c r="BI277" s="1227">
        <f t="shared" si="1987"/>
        <v>1711461</v>
      </c>
      <c r="BJ277" s="1227">
        <f t="shared" si="1987"/>
        <v>2595122</v>
      </c>
      <c r="BK277" s="1227">
        <f t="shared" si="1987"/>
        <v>1650337</v>
      </c>
      <c r="BL277" s="1227">
        <f t="shared" si="1987"/>
        <v>2019374</v>
      </c>
      <c r="BM277" s="1227">
        <f t="shared" si="1987"/>
        <v>1931924</v>
      </c>
      <c r="BN277" s="1227">
        <f t="shared" si="1987"/>
        <v>2873058</v>
      </c>
      <c r="BO277" s="1227">
        <f t="shared" si="1987"/>
        <v>1550180</v>
      </c>
      <c r="BP277" s="1227">
        <f t="shared" si="1987"/>
        <v>539636</v>
      </c>
      <c r="BQ277" s="1227">
        <f t="shared" si="1987"/>
        <v>1651197</v>
      </c>
      <c r="BR277" s="1227">
        <f t="shared" si="1987"/>
        <v>2919558</v>
      </c>
      <c r="BS277" s="1227">
        <f t="shared" si="1987"/>
        <v>1364417</v>
      </c>
      <c r="BT277" s="1227">
        <f t="shared" si="1987"/>
        <v>2258723</v>
      </c>
      <c r="BU277" s="1227">
        <f t="shared" si="1987"/>
        <v>2371924.3700500024</v>
      </c>
      <c r="BV277" s="1227">
        <f t="shared" si="1987"/>
        <v>3560662.0335699995</v>
      </c>
      <c r="BW277" s="1227">
        <f t="shared" si="1987"/>
        <v>2229665</v>
      </c>
      <c r="BX277" s="1227">
        <f t="shared" si="1987"/>
        <v>3175745</v>
      </c>
      <c r="BY277" s="1227">
        <f t="shared" si="1987"/>
        <v>2615521</v>
      </c>
      <c r="BZ277" s="1227">
        <f t="shared" si="1987"/>
        <v>3554864</v>
      </c>
      <c r="CA277" s="1227">
        <f t="shared" si="1987"/>
        <v>2277999</v>
      </c>
      <c r="CB277" s="1227">
        <f t="shared" si="1987"/>
        <v>2985304</v>
      </c>
      <c r="CC277" s="1227">
        <f t="shared" si="1987"/>
        <v>2636106</v>
      </c>
      <c r="CD277" s="1227">
        <f t="shared" ref="CD277:CE277" si="1988">CD30</f>
        <v>3806931</v>
      </c>
      <c r="CE277" s="1227">
        <f t="shared" si="1988"/>
        <v>2461296</v>
      </c>
      <c r="CF277" s="1227">
        <f t="shared" ref="CF277:CH277" si="1989">CF30</f>
        <v>3079923</v>
      </c>
      <c r="CG277" s="1227">
        <f t="shared" si="1989"/>
        <v>2955952</v>
      </c>
      <c r="CH277" s="1227">
        <f t="shared" si="1989"/>
        <v>4174779</v>
      </c>
      <c r="CI277" s="1227">
        <f t="shared" ref="CI277:CJ277" si="1990">CI30</f>
        <v>2756840</v>
      </c>
      <c r="CJ277" s="1227">
        <f t="shared" si="1990"/>
        <v>3649669</v>
      </c>
      <c r="CK277" s="1227">
        <f t="shared" ref="CK277" si="1991">CK30</f>
        <v>3079149</v>
      </c>
      <c r="CL277" s="800">
        <f t="shared" ref="CL277:CP277" si="1992">+CL278</f>
        <v>4372015.7390090954</v>
      </c>
      <c r="CM277" s="800">
        <f t="shared" si="1992"/>
        <v>2935811.0941041741</v>
      </c>
      <c r="CN277" s="800">
        <f t="shared" si="1992"/>
        <v>3851396.9565790822</v>
      </c>
      <c r="CO277" s="800">
        <f t="shared" si="1992"/>
        <v>3332428.9985024352</v>
      </c>
      <c r="CP277" s="800">
        <f t="shared" si="1992"/>
        <v>4741143.6357525196</v>
      </c>
      <c r="CQ277" s="800"/>
      <c r="CR277" s="800"/>
      <c r="CS277" s="800"/>
      <c r="CT277" s="800">
        <v>4372015.7390090954</v>
      </c>
      <c r="CU277" s="1102">
        <f>CU26</f>
        <v>-0.26188757562232534</v>
      </c>
      <c r="CV277" s="63"/>
      <c r="CW277" s="63"/>
      <c r="CX277" s="63"/>
      <c r="CY277" s="63"/>
      <c r="CZ277" s="63"/>
      <c r="DA277" s="63"/>
      <c r="DB277" s="63"/>
      <c r="DC277" s="63"/>
      <c r="DD277" s="63"/>
      <c r="DE277" s="63"/>
      <c r="DF277" s="63">
        <f t="shared" ref="DF277:DV277" si="1993">DF30</f>
        <v>4642612</v>
      </c>
      <c r="DG277" s="63">
        <f t="shared" si="1993"/>
        <v>5450852</v>
      </c>
      <c r="DH277" s="63">
        <f t="shared" si="1993"/>
        <v>5721758</v>
      </c>
      <c r="DI277" s="63">
        <f t="shared" si="1993"/>
        <v>6600073</v>
      </c>
      <c r="DJ277" s="63">
        <f t="shared" si="1993"/>
        <v>7485433</v>
      </c>
      <c r="DK277" s="63">
        <f t="shared" si="1993"/>
        <v>8474693</v>
      </c>
      <c r="DL277" s="1227">
        <f t="shared" si="1993"/>
        <v>6660571</v>
      </c>
      <c r="DM277" s="1227">
        <f t="shared" si="1993"/>
        <v>9555726.4036200009</v>
      </c>
      <c r="DN277" s="1227">
        <f t="shared" si="1993"/>
        <v>11575795</v>
      </c>
      <c r="DO277" s="1227">
        <f t="shared" si="1993"/>
        <v>11706340</v>
      </c>
      <c r="DP277" s="1227">
        <f t="shared" si="1993"/>
        <v>12671950</v>
      </c>
      <c r="DQ277" s="1227">
        <f t="shared" ref="DQ277:DR277" si="1994">DQ30</f>
        <v>13857673.739009095</v>
      </c>
      <c r="DR277" s="1227">
        <f t="shared" si="1994"/>
        <v>14860780.684938211</v>
      </c>
      <c r="DS277" s="63">
        <f t="shared" si="1993"/>
        <v>16129238.936102465</v>
      </c>
      <c r="DT277" s="63">
        <f t="shared" si="1993"/>
        <v>17370380.215569045</v>
      </c>
      <c r="DU277" s="63">
        <f t="shared" si="1993"/>
        <v>18695329.764494058</v>
      </c>
      <c r="DV277" s="63">
        <f t="shared" si="1993"/>
        <v>20109365.04613978</v>
      </c>
      <c r="DY277" s="63">
        <v>15277654.571192246</v>
      </c>
      <c r="DZ277" s="63">
        <v>16632533.820276788</v>
      </c>
    </row>
    <row r="278" spans="1:130" s="668" customFormat="1">
      <c r="A278" s="756" t="s">
        <v>281</v>
      </c>
      <c r="B278" s="757"/>
      <c r="C278" s="758"/>
      <c r="D278" s="758"/>
      <c r="E278" s="758"/>
      <c r="F278" s="758"/>
      <c r="G278" s="673">
        <v>0</v>
      </c>
      <c r="H278" s="673">
        <v>0</v>
      </c>
      <c r="I278" s="673">
        <v>0</v>
      </c>
      <c r="J278" s="673">
        <v>0</v>
      </c>
      <c r="K278" s="673">
        <v>259314.14494906893</v>
      </c>
      <c r="L278" s="673">
        <v>366308.36679681868</v>
      </c>
      <c r="M278" s="673">
        <v>334123.0867222969</v>
      </c>
      <c r="N278" s="673">
        <v>522744.85855022242</v>
      </c>
      <c r="O278" s="673">
        <v>309363.35434106633</v>
      </c>
      <c r="P278" s="673">
        <v>458207.18640182994</v>
      </c>
      <c r="Q278" s="673">
        <v>391401.7253088195</v>
      </c>
      <c r="R278" s="673">
        <v>609463.37144321855</v>
      </c>
      <c r="S278" s="673">
        <v>391578.07553690311</v>
      </c>
      <c r="T278" s="673">
        <v>513643.49169949855</v>
      </c>
      <c r="U278" s="673">
        <v>466470.84345774149</v>
      </c>
      <c r="V278" s="673">
        <v>630922.90927913506</v>
      </c>
      <c r="W278" s="673">
        <v>371104.06751139247</v>
      </c>
      <c r="X278" s="673">
        <v>574549.4090194063</v>
      </c>
      <c r="Y278" s="673">
        <v>498957.74665164045</v>
      </c>
      <c r="Z278" s="673">
        <v>721755.49361558561</v>
      </c>
      <c r="AA278" s="673">
        <v>452162.79571691342</v>
      </c>
      <c r="AB278" s="673">
        <v>635557.23926174967</v>
      </c>
      <c r="AC278" s="673">
        <v>573163.30312881689</v>
      </c>
      <c r="AD278" s="673">
        <v>849945.7678315473</v>
      </c>
      <c r="AE278" s="673">
        <v>527502.32790616504</v>
      </c>
      <c r="AF278" s="673">
        <v>758367.40068457986</v>
      </c>
      <c r="AG278" s="673">
        <v>646877.75552308199</v>
      </c>
      <c r="AH278" s="673">
        <v>981244.16619013029</v>
      </c>
      <c r="AI278" s="673">
        <v>620497.42901742854</v>
      </c>
      <c r="AJ278" s="673">
        <v>912620.70490199327</v>
      </c>
      <c r="AK278" s="673">
        <v>839818.56586265296</v>
      </c>
      <c r="AL278" s="673">
        <v>1283911.4698989918</v>
      </c>
      <c r="AM278" s="673">
        <v>792332.05185469054</v>
      </c>
      <c r="AN278" s="673">
        <v>986341.66207878455</v>
      </c>
      <c r="AO278" s="673">
        <v>1003008.3746074846</v>
      </c>
      <c r="AP278" s="673">
        <v>1401019.4958262099</v>
      </c>
      <c r="AQ278" s="673">
        <f t="shared" ref="AQ278:BY278" si="1995">AM268*AQ283+AQ284*AQ272</f>
        <v>102535.78557145467</v>
      </c>
      <c r="AR278" s="673">
        <f t="shared" si="1995"/>
        <v>136706.66425708809</v>
      </c>
      <c r="AS278" s="673">
        <f t="shared" si="1995"/>
        <v>126386.4628898371</v>
      </c>
      <c r="AT278" s="673">
        <f t="shared" si="1995"/>
        <v>206593.86017652624</v>
      </c>
      <c r="AU278" s="673">
        <f t="shared" si="1995"/>
        <v>2099.4444987456354</v>
      </c>
      <c r="AV278" s="673">
        <f t="shared" si="1995"/>
        <v>1422116.8564409299</v>
      </c>
      <c r="AW278" s="673">
        <f t="shared" si="1995"/>
        <v>1303215.4191660108</v>
      </c>
      <c r="AX278" s="673">
        <f t="shared" si="1995"/>
        <v>1941988.1666712344</v>
      </c>
      <c r="AY278" s="673">
        <f t="shared" si="1995"/>
        <v>1115357.9656221287</v>
      </c>
      <c r="AZ278" s="673">
        <f t="shared" si="1995"/>
        <v>1532232.3626078002</v>
      </c>
      <c r="BA278" s="673">
        <f t="shared" si="1995"/>
        <v>1309572.299595284</v>
      </c>
      <c r="BB278" s="673">
        <f t="shared" si="1995"/>
        <v>2017403.8722056272</v>
      </c>
      <c r="BC278" s="673">
        <f t="shared" si="1995"/>
        <v>1278901.1425060385</v>
      </c>
      <c r="BD278" s="673">
        <f t="shared" si="1995"/>
        <v>1711811.4126317913</v>
      </c>
      <c r="BE278" s="673">
        <f t="shared" si="1995"/>
        <v>1611830.2648456325</v>
      </c>
      <c r="BF278" s="673">
        <f t="shared" si="1995"/>
        <v>2364985.7533038384</v>
      </c>
      <c r="BG278" s="673">
        <f t="shared" si="1995"/>
        <v>1445435.7832446604</v>
      </c>
      <c r="BH278" s="673">
        <f t="shared" si="1995"/>
        <v>1851865.8681512654</v>
      </c>
      <c r="BI278" s="1248">
        <f t="shared" si="1995"/>
        <v>1753971.7928546742</v>
      </c>
      <c r="BJ278" s="1248">
        <f t="shared" si="1995"/>
        <v>2671567.6086249156</v>
      </c>
      <c r="BK278" s="1248">
        <f t="shared" si="1995"/>
        <v>1678540.6876058425</v>
      </c>
      <c r="BL278" s="1248">
        <f t="shared" si="1995"/>
        <v>2104435.7396611758</v>
      </c>
      <c r="BM278" s="1248">
        <f t="shared" si="1995"/>
        <v>1994407.6954830859</v>
      </c>
      <c r="BN278" s="1248">
        <f t="shared" si="1995"/>
        <v>3000489.6901026894</v>
      </c>
      <c r="BO278" s="1248">
        <f t="shared" si="1995"/>
        <v>1573821.6281399762</v>
      </c>
      <c r="BP278" s="1248">
        <f t="shared" si="1995"/>
        <v>551591.32416556333</v>
      </c>
      <c r="BQ278" s="1248">
        <f t="shared" si="1995"/>
        <v>1674370.9051349533</v>
      </c>
      <c r="BR278" s="1248">
        <f t="shared" si="1995"/>
        <v>2922754.3943122341</v>
      </c>
      <c r="BS278" s="1248">
        <f t="shared" si="1995"/>
        <v>1364419.7337936948</v>
      </c>
      <c r="BT278" s="1248">
        <f t="shared" si="1995"/>
        <v>2293734.4872922404</v>
      </c>
      <c r="BU278" s="1248">
        <f t="shared" si="1995"/>
        <v>2387407.2964361743</v>
      </c>
      <c r="BV278" s="1248">
        <f t="shared" si="1995"/>
        <v>3585380.5463468186</v>
      </c>
      <c r="BW278" s="1248">
        <f t="shared" si="1995"/>
        <v>2250950.5981392208</v>
      </c>
      <c r="BX278" s="1248">
        <f t="shared" si="1995"/>
        <v>3209123.4397938647</v>
      </c>
      <c r="BY278" s="1248">
        <f t="shared" si="1995"/>
        <v>2625942.8349543824</v>
      </c>
      <c r="BZ278" s="1248">
        <f t="shared" ref="BZ278:CK278" si="1996">BV268*BZ283+BZ284*BZ272</f>
        <v>3578700.3587569753</v>
      </c>
      <c r="CA278" s="1248">
        <f t="shared" si="1996"/>
        <v>2289334.6828656294</v>
      </c>
      <c r="CB278" s="1248">
        <f t="shared" si="1996"/>
        <v>2989522.8171445392</v>
      </c>
      <c r="CC278" s="1248">
        <f t="shared" si="1996"/>
        <v>2621438.9134381791</v>
      </c>
      <c r="CD278" s="1248">
        <f t="shared" si="1996"/>
        <v>3760968.5750244646</v>
      </c>
      <c r="CE278" s="1248">
        <f t="shared" si="1996"/>
        <v>2435821.9600860067</v>
      </c>
      <c r="CF278" s="1248">
        <f t="shared" si="1996"/>
        <v>3082798.3006933709</v>
      </c>
      <c r="CG278" s="1248">
        <f t="shared" si="1996"/>
        <v>2951956.301227435</v>
      </c>
      <c r="CH278" s="1248">
        <f t="shared" si="1996"/>
        <v>4162297.9322261661</v>
      </c>
      <c r="CI278" s="1248">
        <f t="shared" si="1996"/>
        <v>2743677.1927784616</v>
      </c>
      <c r="CJ278" s="1248">
        <f t="shared" si="1996"/>
        <v>3632107.8322063908</v>
      </c>
      <c r="CK278" s="1248">
        <f t="shared" si="1996"/>
        <v>3073873.5877273311</v>
      </c>
      <c r="CL278" s="759">
        <f t="shared" ref="CL278" si="1997">(CH268*CL283+CL284*CL272)*(1-CL279)</f>
        <v>4372015.7390090954</v>
      </c>
      <c r="CM278" s="759">
        <f t="shared" ref="CM278" si="1998">(CI268*CM283+CM284*CM272)*(1-CM279)</f>
        <v>2935811.0941041741</v>
      </c>
      <c r="CN278" s="759">
        <f t="shared" ref="CN278" si="1999">(CJ268*CN283+CN284*CN272)*(1-CN279)</f>
        <v>3851396.9565790822</v>
      </c>
      <c r="CO278" s="759">
        <f t="shared" ref="CO278" si="2000">(CK268*CO283+CO284*CO272)*(1-CO279)</f>
        <v>3332428.9985024352</v>
      </c>
      <c r="CP278" s="759">
        <f t="shared" ref="CP278" si="2001">(CL268*CP283+CP284*CP272)*(1-CP279)</f>
        <v>4741143.6357525196</v>
      </c>
      <c r="CQ278" s="759"/>
      <c r="CR278" s="759"/>
      <c r="CS278" s="759"/>
      <c r="CT278" s="759">
        <v>4372015.7390090954</v>
      </c>
      <c r="CU278" s="1119"/>
      <c r="CV278" s="758"/>
      <c r="CW278" s="673">
        <v>1147027.5674109396</v>
      </c>
      <c r="CX278" s="673">
        <v>1634005.0920297869</v>
      </c>
      <c r="CY278" s="673">
        <v>1750935.5565268067</v>
      </c>
      <c r="CZ278" s="673">
        <v>2001714.6481124554</v>
      </c>
      <c r="DA278" s="673">
        <v>2141937.6498177135</v>
      </c>
      <c r="DB278" s="673">
        <v>2535029.323452061</v>
      </c>
      <c r="DC278" s="673">
        <v>2986781.3193068351</v>
      </c>
      <c r="DD278" s="673">
        <v>3711342.0295585054</v>
      </c>
      <c r="DE278" s="673">
        <v>4110360.2079363884</v>
      </c>
      <c r="DF278" s="673">
        <f t="shared" ref="DF278:DL278" si="2002">(DE268*DF283+DF284*DF271)</f>
        <v>553798.24301991099</v>
      </c>
      <c r="DG278" s="673" t="e">
        <f t="shared" si="2002"/>
        <v>#VALUE!</v>
      </c>
      <c r="DH278" s="673">
        <f t="shared" si="2002"/>
        <v>5913445.3370133992</v>
      </c>
      <c r="DI278" s="673">
        <f t="shared" si="2002"/>
        <v>6943997.3665346</v>
      </c>
      <c r="DJ278" s="673">
        <f t="shared" si="2002"/>
        <v>7496755.1720506772</v>
      </c>
      <c r="DK278" s="673">
        <f t="shared" si="2002"/>
        <v>8723142.2927762419</v>
      </c>
      <c r="DL278" s="1248">
        <f t="shared" si="2002"/>
        <v>6344859.8135674112</v>
      </c>
      <c r="DM278" s="1248">
        <f>+S9+SUM(BS278:BV278)</f>
        <v>9630942.0638689287</v>
      </c>
      <c r="DN278" s="1248">
        <f>+T9+SUM(BW278:BZ278)</f>
        <v>11664717.231644444</v>
      </c>
      <c r="DO278" s="1248">
        <f>+U9+SUM(CA278:CD278)</f>
        <v>11661264.988472812</v>
      </c>
      <c r="DP278" s="1248">
        <f>+V9+SUM(CE278:CH278)</f>
        <v>12632874.494232979</v>
      </c>
      <c r="DQ278" s="1248">
        <f>+W9+SUM(CI278:CL278)</f>
        <v>13821674.351721279</v>
      </c>
      <c r="DR278" s="1248">
        <f>+X9+SUM(CM278:CP278)</f>
        <v>14860780.684938211</v>
      </c>
      <c r="DS278" s="759">
        <f>(DR268*DS283+DS284*DS271)*(1-DS279)</f>
        <v>16129238.936102465</v>
      </c>
      <c r="DT278" s="759">
        <f t="shared" ref="DT278:DV278" si="2003">(DS268*DT283+DT284*DT271)*(1-DT279)</f>
        <v>17370380.215569045</v>
      </c>
      <c r="DU278" s="759">
        <f t="shared" si="2003"/>
        <v>18695329.764494058</v>
      </c>
      <c r="DV278" s="759">
        <f t="shared" si="2003"/>
        <v>20109365.04613978</v>
      </c>
      <c r="DY278" s="759">
        <v>15277654.571192246</v>
      </c>
      <c r="DZ278" s="759">
        <v>16632533.820276788</v>
      </c>
    </row>
    <row r="279" spans="1:130" s="692" customFormat="1">
      <c r="A279" s="2153" t="s">
        <v>282</v>
      </c>
      <c r="B279" s="2158"/>
      <c r="C279" s="2152"/>
      <c r="D279" s="2152"/>
      <c r="E279" s="2152"/>
      <c r="F279" s="2152"/>
      <c r="G279" s="2155"/>
      <c r="H279" s="2155"/>
      <c r="I279" s="2155"/>
      <c r="J279" s="2155"/>
      <c r="K279" s="2155"/>
      <c r="L279" s="2155"/>
      <c r="M279" s="2155"/>
      <c r="N279" s="2151">
        <v>3.1301076884665546E-2</v>
      </c>
      <c r="O279" s="2151">
        <v>-2.9960252372230878E-3</v>
      </c>
      <c r="P279" s="2151">
        <v>-6.6544462911247826E-2</v>
      </c>
      <c r="Q279" s="2151">
        <v>-0.11848840727543508</v>
      </c>
      <c r="R279" s="2151">
        <v>1.2865362149329096E-2</v>
      </c>
      <c r="S279" s="2151">
        <v>2.1375688376644497E-2</v>
      </c>
      <c r="T279" s="2151">
        <v>7.4483112537875318E-3</v>
      </c>
      <c r="U279" s="2151">
        <v>3.883190016288629E-2</v>
      </c>
      <c r="V279" s="2151">
        <v>2.7966901089900409E-2</v>
      </c>
      <c r="W279" s="2151">
        <v>2.3314741006848161E-2</v>
      </c>
      <c r="X279" s="2151">
        <v>3.5724293928250495E-2</v>
      </c>
      <c r="Y279" s="2151">
        <v>2.5122237486163712E-2</v>
      </c>
      <c r="Z279" s="2151">
        <v>1.3903747117522958E-2</v>
      </c>
      <c r="AA279" s="2151">
        <v>2.7068492881056061E-2</v>
      </c>
      <c r="AB279" s="2151">
        <v>8.8386293439244312E-3</v>
      </c>
      <c r="AC279" s="2151">
        <v>7.777373015467326E-3</v>
      </c>
      <c r="AD279" s="2151">
        <v>3.1851986358710782E-2</v>
      </c>
      <c r="AE279" s="2151">
        <v>1.8920601626335021E-2</v>
      </c>
      <c r="AF279" s="2151">
        <v>1.1624579218091347E-2</v>
      </c>
      <c r="AG279" s="2151">
        <v>-1.5520646739369592E-2</v>
      </c>
      <c r="AH279" s="2151">
        <v>9.3235472753299131E-3</v>
      </c>
      <c r="AI279" s="2151">
        <v>2.0969494741247541E-3</v>
      </c>
      <c r="AJ279" s="2151">
        <v>6.7181697304267596E-2</v>
      </c>
      <c r="AK279" s="2151">
        <v>4.5512742900994718E-2</v>
      </c>
      <c r="AL279" s="2151">
        <v>8.40807053250201E-2</v>
      </c>
      <c r="AM279" s="2151">
        <v>9.0268685187078201E-2</v>
      </c>
      <c r="AN279" s="2151">
        <v>4.1320247168542101E-2</v>
      </c>
      <c r="AO279" s="2151">
        <v>0.10595266011644333</v>
      </c>
      <c r="AP279" s="2151">
        <v>5.1063649477933959E-2</v>
      </c>
      <c r="AQ279" s="2151">
        <f t="shared" ref="AQ279:BD279" si="2004">+AQ278/AQ277-1</f>
        <v>-0.87411446113832669</v>
      </c>
      <c r="AR279" s="2151">
        <f t="shared" si="2004"/>
        <v>-0.8769736228313153</v>
      </c>
      <c r="AS279" s="2151">
        <f t="shared" si="2004"/>
        <v>-0.87929753680450207</v>
      </c>
      <c r="AT279" s="2151">
        <f t="shared" si="2004"/>
        <v>-0.87627680314160483</v>
      </c>
      <c r="AU279" s="2151">
        <f t="shared" si="2004"/>
        <v>-0.99792318242869371</v>
      </c>
      <c r="AV279" s="2151">
        <f t="shared" si="2004"/>
        <v>5.013258971614043E-2</v>
      </c>
      <c r="AW279" s="2151">
        <f t="shared" si="2004"/>
        <v>4.3937805983034428E-2</v>
      </c>
      <c r="AX279" s="2151">
        <f t="shared" si="2004"/>
        <v>5.6941386022836271E-2</v>
      </c>
      <c r="AY279" s="2151">
        <f t="shared" si="2004"/>
        <v>3.643547692522664E-2</v>
      </c>
      <c r="AZ279" s="2151">
        <f t="shared" si="2004"/>
        <v>4.6115188086336634E-2</v>
      </c>
      <c r="BA279" s="2151">
        <f t="shared" si="2004"/>
        <v>3.8998411316947257E-2</v>
      </c>
      <c r="BB279" s="2151">
        <f t="shared" si="2004"/>
        <v>5.0455438887722748E-2</v>
      </c>
      <c r="BC279" s="2151">
        <f t="shared" si="2004"/>
        <v>3.581251762073423E-2</v>
      </c>
      <c r="BD279" s="2151">
        <f t="shared" si="2004"/>
        <v>4.9897337083485427E-2</v>
      </c>
      <c r="BE279" s="2151">
        <f t="shared" ref="BE279:BJ279" si="2005">+BE278/BE277-1</f>
        <v>6.5617948195486386E-2</v>
      </c>
      <c r="BF279" s="2151">
        <f t="shared" si="2005"/>
        <v>6.4180004231474408E-2</v>
      </c>
      <c r="BG279" s="2151">
        <f t="shared" si="2005"/>
        <v>3.3325815023001804E-2</v>
      </c>
      <c r="BH279" s="2151">
        <f t="shared" si="2005"/>
        <v>4.0355964672112776E-2</v>
      </c>
      <c r="BI279" s="2151">
        <f t="shared" si="2005"/>
        <v>2.4838890780844114E-2</v>
      </c>
      <c r="BJ279" s="2151">
        <f t="shared" si="2005"/>
        <v>2.9457423822431217E-2</v>
      </c>
      <c r="BK279" s="2151">
        <f t="shared" ref="BK279:BP279" si="2006">+BK278/BK277-1</f>
        <v>1.7089653571266128E-2</v>
      </c>
      <c r="BL279" s="2151">
        <f t="shared" si="2006"/>
        <v>4.2122826014980852E-2</v>
      </c>
      <c r="BM279" s="2151">
        <f t="shared" si="2006"/>
        <v>3.2342729570669304E-2</v>
      </c>
      <c r="BN279" s="2151">
        <f t="shared" si="2006"/>
        <v>4.4354026303224492E-2</v>
      </c>
      <c r="BO279" s="2151">
        <f t="shared" si="2006"/>
        <v>1.5250892244756287E-2</v>
      </c>
      <c r="BP279" s="2151">
        <f t="shared" si="2006"/>
        <v>2.2154422917602501E-2</v>
      </c>
      <c r="BQ279" s="2151">
        <f t="shared" ref="BQ279:BY279" si="2007">+BQ278/BQ277-1</f>
        <v>1.4034609519611108E-2</v>
      </c>
      <c r="BR279" s="2151">
        <f t="shared" si="2007"/>
        <v>1.0948213093331383E-3</v>
      </c>
      <c r="BS279" s="2151">
        <f t="shared" si="2007"/>
        <v>2.0036350285579374E-6</v>
      </c>
      <c r="BT279" s="2151">
        <f t="shared" si="2007"/>
        <v>1.5500567042634472E-2</v>
      </c>
      <c r="BU279" s="2151">
        <f t="shared" si="2007"/>
        <v>6.5275801293132041E-3</v>
      </c>
      <c r="BV279" s="2151">
        <f t="shared" si="2007"/>
        <v>6.9421114792058702E-3</v>
      </c>
      <c r="BW279" s="2151">
        <f t="shared" si="2007"/>
        <v>9.5465453954834967E-3</v>
      </c>
      <c r="BX279" s="2151">
        <f t="shared" si="2007"/>
        <v>1.051042819680581E-2</v>
      </c>
      <c r="BY279" s="2151">
        <f t="shared" si="2007"/>
        <v>3.9846114614956463E-3</v>
      </c>
      <c r="BZ279" s="2151">
        <f t="shared" ref="BZ279:CA279" si="2008">+BZ278/BZ277-1</f>
        <v>6.7052800773743648E-3</v>
      </c>
      <c r="CA279" s="2151">
        <f t="shared" si="2008"/>
        <v>4.976157963910266E-3</v>
      </c>
      <c r="CB279" s="2151">
        <f t="shared" ref="CB279:CC279" si="2009">+CB278/CB277-1</f>
        <v>1.4131951535050202E-3</v>
      </c>
      <c r="CC279" s="2151">
        <f t="shared" si="2009"/>
        <v>-5.5639213908017515E-3</v>
      </c>
      <c r="CD279" s="2151">
        <f t="shared" ref="CD279:CE279" si="2010">+CD278/CD277-1</f>
        <v>-1.2073353831612788E-2</v>
      </c>
      <c r="CE279" s="2151">
        <f t="shared" si="2010"/>
        <v>-1.0349848175105092E-2</v>
      </c>
      <c r="CF279" s="2151">
        <f t="shared" ref="CF279:CH279" si="2011">+CF278/CF277-1</f>
        <v>9.3356252522247551E-4</v>
      </c>
      <c r="CG279" s="2151">
        <f t="shared" si="2011"/>
        <v>-1.351746839111434E-3</v>
      </c>
      <c r="CH279" s="2151">
        <f t="shared" si="2011"/>
        <v>-2.9896355648607598E-3</v>
      </c>
      <c r="CI279" s="2151">
        <f t="shared" ref="CI279:CJ279" si="2012">+CI278/CI277-1</f>
        <v>-4.7745996218635511E-3</v>
      </c>
      <c r="CJ279" s="2151">
        <f t="shared" si="2012"/>
        <v>-4.8117151976272421E-3</v>
      </c>
      <c r="CK279" s="2151">
        <f t="shared" ref="CK279" si="2013">+CK278/CK277-1</f>
        <v>-1.7132695665812436E-3</v>
      </c>
      <c r="CL279" s="2156">
        <f t="shared" ref="CL279" si="2014">+CK279</f>
        <v>-1.7132695665812436E-3</v>
      </c>
      <c r="CM279" s="2156">
        <f t="shared" ref="CM279" si="2015">+CL279</f>
        <v>-1.7132695665812436E-3</v>
      </c>
      <c r="CN279" s="2156">
        <f t="shared" ref="CN279" si="2016">+CM279</f>
        <v>-1.7132695665812436E-3</v>
      </c>
      <c r="CO279" s="2156">
        <f t="shared" ref="CO279" si="2017">+CN279</f>
        <v>-1.7132695665812436E-3</v>
      </c>
      <c r="CP279" s="2156">
        <f t="shared" ref="CP279" si="2018">+CO279</f>
        <v>-1.7132695665812436E-3</v>
      </c>
      <c r="CQ279" s="2156"/>
      <c r="CR279" s="2156"/>
      <c r="CS279" s="2156"/>
      <c r="CT279" s="2156">
        <v>-1.7132695665812436E-3</v>
      </c>
      <c r="CU279" s="1110"/>
      <c r="CV279" s="1110"/>
      <c r="CW279" s="2154"/>
      <c r="CX279" s="2154">
        <v>0.13780256612658603</v>
      </c>
      <c r="CY279" s="2154">
        <v>-4.5237815071363929E-4</v>
      </c>
      <c r="CZ279" s="2154">
        <v>2.3360509990667522E-2</v>
      </c>
      <c r="DA279" s="2154">
        <v>1.2272698615959587E-2</v>
      </c>
      <c r="DB279" s="2154">
        <v>2.9376616509491749E-2</v>
      </c>
      <c r="DC279" s="2154">
        <v>3.1127812353047402E-2</v>
      </c>
      <c r="DD279" s="2154">
        <v>7.2034925174902398E-2</v>
      </c>
      <c r="DE279" s="2154">
        <v>5.0220733459039213E-2</v>
      </c>
      <c r="DF279" s="2157">
        <f t="shared" ref="DF279:DL279" si="2019">+DF278/DF277-1</f>
        <v>-0.88071408012991159</v>
      </c>
      <c r="DG279" s="2157" t="e">
        <f t="shared" si="2019"/>
        <v>#VALUE!</v>
      </c>
      <c r="DH279" s="2157">
        <f t="shared" si="2019"/>
        <v>3.3501475772550915E-2</v>
      </c>
      <c r="DI279" s="2157">
        <f t="shared" si="2019"/>
        <v>5.2109176146172942E-2</v>
      </c>
      <c r="DJ279" s="2157">
        <f t="shared" si="2019"/>
        <v>1.5125607363899451E-3</v>
      </c>
      <c r="DK279" s="2157">
        <f t="shared" si="2019"/>
        <v>2.9316612740572623E-2</v>
      </c>
      <c r="DL279" s="2157">
        <f t="shared" si="2019"/>
        <v>-4.7400018171503411E-2</v>
      </c>
      <c r="DM279" s="2157">
        <f t="shared" ref="DM279:DR279" si="2020">+DM278/DM277-1</f>
        <v>7.8712655712320778E-3</v>
      </c>
      <c r="DN279" s="2157">
        <f t="shared" si="2020"/>
        <v>7.6817386317262759E-3</v>
      </c>
      <c r="DO279" s="2157">
        <f t="shared" si="2020"/>
        <v>-3.850478589139561E-3</v>
      </c>
      <c r="DP279" s="2157">
        <f t="shared" si="2020"/>
        <v>-3.0836221549975784E-3</v>
      </c>
      <c r="DQ279" s="2157">
        <f t="shared" si="2020"/>
        <v>-2.5977944037228751E-3</v>
      </c>
      <c r="DR279" s="2157">
        <f t="shared" si="2020"/>
        <v>0</v>
      </c>
      <c r="DS279" s="2157">
        <v>0</v>
      </c>
      <c r="DT279" s="2157">
        <v>0</v>
      </c>
      <c r="DU279" s="2157">
        <v>0</v>
      </c>
      <c r="DV279" s="2157">
        <v>0</v>
      </c>
      <c r="DY279" s="2157">
        <v>0</v>
      </c>
      <c r="DZ279" s="2157">
        <v>0</v>
      </c>
    </row>
    <row r="280" spans="1:130">
      <c r="A280" s="90"/>
      <c r="B280" s="6"/>
      <c r="C280" s="6"/>
      <c r="D280" s="6"/>
      <c r="E280" s="6"/>
      <c r="F280" s="6"/>
      <c r="G280" s="73"/>
      <c r="H280" s="73"/>
      <c r="I280" s="73"/>
      <c r="J280" s="73"/>
      <c r="K280" s="73"/>
      <c r="L280" s="73"/>
      <c r="M280" s="73"/>
      <c r="N280" s="73"/>
      <c r="O280" s="73"/>
      <c r="P280" s="73"/>
      <c r="Q280" s="73"/>
      <c r="R280" s="73"/>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82"/>
      <c r="BJ280" s="229">
        <f>+BJ281/BI281-1</f>
        <v>0.48261942691399318</v>
      </c>
      <c r="BK280" s="229">
        <f>+BK281/BJ281-1</f>
        <v>-0.37504063656295628</v>
      </c>
      <c r="BL280" s="682"/>
      <c r="BM280" s="682"/>
      <c r="BN280" s="229">
        <f>+BN281/BM281-1</f>
        <v>0.45272654493380782</v>
      </c>
      <c r="BO280" s="229">
        <f>+BO281/BN281-1</f>
        <v>-0.46898146732321744</v>
      </c>
      <c r="BP280" s="682"/>
      <c r="BQ280" s="682"/>
      <c r="BR280" s="229">
        <f>+BR281/BQ281-1</f>
        <v>0.75857546160169576</v>
      </c>
      <c r="BS280" s="229">
        <f>+BS281/BR281-1</f>
        <v>-0.53251354312859644</v>
      </c>
      <c r="BT280" s="682"/>
      <c r="BU280" s="682"/>
      <c r="BV280" s="229">
        <f>+BV281/BU281-1</f>
        <v>0.49937723200558981</v>
      </c>
      <c r="BW280" s="229">
        <f>+BW281/BV281-1</f>
        <v>-0.37466771981692315</v>
      </c>
      <c r="BX280" s="682"/>
      <c r="BY280" s="682"/>
      <c r="BZ280" s="229">
        <f t="shared" ref="BZ280:CK280" si="2021">+BZ281/BY281-1</f>
        <v>0.34594356291608563</v>
      </c>
      <c r="CA280" s="229">
        <f t="shared" si="2021"/>
        <v>-0.35783669303676569</v>
      </c>
      <c r="CB280" s="229">
        <f t="shared" si="2021"/>
        <v>0.32003706685632927</v>
      </c>
      <c r="CC280" s="229">
        <f t="shared" si="2021"/>
        <v>-0.11417831311850335</v>
      </c>
      <c r="CD280" s="229">
        <f t="shared" si="2021"/>
        <v>0.44005679036845557</v>
      </c>
      <c r="CE280" s="229">
        <f t="shared" si="2021"/>
        <v>-0.35648251846717505</v>
      </c>
      <c r="CF280" s="229">
        <f t="shared" si="2021"/>
        <v>0.25017877120785426</v>
      </c>
      <c r="CG280" s="229">
        <f t="shared" si="2021"/>
        <v>-3.8572653949014546E-2</v>
      </c>
      <c r="CH280" s="229">
        <f t="shared" si="2021"/>
        <v>0.41378565155855007</v>
      </c>
      <c r="CI280" s="229">
        <f t="shared" si="2021"/>
        <v>-0.34255732570065789</v>
      </c>
      <c r="CJ280" s="229">
        <f t="shared" si="2021"/>
        <v>0.31914147872059684</v>
      </c>
      <c r="CK280" s="229">
        <f t="shared" si="2021"/>
        <v>-0.15725373627864647</v>
      </c>
      <c r="CL280" s="1148"/>
      <c r="CM280" s="1148"/>
      <c r="CN280" s="1148"/>
      <c r="CO280" s="1148"/>
      <c r="CP280" s="1148"/>
      <c r="CQ280" s="1148"/>
      <c r="CR280" s="1148"/>
      <c r="CS280" s="159"/>
      <c r="CT280" s="1148"/>
      <c r="CU280" s="702"/>
      <c r="CV280" s="6"/>
      <c r="CW280" s="6"/>
      <c r="CX280" s="6"/>
      <c r="CY280" s="6"/>
      <c r="CZ280" s="6"/>
      <c r="DA280" s="6"/>
      <c r="DB280" s="6"/>
      <c r="DC280" s="6"/>
      <c r="DD280" s="6"/>
      <c r="DE280" s="6"/>
      <c r="DF280" s="6"/>
      <c r="DG280" s="6"/>
      <c r="DH280" s="6"/>
      <c r="DI280" s="6"/>
      <c r="DJ280" s="6"/>
      <c r="DK280" s="6"/>
      <c r="DL280" s="682"/>
      <c r="DM280" s="682"/>
      <c r="DN280" s="682"/>
      <c r="DO280" s="682"/>
      <c r="DP280" s="682"/>
      <c r="DQ280" s="682"/>
      <c r="DR280" s="682"/>
      <c r="DS280" s="159"/>
      <c r="DT280" s="159"/>
      <c r="DU280" s="159"/>
      <c r="DV280" s="159"/>
      <c r="DY280" s="159"/>
      <c r="DZ280" s="159"/>
    </row>
    <row r="281" spans="1:130">
      <c r="A281" s="89" t="s">
        <v>283</v>
      </c>
      <c r="B281" s="87"/>
      <c r="C281" s="1249">
        <f t="shared" ref="C281:BN281" si="2022">C277/(AVERAGE(B268:C268))</f>
        <v>1.3010994191535523</v>
      </c>
      <c r="D281" s="1249">
        <f t="shared" si="2022"/>
        <v>1.7380975710661832</v>
      </c>
      <c r="E281" s="1249">
        <f t="shared" si="2022"/>
        <v>1.5120667180399414</v>
      </c>
      <c r="F281" s="1249">
        <f t="shared" si="2022"/>
        <v>2.3309540136363798</v>
      </c>
      <c r="G281" s="1249">
        <f t="shared" si="2022"/>
        <v>1.4715015750787539</v>
      </c>
      <c r="H281" s="1249">
        <f t="shared" si="2022"/>
        <v>2.0395242199620753</v>
      </c>
      <c r="I281" s="1249">
        <f t="shared" si="2022"/>
        <v>1.8498003007396018</v>
      </c>
      <c r="J281" s="1249">
        <f t="shared" si="2022"/>
        <v>2.8504293027693053</v>
      </c>
      <c r="K281" s="1249">
        <f t="shared" si="2022"/>
        <v>1.7469024230517354</v>
      </c>
      <c r="L281" s="1249">
        <f t="shared" si="2022"/>
        <v>2.4105063291139239</v>
      </c>
      <c r="M281" s="1249">
        <f t="shared" si="2022"/>
        <v>2.1094099756690996</v>
      </c>
      <c r="N281" s="1249">
        <f t="shared" si="2022"/>
        <v>2.9341765557163533</v>
      </c>
      <c r="O281" s="1249">
        <f t="shared" si="2022"/>
        <v>1.7432191011235956</v>
      </c>
      <c r="P281" s="1249">
        <f t="shared" si="2022"/>
        <v>2.6497813765182188</v>
      </c>
      <c r="Q281" s="1249">
        <f t="shared" si="2022"/>
        <v>2.3216313725490196</v>
      </c>
      <c r="R281" s="1249">
        <f t="shared" si="2022"/>
        <v>3.0583074968233799</v>
      </c>
      <c r="S281" s="1249">
        <f t="shared" si="2022"/>
        <v>1.8751919784788458</v>
      </c>
      <c r="T281" s="1249">
        <f t="shared" si="2022"/>
        <v>2.4295735048844413</v>
      </c>
      <c r="U281" s="1249">
        <f t="shared" si="2022"/>
        <v>2.0793424403797176</v>
      </c>
      <c r="V281" s="1249">
        <f t="shared" si="2022"/>
        <v>2.7442790073775991</v>
      </c>
      <c r="W281" s="1249">
        <f t="shared" si="2022"/>
        <v>1.5787940792337831</v>
      </c>
      <c r="X281" s="1249">
        <f t="shared" si="2022"/>
        <v>2.359055921752073</v>
      </c>
      <c r="Y281" s="1249">
        <f t="shared" si="2022"/>
        <v>2.015027944524943</v>
      </c>
      <c r="Z281" s="1249">
        <f t="shared" si="2022"/>
        <v>2.8925558715969117</v>
      </c>
      <c r="AA281" s="1249">
        <f t="shared" si="2022"/>
        <v>1.7543175931460451</v>
      </c>
      <c r="AB281" s="1249">
        <f t="shared" si="2022"/>
        <v>2.4628186082877246</v>
      </c>
      <c r="AC281" s="1249">
        <f t="shared" si="2022"/>
        <v>2.1853602305475506</v>
      </c>
      <c r="AD281" s="1249">
        <f t="shared" si="2022"/>
        <v>3.074688316536021</v>
      </c>
      <c r="AE281" s="1249">
        <f t="shared" si="2022"/>
        <v>1.8832557293561294</v>
      </c>
      <c r="AF281" s="1249">
        <f t="shared" si="2022"/>
        <v>2.6588153928001419</v>
      </c>
      <c r="AG281" s="1249">
        <f t="shared" si="2022"/>
        <v>2.2685171759019505</v>
      </c>
      <c r="AH281" s="1249">
        <f t="shared" si="2022"/>
        <v>3.1953327855382088</v>
      </c>
      <c r="AI281" s="1249">
        <f t="shared" si="2022"/>
        <v>1.9374186483103879</v>
      </c>
      <c r="AJ281" s="1249">
        <f t="shared" si="2022"/>
        <v>2.5550313713773529</v>
      </c>
      <c r="AK281" s="1249">
        <f t="shared" si="2022"/>
        <v>2.3552558275912623</v>
      </c>
      <c r="AL281" s="1249">
        <f t="shared" si="2022"/>
        <v>3.3054200390734021</v>
      </c>
      <c r="AM281" s="1249">
        <f t="shared" si="2022"/>
        <v>1.8945020855057351</v>
      </c>
      <c r="AN281" s="1249">
        <f t="shared" si="2022"/>
        <v>2.4352821699447231</v>
      </c>
      <c r="AO281" s="1249">
        <f t="shared" si="2022"/>
        <v>2.2758293601003765</v>
      </c>
      <c r="AP281" s="1249">
        <f t="shared" si="2022"/>
        <v>3.1740778664126683</v>
      </c>
      <c r="AQ281" s="1249">
        <f t="shared" si="2022"/>
        <v>3.7300004151461574</v>
      </c>
      <c r="AR281" s="1249">
        <f t="shared" si="2022"/>
        <v>2487.7019498451341</v>
      </c>
      <c r="AS281" s="1249">
        <f t="shared" si="2022"/>
        <v>2280.7471139185363</v>
      </c>
      <c r="AT281" s="1249">
        <f t="shared" si="2022"/>
        <v>3518.3459755583649</v>
      </c>
      <c r="AU281" s="1249">
        <f t="shared" si="2022"/>
        <v>2070.8696097511011</v>
      </c>
      <c r="AV281" s="1249">
        <f t="shared" si="2022"/>
        <v>2721.5508241164725</v>
      </c>
      <c r="AW281" s="1249">
        <f t="shared" si="2022"/>
        <v>2449.2464589012807</v>
      </c>
      <c r="AX281" s="1249">
        <f t="shared" si="2022"/>
        <v>3507.9685426731871</v>
      </c>
      <c r="AY281" s="1249">
        <f t="shared" si="2022"/>
        <v>2010.0547941039979</v>
      </c>
      <c r="AZ281" s="1249">
        <f t="shared" si="2022"/>
        <v>2689.1889139110172</v>
      </c>
      <c r="BA281" s="1249">
        <f t="shared" si="2022"/>
        <v>2263.4059409247629</v>
      </c>
      <c r="BB281" s="1249">
        <f t="shared" si="2022"/>
        <v>3351.1102045324596</v>
      </c>
      <c r="BC281" s="1249">
        <f t="shared" si="2022"/>
        <v>2105.6640231119527</v>
      </c>
      <c r="BD281" s="1249">
        <f t="shared" si="2022"/>
        <v>2738.1129732741038</v>
      </c>
      <c r="BE281" s="1249">
        <f t="shared" si="2022"/>
        <v>2444.3174021560308</v>
      </c>
      <c r="BF281" s="1249">
        <f t="shared" si="2022"/>
        <v>3446.0540742172957</v>
      </c>
      <c r="BG281" s="1249">
        <f t="shared" si="2022"/>
        <v>2142.575790827646</v>
      </c>
      <c r="BH281" s="1249">
        <f t="shared" si="2022"/>
        <v>2706.8051302126987</v>
      </c>
      <c r="BI281" s="1249">
        <f t="shared" si="2022"/>
        <v>2556.837484333691</v>
      </c>
      <c r="BJ281" s="1249">
        <f t="shared" si="2022"/>
        <v>3790.8169257350328</v>
      </c>
      <c r="BK281" s="1249">
        <f t="shared" si="2022"/>
        <v>2369.106532813737</v>
      </c>
      <c r="BL281" s="1249">
        <f t="shared" si="2022"/>
        <v>2857.7026876562918</v>
      </c>
      <c r="BM281" s="1249">
        <f t="shared" si="2022"/>
        <v>2685.7533371189766</v>
      </c>
      <c r="BN281" s="1249">
        <f t="shared" si="2022"/>
        <v>3901.6651659772951</v>
      </c>
      <c r="BO281" s="1249">
        <f t="shared" ref="BO281:CI281" si="2023">BO277/(AVERAGE(BN268:BO268))</f>
        <v>2071.8565114333787</v>
      </c>
      <c r="BP281" s="1249">
        <f t="shared" si="2023"/>
        <v>722.09728129107737</v>
      </c>
      <c r="BQ281" s="1249">
        <f t="shared" si="2023"/>
        <v>2198.3702726756951</v>
      </c>
      <c r="BR281" s="1249">
        <f t="shared" si="2023"/>
        <v>3866.0000170421063</v>
      </c>
      <c r="BS281" s="1249">
        <f t="shared" si="2023"/>
        <v>1807.3026502318</v>
      </c>
      <c r="BT281" s="1249">
        <f t="shared" si="2023"/>
        <v>2945.3370786080973</v>
      </c>
      <c r="BU281" s="1249">
        <f t="shared" si="2023"/>
        <v>3042.0156736519025</v>
      </c>
      <c r="BV281" s="1249">
        <f t="shared" si="2023"/>
        <v>4561.1290404778092</v>
      </c>
      <c r="BW281" s="1249">
        <f t="shared" si="2023"/>
        <v>2852.2212230912378</v>
      </c>
      <c r="BX281" s="1249">
        <f t="shared" si="2023"/>
        <v>4038.5953616683091</v>
      </c>
      <c r="BY281" s="1249">
        <f t="shared" si="2023"/>
        <v>3287.5713899571174</v>
      </c>
      <c r="BZ281" s="1249">
        <f t="shared" si="2023"/>
        <v>4424.8855499398705</v>
      </c>
      <c r="CA281" s="1249">
        <f t="shared" si="2023"/>
        <v>2841.4991376832168</v>
      </c>
      <c r="CB281" s="1249">
        <f t="shared" si="2023"/>
        <v>3750.8841871821423</v>
      </c>
      <c r="CC281" s="1249">
        <f t="shared" si="2023"/>
        <v>3322.6145579868166</v>
      </c>
      <c r="CD281" s="1249">
        <f t="shared" si="2023"/>
        <v>4784.7536560059998</v>
      </c>
      <c r="CE281" s="1249">
        <f t="shared" si="2023"/>
        <v>3079.0726224679579</v>
      </c>
      <c r="CF281" s="1249">
        <f t="shared" si="2023"/>
        <v>3849.3912276167371</v>
      </c>
      <c r="CG281" s="1249">
        <f t="shared" si="2023"/>
        <v>3700.9099918795046</v>
      </c>
      <c r="CH281" s="1249">
        <f t="shared" si="2023"/>
        <v>5232.2934442289134</v>
      </c>
      <c r="CI281" s="1249">
        <f t="shared" si="2023"/>
        <v>3439.9329946927724</v>
      </c>
      <c r="CJ281" s="1249">
        <f>CJ277/(AVERAGE(CI268:CJ268))</f>
        <v>4537.7582973187946</v>
      </c>
      <c r="CK281" s="1249">
        <f>CK277/(AVERAGE(CJ268:CK268))</f>
        <v>3824.1788507359852</v>
      </c>
      <c r="CL281" s="1249">
        <f t="shared" ref="CL281" si="2024">CL277/(AVERAGE(CK268:CL268))</f>
        <v>5356.1773223883547</v>
      </c>
      <c r="CM281" s="1249">
        <f t="shared" ref="CM281" si="2025">CM277/(AVERAGE(CL268:CM268))</f>
        <v>3548.6254583496398</v>
      </c>
      <c r="CN281" s="1249">
        <f t="shared" ref="CN281" si="2026">CN277/(AVERAGE(CM268:CN268))</f>
        <v>4642.0392840741679</v>
      </c>
      <c r="CO281" s="1249">
        <f t="shared" ref="CO281" si="2027">CO277/(AVERAGE(CN268:CO268))</f>
        <v>3993.7325185681329</v>
      </c>
      <c r="CP281" s="1249">
        <f t="shared" ref="CP281" si="2028">CP277/(AVERAGE(CO268:CP268))</f>
        <v>5618.2116388931418</v>
      </c>
      <c r="CQ281" s="1249"/>
      <c r="CR281" s="183"/>
      <c r="CS281" s="183"/>
      <c r="CT281" s="1249">
        <v>5356.1773223883547</v>
      </c>
      <c r="CU281" s="1120"/>
      <c r="CV281" s="88">
        <v>6.6886676016830293</v>
      </c>
      <c r="CW281" s="88">
        <v>7.9769608493696085</v>
      </c>
      <c r="CX281" s="88">
        <v>8.0680112359550566</v>
      </c>
      <c r="CY281" s="88">
        <v>8.6080000000000005</v>
      </c>
      <c r="CZ281" s="88">
        <v>8.5155463648236829</v>
      </c>
      <c r="DA281" s="88">
        <v>8.4740448538245889</v>
      </c>
      <c r="DB281" s="88">
        <v>8.9649945394976331</v>
      </c>
      <c r="DC281" s="88">
        <v>9.1088553459119499</v>
      </c>
      <c r="DD281" s="88">
        <v>9.0461458061144491</v>
      </c>
      <c r="DE281" s="88">
        <v>8.9704469401787765</v>
      </c>
      <c r="DF281" s="88">
        <f t="shared" ref="DF281:DV281" si="2029">DF30/DF268</f>
        <v>9540.9206740649406</v>
      </c>
      <c r="DG281" s="88">
        <f t="shared" si="2029"/>
        <v>10214.503463365376</v>
      </c>
      <c r="DH281" s="88">
        <f t="shared" si="2029"/>
        <v>9786.7479706947488</v>
      </c>
      <c r="DI281" s="88">
        <f t="shared" si="2029"/>
        <v>10076.142736448579</v>
      </c>
      <c r="DJ281" s="88">
        <f t="shared" si="2029"/>
        <v>10771.333993917748</v>
      </c>
      <c r="DK281" s="88">
        <f t="shared" si="2029"/>
        <v>11313.184891317003</v>
      </c>
      <c r="DL281" s="1249">
        <f t="shared" si="2029"/>
        <v>8816.1890958622898</v>
      </c>
      <c r="DM281" s="1249">
        <f t="shared" si="2029"/>
        <v>12231.694594693192</v>
      </c>
      <c r="DN281" s="1249">
        <f t="shared" si="2029"/>
        <v>14360.805551249334</v>
      </c>
      <c r="DO281" s="1249">
        <f t="shared" si="2029"/>
        <v>14651.481589816229</v>
      </c>
      <c r="DP281" s="1249">
        <f t="shared" si="2029"/>
        <v>15863.151420975944</v>
      </c>
      <c r="DQ281" s="1249">
        <f t="shared" ref="DQ281:DR281" si="2030">DQ30/DQ268</f>
        <v>16762.289081567553</v>
      </c>
      <c r="DR281" s="1249">
        <f t="shared" si="2030"/>
        <v>17475.015140477019</v>
      </c>
      <c r="DS281" s="183">
        <f t="shared" si="2029"/>
        <v>18452.692759318295</v>
      </c>
      <c r="DT281" s="183">
        <f t="shared" si="2029"/>
        <v>19348.358027335194</v>
      </c>
      <c r="DU281" s="183">
        <f t="shared" si="2029"/>
        <v>20288.932516553003</v>
      </c>
      <c r="DV281" s="183">
        <f t="shared" si="2029"/>
        <v>21276.623869594736</v>
      </c>
      <c r="DY281" s="183">
        <v>17899.632949204773</v>
      </c>
      <c r="DZ281" s="183">
        <v>18893.773674021471</v>
      </c>
    </row>
    <row r="282" spans="1:130">
      <c r="A282" s="8" t="s">
        <v>284</v>
      </c>
      <c r="B282" s="8"/>
      <c r="C282" s="8"/>
      <c r="D282" s="8"/>
      <c r="E282" s="8"/>
      <c r="F282" s="8"/>
      <c r="G282" s="8" t="e">
        <v>#DIV/0!</v>
      </c>
      <c r="H282" s="8" t="e">
        <v>#DIV/0!</v>
      </c>
      <c r="I282" s="8" t="e">
        <v>#DIV/0!</v>
      </c>
      <c r="J282" s="8" t="e">
        <v>#DIV/0!</v>
      </c>
      <c r="K282" s="8">
        <v>0.17252707490999653</v>
      </c>
      <c r="L282" s="8">
        <v>0.16742924784565671</v>
      </c>
      <c r="M282" s="8">
        <v>0.10127324521110714</v>
      </c>
      <c r="N282" s="8">
        <v>6.2589774950103205E-2</v>
      </c>
      <c r="O282" s="8">
        <v>7.4427757301221975E-2</v>
      </c>
      <c r="P282" s="8">
        <v>4.0887606783907904E-2</v>
      </c>
      <c r="Q282" s="8">
        <v>8.7408047078319617E-2</v>
      </c>
      <c r="R282" s="8">
        <v>3.8358160322179424E-2</v>
      </c>
      <c r="S282" s="8">
        <v>7.0731146841325643E-2</v>
      </c>
      <c r="T282" s="8">
        <v>3.0664951652831451E-2</v>
      </c>
      <c r="U282" s="8">
        <v>-8.2929399355997635E-3</v>
      </c>
      <c r="V282" s="8">
        <v>-9.634075931289221E-2</v>
      </c>
      <c r="W282" s="8">
        <v>-0.15415053908332133</v>
      </c>
      <c r="X282" s="8">
        <v>-3.0895186387007056E-2</v>
      </c>
      <c r="Y282" s="8">
        <v>-2.7351240915837183E-2</v>
      </c>
      <c r="Z282" s="8">
        <v>6.6936707183340882E-2</v>
      </c>
      <c r="AA282" s="8">
        <v>0.10566827223932229</v>
      </c>
      <c r="AB282" s="8">
        <v>5.3356546322525844E-2</v>
      </c>
      <c r="AC282" s="8">
        <v>8.5251836911335754E-2</v>
      </c>
      <c r="AD282" s="8">
        <v>5.1817334740570598E-2</v>
      </c>
      <c r="AE282" s="8">
        <v>7.8060441581905282E-2</v>
      </c>
      <c r="AF282" s="8">
        <v>6.8808993934463158E-2</v>
      </c>
      <c r="AG282" s="8">
        <v>3.839494702091395E-2</v>
      </c>
      <c r="AH282" s="8">
        <v>1.9540331803842514E-2</v>
      </c>
      <c r="AI282" s="8">
        <v>2.4380406120801057E-2</v>
      </c>
      <c r="AJ282" s="8">
        <v>-5.3849794458952438E-2</v>
      </c>
      <c r="AK282" s="8">
        <v>6.3580224863311274E-2</v>
      </c>
      <c r="AL282" s="8">
        <v>1.2267839505118561E-2</v>
      </c>
      <c r="AM282" s="8">
        <v>-1.9556362920659209E-2</v>
      </c>
      <c r="AN282" s="8">
        <v>-1.9640127109009864E-2</v>
      </c>
      <c r="AO282" s="8">
        <v>-6.5934907299335821E-2</v>
      </c>
      <c r="AP282" s="8">
        <v>-1.27777210670873E-2</v>
      </c>
      <c r="AQ282" s="116">
        <f t="shared" ref="AQ282:CK282" si="2031">AQ281/AM281-1</f>
        <v>0.96885527003811056</v>
      </c>
      <c r="AR282" s="116">
        <f t="shared" si="2031"/>
        <v>1020.5251359975263</v>
      </c>
      <c r="AS282" s="116">
        <f t="shared" si="2031"/>
        <v>1001.1608622792102</v>
      </c>
      <c r="AT282" s="116">
        <f t="shared" si="2031"/>
        <v>1107.4624018801364</v>
      </c>
      <c r="AU282" s="116">
        <f t="shared" si="2031"/>
        <v>554.19286307370442</v>
      </c>
      <c r="AV282" s="116">
        <f t="shared" si="2031"/>
        <v>9.400196606586908E-2</v>
      </c>
      <c r="AW282" s="116">
        <f t="shared" si="2031"/>
        <v>7.3879012694768598E-2</v>
      </c>
      <c r="AX282" s="116">
        <f t="shared" si="2031"/>
        <v>-2.9495203022297245E-3</v>
      </c>
      <c r="AY282" s="116">
        <f t="shared" si="2031"/>
        <v>-2.9366800961656114E-2</v>
      </c>
      <c r="AZ282" s="116">
        <f t="shared" si="2031"/>
        <v>-1.1890981391450395E-2</v>
      </c>
      <c r="BA282" s="116">
        <f t="shared" si="2031"/>
        <v>-7.5876609845088816E-2</v>
      </c>
      <c r="BB282" s="116">
        <f t="shared" si="2031"/>
        <v>-4.4714864524183051E-2</v>
      </c>
      <c r="BC282" s="116">
        <f t="shared" si="2031"/>
        <v>4.7565483930289254E-2</v>
      </c>
      <c r="BD282" s="116">
        <f t="shared" si="2031"/>
        <v>1.8192868158129594E-2</v>
      </c>
      <c r="BE282" s="116">
        <f t="shared" si="2031"/>
        <v>7.9928862057043304E-2</v>
      </c>
      <c r="BF282" s="116">
        <f t="shared" si="2031"/>
        <v>2.8332064268260071E-2</v>
      </c>
      <c r="BG282" s="116">
        <f t="shared" si="2031"/>
        <v>1.7529751807765281E-2</v>
      </c>
      <c r="BH282" s="116">
        <f t="shared" si="2031"/>
        <v>-1.1434094709382503E-2</v>
      </c>
      <c r="BI282" s="116">
        <f t="shared" si="2031"/>
        <v>4.6033335146413945E-2</v>
      </c>
      <c r="BJ282" s="116">
        <f t="shared" si="2031"/>
        <v>0.10004568822561022</v>
      </c>
      <c r="BK282" s="116">
        <f t="shared" si="2031"/>
        <v>0.10572822812423621</v>
      </c>
      <c r="BL282" s="116">
        <f t="shared" si="2031"/>
        <v>5.5747477259929568E-2</v>
      </c>
      <c r="BM282" s="116">
        <f t="shared" si="2031"/>
        <v>5.0420041780199654E-2</v>
      </c>
      <c r="BN282" s="116">
        <f t="shared" si="2031"/>
        <v>2.9241253907498876E-2</v>
      </c>
      <c r="BO282" s="116">
        <f t="shared" si="2031"/>
        <v>-0.12546925064923986</v>
      </c>
      <c r="BP282" s="116">
        <f t="shared" si="2031"/>
        <v>-0.74731546272810623</v>
      </c>
      <c r="BQ282" s="116">
        <f t="shared" si="2031"/>
        <v>-0.1814697789656663</v>
      </c>
      <c r="BR282" s="116">
        <f t="shared" si="2031"/>
        <v>-9.1410070874842209E-3</v>
      </c>
      <c r="BS282" s="116">
        <f t="shared" si="2031"/>
        <v>-0.12768927758349036</v>
      </c>
      <c r="BT282" s="116">
        <f t="shared" si="2031"/>
        <v>3.0788646556624162</v>
      </c>
      <c r="BU282" s="116">
        <f t="shared" si="2031"/>
        <v>0.38375946557418827</v>
      </c>
      <c r="BV282" s="116">
        <f t="shared" si="2031"/>
        <v>0.1798057476387569</v>
      </c>
      <c r="BW282" s="116">
        <f t="shared" si="2031"/>
        <v>0.57816468798151721</v>
      </c>
      <c r="BX282" s="116">
        <f t="shared" si="2031"/>
        <v>0.37118273864153517</v>
      </c>
      <c r="BY282" s="116">
        <f t="shared" si="2031"/>
        <v>8.0721384321609468E-2</v>
      </c>
      <c r="BZ282" s="116">
        <f t="shared" si="2031"/>
        <v>-2.9870562601681194E-2</v>
      </c>
      <c r="CA282" s="116">
        <f t="shared" si="2031"/>
        <v>-3.7592053944540682E-3</v>
      </c>
      <c r="CB282" s="116">
        <f t="shared" si="2031"/>
        <v>-7.1240406309810544E-2</v>
      </c>
      <c r="CC282" s="116">
        <f t="shared" si="2031"/>
        <v>1.0659287319736865E-2</v>
      </c>
      <c r="CD282" s="116">
        <f t="shared" si="2031"/>
        <v>8.1328229172169086E-2</v>
      </c>
      <c r="CE282" s="116">
        <f t="shared" si="2031"/>
        <v>8.3608501454075279E-2</v>
      </c>
      <c r="CF282" s="116">
        <f t="shared" si="2031"/>
        <v>2.6262351893247438E-2</v>
      </c>
      <c r="CG282" s="116">
        <f t="shared" si="2031"/>
        <v>0.11385474519858185</v>
      </c>
      <c r="CH282" s="116">
        <f t="shared" si="2031"/>
        <v>9.353455170281233E-2</v>
      </c>
      <c r="CI282" s="116">
        <f t="shared" si="2031"/>
        <v>0.11719774635765989</v>
      </c>
      <c r="CJ282" s="116">
        <f t="shared" si="2031"/>
        <v>0.17882491775933218</v>
      </c>
      <c r="CK282" s="116">
        <f t="shared" si="2031"/>
        <v>3.3307715974437491E-2</v>
      </c>
      <c r="CL282" s="192">
        <f t="shared" ref="CL282" si="2032">CL281/CH281-1</f>
        <v>2.367678332263301E-2</v>
      </c>
      <c r="CM282" s="192">
        <f t="shared" ref="CM282" si="2033">CM281/CI281-1</f>
        <v>3.1597261872414739E-2</v>
      </c>
      <c r="CN282" s="192">
        <f t="shared" ref="CN282" si="2034">CN281/CJ281-1</f>
        <v>2.2980727469990914E-2</v>
      </c>
      <c r="CO282" s="192">
        <f t="shared" ref="CO282" si="2035">CO281/CK281-1</f>
        <v>4.433727460197523E-2</v>
      </c>
      <c r="CP282" s="192">
        <f t="shared" ref="CP282" si="2036">CP281/CL281-1</f>
        <v>4.8921889760726645E-2</v>
      </c>
      <c r="CQ282" s="192"/>
      <c r="CR282" s="192"/>
      <c r="CS282" s="192"/>
      <c r="CT282" s="192">
        <v>2.367678332263301E-2</v>
      </c>
      <c r="CU282" s="694"/>
      <c r="CV282" s="8"/>
      <c r="CW282" s="8">
        <v>0.19260835257569298</v>
      </c>
      <c r="CX282" s="8">
        <v>1.1414169920696438E-2</v>
      </c>
      <c r="CY282" s="8">
        <v>6.6929599904185455E-2</v>
      </c>
      <c r="CZ282" s="8">
        <v>-1.0740431595761768E-2</v>
      </c>
      <c r="DA282" s="8">
        <v>-4.8736169379018923E-3</v>
      </c>
      <c r="DB282" s="8">
        <v>5.7935695897510353E-2</v>
      </c>
      <c r="DC282" s="8">
        <v>1.6046948582121301E-2</v>
      </c>
      <c r="DD282" s="8">
        <v>-6.8844588497768422E-3</v>
      </c>
      <c r="DE282" s="8">
        <v>-8.3680793520380936E-3</v>
      </c>
      <c r="DF282" s="8">
        <f t="shared" ref="DF282:DM282" si="2037">DF281/DE281-1</f>
        <v>1062.5947949628912</v>
      </c>
      <c r="DG282" s="8">
        <f t="shared" si="2037"/>
        <v>7.0599349089174757E-2</v>
      </c>
      <c r="DH282" s="8">
        <f t="shared" si="2037"/>
        <v>-4.18772673781731E-2</v>
      </c>
      <c r="DI282" s="8">
        <f t="shared" si="2037"/>
        <v>2.9570064195010293E-2</v>
      </c>
      <c r="DJ282" s="8">
        <f t="shared" si="2037"/>
        <v>6.8993788164040559E-2</v>
      </c>
      <c r="DK282" s="8">
        <f t="shared" si="2037"/>
        <v>5.0304901668189128E-2</v>
      </c>
      <c r="DL282" s="116">
        <f t="shared" si="2037"/>
        <v>-0.22071554734080112</v>
      </c>
      <c r="DM282" s="116">
        <f t="shared" si="2037"/>
        <v>0.38741291295962621</v>
      </c>
      <c r="DN282" s="116">
        <f t="shared" ref="DN282:DS282" si="2038">DN281/DM281-1</f>
        <v>0.17406508477409766</v>
      </c>
      <c r="DO282" s="116">
        <f t="shared" si="2038"/>
        <v>2.0240928514041912E-2</v>
      </c>
      <c r="DP282" s="116">
        <f t="shared" si="2038"/>
        <v>8.2699474707179643E-2</v>
      </c>
      <c r="DQ282" s="116">
        <f t="shared" si="2038"/>
        <v>5.6680897554988618E-2</v>
      </c>
      <c r="DR282" s="116">
        <f t="shared" si="2038"/>
        <v>4.2519613845176218E-2</v>
      </c>
      <c r="DS282" s="192">
        <f t="shared" si="2038"/>
        <v>5.5947168628008859E-2</v>
      </c>
      <c r="DT282" s="192">
        <f t="shared" ref="DT282" si="2039">DT281/DS281-1</f>
        <v>4.8538458841710375E-2</v>
      </c>
      <c r="DU282" s="192">
        <f t="shared" ref="DU282" si="2040">DU281/DT281-1</f>
        <v>4.8612625830521283E-2</v>
      </c>
      <c r="DV282" s="192">
        <f t="shared" ref="DV282" si="2041">DV281/DU281-1</f>
        <v>4.8681287309517707E-2</v>
      </c>
      <c r="DY282" s="192">
        <v>5.4673391365321899E-2</v>
      </c>
      <c r="DZ282" s="192">
        <v>5.5539726855732274E-2</v>
      </c>
    </row>
    <row r="283" spans="1:130">
      <c r="A283" s="44" t="s">
        <v>285</v>
      </c>
      <c r="B283" s="45"/>
      <c r="C283" s="46"/>
      <c r="D283" s="46"/>
      <c r="E283" s="46"/>
      <c r="F283" s="46"/>
      <c r="G283" s="46">
        <v>0</v>
      </c>
      <c r="H283" s="46">
        <v>0</v>
      </c>
      <c r="I283" s="46">
        <v>0</v>
      </c>
      <c r="J283" s="46">
        <v>0</v>
      </c>
      <c r="K283" s="46">
        <v>1.6881526205450732</v>
      </c>
      <c r="L283" s="46">
        <v>2.2909322082340933</v>
      </c>
      <c r="M283" s="46">
        <v>2.0208264327310332</v>
      </c>
      <c r="N283" s="46">
        <v>2.9934488188453883</v>
      </c>
      <c r="O283" s="46">
        <v>1.7652395604395605</v>
      </c>
      <c r="P283" s="46">
        <v>2.4305583632982022</v>
      </c>
      <c r="Q283" s="46">
        <v>2.0915321731343282</v>
      </c>
      <c r="R283" s="46">
        <v>3.0498169044943819</v>
      </c>
      <c r="S283" s="46">
        <v>1.9436892977528091</v>
      </c>
      <c r="T283" s="46">
        <v>2.4329878961038962</v>
      </c>
      <c r="U283" s="46">
        <v>2.1848731578947369</v>
      </c>
      <c r="V283" s="46">
        <v>2.7971941621621621</v>
      </c>
      <c r="W283" s="46">
        <v>1.6425367088607596</v>
      </c>
      <c r="X283" s="46">
        <v>2.4290843023798412</v>
      </c>
      <c r="Y283" s="46">
        <v>2.0904018474264703</v>
      </c>
      <c r="Z283" s="46">
        <v>2.9258380931649977</v>
      </c>
      <c r="AA283" s="46">
        <v>1.8171919851980844</v>
      </c>
      <c r="AB283" s="46">
        <v>2.4762351122194515</v>
      </c>
      <c r="AC283" s="46">
        <v>2.2178830927835054</v>
      </c>
      <c r="AD283" s="46">
        <v>3.1359383259911899</v>
      </c>
      <c r="AE283" s="46">
        <v>1.9411322442505949</v>
      </c>
      <c r="AF283" s="46">
        <v>2.6666458057054743</v>
      </c>
      <c r="AG283" s="46">
        <v>2.2610192263500575</v>
      </c>
      <c r="AH283" s="46">
        <v>3.1575011903895156</v>
      </c>
      <c r="AI283" s="46">
        <v>1.9722171428571429</v>
      </c>
      <c r="AJ283" s="46">
        <v>2.6840069321329643</v>
      </c>
      <c r="AK283" s="46">
        <v>2.5604476144578316</v>
      </c>
      <c r="AL283" s="46">
        <v>3.4362588679245287</v>
      </c>
      <c r="AM283" s="46">
        <v>2.1089779140722293</v>
      </c>
      <c r="AN283" s="46">
        <v>2.546841622630672</v>
      </c>
      <c r="AO283" s="46">
        <v>2.5452203653788561</v>
      </c>
      <c r="AP283" s="46">
        <v>3.2648817873007574</v>
      </c>
      <c r="AQ283" s="1250">
        <f t="shared" ref="AQ283:BX283" si="2042">AM281*(1+AQ300)</f>
        <v>1.9968051981230448</v>
      </c>
      <c r="AR283" s="1250">
        <f t="shared" si="2042"/>
        <v>2.6788103869391957</v>
      </c>
      <c r="AS283" s="1250">
        <f t="shared" si="2042"/>
        <v>2.4465165621079046</v>
      </c>
      <c r="AT283" s="1250">
        <f t="shared" si="2042"/>
        <v>3.7231933373020603</v>
      </c>
      <c r="AU283" s="1250">
        <f t="shared" si="2042"/>
        <v>4.3454504836452736</v>
      </c>
      <c r="AV283" s="1250">
        <f t="shared" si="2042"/>
        <v>2848.4187325726784</v>
      </c>
      <c r="AW283" s="1250">
        <f t="shared" si="2042"/>
        <v>2568.1212502722715</v>
      </c>
      <c r="AX283" s="1250">
        <f t="shared" si="2042"/>
        <v>3676.6715444584911</v>
      </c>
      <c r="AY283" s="1250">
        <f t="shared" si="2042"/>
        <v>2097.7909146778652</v>
      </c>
      <c r="AZ283" s="1250">
        <f t="shared" si="2042"/>
        <v>2800.4757980158502</v>
      </c>
      <c r="BA283" s="1250">
        <f t="shared" si="2042"/>
        <v>2353.7258470041306</v>
      </c>
      <c r="BB283" s="1250">
        <f t="shared" si="2042"/>
        <v>3479.9047943318014</v>
      </c>
      <c r="BC283" s="1250">
        <f t="shared" si="2042"/>
        <v>2192.9697803674617</v>
      </c>
      <c r="BD283" s="1250">
        <f t="shared" si="2042"/>
        <v>2861.2970044013223</v>
      </c>
      <c r="BE283" s="1250">
        <f t="shared" si="2042"/>
        <v>2566.0914772763977</v>
      </c>
      <c r="BF283" s="1250">
        <f t="shared" si="2042"/>
        <v>3642.8730562940486</v>
      </c>
      <c r="BG283" s="1250">
        <f t="shared" si="2042"/>
        <v>2238.3208565680056</v>
      </c>
      <c r="BH283" s="1250">
        <f t="shared" si="2042"/>
        <v>2806.565797605956</v>
      </c>
      <c r="BI283" s="1250">
        <f t="shared" si="2042"/>
        <v>2612.975302904797</v>
      </c>
      <c r="BJ283" s="1250">
        <f t="shared" si="2042"/>
        <v>3860.176117065324</v>
      </c>
      <c r="BK283" s="1250">
        <f t="shared" si="2042"/>
        <v>2415.4717815516701</v>
      </c>
      <c r="BL283" s="1250">
        <f t="shared" si="2042"/>
        <v>2957.3411137788744</v>
      </c>
      <c r="BM283" s="1250">
        <f t="shared" si="2042"/>
        <v>2769.0549955333872</v>
      </c>
      <c r="BN283" s="1250">
        <f t="shared" si="2042"/>
        <v>4025.847575130605</v>
      </c>
      <c r="BO283" s="1250">
        <f t="shared" si="2042"/>
        <v>2115.6121338026674</v>
      </c>
      <c r="BP283" s="1250">
        <f t="shared" si="2042"/>
        <v>740.14499610297958</v>
      </c>
      <c r="BQ283" s="1250">
        <f t="shared" si="2042"/>
        <v>2223.8037631345128</v>
      </c>
      <c r="BR283" s="1250">
        <f t="shared" si="2042"/>
        <v>3870.4518446494767</v>
      </c>
      <c r="BS283" s="1250">
        <f t="shared" si="2042"/>
        <v>1809.5471775369024</v>
      </c>
      <c r="BT283" s="1250">
        <f t="shared" si="2042"/>
        <v>2950.2597082694683</v>
      </c>
      <c r="BU283" s="1250">
        <f t="shared" si="2042"/>
        <v>3065.9598301105548</v>
      </c>
      <c r="BV283" s="1250">
        <f t="shared" si="2042"/>
        <v>4596.8282599334252</v>
      </c>
      <c r="BW283" s="1250">
        <f t="shared" si="2042"/>
        <v>2882.6477271197209</v>
      </c>
      <c r="BX283" s="1250">
        <f t="shared" si="2042"/>
        <v>4062.45696089482</v>
      </c>
      <c r="BY283" s="1250">
        <f t="shared" ref="BY283:CD283" si="2043">BU281*(1+BY300)</f>
        <v>3283.5728538633193</v>
      </c>
      <c r="BZ283" s="1250">
        <f t="shared" si="2043"/>
        <v>4445.8236983345305</v>
      </c>
      <c r="CA283" s="1250">
        <f t="shared" si="2043"/>
        <v>2873.7145224936853</v>
      </c>
      <c r="CB283" s="1250">
        <f t="shared" si="2043"/>
        <v>3763.6342616878037</v>
      </c>
      <c r="CC283" s="1250">
        <f t="shared" si="2043"/>
        <v>3307.2968182968602</v>
      </c>
      <c r="CD283" s="1250">
        <f t="shared" si="2043"/>
        <v>4705.6897583157852</v>
      </c>
      <c r="CE283" s="1250">
        <f t="shared" ref="CE283:CK283" si="2044">CA281*(1+CE300)</f>
        <v>3046.0870755964083</v>
      </c>
      <c r="CF283" s="1250">
        <f t="shared" si="2044"/>
        <v>3852.0985534302308</v>
      </c>
      <c r="CG283" s="1250">
        <f t="shared" si="2044"/>
        <v>3704.7152321553003</v>
      </c>
      <c r="CH283" s="1250">
        <f t="shared" si="2044"/>
        <v>5210.4698348669572</v>
      </c>
      <c r="CI283" s="1250">
        <f t="shared" si="2044"/>
        <v>3412.97324082468</v>
      </c>
      <c r="CJ283" s="1250">
        <f t="shared" si="2044"/>
        <v>4514.9736431157671</v>
      </c>
      <c r="CK283" s="1250">
        <f t="shared" si="2044"/>
        <v>3815.6382016277689</v>
      </c>
      <c r="CL283" s="161">
        <f t="shared" ref="CL283" si="2045">CH281*(1+CL300)</f>
        <v>5284.6163786712023</v>
      </c>
      <c r="CM283" s="161">
        <f t="shared" ref="CM283" si="2046">CI281*(1+CM300)</f>
        <v>3543.1309845335554</v>
      </c>
      <c r="CN283" s="161">
        <f t="shared" ref="CN283" si="2047">CJ281*(1+CN300)</f>
        <v>4628.5134632651707</v>
      </c>
      <c r="CO283" s="161">
        <f t="shared" ref="CO283" si="2048">CK281*(1+CO300)</f>
        <v>3977.1460047654245</v>
      </c>
      <c r="CP283" s="161">
        <f t="shared" ref="CP283" si="2049">CL281*(1+CP300)</f>
        <v>5570.4244152838892</v>
      </c>
      <c r="CQ283" s="161"/>
      <c r="CR283" s="161"/>
      <c r="CS283" s="161"/>
      <c r="CT283" s="161">
        <v>5284.6163786712023</v>
      </c>
      <c r="CU283" s="1121"/>
      <c r="CV283" s="46"/>
      <c r="CW283" s="46">
        <v>7.6518357363253848</v>
      </c>
      <c r="CX283" s="46">
        <v>9.356975076310551</v>
      </c>
      <c r="CY283" s="46">
        <v>8.7618602022471919</v>
      </c>
      <c r="CZ283" s="46">
        <v>8.8745937826414156</v>
      </c>
      <c r="DA283" s="46">
        <v>8.6829443273469913</v>
      </c>
      <c r="DB283" s="46">
        <v>9.3531798307635121</v>
      </c>
      <c r="DC283" s="46">
        <v>9.6110284229879959</v>
      </c>
      <c r="DD283" s="46">
        <v>9.9330306333152016</v>
      </c>
      <c r="DE283" s="46">
        <v>9.5786248671888128</v>
      </c>
      <c r="DF283" s="46">
        <f t="shared" ref="DF283:DS283" si="2050">DE281*(1+DF300)</f>
        <v>9.9804414654893918</v>
      </c>
      <c r="DG283" s="46" t="e">
        <f t="shared" si="2050"/>
        <v>#VALUE!</v>
      </c>
      <c r="DH283" s="46">
        <f t="shared" si="2050"/>
        <v>10200.350590580454</v>
      </c>
      <c r="DI283" s="46">
        <f t="shared" si="2050"/>
        <v>10696.090187514901</v>
      </c>
      <c r="DJ283" s="46">
        <f t="shared" si="2050"/>
        <v>10832.140342325483</v>
      </c>
      <c r="DK283" s="46">
        <f t="shared" si="2050"/>
        <v>11704.103287783859</v>
      </c>
      <c r="DL283" s="1250">
        <f t="shared" si="2050"/>
        <v>8402.1683167268129</v>
      </c>
      <c r="DM283" s="1250">
        <f t="shared" si="2050"/>
        <v>16619.96331295621</v>
      </c>
      <c r="DN283" s="1250">
        <f t="shared" si="2050"/>
        <v>15036.227536224949</v>
      </c>
      <c r="DO283" s="1250">
        <f t="shared" si="2050"/>
        <v>14444.689406261414</v>
      </c>
      <c r="DP283" s="1250">
        <f t="shared" si="2050"/>
        <v>15774.593155667475</v>
      </c>
      <c r="DQ283" s="1250">
        <f t="shared" si="2050"/>
        <v>17084.939839782801</v>
      </c>
      <c r="DR283" s="1250">
        <f t="shared" si="2050"/>
        <v>17312.781987736093</v>
      </c>
      <c r="DS283" s="161">
        <f t="shared" si="2050"/>
        <v>18479.828511054449</v>
      </c>
      <c r="DT283" s="161">
        <f t="shared" ref="DT283" si="2051">DS281*(1+DT300)</f>
        <v>19375.327397284211</v>
      </c>
      <c r="DU283" s="161">
        <f t="shared" ref="DU283" si="2052">DT281*(1+DU300)</f>
        <v>20315.775928701954</v>
      </c>
      <c r="DV283" s="161">
        <f t="shared" ref="DV283" si="2053">DU281*(1+DV300)</f>
        <v>21303.379142380654</v>
      </c>
      <c r="DY283" s="161">
        <v>17935.71840671941</v>
      </c>
      <c r="DZ283" s="161">
        <v>18928.861843784049</v>
      </c>
    </row>
    <row r="284" spans="1:130">
      <c r="A284" s="44" t="s">
        <v>286</v>
      </c>
      <c r="B284" s="45"/>
      <c r="C284" s="46"/>
      <c r="D284" s="46"/>
      <c r="E284" s="46"/>
      <c r="F284" s="46"/>
      <c r="G284" s="46">
        <v>0</v>
      </c>
      <c r="H284" s="46">
        <v>0</v>
      </c>
      <c r="I284" s="46">
        <v>0</v>
      </c>
      <c r="J284" s="46">
        <v>0</v>
      </c>
      <c r="K284" s="46">
        <v>1.529267668023184</v>
      </c>
      <c r="L284" s="46">
        <v>2.0666117628445049</v>
      </c>
      <c r="M284" s="46">
        <v>1.8079660484833648</v>
      </c>
      <c r="N284" s="46">
        <v>2.6238872362718828</v>
      </c>
      <c r="O284" s="46">
        <v>1.5571156369556369</v>
      </c>
      <c r="P284" s="46">
        <v>2.1204526410842934</v>
      </c>
      <c r="Q284" s="46">
        <v>1.8253371692808684</v>
      </c>
      <c r="R284" s="46">
        <v>2.6116063703222943</v>
      </c>
      <c r="S284" s="46">
        <v>1.6642839612008431</v>
      </c>
      <c r="T284" s="46">
        <v>2.0776753073164458</v>
      </c>
      <c r="U284" s="46">
        <v>1.8603240383239656</v>
      </c>
      <c r="V284" s="46">
        <v>2.3547289037837835</v>
      </c>
      <c r="W284" s="46">
        <v>1.3879435189873419</v>
      </c>
      <c r="X284" s="46">
        <v>2.0531042973158313</v>
      </c>
      <c r="Y284" s="46">
        <v>1.770534323359058</v>
      </c>
      <c r="Z284" s="46">
        <v>2.4845241807792773</v>
      </c>
      <c r="AA284" s="46">
        <v>1.5446131874183722</v>
      </c>
      <c r="AB284" s="46">
        <v>2.115695279880299</v>
      </c>
      <c r="AC284" s="46">
        <v>1.8992824262804779</v>
      </c>
      <c r="AD284" s="46">
        <v>2.6760787132618846</v>
      </c>
      <c r="AE284" s="46">
        <v>1.6571517862954153</v>
      </c>
      <c r="AF284" s="46">
        <v>2.2666489348496532</v>
      </c>
      <c r="AG284" s="46">
        <v>1.9226406640504083</v>
      </c>
      <c r="AH284" s="46">
        <v>2.6299905124741421</v>
      </c>
      <c r="AI284" s="46">
        <v>1.6906831457142859</v>
      </c>
      <c r="AJ284" s="46">
        <v>2.3144697458248027</v>
      </c>
      <c r="AK284" s="46">
        <v>2.2121781996002969</v>
      </c>
      <c r="AL284" s="46">
        <v>2.9548863972023431</v>
      </c>
      <c r="AM284" s="46">
        <v>1.8156136785891053</v>
      </c>
      <c r="AN284" s="46">
        <v>2.2020223247518689</v>
      </c>
      <c r="AO284" s="46">
        <v>2.1974073831776821</v>
      </c>
      <c r="AP284" s="46">
        <v>2.8274111161606381</v>
      </c>
      <c r="AQ284" s="1250">
        <f t="shared" ref="AQ284:BY284" si="2054">AQ283*AQ275</f>
        <v>1.7321041531761285</v>
      </c>
      <c r="AR284" s="1250">
        <f t="shared" si="2054"/>
        <v>2.3340130104024674</v>
      </c>
      <c r="AS284" s="1250">
        <f t="shared" si="2054"/>
        <v>2.1358167750670445</v>
      </c>
      <c r="AT284" s="1250">
        <f t="shared" si="2054"/>
        <v>3.2533083950341193</v>
      </c>
      <c r="AU284" s="1250">
        <f t="shared" si="2054"/>
        <v>3.7963792553653954</v>
      </c>
      <c r="AV284" s="1250">
        <f t="shared" si="2054"/>
        <v>2493.1802249246857</v>
      </c>
      <c r="AW284" s="1250">
        <f t="shared" si="2054"/>
        <v>2245.6633292408942</v>
      </c>
      <c r="AX284" s="1250">
        <f t="shared" si="2054"/>
        <v>3250.9516814159292</v>
      </c>
      <c r="AY284" s="1250">
        <f t="shared" si="2054"/>
        <v>1856.9786113585778</v>
      </c>
      <c r="AZ284" s="1250">
        <f t="shared" si="2054"/>
        <v>2497.2625176792076</v>
      </c>
      <c r="BA284" s="1250">
        <f t="shared" si="2054"/>
        <v>2098.6450315273673</v>
      </c>
      <c r="BB284" s="1250">
        <f t="shared" si="2054"/>
        <v>3144.6504529409385</v>
      </c>
      <c r="BC284" s="1250">
        <f t="shared" si="2054"/>
        <v>1982.0605470560679</v>
      </c>
      <c r="BD284" s="1250">
        <f t="shared" si="2054"/>
        <v>2602.2377143093845</v>
      </c>
      <c r="BE284" s="1250">
        <f t="shared" si="2054"/>
        <v>2333.0484757686436</v>
      </c>
      <c r="BF284" s="1250">
        <f t="shared" si="2054"/>
        <v>3342.0870046244572</v>
      </c>
      <c r="BG284" s="1250">
        <f t="shared" si="2054"/>
        <v>2061.489085340128</v>
      </c>
      <c r="BH284" s="1250">
        <f t="shared" si="2054"/>
        <v>2593.6768644763579</v>
      </c>
      <c r="BI284" s="1250">
        <f t="shared" si="2054"/>
        <v>2416.3939207123312</v>
      </c>
      <c r="BJ284" s="1250">
        <f t="shared" si="2054"/>
        <v>3584.0277266763437</v>
      </c>
      <c r="BK284" s="1250">
        <f t="shared" si="2054"/>
        <v>2244.7005238774527</v>
      </c>
      <c r="BL284" s="1250">
        <f t="shared" si="2054"/>
        <v>2757.4611727116267</v>
      </c>
      <c r="BM284" s="1250">
        <f t="shared" si="2054"/>
        <v>2579.2523524253365</v>
      </c>
      <c r="BN284" s="1250">
        <f t="shared" si="2054"/>
        <v>3743.9380994093949</v>
      </c>
      <c r="BO284" s="1250">
        <f t="shared" si="2054"/>
        <v>1968.5469687225825</v>
      </c>
      <c r="BP284" s="1250">
        <f t="shared" si="2054"/>
        <v>692.72364585015055</v>
      </c>
      <c r="BQ284" s="1250">
        <f t="shared" si="2054"/>
        <v>2084.8619742973483</v>
      </c>
      <c r="BR284" s="1250">
        <f t="shared" si="2054"/>
        <v>3660.0040092019522</v>
      </c>
      <c r="BS284" s="1250">
        <f t="shared" si="2054"/>
        <v>1710.3356181744211</v>
      </c>
      <c r="BT284" s="1250">
        <f t="shared" si="2054"/>
        <v>2775.9473653164227</v>
      </c>
      <c r="BU284" s="1250">
        <f t="shared" si="2054"/>
        <v>2895.7628474154412</v>
      </c>
      <c r="BV284" s="1250">
        <f t="shared" si="2054"/>
        <v>4372.0462491096368</v>
      </c>
      <c r="BW284" s="1250">
        <f t="shared" si="2054"/>
        <v>2740.7744690765248</v>
      </c>
      <c r="BX284" s="1250">
        <f>BX283*BX275</f>
        <v>3872.4388127239331</v>
      </c>
      <c r="BY284" s="1250">
        <f t="shared" si="2054"/>
        <v>3129.0517783873984</v>
      </c>
      <c r="BZ284" s="1250">
        <f t="shared" ref="BZ284:CA284" si="2055">BZ283*BZ275</f>
        <v>4247.0186356337081</v>
      </c>
      <c r="CA284" s="1250">
        <f t="shared" si="2055"/>
        <v>2747.3283814929082</v>
      </c>
      <c r="CB284" s="1250">
        <f t="shared" ref="CB284:CC284" si="2056">CB283*CB275</f>
        <v>3614.3817426842297</v>
      </c>
      <c r="CC284" s="1250">
        <f t="shared" si="2056"/>
        <v>3175.85297039019</v>
      </c>
      <c r="CD284" s="1250">
        <f t="shared" ref="CD284:CE284" si="2057">CD283*CD275</f>
        <v>4538.4035362240984</v>
      </c>
      <c r="CE284" s="1250">
        <f t="shared" si="2057"/>
        <v>2942.3783301922804</v>
      </c>
      <c r="CF284" s="1250">
        <f t="shared" ref="CF284:CH284" si="2058">CF283*CF275</f>
        <v>3734.1244472111671</v>
      </c>
      <c r="CG284" s="1250">
        <f t="shared" si="2058"/>
        <v>3597.964548799122</v>
      </c>
      <c r="CH284" s="1250">
        <f t="shared" si="2058"/>
        <v>5070.7137926489504</v>
      </c>
      <c r="CI284" s="1250">
        <f t="shared" ref="CI284:CJ284" si="2059">CI283*CI275</f>
        <v>3317.6985505013672</v>
      </c>
      <c r="CJ284" s="1250">
        <f t="shared" si="2059"/>
        <v>4400.3024601393827</v>
      </c>
      <c r="CK284" s="1250">
        <f t="shared" ref="CK284" si="2060">CK283*CK275</f>
        <v>3730.556067376775</v>
      </c>
      <c r="CL284" s="161">
        <f t="shared" ref="CL284:CP284" si="2061">CL283*CL275</f>
        <v>5128.7973700094099</v>
      </c>
      <c r="CM284" s="161">
        <f t="shared" si="2061"/>
        <v>3435.3873689497855</v>
      </c>
      <c r="CN284" s="161">
        <f t="shared" si="2061"/>
        <v>4495.1333297639248</v>
      </c>
      <c r="CO284" s="161">
        <f t="shared" si="2061"/>
        <v>3862.0677977754349</v>
      </c>
      <c r="CP284" s="161">
        <f t="shared" si="2061"/>
        <v>5398.8714894508721</v>
      </c>
      <c r="CQ284" s="161"/>
      <c r="CR284" s="161"/>
      <c r="CS284" s="161"/>
      <c r="CT284" s="161">
        <v>5128.7973700094099</v>
      </c>
      <c r="CU284" s="1121"/>
      <c r="CV284" s="46"/>
      <c r="CW284" s="46">
        <v>6.8982458532024307</v>
      </c>
      <c r="CX284" s="46">
        <v>8.201792968124062</v>
      </c>
      <c r="CY284" s="46">
        <v>7.5029192363453578</v>
      </c>
      <c r="CZ284" s="46">
        <v>7.4707944024781368</v>
      </c>
      <c r="DA284" s="46">
        <v>7.3732668913054873</v>
      </c>
      <c r="DB284" s="46">
        <v>7.9816127884164745</v>
      </c>
      <c r="DC284" s="46">
        <v>8.00535361459659</v>
      </c>
      <c r="DD284" s="46">
        <v>8.5415500489068226</v>
      </c>
      <c r="DE284" s="46">
        <v>8.2951580459557803</v>
      </c>
      <c r="DF284" s="46">
        <f t="shared" ref="DF284:DS284" si="2062">DF283*DF275</f>
        <v>8.7208616540315429</v>
      </c>
      <c r="DG284" s="46" t="e">
        <f t="shared" si="2062"/>
        <v>#VALUE!</v>
      </c>
      <c r="DH284" s="46">
        <f t="shared" si="2062"/>
        <v>9217.6478957334275</v>
      </c>
      <c r="DI284" s="46">
        <f t="shared" si="2062"/>
        <v>9812.9315690047606</v>
      </c>
      <c r="DJ284" s="46">
        <f t="shared" si="2062"/>
        <v>10057.233180246354</v>
      </c>
      <c r="DK284" s="46">
        <f t="shared" si="2062"/>
        <v>10884.524910791035</v>
      </c>
      <c r="DL284" s="1250">
        <f t="shared" si="2062"/>
        <v>7945.3177457100683</v>
      </c>
      <c r="DM284" s="1250">
        <f t="shared" si="2062"/>
        <v>15807.257559759766</v>
      </c>
      <c r="DN284" s="1250">
        <f t="shared" si="2062"/>
        <v>14363.848611427984</v>
      </c>
      <c r="DO284" s="1250">
        <f t="shared" si="2062"/>
        <v>13931.183917338971</v>
      </c>
      <c r="DP284" s="1250">
        <f t="shared" ref="DP284:DQ284" si="2063">DP283*DP275</f>
        <v>15254.870566522235</v>
      </c>
      <c r="DQ284" s="1250">
        <f t="shared" si="2063"/>
        <v>16151.955744405859</v>
      </c>
      <c r="DR284" s="1250">
        <f t="shared" ref="DR284" si="2064">DR283*DR275</f>
        <v>16342.178916261899</v>
      </c>
      <c r="DS284" s="161">
        <f t="shared" si="2062"/>
        <v>17478.365542590138</v>
      </c>
      <c r="DT284" s="161">
        <f t="shared" ref="DT284:DV284" si="2065">DT283*DT275</f>
        <v>18353.035489402115</v>
      </c>
      <c r="DU284" s="161">
        <f t="shared" si="2065"/>
        <v>19271.415122869166</v>
      </c>
      <c r="DV284" s="161">
        <f t="shared" si="2065"/>
        <v>20235.692184310799</v>
      </c>
      <c r="DY284" s="161">
        <v>16786.501619895036</v>
      </c>
      <c r="DZ284" s="161">
        <v>17776.317599264905</v>
      </c>
    </row>
    <row r="285" spans="1:130">
      <c r="A285" s="44"/>
      <c r="B285" s="45"/>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c r="AJ285" s="46"/>
      <c r="AK285" s="46"/>
      <c r="AL285" s="46"/>
      <c r="AM285" s="46"/>
      <c r="AN285" s="46"/>
      <c r="AO285" s="46"/>
      <c r="AP285" s="46"/>
      <c r="AQ285" s="46"/>
      <c r="AR285" s="46"/>
      <c r="AS285" s="46"/>
      <c r="AT285" s="46"/>
      <c r="AU285" s="46"/>
      <c r="AV285" s="46"/>
      <c r="AW285" s="46"/>
      <c r="AX285" s="46"/>
      <c r="AY285" s="46"/>
      <c r="AZ285" s="46"/>
      <c r="BA285" s="47"/>
      <c r="BB285" s="46"/>
      <c r="BC285" s="47"/>
      <c r="BD285" s="46"/>
      <c r="BE285" s="46"/>
      <c r="BF285" s="46"/>
      <c r="BG285" s="46"/>
      <c r="BH285" s="46"/>
      <c r="BI285" s="1250"/>
      <c r="BJ285" s="1250"/>
      <c r="BK285" s="1250"/>
      <c r="BL285" s="1250"/>
      <c r="BM285" s="1250"/>
      <c r="BN285" s="1250"/>
      <c r="BO285" s="1250"/>
      <c r="BP285" s="1250"/>
      <c r="BQ285" s="1250"/>
      <c r="BR285" s="1250"/>
      <c r="BS285" s="1250"/>
      <c r="BT285" s="1250"/>
      <c r="BU285" s="1250"/>
      <c r="BV285" s="1250"/>
      <c r="BW285" s="1250"/>
      <c r="BX285" s="1250"/>
      <c r="BY285" s="1250"/>
      <c r="BZ285" s="1250"/>
      <c r="CA285" s="1250"/>
      <c r="CB285" s="1250"/>
      <c r="CC285" s="1250"/>
      <c r="CD285" s="1250"/>
      <c r="CE285" s="1250"/>
      <c r="CF285" s="1250"/>
      <c r="CG285" s="1250"/>
      <c r="CH285" s="1250"/>
      <c r="CI285" s="1250"/>
      <c r="CJ285" s="1250"/>
      <c r="CK285" s="1250"/>
      <c r="CL285" s="161"/>
      <c r="CM285" s="161"/>
      <c r="CN285" s="161"/>
      <c r="CO285" s="161"/>
      <c r="CP285" s="161"/>
      <c r="CQ285" s="161"/>
      <c r="CR285" s="161"/>
      <c r="CS285" s="161"/>
      <c r="CT285" s="161"/>
      <c r="CU285" s="1121"/>
      <c r="CV285" s="46"/>
      <c r="CW285" s="46"/>
      <c r="CX285" s="46"/>
      <c r="CY285" s="46"/>
      <c r="CZ285" s="46"/>
      <c r="DA285" s="46"/>
      <c r="DB285" s="46"/>
      <c r="DC285" s="46"/>
      <c r="DD285" s="46"/>
      <c r="DE285" s="46"/>
      <c r="DF285" s="46"/>
      <c r="DG285" s="46"/>
      <c r="DH285" s="46"/>
      <c r="DI285" s="46"/>
      <c r="DJ285" s="46"/>
      <c r="DK285" s="46"/>
      <c r="DL285" s="1250"/>
      <c r="DM285" s="1250"/>
      <c r="DN285" s="1250"/>
      <c r="DO285" s="1250"/>
      <c r="DP285" s="1250"/>
      <c r="DQ285" s="1250"/>
      <c r="DR285" s="1250"/>
      <c r="DS285" s="161"/>
      <c r="DT285" s="161"/>
      <c r="DU285" s="161"/>
      <c r="DV285" s="161"/>
      <c r="DY285" s="161"/>
      <c r="DZ285" s="161"/>
    </row>
    <row r="286" spans="1:130">
      <c r="A286" s="86" t="s">
        <v>287</v>
      </c>
      <c r="B286" s="45"/>
      <c r="C286" s="46"/>
      <c r="D286" s="63">
        <v>137776.5</v>
      </c>
      <c r="E286" s="63">
        <v>138853</v>
      </c>
      <c r="F286" s="63">
        <v>140726.5</v>
      </c>
      <c r="G286" s="63">
        <v>142850</v>
      </c>
      <c r="H286" s="63">
        <v>145025</v>
      </c>
      <c r="I286" s="63">
        <v>146971</v>
      </c>
      <c r="J286" s="63">
        <v>148846</v>
      </c>
      <c r="K286" s="63">
        <v>152700</v>
      </c>
      <c r="L286" s="63">
        <v>158000</v>
      </c>
      <c r="M286" s="63">
        <v>164400</v>
      </c>
      <c r="N286" s="63">
        <v>172750</v>
      </c>
      <c r="O286" s="63">
        <v>178000</v>
      </c>
      <c r="P286" s="63">
        <v>185250</v>
      </c>
      <c r="Q286" s="63">
        <v>191250</v>
      </c>
      <c r="R286" s="63">
        <v>196750</v>
      </c>
      <c r="S286" s="63">
        <v>204450</v>
      </c>
      <c r="T286" s="63">
        <v>209850</v>
      </c>
      <c r="U286" s="63">
        <v>215950</v>
      </c>
      <c r="V286" s="63">
        <v>223650</v>
      </c>
      <c r="W286" s="63">
        <v>229700</v>
      </c>
      <c r="X286" s="63">
        <v>235150</v>
      </c>
      <c r="Y286" s="63">
        <v>241550</v>
      </c>
      <c r="Z286" s="63">
        <v>246100</v>
      </c>
      <c r="AA286" s="63">
        <v>250950</v>
      </c>
      <c r="AB286" s="63">
        <v>255800</v>
      </c>
      <c r="AC286" s="63">
        <v>260250</v>
      </c>
      <c r="AD286" s="63">
        <v>267900</v>
      </c>
      <c r="AE286" s="63">
        <v>274900</v>
      </c>
      <c r="AF286" s="63">
        <v>281950</v>
      </c>
      <c r="AG286" s="63">
        <v>289650</v>
      </c>
      <c r="AH286" s="63">
        <v>304250</v>
      </c>
      <c r="AI286" s="63">
        <v>319600</v>
      </c>
      <c r="AJ286" s="63">
        <v>334700</v>
      </c>
      <c r="AK286" s="63">
        <v>341050</v>
      </c>
      <c r="AL286" s="63">
        <v>358300</v>
      </c>
      <c r="AM286" s="63">
        <v>383600</v>
      </c>
      <c r="AN286" s="63">
        <v>388950</v>
      </c>
      <c r="AO286" s="63">
        <v>398500</v>
      </c>
      <c r="AP286" s="63">
        <v>419950</v>
      </c>
      <c r="AQ286" s="63">
        <f t="shared" ref="AQ286:CK286" si="2066">+(AQ268+AP268)/2</f>
        <v>218368.87650000001</v>
      </c>
      <c r="AR286" s="63">
        <f t="shared" si="2066"/>
        <v>446.67649999999998</v>
      </c>
      <c r="AS286" s="63">
        <f t="shared" si="2066"/>
        <v>459.09999999999997</v>
      </c>
      <c r="AT286" s="63">
        <f t="shared" si="2066"/>
        <v>474.6</v>
      </c>
      <c r="AU286" s="63">
        <f t="shared" si="2066"/>
        <v>488.15</v>
      </c>
      <c r="AV286" s="63">
        <f t="shared" si="2066"/>
        <v>497.59350000000001</v>
      </c>
      <c r="AW286" s="63">
        <f t="shared" si="2066"/>
        <v>509.69350000000009</v>
      </c>
      <c r="AX286" s="63">
        <f t="shared" si="2066"/>
        <v>523.76923499999998</v>
      </c>
      <c r="AY286" s="63">
        <f t="shared" si="2066"/>
        <v>535.38241999999991</v>
      </c>
      <c r="AZ286" s="63">
        <f t="shared" si="2066"/>
        <v>544.65790500000003</v>
      </c>
      <c r="BA286" s="64">
        <f t="shared" si="2066"/>
        <v>556.86785000000009</v>
      </c>
      <c r="BB286" s="63">
        <f t="shared" si="2066"/>
        <v>573.09485000000018</v>
      </c>
      <c r="BC286" s="64">
        <f t="shared" si="2066"/>
        <v>586.36325000000011</v>
      </c>
      <c r="BD286" s="63">
        <f t="shared" si="2066"/>
        <v>595.46703000000002</v>
      </c>
      <c r="BE286" s="63">
        <f t="shared" si="2066"/>
        <v>618.8140699999999</v>
      </c>
      <c r="BF286" s="63">
        <f t="shared" si="2066"/>
        <v>644.89846999999986</v>
      </c>
      <c r="BG286" s="63">
        <f t="shared" si="2066"/>
        <v>652.86791999999991</v>
      </c>
      <c r="BH286" s="63">
        <f t="shared" si="2066"/>
        <v>657.61328000000003</v>
      </c>
      <c r="BI286" s="1227">
        <f t="shared" si="2066"/>
        <v>669.3663600000001</v>
      </c>
      <c r="BJ286" s="1227">
        <f t="shared" si="2066"/>
        <v>684.58120000000008</v>
      </c>
      <c r="BK286" s="1227">
        <f t="shared" si="2066"/>
        <v>696.60734000000002</v>
      </c>
      <c r="BL286" s="1227">
        <f t="shared" si="2066"/>
        <v>706.64244000000008</v>
      </c>
      <c r="BM286" s="1227">
        <f t="shared" si="2066"/>
        <v>719.322945</v>
      </c>
      <c r="BN286" s="1227">
        <f t="shared" si="2066"/>
        <v>736.36713499999996</v>
      </c>
      <c r="BO286" s="1227">
        <f t="shared" si="2066"/>
        <v>748.20818499999996</v>
      </c>
      <c r="BP286" s="1227">
        <f t="shared" si="2066"/>
        <v>747.31759</v>
      </c>
      <c r="BQ286" s="1227">
        <f t="shared" si="2066"/>
        <v>751.10049500000014</v>
      </c>
      <c r="BR286" s="1227">
        <f t="shared" si="2066"/>
        <v>755.18830500000013</v>
      </c>
      <c r="BS286" s="1227">
        <f t="shared" si="2066"/>
        <v>754.94660500000009</v>
      </c>
      <c r="BT286" s="1227">
        <f t="shared" si="2066"/>
        <v>766.88098500000001</v>
      </c>
      <c r="BU286" s="1227">
        <f t="shared" si="2066"/>
        <v>779.72128500000008</v>
      </c>
      <c r="BV286" s="1227">
        <f t="shared" si="2066"/>
        <v>780.65364999999997</v>
      </c>
      <c r="BW286" s="1227">
        <f t="shared" si="2066"/>
        <v>781.72933499999999</v>
      </c>
      <c r="BX286" s="1227">
        <f t="shared" si="2066"/>
        <v>786.34889499999997</v>
      </c>
      <c r="BY286" s="1227">
        <f t="shared" si="2066"/>
        <v>795.57846500000005</v>
      </c>
      <c r="BZ286" s="1227">
        <f t="shared" si="2066"/>
        <v>803.37987500000008</v>
      </c>
      <c r="CA286" s="1227">
        <f t="shared" si="2066"/>
        <v>801.68914000000007</v>
      </c>
      <c r="CB286" s="1227">
        <f t="shared" si="2066"/>
        <v>795.89340833333335</v>
      </c>
      <c r="CC286" s="1227">
        <f t="shared" si="2066"/>
        <v>793.38302833333319</v>
      </c>
      <c r="CD286" s="1227">
        <f t="shared" si="2066"/>
        <v>795.63782666666634</v>
      </c>
      <c r="CE286" s="1227">
        <f t="shared" si="2066"/>
        <v>799.36276333333331</v>
      </c>
      <c r="CF286" s="1227">
        <f t="shared" si="2066"/>
        <v>800.10651500000017</v>
      </c>
      <c r="CG286" s="1227">
        <f t="shared" si="2066"/>
        <v>798.70950833333336</v>
      </c>
      <c r="CH286" s="1227">
        <f t="shared" si="2066"/>
        <v>797.88701541666683</v>
      </c>
      <c r="CI286" s="1227">
        <f t="shared" si="2066"/>
        <v>801.42258708333338</v>
      </c>
      <c r="CJ286" s="1227">
        <f t="shared" si="2066"/>
        <v>804.28898166666659</v>
      </c>
      <c r="CK286" s="1227">
        <f t="shared" si="2066"/>
        <v>805.17912999999987</v>
      </c>
      <c r="CL286" s="367">
        <f t="shared" ref="CL286" si="2067">+(CL268+CK268)/2</f>
        <v>816.25672113849748</v>
      </c>
      <c r="CM286" s="367">
        <f t="shared" ref="CM286" si="2068">+(CM268+CL268)/2</f>
        <v>827.3093705046947</v>
      </c>
      <c r="CN286" s="367">
        <f t="shared" ref="CN286" si="2069">+(CN268+CM268)/2</f>
        <v>829.6778034154928</v>
      </c>
      <c r="CO286" s="367">
        <f t="shared" ref="CO286" si="2070">+(CO268+CN268)/2</f>
        <v>834.41466923708902</v>
      </c>
      <c r="CP286" s="367">
        <f t="shared" ref="CP286" si="2071">+(CP268+CO268)/2</f>
        <v>843.88840088028155</v>
      </c>
      <c r="CQ286" s="367"/>
      <c r="CR286" s="367"/>
      <c r="CS286" s="367"/>
      <c r="CT286" s="367">
        <v>816.25672113849748</v>
      </c>
      <c r="CU286" s="1121"/>
      <c r="CV286" s="63">
        <v>142600</v>
      </c>
      <c r="CW286" s="63">
        <v>146650</v>
      </c>
      <c r="CX286" s="63">
        <v>164350</v>
      </c>
      <c r="CY286" s="63">
        <v>190750</v>
      </c>
      <c r="CZ286" s="63">
        <v>216600</v>
      </c>
      <c r="DA286" s="63">
        <v>239700</v>
      </c>
      <c r="DB286" s="63">
        <v>262200</v>
      </c>
      <c r="DC286" s="63">
        <v>296350</v>
      </c>
      <c r="DD286" s="63">
        <v>350350</v>
      </c>
      <c r="DE286" s="63">
        <v>409500</v>
      </c>
      <c r="DF286" s="63">
        <f t="shared" ref="DF286:DS286" si="2072">+(DF268+DE268)/2</f>
        <v>218393.3</v>
      </c>
      <c r="DG286" s="63">
        <f t="shared" si="2072"/>
        <v>510.119235</v>
      </c>
      <c r="DH286" s="63">
        <f t="shared" si="2072"/>
        <v>559.14095500000008</v>
      </c>
      <c r="DI286" s="63">
        <f t="shared" si="2072"/>
        <v>619.83162000000016</v>
      </c>
      <c r="DJ286" s="63">
        <f t="shared" si="2072"/>
        <v>674.98</v>
      </c>
      <c r="DK286" s="63">
        <f t="shared" si="2072"/>
        <v>722.01949000000013</v>
      </c>
      <c r="DL286" s="1227">
        <f t="shared" si="2072"/>
        <v>752.29599500000006</v>
      </c>
      <c r="DM286" s="1227">
        <f t="shared" si="2072"/>
        <v>768.35995500000013</v>
      </c>
      <c r="DN286" s="1227">
        <f t="shared" si="2072"/>
        <v>793.64767000000006</v>
      </c>
      <c r="DO286" s="1227">
        <f t="shared" si="2072"/>
        <v>802.52770666666652</v>
      </c>
      <c r="DP286" s="1227">
        <f t="shared" si="2072"/>
        <v>798.90803208333318</v>
      </c>
      <c r="DQ286" s="1227">
        <f t="shared" si="2072"/>
        <v>812.77327655516433</v>
      </c>
      <c r="DR286" s="1227">
        <f t="shared" si="2072"/>
        <v>838.55942683098579</v>
      </c>
      <c r="DS286" s="367">
        <f t="shared" si="2072"/>
        <v>862.24375593896696</v>
      </c>
      <c r="DT286" s="367">
        <f t="shared" ref="DT286" si="2073">+(DT268+DS268)/2</f>
        <v>885.92808504694813</v>
      </c>
      <c r="DU286" s="367">
        <f t="shared" ref="DU286" si="2074">+(DU268+DT268)/2</f>
        <v>909.61241415492941</v>
      </c>
      <c r="DV286" s="367">
        <f t="shared" ref="DV286" si="2075">+(DV268+DU268)/2</f>
        <v>933.2967432629107</v>
      </c>
      <c r="DY286" s="367">
        <v>840.11750978553107</v>
      </c>
      <c r="DZ286" s="367">
        <v>866.91800480260304</v>
      </c>
    </row>
    <row r="287" spans="1:130">
      <c r="A287" s="86"/>
      <c r="B287" s="45"/>
      <c r="C287" s="46"/>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c r="AG287" s="63"/>
      <c r="AH287" s="63"/>
      <c r="AI287" s="63"/>
      <c r="AJ287" s="63"/>
      <c r="AK287" s="63"/>
      <c r="AL287" s="63"/>
      <c r="AM287" s="63"/>
      <c r="AN287" s="63"/>
      <c r="AO287" s="63"/>
      <c r="AP287" s="63"/>
      <c r="AQ287" s="63"/>
      <c r="AR287" s="63"/>
      <c r="AS287" s="63"/>
      <c r="AT287" s="63"/>
      <c r="AU287" s="63"/>
      <c r="AV287" s="63"/>
      <c r="AW287" s="63"/>
      <c r="AX287" s="63"/>
      <c r="AY287" s="63"/>
      <c r="AZ287" s="63"/>
      <c r="BA287" s="64"/>
      <c r="BB287" s="63"/>
      <c r="BC287" s="64"/>
      <c r="BD287" s="63"/>
      <c r="BE287" s="63"/>
      <c r="BF287" s="63"/>
      <c r="BG287" s="63"/>
      <c r="BH287" s="63"/>
      <c r="BI287" s="1227"/>
      <c r="BJ287" s="1227"/>
      <c r="BK287" s="1227"/>
      <c r="BL287" s="1227"/>
      <c r="BM287" s="1227"/>
      <c r="BN287" s="1227"/>
      <c r="BO287" s="1227"/>
      <c r="BP287" s="1227"/>
      <c r="BQ287" s="1227"/>
      <c r="BR287" s="1227"/>
      <c r="BS287" s="1227"/>
      <c r="BT287" s="1227"/>
      <c r="BU287" s="1227"/>
      <c r="BV287" s="1227"/>
      <c r="BW287" s="1227"/>
      <c r="BX287" s="1227"/>
      <c r="BY287" s="1227"/>
      <c r="BZ287" s="1227"/>
      <c r="CA287" s="1227"/>
      <c r="CB287" s="1227"/>
      <c r="CC287" s="1227"/>
      <c r="CD287" s="1227"/>
      <c r="CE287" s="1227"/>
      <c r="CF287" s="1227"/>
      <c r="CG287" s="1227"/>
      <c r="CH287" s="1227"/>
      <c r="CI287" s="1227"/>
      <c r="CJ287" s="1227"/>
      <c r="CK287" s="1227"/>
      <c r="CL287" s="367"/>
      <c r="CM287" s="367"/>
      <c r="CN287" s="367"/>
      <c r="CO287" s="367"/>
      <c r="CP287" s="367"/>
      <c r="CQ287" s="367"/>
      <c r="CR287" s="367"/>
      <c r="CS287" s="367"/>
      <c r="CT287" s="367"/>
      <c r="CU287" s="1121"/>
      <c r="CV287" s="63"/>
      <c r="CW287" s="63"/>
      <c r="CX287" s="63"/>
      <c r="CY287" s="63"/>
      <c r="CZ287" s="63"/>
      <c r="DA287" s="63"/>
      <c r="DB287" s="63"/>
      <c r="DC287" s="63"/>
      <c r="DD287" s="63"/>
      <c r="DE287" s="63"/>
      <c r="DF287" s="63"/>
      <c r="DG287" s="63"/>
      <c r="DH287" s="63"/>
      <c r="DI287" s="63"/>
      <c r="DJ287" s="63"/>
      <c r="DK287" s="63"/>
      <c r="DL287" s="1227"/>
      <c r="DM287" s="1227"/>
      <c r="DN287" s="1227"/>
      <c r="DO287" s="1227"/>
      <c r="DP287" s="1227"/>
      <c r="DQ287" s="1227"/>
      <c r="DR287" s="1227"/>
      <c r="DS287" s="367"/>
      <c r="DT287" s="367"/>
      <c r="DU287" s="367"/>
      <c r="DV287" s="367"/>
      <c r="DY287" s="367"/>
      <c r="DZ287" s="367"/>
    </row>
    <row r="288" spans="1:130">
      <c r="A288" s="86" t="s">
        <v>288</v>
      </c>
      <c r="B288" s="45"/>
      <c r="C288" s="46"/>
      <c r="D288" s="46">
        <v>0</v>
      </c>
      <c r="E288" s="46">
        <v>0</v>
      </c>
      <c r="F288" s="46">
        <v>0</v>
      </c>
      <c r="G288" s="46">
        <v>1.3861533076653834</v>
      </c>
      <c r="H288" s="46">
        <v>1.9248267540079296</v>
      </c>
      <c r="I288" s="46">
        <v>1.7378462417755884</v>
      </c>
      <c r="J288" s="46">
        <v>2.7132808406003521</v>
      </c>
      <c r="K288" s="46">
        <v>1.6437131630648329</v>
      </c>
      <c r="L288" s="46">
        <v>2.263981012658228</v>
      </c>
      <c r="M288" s="46">
        <v>1.9496532846715329</v>
      </c>
      <c r="N288" s="46">
        <v>2.9341765557163533</v>
      </c>
      <c r="O288" s="46">
        <v>1.7432191011235956</v>
      </c>
      <c r="P288" s="46">
        <v>2.398677462887989</v>
      </c>
      <c r="Q288" s="46">
        <v>2.0672313725490197</v>
      </c>
      <c r="R288" s="46">
        <v>3.0583074968233799</v>
      </c>
      <c r="S288" s="46">
        <v>1.8751919784788458</v>
      </c>
      <c r="T288" s="46">
        <v>2.4295735048844413</v>
      </c>
      <c r="U288" s="46">
        <v>2.0793424403797176</v>
      </c>
      <c r="V288" s="46">
        <v>2.7442790073775991</v>
      </c>
      <c r="W288" s="46">
        <v>1.5787940792337831</v>
      </c>
      <c r="X288" s="46">
        <v>2.359055921752073</v>
      </c>
      <c r="Y288" s="46">
        <v>2.015027944524943</v>
      </c>
      <c r="Z288" s="46">
        <v>2.8925558715969117</v>
      </c>
      <c r="AA288" s="46">
        <v>1.7543175931460451</v>
      </c>
      <c r="AB288" s="46">
        <v>2.4628186082877246</v>
      </c>
      <c r="AC288" s="46">
        <v>2.1853602305475506</v>
      </c>
      <c r="AD288" s="46">
        <v>3.074688316536021</v>
      </c>
      <c r="AE288" s="46">
        <v>1.8832557293561294</v>
      </c>
      <c r="AF288" s="46">
        <v>2.6588153928001419</v>
      </c>
      <c r="AG288" s="46">
        <v>2.2685171759019505</v>
      </c>
      <c r="AH288" s="46">
        <v>3.1953327855382088</v>
      </c>
      <c r="AI288" s="46">
        <v>1.9374186483103879</v>
      </c>
      <c r="AJ288" s="46">
        <v>2.5550313713773529</v>
      </c>
      <c r="AK288" s="46">
        <v>2.3552558275912623</v>
      </c>
      <c r="AL288" s="46">
        <v>3.3054200390734021</v>
      </c>
      <c r="AM288" s="46">
        <v>1.8945020855057351</v>
      </c>
      <c r="AN288" s="46">
        <v>2.4352821699447231</v>
      </c>
      <c r="AO288" s="46">
        <v>2.2758293601003765</v>
      </c>
      <c r="AP288" s="46">
        <v>3.1740778664126683</v>
      </c>
      <c r="AQ288" s="46">
        <f t="shared" ref="AQ288:CC288" si="2076">+AQ30/AQ286</f>
        <v>3.7300004151461574</v>
      </c>
      <c r="AR288" s="46">
        <f t="shared" si="2076"/>
        <v>2487.7019498451341</v>
      </c>
      <c r="AS288" s="46">
        <f t="shared" si="2076"/>
        <v>2280.7471139185363</v>
      </c>
      <c r="AT288" s="46">
        <f t="shared" si="2076"/>
        <v>3518.3459755583649</v>
      </c>
      <c r="AU288" s="46">
        <f t="shared" si="2076"/>
        <v>2070.8696097511011</v>
      </c>
      <c r="AV288" s="46">
        <f t="shared" si="2076"/>
        <v>2721.5508241164725</v>
      </c>
      <c r="AW288" s="46">
        <f t="shared" si="2076"/>
        <v>2449.2464589012807</v>
      </c>
      <c r="AX288" s="46">
        <f t="shared" si="2076"/>
        <v>3507.9685426731871</v>
      </c>
      <c r="AY288" s="46">
        <f t="shared" si="2076"/>
        <v>2010.0547941039979</v>
      </c>
      <c r="AZ288" s="46">
        <f t="shared" si="2076"/>
        <v>2689.1889139110172</v>
      </c>
      <c r="BA288" s="47">
        <f t="shared" si="2076"/>
        <v>2263.4059409247629</v>
      </c>
      <c r="BB288" s="46">
        <f t="shared" si="2076"/>
        <v>3351.1102045324596</v>
      </c>
      <c r="BC288" s="47">
        <f t="shared" si="2076"/>
        <v>2105.6640231119527</v>
      </c>
      <c r="BD288" s="47">
        <f t="shared" si="2076"/>
        <v>2738.1129732741038</v>
      </c>
      <c r="BE288" s="46">
        <f t="shared" si="2076"/>
        <v>2444.3174021560308</v>
      </c>
      <c r="BF288" s="46">
        <f t="shared" si="2076"/>
        <v>3446.0540742172957</v>
      </c>
      <c r="BG288" s="47">
        <f t="shared" si="2076"/>
        <v>2142.575790827646</v>
      </c>
      <c r="BH288" s="47">
        <f t="shared" si="2076"/>
        <v>2706.8051302126987</v>
      </c>
      <c r="BI288" s="1288">
        <f t="shared" si="2076"/>
        <v>2556.837484333691</v>
      </c>
      <c r="BJ288" s="1288">
        <f t="shared" si="2076"/>
        <v>3790.8169257350328</v>
      </c>
      <c r="BK288" s="1288">
        <f t="shared" si="2076"/>
        <v>2369.106532813737</v>
      </c>
      <c r="BL288" s="1250">
        <f t="shared" si="2076"/>
        <v>2857.7026876562918</v>
      </c>
      <c r="BM288" s="1250">
        <f t="shared" si="2076"/>
        <v>2685.7533371189766</v>
      </c>
      <c r="BN288" s="1250">
        <f t="shared" si="2076"/>
        <v>3901.6651659772951</v>
      </c>
      <c r="BO288" s="1250">
        <f t="shared" si="2076"/>
        <v>2071.8565114333787</v>
      </c>
      <c r="BP288" s="1250">
        <f t="shared" si="2076"/>
        <v>722.09728129107737</v>
      </c>
      <c r="BQ288" s="1250">
        <f t="shared" si="2076"/>
        <v>2198.3702726756951</v>
      </c>
      <c r="BR288" s="1250">
        <f t="shared" si="2076"/>
        <v>3866.0000170421063</v>
      </c>
      <c r="BS288" s="1250">
        <f t="shared" si="2076"/>
        <v>1807.3026502318</v>
      </c>
      <c r="BT288" s="1250">
        <f t="shared" si="2076"/>
        <v>2945.3370786080973</v>
      </c>
      <c r="BU288" s="1250">
        <f t="shared" si="2076"/>
        <v>3042.0156736519025</v>
      </c>
      <c r="BV288" s="1250">
        <f t="shared" si="2076"/>
        <v>4561.1290404778092</v>
      </c>
      <c r="BW288" s="1250">
        <f t="shared" si="2076"/>
        <v>2852.2212230912378</v>
      </c>
      <c r="BX288" s="1250">
        <f t="shared" si="2076"/>
        <v>4038.5953616683091</v>
      </c>
      <c r="BY288" s="1250">
        <f t="shared" si="2076"/>
        <v>3287.5713899571174</v>
      </c>
      <c r="BZ288" s="1250">
        <f t="shared" si="2076"/>
        <v>4424.8855499398705</v>
      </c>
      <c r="CA288" s="1250">
        <f t="shared" si="2076"/>
        <v>2841.4991376832168</v>
      </c>
      <c r="CB288" s="1250">
        <f t="shared" si="2076"/>
        <v>3750.8841871821423</v>
      </c>
      <c r="CC288" s="1250">
        <f t="shared" si="2076"/>
        <v>3322.6145579868166</v>
      </c>
      <c r="CD288" s="1250">
        <f t="shared" ref="CD288:CE288" si="2077">+CD30/CD286</f>
        <v>4784.7536560059998</v>
      </c>
      <c r="CE288" s="1250">
        <f t="shared" si="2077"/>
        <v>3079.0726224679579</v>
      </c>
      <c r="CF288" s="1250">
        <f t="shared" ref="CF288:CH288" si="2078">+CF30/CF286</f>
        <v>3849.3912276167371</v>
      </c>
      <c r="CG288" s="1250">
        <f t="shared" si="2078"/>
        <v>3700.9099918795046</v>
      </c>
      <c r="CH288" s="1250">
        <f t="shared" si="2078"/>
        <v>5232.2934442289134</v>
      </c>
      <c r="CI288" s="1250">
        <f t="shared" ref="CI288:CJ288" si="2079">+CI30/CI286</f>
        <v>3439.9329946927724</v>
      </c>
      <c r="CJ288" s="1250">
        <f t="shared" si="2079"/>
        <v>4537.7582973187946</v>
      </c>
      <c r="CK288" s="1250">
        <f t="shared" ref="CK288" si="2080">+CK30/CK286</f>
        <v>3824.1788507359852</v>
      </c>
      <c r="CL288" s="161">
        <f t="shared" ref="CL288:CP288" si="2081">+CL30/CL286</f>
        <v>5356.1773223883547</v>
      </c>
      <c r="CM288" s="161">
        <f t="shared" si="2081"/>
        <v>3548.6254583496398</v>
      </c>
      <c r="CN288" s="161">
        <f t="shared" si="2081"/>
        <v>4642.0392840741679</v>
      </c>
      <c r="CO288" s="161">
        <f t="shared" si="2081"/>
        <v>3993.7325185681329</v>
      </c>
      <c r="CP288" s="161">
        <f t="shared" si="2081"/>
        <v>5618.2116388931418</v>
      </c>
      <c r="CQ288" s="161"/>
      <c r="CR288" s="161"/>
      <c r="CS288" s="161"/>
      <c r="CT288" s="161">
        <v>5356.1773223883547</v>
      </c>
      <c r="CU288" s="1121"/>
      <c r="CV288" s="46">
        <v>0</v>
      </c>
      <c r="CW288" s="46">
        <v>0</v>
      </c>
      <c r="CX288" s="46">
        <v>8.7380955278369328</v>
      </c>
      <c r="CY288" s="46">
        <v>9.1833709043250327</v>
      </c>
      <c r="CZ288" s="46">
        <v>9.0305678670360106</v>
      </c>
      <c r="DA288" s="46">
        <v>8.8275719649561957</v>
      </c>
      <c r="DB288" s="46">
        <v>9.3923874904652944</v>
      </c>
      <c r="DC288" s="46">
        <v>9.7743074067825209</v>
      </c>
      <c r="DD288" s="46">
        <v>9.8814328528614244</v>
      </c>
      <c r="DE288" s="46">
        <v>9.5575238095238095</v>
      </c>
      <c r="DF288" s="46">
        <f t="shared" ref="DF288:DV288" si="2082">+DF30/DF286</f>
        <v>21.258033099000748</v>
      </c>
      <c r="DG288" s="46">
        <f t="shared" si="2082"/>
        <v>10685.446903408769</v>
      </c>
      <c r="DH288" s="46">
        <f t="shared" si="2082"/>
        <v>10233.122701591406</v>
      </c>
      <c r="DI288" s="46">
        <f t="shared" si="2082"/>
        <v>10648.170869372554</v>
      </c>
      <c r="DJ288" s="46">
        <f t="shared" si="2082"/>
        <v>11089.858958783963</v>
      </c>
      <c r="DK288" s="46">
        <f t="shared" si="2082"/>
        <v>11737.485091988305</v>
      </c>
      <c r="DL288" s="1250">
        <f t="shared" si="2082"/>
        <v>8853.6573958498866</v>
      </c>
      <c r="DM288" s="1250">
        <f t="shared" si="2082"/>
        <v>12436.523196501046</v>
      </c>
      <c r="DN288" s="1250">
        <f t="shared" si="2082"/>
        <v>14585.559105843528</v>
      </c>
      <c r="DO288" s="1250">
        <f t="shared" si="2082"/>
        <v>14586.835946914267</v>
      </c>
      <c r="DP288" s="1250">
        <f t="shared" si="2082"/>
        <v>15861.587931410613</v>
      </c>
      <c r="DQ288" s="1250">
        <f t="shared" ref="DQ288:DR288" si="2083">+DQ30/DQ286</f>
        <v>17049.863890386598</v>
      </c>
      <c r="DR288" s="1250">
        <f t="shared" si="2083"/>
        <v>17721.79789463323</v>
      </c>
      <c r="DS288" s="161">
        <f t="shared" si="2082"/>
        <v>18706.12437029252</v>
      </c>
      <c r="DT288" s="161">
        <f t="shared" si="2082"/>
        <v>19606.986739390402</v>
      </c>
      <c r="DU288" s="161">
        <f t="shared" si="2082"/>
        <v>20553.072356496865</v>
      </c>
      <c r="DV288" s="161">
        <f t="shared" si="2082"/>
        <v>21546.592968743436</v>
      </c>
      <c r="DY288" s="161">
        <v>18185.140046768451</v>
      </c>
      <c r="DZ288" s="161">
        <v>19185.821182781881</v>
      </c>
    </row>
    <row r="289" spans="1:130">
      <c r="A289" s="45" t="s">
        <v>275</v>
      </c>
      <c r="B289" s="45"/>
      <c r="C289" s="62"/>
      <c r="D289" s="83" t="e">
        <v>#DIV/0!</v>
      </c>
      <c r="E289" s="83" t="e">
        <v>#DIV/0!</v>
      </c>
      <c r="F289" s="83" t="e">
        <v>#DIV/0!</v>
      </c>
      <c r="G289" s="83" t="e">
        <v>#DIV/0!</v>
      </c>
      <c r="H289" s="83">
        <v>0.38861029538630354</v>
      </c>
      <c r="I289" s="83">
        <v>-9.7141476157791784E-2</v>
      </c>
      <c r="J289" s="83">
        <v>0.56128935654753032</v>
      </c>
      <c r="K289" s="83">
        <v>-0.39419718796925651</v>
      </c>
      <c r="L289" s="83">
        <v>0.37735771881077884</v>
      </c>
      <c r="M289" s="83">
        <v>-0.1388385000710014</v>
      </c>
      <c r="N289" s="83">
        <v>0.50497351441165983</v>
      </c>
      <c r="O289" s="83">
        <v>-0.40589154468995337</v>
      </c>
      <c r="P289" s="83">
        <v>0.37600457758976846</v>
      </c>
      <c r="Q289" s="83">
        <v>-0.13817868198916194</v>
      </c>
      <c r="R289" s="83">
        <v>0.47942196380867808</v>
      </c>
      <c r="S289" s="83">
        <v>-0.38685302886430462</v>
      </c>
      <c r="T289" s="83">
        <v>0.29563987728622299</v>
      </c>
      <c r="U289" s="83">
        <v>-0.14415331077681548</v>
      </c>
      <c r="V289" s="83">
        <v>0.31978213597008809</v>
      </c>
      <c r="W289" s="83">
        <v>-0.4246962225818065</v>
      </c>
      <c r="X289" s="83">
        <v>0.49421381342965565</v>
      </c>
      <c r="Y289" s="83">
        <v>-0.1458329046187341</v>
      </c>
      <c r="Z289" s="83">
        <v>0.43549169104890595</v>
      </c>
      <c r="AA289" s="83">
        <v>-0.39350606487074435</v>
      </c>
      <c r="AB289" s="83">
        <v>0.40386131787637924</v>
      </c>
      <c r="AC289" s="83">
        <v>-0.11265887662472918</v>
      </c>
      <c r="AD289" s="83">
        <v>0.40694805074111096</v>
      </c>
      <c r="AE289" s="83">
        <v>-0.38749702881174419</v>
      </c>
      <c r="AF289" s="83">
        <v>0.41181856046134024</v>
      </c>
      <c r="AG289" s="83">
        <v>-0.14679402637546313</v>
      </c>
      <c r="AH289" s="83">
        <v>0.40855569421367122</v>
      </c>
      <c r="AI289" s="83">
        <v>-0.39367234077183699</v>
      </c>
      <c r="AJ289" s="83">
        <v>0.31878124204367575</v>
      </c>
      <c r="AK289" s="83">
        <v>-7.8189076668125912E-2</v>
      </c>
      <c r="AL289" s="83">
        <v>0.40342293195974377</v>
      </c>
      <c r="AM289" s="83">
        <v>-0.4268498214717622</v>
      </c>
      <c r="AN289" s="83">
        <v>0.28544707792951707</v>
      </c>
      <c r="AO289" s="83">
        <v>-6.5476112711803758E-2</v>
      </c>
      <c r="AP289" s="83">
        <v>0.39469062226733653</v>
      </c>
      <c r="AQ289" s="83">
        <f t="shared" ref="AQ289:BG289" si="2084">AQ288/AP288-1</f>
        <v>0.17514458438973035</v>
      </c>
      <c r="AR289" s="83">
        <f t="shared" si="2084"/>
        <v>665.94414824821274</v>
      </c>
      <c r="AS289" s="83">
        <f t="shared" si="2084"/>
        <v>-8.3191170043292906E-2</v>
      </c>
      <c r="AT289" s="83">
        <f t="shared" si="2084"/>
        <v>0.54262870885037229</v>
      </c>
      <c r="AU289" s="83">
        <f t="shared" si="2084"/>
        <v>-0.41140819460699796</v>
      </c>
      <c r="AV289" s="83">
        <f t="shared" si="2084"/>
        <v>0.31420675222694361</v>
      </c>
      <c r="AW289" s="83">
        <f t="shared" si="2084"/>
        <v>-0.1000548521094009</v>
      </c>
      <c r="AX289" s="83">
        <f t="shared" si="2084"/>
        <v>0.43226441337669375</v>
      </c>
      <c r="AY289" s="83">
        <f t="shared" si="2084"/>
        <v>-0.42700318727138009</v>
      </c>
      <c r="AZ289" s="83">
        <f t="shared" si="2084"/>
        <v>0.33786846099872125</v>
      </c>
      <c r="BA289" s="83">
        <f t="shared" si="2084"/>
        <v>-0.15833137299640931</v>
      </c>
      <c r="BB289" s="83">
        <f t="shared" si="2084"/>
        <v>0.48056084149151435</v>
      </c>
      <c r="BC289" s="83">
        <f t="shared" si="2084"/>
        <v>-0.37165181250560186</v>
      </c>
      <c r="BD289" s="83">
        <f t="shared" si="2084"/>
        <v>0.30035606023579065</v>
      </c>
      <c r="BE289" s="83">
        <f t="shared" si="2084"/>
        <v>-0.10729855706675473</v>
      </c>
      <c r="BF289" s="83">
        <f t="shared" si="2084"/>
        <v>0.4098226650833785</v>
      </c>
      <c r="BG289" s="83">
        <f t="shared" si="2084"/>
        <v>-0.3782524172043672</v>
      </c>
      <c r="BH289" s="83">
        <f t="shared" ref="BH289:BX289" si="2085">BH288/BG288-1</f>
        <v>0.26334160117019678</v>
      </c>
      <c r="BI289" s="683">
        <f t="shared" si="2085"/>
        <v>-5.5403931448594346E-2</v>
      </c>
      <c r="BJ289" s="683">
        <f t="shared" si="2085"/>
        <v>0.48261942691399318</v>
      </c>
      <c r="BK289" s="683">
        <f t="shared" si="2085"/>
        <v>-0.37504063656295628</v>
      </c>
      <c r="BL289" s="683">
        <f t="shared" si="2085"/>
        <v>0.2062364642852339</v>
      </c>
      <c r="BM289" s="683">
        <f t="shared" si="2085"/>
        <v>-6.0170482842754169E-2</v>
      </c>
      <c r="BN289" s="683">
        <f t="shared" si="2085"/>
        <v>0.45272654493380782</v>
      </c>
      <c r="BO289" s="683">
        <f t="shared" si="2085"/>
        <v>-0.46898146732321744</v>
      </c>
      <c r="BP289" s="683">
        <f t="shared" si="2085"/>
        <v>-0.65147331520969731</v>
      </c>
      <c r="BQ289" s="683">
        <f t="shared" si="2085"/>
        <v>2.0444239711650876</v>
      </c>
      <c r="BR289" s="683">
        <f t="shared" si="2085"/>
        <v>0.75857546160169576</v>
      </c>
      <c r="BS289" s="683">
        <f t="shared" si="2085"/>
        <v>-0.53251354312859644</v>
      </c>
      <c r="BT289" s="683">
        <f t="shared" si="2085"/>
        <v>0.62968669261362264</v>
      </c>
      <c r="BU289" s="683">
        <f t="shared" si="2085"/>
        <v>3.2824288855078487E-2</v>
      </c>
      <c r="BV289" s="683">
        <f t="shared" si="2085"/>
        <v>0.49937723200558981</v>
      </c>
      <c r="BW289" s="683">
        <f t="shared" si="2085"/>
        <v>-0.37466771981692315</v>
      </c>
      <c r="BX289" s="683">
        <f t="shared" si="2085"/>
        <v>0.41594744789511062</v>
      </c>
      <c r="BY289" s="683">
        <f t="shared" ref="BY289:CK289" si="2086">BY288/BX288-1</f>
        <v>-0.1859616783695186</v>
      </c>
      <c r="BZ289" s="683">
        <f t="shared" si="2086"/>
        <v>0.34594356291608563</v>
      </c>
      <c r="CA289" s="683">
        <f t="shared" si="2086"/>
        <v>-0.35783669303676569</v>
      </c>
      <c r="CB289" s="683">
        <f t="shared" si="2086"/>
        <v>0.32003706685632927</v>
      </c>
      <c r="CC289" s="683">
        <f t="shared" si="2086"/>
        <v>-0.11417831311850335</v>
      </c>
      <c r="CD289" s="683">
        <f t="shared" si="2086"/>
        <v>0.44005679036845557</v>
      </c>
      <c r="CE289" s="683">
        <f t="shared" si="2086"/>
        <v>-0.35648251846717505</v>
      </c>
      <c r="CF289" s="683">
        <f t="shared" si="2086"/>
        <v>0.25017877120785426</v>
      </c>
      <c r="CG289" s="683">
        <f t="shared" si="2086"/>
        <v>-3.8572653949014546E-2</v>
      </c>
      <c r="CH289" s="683">
        <f t="shared" si="2086"/>
        <v>0.41378565155855007</v>
      </c>
      <c r="CI289" s="683">
        <f t="shared" si="2086"/>
        <v>-0.34255732570065789</v>
      </c>
      <c r="CJ289" s="683">
        <f t="shared" si="2086"/>
        <v>0.31914147872059684</v>
      </c>
      <c r="CK289" s="683">
        <f t="shared" si="2086"/>
        <v>-0.15725373627864647</v>
      </c>
      <c r="CL289" s="369">
        <f t="shared" ref="CL289" si="2087">CL288/CK288-1</f>
        <v>0.40060847869537475</v>
      </c>
      <c r="CM289" s="369">
        <f t="shared" ref="CM289" si="2088">CM288/CL288-1</f>
        <v>-0.33747050466072237</v>
      </c>
      <c r="CN289" s="369">
        <f t="shared" ref="CN289" si="2089">CN288/CM288-1</f>
        <v>0.30812319828000168</v>
      </c>
      <c r="CO289" s="369">
        <f t="shared" ref="CO289" si="2090">CO288/CN288-1</f>
        <v>-0.13965990501851955</v>
      </c>
      <c r="CP289" s="369">
        <f t="shared" ref="CP289" si="2091">CP288/CO288-1</f>
        <v>0.40675711574881102</v>
      </c>
      <c r="CQ289" s="369"/>
      <c r="CR289" s="369"/>
      <c r="CS289" s="369"/>
      <c r="CT289" s="369">
        <v>0.40060847869537475</v>
      </c>
      <c r="CU289" s="716"/>
      <c r="CV289" s="83"/>
      <c r="CW289" s="83"/>
      <c r="CX289" s="83"/>
      <c r="CY289" s="83">
        <v>5.0957943303502118E-2</v>
      </c>
      <c r="CZ289" s="83">
        <v>-1.6639101140634271E-2</v>
      </c>
      <c r="DA289" s="83">
        <v>-2.2478752728364304E-2</v>
      </c>
      <c r="DB289" s="83">
        <v>6.3983111975898899E-2</v>
      </c>
      <c r="DC289" s="83">
        <v>4.066270867816435E-2</v>
      </c>
      <c r="DD289" s="83">
        <v>1.0959901466222277E-2</v>
      </c>
      <c r="DE289" s="83">
        <v>-3.2779562251826544E-2</v>
      </c>
      <c r="DF289" s="83">
        <f t="shared" ref="DF289:DM289" si="2092">DF288/DE288-1</f>
        <v>1.2242197375242427</v>
      </c>
      <c r="DG289" s="83">
        <f t="shared" si="2092"/>
        <v>501.65454257435732</v>
      </c>
      <c r="DH289" s="83">
        <f t="shared" si="2092"/>
        <v>-4.2330864203074747E-2</v>
      </c>
      <c r="DI289" s="83">
        <f t="shared" si="2092"/>
        <v>4.0559287705658198E-2</v>
      </c>
      <c r="DJ289" s="83">
        <f t="shared" si="2092"/>
        <v>4.1480184233504414E-2</v>
      </c>
      <c r="DK289" s="83">
        <f t="shared" si="2092"/>
        <v>5.8398049570447919E-2</v>
      </c>
      <c r="DL289" s="683">
        <f t="shared" si="2092"/>
        <v>-0.24569383249797205</v>
      </c>
      <c r="DM289" s="683">
        <f t="shared" si="2092"/>
        <v>0.40467635469276364</v>
      </c>
      <c r="DN289" s="683">
        <f t="shared" ref="DN289:DS289" si="2093">DN288/DM288-1</f>
        <v>0.17280037799849901</v>
      </c>
      <c r="DO289" s="683">
        <f t="shared" si="2093"/>
        <v>8.7541455317197148E-5</v>
      </c>
      <c r="DP289" s="683">
        <f t="shared" si="2093"/>
        <v>8.7390575251242941E-2</v>
      </c>
      <c r="DQ289" s="683">
        <f t="shared" si="2093"/>
        <v>7.4915321474393393E-2</v>
      </c>
      <c r="DR289" s="683">
        <f t="shared" si="2093"/>
        <v>3.94099336256577E-2</v>
      </c>
      <c r="DS289" s="369">
        <f t="shared" si="2093"/>
        <v>5.5543262682020478E-2</v>
      </c>
      <c r="DT289" s="369">
        <f t="shared" ref="DT289" si="2094">DT288/DS288-1</f>
        <v>4.8158685961083192E-2</v>
      </c>
      <c r="DU289" s="369">
        <f t="shared" ref="DU289" si="2095">DU288/DT288-1</f>
        <v>4.8252473961528208E-2</v>
      </c>
      <c r="DV289" s="369">
        <f t="shared" ref="DV289" si="2096">DV288/DU288-1</f>
        <v>4.8339274781588504E-2</v>
      </c>
      <c r="DY289" s="369">
        <v>5.3423308796632485E-2</v>
      </c>
      <c r="DZ289" s="369">
        <v>5.5027408831600066E-2</v>
      </c>
    </row>
    <row r="290" spans="1:130">
      <c r="A290" s="45" t="s">
        <v>92</v>
      </c>
      <c r="B290" s="45"/>
      <c r="C290" s="63"/>
      <c r="D290" s="63"/>
      <c r="E290" s="63"/>
      <c r="F290" s="63"/>
      <c r="G290" s="83" t="e">
        <v>#DIV/0!</v>
      </c>
      <c r="H290" s="83" t="e">
        <v>#DIV/0!</v>
      </c>
      <c r="I290" s="83" t="e">
        <v>#DIV/0!</v>
      </c>
      <c r="J290" s="83" t="e">
        <v>#DIV/0!</v>
      </c>
      <c r="K290" s="83">
        <v>0.18580906886356074</v>
      </c>
      <c r="L290" s="83">
        <v>0.17619988809076026</v>
      </c>
      <c r="M290" s="83">
        <v>0.12187904649121162</v>
      </c>
      <c r="N290" s="83">
        <v>8.1412772246283405E-2</v>
      </c>
      <c r="O290" s="83">
        <v>6.0537288557832136E-2</v>
      </c>
      <c r="P290" s="83">
        <v>5.9495397477564715E-2</v>
      </c>
      <c r="Q290" s="83">
        <v>6.0307178102847026E-2</v>
      </c>
      <c r="R290" s="83">
        <v>4.2305205140159341E-2</v>
      </c>
      <c r="S290" s="83">
        <v>7.5706419961889315E-2</v>
      </c>
      <c r="T290" s="83">
        <v>1.2880448694946089E-2</v>
      </c>
      <c r="U290" s="83">
        <v>5.8585932815853337E-3</v>
      </c>
      <c r="V290" s="83">
        <v>-0.10268048251261774</v>
      </c>
      <c r="W290" s="83">
        <v>-0.1580626957915533</v>
      </c>
      <c r="X290" s="83">
        <v>-2.9024675726253557E-2</v>
      </c>
      <c r="Y290" s="83">
        <v>-3.0930208803428116E-2</v>
      </c>
      <c r="Z290" s="83">
        <v>5.4031264248529887E-2</v>
      </c>
      <c r="AA290" s="83">
        <v>0.11117568543039291</v>
      </c>
      <c r="AB290" s="83">
        <v>4.3984835450016302E-2</v>
      </c>
      <c r="AC290" s="83">
        <v>8.4530979575454301E-2</v>
      </c>
      <c r="AD290" s="83">
        <v>6.2965921152132509E-2</v>
      </c>
      <c r="AE290" s="83">
        <v>7.3497601981439065E-2</v>
      </c>
      <c r="AF290" s="83">
        <v>7.9582306164514449E-2</v>
      </c>
      <c r="AG290" s="83">
        <v>3.8051825137114692E-2</v>
      </c>
      <c r="AH290" s="83">
        <v>3.9237950836625624E-2</v>
      </c>
      <c r="AI290" s="83">
        <v>2.8760257096244857E-2</v>
      </c>
      <c r="AJ290" s="83">
        <v>-3.9033932819791728E-2</v>
      </c>
      <c r="AK290" s="83">
        <v>3.8235836435677406E-2</v>
      </c>
      <c r="AL290" s="83">
        <v>3.4452515879860313E-2</v>
      </c>
      <c r="AM290" s="83">
        <v>-2.2151414121093671E-2</v>
      </c>
      <c r="AN290" s="83">
        <v>-4.6867996524080247E-2</v>
      </c>
      <c r="AO290" s="83">
        <v>-3.3723074394052532E-2</v>
      </c>
      <c r="AP290" s="83">
        <v>-3.973539553464811E-2</v>
      </c>
      <c r="AQ290" s="83">
        <f t="shared" ref="AQ290:BG290" si="2097">AQ288/AM288-1</f>
        <v>0.96885527003811056</v>
      </c>
      <c r="AR290" s="83">
        <f t="shared" si="2097"/>
        <v>1020.5251359975263</v>
      </c>
      <c r="AS290" s="83">
        <f t="shared" si="2097"/>
        <v>1001.1608622792102</v>
      </c>
      <c r="AT290" s="83">
        <f t="shared" si="2097"/>
        <v>1107.4624018801364</v>
      </c>
      <c r="AU290" s="83">
        <f t="shared" si="2097"/>
        <v>554.19286307370442</v>
      </c>
      <c r="AV290" s="83">
        <f t="shared" si="2097"/>
        <v>9.400196606586908E-2</v>
      </c>
      <c r="AW290" s="83">
        <f t="shared" si="2097"/>
        <v>7.3879012694768598E-2</v>
      </c>
      <c r="AX290" s="83">
        <f t="shared" si="2097"/>
        <v>-2.9495203022297245E-3</v>
      </c>
      <c r="AY290" s="83">
        <f t="shared" si="2097"/>
        <v>-2.9366800961656114E-2</v>
      </c>
      <c r="AZ290" s="83">
        <f t="shared" si="2097"/>
        <v>-1.1890981391450395E-2</v>
      </c>
      <c r="BA290" s="83">
        <f t="shared" si="2097"/>
        <v>-7.5876609845088816E-2</v>
      </c>
      <c r="BB290" s="83">
        <f t="shared" si="2097"/>
        <v>-4.4714864524183051E-2</v>
      </c>
      <c r="BC290" s="83">
        <f t="shared" si="2097"/>
        <v>4.7565483930289254E-2</v>
      </c>
      <c r="BD290" s="83">
        <f t="shared" si="2097"/>
        <v>1.8192868158129594E-2</v>
      </c>
      <c r="BE290" s="83">
        <f t="shared" si="2097"/>
        <v>7.9928862057043304E-2</v>
      </c>
      <c r="BF290" s="83">
        <f t="shared" si="2097"/>
        <v>2.8332064268260071E-2</v>
      </c>
      <c r="BG290" s="83">
        <f t="shared" si="2097"/>
        <v>1.7529751807765281E-2</v>
      </c>
      <c r="BH290" s="83">
        <f t="shared" ref="BH290:BX290" si="2098">BH288/BD288-1</f>
        <v>-1.1434094709382503E-2</v>
      </c>
      <c r="BI290" s="683">
        <f t="shared" si="2098"/>
        <v>4.6033335146413945E-2</v>
      </c>
      <c r="BJ290" s="683">
        <f t="shared" si="2098"/>
        <v>0.10004568822561022</v>
      </c>
      <c r="BK290" s="683">
        <f t="shared" si="2098"/>
        <v>0.10572822812423621</v>
      </c>
      <c r="BL290" s="683">
        <f t="shared" si="2098"/>
        <v>5.5747477259929568E-2</v>
      </c>
      <c r="BM290" s="683">
        <f t="shared" si="2098"/>
        <v>5.0420041780199654E-2</v>
      </c>
      <c r="BN290" s="683">
        <f t="shared" si="2098"/>
        <v>2.9241253907498876E-2</v>
      </c>
      <c r="BO290" s="683">
        <f t="shared" si="2098"/>
        <v>-0.12546925064923986</v>
      </c>
      <c r="BP290" s="683">
        <f t="shared" si="2098"/>
        <v>-0.74731546272810623</v>
      </c>
      <c r="BQ290" s="683">
        <f t="shared" si="2098"/>
        <v>-0.1814697789656663</v>
      </c>
      <c r="BR290" s="683">
        <f t="shared" si="2098"/>
        <v>-9.1410070874842209E-3</v>
      </c>
      <c r="BS290" s="683">
        <f t="shared" si="2098"/>
        <v>-0.12768927758349036</v>
      </c>
      <c r="BT290" s="683">
        <f t="shared" si="2098"/>
        <v>3.0788646556624162</v>
      </c>
      <c r="BU290" s="683">
        <f t="shared" si="2098"/>
        <v>0.38375946557418827</v>
      </c>
      <c r="BV290" s="683">
        <f t="shared" si="2098"/>
        <v>0.1798057476387569</v>
      </c>
      <c r="BW290" s="683">
        <f t="shared" si="2098"/>
        <v>0.57816468798151721</v>
      </c>
      <c r="BX290" s="683">
        <f t="shared" si="2098"/>
        <v>0.37118273864153517</v>
      </c>
      <c r="BY290" s="683">
        <f t="shared" ref="BY290:CK290" si="2099">BY288/BU288-1</f>
        <v>8.0721384321609468E-2</v>
      </c>
      <c r="BZ290" s="683">
        <f t="shared" si="2099"/>
        <v>-2.9870562601681194E-2</v>
      </c>
      <c r="CA290" s="683">
        <f t="shared" si="2099"/>
        <v>-3.7592053944540682E-3</v>
      </c>
      <c r="CB290" s="683">
        <f t="shared" si="2099"/>
        <v>-7.1240406309810544E-2</v>
      </c>
      <c r="CC290" s="683">
        <f t="shared" si="2099"/>
        <v>1.0659287319736865E-2</v>
      </c>
      <c r="CD290" s="683">
        <f t="shared" si="2099"/>
        <v>8.1328229172169086E-2</v>
      </c>
      <c r="CE290" s="683">
        <f t="shared" si="2099"/>
        <v>8.3608501454075279E-2</v>
      </c>
      <c r="CF290" s="683">
        <f t="shared" si="2099"/>
        <v>2.6262351893247438E-2</v>
      </c>
      <c r="CG290" s="683">
        <f t="shared" si="2099"/>
        <v>0.11385474519858185</v>
      </c>
      <c r="CH290" s="683">
        <f t="shared" si="2099"/>
        <v>9.353455170281233E-2</v>
      </c>
      <c r="CI290" s="683">
        <f t="shared" si="2099"/>
        <v>0.11719774635765989</v>
      </c>
      <c r="CJ290" s="683">
        <f t="shared" si="2099"/>
        <v>0.17882491775933218</v>
      </c>
      <c r="CK290" s="683">
        <f t="shared" si="2099"/>
        <v>3.3307715974437491E-2</v>
      </c>
      <c r="CL290" s="369">
        <f t="shared" ref="CL290" si="2100">CL288/CH288-1</f>
        <v>2.367678332263301E-2</v>
      </c>
      <c r="CM290" s="369">
        <f t="shared" ref="CM290" si="2101">CM288/CI288-1</f>
        <v>3.1597261872414739E-2</v>
      </c>
      <c r="CN290" s="369">
        <f t="shared" ref="CN290" si="2102">CN288/CJ288-1</f>
        <v>2.2980727469990914E-2</v>
      </c>
      <c r="CO290" s="369">
        <f t="shared" ref="CO290" si="2103">CO288/CK288-1</f>
        <v>4.433727460197523E-2</v>
      </c>
      <c r="CP290" s="369">
        <f t="shared" ref="CP290" si="2104">CP288/CL288-1</f>
        <v>4.8921889760726645E-2</v>
      </c>
      <c r="CQ290" s="369"/>
      <c r="CR290" s="369"/>
      <c r="CS290" s="369"/>
      <c r="CT290" s="369">
        <v>2.367678332263301E-2</v>
      </c>
      <c r="CU290" s="716"/>
      <c r="CV290" s="83"/>
      <c r="CW290" s="45"/>
      <c r="CX290" s="45"/>
      <c r="CY290" s="62"/>
      <c r="CZ290" s="45"/>
      <c r="DA290" s="45"/>
      <c r="DB290" s="45"/>
      <c r="DC290" s="45"/>
      <c r="DD290" s="45"/>
      <c r="DE290" s="45"/>
      <c r="DF290" s="45"/>
      <c r="DG290" s="45"/>
      <c r="DH290" s="45"/>
      <c r="DI290" s="45"/>
      <c r="DJ290" s="45"/>
      <c r="DK290" s="45"/>
      <c r="DL290" s="1246"/>
      <c r="DM290" s="1246"/>
      <c r="DN290" s="1246"/>
      <c r="DO290" s="1246"/>
      <c r="DP290" s="1246"/>
      <c r="DQ290" s="1246"/>
      <c r="DR290" s="1246"/>
      <c r="DS290" s="400"/>
      <c r="DT290" s="400"/>
      <c r="DU290" s="400"/>
      <c r="DV290" s="400"/>
      <c r="DY290" s="400"/>
      <c r="DZ290" s="400"/>
    </row>
    <row r="291" spans="1:130">
      <c r="A291" s="45"/>
      <c r="B291" s="45"/>
      <c r="C291" s="63"/>
      <c r="D291" s="63"/>
      <c r="E291" s="63"/>
      <c r="F291" s="63"/>
      <c r="G291" s="83"/>
      <c r="H291" s="83"/>
      <c r="I291" s="83"/>
      <c r="J291" s="83"/>
      <c r="K291" s="83"/>
      <c r="L291" s="83"/>
      <c r="M291" s="83"/>
      <c r="N291" s="83"/>
      <c r="O291" s="83"/>
      <c r="P291" s="83"/>
      <c r="Q291" s="83"/>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83"/>
      <c r="AU291" s="83"/>
      <c r="AV291" s="83"/>
      <c r="AW291" s="83"/>
      <c r="AX291" s="83"/>
      <c r="AY291" s="83"/>
      <c r="AZ291" s="83"/>
      <c r="BA291" s="83"/>
      <c r="BB291" s="83"/>
      <c r="BC291" s="83"/>
      <c r="BD291" s="83"/>
      <c r="BE291" s="83"/>
      <c r="BF291" s="83"/>
      <c r="BG291" s="83"/>
      <c r="BH291" s="83"/>
      <c r="BI291" s="683"/>
      <c r="BJ291" s="683"/>
      <c r="BK291" s="683"/>
      <c r="BL291" s="683"/>
      <c r="BM291" s="683"/>
      <c r="BN291" s="683"/>
      <c r="BO291" s="683"/>
      <c r="BP291" s="683"/>
      <c r="BQ291" s="683"/>
      <c r="BR291" s="683"/>
      <c r="BS291" s="683"/>
      <c r="BT291" s="683"/>
      <c r="BU291" s="683"/>
      <c r="BV291" s="683"/>
      <c r="BW291" s="683"/>
      <c r="BX291" s="683"/>
      <c r="BY291" s="683"/>
      <c r="BZ291" s="683"/>
      <c r="CA291" s="683"/>
      <c r="CB291" s="683"/>
      <c r="CC291" s="683"/>
      <c r="CD291" s="683"/>
      <c r="CE291" s="683"/>
      <c r="CF291" s="683"/>
      <c r="CG291" s="683"/>
      <c r="CH291" s="683"/>
      <c r="CI291" s="683"/>
      <c r="CJ291" s="683"/>
      <c r="CK291" s="683"/>
      <c r="CL291" s="369"/>
      <c r="CM291" s="369"/>
      <c r="CN291" s="369"/>
      <c r="CO291" s="369"/>
      <c r="CP291" s="369"/>
      <c r="CQ291" s="369"/>
      <c r="CR291" s="369"/>
      <c r="CS291" s="369"/>
      <c r="CT291" s="369"/>
      <c r="CU291" s="716"/>
      <c r="CV291" s="83"/>
      <c r="CW291" s="45"/>
      <c r="CX291" s="45"/>
      <c r="CY291" s="62"/>
      <c r="CZ291" s="45"/>
      <c r="DA291" s="45"/>
      <c r="DB291" s="45"/>
      <c r="DC291" s="45"/>
      <c r="DD291" s="45"/>
      <c r="DE291" s="45"/>
      <c r="DF291" s="45"/>
      <c r="DG291" s="45"/>
      <c r="DH291" s="45"/>
      <c r="DI291" s="45"/>
      <c r="DJ291" s="45"/>
      <c r="DK291" s="45"/>
      <c r="DL291" s="1246"/>
      <c r="DM291" s="1246"/>
      <c r="DN291" s="1246"/>
      <c r="DO291" s="1246"/>
      <c r="DP291" s="1246"/>
      <c r="DQ291" s="1246"/>
      <c r="DR291" s="1246"/>
      <c r="DS291" s="400"/>
      <c r="DT291" s="400"/>
      <c r="DU291" s="400"/>
      <c r="DV291" s="400"/>
      <c r="DY291" s="400"/>
      <c r="DZ291" s="400"/>
    </row>
    <row r="292" spans="1:130">
      <c r="A292" s="45" t="s">
        <v>289</v>
      </c>
      <c r="B292" s="45"/>
      <c r="C292" s="63"/>
      <c r="D292" s="63"/>
      <c r="E292" s="63"/>
      <c r="F292" s="63"/>
      <c r="G292" s="83"/>
      <c r="H292" s="83"/>
      <c r="I292" s="83"/>
      <c r="J292" s="83"/>
      <c r="K292" s="83"/>
      <c r="L292" s="83"/>
      <c r="M292" s="83"/>
      <c r="N292" s="83"/>
      <c r="O292" s="83"/>
      <c r="P292" s="83"/>
      <c r="Q292" s="83"/>
      <c r="R292" s="83"/>
      <c r="S292" s="83"/>
      <c r="T292" s="83"/>
      <c r="U292" s="83"/>
      <c r="V292" s="83"/>
      <c r="W292" s="83"/>
      <c r="X292" s="83"/>
      <c r="Y292" s="83"/>
      <c r="Z292" s="83"/>
      <c r="AA292" s="83"/>
      <c r="AB292" s="83"/>
      <c r="AC292" s="83"/>
      <c r="AD292" s="83"/>
      <c r="AE292" s="83"/>
      <c r="AF292" s="83"/>
      <c r="AG292" s="83"/>
      <c r="AH292" s="83"/>
      <c r="AI292" s="83"/>
      <c r="AJ292" s="83"/>
      <c r="AK292" s="47">
        <v>10.043038632817213</v>
      </c>
      <c r="AL292" s="47">
        <v>10.153125886352406</v>
      </c>
      <c r="AM292" s="47">
        <v>10.110209323547753</v>
      </c>
      <c r="AN292" s="47">
        <v>9.9904601221151239</v>
      </c>
      <c r="AO292" s="47">
        <v>9.9110336546242372</v>
      </c>
      <c r="AP292" s="47">
        <v>9.7796914819635035</v>
      </c>
      <c r="AQ292" s="47">
        <f t="shared" ref="AQ292:BD292" si="2105">+SUM(AN288:AQ288)</f>
        <v>11.615189811603926</v>
      </c>
      <c r="AR292" s="47">
        <f t="shared" si="2105"/>
        <v>2496.8818574867933</v>
      </c>
      <c r="AS292" s="47">
        <f t="shared" si="2105"/>
        <v>4775.3531420452291</v>
      </c>
      <c r="AT292" s="47">
        <f t="shared" si="2105"/>
        <v>8290.5250397371819</v>
      </c>
      <c r="AU292" s="47">
        <f t="shared" si="2105"/>
        <v>10357.664649073136</v>
      </c>
      <c r="AV292" s="47">
        <f t="shared" si="2105"/>
        <v>10591.513523344474</v>
      </c>
      <c r="AW292" s="47">
        <f t="shared" si="2105"/>
        <v>10760.01286832722</v>
      </c>
      <c r="AX292" s="47">
        <f t="shared" si="2105"/>
        <v>10749.635435442042</v>
      </c>
      <c r="AY292" s="47">
        <f t="shared" si="2105"/>
        <v>10688.820619794938</v>
      </c>
      <c r="AZ292" s="47">
        <f t="shared" si="2105"/>
        <v>10656.458709589482</v>
      </c>
      <c r="BA292" s="47">
        <f t="shared" si="2105"/>
        <v>10470.618191612964</v>
      </c>
      <c r="BB292" s="47">
        <f t="shared" si="2105"/>
        <v>10313.759853472238</v>
      </c>
      <c r="BC292" s="47">
        <f t="shared" si="2105"/>
        <v>10409.369082480192</v>
      </c>
      <c r="BD292" s="47">
        <f t="shared" si="2105"/>
        <v>10458.293141843278</v>
      </c>
      <c r="BE292" s="47">
        <f t="shared" ref="BE292:BX292" si="2106">+SUM(BB288:BE288)</f>
        <v>10639.204603074548</v>
      </c>
      <c r="BF292" s="47">
        <f t="shared" si="2106"/>
        <v>10734.148472759383</v>
      </c>
      <c r="BG292" s="47">
        <f t="shared" si="2106"/>
        <v>10771.060240475077</v>
      </c>
      <c r="BH292" s="47">
        <f t="shared" si="2106"/>
        <v>10739.752397413671</v>
      </c>
      <c r="BI292" s="1288">
        <f t="shared" si="2106"/>
        <v>10852.272479591333</v>
      </c>
      <c r="BJ292" s="1288">
        <f t="shared" si="2106"/>
        <v>11197.035331109069</v>
      </c>
      <c r="BK292" s="1288">
        <f t="shared" si="2106"/>
        <v>11423.56607309516</v>
      </c>
      <c r="BL292" s="1288">
        <f t="shared" si="2106"/>
        <v>11574.463630538754</v>
      </c>
      <c r="BM292" s="1288">
        <f t="shared" si="2106"/>
        <v>11703.379483324039</v>
      </c>
      <c r="BN292" s="1288">
        <f t="shared" si="2106"/>
        <v>11814.2277235663</v>
      </c>
      <c r="BO292" s="1288">
        <f t="shared" si="2106"/>
        <v>11516.977702185945</v>
      </c>
      <c r="BP292" s="1288">
        <f t="shared" si="2106"/>
        <v>9381.3722958207272</v>
      </c>
      <c r="BQ292" s="1288">
        <f t="shared" si="2106"/>
        <v>8893.9892313774471</v>
      </c>
      <c r="BR292" s="1288">
        <f t="shared" si="2106"/>
        <v>8858.3240824422573</v>
      </c>
      <c r="BS292" s="1288">
        <f t="shared" si="2106"/>
        <v>8593.7702212406784</v>
      </c>
      <c r="BT292" s="1288">
        <f t="shared" si="2106"/>
        <v>10817.010018557698</v>
      </c>
      <c r="BU292" s="1288">
        <f t="shared" si="2106"/>
        <v>11660.655419533905</v>
      </c>
      <c r="BV292" s="1288">
        <f t="shared" si="2106"/>
        <v>12355.784442969609</v>
      </c>
      <c r="BW292" s="1288">
        <f t="shared" si="2106"/>
        <v>13400.703015829047</v>
      </c>
      <c r="BX292" s="1288">
        <f t="shared" si="2106"/>
        <v>14493.961298889259</v>
      </c>
      <c r="BY292" s="1288">
        <f t="shared" ref="BY292:CK292" si="2107">+SUM(BV288:BY288)</f>
        <v>14739.517015194473</v>
      </c>
      <c r="BZ292" s="1288">
        <f t="shared" si="2107"/>
        <v>14603.273524656535</v>
      </c>
      <c r="CA292" s="1288">
        <f t="shared" si="2107"/>
        <v>14592.551439248515</v>
      </c>
      <c r="CB292" s="1288">
        <f t="shared" si="2107"/>
        <v>14304.840264762348</v>
      </c>
      <c r="CC292" s="1288">
        <f t="shared" si="2107"/>
        <v>14339.883432792047</v>
      </c>
      <c r="CD292" s="1288">
        <f t="shared" si="2107"/>
        <v>14699.751538858176</v>
      </c>
      <c r="CE292" s="1288">
        <f t="shared" si="2107"/>
        <v>14937.325023642918</v>
      </c>
      <c r="CF292" s="1288">
        <f t="shared" si="2107"/>
        <v>15035.832064077513</v>
      </c>
      <c r="CG292" s="1288">
        <f t="shared" si="2107"/>
        <v>15414.127497970199</v>
      </c>
      <c r="CH292" s="1288">
        <f t="shared" si="2107"/>
        <v>15861.667286193113</v>
      </c>
      <c r="CI292" s="1288">
        <f t="shared" si="2107"/>
        <v>16222.527658417926</v>
      </c>
      <c r="CJ292" s="1288">
        <f t="shared" si="2107"/>
        <v>16910.894728119987</v>
      </c>
      <c r="CK292" s="1288">
        <f t="shared" si="2107"/>
        <v>17034.163586976465</v>
      </c>
      <c r="CL292" s="47">
        <f t="shared" ref="CL292" si="2108">+SUM(CI288:CL288)</f>
        <v>17158.047465135907</v>
      </c>
      <c r="CM292" s="47">
        <f t="shared" ref="CM292" si="2109">+SUM(CJ288:CM288)</f>
        <v>17266.739928792776</v>
      </c>
      <c r="CN292" s="47">
        <f t="shared" ref="CN292" si="2110">+SUM(CK288:CN288)</f>
        <v>17371.020915548146</v>
      </c>
      <c r="CO292" s="47">
        <f t="shared" ref="CO292" si="2111">+SUM(CL288:CO288)</f>
        <v>17540.574583380294</v>
      </c>
      <c r="CP292" s="47">
        <f t="shared" ref="CP292" si="2112">+SUM(CM288:CP288)</f>
        <v>17802.608899885083</v>
      </c>
      <c r="CQ292" s="47"/>
      <c r="CR292" s="47"/>
      <c r="CS292" s="47"/>
      <c r="CT292" s="47">
        <v>17158.047465135907</v>
      </c>
      <c r="CU292" s="716"/>
      <c r="CV292" s="83"/>
      <c r="CW292" s="45"/>
      <c r="CX292" s="45"/>
      <c r="CY292" s="62"/>
      <c r="CZ292" s="45"/>
      <c r="DA292" s="45"/>
      <c r="DB292" s="45"/>
      <c r="DC292" s="45"/>
      <c r="DD292" s="45"/>
      <c r="DE292" s="45"/>
      <c r="DF292" s="45"/>
      <c r="DG292" s="45"/>
      <c r="DH292" s="45"/>
      <c r="DI292" s="45"/>
      <c r="DJ292" s="45"/>
      <c r="DK292" s="45"/>
      <c r="DL292" s="1246"/>
      <c r="DM292" s="1246"/>
      <c r="DN292" s="1246"/>
      <c r="DO292" s="1246"/>
      <c r="DP292" s="1246"/>
      <c r="DQ292" s="1246"/>
      <c r="DR292" s="1246"/>
      <c r="DS292" s="400"/>
      <c r="DT292" s="400"/>
      <c r="DU292" s="400"/>
      <c r="DV292" s="400"/>
      <c r="DY292" s="400"/>
      <c r="DZ292" s="400"/>
    </row>
    <row r="293" spans="1:130">
      <c r="A293" s="8" t="s">
        <v>120</v>
      </c>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v>-3.6780239757576938E-2</v>
      </c>
      <c r="AQ293" s="8">
        <f t="shared" ref="AQ293:BD293" si="2113">+AQ292/AM292-1</f>
        <v>0.14885750036360901</v>
      </c>
      <c r="AR293" s="8">
        <f t="shared" si="2113"/>
        <v>248.92661268519907</v>
      </c>
      <c r="AS293" s="8">
        <f t="shared" si="2113"/>
        <v>480.82190762889502</v>
      </c>
      <c r="AT293" s="8">
        <f t="shared" si="2113"/>
        <v>846.72868909282442</v>
      </c>
      <c r="AU293" s="8">
        <f t="shared" si="2113"/>
        <v>890.73442854334724</v>
      </c>
      <c r="AV293" s="8">
        <f t="shared" si="2113"/>
        <v>3.2418961440190994</v>
      </c>
      <c r="AW293" s="8">
        <f t="shared" si="2113"/>
        <v>1.2532391947287125</v>
      </c>
      <c r="AX293" s="8">
        <f t="shared" si="2113"/>
        <v>0.29661696743187393</v>
      </c>
      <c r="AY293" s="8">
        <f t="shared" si="2113"/>
        <v>3.1972069181775975E-2</v>
      </c>
      <c r="AZ293" s="8">
        <f t="shared" si="2113"/>
        <v>6.1318135601549084E-3</v>
      </c>
      <c r="BA293" s="8">
        <f t="shared" si="2113"/>
        <v>-2.6895383886213264E-2</v>
      </c>
      <c r="BB293" s="8">
        <f t="shared" si="2113"/>
        <v>-4.054794086622715E-2</v>
      </c>
      <c r="BC293" s="8">
        <f t="shared" si="2113"/>
        <v>-2.6144281699069905E-2</v>
      </c>
      <c r="BD293" s="8">
        <f t="shared" si="2113"/>
        <v>-1.8595818099297778E-2</v>
      </c>
      <c r="BE293" s="8">
        <f t="shared" ref="BE293:BX293" si="2114">+BE292/BA292-1</f>
        <v>1.6100903344620221E-2</v>
      </c>
      <c r="BF293" s="8">
        <f t="shared" si="2114"/>
        <v>4.0759977472775599E-2</v>
      </c>
      <c r="BG293" s="8">
        <f t="shared" si="2114"/>
        <v>3.4746693591991118E-2</v>
      </c>
      <c r="BH293" s="8">
        <f t="shared" si="2114"/>
        <v>2.6912542204834855E-2</v>
      </c>
      <c r="BI293" s="116">
        <f t="shared" si="2114"/>
        <v>2.0026673465346478E-2</v>
      </c>
      <c r="BJ293" s="116">
        <f t="shared" si="2114"/>
        <v>4.3122829866232948E-2</v>
      </c>
      <c r="BK293" s="116">
        <f t="shared" si="2114"/>
        <v>6.0579536095074715E-2</v>
      </c>
      <c r="BL293" s="116">
        <f t="shared" si="2114"/>
        <v>7.7721645922311566E-2</v>
      </c>
      <c r="BM293" s="116">
        <f t="shared" si="2114"/>
        <v>7.8426615746452155E-2</v>
      </c>
      <c r="BN293" s="116">
        <f t="shared" si="2114"/>
        <v>5.5121054297512684E-2</v>
      </c>
      <c r="BO293" s="116">
        <f t="shared" si="2114"/>
        <v>8.1770988580165405E-3</v>
      </c>
      <c r="BP293" s="116">
        <f t="shared" si="2114"/>
        <v>-0.18947671397330623</v>
      </c>
      <c r="BQ293" s="116">
        <f t="shared" si="2114"/>
        <v>-0.24004948792352221</v>
      </c>
      <c r="BR293" s="116">
        <f t="shared" si="2114"/>
        <v>-0.25019863424739874</v>
      </c>
      <c r="BS293" s="116">
        <f t="shared" si="2114"/>
        <v>-0.25381723890899222</v>
      </c>
      <c r="BT293" s="116">
        <f t="shared" si="2114"/>
        <v>0.15303067370820878</v>
      </c>
      <c r="BU293" s="116">
        <f t="shared" si="2114"/>
        <v>0.31107145693361415</v>
      </c>
      <c r="BV293" s="116">
        <f t="shared" si="2114"/>
        <v>0.39482190174770571</v>
      </c>
      <c r="BW293" s="116">
        <f t="shared" si="2114"/>
        <v>0.5593508635717741</v>
      </c>
      <c r="BX293" s="116">
        <f t="shared" si="2114"/>
        <v>0.33992307245933695</v>
      </c>
      <c r="BY293" s="116">
        <f t="shared" ref="BY293:CK293" si="2115">+BY292/BU292-1</f>
        <v>0.2640384682410617</v>
      </c>
      <c r="BZ293" s="116">
        <f t="shared" si="2115"/>
        <v>0.18189772507448843</v>
      </c>
      <c r="CA293" s="116">
        <f t="shared" si="2115"/>
        <v>8.8939246098629576E-2</v>
      </c>
      <c r="CB293" s="116">
        <f t="shared" si="2115"/>
        <v>-1.3048264047828217E-2</v>
      </c>
      <c r="CC293" s="116">
        <f t="shared" si="2115"/>
        <v>-2.7113071750618278E-2</v>
      </c>
      <c r="CD293" s="116">
        <f t="shared" si="2115"/>
        <v>6.6066018717478858E-3</v>
      </c>
      <c r="CE293" s="116">
        <f t="shared" si="2115"/>
        <v>2.3626682820325096E-2</v>
      </c>
      <c r="CF293" s="116">
        <f t="shared" si="2115"/>
        <v>5.1101010971499328E-2</v>
      </c>
      <c r="CG293" s="116">
        <f t="shared" si="2115"/>
        <v>7.4913026330576837E-2</v>
      </c>
      <c r="CH293" s="116">
        <f t="shared" si="2115"/>
        <v>7.9043223571735988E-2</v>
      </c>
      <c r="CI293" s="116">
        <f t="shared" si="2115"/>
        <v>8.603967797050549E-2</v>
      </c>
      <c r="CJ293" s="116">
        <f t="shared" si="2115"/>
        <v>0.12470627871152096</v>
      </c>
      <c r="CK293" s="116">
        <f t="shared" si="2115"/>
        <v>0.10510073237811213</v>
      </c>
      <c r="CL293" s="8">
        <f t="shared" ref="CL293" si="2116">+CL292/CH292-1</f>
        <v>8.17303853089415E-2</v>
      </c>
      <c r="CM293" s="8">
        <f t="shared" ref="CM293" si="2117">+CM292/CI292-1</f>
        <v>6.4368037605595063E-2</v>
      </c>
      <c r="CN293" s="8">
        <f t="shared" ref="CN293" si="2118">+CN292/CJ292-1</f>
        <v>2.7208861200173295E-2</v>
      </c>
      <c r="CO293" s="8">
        <f t="shared" ref="CO293" si="2119">+CO292/CK292-1</f>
        <v>2.9729137789366256E-2</v>
      </c>
      <c r="CP293" s="8">
        <f t="shared" ref="CP293" si="2120">+CP292/CL292-1</f>
        <v>3.7566129599471365E-2</v>
      </c>
      <c r="CQ293" s="8"/>
      <c r="CR293" s="8"/>
      <c r="CS293" s="8"/>
      <c r="CT293" s="8">
        <v>8.17303853089415E-2</v>
      </c>
      <c r="CU293" s="694"/>
      <c r="CV293" s="8"/>
      <c r="CW293" s="8"/>
      <c r="CX293" s="8"/>
      <c r="CY293" s="8"/>
      <c r="CZ293" s="8"/>
      <c r="DA293" s="8"/>
      <c r="DB293" s="7"/>
      <c r="DC293" s="7"/>
      <c r="DD293" s="7"/>
      <c r="DE293" s="7"/>
      <c r="DF293" s="7"/>
      <c r="DG293" s="7"/>
      <c r="DH293" s="7"/>
      <c r="DI293" s="7"/>
      <c r="DJ293" s="7"/>
      <c r="DK293" s="7"/>
      <c r="DL293" s="114"/>
      <c r="DM293" s="114"/>
      <c r="DN293" s="114"/>
      <c r="DO293" s="114"/>
      <c r="DP293" s="114"/>
      <c r="DQ293" s="114"/>
      <c r="DR293" s="114"/>
      <c r="DS293" s="168"/>
      <c r="DT293" s="168"/>
      <c r="DU293" s="168"/>
      <c r="DV293" s="168"/>
      <c r="DY293" s="168"/>
      <c r="DZ293" s="168"/>
    </row>
    <row r="294" spans="1:130">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116"/>
      <c r="BJ294" s="116"/>
      <c r="BK294" s="116"/>
      <c r="BL294" s="116"/>
      <c r="BM294" s="116"/>
      <c r="BN294" s="116"/>
      <c r="BO294" s="116"/>
      <c r="BP294" s="116"/>
      <c r="BQ294" s="116"/>
      <c r="BR294" s="116"/>
      <c r="BS294" s="116"/>
      <c r="BT294" s="116"/>
      <c r="BU294" s="116"/>
      <c r="BV294" s="116"/>
      <c r="BW294" s="116"/>
      <c r="BX294" s="116"/>
      <c r="BY294" s="116"/>
      <c r="BZ294" s="116"/>
      <c r="CA294" s="116"/>
      <c r="CB294" s="116"/>
      <c r="CC294" s="116"/>
      <c r="CD294" s="116"/>
      <c r="CE294" s="116"/>
      <c r="CF294" s="116"/>
      <c r="CG294" s="116"/>
      <c r="CH294" s="116"/>
      <c r="CI294" s="116"/>
      <c r="CJ294" s="116"/>
      <c r="CK294" s="116"/>
      <c r="CL294" s="8"/>
      <c r="CM294" s="8"/>
      <c r="CN294" s="8"/>
      <c r="CO294" s="8"/>
      <c r="CP294" s="8"/>
      <c r="CQ294" s="8"/>
      <c r="CR294" s="8"/>
      <c r="CS294" s="8"/>
      <c r="CT294" s="8"/>
      <c r="CU294" s="694"/>
      <c r="CV294" s="8"/>
      <c r="CW294" s="8"/>
      <c r="CX294" s="8"/>
      <c r="CY294" s="8"/>
      <c r="CZ294" s="8"/>
      <c r="DA294" s="8"/>
      <c r="DB294" s="7"/>
      <c r="DC294" s="7"/>
      <c r="DD294" s="7"/>
      <c r="DE294" s="7"/>
      <c r="DF294" s="7"/>
      <c r="DG294" s="7"/>
      <c r="DH294" s="7"/>
      <c r="DI294" s="7"/>
      <c r="DJ294" s="7"/>
      <c r="DK294" s="7"/>
      <c r="DL294" s="114"/>
      <c r="DM294" s="114"/>
      <c r="DN294" s="114"/>
      <c r="DO294" s="114"/>
      <c r="DP294" s="114"/>
      <c r="DQ294" s="114"/>
      <c r="DR294" s="114"/>
      <c r="DS294" s="168"/>
      <c r="DT294" s="168"/>
      <c r="DU294" s="168"/>
      <c r="DV294" s="168"/>
      <c r="DY294" s="168"/>
      <c r="DZ294" s="168"/>
    </row>
    <row r="295" spans="1:130">
      <c r="A295" s="45" t="s">
        <v>290</v>
      </c>
      <c r="B295" s="45"/>
      <c r="C295" s="63"/>
      <c r="D295" s="63"/>
      <c r="E295" s="63"/>
      <c r="F295" s="63"/>
      <c r="G295" s="83"/>
      <c r="H295" s="83"/>
      <c r="I295" s="83"/>
      <c r="J295" s="83"/>
      <c r="K295" s="83"/>
      <c r="L295" s="83"/>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83"/>
      <c r="AK295" s="47">
        <f t="shared" ref="AK295:CK295" si="2121">+SUM(AJ288:AK288)</f>
        <v>4.9102871989686152</v>
      </c>
      <c r="AL295" s="47">
        <f t="shared" si="2121"/>
        <v>5.6606758666646648</v>
      </c>
      <c r="AM295" s="47">
        <f t="shared" si="2121"/>
        <v>5.1999221245791372</v>
      </c>
      <c r="AN295" s="47">
        <f t="shared" si="2121"/>
        <v>4.3297842554504582</v>
      </c>
      <c r="AO295" s="47">
        <f t="shared" si="2121"/>
        <v>4.7111115300451001</v>
      </c>
      <c r="AP295" s="47">
        <f t="shared" si="2121"/>
        <v>5.4499072265130444</v>
      </c>
      <c r="AQ295" s="47">
        <f t="shared" si="2121"/>
        <v>6.9040782815588262</v>
      </c>
      <c r="AR295" s="47">
        <f t="shared" si="2121"/>
        <v>2491.4319502602802</v>
      </c>
      <c r="AS295" s="47">
        <f t="shared" si="2121"/>
        <v>4768.44906376367</v>
      </c>
      <c r="AT295" s="47">
        <f t="shared" si="2121"/>
        <v>5799.0930894769008</v>
      </c>
      <c r="AU295" s="47">
        <f t="shared" si="2121"/>
        <v>5589.2155853094664</v>
      </c>
      <c r="AV295" s="47">
        <f t="shared" si="2121"/>
        <v>4792.4204338675736</v>
      </c>
      <c r="AW295" s="47">
        <f t="shared" si="2121"/>
        <v>5170.7972830177532</v>
      </c>
      <c r="AX295" s="47">
        <f t="shared" si="2121"/>
        <v>5957.2150015744683</v>
      </c>
      <c r="AY295" s="47">
        <f t="shared" si="2121"/>
        <v>5518.0233367771852</v>
      </c>
      <c r="AZ295" s="47">
        <f t="shared" si="2121"/>
        <v>4699.2437080150148</v>
      </c>
      <c r="BA295" s="47">
        <f t="shared" si="2121"/>
        <v>4952.5948548357801</v>
      </c>
      <c r="BB295" s="47">
        <f t="shared" si="2121"/>
        <v>5614.5161454572226</v>
      </c>
      <c r="BC295" s="47">
        <f t="shared" si="2121"/>
        <v>5456.7742276444123</v>
      </c>
      <c r="BD295" s="47">
        <f t="shared" si="2121"/>
        <v>4843.7769963860565</v>
      </c>
      <c r="BE295" s="47">
        <f t="shared" si="2121"/>
        <v>5182.4303754301345</v>
      </c>
      <c r="BF295" s="47">
        <f t="shared" si="2121"/>
        <v>5890.371476373326</v>
      </c>
      <c r="BG295" s="47">
        <f t="shared" si="2121"/>
        <v>5588.6298650449417</v>
      </c>
      <c r="BH295" s="47">
        <f t="shared" si="2121"/>
        <v>4849.3809210403451</v>
      </c>
      <c r="BI295" s="47">
        <f t="shared" si="2121"/>
        <v>5263.6426145463902</v>
      </c>
      <c r="BJ295" s="47">
        <f t="shared" si="2121"/>
        <v>6347.6544100687242</v>
      </c>
      <c r="BK295" s="47">
        <f t="shared" si="2121"/>
        <v>6159.9234585487702</v>
      </c>
      <c r="BL295" s="47">
        <f t="shared" si="2121"/>
        <v>5226.8092204700288</v>
      </c>
      <c r="BM295" s="47">
        <f t="shared" si="2121"/>
        <v>5543.4560247752688</v>
      </c>
      <c r="BN295" s="47">
        <f t="shared" si="2121"/>
        <v>6587.4185030962717</v>
      </c>
      <c r="BO295" s="47">
        <f t="shared" si="2121"/>
        <v>5973.5216774106739</v>
      </c>
      <c r="BP295" s="47">
        <f t="shared" si="2121"/>
        <v>2793.953792724456</v>
      </c>
      <c r="BQ295" s="47">
        <f t="shared" si="2121"/>
        <v>2920.4675539667724</v>
      </c>
      <c r="BR295" s="47">
        <f t="shared" si="2121"/>
        <v>6064.3702897178009</v>
      </c>
      <c r="BS295" s="47">
        <f t="shared" si="2121"/>
        <v>5673.3026672739061</v>
      </c>
      <c r="BT295" s="47">
        <f t="shared" si="2121"/>
        <v>4752.6397288398975</v>
      </c>
      <c r="BU295" s="47">
        <f t="shared" si="2121"/>
        <v>5987.3527522599998</v>
      </c>
      <c r="BV295" s="47">
        <f t="shared" si="2121"/>
        <v>7603.1447141297122</v>
      </c>
      <c r="BW295" s="47">
        <f t="shared" si="2121"/>
        <v>7413.3502635690475</v>
      </c>
      <c r="BX295" s="47">
        <f t="shared" si="2121"/>
        <v>6890.8165847595465</v>
      </c>
      <c r="BY295" s="47">
        <f t="shared" si="2121"/>
        <v>7326.1667516254265</v>
      </c>
      <c r="BZ295" s="47">
        <f t="shared" si="2121"/>
        <v>7712.4569398969879</v>
      </c>
      <c r="CA295" s="47">
        <f t="shared" si="2121"/>
        <v>7266.3846876230873</v>
      </c>
      <c r="CB295" s="47">
        <f t="shared" si="2121"/>
        <v>6592.3833248653591</v>
      </c>
      <c r="CC295" s="47">
        <f t="shared" si="2121"/>
        <v>7073.4987451689594</v>
      </c>
      <c r="CD295" s="47">
        <f t="shared" si="2121"/>
        <v>8107.3682139928169</v>
      </c>
      <c r="CE295" s="47">
        <f t="shared" si="2121"/>
        <v>7863.8262784739582</v>
      </c>
      <c r="CF295" s="47">
        <f t="shared" si="2121"/>
        <v>6928.463850084695</v>
      </c>
      <c r="CG295" s="47">
        <f t="shared" si="2121"/>
        <v>7550.3012194962412</v>
      </c>
      <c r="CH295" s="47">
        <f t="shared" si="2121"/>
        <v>8933.2034361084188</v>
      </c>
      <c r="CI295" s="47">
        <f t="shared" si="2121"/>
        <v>8672.2264389216853</v>
      </c>
      <c r="CJ295" s="47">
        <f t="shared" si="2121"/>
        <v>7977.6912920115665</v>
      </c>
      <c r="CK295" s="47">
        <f t="shared" si="2121"/>
        <v>8361.9371480547798</v>
      </c>
      <c r="CL295" s="47">
        <f t="shared" ref="CL295" si="2122">+SUM(CK288:CL288)</f>
        <v>9180.356173124339</v>
      </c>
      <c r="CM295" s="47">
        <f t="shared" ref="CM295" si="2123">+SUM(CL288:CM288)</f>
        <v>8904.8027807379949</v>
      </c>
      <c r="CN295" s="47">
        <f t="shared" ref="CN295" si="2124">+SUM(CM288:CN288)</f>
        <v>8190.6647424238072</v>
      </c>
      <c r="CO295" s="47">
        <f t="shared" ref="CO295" si="2125">+SUM(CN288:CO288)</f>
        <v>8635.7718026423008</v>
      </c>
      <c r="CP295" s="47">
        <f t="shared" ref="CP295" si="2126">+SUM(CO288:CP288)</f>
        <v>9611.9441574612756</v>
      </c>
      <c r="CQ295" s="47"/>
      <c r="CR295" s="47"/>
      <c r="CS295" s="47"/>
      <c r="CT295" s="47">
        <v>9180.356173124339</v>
      </c>
      <c r="CU295" s="716"/>
      <c r="CV295" s="83"/>
      <c r="CW295" s="45"/>
      <c r="CX295" s="45"/>
      <c r="CY295" s="62"/>
      <c r="CZ295" s="45"/>
      <c r="DA295" s="45"/>
      <c r="DB295" s="45"/>
      <c r="DC295" s="45"/>
      <c r="DD295" s="45"/>
      <c r="DE295" s="45"/>
      <c r="DF295" s="45"/>
      <c r="DG295" s="45"/>
      <c r="DH295" s="45"/>
      <c r="DI295" s="45"/>
      <c r="DJ295" s="45"/>
      <c r="DK295" s="45"/>
      <c r="DL295" s="1246"/>
      <c r="DM295" s="1246"/>
      <c r="DN295" s="1246"/>
      <c r="DO295" s="1246"/>
      <c r="DP295" s="1246"/>
      <c r="DQ295" s="1246"/>
      <c r="DR295" s="1246"/>
      <c r="DS295" s="400"/>
      <c r="DT295" s="400"/>
      <c r="DU295" s="400"/>
      <c r="DV295" s="400"/>
      <c r="DY295" s="400"/>
      <c r="DZ295" s="400"/>
    </row>
    <row r="296" spans="1:130">
      <c r="A296" s="8" t="s">
        <v>120</v>
      </c>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v>-3.6780239757576938E-2</v>
      </c>
      <c r="AQ296" s="8">
        <f t="shared" ref="AQ296" si="2127">+AQ295/AM295-1</f>
        <v>0.3277272459378644</v>
      </c>
      <c r="AR296" s="8">
        <f t="shared" ref="AR296" si="2128">+AR295/AN295-1</f>
        <v>574.41711163183095</v>
      </c>
      <c r="AS296" s="8">
        <f t="shared" ref="AS296" si="2129">+AS295/AO295-1</f>
        <v>1011.170701829685</v>
      </c>
      <c r="AT296" s="8">
        <f t="shared" ref="AT296" si="2130">+AT295/AP295-1</f>
        <v>1063.0718912177285</v>
      </c>
      <c r="AU296" s="8">
        <f t="shared" ref="AU296" si="2131">+AU295/AQ295-1</f>
        <v>808.55275380329465</v>
      </c>
      <c r="AV296" s="8">
        <f t="shared" ref="AV296" si="2132">+AV295/AR295-1</f>
        <v>0.92356063883940664</v>
      </c>
      <c r="AW296" s="8">
        <f t="shared" ref="AW296" si="2133">+AW295/AS295-1</f>
        <v>8.4377166217754596E-2</v>
      </c>
      <c r="AX296" s="8">
        <f t="shared" ref="AX296" si="2134">+AX295/AT295-1</f>
        <v>2.7266662158691224E-2</v>
      </c>
      <c r="AY296" s="8">
        <f t="shared" ref="AY296" si="2135">+AY295/AU295-1</f>
        <v>-1.2737431119923315E-2</v>
      </c>
      <c r="AZ296" s="8">
        <f t="shared" ref="AZ296" si="2136">+AZ295/AV295-1</f>
        <v>-1.9442519106647627E-2</v>
      </c>
      <c r="BA296" s="8">
        <f t="shared" ref="BA296" si="2137">+BA295/AW295-1</f>
        <v>-4.2198991033473132E-2</v>
      </c>
      <c r="BB296" s="8">
        <f t="shared" ref="BB296" si="2138">+BB295/AX295-1</f>
        <v>-5.7526689237617168E-2</v>
      </c>
      <c r="BC296" s="8">
        <f t="shared" ref="BC296" si="2139">+BC295/AY295-1</f>
        <v>-1.1099827854034738E-2</v>
      </c>
      <c r="BD296" s="8">
        <f t="shared" ref="BD296" si="2140">+BD295/AZ295-1</f>
        <v>3.0756712643893236E-2</v>
      </c>
      <c r="BE296" s="8">
        <f t="shared" ref="BE296" si="2141">+BE295/BA295-1</f>
        <v>4.6407091096890341E-2</v>
      </c>
      <c r="BF296" s="8">
        <f t="shared" ref="BF296" si="2142">+BF295/BB295-1</f>
        <v>4.9132520731871354E-2</v>
      </c>
      <c r="BG296" s="8">
        <f t="shared" ref="BG296" si="2143">+BG295/BC295-1</f>
        <v>2.4163660048923896E-2</v>
      </c>
      <c r="BH296" s="8">
        <f t="shared" ref="BH296" si="2144">+BH295/BD295-1</f>
        <v>1.1569328353617792E-3</v>
      </c>
      <c r="BI296" s="116">
        <f t="shared" ref="BI296" si="2145">+BI295/BE295-1</f>
        <v>1.5670685997303924E-2</v>
      </c>
      <c r="BJ296" s="116">
        <f t="shared" ref="BJ296" si="2146">+BJ295/BF295-1</f>
        <v>7.7632274217269703E-2</v>
      </c>
      <c r="BK296" s="116">
        <f t="shared" ref="BK296" si="2147">+BK295/BG295-1</f>
        <v>0.1022242673606073</v>
      </c>
      <c r="BL296" s="116">
        <f t="shared" ref="BL296" si="2148">+BL295/BH295-1</f>
        <v>7.7830202571241403E-2</v>
      </c>
      <c r="BM296" s="116">
        <f t="shared" ref="BM296" si="2149">+BM295/BI295-1</f>
        <v>5.3159652111562039E-2</v>
      </c>
      <c r="BN296" s="116">
        <f t="shared" ref="BN296" si="2150">+BN295/BJ295-1</f>
        <v>3.7772077296336581E-2</v>
      </c>
      <c r="BO296" s="116">
        <f t="shared" ref="BO296" si="2151">+BO295/BK295-1</f>
        <v>-3.0260405408026103E-2</v>
      </c>
      <c r="BP296" s="116">
        <f t="shared" ref="BP296" si="2152">+BP295/BL295-1</f>
        <v>-0.46545709344386488</v>
      </c>
      <c r="BQ296" s="116">
        <f t="shared" ref="BQ296" si="2153">+BQ295/BM295-1</f>
        <v>-0.47316844565657612</v>
      </c>
      <c r="BR296" s="116">
        <f t="shared" ref="BR296" si="2154">+BR295/BN295-1</f>
        <v>-7.9401090599090285E-2</v>
      </c>
      <c r="BS296" s="116">
        <f t="shared" ref="BS296" si="2155">+BS295/BO295-1</f>
        <v>-5.0258294244092006E-2</v>
      </c>
      <c r="BT296" s="116">
        <f t="shared" ref="BT296" si="2156">+BT295/BP295-1</f>
        <v>0.70104449873720953</v>
      </c>
      <c r="BU296" s="116">
        <f t="shared" ref="BU296" si="2157">+BU295/BQ295-1</f>
        <v>1.0501350012012907</v>
      </c>
      <c r="BV296" s="116">
        <f t="shared" ref="BV296" si="2158">+BV295/BR295-1</f>
        <v>0.25374018255793485</v>
      </c>
      <c r="BW296" s="116">
        <f t="shared" ref="BW296" si="2159">+BW295/BS295-1</f>
        <v>0.30670804967492704</v>
      </c>
      <c r="BX296" s="116">
        <f t="shared" ref="BX296" si="2160">+BX295/BT295-1</f>
        <v>0.44989247616325634</v>
      </c>
      <c r="BY296" s="116">
        <f t="shared" ref="BY296" si="2161">+BY295/BU295-1</f>
        <v>0.22360700208620155</v>
      </c>
      <c r="BZ296" s="116">
        <f t="shared" ref="BZ296" si="2162">+BZ295/BV295-1</f>
        <v>1.4377238613402898E-2</v>
      </c>
      <c r="CA296" s="116">
        <f t="shared" ref="CA296" si="2163">+CA295/BW295-1</f>
        <v>-1.982444788399973E-2</v>
      </c>
      <c r="CB296" s="116">
        <f t="shared" ref="CB296" si="2164">+CB295/BX295-1</f>
        <v>-4.3308838106971725E-2</v>
      </c>
      <c r="CC296" s="116">
        <f t="shared" ref="CC296" si="2165">+CC295/BY295-1</f>
        <v>-3.4488432357946075E-2</v>
      </c>
      <c r="CD296" s="116">
        <f t="shared" ref="CD296" si="2166">+CD295/BZ295-1</f>
        <v>5.1204340870018905E-2</v>
      </c>
      <c r="CE296" s="116">
        <f t="shared" ref="CE296" si="2167">+CE295/CA295-1</f>
        <v>8.2219923185253174E-2</v>
      </c>
      <c r="CF296" s="116">
        <f t="shared" ref="CF296" si="2168">+CF295/CB295-1</f>
        <v>5.0980124889233425E-2</v>
      </c>
      <c r="CG296" s="116">
        <f t="shared" ref="CG296" si="2169">+CG295/CC295-1</f>
        <v>6.740687904312237E-2</v>
      </c>
      <c r="CH296" s="116">
        <f t="shared" ref="CH296" si="2170">+CH295/CD295-1</f>
        <v>0.10186230603048974</v>
      </c>
      <c r="CI296" s="116">
        <f t="shared" ref="CI296" si="2171">+CI295/CE295-1</f>
        <v>0.1027998498212761</v>
      </c>
      <c r="CJ296" s="116">
        <f t="shared" ref="CJ296:CK296" si="2172">+CJ295/CF295-1</f>
        <v>0.15143723986003699</v>
      </c>
      <c r="CK296" s="116">
        <f t="shared" si="2172"/>
        <v>0.10749715871768761</v>
      </c>
      <c r="CL296" s="8">
        <f t="shared" ref="CL296" si="2173">+CL295/CH295-1</f>
        <v>2.7666753453404747E-2</v>
      </c>
      <c r="CM296" s="8">
        <f t="shared" ref="CM296" si="2174">+CM295/CI295-1</f>
        <v>2.6818527336012199E-2</v>
      </c>
      <c r="CN296" s="8">
        <f t="shared" ref="CN296" si="2175">+CN295/CJ295-1</f>
        <v>2.66961258109224E-2</v>
      </c>
      <c r="CO296" s="8">
        <f t="shared" ref="CO296" si="2176">+CO295/CK295-1</f>
        <v>3.274775327045143E-2</v>
      </c>
      <c r="CP296" s="8">
        <f t="shared" ref="CP296" si="2177">+CP295/CL295-1</f>
        <v>4.7012117634435358E-2</v>
      </c>
      <c r="CQ296" s="8"/>
      <c r="CR296" s="8"/>
      <c r="CS296" s="8"/>
      <c r="CT296" s="8">
        <v>2.7666753453404747E-2</v>
      </c>
      <c r="CU296" s="694"/>
      <c r="CV296" s="8"/>
      <c r="CW296" s="8"/>
      <c r="CX296" s="8"/>
      <c r="CY296" s="8"/>
      <c r="CZ296" s="8"/>
      <c r="DA296" s="8"/>
      <c r="DB296" s="7"/>
      <c r="DC296" s="7"/>
      <c r="DD296" s="7"/>
      <c r="DE296" s="7"/>
      <c r="DF296" s="7"/>
      <c r="DG296" s="7"/>
      <c r="DH296" s="7"/>
      <c r="DI296" s="7"/>
      <c r="DJ296" s="7"/>
      <c r="DK296" s="7"/>
      <c r="DL296" s="114"/>
      <c r="DM296" s="114"/>
      <c r="DN296" s="114"/>
      <c r="DO296" s="114"/>
      <c r="DP296" s="114"/>
      <c r="DQ296" s="114"/>
      <c r="DR296" s="114"/>
      <c r="DS296" s="168"/>
      <c r="DT296" s="168"/>
      <c r="DU296" s="168"/>
      <c r="DV296" s="168"/>
      <c r="DY296" s="168"/>
      <c r="DZ296" s="168"/>
    </row>
    <row r="297" spans="1:130">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116"/>
      <c r="BJ297" s="116"/>
      <c r="BK297" s="116"/>
      <c r="BL297" s="116"/>
      <c r="BM297" s="116"/>
      <c r="BN297" s="116"/>
      <c r="BO297" s="116"/>
      <c r="BP297" s="116"/>
      <c r="BQ297" s="116"/>
      <c r="BR297" s="116"/>
      <c r="BS297" s="116"/>
      <c r="BT297" s="116"/>
      <c r="BU297" s="116"/>
      <c r="BV297" s="116"/>
      <c r="BW297" s="116"/>
      <c r="BX297" s="1590"/>
      <c r="BY297" s="116"/>
      <c r="BZ297" s="116"/>
      <c r="CA297" s="116"/>
      <c r="CB297" s="116"/>
      <c r="CC297" s="116"/>
      <c r="CD297" s="116"/>
      <c r="CE297" s="116"/>
      <c r="CF297" s="116"/>
      <c r="CG297" s="116"/>
      <c r="CH297" s="116"/>
      <c r="CI297" s="116"/>
      <c r="CJ297" s="116"/>
      <c r="CK297" s="116"/>
      <c r="CL297" s="192"/>
      <c r="CM297" s="192"/>
      <c r="CN297" s="192"/>
      <c r="CO297" s="192"/>
      <c r="CP297" s="192"/>
      <c r="CQ297" s="192"/>
      <c r="CR297" s="192"/>
      <c r="CS297" s="192"/>
      <c r="CT297" s="192"/>
      <c r="CU297" s="694"/>
      <c r="CV297" s="8"/>
      <c r="CW297" s="8"/>
      <c r="CX297" s="8"/>
      <c r="CY297" s="8"/>
      <c r="CZ297" s="8"/>
      <c r="DA297" s="8"/>
      <c r="DB297" s="8"/>
      <c r="DC297" s="8"/>
      <c r="DD297" s="8"/>
      <c r="DE297" s="8"/>
      <c r="DF297" s="7"/>
      <c r="DG297" s="7"/>
      <c r="DH297" s="7"/>
      <c r="DI297" s="7"/>
      <c r="DJ297" s="7"/>
      <c r="DK297" s="7"/>
      <c r="DL297" s="114"/>
      <c r="DM297" s="114"/>
      <c r="DN297" s="114"/>
      <c r="DO297" s="114"/>
      <c r="DP297" s="114"/>
      <c r="DQ297" s="114"/>
      <c r="DR297" s="114"/>
      <c r="DS297" s="168"/>
      <c r="DT297" s="168"/>
      <c r="DU297" s="168"/>
      <c r="DV297" s="168"/>
      <c r="DY297" s="168"/>
      <c r="DZ297" s="168"/>
    </row>
    <row r="298" spans="1:130">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116"/>
      <c r="BJ298" s="116"/>
      <c r="BK298" s="116"/>
      <c r="BL298" s="116"/>
      <c r="BM298" s="116"/>
      <c r="BN298" s="116"/>
      <c r="BO298" s="116"/>
      <c r="BP298" s="116"/>
      <c r="BQ298" s="116"/>
      <c r="BR298" s="116"/>
      <c r="BS298" s="116"/>
      <c r="BT298" s="116"/>
      <c r="BU298" s="116"/>
      <c r="BV298" s="116"/>
      <c r="BW298" s="116"/>
      <c r="BX298" s="1590"/>
      <c r="BY298" s="116"/>
      <c r="BZ298" s="116"/>
      <c r="CA298" s="116"/>
      <c r="CB298" s="116"/>
      <c r="CC298" s="116"/>
      <c r="CD298" s="116"/>
      <c r="CE298" s="116"/>
      <c r="CF298" s="116"/>
      <c r="CG298" s="116"/>
      <c r="CH298" s="116"/>
      <c r="CI298" s="116"/>
      <c r="CJ298" s="116"/>
      <c r="CK298" s="116"/>
      <c r="CL298" s="192"/>
      <c r="CM298" s="192"/>
      <c r="CN298" s="192"/>
      <c r="CO298" s="192"/>
      <c r="CP298" s="192"/>
      <c r="CQ298" s="192"/>
      <c r="CR298" s="192"/>
      <c r="CS298" s="192"/>
      <c r="CT298" s="192"/>
      <c r="CU298" s="694"/>
      <c r="CV298" s="8"/>
      <c r="CW298" s="8"/>
      <c r="CX298" s="8"/>
      <c r="CY298" s="8"/>
      <c r="CZ298" s="8"/>
      <c r="DA298" s="8"/>
      <c r="DB298" s="8"/>
      <c r="DC298" s="8"/>
      <c r="DD298" s="8"/>
      <c r="DE298" s="8"/>
      <c r="DF298" s="7"/>
      <c r="DG298" s="7"/>
      <c r="DH298" s="7"/>
      <c r="DI298" s="7"/>
      <c r="DJ298" s="7"/>
      <c r="DK298" s="7"/>
      <c r="DL298" s="114"/>
      <c r="DM298" s="114"/>
      <c r="DN298" s="114"/>
      <c r="DO298" s="114"/>
      <c r="DP298" s="114"/>
      <c r="DQ298" s="114"/>
      <c r="DR298" s="114"/>
      <c r="DS298" s="168"/>
      <c r="DT298" s="168"/>
      <c r="DU298" s="168"/>
      <c r="DV298" s="168"/>
      <c r="DY298" s="168"/>
      <c r="DZ298" s="168"/>
    </row>
    <row r="299" spans="1:130" ht="15.75" thickBo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116"/>
      <c r="BJ299" s="116"/>
      <c r="BK299" s="116"/>
      <c r="BL299" s="116"/>
      <c r="BM299" s="116"/>
      <c r="BN299" s="116"/>
      <c r="BO299" s="116"/>
      <c r="BP299" s="116"/>
      <c r="BQ299" s="116"/>
      <c r="BR299" s="116"/>
      <c r="BS299" s="116"/>
      <c r="BT299" s="116"/>
      <c r="BU299" s="116"/>
      <c r="BV299" s="116"/>
      <c r="BW299" s="116"/>
      <c r="BX299" s="1590"/>
      <c r="BY299" s="116"/>
      <c r="BZ299" s="116"/>
      <c r="CA299" s="116"/>
      <c r="CB299" s="116"/>
      <c r="CC299" s="116"/>
      <c r="CD299" s="116"/>
      <c r="CE299" s="116"/>
      <c r="CF299" s="116"/>
      <c r="CG299" s="116"/>
      <c r="CH299" s="116"/>
      <c r="CI299" s="116"/>
      <c r="CJ299" s="116"/>
      <c r="CK299" s="116"/>
      <c r="CL299" s="192"/>
      <c r="CM299" s="192"/>
      <c r="CN299" s="192"/>
      <c r="CO299" s="192"/>
      <c r="CP299" s="192"/>
      <c r="CQ299" s="192"/>
      <c r="CR299" s="192"/>
      <c r="CS299" s="192"/>
      <c r="CT299" s="192"/>
      <c r="CU299" s="694"/>
      <c r="CV299" s="8"/>
      <c r="CW299" s="8"/>
      <c r="CX299" s="8"/>
      <c r="CY299" s="8"/>
      <c r="CZ299" s="8"/>
      <c r="DA299" s="8"/>
      <c r="DB299" s="8"/>
      <c r="DC299" s="8"/>
      <c r="DD299" s="8"/>
      <c r="DE299" s="8"/>
      <c r="DF299" s="7"/>
      <c r="DG299" s="7"/>
      <c r="DH299" s="7"/>
      <c r="DI299" s="7"/>
      <c r="DJ299" s="7"/>
      <c r="DK299" s="7"/>
      <c r="DL299" s="114"/>
      <c r="DM299" s="114"/>
      <c r="DN299" s="114"/>
      <c r="DO299" s="114"/>
      <c r="DP299" s="114"/>
      <c r="DQ299" s="114"/>
      <c r="DR299" s="114"/>
      <c r="DS299" s="168"/>
      <c r="DT299" s="168"/>
      <c r="DU299" s="168"/>
      <c r="DV299" s="168"/>
      <c r="DY299" s="168"/>
      <c r="DZ299" s="168"/>
    </row>
    <row r="300" spans="1:130" s="628" customFormat="1" ht="15.75" thickBot="1">
      <c r="A300" s="621" t="s">
        <v>291</v>
      </c>
      <c r="B300" s="622"/>
      <c r="C300" s="623">
        <v>0.14000000000000001</v>
      </c>
      <c r="D300" s="623">
        <v>0.11700000000000001</v>
      </c>
      <c r="E300" s="623">
        <v>8.4000000000000005E-2</v>
      </c>
      <c r="F300" s="623">
        <v>8.1000000000000003E-2</v>
      </c>
      <c r="G300" s="623">
        <v>7.2999999999999995E-2</v>
      </c>
      <c r="H300" s="623">
        <v>0.11700000000000001</v>
      </c>
      <c r="I300" s="623">
        <v>0</v>
      </c>
      <c r="J300" s="623">
        <v>0.185</v>
      </c>
      <c r="K300" s="623">
        <v>0.22</v>
      </c>
      <c r="L300" s="623">
        <v>0.20599999999999999</v>
      </c>
      <c r="M300" s="623">
        <v>0.16300000000000001</v>
      </c>
      <c r="N300" s="623">
        <v>0.11700000000000001</v>
      </c>
      <c r="O300" s="623">
        <v>8.7999999999999995E-2</v>
      </c>
      <c r="P300" s="623">
        <v>9.6000000000000002E-2</v>
      </c>
      <c r="Q300" s="623">
        <v>9.2999999999999999E-2</v>
      </c>
      <c r="R300" s="623">
        <v>7.0999999999999994E-2</v>
      </c>
      <c r="S300" s="623">
        <v>0.115</v>
      </c>
      <c r="T300" s="623">
        <v>5.3999999999999999E-2</v>
      </c>
      <c r="U300" s="623">
        <v>0.05</v>
      </c>
      <c r="V300" s="623">
        <v>-5.3999999999999999E-2</v>
      </c>
      <c r="W300" s="623">
        <v>-0.12</v>
      </c>
      <c r="X300" s="623">
        <v>2.1000000000000001E-2</v>
      </c>
      <c r="Y300" s="623">
        <v>1.2999999999999999E-2</v>
      </c>
      <c r="Z300" s="623">
        <v>9.5000000000000001E-2</v>
      </c>
      <c r="AA300" s="623">
        <v>0.151</v>
      </c>
      <c r="AB300" s="623">
        <v>7.3999999999999996E-2</v>
      </c>
      <c r="AC300" s="623">
        <v>0.105</v>
      </c>
      <c r="AD300" s="623">
        <v>0.1</v>
      </c>
      <c r="AE300" s="623">
        <v>0.112</v>
      </c>
      <c r="AF300" s="623">
        <v>9.8000000000000004E-2</v>
      </c>
      <c r="AG300" s="623">
        <v>3.7999999999999999E-2</v>
      </c>
      <c r="AH300" s="623">
        <v>5.2999999999999999E-2</v>
      </c>
      <c r="AI300" s="623">
        <v>4.8000000000000001E-2</v>
      </c>
      <c r="AJ300" s="623">
        <v>3.4000000000000002E-2</v>
      </c>
      <c r="AK300" s="623">
        <v>0.13200000000000001</v>
      </c>
      <c r="AL300" s="623">
        <v>0.124</v>
      </c>
      <c r="AM300" s="623">
        <v>9.4E-2</v>
      </c>
      <c r="AN300" s="623">
        <v>3.6999999999999998E-2</v>
      </c>
      <c r="AO300" s="623">
        <v>5.8000000000000003E-2</v>
      </c>
      <c r="AP300" s="623">
        <v>5.5E-2</v>
      </c>
      <c r="AQ300" s="623">
        <v>5.3999999999999999E-2</v>
      </c>
      <c r="AR300" s="623">
        <v>0.1</v>
      </c>
      <c r="AS300" s="623">
        <v>7.4999999999999997E-2</v>
      </c>
      <c r="AT300" s="623">
        <v>0.17299999999999999</v>
      </c>
      <c r="AU300" s="623">
        <v>0.16500000000000001</v>
      </c>
      <c r="AV300" s="623">
        <v>0.14499999999999999</v>
      </c>
      <c r="AW300" s="623">
        <v>0.126</v>
      </c>
      <c r="AX300" s="623">
        <v>4.4999999999999998E-2</v>
      </c>
      <c r="AY300" s="623">
        <v>1.2999999999999999E-2</v>
      </c>
      <c r="AZ300" s="623">
        <v>2.9000000000000001E-2</v>
      </c>
      <c r="BA300" s="623">
        <v>-3.9E-2</v>
      </c>
      <c r="BB300" s="623">
        <v>-8.0000000000000002E-3</v>
      </c>
      <c r="BC300" s="623">
        <v>9.0999999999999998E-2</v>
      </c>
      <c r="BD300" s="623">
        <v>6.4000000000000001E-2</v>
      </c>
      <c r="BE300" s="623">
        <v>0.13373011481447561</v>
      </c>
      <c r="BF300" s="623">
        <v>8.7064535020952905E-2</v>
      </c>
      <c r="BG300" s="623">
        <v>6.3E-2</v>
      </c>
      <c r="BH300" s="623">
        <v>2.5000000000000001E-2</v>
      </c>
      <c r="BI300" s="1289">
        <v>6.9000000000000006E-2</v>
      </c>
      <c r="BJ300" s="1289">
        <v>0.12017282199557133</v>
      </c>
      <c r="BK300" s="1289">
        <v>0.12736818547670059</v>
      </c>
      <c r="BL300" s="1289">
        <v>9.2557820572214178E-2</v>
      </c>
      <c r="BM300" s="1289">
        <v>8.3000000000000004E-2</v>
      </c>
      <c r="BN300" s="1289">
        <v>6.2E-2</v>
      </c>
      <c r="BO300" s="1289">
        <v>-0.107</v>
      </c>
      <c r="BP300" s="1289">
        <v>-0.74099999999999999</v>
      </c>
      <c r="BQ300" s="1289">
        <v>-0.17199999999999999</v>
      </c>
      <c r="BR300" s="1289">
        <v>-8.0000000000000002E-3</v>
      </c>
      <c r="BS300" s="1289">
        <v>-0.12660593648688634</v>
      </c>
      <c r="BT300" s="1289">
        <v>3.0856817837543122</v>
      </c>
      <c r="BU300" s="1289">
        <v>0.39465124152124442</v>
      </c>
      <c r="BV300" s="1289">
        <v>0.18903989644844299</v>
      </c>
      <c r="BW300" s="1289">
        <v>0.59499999999999997</v>
      </c>
      <c r="BX300" s="1289">
        <v>0.37928422196574174</v>
      </c>
      <c r="BY300" s="1289">
        <v>7.9406947933779115E-2</v>
      </c>
      <c r="BZ300" s="1289">
        <v>-2.528E-2</v>
      </c>
      <c r="CA300" s="1289">
        <v>7.53563546489322E-3</v>
      </c>
      <c r="CB300" s="1289">
        <v>-6.8083349619586842E-2</v>
      </c>
      <c r="CC300" s="1289">
        <v>6.0000000000000001E-3</v>
      </c>
      <c r="CD300" s="1289">
        <v>6.3460219525842909E-2</v>
      </c>
      <c r="CE300" s="1289">
        <v>7.1999999999999995E-2</v>
      </c>
      <c r="CF300" s="1289">
        <v>2.6984135259085607E-2</v>
      </c>
      <c r="CG300" s="1289">
        <v>0.115</v>
      </c>
      <c r="CH300" s="1289">
        <v>8.8973478984980314E-2</v>
      </c>
      <c r="CI300" s="1289">
        <v>0.10844194317479006</v>
      </c>
      <c r="CJ300" s="1289">
        <v>0.17290588982588551</v>
      </c>
      <c r="CK300" s="1289">
        <v>3.1E-2</v>
      </c>
      <c r="CL300" s="624">
        <v>0.01</v>
      </c>
      <c r="CM300" s="624">
        <v>0.03</v>
      </c>
      <c r="CN300" s="624">
        <v>0.02</v>
      </c>
      <c r="CO300" s="624">
        <v>0.04</v>
      </c>
      <c r="CP300" s="624">
        <v>0.04</v>
      </c>
      <c r="CQ300" s="624"/>
      <c r="CR300" s="624"/>
      <c r="CS300" s="624"/>
      <c r="CT300" s="624">
        <v>0.01</v>
      </c>
      <c r="CU300" s="1122"/>
      <c r="CV300" s="625">
        <v>0.104</v>
      </c>
      <c r="CW300" s="625">
        <v>0.14399999999999999</v>
      </c>
      <c r="CX300" s="625">
        <v>0.17299999999999999</v>
      </c>
      <c r="CY300" s="625">
        <v>8.5999999999999993E-2</v>
      </c>
      <c r="CZ300" s="626">
        <v>3.0970467314290873E-2</v>
      </c>
      <c r="DA300" s="626">
        <v>1.9657923913702191E-2</v>
      </c>
      <c r="DB300" s="626">
        <v>0.10374443280674216</v>
      </c>
      <c r="DC300" s="626">
        <v>7.2061826769005882E-2</v>
      </c>
      <c r="DD300" s="626">
        <v>9.0480664815161524E-2</v>
      </c>
      <c r="DE300" s="626">
        <v>5.8862533557048291E-2</v>
      </c>
      <c r="DF300" s="627">
        <f>SUMPRODUCT(AQ300:AT300,AQ278:AT278)/SUM(AQ278:AT278)</f>
        <v>0.11259132705939483</v>
      </c>
      <c r="DG300" s="627" t="s">
        <v>292</v>
      </c>
      <c r="DH300" s="627">
        <f>SUMPRODUCT(AY300:BB300,AY278:BB278)/SUM(AY278:BB278)</f>
        <v>-1.385566399353741E-3</v>
      </c>
      <c r="DI300" s="627">
        <f>SUMPRODUCT(BC300:BF300,BC278:BF278)/SUM(BC278:BF278)</f>
        <v>9.2915667139183644E-2</v>
      </c>
      <c r="DJ300" s="627">
        <f>SUMPRODUCT(BG300:BJ300,BG278:BJ278)/SUM(BG278:BJ278)</f>
        <v>7.5028473261124343E-2</v>
      </c>
      <c r="DK300" s="627">
        <f>SUMPRODUCT(BK300:BN300,BK278:BN278)/SUM(BK278:BN278)</f>
        <v>8.6597379154041615E-2</v>
      </c>
      <c r="DL300" s="627">
        <f>SUMPRODUCT(BO300:BR300,BL278:BO278)/SUM(BL278:BO278)</f>
        <v>-0.25731185360759279</v>
      </c>
      <c r="DM300" s="627">
        <f>SUMPRODUCT(BS300:BV300,BS278:BV278)/SUM(BS278:BV278)</f>
        <v>0.88516411481651103</v>
      </c>
      <c r="DN300" s="1171">
        <f>SUMPRODUCT(BW300:BZ300,BW278:BZ278)/SUM(BW278:BZ278)</f>
        <v>0.22928408813841081</v>
      </c>
      <c r="DO300" s="1171">
        <f>SUMPRODUCT(CA300:CD300,CA278:CD278)/SUM(CA278:CD278)</f>
        <v>5.8411664103884845E-3</v>
      </c>
      <c r="DP300" s="1171">
        <f>SUMPRODUCT(CE300:CH300,CE278:CH278)/SUM(CE278:CH278)</f>
        <v>7.6655153198423712E-2</v>
      </c>
      <c r="DQ300" s="1171">
        <f>SUMPRODUCT(CI300:CL300,CI278:CL278)/SUM(CI278:CL278)</f>
        <v>7.7020535603743834E-2</v>
      </c>
      <c r="DR300" s="1171">
        <f>SUMPRODUCT(CM300:CP300,CM278:CP278)/SUM(CM278:CP278)</f>
        <v>3.2841153346644274E-2</v>
      </c>
      <c r="DS300" s="771">
        <f t="shared" ref="DS300:DV300" si="2178">+DS301+DS2</f>
        <v>5.7500000000000002E-2</v>
      </c>
      <c r="DT300" s="771">
        <f t="shared" si="2178"/>
        <v>4.9999999999999996E-2</v>
      </c>
      <c r="DU300" s="771">
        <f t="shared" si="2178"/>
        <v>4.9999999999999996E-2</v>
      </c>
      <c r="DV300" s="771">
        <f t="shared" si="2178"/>
        <v>4.9999999999999996E-2</v>
      </c>
      <c r="DY300" s="771">
        <v>5.6799600990062864E-2</v>
      </c>
      <c r="DZ300" s="771">
        <v>5.7500000000000002E-2</v>
      </c>
    </row>
    <row r="301" spans="1:130">
      <c r="A301" s="17" t="s">
        <v>293</v>
      </c>
      <c r="B301" s="17"/>
      <c r="C301" s="61">
        <v>6.6100000000000006E-2</v>
      </c>
      <c r="D301" s="61">
        <v>4.3099999999999999E-2</v>
      </c>
      <c r="E301" s="61">
        <v>1.0099999999999998E-2</v>
      </c>
      <c r="F301" s="61">
        <v>7.0999999999999952E-3</v>
      </c>
      <c r="G301" s="61">
        <v>-3.0000000000000859E-4</v>
      </c>
      <c r="H301" s="61">
        <v>4.623054221002057E-2</v>
      </c>
      <c r="I301" s="61">
        <v>-5.9088396015925596E-2</v>
      </c>
      <c r="J301" s="61">
        <v>0.12922339607434805</v>
      </c>
      <c r="K301" s="61">
        <v>0.16775485462132303</v>
      </c>
      <c r="L301" s="61">
        <v>0.16622891224877237</v>
      </c>
      <c r="M301" s="61">
        <v>0.12647185047471854</v>
      </c>
      <c r="N301" s="61">
        <v>8.5814839583796487E-2</v>
      </c>
      <c r="O301" s="61">
        <v>5.8583381036821487E-2</v>
      </c>
      <c r="P301" s="61">
        <v>5.9378781199351575E-2</v>
      </c>
      <c r="Q301" s="61">
        <v>5.1954781199351575E-2</v>
      </c>
      <c r="R301" s="61">
        <v>2.6999999999999996E-2</v>
      </c>
      <c r="S301" s="61">
        <v>6.8450313669083857E-2</v>
      </c>
      <c r="T301" s="61">
        <v>-5.2473469341689574E-3</v>
      </c>
      <c r="U301" s="61">
        <v>-1.104734693416895E-2</v>
      </c>
      <c r="V301" s="61">
        <v>-0.11164734693416895</v>
      </c>
      <c r="W301" s="61">
        <v>-0.17489766060325279</v>
      </c>
      <c r="X301" s="61">
        <v>-2.6200000000000005E-2</v>
      </c>
      <c r="Y301" s="61">
        <v>-3.0100000000000009E-2</v>
      </c>
      <c r="Z301" s="61">
        <v>5.2600000000000001E-2</v>
      </c>
      <c r="AA301" s="61">
        <v>0.10039999999999999</v>
      </c>
      <c r="AB301" s="61">
        <v>2.6599999999999992E-2</v>
      </c>
      <c r="AC301" s="61">
        <v>5.9199999999999996E-2</v>
      </c>
      <c r="AD301" s="61">
        <v>4.2100000000000005E-2</v>
      </c>
      <c r="AE301" s="61">
        <v>5.0299999999999997E-2</v>
      </c>
      <c r="AF301" s="61">
        <v>3.2299999999999995E-2</v>
      </c>
      <c r="AG301" s="61">
        <v>-3.3300000000000003E-2</v>
      </c>
      <c r="AH301" s="61">
        <v>-1.04E-2</v>
      </c>
      <c r="AI301" s="61">
        <v>-3.2464629200000886E-3</v>
      </c>
      <c r="AJ301" s="61">
        <v>-1.4077521352000029E-2</v>
      </c>
      <c r="AK301" s="61">
        <v>8.03568681569998E-2</v>
      </c>
      <c r="AL301" s="61">
        <v>6.6827178496999706E-2</v>
      </c>
      <c r="AM301" s="61">
        <v>2.9653178896999949E-2</v>
      </c>
      <c r="AN301" s="61">
        <v>-2.8360085581000151E-2</v>
      </c>
      <c r="AO301" s="61">
        <v>5.9535238999992163E-4</v>
      </c>
      <c r="AP301" s="61">
        <v>-2.9081411260000675E-3</v>
      </c>
      <c r="AQ301" s="61">
        <f t="shared" ref="AQ301:BG301" si="2179">AQ300-SUM(AN354:AQ354)</f>
        <v>-6.1876786060002173E-3</v>
      </c>
      <c r="AR301" s="61">
        <f t="shared" si="2179"/>
        <v>4.0256644303999826E-2</v>
      </c>
      <c r="AS301" s="61">
        <f t="shared" si="2179"/>
        <v>1.1066816823999931E-2</v>
      </c>
      <c r="AT301" s="61">
        <f t="shared" si="2179"/>
        <v>0.11279999999999998</v>
      </c>
      <c r="AU301" s="61">
        <f t="shared" si="2179"/>
        <v>0.11302482555875754</v>
      </c>
      <c r="AV301" s="61">
        <f t="shared" si="2179"/>
        <v>9.094965111751506E-2</v>
      </c>
      <c r="AW301" s="61">
        <f t="shared" si="2179"/>
        <v>6.8874476676272611E-2</v>
      </c>
      <c r="AX301" s="61">
        <f t="shared" si="2179"/>
        <v>-8.9006977649698643E-3</v>
      </c>
      <c r="AY301" s="61">
        <f t="shared" si="2179"/>
        <v>-5.3425523323727395E-2</v>
      </c>
      <c r="AZ301" s="61">
        <f t="shared" si="2179"/>
        <v>-4.1446745412485053E-2</v>
      </c>
      <c r="BA301" s="61">
        <f t="shared" si="2179"/>
        <v>-0.10640214927524255</v>
      </c>
      <c r="BB301" s="61">
        <f t="shared" si="2179"/>
        <v>-6.9344868873999904E-2</v>
      </c>
      <c r="BC301" s="61">
        <f t="shared" si="2179"/>
        <v>4.6024809776000125E-2</v>
      </c>
      <c r="BD301" s="61">
        <f t="shared" si="2179"/>
        <v>3.4327226288000057E-2</v>
      </c>
      <c r="BE301" s="61">
        <f t="shared" si="2179"/>
        <v>0.10857647211047561</v>
      </c>
      <c r="BF301" s="61">
        <f t="shared" si="2179"/>
        <v>5.7886174612952868E-2</v>
      </c>
      <c r="BG301" s="61">
        <f t="shared" si="2179"/>
        <v>3.6437182590000117E-2</v>
      </c>
      <c r="BH301" s="61">
        <f t="shared" ref="BH301:BV301" si="2180">BH300-SUM(BE354:BH354)</f>
        <v>-1.0608681391999573E-2</v>
      </c>
      <c r="BI301" s="1251">
        <f t="shared" si="2180"/>
        <v>3.1186925904000351E-2</v>
      </c>
      <c r="BJ301" s="1251">
        <f t="shared" si="2180"/>
        <v>8.9902359643571531E-2</v>
      </c>
      <c r="BK301" s="1251">
        <f t="shared" si="2180"/>
        <v>8.9112501476700606E-2</v>
      </c>
      <c r="BL301" s="1251">
        <f t="shared" si="2180"/>
        <v>5.8441980572214079E-2</v>
      </c>
      <c r="BM301" s="1251">
        <f t="shared" si="2180"/>
        <v>5.4400000000000004E-2</v>
      </c>
      <c r="BN301" s="1251">
        <f t="shared" si="2180"/>
        <v>1.9699999999999995E-2</v>
      </c>
      <c r="BO301" s="1251">
        <f t="shared" si="2180"/>
        <v>-0.13969999999999999</v>
      </c>
      <c r="BP301" s="1251">
        <f t="shared" si="2180"/>
        <v>-0.76229999999999998</v>
      </c>
      <c r="BQ301" s="1251">
        <f t="shared" si="2180"/>
        <v>-0.2031</v>
      </c>
      <c r="BR301" s="1251">
        <f t="shared" si="2180"/>
        <v>-5.2499999999999998E-2</v>
      </c>
      <c r="BS301" s="1251">
        <f t="shared" si="2180"/>
        <v>-0.18610593648688634</v>
      </c>
      <c r="BT301" s="1251">
        <f t="shared" si="2180"/>
        <v>3.0051817837543124</v>
      </c>
      <c r="BU301" s="1251">
        <f t="shared" si="2180"/>
        <v>0.29665124152124445</v>
      </c>
      <c r="BV301" s="1251">
        <f t="shared" si="2180"/>
        <v>9.2739896448442979E-2</v>
      </c>
      <c r="BW301" s="1251">
        <v>3.5000000000000003E-2</v>
      </c>
      <c r="BX301" s="1251">
        <v>3.5000000000000003E-2</v>
      </c>
      <c r="BY301" s="1251">
        <v>3.5000000000000003E-2</v>
      </c>
      <c r="BZ301" s="1251">
        <v>3.5000000000000003E-2</v>
      </c>
      <c r="CA301" s="1251">
        <v>3.5000000000000003E-2</v>
      </c>
      <c r="CB301" s="1251">
        <v>3.5000000000000003E-2</v>
      </c>
      <c r="CC301" s="1251">
        <v>3.5000000000000003E-2</v>
      </c>
      <c r="CD301" s="1251">
        <v>3.5000000000000003E-2</v>
      </c>
      <c r="CE301" s="1251">
        <v>3.5000000000000003E-2</v>
      </c>
      <c r="CF301" s="1251">
        <v>3.5000000000000003E-2</v>
      </c>
      <c r="CG301" s="1251">
        <v>3.5000000000000003E-2</v>
      </c>
      <c r="CH301" s="1251">
        <v>3.5000000000000003E-2</v>
      </c>
      <c r="CI301" s="1251">
        <v>3.5000000000000003E-2</v>
      </c>
      <c r="CJ301" s="1251">
        <v>3.5000000000000003E-2</v>
      </c>
      <c r="CK301" s="1251">
        <v>3.5000000000000003E-2</v>
      </c>
      <c r="CL301" s="1251">
        <v>3.5000000000000003E-2</v>
      </c>
      <c r="CM301" s="1251">
        <v>3.5000000000000003E-2</v>
      </c>
      <c r="CN301" s="1251">
        <v>3.5000000000000003E-2</v>
      </c>
      <c r="CO301" s="1251">
        <v>3.5000000000000003E-2</v>
      </c>
      <c r="CP301" s="1251">
        <v>3.5000000000000003E-2</v>
      </c>
      <c r="CQ301" s="1251"/>
      <c r="CR301" s="604"/>
      <c r="CS301" s="604"/>
      <c r="CT301" s="1251">
        <v>3.5000000000000003E-2</v>
      </c>
      <c r="CU301" s="693"/>
      <c r="CV301" s="61">
        <v>2.8031536752E-2</v>
      </c>
      <c r="CW301" s="61">
        <v>8.8223396074348037E-2</v>
      </c>
      <c r="CX301" s="61">
        <v>0.14181483958379645</v>
      </c>
      <c r="CY301" s="61">
        <v>4.1399999999999992E-2</v>
      </c>
      <c r="CZ301" s="61">
        <v>-2.7929532685709128E-2</v>
      </c>
      <c r="DA301" s="61">
        <v>-2.3442076086297808E-2</v>
      </c>
      <c r="DB301" s="61">
        <v>4.4644432806742157E-2</v>
      </c>
      <c r="DC301" s="61">
        <v>7.2618267690058858E-3</v>
      </c>
      <c r="DD301" s="61">
        <v>3.3307843312161231E-2</v>
      </c>
      <c r="DE301" s="61">
        <v>9.5439243104822324E-4</v>
      </c>
      <c r="DF301" s="61">
        <f t="shared" ref="DF301:DK301" si="2181">DF300-DF354</f>
        <v>4.8491327059394823E-2</v>
      </c>
      <c r="DG301" s="61" t="e">
        <f t="shared" si="2181"/>
        <v>#VALUE!</v>
      </c>
      <c r="DH301" s="61">
        <f t="shared" si="2181"/>
        <v>-6.4050578761829638E-2</v>
      </c>
      <c r="DI301" s="61">
        <f t="shared" si="2181"/>
        <v>6.3442168055724557E-2</v>
      </c>
      <c r="DJ301" s="61">
        <f t="shared" si="2181"/>
        <v>4.442664182143137E-2</v>
      </c>
      <c r="DK301" s="61">
        <f t="shared" si="2181"/>
        <v>4.369553168460158E-2</v>
      </c>
      <c r="DL301" s="1251">
        <f t="shared" ref="DL301:DQ301" si="2182">DL300-DL354</f>
        <v>-0.30222017977382476</v>
      </c>
      <c r="DM301" s="1251">
        <f t="shared" si="2182"/>
        <v>0.78539807590398336</v>
      </c>
      <c r="DN301" s="1251">
        <f t="shared" si="2182"/>
        <v>0.1715437443422749</v>
      </c>
      <c r="DO301" s="1251">
        <f t="shared" si="2182"/>
        <v>-4.1409105289067577E-2</v>
      </c>
      <c r="DP301" s="1251">
        <f t="shared" si="2182"/>
        <v>3.0229536072239396E-2</v>
      </c>
      <c r="DQ301" s="1251">
        <f t="shared" si="2182"/>
        <v>2.9273913359752768E-2</v>
      </c>
      <c r="DR301" s="1251">
        <f t="shared" ref="DR301" si="2183">DR300-DR354</f>
        <v>-8.7704582008555423E-3</v>
      </c>
      <c r="DS301" s="604">
        <v>0.01</v>
      </c>
      <c r="DT301" s="604">
        <v>5.0000000000000001E-3</v>
      </c>
      <c r="DU301" s="604">
        <v>5.0000000000000001E-3</v>
      </c>
      <c r="DV301" s="604">
        <v>5.0000000000000001E-3</v>
      </c>
      <c r="DY301" s="604">
        <v>0.01</v>
      </c>
      <c r="DZ301" s="604">
        <v>0.01</v>
      </c>
    </row>
    <row r="302" spans="1:130">
      <c r="A302" s="45"/>
      <c r="B302" s="45"/>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f>+AVERAGE($AQ$301:$BN$301)</f>
        <v>3.1943820950251493E-2</v>
      </c>
      <c r="AR302" s="83">
        <f t="shared" ref="AR302:BV302" si="2184">+AVERAGE($AQ$301:$BN$301)</f>
        <v>3.1943820950251493E-2</v>
      </c>
      <c r="AS302" s="83">
        <f t="shared" si="2184"/>
        <v>3.1943820950251493E-2</v>
      </c>
      <c r="AT302" s="83">
        <f t="shared" si="2184"/>
        <v>3.1943820950251493E-2</v>
      </c>
      <c r="AU302" s="83">
        <f t="shared" si="2184"/>
        <v>3.1943820950251493E-2</v>
      </c>
      <c r="AV302" s="83">
        <f t="shared" si="2184"/>
        <v>3.1943820950251493E-2</v>
      </c>
      <c r="AW302" s="83">
        <f t="shared" si="2184"/>
        <v>3.1943820950251493E-2</v>
      </c>
      <c r="AX302" s="83">
        <f t="shared" si="2184"/>
        <v>3.1943820950251493E-2</v>
      </c>
      <c r="AY302" s="83">
        <f t="shared" si="2184"/>
        <v>3.1943820950251493E-2</v>
      </c>
      <c r="AZ302" s="83">
        <f t="shared" si="2184"/>
        <v>3.1943820950251493E-2</v>
      </c>
      <c r="BA302" s="83">
        <f t="shared" si="2184"/>
        <v>3.1943820950251493E-2</v>
      </c>
      <c r="BB302" s="83">
        <f t="shared" si="2184"/>
        <v>3.1943820950251493E-2</v>
      </c>
      <c r="BC302" s="83">
        <f t="shared" si="2184"/>
        <v>3.1943820950251493E-2</v>
      </c>
      <c r="BD302" s="83">
        <f t="shared" si="2184"/>
        <v>3.1943820950251493E-2</v>
      </c>
      <c r="BE302" s="83">
        <f t="shared" si="2184"/>
        <v>3.1943820950251493E-2</v>
      </c>
      <c r="BF302" s="83">
        <f t="shared" si="2184"/>
        <v>3.1943820950251493E-2</v>
      </c>
      <c r="BG302" s="83">
        <f t="shared" si="2184"/>
        <v>3.1943820950251493E-2</v>
      </c>
      <c r="BH302" s="83">
        <f t="shared" si="2184"/>
        <v>3.1943820950251493E-2</v>
      </c>
      <c r="BI302" s="683">
        <f t="shared" si="2184"/>
        <v>3.1943820950251493E-2</v>
      </c>
      <c r="BJ302" s="683">
        <f t="shared" si="2184"/>
        <v>3.1943820950251493E-2</v>
      </c>
      <c r="BK302" s="683">
        <f t="shared" si="2184"/>
        <v>3.1943820950251493E-2</v>
      </c>
      <c r="BL302" s="683">
        <f t="shared" si="2184"/>
        <v>3.1943820950251493E-2</v>
      </c>
      <c r="BM302" s="683">
        <f t="shared" si="2184"/>
        <v>3.1943820950251493E-2</v>
      </c>
      <c r="BN302" s="683">
        <f t="shared" si="2184"/>
        <v>3.1943820950251493E-2</v>
      </c>
      <c r="BO302" s="683">
        <f t="shared" si="2184"/>
        <v>3.1943820950251493E-2</v>
      </c>
      <c r="BP302" s="683">
        <f t="shared" si="2184"/>
        <v>3.1943820950251493E-2</v>
      </c>
      <c r="BQ302" s="683">
        <f t="shared" si="2184"/>
        <v>3.1943820950251493E-2</v>
      </c>
      <c r="BR302" s="683">
        <f t="shared" si="2184"/>
        <v>3.1943820950251493E-2</v>
      </c>
      <c r="BS302" s="683">
        <f t="shared" si="2184"/>
        <v>3.1943820950251493E-2</v>
      </c>
      <c r="BT302" s="683">
        <f t="shared" si="2184"/>
        <v>3.1943820950251493E-2</v>
      </c>
      <c r="BU302" s="683">
        <f t="shared" si="2184"/>
        <v>3.1943820950251493E-2</v>
      </c>
      <c r="BV302" s="683">
        <f t="shared" si="2184"/>
        <v>3.1943820950251493E-2</v>
      </c>
      <c r="BW302" s="683">
        <f t="shared" ref="BW302:CF302" si="2185">+AVERAGE(AR301:BO301)</f>
        <v>2.6380807558834835E-2</v>
      </c>
      <c r="BX302" s="683">
        <f t="shared" si="2185"/>
        <v>-7.059052620498496E-3</v>
      </c>
      <c r="BY302" s="683">
        <f t="shared" si="2185"/>
        <v>-1.5982669988165155E-2</v>
      </c>
      <c r="BZ302" s="683">
        <f t="shared" si="2185"/>
        <v>-2.2870169988165157E-2</v>
      </c>
      <c r="CA302" s="683">
        <f t="shared" si="2185"/>
        <v>-3.5333951740066989E-2</v>
      </c>
      <c r="CB302" s="683">
        <f t="shared" si="2185"/>
        <v>8.6092387119799565E-2</v>
      </c>
      <c r="CC302" s="683">
        <f t="shared" si="2185"/>
        <v>9.5583085655006728E-2</v>
      </c>
      <c r="CD302" s="683">
        <f t="shared" si="2185"/>
        <v>9.9818110413898931E-2</v>
      </c>
      <c r="CE302" s="683">
        <f t="shared" si="2185"/>
        <v>0.10350250721905425</v>
      </c>
      <c r="CF302" s="683">
        <f t="shared" si="2185"/>
        <v>0.1066877882779078</v>
      </c>
      <c r="CG302" s="683">
        <f t="shared" ref="CG302:CH302" si="2186">+AVERAGE(BB301:BY301)</f>
        <v>0.11257954449770957</v>
      </c>
      <c r="CH302" s="683">
        <f t="shared" si="2186"/>
        <v>0.11692724736745957</v>
      </c>
      <c r="CI302" s="683">
        <f t="shared" ref="CI302:CJ302" si="2187">+AVERAGE(BD301:CA301)</f>
        <v>0.11646788029345957</v>
      </c>
      <c r="CJ302" s="683">
        <f t="shared" si="2187"/>
        <v>0.11649591253145958</v>
      </c>
      <c r="CK302" s="683">
        <f t="shared" ref="CK302" si="2188">+AVERAGE(BF301:CC301)</f>
        <v>0.11343022619352311</v>
      </c>
      <c r="CL302" s="683">
        <f t="shared" ref="CL302" si="2189">+AVERAGE(BG301:CD301)</f>
        <v>0.11247663558465008</v>
      </c>
      <c r="CM302" s="683">
        <f t="shared" ref="CM302" si="2190">+AVERAGE(BH301:CE301)</f>
        <v>0.11241675297673341</v>
      </c>
      <c r="CN302" s="683">
        <f t="shared" ref="CN302" si="2191">+AVERAGE(BI301:CF301)</f>
        <v>0.11431711470140006</v>
      </c>
      <c r="CO302" s="683">
        <f t="shared" ref="CO302" si="2192">+AVERAGE(BJ301:CG301)</f>
        <v>0.1144759927887334</v>
      </c>
      <c r="CP302" s="683">
        <f t="shared" ref="CP302" si="2193">+AVERAGE(BK301:CH301)</f>
        <v>0.11218839447025125</v>
      </c>
      <c r="CQ302" s="683"/>
      <c r="CR302" s="604"/>
      <c r="CS302" s="604"/>
      <c r="CT302" s="683">
        <v>0.11247663558465008</v>
      </c>
      <c r="CU302" s="717"/>
      <c r="CV302" s="83"/>
      <c r="CW302" s="83"/>
      <c r="CX302" s="83"/>
      <c r="CY302" s="83"/>
      <c r="CZ302" s="83"/>
      <c r="DA302" s="83"/>
      <c r="DB302" s="83"/>
      <c r="DC302" s="83"/>
      <c r="DD302" s="83"/>
      <c r="DE302" s="83"/>
      <c r="DF302" s="83"/>
      <c r="DG302" s="83"/>
      <c r="DH302" s="83"/>
      <c r="DI302" s="83"/>
      <c r="DJ302" s="83"/>
      <c r="DK302" s="83"/>
      <c r="DL302" s="683"/>
      <c r="DM302" s="683"/>
      <c r="DN302" s="683"/>
      <c r="DO302" s="683"/>
      <c r="DP302" s="683"/>
      <c r="DQ302" s="683"/>
      <c r="DR302" s="683"/>
      <c r="DS302" s="369"/>
      <c r="DT302" s="369"/>
      <c r="DU302" s="369"/>
      <c r="DV302" s="369"/>
      <c r="DY302" s="369"/>
      <c r="DZ302" s="369"/>
    </row>
    <row r="303" spans="1:130">
      <c r="A303" s="45"/>
      <c r="B303" s="45"/>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c r="AA303" s="62"/>
      <c r="AB303" s="62"/>
      <c r="AC303" s="62"/>
      <c r="AD303" s="62"/>
      <c r="AE303" s="62"/>
      <c r="AF303" s="62"/>
      <c r="AG303" s="62"/>
      <c r="AH303" s="62"/>
      <c r="AI303" s="62"/>
      <c r="AJ303" s="62"/>
      <c r="AK303" s="62"/>
      <c r="AL303" s="62"/>
      <c r="AM303" s="62"/>
      <c r="AN303" s="62"/>
      <c r="AO303" s="62"/>
      <c r="AP303" s="62"/>
      <c r="AQ303" s="62"/>
      <c r="AR303" s="62"/>
      <c r="AS303" s="62"/>
      <c r="AT303" s="62"/>
      <c r="AU303" s="62"/>
      <c r="AV303" s="62"/>
      <c r="AW303" s="62"/>
      <c r="AX303" s="62"/>
      <c r="AY303" s="62"/>
      <c r="AZ303" s="62"/>
      <c r="BA303" s="62"/>
      <c r="BB303" s="62"/>
      <c r="BC303" s="62"/>
      <c r="BD303" s="62"/>
      <c r="BE303" s="62"/>
      <c r="BF303" s="62"/>
      <c r="BG303" s="62"/>
      <c r="BH303" s="62"/>
      <c r="BI303" s="1235"/>
      <c r="BJ303" s="1235"/>
      <c r="BK303" s="1235"/>
      <c r="BL303" s="1235"/>
      <c r="BM303" s="1235"/>
      <c r="BN303" s="1235"/>
      <c r="BO303" s="1235"/>
      <c r="BP303" s="1235"/>
      <c r="BQ303" s="1235"/>
      <c r="BR303" s="1235"/>
      <c r="BS303" s="1235"/>
      <c r="BT303" s="1235"/>
      <c r="BU303" s="1235"/>
      <c r="BV303" s="1235"/>
      <c r="BW303" s="1235"/>
      <c r="BX303" s="1235"/>
      <c r="BY303" s="1235"/>
      <c r="BZ303" s="1235"/>
      <c r="CA303" s="1235"/>
      <c r="CB303" s="1235"/>
      <c r="CC303" s="1235"/>
      <c r="CD303" s="1235"/>
      <c r="CE303" s="1235"/>
      <c r="CF303" s="1235"/>
      <c r="CG303" s="1235"/>
      <c r="CH303" s="1235"/>
      <c r="CI303" s="1235"/>
      <c r="CJ303" s="1235"/>
      <c r="CK303" s="1235"/>
      <c r="CL303" s="384"/>
      <c r="CM303" s="384"/>
      <c r="CN303" s="384"/>
      <c r="CO303" s="384"/>
      <c r="CP303" s="384"/>
      <c r="CQ303" s="384"/>
      <c r="CR303" s="604"/>
      <c r="CS303" s="604"/>
      <c r="CT303" s="384"/>
      <c r="CU303" s="717"/>
      <c r="CV303" s="62"/>
      <c r="CW303" s="62"/>
      <c r="CX303" s="62"/>
      <c r="CY303" s="62"/>
      <c r="CZ303" s="62"/>
      <c r="DA303" s="62"/>
      <c r="DB303" s="62"/>
      <c r="DC303" s="62"/>
      <c r="DD303" s="62"/>
      <c r="DE303" s="62"/>
      <c r="DF303" s="62"/>
      <c r="DG303" s="62"/>
      <c r="DH303" s="62"/>
      <c r="DI303" s="62"/>
      <c r="DJ303" s="62"/>
      <c r="DK303" s="62"/>
      <c r="DL303" s="1235"/>
      <c r="DM303" s="1235"/>
      <c r="DN303" s="1235"/>
      <c r="DO303" s="1235"/>
      <c r="DP303" s="1235"/>
      <c r="DQ303" s="1235"/>
      <c r="DR303" s="1235"/>
      <c r="DS303" s="384"/>
      <c r="DT303" s="384"/>
      <c r="DU303" s="384"/>
      <c r="DV303" s="384"/>
      <c r="DY303" s="384"/>
      <c r="DZ303" s="384"/>
    </row>
    <row r="304" spans="1:130">
      <c r="A304" s="45"/>
      <c r="B304" s="45"/>
      <c r="C304" s="63"/>
      <c r="D304" s="63"/>
      <c r="E304" s="63"/>
      <c r="F304" s="63"/>
      <c r="G304" s="83"/>
      <c r="H304" s="83"/>
      <c r="I304" s="83"/>
      <c r="J304" s="83"/>
      <c r="K304" s="83"/>
      <c r="L304" s="83"/>
      <c r="M304" s="83"/>
      <c r="N304" s="83"/>
      <c r="O304" s="83"/>
      <c r="P304" s="83"/>
      <c r="Q304" s="83"/>
      <c r="R304" s="83"/>
      <c r="S304" s="83"/>
      <c r="T304" s="83"/>
      <c r="U304" s="83"/>
      <c r="V304" s="83"/>
      <c r="W304" s="83"/>
      <c r="X304" s="83"/>
      <c r="Y304" s="83"/>
      <c r="Z304" s="83"/>
      <c r="AA304" s="63"/>
      <c r="AB304" s="63"/>
      <c r="AC304" s="63"/>
      <c r="AD304" s="63"/>
      <c r="AE304" s="63"/>
      <c r="AF304" s="63"/>
      <c r="AG304" s="63"/>
      <c r="AH304" s="63"/>
      <c r="AI304" s="63"/>
      <c r="AJ304" s="63"/>
      <c r="AK304" s="63"/>
      <c r="AL304" s="63"/>
      <c r="AM304" s="63"/>
      <c r="AN304" s="63"/>
      <c r="AO304" s="63"/>
      <c r="AP304" s="63"/>
      <c r="AQ304" s="63"/>
      <c r="AR304" s="63"/>
      <c r="AS304" s="63"/>
      <c r="AT304" s="63"/>
      <c r="AU304" s="63"/>
      <c r="AV304" s="63"/>
      <c r="AW304" s="63"/>
      <c r="AX304" s="63"/>
      <c r="AY304" s="63"/>
      <c r="AZ304" s="63"/>
      <c r="BA304" s="64"/>
      <c r="BB304" s="63"/>
      <c r="BC304" s="64"/>
      <c r="BD304" s="63"/>
      <c r="BE304" s="63"/>
      <c r="BF304" s="63"/>
      <c r="BG304" s="63"/>
      <c r="BH304" s="63"/>
      <c r="BI304" s="1227"/>
      <c r="BJ304" s="1227"/>
      <c r="BK304" s="1227"/>
      <c r="BL304" s="1227"/>
      <c r="BM304" s="1227"/>
      <c r="BN304" s="1227"/>
      <c r="BO304" s="1227"/>
      <c r="BP304" s="1227"/>
      <c r="BQ304" s="1227"/>
      <c r="BR304" s="1227"/>
      <c r="BS304" s="1227"/>
      <c r="BT304" s="1227"/>
      <c r="BU304" s="1227"/>
      <c r="BV304" s="1227"/>
      <c r="BW304" s="1227"/>
      <c r="BX304" s="1227"/>
      <c r="BY304" s="1227"/>
      <c r="BZ304" s="1227"/>
      <c r="CA304" s="1227"/>
      <c r="CB304" s="1227"/>
      <c r="CC304" s="1227"/>
      <c r="CD304" s="1227"/>
      <c r="CE304" s="1227"/>
      <c r="CF304" s="1227"/>
      <c r="CG304" s="1227"/>
      <c r="CH304" s="1227"/>
      <c r="CI304" s="1227"/>
      <c r="CJ304" s="1227"/>
      <c r="CK304" s="1227"/>
      <c r="CL304" s="367"/>
      <c r="CM304" s="367"/>
      <c r="CN304" s="367"/>
      <c r="CO304" s="367"/>
      <c r="CP304" s="367"/>
      <c r="CQ304" s="367"/>
      <c r="CR304" s="604"/>
      <c r="CS304" s="604"/>
      <c r="CT304" s="367"/>
      <c r="CU304" s="716"/>
      <c r="CV304" s="83"/>
      <c r="CW304" s="83"/>
      <c r="CX304" s="83"/>
      <c r="CY304" s="83"/>
      <c r="CZ304" s="83"/>
      <c r="DA304" s="83"/>
      <c r="DB304" s="45"/>
      <c r="DC304" s="45"/>
      <c r="DD304" s="45"/>
      <c r="DE304" s="45"/>
      <c r="DF304" s="45"/>
      <c r="DG304" s="45"/>
      <c r="DH304" s="45"/>
      <c r="DI304" s="45"/>
      <c r="DJ304" s="45"/>
      <c r="DK304" s="45"/>
      <c r="DL304" s="1246"/>
      <c r="DM304" s="1246"/>
      <c r="DN304" s="1246"/>
      <c r="DO304" s="1246"/>
      <c r="DP304" s="1246"/>
      <c r="DQ304" s="1246"/>
      <c r="DR304" s="1246"/>
      <c r="DS304" s="400"/>
      <c r="DT304" s="400"/>
      <c r="DU304" s="400"/>
      <c r="DV304" s="400"/>
      <c r="DY304" s="400"/>
      <c r="DZ304" s="400"/>
    </row>
    <row r="305" spans="1:130">
      <c r="A305" s="40" t="s">
        <v>294</v>
      </c>
      <c r="B305" s="40"/>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c r="AG305" s="63"/>
      <c r="AH305" s="63"/>
      <c r="AI305" s="63"/>
      <c r="AJ305" s="63"/>
      <c r="AK305" s="63"/>
      <c r="AL305" s="63"/>
      <c r="AM305" s="63"/>
      <c r="AN305" s="63"/>
      <c r="AO305" s="63"/>
      <c r="AP305" s="63"/>
      <c r="AQ305" s="63"/>
      <c r="AR305" s="63"/>
      <c r="AS305" s="63"/>
      <c r="AT305" s="63"/>
      <c r="AU305" s="63"/>
      <c r="AV305" s="63"/>
      <c r="AW305" s="63"/>
      <c r="AX305" s="63"/>
      <c r="AY305" s="63"/>
      <c r="AZ305" s="63"/>
      <c r="BA305" s="64"/>
      <c r="BB305" s="63"/>
      <c r="BC305" s="64"/>
      <c r="BD305" s="63"/>
      <c r="BE305" s="63"/>
      <c r="BF305" s="63"/>
      <c r="BG305" s="63"/>
      <c r="BH305" s="63"/>
      <c r="BI305" s="1227"/>
      <c r="BJ305" s="1227"/>
      <c r="BK305" s="1227"/>
      <c r="BL305" s="1227"/>
      <c r="BM305" s="1227"/>
      <c r="BN305" s="1227"/>
      <c r="BO305" s="1227"/>
      <c r="BP305" s="1227"/>
      <c r="BQ305" s="1227"/>
      <c r="BR305" s="1227"/>
      <c r="BS305" s="1227"/>
      <c r="BT305" s="1227"/>
      <c r="BU305" s="1227"/>
      <c r="BV305" s="1227"/>
      <c r="BW305" s="1227"/>
      <c r="BX305" s="1227"/>
      <c r="BY305" s="1227"/>
      <c r="BZ305" s="1227"/>
      <c r="CA305" s="1227"/>
      <c r="CB305" s="1227"/>
      <c r="CC305" s="1227"/>
      <c r="CD305" s="1227"/>
      <c r="CE305" s="1227"/>
      <c r="CF305" s="1227"/>
      <c r="CG305" s="1227"/>
      <c r="CH305" s="1227"/>
      <c r="CI305" s="1227"/>
      <c r="CJ305" s="1227"/>
      <c r="CK305" s="1227"/>
      <c r="CL305" s="367"/>
      <c r="CM305" s="367"/>
      <c r="CN305" s="367"/>
      <c r="CO305" s="367"/>
      <c r="CP305" s="367"/>
      <c r="CQ305" s="367"/>
      <c r="CR305" s="604"/>
      <c r="CS305" s="604"/>
      <c r="CT305" s="367"/>
      <c r="CU305" s="1102"/>
      <c r="CV305" s="63"/>
      <c r="CW305" s="63"/>
      <c r="CX305" s="63"/>
      <c r="CY305" s="63"/>
      <c r="CZ305" s="63"/>
      <c r="DA305" s="63"/>
      <c r="DB305" s="63"/>
      <c r="DC305" s="63"/>
      <c r="DD305" s="63"/>
      <c r="DE305" s="63"/>
      <c r="DF305" s="63"/>
      <c r="DG305" s="63"/>
      <c r="DH305" s="63"/>
      <c r="DI305" s="63"/>
      <c r="DJ305" s="63"/>
      <c r="DK305" s="63"/>
      <c r="DL305" s="1227"/>
      <c r="DM305" s="1227"/>
      <c r="DN305" s="1227"/>
      <c r="DO305" s="1227"/>
      <c r="DP305" s="1227"/>
      <c r="DQ305" s="1227"/>
      <c r="DR305" s="1227"/>
      <c r="DS305" s="367"/>
      <c r="DT305" s="367"/>
      <c r="DU305" s="367"/>
      <c r="DV305" s="367"/>
      <c r="DY305" s="367"/>
      <c r="DZ305" s="367"/>
    </row>
    <row r="306" spans="1:130">
      <c r="A306" s="44" t="s">
        <v>295</v>
      </c>
      <c r="B306" s="82">
        <v>58</v>
      </c>
      <c r="C306" s="82">
        <v>59</v>
      </c>
      <c r="D306" s="82">
        <v>60</v>
      </c>
      <c r="E306" s="82">
        <v>61</v>
      </c>
      <c r="F306" s="82">
        <v>62</v>
      </c>
      <c r="G306" s="82">
        <v>62</v>
      </c>
      <c r="H306" s="82">
        <v>64</v>
      </c>
      <c r="I306" s="82">
        <v>64</v>
      </c>
      <c r="J306" s="82">
        <v>66</v>
      </c>
      <c r="K306" s="82">
        <v>66</v>
      </c>
      <c r="L306" s="82">
        <v>68</v>
      </c>
      <c r="M306" s="82">
        <v>70</v>
      </c>
      <c r="N306" s="82">
        <v>75</v>
      </c>
      <c r="O306" s="82">
        <v>75</v>
      </c>
      <c r="P306" s="82">
        <v>78</v>
      </c>
      <c r="Q306" s="82">
        <v>79</v>
      </c>
      <c r="R306" s="82">
        <v>84</v>
      </c>
      <c r="S306" s="82">
        <v>85</v>
      </c>
      <c r="T306" s="82">
        <v>90</v>
      </c>
      <c r="U306" s="82">
        <v>92</v>
      </c>
      <c r="V306" s="82">
        <v>96</v>
      </c>
      <c r="W306" s="82">
        <v>96</v>
      </c>
      <c r="X306" s="63">
        <v>99</v>
      </c>
      <c r="Y306" s="63">
        <v>100</v>
      </c>
      <c r="Z306" s="63">
        <v>103</v>
      </c>
      <c r="AA306" s="63">
        <v>103</v>
      </c>
      <c r="AB306" s="63">
        <v>107</v>
      </c>
      <c r="AC306" s="63">
        <v>108</v>
      </c>
      <c r="AD306" s="63">
        <v>115</v>
      </c>
      <c r="AE306" s="63">
        <v>116</v>
      </c>
      <c r="AF306" s="63">
        <v>124</v>
      </c>
      <c r="AG306" s="63">
        <v>125</v>
      </c>
      <c r="AH306" s="63">
        <v>142</v>
      </c>
      <c r="AI306" s="63">
        <v>144</v>
      </c>
      <c r="AJ306" s="63">
        <v>148</v>
      </c>
      <c r="AK306" s="63">
        <v>149</v>
      </c>
      <c r="AL306" s="63">
        <v>163</v>
      </c>
      <c r="AM306" s="63">
        <v>163.5</v>
      </c>
      <c r="AN306" s="63">
        <v>166.5</v>
      </c>
      <c r="AO306" s="63">
        <v>169</v>
      </c>
      <c r="AP306" s="63">
        <v>177.5</v>
      </c>
      <c r="AQ306" s="63">
        <f t="shared" ref="AQ306:BG306" si="2194">AP306+AQ307</f>
        <v>178</v>
      </c>
      <c r="AR306" s="63">
        <f t="shared" si="2194"/>
        <v>183</v>
      </c>
      <c r="AS306" s="63">
        <f t="shared" si="2194"/>
        <v>185</v>
      </c>
      <c r="AT306" s="63">
        <f t="shared" si="2194"/>
        <v>193</v>
      </c>
      <c r="AU306" s="63">
        <f t="shared" si="2194"/>
        <v>193.5</v>
      </c>
      <c r="AV306" s="63">
        <f t="shared" si="2194"/>
        <v>198.5</v>
      </c>
      <c r="AW306" s="63">
        <f t="shared" si="2194"/>
        <v>201</v>
      </c>
      <c r="AX306" s="63">
        <f t="shared" si="2194"/>
        <v>206.5</v>
      </c>
      <c r="AY306" s="63">
        <f t="shared" si="2194"/>
        <v>207.5</v>
      </c>
      <c r="AZ306" s="63">
        <f t="shared" si="2194"/>
        <v>211</v>
      </c>
      <c r="BA306" s="64">
        <f t="shared" si="2194"/>
        <v>214</v>
      </c>
      <c r="BB306" s="63">
        <f t="shared" si="2194"/>
        <v>219</v>
      </c>
      <c r="BC306" s="64">
        <f t="shared" si="2194"/>
        <v>220.5</v>
      </c>
      <c r="BD306" s="63">
        <f t="shared" si="2194"/>
        <v>224</v>
      </c>
      <c r="BE306" s="63">
        <f t="shared" si="2194"/>
        <v>228</v>
      </c>
      <c r="BF306" s="63">
        <f t="shared" si="2194"/>
        <v>234</v>
      </c>
      <c r="BG306" s="63">
        <f t="shared" si="2194"/>
        <v>232</v>
      </c>
      <c r="BH306" s="63">
        <f t="shared" ref="BH306:BV306" si="2195">BG306+BH307</f>
        <v>236</v>
      </c>
      <c r="BI306" s="1227">
        <f t="shared" si="2195"/>
        <v>239</v>
      </c>
      <c r="BJ306" s="1227">
        <f t="shared" si="2195"/>
        <v>246</v>
      </c>
      <c r="BK306" s="1227">
        <f t="shared" si="2195"/>
        <v>246</v>
      </c>
      <c r="BL306" s="1227">
        <f t="shared" si="2195"/>
        <v>249</v>
      </c>
      <c r="BM306" s="1227">
        <f t="shared" si="2195"/>
        <v>253</v>
      </c>
      <c r="BN306" s="1227">
        <f t="shared" si="2195"/>
        <v>263</v>
      </c>
      <c r="BO306" s="1227">
        <f t="shared" si="2195"/>
        <v>262.5</v>
      </c>
      <c r="BP306" s="1227">
        <f t="shared" si="2195"/>
        <v>262.5</v>
      </c>
      <c r="BQ306" s="1227">
        <f t="shared" si="2195"/>
        <v>265</v>
      </c>
      <c r="BR306" s="1227">
        <f t="shared" si="2195"/>
        <v>265.5</v>
      </c>
      <c r="BS306" s="1227">
        <f t="shared" si="2195"/>
        <v>266</v>
      </c>
      <c r="BT306" s="1227">
        <f t="shared" si="2195"/>
        <v>274.5</v>
      </c>
      <c r="BU306" s="1227">
        <f t="shared" si="2195"/>
        <v>275</v>
      </c>
      <c r="BV306" s="1227">
        <f t="shared" si="2195"/>
        <v>275.5</v>
      </c>
      <c r="BW306" s="1227">
        <f t="shared" ref="BW306:CF306" si="2196">BV306+BW307</f>
        <v>276</v>
      </c>
      <c r="BX306" s="1227">
        <f t="shared" si="2196"/>
        <v>278.5</v>
      </c>
      <c r="BY306" s="1227">
        <f t="shared" si="2196"/>
        <v>282.5</v>
      </c>
      <c r="BZ306" s="1227">
        <f t="shared" si="2196"/>
        <v>286.5</v>
      </c>
      <c r="CA306" s="1227">
        <f t="shared" si="2196"/>
        <v>284.5</v>
      </c>
      <c r="CB306" s="1227">
        <f t="shared" si="2196"/>
        <v>284.5</v>
      </c>
      <c r="CC306" s="1227">
        <f t="shared" si="2196"/>
        <v>288</v>
      </c>
      <c r="CD306" s="1227">
        <f t="shared" si="2196"/>
        <v>290</v>
      </c>
      <c r="CE306" s="1227">
        <f t="shared" si="2196"/>
        <v>288</v>
      </c>
      <c r="CF306" s="1227">
        <f t="shared" si="2196"/>
        <v>288.5</v>
      </c>
      <c r="CG306" s="1227">
        <f t="shared" ref="CG306:CH306" si="2197">CF306+CG307</f>
        <v>290</v>
      </c>
      <c r="CH306" s="1227">
        <f t="shared" si="2197"/>
        <v>293</v>
      </c>
      <c r="CI306" s="1227">
        <f t="shared" ref="CI306:CJ306" si="2198">CH306+CI307</f>
        <v>293.5</v>
      </c>
      <c r="CJ306" s="1227">
        <f t="shared" si="2198"/>
        <v>294</v>
      </c>
      <c r="CK306" s="1227">
        <f t="shared" ref="CK306" si="2199">CJ306+CK307</f>
        <v>294</v>
      </c>
      <c r="CL306" s="367">
        <f t="shared" ref="CL306" si="2200">CK306+CL307</f>
        <v>304</v>
      </c>
      <c r="CM306" s="367">
        <f t="shared" ref="CM306" si="2201">CL306+CM307</f>
        <v>304.5</v>
      </c>
      <c r="CN306" s="367">
        <f t="shared" ref="CN306" si="2202">CM306+CN307</f>
        <v>306</v>
      </c>
      <c r="CO306" s="367">
        <f t="shared" ref="CO306" si="2203">CN306+CO307</f>
        <v>308.5</v>
      </c>
      <c r="CP306" s="367">
        <f t="shared" ref="CP306" si="2204">CO306+CP307</f>
        <v>314</v>
      </c>
      <c r="CQ306" s="367"/>
      <c r="CR306" s="604"/>
      <c r="CS306" s="604"/>
      <c r="CT306" s="367">
        <v>304</v>
      </c>
      <c r="CU306" s="1102"/>
      <c r="CV306" s="63">
        <v>62</v>
      </c>
      <c r="CW306" s="63">
        <v>66</v>
      </c>
      <c r="CX306" s="63">
        <v>75</v>
      </c>
      <c r="CY306" s="63">
        <v>84</v>
      </c>
      <c r="CZ306" s="63">
        <v>96</v>
      </c>
      <c r="DA306" s="63">
        <v>103</v>
      </c>
      <c r="DB306" s="63">
        <v>115</v>
      </c>
      <c r="DC306" s="63">
        <v>142</v>
      </c>
      <c r="DD306" s="63">
        <v>163</v>
      </c>
      <c r="DE306" s="63">
        <v>177.5</v>
      </c>
      <c r="DF306" s="63">
        <f>+AT306</f>
        <v>193</v>
      </c>
      <c r="DG306" s="63">
        <f t="shared" ref="DG306:DG316" si="2205">+AX306</f>
        <v>206.5</v>
      </c>
      <c r="DH306" s="63">
        <f t="shared" ref="DH306:DH316" si="2206">+BB306</f>
        <v>219</v>
      </c>
      <c r="DI306" s="63">
        <f t="shared" ref="DI306:DI316" si="2207">+BF306</f>
        <v>234</v>
      </c>
      <c r="DJ306" s="63">
        <f t="shared" ref="DJ306:DJ316" si="2208">+BJ306</f>
        <v>246</v>
      </c>
      <c r="DK306" s="63">
        <f>+BN306</f>
        <v>263</v>
      </c>
      <c r="DL306" s="1227">
        <f t="shared" ref="DL306:DL316" si="2209">+BR306</f>
        <v>265.5</v>
      </c>
      <c r="DM306" s="1227">
        <f t="shared" ref="DM306:DS306" si="2210">DM307+DL306</f>
        <v>266</v>
      </c>
      <c r="DN306" s="1227">
        <f t="shared" si="2210"/>
        <v>266.5</v>
      </c>
      <c r="DO306" s="1227">
        <f t="shared" si="2210"/>
        <v>268.5</v>
      </c>
      <c r="DP306" s="1227">
        <f t="shared" si="2210"/>
        <v>266.5</v>
      </c>
      <c r="DQ306" s="1227">
        <f t="shared" si="2210"/>
        <v>267</v>
      </c>
      <c r="DR306" s="1227">
        <f t="shared" si="2210"/>
        <v>267.5</v>
      </c>
      <c r="DS306" s="367">
        <f t="shared" si="2210"/>
        <v>297.5</v>
      </c>
      <c r="DT306" s="367">
        <f t="shared" ref="DT306" si="2211">DT307+DS306</f>
        <v>327.5</v>
      </c>
      <c r="DU306" s="367">
        <f t="shared" ref="DU306" si="2212">DU307+DT306</f>
        <v>357.5</v>
      </c>
      <c r="DV306" s="367">
        <f t="shared" ref="DV306" si="2213">DV307+DU306</f>
        <v>387.5</v>
      </c>
      <c r="DY306" s="367">
        <v>297</v>
      </c>
      <c r="DZ306" s="367">
        <v>327</v>
      </c>
    </row>
    <row r="307" spans="1:130">
      <c r="A307" s="17" t="s">
        <v>264</v>
      </c>
      <c r="B307" s="29">
        <v>2</v>
      </c>
      <c r="C307" s="17">
        <v>1</v>
      </c>
      <c r="D307" s="17">
        <v>1</v>
      </c>
      <c r="E307" s="17">
        <v>1</v>
      </c>
      <c r="F307" s="17">
        <v>1</v>
      </c>
      <c r="G307" s="17">
        <v>0</v>
      </c>
      <c r="H307" s="17">
        <v>2</v>
      </c>
      <c r="I307" s="17">
        <v>0</v>
      </c>
      <c r="J307" s="17">
        <v>2</v>
      </c>
      <c r="K307" s="17">
        <v>0</v>
      </c>
      <c r="L307" s="17">
        <v>2</v>
      </c>
      <c r="M307" s="17">
        <v>2</v>
      </c>
      <c r="N307" s="17">
        <v>5</v>
      </c>
      <c r="O307" s="17">
        <v>0</v>
      </c>
      <c r="P307" s="17">
        <v>3</v>
      </c>
      <c r="Q307" s="17">
        <v>1</v>
      </c>
      <c r="R307" s="17">
        <v>5</v>
      </c>
      <c r="S307" s="17">
        <v>1</v>
      </c>
      <c r="T307" s="17">
        <v>5</v>
      </c>
      <c r="U307" s="17">
        <v>2</v>
      </c>
      <c r="V307" s="17">
        <v>4</v>
      </c>
      <c r="W307" s="17">
        <v>0</v>
      </c>
      <c r="X307" s="79">
        <v>3</v>
      </c>
      <c r="Y307" s="79">
        <v>1</v>
      </c>
      <c r="Z307" s="79">
        <v>3</v>
      </c>
      <c r="AA307" s="79">
        <v>0</v>
      </c>
      <c r="AB307" s="79">
        <v>4</v>
      </c>
      <c r="AC307" s="79">
        <v>1</v>
      </c>
      <c r="AD307" s="17">
        <v>7</v>
      </c>
      <c r="AE307" s="79">
        <v>1</v>
      </c>
      <c r="AF307" s="81">
        <v>8</v>
      </c>
      <c r="AG307" s="81">
        <v>1</v>
      </c>
      <c r="AH307" s="81">
        <v>17</v>
      </c>
      <c r="AI307" s="80">
        <v>2</v>
      </c>
      <c r="AJ307" s="80">
        <v>4</v>
      </c>
      <c r="AK307" s="80">
        <v>1</v>
      </c>
      <c r="AL307" s="75">
        <v>14</v>
      </c>
      <c r="AM307" s="75">
        <v>0.5</v>
      </c>
      <c r="AN307" s="75">
        <v>3</v>
      </c>
      <c r="AO307" s="75">
        <v>2.5</v>
      </c>
      <c r="AP307" s="75">
        <v>8.5</v>
      </c>
      <c r="AQ307" s="75">
        <f t="shared" ref="AQ307:CD307" si="2214">+AQ224/2</f>
        <v>0.5</v>
      </c>
      <c r="AR307" s="75">
        <f t="shared" si="2214"/>
        <v>5</v>
      </c>
      <c r="AS307" s="75">
        <f t="shared" si="2214"/>
        <v>2</v>
      </c>
      <c r="AT307" s="75">
        <f t="shared" si="2214"/>
        <v>8</v>
      </c>
      <c r="AU307" s="75">
        <f t="shared" si="2214"/>
        <v>0.5</v>
      </c>
      <c r="AV307" s="75">
        <f t="shared" si="2214"/>
        <v>5</v>
      </c>
      <c r="AW307" s="75">
        <f t="shared" si="2214"/>
        <v>2.5</v>
      </c>
      <c r="AX307" s="75">
        <f t="shared" si="2214"/>
        <v>5.5</v>
      </c>
      <c r="AY307" s="75">
        <f t="shared" si="2214"/>
        <v>1</v>
      </c>
      <c r="AZ307" s="75">
        <f t="shared" si="2214"/>
        <v>3.5</v>
      </c>
      <c r="BA307" s="75">
        <f t="shared" si="2214"/>
        <v>3</v>
      </c>
      <c r="BB307" s="75">
        <f t="shared" si="2214"/>
        <v>5</v>
      </c>
      <c r="BC307" s="75">
        <f t="shared" si="2214"/>
        <v>1.5</v>
      </c>
      <c r="BD307" s="75">
        <f t="shared" si="2214"/>
        <v>3.5</v>
      </c>
      <c r="BE307" s="75">
        <f t="shared" si="2214"/>
        <v>4</v>
      </c>
      <c r="BF307" s="75">
        <f t="shared" si="2214"/>
        <v>6</v>
      </c>
      <c r="BG307" s="75">
        <f t="shared" si="2214"/>
        <v>-2</v>
      </c>
      <c r="BH307" s="29">
        <f t="shared" si="2214"/>
        <v>4</v>
      </c>
      <c r="BI307" s="127">
        <f t="shared" si="2214"/>
        <v>3</v>
      </c>
      <c r="BJ307" s="127">
        <f t="shared" si="2214"/>
        <v>7</v>
      </c>
      <c r="BK307" s="127">
        <f t="shared" si="2214"/>
        <v>0</v>
      </c>
      <c r="BL307" s="127">
        <f t="shared" si="2214"/>
        <v>3</v>
      </c>
      <c r="BM307" s="127">
        <f t="shared" si="2214"/>
        <v>4</v>
      </c>
      <c r="BN307" s="127">
        <f t="shared" si="2214"/>
        <v>10</v>
      </c>
      <c r="BO307" s="127">
        <f t="shared" si="2214"/>
        <v>-0.5</v>
      </c>
      <c r="BP307" s="127">
        <f t="shared" si="2214"/>
        <v>0</v>
      </c>
      <c r="BQ307" s="1243">
        <f t="shared" si="2214"/>
        <v>2.5</v>
      </c>
      <c r="BR307" s="1243">
        <f t="shared" si="2214"/>
        <v>0.5</v>
      </c>
      <c r="BS307" s="1243">
        <f t="shared" si="2214"/>
        <v>0.5</v>
      </c>
      <c r="BT307" s="1243">
        <f t="shared" si="2214"/>
        <v>8.5</v>
      </c>
      <c r="BU307" s="1243">
        <f t="shared" si="2214"/>
        <v>0.5</v>
      </c>
      <c r="BV307" s="1243">
        <f t="shared" si="2214"/>
        <v>0.5</v>
      </c>
      <c r="BW307" s="1243">
        <f t="shared" si="2214"/>
        <v>0.5</v>
      </c>
      <c r="BX307" s="1243">
        <f t="shared" si="2214"/>
        <v>2.5</v>
      </c>
      <c r="BY307" s="1243">
        <f t="shared" si="2214"/>
        <v>4</v>
      </c>
      <c r="BZ307" s="1243">
        <f t="shared" si="2214"/>
        <v>4</v>
      </c>
      <c r="CA307" s="1243">
        <f t="shared" si="2214"/>
        <v>-2</v>
      </c>
      <c r="CB307" s="1243">
        <f t="shared" ref="CB307:CC307" si="2215">+CB224/2</f>
        <v>0</v>
      </c>
      <c r="CC307" s="1243">
        <f t="shared" si="2215"/>
        <v>3.5</v>
      </c>
      <c r="CD307" s="1243">
        <f t="shared" si="2214"/>
        <v>2</v>
      </c>
      <c r="CE307" s="1243">
        <f t="shared" ref="CE307:CF307" si="2216">+CE224/2</f>
        <v>-2</v>
      </c>
      <c r="CF307" s="1243">
        <f t="shared" si="2216"/>
        <v>0.5</v>
      </c>
      <c r="CG307" s="1243">
        <f t="shared" ref="CG307:CH307" si="2217">+CG224/2</f>
        <v>1.5</v>
      </c>
      <c r="CH307" s="1243">
        <f t="shared" si="2217"/>
        <v>3</v>
      </c>
      <c r="CI307" s="1243">
        <f t="shared" ref="CI307:CL307" si="2218">+CI224/2</f>
        <v>0.5</v>
      </c>
      <c r="CJ307" s="1243">
        <f t="shared" ref="CJ307" si="2219">+CJ224/2</f>
        <v>0.5</v>
      </c>
      <c r="CK307" s="1243">
        <f t="shared" si="2218"/>
        <v>0</v>
      </c>
      <c r="CL307" s="388">
        <f t="shared" si="2218"/>
        <v>10</v>
      </c>
      <c r="CM307" s="388">
        <f t="shared" ref="CM307:CP307" si="2220">+CM224/2</f>
        <v>0.5</v>
      </c>
      <c r="CN307" s="388">
        <f t="shared" si="2220"/>
        <v>1.5</v>
      </c>
      <c r="CO307" s="388">
        <f t="shared" si="2220"/>
        <v>2.5</v>
      </c>
      <c r="CP307" s="388">
        <f t="shared" si="2220"/>
        <v>5.5</v>
      </c>
      <c r="CQ307" s="388"/>
      <c r="CR307" s="604"/>
      <c r="CS307" s="604"/>
      <c r="CT307" s="388">
        <v>10</v>
      </c>
      <c r="CU307" s="693"/>
      <c r="CV307" s="63">
        <v>4</v>
      </c>
      <c r="CW307" s="63">
        <v>4</v>
      </c>
      <c r="CX307" s="63">
        <v>9</v>
      </c>
      <c r="CY307" s="63">
        <v>9</v>
      </c>
      <c r="CZ307" s="63">
        <v>12</v>
      </c>
      <c r="DA307" s="63">
        <v>7</v>
      </c>
      <c r="DB307" s="63">
        <v>12</v>
      </c>
      <c r="DC307" s="63">
        <v>27</v>
      </c>
      <c r="DD307" s="63">
        <v>21</v>
      </c>
      <c r="DE307" s="63">
        <v>14.5</v>
      </c>
      <c r="DF307" s="63">
        <f>+SUM(AQ307:AT307)</f>
        <v>15.5</v>
      </c>
      <c r="DG307" s="63">
        <f t="shared" si="2205"/>
        <v>5.5</v>
      </c>
      <c r="DH307" s="63">
        <f t="shared" si="2206"/>
        <v>5</v>
      </c>
      <c r="DI307" s="63">
        <f t="shared" si="2207"/>
        <v>6</v>
      </c>
      <c r="DJ307" s="63">
        <f t="shared" si="2208"/>
        <v>7</v>
      </c>
      <c r="DK307" s="63">
        <f>+BN307</f>
        <v>10</v>
      </c>
      <c r="DL307" s="1227">
        <f t="shared" si="2209"/>
        <v>0.5</v>
      </c>
      <c r="DM307" s="127">
        <f>+BV307</f>
        <v>0.5</v>
      </c>
      <c r="DN307" s="127">
        <f>+BW307</f>
        <v>0.5</v>
      </c>
      <c r="DO307" s="127">
        <f>+CD307</f>
        <v>2</v>
      </c>
      <c r="DP307" s="127">
        <f>+CE307</f>
        <v>-2</v>
      </c>
      <c r="DQ307" s="127">
        <f>+CI307</f>
        <v>0.5</v>
      </c>
      <c r="DR307" s="127">
        <f>+CM307</f>
        <v>0.5</v>
      </c>
      <c r="DS307" s="388">
        <f>+DS263-DS321</f>
        <v>30</v>
      </c>
      <c r="DT307" s="388">
        <f t="shared" ref="DT307:DV307" si="2221">+DT263-DT321</f>
        <v>30</v>
      </c>
      <c r="DU307" s="388">
        <f t="shared" si="2221"/>
        <v>30</v>
      </c>
      <c r="DV307" s="388">
        <f t="shared" si="2221"/>
        <v>30</v>
      </c>
      <c r="DY307" s="388">
        <v>30</v>
      </c>
      <c r="DZ307" s="388">
        <v>30</v>
      </c>
    </row>
    <row r="308" spans="1:130">
      <c r="A308" s="45" t="s">
        <v>296</v>
      </c>
      <c r="B308" s="62">
        <v>2</v>
      </c>
      <c r="C308" s="63">
        <v>3</v>
      </c>
      <c r="D308" s="63">
        <v>2</v>
      </c>
      <c r="E308" s="63">
        <v>3</v>
      </c>
      <c r="F308" s="63">
        <v>4</v>
      </c>
      <c r="G308" s="63">
        <v>3</v>
      </c>
      <c r="H308" s="63">
        <v>4</v>
      </c>
      <c r="I308" s="63">
        <v>3</v>
      </c>
      <c r="J308" s="63">
        <v>4</v>
      </c>
      <c r="K308" s="63">
        <v>4</v>
      </c>
      <c r="L308" s="63">
        <v>4</v>
      </c>
      <c r="M308" s="63">
        <v>6</v>
      </c>
      <c r="N308" s="63">
        <v>9</v>
      </c>
      <c r="O308" s="63">
        <v>9</v>
      </c>
      <c r="P308" s="63">
        <v>10</v>
      </c>
      <c r="Q308" s="63">
        <v>9</v>
      </c>
      <c r="R308" s="63">
        <v>9</v>
      </c>
      <c r="S308" s="63">
        <v>10</v>
      </c>
      <c r="T308" s="63">
        <v>12</v>
      </c>
      <c r="U308" s="63">
        <v>13</v>
      </c>
      <c r="V308" s="63">
        <v>12</v>
      </c>
      <c r="W308" s="63">
        <v>11</v>
      </c>
      <c r="X308" s="63">
        <v>9</v>
      </c>
      <c r="Y308" s="63">
        <v>8</v>
      </c>
      <c r="Z308" s="63">
        <v>7</v>
      </c>
      <c r="AA308" s="63">
        <v>7</v>
      </c>
      <c r="AB308" s="63">
        <v>8</v>
      </c>
      <c r="AC308" s="63">
        <v>8</v>
      </c>
      <c r="AD308" s="63">
        <v>12</v>
      </c>
      <c r="AE308" s="63">
        <v>13</v>
      </c>
      <c r="AF308" s="63">
        <v>17</v>
      </c>
      <c r="AG308" s="63">
        <v>17</v>
      </c>
      <c r="AH308" s="63">
        <v>27</v>
      </c>
      <c r="AI308" s="63">
        <v>28</v>
      </c>
      <c r="AJ308" s="63">
        <v>24</v>
      </c>
      <c r="AK308" s="63">
        <v>24</v>
      </c>
      <c r="AL308" s="63">
        <v>21</v>
      </c>
      <c r="AM308" s="63">
        <v>19.5</v>
      </c>
      <c r="AN308" s="63">
        <v>18.5</v>
      </c>
      <c r="AO308" s="63">
        <v>20</v>
      </c>
      <c r="AP308" s="63">
        <v>14.5</v>
      </c>
      <c r="AQ308" s="63">
        <f t="shared" ref="AQ308:BG308" si="2222">AQ307+AP307+AO307+AN307</f>
        <v>14.5</v>
      </c>
      <c r="AR308" s="63">
        <f t="shared" si="2222"/>
        <v>16.5</v>
      </c>
      <c r="AS308" s="63">
        <f t="shared" si="2222"/>
        <v>16</v>
      </c>
      <c r="AT308" s="63">
        <f t="shared" si="2222"/>
        <v>15.5</v>
      </c>
      <c r="AU308" s="63">
        <f t="shared" si="2222"/>
        <v>15.5</v>
      </c>
      <c r="AV308" s="63">
        <f t="shared" si="2222"/>
        <v>15.5</v>
      </c>
      <c r="AW308" s="63">
        <f t="shared" si="2222"/>
        <v>16</v>
      </c>
      <c r="AX308" s="63">
        <f t="shared" si="2222"/>
        <v>13.5</v>
      </c>
      <c r="AY308" s="63">
        <f t="shared" si="2222"/>
        <v>14</v>
      </c>
      <c r="AZ308" s="63">
        <f t="shared" si="2222"/>
        <v>12.5</v>
      </c>
      <c r="BA308" s="64">
        <f t="shared" si="2222"/>
        <v>13</v>
      </c>
      <c r="BB308" s="63">
        <f t="shared" si="2222"/>
        <v>12.5</v>
      </c>
      <c r="BC308" s="64">
        <f t="shared" si="2222"/>
        <v>13</v>
      </c>
      <c r="BD308" s="63">
        <f t="shared" si="2222"/>
        <v>13</v>
      </c>
      <c r="BE308" s="63">
        <f t="shared" si="2222"/>
        <v>14</v>
      </c>
      <c r="BF308" s="63">
        <f t="shared" si="2222"/>
        <v>15</v>
      </c>
      <c r="BG308" s="63">
        <f t="shared" si="2222"/>
        <v>11.5</v>
      </c>
      <c r="BH308" s="63">
        <f t="shared" ref="BH308:BV308" si="2223">BH307+BG307+BF307+BE307</f>
        <v>12</v>
      </c>
      <c r="BI308" s="1227">
        <f t="shared" si="2223"/>
        <v>11</v>
      </c>
      <c r="BJ308" s="1227">
        <f t="shared" si="2223"/>
        <v>12</v>
      </c>
      <c r="BK308" s="1227">
        <f t="shared" si="2223"/>
        <v>14</v>
      </c>
      <c r="BL308" s="1227">
        <f t="shared" si="2223"/>
        <v>13</v>
      </c>
      <c r="BM308" s="1227">
        <f t="shared" si="2223"/>
        <v>14</v>
      </c>
      <c r="BN308" s="1227">
        <f t="shared" si="2223"/>
        <v>17</v>
      </c>
      <c r="BO308" s="1227">
        <f t="shared" si="2223"/>
        <v>16.5</v>
      </c>
      <c r="BP308" s="1227">
        <f t="shared" si="2223"/>
        <v>13.5</v>
      </c>
      <c r="BQ308" s="1227">
        <f t="shared" si="2223"/>
        <v>12</v>
      </c>
      <c r="BR308" s="1227">
        <f t="shared" si="2223"/>
        <v>2.5</v>
      </c>
      <c r="BS308" s="1227">
        <f t="shared" si="2223"/>
        <v>3.5</v>
      </c>
      <c r="BT308" s="1227">
        <f t="shared" si="2223"/>
        <v>12</v>
      </c>
      <c r="BU308" s="1227">
        <f t="shared" si="2223"/>
        <v>10</v>
      </c>
      <c r="BV308" s="1227">
        <f t="shared" si="2223"/>
        <v>10</v>
      </c>
      <c r="BW308" s="1227">
        <f t="shared" ref="BW308:CF308" si="2224">BW307+BV307+BU307+BT307</f>
        <v>10</v>
      </c>
      <c r="BX308" s="1227">
        <f t="shared" si="2224"/>
        <v>4</v>
      </c>
      <c r="BY308" s="1227">
        <f t="shared" si="2224"/>
        <v>7.5</v>
      </c>
      <c r="BZ308" s="1227">
        <f t="shared" si="2224"/>
        <v>11</v>
      </c>
      <c r="CA308" s="1227">
        <f t="shared" si="2224"/>
        <v>8.5</v>
      </c>
      <c r="CB308" s="1227">
        <f t="shared" si="2224"/>
        <v>6</v>
      </c>
      <c r="CC308" s="1227">
        <f t="shared" si="2224"/>
        <v>5.5</v>
      </c>
      <c r="CD308" s="1227">
        <f t="shared" si="2224"/>
        <v>3.5</v>
      </c>
      <c r="CE308" s="1227">
        <f t="shared" si="2224"/>
        <v>3.5</v>
      </c>
      <c r="CF308" s="1227">
        <f t="shared" si="2224"/>
        <v>4</v>
      </c>
      <c r="CG308" s="1227">
        <f t="shared" ref="CG308:CH308" si="2225">CG307+CF307+CE307+CD307</f>
        <v>2</v>
      </c>
      <c r="CH308" s="1227">
        <f t="shared" si="2225"/>
        <v>3</v>
      </c>
      <c r="CI308" s="1227">
        <f t="shared" ref="CI308:CJ308" si="2226">CI307+CH307+CG307+CF307</f>
        <v>5.5</v>
      </c>
      <c r="CJ308" s="1227">
        <f t="shared" si="2226"/>
        <v>5.5</v>
      </c>
      <c r="CK308" s="1227">
        <f t="shared" ref="CK308" si="2227">CK307+CJ307+CI307+CH307</f>
        <v>4</v>
      </c>
      <c r="CL308" s="367">
        <f t="shared" ref="CL308" si="2228">CL307+CK307+CJ307+CI307</f>
        <v>11</v>
      </c>
      <c r="CM308" s="367">
        <f t="shared" ref="CM308" si="2229">CM307+CL307+CK307+CJ307</f>
        <v>11</v>
      </c>
      <c r="CN308" s="367">
        <f t="shared" ref="CN308" si="2230">CN307+CM307+CL307+CK307</f>
        <v>12</v>
      </c>
      <c r="CO308" s="367">
        <f t="shared" ref="CO308" si="2231">CO307+CN307+CM307+CL307</f>
        <v>14.5</v>
      </c>
      <c r="CP308" s="367">
        <f t="shared" ref="CP308" si="2232">CP307+CO307+CN307+CM307</f>
        <v>10</v>
      </c>
      <c r="CQ308" s="367"/>
      <c r="CR308" s="604"/>
      <c r="CS308" s="604"/>
      <c r="CT308" s="367">
        <v>11</v>
      </c>
      <c r="CU308" s="1102"/>
      <c r="CV308" s="63">
        <v>4</v>
      </c>
      <c r="CW308" s="63">
        <v>4</v>
      </c>
      <c r="CX308" s="63">
        <v>9</v>
      </c>
      <c r="CY308" s="63">
        <v>9</v>
      </c>
      <c r="CZ308" s="63">
        <v>12</v>
      </c>
      <c r="DA308" s="63">
        <v>7</v>
      </c>
      <c r="DB308" s="62">
        <v>12</v>
      </c>
      <c r="DC308" s="63">
        <v>27</v>
      </c>
      <c r="DD308" s="62">
        <v>21</v>
      </c>
      <c r="DE308" s="62">
        <v>14.5</v>
      </c>
      <c r="DF308" s="63">
        <f t="shared" ref="DF308:DF316" si="2233">AT308</f>
        <v>15.5</v>
      </c>
      <c r="DG308" s="63">
        <f t="shared" si="2205"/>
        <v>13.5</v>
      </c>
      <c r="DH308" s="63">
        <f t="shared" si="2206"/>
        <v>12.5</v>
      </c>
      <c r="DI308" s="63">
        <f t="shared" si="2207"/>
        <v>15</v>
      </c>
      <c r="DJ308" s="63">
        <f t="shared" si="2208"/>
        <v>12</v>
      </c>
      <c r="DK308" s="63">
        <f>DK307</f>
        <v>10</v>
      </c>
      <c r="DL308" s="1227">
        <f t="shared" si="2209"/>
        <v>2.5</v>
      </c>
      <c r="DM308" s="1227">
        <f t="shared" ref="DM308:DS308" si="2234">DM307</f>
        <v>0.5</v>
      </c>
      <c r="DN308" s="1227">
        <f t="shared" si="2234"/>
        <v>0.5</v>
      </c>
      <c r="DO308" s="1227">
        <f t="shared" si="2234"/>
        <v>2</v>
      </c>
      <c r="DP308" s="1227">
        <f t="shared" ref="DP308:DQ308" si="2235">DP307</f>
        <v>-2</v>
      </c>
      <c r="DQ308" s="1227">
        <f t="shared" si="2235"/>
        <v>0.5</v>
      </c>
      <c r="DR308" s="1227">
        <f t="shared" ref="DR308" si="2236">DR307</f>
        <v>0.5</v>
      </c>
      <c r="DS308" s="367">
        <f t="shared" si="2234"/>
        <v>30</v>
      </c>
      <c r="DT308" s="367">
        <f t="shared" ref="DT308:DV308" si="2237">DT307</f>
        <v>30</v>
      </c>
      <c r="DU308" s="367">
        <f t="shared" si="2237"/>
        <v>30</v>
      </c>
      <c r="DV308" s="367">
        <f t="shared" si="2237"/>
        <v>30</v>
      </c>
      <c r="DY308" s="367">
        <v>30</v>
      </c>
      <c r="DZ308" s="367">
        <v>30</v>
      </c>
    </row>
    <row r="309" spans="1:130">
      <c r="A309" s="45" t="s">
        <v>297</v>
      </c>
      <c r="B309" s="45">
        <v>2</v>
      </c>
      <c r="C309" s="63">
        <v>1</v>
      </c>
      <c r="D309" s="63">
        <v>1</v>
      </c>
      <c r="E309" s="63">
        <v>1</v>
      </c>
      <c r="F309" s="63">
        <v>2</v>
      </c>
      <c r="G309" s="63">
        <v>3</v>
      </c>
      <c r="H309" s="63">
        <v>2</v>
      </c>
      <c r="I309" s="63">
        <v>3</v>
      </c>
      <c r="J309" s="63">
        <v>4</v>
      </c>
      <c r="K309" s="63">
        <v>3</v>
      </c>
      <c r="L309" s="63">
        <v>4</v>
      </c>
      <c r="M309" s="63">
        <v>3</v>
      </c>
      <c r="N309" s="63">
        <v>4</v>
      </c>
      <c r="O309" s="63">
        <v>4</v>
      </c>
      <c r="P309" s="63">
        <v>4</v>
      </c>
      <c r="Q309" s="63">
        <v>6</v>
      </c>
      <c r="R309" s="63">
        <v>9</v>
      </c>
      <c r="S309" s="63">
        <v>9</v>
      </c>
      <c r="T309" s="63">
        <v>10</v>
      </c>
      <c r="U309" s="63">
        <v>9</v>
      </c>
      <c r="V309" s="63">
        <v>9</v>
      </c>
      <c r="W309" s="63">
        <v>10</v>
      </c>
      <c r="X309" s="63">
        <v>12</v>
      </c>
      <c r="Y309" s="63">
        <v>13</v>
      </c>
      <c r="Z309" s="63">
        <v>12</v>
      </c>
      <c r="AA309" s="63">
        <v>11</v>
      </c>
      <c r="AB309" s="63">
        <v>9</v>
      </c>
      <c r="AC309" s="63">
        <v>8</v>
      </c>
      <c r="AD309" s="63">
        <v>7</v>
      </c>
      <c r="AE309" s="63">
        <v>7</v>
      </c>
      <c r="AF309" s="63">
        <v>8</v>
      </c>
      <c r="AG309" s="63">
        <v>8</v>
      </c>
      <c r="AH309" s="63">
        <v>12</v>
      </c>
      <c r="AI309" s="63">
        <v>13</v>
      </c>
      <c r="AJ309" s="63">
        <v>17</v>
      </c>
      <c r="AK309" s="63">
        <v>17</v>
      </c>
      <c r="AL309" s="63">
        <v>27</v>
      </c>
      <c r="AM309" s="63">
        <v>28</v>
      </c>
      <c r="AN309" s="63">
        <v>24</v>
      </c>
      <c r="AO309" s="63">
        <v>24</v>
      </c>
      <c r="AP309" s="63">
        <v>21</v>
      </c>
      <c r="AQ309" s="63">
        <f t="shared" ref="AQ309:AZ315" si="2238">AM308</f>
        <v>19.5</v>
      </c>
      <c r="AR309" s="63">
        <f t="shared" si="2238"/>
        <v>18.5</v>
      </c>
      <c r="AS309" s="63">
        <f t="shared" si="2238"/>
        <v>20</v>
      </c>
      <c r="AT309" s="63">
        <f t="shared" si="2238"/>
        <v>14.5</v>
      </c>
      <c r="AU309" s="63">
        <f t="shared" si="2238"/>
        <v>14.5</v>
      </c>
      <c r="AV309" s="63">
        <f t="shared" si="2238"/>
        <v>16.5</v>
      </c>
      <c r="AW309" s="63">
        <f t="shared" si="2238"/>
        <v>16</v>
      </c>
      <c r="AX309" s="63">
        <f t="shared" si="2238"/>
        <v>15.5</v>
      </c>
      <c r="AY309" s="63">
        <f t="shared" si="2238"/>
        <v>15.5</v>
      </c>
      <c r="AZ309" s="63">
        <f t="shared" si="2238"/>
        <v>15.5</v>
      </c>
      <c r="BA309" s="64">
        <f t="shared" ref="BA309:BG315" si="2239">AW308</f>
        <v>16</v>
      </c>
      <c r="BB309" s="63">
        <f t="shared" si="2239"/>
        <v>13.5</v>
      </c>
      <c r="BC309" s="64">
        <f t="shared" si="2239"/>
        <v>14</v>
      </c>
      <c r="BD309" s="63">
        <f t="shared" si="2239"/>
        <v>12.5</v>
      </c>
      <c r="BE309" s="63">
        <f t="shared" si="2239"/>
        <v>13</v>
      </c>
      <c r="BF309" s="63">
        <f t="shared" si="2239"/>
        <v>12.5</v>
      </c>
      <c r="BG309" s="63">
        <f t="shared" si="2239"/>
        <v>13</v>
      </c>
      <c r="BH309" s="63">
        <f t="shared" ref="BH309:BH315" si="2240">BD308</f>
        <v>13</v>
      </c>
      <c r="BI309" s="1227">
        <f t="shared" ref="BI309:BK315" si="2241">BE308</f>
        <v>14</v>
      </c>
      <c r="BJ309" s="1227">
        <f t="shared" si="2241"/>
        <v>15</v>
      </c>
      <c r="BK309" s="1227">
        <f t="shared" si="2241"/>
        <v>11.5</v>
      </c>
      <c r="BL309" s="1227">
        <f t="shared" ref="BL309:BP315" si="2242">BH308</f>
        <v>12</v>
      </c>
      <c r="BM309" s="1227">
        <f t="shared" si="2242"/>
        <v>11</v>
      </c>
      <c r="BN309" s="1227">
        <f t="shared" si="2242"/>
        <v>12</v>
      </c>
      <c r="BO309" s="1227">
        <f t="shared" si="2242"/>
        <v>14</v>
      </c>
      <c r="BP309" s="1227">
        <f t="shared" si="2242"/>
        <v>13</v>
      </c>
      <c r="BQ309" s="1227">
        <f t="shared" ref="BQ309:BU315" si="2243">BM308</f>
        <v>14</v>
      </c>
      <c r="BR309" s="1227">
        <f t="shared" si="2243"/>
        <v>17</v>
      </c>
      <c r="BS309" s="1227">
        <f t="shared" si="2243"/>
        <v>16.5</v>
      </c>
      <c r="BT309" s="1227">
        <f t="shared" si="2243"/>
        <v>13.5</v>
      </c>
      <c r="BU309" s="1227">
        <f t="shared" si="2243"/>
        <v>12</v>
      </c>
      <c r="BV309" s="1227">
        <f t="shared" ref="BV309:BV315" si="2244">BR308</f>
        <v>2.5</v>
      </c>
      <c r="BW309" s="1227">
        <f t="shared" ref="BW309:BW315" si="2245">BS308</f>
        <v>3.5</v>
      </c>
      <c r="BX309" s="1227">
        <f t="shared" ref="BX309:BX315" si="2246">BT308</f>
        <v>12</v>
      </c>
      <c r="BY309" s="1227">
        <f t="shared" ref="BY309:BY315" si="2247">BU308</f>
        <v>10</v>
      </c>
      <c r="BZ309" s="1227">
        <f t="shared" ref="BZ309:BZ315" si="2248">BV308</f>
        <v>10</v>
      </c>
      <c r="CA309" s="1227">
        <f t="shared" ref="CA309:CC315" si="2249">BW308</f>
        <v>10</v>
      </c>
      <c r="CB309" s="1227">
        <f t="shared" si="2249"/>
        <v>4</v>
      </c>
      <c r="CC309" s="1227">
        <f t="shared" si="2249"/>
        <v>7.5</v>
      </c>
      <c r="CD309" s="1227">
        <f t="shared" ref="CD309:CF315" si="2250">BZ308</f>
        <v>11</v>
      </c>
      <c r="CE309" s="1227">
        <f t="shared" si="2250"/>
        <v>8.5</v>
      </c>
      <c r="CF309" s="1227">
        <f t="shared" si="2250"/>
        <v>6</v>
      </c>
      <c r="CG309" s="1227">
        <f t="shared" ref="CG309:CH315" si="2251">CC308</f>
        <v>5.5</v>
      </c>
      <c r="CH309" s="1227">
        <f t="shared" si="2251"/>
        <v>3.5</v>
      </c>
      <c r="CI309" s="1227">
        <f t="shared" ref="CI309:CJ315" si="2252">CE308</f>
        <v>3.5</v>
      </c>
      <c r="CJ309" s="1227">
        <f t="shared" si="2252"/>
        <v>4</v>
      </c>
      <c r="CK309" s="1227">
        <f t="shared" ref="CK309:CK315" si="2253">CG308</f>
        <v>2</v>
      </c>
      <c r="CL309" s="367">
        <f t="shared" ref="CL309:CL315" si="2254">CH308</f>
        <v>3</v>
      </c>
      <c r="CM309" s="367">
        <f t="shared" ref="CM309:CM315" si="2255">CI308</f>
        <v>5.5</v>
      </c>
      <c r="CN309" s="367">
        <f t="shared" ref="CN309:CN315" si="2256">CJ308</f>
        <v>5.5</v>
      </c>
      <c r="CO309" s="367">
        <f t="shared" ref="CO309:CO315" si="2257">CK308</f>
        <v>4</v>
      </c>
      <c r="CP309" s="367">
        <f t="shared" ref="CP309:CP315" si="2258">CL308</f>
        <v>11</v>
      </c>
      <c r="CQ309" s="367"/>
      <c r="CR309" s="604"/>
      <c r="CS309" s="604"/>
      <c r="CT309" s="367">
        <v>3</v>
      </c>
      <c r="CU309" s="1102"/>
      <c r="CV309" s="63">
        <v>2</v>
      </c>
      <c r="CW309" s="63">
        <v>4</v>
      </c>
      <c r="CX309" s="63">
        <v>4</v>
      </c>
      <c r="CY309" s="63">
        <v>9</v>
      </c>
      <c r="CZ309" s="63">
        <v>9</v>
      </c>
      <c r="DA309" s="63">
        <v>12</v>
      </c>
      <c r="DB309" s="62">
        <v>7</v>
      </c>
      <c r="DC309" s="63">
        <v>12</v>
      </c>
      <c r="DD309" s="62">
        <v>27</v>
      </c>
      <c r="DE309" s="62">
        <v>21</v>
      </c>
      <c r="DF309" s="63">
        <f t="shared" si="2233"/>
        <v>14.5</v>
      </c>
      <c r="DG309" s="63">
        <f t="shared" si="2205"/>
        <v>15.5</v>
      </c>
      <c r="DH309" s="63">
        <f t="shared" si="2206"/>
        <v>13.5</v>
      </c>
      <c r="DI309" s="63">
        <f t="shared" si="2207"/>
        <v>12.5</v>
      </c>
      <c r="DJ309" s="63">
        <f t="shared" si="2208"/>
        <v>15</v>
      </c>
      <c r="DK309" s="63">
        <f t="shared" ref="DK309:DM315" si="2259">DJ308</f>
        <v>12</v>
      </c>
      <c r="DL309" s="1227">
        <f t="shared" si="2209"/>
        <v>17</v>
      </c>
      <c r="DM309" s="1227">
        <f t="shared" si="2259"/>
        <v>2.5</v>
      </c>
      <c r="DN309" s="1227">
        <f t="shared" ref="DN309:DR315" si="2260">DM308</f>
        <v>0.5</v>
      </c>
      <c r="DO309" s="1227">
        <f t="shared" si="2260"/>
        <v>0.5</v>
      </c>
      <c r="DP309" s="1227">
        <f t="shared" si="2260"/>
        <v>2</v>
      </c>
      <c r="DQ309" s="1227">
        <f t="shared" si="2260"/>
        <v>-2</v>
      </c>
      <c r="DR309" s="1227">
        <f t="shared" si="2260"/>
        <v>0.5</v>
      </c>
      <c r="DS309" s="367">
        <f t="shared" ref="DS309:DS315" si="2261">DR308</f>
        <v>0.5</v>
      </c>
      <c r="DT309" s="367">
        <f t="shared" ref="DT309:DT315" si="2262">DS308</f>
        <v>30</v>
      </c>
      <c r="DU309" s="367">
        <f t="shared" ref="DU309:DU315" si="2263">DT308</f>
        <v>30</v>
      </c>
      <c r="DV309" s="367">
        <f t="shared" ref="DV309:DV315" si="2264">DU308</f>
        <v>30</v>
      </c>
      <c r="DY309" s="367">
        <v>0.5</v>
      </c>
      <c r="DZ309" s="367">
        <v>30</v>
      </c>
    </row>
    <row r="310" spans="1:130">
      <c r="A310" s="45" t="s">
        <v>298</v>
      </c>
      <c r="B310" s="45">
        <v>5</v>
      </c>
      <c r="C310" s="63">
        <v>4</v>
      </c>
      <c r="D310" s="63">
        <v>4</v>
      </c>
      <c r="E310" s="63">
        <v>3</v>
      </c>
      <c r="F310" s="63">
        <v>2</v>
      </c>
      <c r="G310" s="63">
        <v>1</v>
      </c>
      <c r="H310" s="63">
        <v>1</v>
      </c>
      <c r="I310" s="63">
        <v>1</v>
      </c>
      <c r="J310" s="63">
        <v>2</v>
      </c>
      <c r="K310" s="63">
        <v>3</v>
      </c>
      <c r="L310" s="63">
        <v>2</v>
      </c>
      <c r="M310" s="63">
        <v>3</v>
      </c>
      <c r="N310" s="63">
        <v>4</v>
      </c>
      <c r="O310" s="63">
        <v>3</v>
      </c>
      <c r="P310" s="63">
        <v>4</v>
      </c>
      <c r="Q310" s="63">
        <v>3</v>
      </c>
      <c r="R310" s="63">
        <v>4</v>
      </c>
      <c r="S310" s="63">
        <v>4</v>
      </c>
      <c r="T310" s="63">
        <v>4</v>
      </c>
      <c r="U310" s="63">
        <v>6</v>
      </c>
      <c r="V310" s="63">
        <v>9</v>
      </c>
      <c r="W310" s="63">
        <v>9</v>
      </c>
      <c r="X310" s="63">
        <v>10</v>
      </c>
      <c r="Y310" s="63">
        <v>9</v>
      </c>
      <c r="Z310" s="63">
        <v>9</v>
      </c>
      <c r="AA310" s="63">
        <v>10</v>
      </c>
      <c r="AB310" s="63">
        <v>12</v>
      </c>
      <c r="AC310" s="63">
        <v>13</v>
      </c>
      <c r="AD310" s="63">
        <v>12</v>
      </c>
      <c r="AE310" s="63">
        <v>11</v>
      </c>
      <c r="AF310" s="63">
        <v>9</v>
      </c>
      <c r="AG310" s="63">
        <v>8</v>
      </c>
      <c r="AH310" s="63">
        <v>7</v>
      </c>
      <c r="AI310" s="63">
        <v>7</v>
      </c>
      <c r="AJ310" s="63">
        <v>8</v>
      </c>
      <c r="AK310" s="63">
        <v>8</v>
      </c>
      <c r="AL310" s="63">
        <v>12</v>
      </c>
      <c r="AM310" s="63">
        <v>13</v>
      </c>
      <c r="AN310" s="63">
        <v>17</v>
      </c>
      <c r="AO310" s="63">
        <v>17</v>
      </c>
      <c r="AP310" s="63">
        <v>27</v>
      </c>
      <c r="AQ310" s="63">
        <f t="shared" si="2238"/>
        <v>28</v>
      </c>
      <c r="AR310" s="63">
        <f t="shared" si="2238"/>
        <v>24</v>
      </c>
      <c r="AS310" s="63">
        <f t="shared" si="2238"/>
        <v>24</v>
      </c>
      <c r="AT310" s="63">
        <f t="shared" si="2238"/>
        <v>21</v>
      </c>
      <c r="AU310" s="63">
        <f t="shared" si="2238"/>
        <v>19.5</v>
      </c>
      <c r="AV310" s="63">
        <f t="shared" si="2238"/>
        <v>18.5</v>
      </c>
      <c r="AW310" s="63">
        <f t="shared" si="2238"/>
        <v>20</v>
      </c>
      <c r="AX310" s="63">
        <f t="shared" si="2238"/>
        <v>14.5</v>
      </c>
      <c r="AY310" s="63">
        <f t="shared" si="2238"/>
        <v>14.5</v>
      </c>
      <c r="AZ310" s="63">
        <f t="shared" si="2238"/>
        <v>16.5</v>
      </c>
      <c r="BA310" s="64">
        <f t="shared" si="2239"/>
        <v>16</v>
      </c>
      <c r="BB310" s="63">
        <f t="shared" si="2239"/>
        <v>15.5</v>
      </c>
      <c r="BC310" s="64">
        <f t="shared" si="2239"/>
        <v>15.5</v>
      </c>
      <c r="BD310" s="63">
        <f t="shared" si="2239"/>
        <v>15.5</v>
      </c>
      <c r="BE310" s="63">
        <f t="shared" si="2239"/>
        <v>16</v>
      </c>
      <c r="BF310" s="63">
        <f t="shared" si="2239"/>
        <v>13.5</v>
      </c>
      <c r="BG310" s="63">
        <f t="shared" si="2239"/>
        <v>14</v>
      </c>
      <c r="BH310" s="63">
        <f t="shared" si="2240"/>
        <v>12.5</v>
      </c>
      <c r="BI310" s="1227">
        <f t="shared" si="2241"/>
        <v>13</v>
      </c>
      <c r="BJ310" s="1227">
        <f t="shared" si="2241"/>
        <v>12.5</v>
      </c>
      <c r="BK310" s="1227">
        <f t="shared" si="2241"/>
        <v>13</v>
      </c>
      <c r="BL310" s="1227">
        <f t="shared" si="2242"/>
        <v>13</v>
      </c>
      <c r="BM310" s="1227">
        <f t="shared" si="2242"/>
        <v>14</v>
      </c>
      <c r="BN310" s="1227">
        <f t="shared" si="2242"/>
        <v>15</v>
      </c>
      <c r="BO310" s="1227">
        <f t="shared" si="2242"/>
        <v>11.5</v>
      </c>
      <c r="BP310" s="1227">
        <f t="shared" si="2242"/>
        <v>12</v>
      </c>
      <c r="BQ310" s="1227">
        <f t="shared" si="2243"/>
        <v>11</v>
      </c>
      <c r="BR310" s="1227">
        <f t="shared" si="2243"/>
        <v>12</v>
      </c>
      <c r="BS310" s="1227">
        <f t="shared" si="2243"/>
        <v>14</v>
      </c>
      <c r="BT310" s="1227">
        <f t="shared" si="2243"/>
        <v>13</v>
      </c>
      <c r="BU310" s="1227">
        <f t="shared" si="2243"/>
        <v>14</v>
      </c>
      <c r="BV310" s="1227">
        <f t="shared" si="2244"/>
        <v>17</v>
      </c>
      <c r="BW310" s="1227">
        <f t="shared" si="2245"/>
        <v>16.5</v>
      </c>
      <c r="BX310" s="1227">
        <f t="shared" si="2246"/>
        <v>13.5</v>
      </c>
      <c r="BY310" s="1227">
        <f t="shared" si="2247"/>
        <v>12</v>
      </c>
      <c r="BZ310" s="1227">
        <f t="shared" si="2248"/>
        <v>2.5</v>
      </c>
      <c r="CA310" s="1227">
        <f t="shared" si="2249"/>
        <v>3.5</v>
      </c>
      <c r="CB310" s="1227">
        <f t="shared" si="2249"/>
        <v>12</v>
      </c>
      <c r="CC310" s="1227">
        <f t="shared" si="2249"/>
        <v>10</v>
      </c>
      <c r="CD310" s="1227">
        <f t="shared" si="2250"/>
        <v>10</v>
      </c>
      <c r="CE310" s="1227">
        <f t="shared" si="2250"/>
        <v>10</v>
      </c>
      <c r="CF310" s="1227">
        <f t="shared" si="2250"/>
        <v>4</v>
      </c>
      <c r="CG310" s="1227">
        <f t="shared" si="2251"/>
        <v>7.5</v>
      </c>
      <c r="CH310" s="1227">
        <f t="shared" si="2251"/>
        <v>11</v>
      </c>
      <c r="CI310" s="1227">
        <f t="shared" si="2252"/>
        <v>8.5</v>
      </c>
      <c r="CJ310" s="1227">
        <f t="shared" si="2252"/>
        <v>6</v>
      </c>
      <c r="CK310" s="1227">
        <f t="shared" si="2253"/>
        <v>5.5</v>
      </c>
      <c r="CL310" s="367">
        <f t="shared" si="2254"/>
        <v>3.5</v>
      </c>
      <c r="CM310" s="367">
        <f t="shared" si="2255"/>
        <v>3.5</v>
      </c>
      <c r="CN310" s="367">
        <f t="shared" si="2256"/>
        <v>4</v>
      </c>
      <c r="CO310" s="367">
        <f t="shared" si="2257"/>
        <v>2</v>
      </c>
      <c r="CP310" s="367">
        <f t="shared" si="2258"/>
        <v>3</v>
      </c>
      <c r="CQ310" s="367"/>
      <c r="CR310" s="604"/>
      <c r="CS310" s="604"/>
      <c r="CT310" s="367">
        <v>3.5</v>
      </c>
      <c r="CU310" s="1102"/>
      <c r="CV310" s="63">
        <v>2</v>
      </c>
      <c r="CW310" s="63">
        <v>2</v>
      </c>
      <c r="CX310" s="63">
        <v>4</v>
      </c>
      <c r="CY310" s="63">
        <v>4</v>
      </c>
      <c r="CZ310" s="63">
        <v>9</v>
      </c>
      <c r="DA310" s="63">
        <v>9</v>
      </c>
      <c r="DB310" s="62">
        <v>12</v>
      </c>
      <c r="DC310" s="63">
        <v>7</v>
      </c>
      <c r="DD310" s="62">
        <v>12</v>
      </c>
      <c r="DE310" s="62">
        <v>27</v>
      </c>
      <c r="DF310" s="63">
        <f t="shared" si="2233"/>
        <v>21</v>
      </c>
      <c r="DG310" s="63">
        <f t="shared" si="2205"/>
        <v>14.5</v>
      </c>
      <c r="DH310" s="63">
        <f t="shared" si="2206"/>
        <v>15.5</v>
      </c>
      <c r="DI310" s="63">
        <f t="shared" si="2207"/>
        <v>13.5</v>
      </c>
      <c r="DJ310" s="63">
        <f t="shared" si="2208"/>
        <v>12.5</v>
      </c>
      <c r="DK310" s="63">
        <f t="shared" si="2259"/>
        <v>15</v>
      </c>
      <c r="DL310" s="1227">
        <f t="shared" si="2209"/>
        <v>12</v>
      </c>
      <c r="DM310" s="1227">
        <f t="shared" si="2259"/>
        <v>17</v>
      </c>
      <c r="DN310" s="1227">
        <f t="shared" si="2260"/>
        <v>2.5</v>
      </c>
      <c r="DO310" s="1227">
        <f t="shared" si="2260"/>
        <v>0.5</v>
      </c>
      <c r="DP310" s="1227">
        <f t="shared" si="2260"/>
        <v>0.5</v>
      </c>
      <c r="DQ310" s="1227">
        <f t="shared" si="2260"/>
        <v>2</v>
      </c>
      <c r="DR310" s="1227">
        <f t="shared" si="2260"/>
        <v>-2</v>
      </c>
      <c r="DS310" s="367">
        <f t="shared" si="2261"/>
        <v>0.5</v>
      </c>
      <c r="DT310" s="367">
        <f t="shared" si="2262"/>
        <v>0.5</v>
      </c>
      <c r="DU310" s="367">
        <f t="shared" si="2263"/>
        <v>30</v>
      </c>
      <c r="DV310" s="367">
        <f t="shared" si="2264"/>
        <v>30</v>
      </c>
      <c r="DY310" s="367">
        <v>-2</v>
      </c>
      <c r="DZ310" s="367">
        <v>0.5</v>
      </c>
    </row>
    <row r="311" spans="1:130">
      <c r="A311" s="45" t="s">
        <v>299</v>
      </c>
      <c r="B311" s="45">
        <v>14</v>
      </c>
      <c r="C311" s="63">
        <v>10</v>
      </c>
      <c r="D311" s="63">
        <v>8</v>
      </c>
      <c r="E311" s="63">
        <v>7</v>
      </c>
      <c r="F311" s="63">
        <v>5</v>
      </c>
      <c r="G311" s="63">
        <v>4</v>
      </c>
      <c r="H311" s="63">
        <v>4</v>
      </c>
      <c r="I311" s="63">
        <v>3</v>
      </c>
      <c r="J311" s="63">
        <v>2</v>
      </c>
      <c r="K311" s="63">
        <v>1</v>
      </c>
      <c r="L311" s="63">
        <v>1</v>
      </c>
      <c r="M311" s="63">
        <v>1</v>
      </c>
      <c r="N311" s="63">
        <v>2</v>
      </c>
      <c r="O311" s="63">
        <v>3</v>
      </c>
      <c r="P311" s="63">
        <v>2</v>
      </c>
      <c r="Q311" s="63">
        <v>3</v>
      </c>
      <c r="R311" s="63">
        <v>4</v>
      </c>
      <c r="S311" s="63">
        <v>3</v>
      </c>
      <c r="T311" s="63">
        <v>4</v>
      </c>
      <c r="U311" s="63">
        <v>3</v>
      </c>
      <c r="V311" s="63">
        <v>4</v>
      </c>
      <c r="W311" s="63">
        <v>4</v>
      </c>
      <c r="X311" s="63">
        <v>4</v>
      </c>
      <c r="Y311" s="63">
        <v>6</v>
      </c>
      <c r="Z311" s="63">
        <v>9</v>
      </c>
      <c r="AA311" s="63">
        <v>9</v>
      </c>
      <c r="AB311" s="63">
        <v>10</v>
      </c>
      <c r="AC311" s="63">
        <v>9</v>
      </c>
      <c r="AD311" s="63">
        <v>9</v>
      </c>
      <c r="AE311" s="63">
        <v>10</v>
      </c>
      <c r="AF311" s="63">
        <v>12</v>
      </c>
      <c r="AG311" s="63">
        <v>13</v>
      </c>
      <c r="AH311" s="63">
        <v>12</v>
      </c>
      <c r="AI311" s="63">
        <v>11</v>
      </c>
      <c r="AJ311" s="63">
        <v>9</v>
      </c>
      <c r="AK311" s="63">
        <v>8</v>
      </c>
      <c r="AL311" s="63">
        <v>7</v>
      </c>
      <c r="AM311" s="63">
        <v>7</v>
      </c>
      <c r="AN311" s="63">
        <v>8</v>
      </c>
      <c r="AO311" s="63">
        <v>8</v>
      </c>
      <c r="AP311" s="63">
        <v>12</v>
      </c>
      <c r="AQ311" s="63">
        <f t="shared" si="2238"/>
        <v>13</v>
      </c>
      <c r="AR311" s="63">
        <f t="shared" si="2238"/>
        <v>17</v>
      </c>
      <c r="AS311" s="63">
        <f t="shared" si="2238"/>
        <v>17</v>
      </c>
      <c r="AT311" s="63">
        <f t="shared" si="2238"/>
        <v>27</v>
      </c>
      <c r="AU311" s="63">
        <f t="shared" si="2238"/>
        <v>28</v>
      </c>
      <c r="AV311" s="63">
        <f t="shared" si="2238"/>
        <v>24</v>
      </c>
      <c r="AW311" s="63">
        <f t="shared" si="2238"/>
        <v>24</v>
      </c>
      <c r="AX311" s="63">
        <f t="shared" si="2238"/>
        <v>21</v>
      </c>
      <c r="AY311" s="63">
        <f t="shared" si="2238"/>
        <v>19.5</v>
      </c>
      <c r="AZ311" s="63">
        <f t="shared" si="2238"/>
        <v>18.5</v>
      </c>
      <c r="BA311" s="64">
        <f t="shared" si="2239"/>
        <v>20</v>
      </c>
      <c r="BB311" s="63">
        <f t="shared" si="2239"/>
        <v>14.5</v>
      </c>
      <c r="BC311" s="64">
        <f t="shared" si="2239"/>
        <v>14.5</v>
      </c>
      <c r="BD311" s="63">
        <f t="shared" si="2239"/>
        <v>16.5</v>
      </c>
      <c r="BE311" s="63">
        <f t="shared" si="2239"/>
        <v>16</v>
      </c>
      <c r="BF311" s="63">
        <f t="shared" si="2239"/>
        <v>15.5</v>
      </c>
      <c r="BG311" s="63">
        <f t="shared" si="2239"/>
        <v>15.5</v>
      </c>
      <c r="BH311" s="63">
        <f t="shared" si="2240"/>
        <v>15.5</v>
      </c>
      <c r="BI311" s="1227">
        <f t="shared" si="2241"/>
        <v>16</v>
      </c>
      <c r="BJ311" s="1227">
        <f t="shared" si="2241"/>
        <v>13.5</v>
      </c>
      <c r="BK311" s="1227">
        <f t="shared" si="2241"/>
        <v>14</v>
      </c>
      <c r="BL311" s="1227">
        <f t="shared" si="2242"/>
        <v>12.5</v>
      </c>
      <c r="BM311" s="1227">
        <f t="shared" si="2242"/>
        <v>13</v>
      </c>
      <c r="BN311" s="1227">
        <f t="shared" si="2242"/>
        <v>12.5</v>
      </c>
      <c r="BO311" s="1227">
        <f t="shared" si="2242"/>
        <v>13</v>
      </c>
      <c r="BP311" s="1227">
        <f t="shared" si="2242"/>
        <v>13</v>
      </c>
      <c r="BQ311" s="1227">
        <f t="shared" si="2243"/>
        <v>14</v>
      </c>
      <c r="BR311" s="1227">
        <f t="shared" si="2243"/>
        <v>15</v>
      </c>
      <c r="BS311" s="1227">
        <f t="shared" si="2243"/>
        <v>11.5</v>
      </c>
      <c r="BT311" s="1227">
        <f t="shared" si="2243"/>
        <v>12</v>
      </c>
      <c r="BU311" s="1227">
        <f t="shared" si="2243"/>
        <v>11</v>
      </c>
      <c r="BV311" s="1227">
        <f t="shared" si="2244"/>
        <v>12</v>
      </c>
      <c r="BW311" s="1227">
        <f t="shared" si="2245"/>
        <v>14</v>
      </c>
      <c r="BX311" s="1227">
        <f t="shared" si="2246"/>
        <v>13</v>
      </c>
      <c r="BY311" s="1227">
        <f t="shared" si="2247"/>
        <v>14</v>
      </c>
      <c r="BZ311" s="1227">
        <f t="shared" si="2248"/>
        <v>17</v>
      </c>
      <c r="CA311" s="1227">
        <f t="shared" si="2249"/>
        <v>16.5</v>
      </c>
      <c r="CB311" s="1227">
        <f t="shared" si="2249"/>
        <v>13.5</v>
      </c>
      <c r="CC311" s="1227">
        <f t="shared" si="2249"/>
        <v>12</v>
      </c>
      <c r="CD311" s="1227">
        <f t="shared" si="2250"/>
        <v>2.5</v>
      </c>
      <c r="CE311" s="1227">
        <f t="shared" si="2250"/>
        <v>3.5</v>
      </c>
      <c r="CF311" s="1227">
        <f t="shared" si="2250"/>
        <v>12</v>
      </c>
      <c r="CG311" s="1227">
        <f t="shared" si="2251"/>
        <v>10</v>
      </c>
      <c r="CH311" s="1227">
        <f t="shared" si="2251"/>
        <v>10</v>
      </c>
      <c r="CI311" s="1227">
        <f t="shared" si="2252"/>
        <v>10</v>
      </c>
      <c r="CJ311" s="1227">
        <f t="shared" si="2252"/>
        <v>4</v>
      </c>
      <c r="CK311" s="1227">
        <f t="shared" si="2253"/>
        <v>7.5</v>
      </c>
      <c r="CL311" s="367">
        <f t="shared" si="2254"/>
        <v>11</v>
      </c>
      <c r="CM311" s="367">
        <f t="shared" si="2255"/>
        <v>8.5</v>
      </c>
      <c r="CN311" s="367">
        <f t="shared" si="2256"/>
        <v>6</v>
      </c>
      <c r="CO311" s="367">
        <f t="shared" si="2257"/>
        <v>5.5</v>
      </c>
      <c r="CP311" s="367">
        <f t="shared" si="2258"/>
        <v>3.5</v>
      </c>
      <c r="CQ311" s="367"/>
      <c r="CR311" s="604"/>
      <c r="CS311" s="604"/>
      <c r="CT311" s="367">
        <v>11</v>
      </c>
      <c r="CU311" s="1102"/>
      <c r="CV311" s="63">
        <v>5</v>
      </c>
      <c r="CW311" s="63">
        <v>2</v>
      </c>
      <c r="CX311" s="63">
        <v>2</v>
      </c>
      <c r="CY311" s="63">
        <v>4</v>
      </c>
      <c r="CZ311" s="63">
        <v>4</v>
      </c>
      <c r="DA311" s="63">
        <v>9</v>
      </c>
      <c r="DB311" s="62">
        <v>9</v>
      </c>
      <c r="DC311" s="63">
        <v>12</v>
      </c>
      <c r="DD311" s="62">
        <v>7</v>
      </c>
      <c r="DE311" s="62">
        <v>12</v>
      </c>
      <c r="DF311" s="63">
        <f t="shared" si="2233"/>
        <v>27</v>
      </c>
      <c r="DG311" s="63">
        <f t="shared" si="2205"/>
        <v>21</v>
      </c>
      <c r="DH311" s="63">
        <f t="shared" si="2206"/>
        <v>14.5</v>
      </c>
      <c r="DI311" s="63">
        <f t="shared" si="2207"/>
        <v>15.5</v>
      </c>
      <c r="DJ311" s="63">
        <f t="shared" si="2208"/>
        <v>13.5</v>
      </c>
      <c r="DK311" s="63">
        <f t="shared" si="2259"/>
        <v>12.5</v>
      </c>
      <c r="DL311" s="1227">
        <f t="shared" si="2209"/>
        <v>15</v>
      </c>
      <c r="DM311" s="1235">
        <f t="shared" si="2259"/>
        <v>12</v>
      </c>
      <c r="DN311" s="1235">
        <f t="shared" si="2260"/>
        <v>17</v>
      </c>
      <c r="DO311" s="1235">
        <f t="shared" si="2260"/>
        <v>2.5</v>
      </c>
      <c r="DP311" s="1235">
        <f t="shared" si="2260"/>
        <v>0.5</v>
      </c>
      <c r="DQ311" s="1235">
        <f t="shared" si="2260"/>
        <v>0.5</v>
      </c>
      <c r="DR311" s="1235">
        <f t="shared" si="2260"/>
        <v>2</v>
      </c>
      <c r="DS311" s="384">
        <f t="shared" si="2261"/>
        <v>-2</v>
      </c>
      <c r="DT311" s="384">
        <f t="shared" si="2262"/>
        <v>0.5</v>
      </c>
      <c r="DU311" s="384">
        <f t="shared" si="2263"/>
        <v>0.5</v>
      </c>
      <c r="DV311" s="384">
        <f t="shared" si="2264"/>
        <v>30</v>
      </c>
      <c r="DY311" s="384">
        <v>2</v>
      </c>
      <c r="DZ311" s="384">
        <v>-2</v>
      </c>
    </row>
    <row r="312" spans="1:130">
      <c r="A312" s="45" t="s">
        <v>300</v>
      </c>
      <c r="B312" s="45">
        <v>14</v>
      </c>
      <c r="C312" s="63">
        <v>15</v>
      </c>
      <c r="D312" s="63">
        <v>16</v>
      </c>
      <c r="E312" s="63">
        <v>16</v>
      </c>
      <c r="F312" s="63">
        <v>14</v>
      </c>
      <c r="G312" s="63">
        <v>10</v>
      </c>
      <c r="H312" s="63">
        <v>8</v>
      </c>
      <c r="I312" s="63">
        <v>7</v>
      </c>
      <c r="J312" s="63">
        <v>5</v>
      </c>
      <c r="K312" s="63">
        <v>4</v>
      </c>
      <c r="L312" s="63">
        <v>4</v>
      </c>
      <c r="M312" s="63">
        <v>3</v>
      </c>
      <c r="N312" s="63">
        <v>2</v>
      </c>
      <c r="O312" s="63">
        <v>1</v>
      </c>
      <c r="P312" s="63">
        <v>1</v>
      </c>
      <c r="Q312" s="63">
        <v>1</v>
      </c>
      <c r="R312" s="63">
        <v>2</v>
      </c>
      <c r="S312" s="63">
        <v>3</v>
      </c>
      <c r="T312" s="63">
        <v>2</v>
      </c>
      <c r="U312" s="63">
        <v>3</v>
      </c>
      <c r="V312" s="63">
        <v>4</v>
      </c>
      <c r="W312" s="63">
        <v>3</v>
      </c>
      <c r="X312" s="63">
        <v>4</v>
      </c>
      <c r="Y312" s="63">
        <v>3</v>
      </c>
      <c r="Z312" s="63">
        <v>4</v>
      </c>
      <c r="AA312" s="63">
        <v>4</v>
      </c>
      <c r="AB312" s="63">
        <v>4</v>
      </c>
      <c r="AC312" s="63">
        <v>6</v>
      </c>
      <c r="AD312" s="63">
        <v>9</v>
      </c>
      <c r="AE312" s="63">
        <v>9</v>
      </c>
      <c r="AF312" s="63">
        <v>10</v>
      </c>
      <c r="AG312" s="63">
        <v>9</v>
      </c>
      <c r="AH312" s="63">
        <v>9</v>
      </c>
      <c r="AI312" s="63">
        <v>10</v>
      </c>
      <c r="AJ312" s="63">
        <v>12</v>
      </c>
      <c r="AK312" s="63">
        <v>13</v>
      </c>
      <c r="AL312" s="63">
        <v>12</v>
      </c>
      <c r="AM312" s="63">
        <v>11</v>
      </c>
      <c r="AN312" s="63">
        <v>9</v>
      </c>
      <c r="AO312" s="63">
        <v>8</v>
      </c>
      <c r="AP312" s="63">
        <v>7</v>
      </c>
      <c r="AQ312" s="63">
        <f t="shared" si="2238"/>
        <v>7</v>
      </c>
      <c r="AR312" s="63">
        <f t="shared" si="2238"/>
        <v>8</v>
      </c>
      <c r="AS312" s="63">
        <f t="shared" si="2238"/>
        <v>8</v>
      </c>
      <c r="AT312" s="63">
        <f t="shared" si="2238"/>
        <v>12</v>
      </c>
      <c r="AU312" s="63">
        <f t="shared" si="2238"/>
        <v>13</v>
      </c>
      <c r="AV312" s="63">
        <f t="shared" si="2238"/>
        <v>17</v>
      </c>
      <c r="AW312" s="63">
        <f t="shared" si="2238"/>
        <v>17</v>
      </c>
      <c r="AX312" s="63">
        <f t="shared" si="2238"/>
        <v>27</v>
      </c>
      <c r="AY312" s="63">
        <f t="shared" si="2238"/>
        <v>28</v>
      </c>
      <c r="AZ312" s="63">
        <f t="shared" si="2238"/>
        <v>24</v>
      </c>
      <c r="BA312" s="64">
        <f t="shared" si="2239"/>
        <v>24</v>
      </c>
      <c r="BB312" s="63">
        <f t="shared" si="2239"/>
        <v>21</v>
      </c>
      <c r="BC312" s="64">
        <f t="shared" si="2239"/>
        <v>19.5</v>
      </c>
      <c r="BD312" s="63">
        <f t="shared" si="2239"/>
        <v>18.5</v>
      </c>
      <c r="BE312" s="63">
        <f t="shared" si="2239"/>
        <v>20</v>
      </c>
      <c r="BF312" s="63">
        <f t="shared" si="2239"/>
        <v>14.5</v>
      </c>
      <c r="BG312" s="63">
        <f t="shared" si="2239"/>
        <v>14.5</v>
      </c>
      <c r="BH312" s="63">
        <f t="shared" si="2240"/>
        <v>16.5</v>
      </c>
      <c r="BI312" s="1227">
        <f t="shared" si="2241"/>
        <v>16</v>
      </c>
      <c r="BJ312" s="1227">
        <f t="shared" si="2241"/>
        <v>15.5</v>
      </c>
      <c r="BK312" s="1227">
        <f t="shared" si="2241"/>
        <v>15.5</v>
      </c>
      <c r="BL312" s="1227">
        <f t="shared" si="2242"/>
        <v>15.5</v>
      </c>
      <c r="BM312" s="1227">
        <f t="shared" si="2242"/>
        <v>16</v>
      </c>
      <c r="BN312" s="1227">
        <f t="shared" si="2242"/>
        <v>13.5</v>
      </c>
      <c r="BO312" s="1227">
        <f t="shared" si="2242"/>
        <v>14</v>
      </c>
      <c r="BP312" s="1227">
        <f t="shared" si="2242"/>
        <v>12.5</v>
      </c>
      <c r="BQ312" s="1227">
        <f t="shared" si="2243"/>
        <v>13</v>
      </c>
      <c r="BR312" s="1227">
        <f t="shared" si="2243"/>
        <v>12.5</v>
      </c>
      <c r="BS312" s="1227">
        <f t="shared" si="2243"/>
        <v>13</v>
      </c>
      <c r="BT312" s="1227">
        <f t="shared" si="2243"/>
        <v>13</v>
      </c>
      <c r="BU312" s="1227">
        <f t="shared" si="2243"/>
        <v>14</v>
      </c>
      <c r="BV312" s="1227">
        <f t="shared" si="2244"/>
        <v>15</v>
      </c>
      <c r="BW312" s="1227">
        <f t="shared" si="2245"/>
        <v>11.5</v>
      </c>
      <c r="BX312" s="1227">
        <f t="shared" si="2246"/>
        <v>12</v>
      </c>
      <c r="BY312" s="1227">
        <f t="shared" si="2247"/>
        <v>11</v>
      </c>
      <c r="BZ312" s="1227">
        <f t="shared" si="2248"/>
        <v>12</v>
      </c>
      <c r="CA312" s="1227">
        <f t="shared" si="2249"/>
        <v>14</v>
      </c>
      <c r="CB312" s="1227">
        <f t="shared" si="2249"/>
        <v>13</v>
      </c>
      <c r="CC312" s="1227">
        <f t="shared" si="2249"/>
        <v>14</v>
      </c>
      <c r="CD312" s="1227">
        <f t="shared" si="2250"/>
        <v>17</v>
      </c>
      <c r="CE312" s="1227">
        <f t="shared" si="2250"/>
        <v>16.5</v>
      </c>
      <c r="CF312" s="1227">
        <f t="shared" si="2250"/>
        <v>13.5</v>
      </c>
      <c r="CG312" s="1227">
        <f t="shared" si="2251"/>
        <v>12</v>
      </c>
      <c r="CH312" s="1227">
        <f t="shared" si="2251"/>
        <v>2.5</v>
      </c>
      <c r="CI312" s="1227">
        <f t="shared" si="2252"/>
        <v>3.5</v>
      </c>
      <c r="CJ312" s="1227">
        <f t="shared" si="2252"/>
        <v>12</v>
      </c>
      <c r="CK312" s="1227">
        <f t="shared" si="2253"/>
        <v>10</v>
      </c>
      <c r="CL312" s="367">
        <f t="shared" si="2254"/>
        <v>10</v>
      </c>
      <c r="CM312" s="367">
        <f t="shared" si="2255"/>
        <v>10</v>
      </c>
      <c r="CN312" s="367">
        <f t="shared" si="2256"/>
        <v>4</v>
      </c>
      <c r="CO312" s="367">
        <f t="shared" si="2257"/>
        <v>7.5</v>
      </c>
      <c r="CP312" s="367">
        <f t="shared" si="2258"/>
        <v>11</v>
      </c>
      <c r="CQ312" s="367"/>
      <c r="CR312" s="604"/>
      <c r="CS312" s="604"/>
      <c r="CT312" s="367">
        <v>10</v>
      </c>
      <c r="CU312" s="1102"/>
      <c r="CV312" s="63">
        <v>14</v>
      </c>
      <c r="CW312" s="63">
        <v>5</v>
      </c>
      <c r="CX312" s="63">
        <v>2</v>
      </c>
      <c r="CY312" s="63">
        <v>2</v>
      </c>
      <c r="CZ312" s="63">
        <v>4</v>
      </c>
      <c r="DA312" s="63">
        <v>4</v>
      </c>
      <c r="DB312" s="62">
        <v>9</v>
      </c>
      <c r="DC312" s="63">
        <v>9</v>
      </c>
      <c r="DD312" s="62">
        <v>12</v>
      </c>
      <c r="DE312" s="62">
        <v>7</v>
      </c>
      <c r="DF312" s="63">
        <f t="shared" si="2233"/>
        <v>12</v>
      </c>
      <c r="DG312" s="63">
        <f t="shared" si="2205"/>
        <v>27</v>
      </c>
      <c r="DH312" s="63">
        <f t="shared" si="2206"/>
        <v>21</v>
      </c>
      <c r="DI312" s="63">
        <f t="shared" si="2207"/>
        <v>14.5</v>
      </c>
      <c r="DJ312" s="63">
        <f t="shared" si="2208"/>
        <v>15.5</v>
      </c>
      <c r="DK312" s="63">
        <f t="shared" si="2259"/>
        <v>13.5</v>
      </c>
      <c r="DL312" s="1227">
        <f t="shared" si="2209"/>
        <v>12.5</v>
      </c>
      <c r="DM312" s="1235">
        <f t="shared" si="2259"/>
        <v>15</v>
      </c>
      <c r="DN312" s="1235">
        <f t="shared" si="2260"/>
        <v>12</v>
      </c>
      <c r="DO312" s="1235">
        <f t="shared" si="2260"/>
        <v>17</v>
      </c>
      <c r="DP312" s="1235">
        <f t="shared" si="2260"/>
        <v>2.5</v>
      </c>
      <c r="DQ312" s="1235">
        <f t="shared" si="2260"/>
        <v>0.5</v>
      </c>
      <c r="DR312" s="1235">
        <f t="shared" si="2260"/>
        <v>0.5</v>
      </c>
      <c r="DS312" s="384">
        <f t="shared" si="2261"/>
        <v>2</v>
      </c>
      <c r="DT312" s="384">
        <f t="shared" si="2262"/>
        <v>-2</v>
      </c>
      <c r="DU312" s="384">
        <f t="shared" si="2263"/>
        <v>0.5</v>
      </c>
      <c r="DV312" s="384">
        <f t="shared" si="2264"/>
        <v>0.5</v>
      </c>
      <c r="DY312" s="384">
        <v>0.5</v>
      </c>
      <c r="DZ312" s="384">
        <v>2</v>
      </c>
    </row>
    <row r="313" spans="1:130">
      <c r="A313" s="45" t="s">
        <v>301</v>
      </c>
      <c r="B313" s="45">
        <v>5</v>
      </c>
      <c r="C313" s="63">
        <v>8</v>
      </c>
      <c r="D313" s="63">
        <v>9</v>
      </c>
      <c r="E313" s="63">
        <v>10</v>
      </c>
      <c r="F313" s="63">
        <v>14</v>
      </c>
      <c r="G313" s="63">
        <v>15</v>
      </c>
      <c r="H313" s="63">
        <v>16</v>
      </c>
      <c r="I313" s="63">
        <v>16</v>
      </c>
      <c r="J313" s="63">
        <v>14</v>
      </c>
      <c r="K313" s="63">
        <v>10</v>
      </c>
      <c r="L313" s="63">
        <v>8</v>
      </c>
      <c r="M313" s="63">
        <v>7</v>
      </c>
      <c r="N313" s="63">
        <v>5</v>
      </c>
      <c r="O313" s="63">
        <v>4</v>
      </c>
      <c r="P313" s="63">
        <v>4</v>
      </c>
      <c r="Q313" s="63">
        <v>3</v>
      </c>
      <c r="R313" s="63">
        <v>2</v>
      </c>
      <c r="S313" s="63">
        <v>1</v>
      </c>
      <c r="T313" s="63">
        <v>1</v>
      </c>
      <c r="U313" s="63">
        <v>1</v>
      </c>
      <c r="V313" s="63">
        <v>2</v>
      </c>
      <c r="W313" s="63">
        <v>3</v>
      </c>
      <c r="X313" s="63">
        <v>2</v>
      </c>
      <c r="Y313" s="63">
        <v>3</v>
      </c>
      <c r="Z313" s="63">
        <v>4</v>
      </c>
      <c r="AA313" s="63">
        <v>3</v>
      </c>
      <c r="AB313" s="63">
        <v>4</v>
      </c>
      <c r="AC313" s="63">
        <v>3</v>
      </c>
      <c r="AD313" s="63">
        <v>4</v>
      </c>
      <c r="AE313" s="63">
        <v>4</v>
      </c>
      <c r="AF313" s="63">
        <v>4</v>
      </c>
      <c r="AG313" s="63">
        <v>6</v>
      </c>
      <c r="AH313" s="63">
        <v>9</v>
      </c>
      <c r="AI313" s="63">
        <v>9</v>
      </c>
      <c r="AJ313" s="63">
        <v>10</v>
      </c>
      <c r="AK313" s="63">
        <v>9</v>
      </c>
      <c r="AL313" s="63">
        <v>9</v>
      </c>
      <c r="AM313" s="63">
        <v>10</v>
      </c>
      <c r="AN313" s="63">
        <v>12</v>
      </c>
      <c r="AO313" s="63">
        <v>13</v>
      </c>
      <c r="AP313" s="63">
        <v>12</v>
      </c>
      <c r="AQ313" s="63">
        <f t="shared" si="2238"/>
        <v>11</v>
      </c>
      <c r="AR313" s="63">
        <f t="shared" si="2238"/>
        <v>9</v>
      </c>
      <c r="AS313" s="63">
        <f t="shared" si="2238"/>
        <v>8</v>
      </c>
      <c r="AT313" s="63">
        <f t="shared" si="2238"/>
        <v>7</v>
      </c>
      <c r="AU313" s="63">
        <f t="shared" si="2238"/>
        <v>7</v>
      </c>
      <c r="AV313" s="63">
        <f t="shared" si="2238"/>
        <v>8</v>
      </c>
      <c r="AW313" s="63">
        <f t="shared" si="2238"/>
        <v>8</v>
      </c>
      <c r="AX313" s="63">
        <f t="shared" si="2238"/>
        <v>12</v>
      </c>
      <c r="AY313" s="63">
        <f t="shared" si="2238"/>
        <v>13</v>
      </c>
      <c r="AZ313" s="63">
        <f t="shared" si="2238"/>
        <v>17</v>
      </c>
      <c r="BA313" s="64">
        <f t="shared" si="2239"/>
        <v>17</v>
      </c>
      <c r="BB313" s="63">
        <f t="shared" si="2239"/>
        <v>27</v>
      </c>
      <c r="BC313" s="64">
        <f t="shared" si="2239"/>
        <v>28</v>
      </c>
      <c r="BD313" s="63">
        <f t="shared" si="2239"/>
        <v>24</v>
      </c>
      <c r="BE313" s="63">
        <f t="shared" si="2239"/>
        <v>24</v>
      </c>
      <c r="BF313" s="63">
        <f t="shared" si="2239"/>
        <v>21</v>
      </c>
      <c r="BG313" s="63">
        <f t="shared" si="2239"/>
        <v>19.5</v>
      </c>
      <c r="BH313" s="63">
        <f t="shared" si="2240"/>
        <v>18.5</v>
      </c>
      <c r="BI313" s="1227">
        <f t="shared" si="2241"/>
        <v>20</v>
      </c>
      <c r="BJ313" s="1227">
        <f t="shared" si="2241"/>
        <v>14.5</v>
      </c>
      <c r="BK313" s="1227">
        <f t="shared" si="2241"/>
        <v>14.5</v>
      </c>
      <c r="BL313" s="1227">
        <f t="shared" si="2242"/>
        <v>16.5</v>
      </c>
      <c r="BM313" s="1227">
        <f t="shared" si="2242"/>
        <v>16</v>
      </c>
      <c r="BN313" s="1227">
        <f t="shared" si="2242"/>
        <v>15.5</v>
      </c>
      <c r="BO313" s="1227">
        <f t="shared" si="2242"/>
        <v>15.5</v>
      </c>
      <c r="BP313" s="1227">
        <f t="shared" si="2242"/>
        <v>15.5</v>
      </c>
      <c r="BQ313" s="1227">
        <f t="shared" si="2243"/>
        <v>16</v>
      </c>
      <c r="BR313" s="1227">
        <f t="shared" si="2243"/>
        <v>13.5</v>
      </c>
      <c r="BS313" s="1227">
        <f t="shared" si="2243"/>
        <v>14</v>
      </c>
      <c r="BT313" s="1227">
        <f t="shared" si="2243"/>
        <v>12.5</v>
      </c>
      <c r="BU313" s="1227">
        <f t="shared" si="2243"/>
        <v>13</v>
      </c>
      <c r="BV313" s="1227">
        <f t="shared" si="2244"/>
        <v>12.5</v>
      </c>
      <c r="BW313" s="1227">
        <f t="shared" si="2245"/>
        <v>13</v>
      </c>
      <c r="BX313" s="1227">
        <f t="shared" si="2246"/>
        <v>13</v>
      </c>
      <c r="BY313" s="1227">
        <f t="shared" si="2247"/>
        <v>14</v>
      </c>
      <c r="BZ313" s="1227">
        <f t="shared" si="2248"/>
        <v>15</v>
      </c>
      <c r="CA313" s="1227">
        <f t="shared" si="2249"/>
        <v>11.5</v>
      </c>
      <c r="CB313" s="1227">
        <f t="shared" si="2249"/>
        <v>12</v>
      </c>
      <c r="CC313" s="1227">
        <f t="shared" si="2249"/>
        <v>11</v>
      </c>
      <c r="CD313" s="1227">
        <f t="shared" si="2250"/>
        <v>12</v>
      </c>
      <c r="CE313" s="1227">
        <f t="shared" si="2250"/>
        <v>14</v>
      </c>
      <c r="CF313" s="1227">
        <f t="shared" si="2250"/>
        <v>13</v>
      </c>
      <c r="CG313" s="1227">
        <f t="shared" si="2251"/>
        <v>14</v>
      </c>
      <c r="CH313" s="1227">
        <f t="shared" si="2251"/>
        <v>17</v>
      </c>
      <c r="CI313" s="1227">
        <f t="shared" si="2252"/>
        <v>16.5</v>
      </c>
      <c r="CJ313" s="1227">
        <f t="shared" si="2252"/>
        <v>13.5</v>
      </c>
      <c r="CK313" s="1227">
        <f t="shared" si="2253"/>
        <v>12</v>
      </c>
      <c r="CL313" s="367">
        <f t="shared" si="2254"/>
        <v>2.5</v>
      </c>
      <c r="CM313" s="367">
        <f t="shared" si="2255"/>
        <v>3.5</v>
      </c>
      <c r="CN313" s="367">
        <f t="shared" si="2256"/>
        <v>12</v>
      </c>
      <c r="CO313" s="367">
        <f t="shared" si="2257"/>
        <v>10</v>
      </c>
      <c r="CP313" s="367">
        <f t="shared" si="2258"/>
        <v>10</v>
      </c>
      <c r="CQ313" s="367"/>
      <c r="CR313" s="604"/>
      <c r="CS313" s="604"/>
      <c r="CT313" s="367">
        <v>2.5</v>
      </c>
      <c r="CU313" s="1102"/>
      <c r="CV313" s="63">
        <v>14</v>
      </c>
      <c r="CW313" s="63">
        <v>14</v>
      </c>
      <c r="CX313" s="63">
        <v>5</v>
      </c>
      <c r="CY313" s="63">
        <v>2</v>
      </c>
      <c r="CZ313" s="63">
        <v>2</v>
      </c>
      <c r="DA313" s="63">
        <v>4</v>
      </c>
      <c r="DB313" s="62">
        <v>4</v>
      </c>
      <c r="DC313" s="63">
        <v>9</v>
      </c>
      <c r="DD313" s="62">
        <v>9</v>
      </c>
      <c r="DE313" s="62">
        <v>12</v>
      </c>
      <c r="DF313" s="63">
        <f t="shared" si="2233"/>
        <v>7</v>
      </c>
      <c r="DG313" s="63">
        <f t="shared" si="2205"/>
        <v>12</v>
      </c>
      <c r="DH313" s="63">
        <f t="shared" si="2206"/>
        <v>27</v>
      </c>
      <c r="DI313" s="63">
        <f t="shared" si="2207"/>
        <v>21</v>
      </c>
      <c r="DJ313" s="63">
        <f t="shared" si="2208"/>
        <v>14.5</v>
      </c>
      <c r="DK313" s="63">
        <f t="shared" si="2259"/>
        <v>15.5</v>
      </c>
      <c r="DL313" s="1227">
        <f t="shared" si="2209"/>
        <v>13.5</v>
      </c>
      <c r="DM313" s="1235">
        <f t="shared" si="2259"/>
        <v>12.5</v>
      </c>
      <c r="DN313" s="1235">
        <f t="shared" si="2260"/>
        <v>15</v>
      </c>
      <c r="DO313" s="1235">
        <f t="shared" si="2260"/>
        <v>12</v>
      </c>
      <c r="DP313" s="1235">
        <f t="shared" si="2260"/>
        <v>17</v>
      </c>
      <c r="DQ313" s="1235">
        <f t="shared" si="2260"/>
        <v>2.5</v>
      </c>
      <c r="DR313" s="1235">
        <f t="shared" si="2260"/>
        <v>0.5</v>
      </c>
      <c r="DS313" s="384">
        <f t="shared" si="2261"/>
        <v>0.5</v>
      </c>
      <c r="DT313" s="384">
        <f t="shared" si="2262"/>
        <v>2</v>
      </c>
      <c r="DU313" s="384">
        <f t="shared" si="2263"/>
        <v>-2</v>
      </c>
      <c r="DV313" s="384">
        <f t="shared" si="2264"/>
        <v>0.5</v>
      </c>
      <c r="DY313" s="384">
        <v>0.5</v>
      </c>
      <c r="DZ313" s="384">
        <v>0.5</v>
      </c>
    </row>
    <row r="314" spans="1:130">
      <c r="A314" s="45" t="s">
        <v>302</v>
      </c>
      <c r="B314" s="45">
        <v>3</v>
      </c>
      <c r="C314" s="63">
        <v>5</v>
      </c>
      <c r="D314" s="63">
        <v>5</v>
      </c>
      <c r="E314" s="63">
        <v>5</v>
      </c>
      <c r="F314" s="63">
        <v>5</v>
      </c>
      <c r="G314" s="63">
        <v>8</v>
      </c>
      <c r="H314" s="63">
        <v>9</v>
      </c>
      <c r="I314" s="63">
        <v>10</v>
      </c>
      <c r="J314" s="63">
        <v>14</v>
      </c>
      <c r="K314" s="63">
        <v>15</v>
      </c>
      <c r="L314" s="63">
        <v>16</v>
      </c>
      <c r="M314" s="63">
        <v>16</v>
      </c>
      <c r="N314" s="63">
        <v>14</v>
      </c>
      <c r="O314" s="63">
        <v>10</v>
      </c>
      <c r="P314" s="63">
        <v>8</v>
      </c>
      <c r="Q314" s="63">
        <v>7</v>
      </c>
      <c r="R314" s="63">
        <v>5</v>
      </c>
      <c r="S314" s="63">
        <v>4</v>
      </c>
      <c r="T314" s="63">
        <v>4</v>
      </c>
      <c r="U314" s="63">
        <v>3</v>
      </c>
      <c r="V314" s="63">
        <v>2</v>
      </c>
      <c r="W314" s="63">
        <v>1</v>
      </c>
      <c r="X314" s="63">
        <v>1</v>
      </c>
      <c r="Y314" s="63">
        <v>1</v>
      </c>
      <c r="Z314" s="63">
        <v>2</v>
      </c>
      <c r="AA314" s="63">
        <v>3</v>
      </c>
      <c r="AB314" s="63">
        <v>2</v>
      </c>
      <c r="AC314" s="63">
        <v>3</v>
      </c>
      <c r="AD314" s="63">
        <v>4</v>
      </c>
      <c r="AE314" s="63">
        <v>3</v>
      </c>
      <c r="AF314" s="63">
        <v>4</v>
      </c>
      <c r="AG314" s="63">
        <v>3</v>
      </c>
      <c r="AH314" s="63">
        <v>4</v>
      </c>
      <c r="AI314" s="63">
        <v>4</v>
      </c>
      <c r="AJ314" s="63">
        <v>4</v>
      </c>
      <c r="AK314" s="63">
        <v>6</v>
      </c>
      <c r="AL314" s="63">
        <v>9</v>
      </c>
      <c r="AM314" s="63">
        <v>9</v>
      </c>
      <c r="AN314" s="63">
        <v>10</v>
      </c>
      <c r="AO314" s="63">
        <v>9</v>
      </c>
      <c r="AP314" s="63">
        <v>9</v>
      </c>
      <c r="AQ314" s="63">
        <f t="shared" si="2238"/>
        <v>10</v>
      </c>
      <c r="AR314" s="63">
        <f t="shared" si="2238"/>
        <v>12</v>
      </c>
      <c r="AS314" s="63">
        <f t="shared" si="2238"/>
        <v>13</v>
      </c>
      <c r="AT314" s="63">
        <f t="shared" si="2238"/>
        <v>12</v>
      </c>
      <c r="AU314" s="63">
        <f t="shared" si="2238"/>
        <v>11</v>
      </c>
      <c r="AV314" s="63">
        <f t="shared" si="2238"/>
        <v>9</v>
      </c>
      <c r="AW314" s="63">
        <f t="shared" si="2238"/>
        <v>8</v>
      </c>
      <c r="AX314" s="63">
        <f t="shared" si="2238"/>
        <v>7</v>
      </c>
      <c r="AY314" s="63">
        <f t="shared" si="2238"/>
        <v>7</v>
      </c>
      <c r="AZ314" s="63">
        <f t="shared" si="2238"/>
        <v>8</v>
      </c>
      <c r="BA314" s="64">
        <f t="shared" si="2239"/>
        <v>8</v>
      </c>
      <c r="BB314" s="63">
        <f t="shared" si="2239"/>
        <v>12</v>
      </c>
      <c r="BC314" s="64">
        <f t="shared" si="2239"/>
        <v>13</v>
      </c>
      <c r="BD314" s="63">
        <f t="shared" si="2239"/>
        <v>17</v>
      </c>
      <c r="BE314" s="63">
        <f t="shared" si="2239"/>
        <v>17</v>
      </c>
      <c r="BF314" s="63">
        <f t="shared" si="2239"/>
        <v>27</v>
      </c>
      <c r="BG314" s="63">
        <f t="shared" si="2239"/>
        <v>28</v>
      </c>
      <c r="BH314" s="63">
        <f t="shared" si="2240"/>
        <v>24</v>
      </c>
      <c r="BI314" s="1227">
        <f t="shared" si="2241"/>
        <v>24</v>
      </c>
      <c r="BJ314" s="1227">
        <f t="shared" si="2241"/>
        <v>21</v>
      </c>
      <c r="BK314" s="1227">
        <f t="shared" si="2241"/>
        <v>19.5</v>
      </c>
      <c r="BL314" s="1227">
        <f t="shared" si="2242"/>
        <v>18.5</v>
      </c>
      <c r="BM314" s="1227">
        <f t="shared" si="2242"/>
        <v>20</v>
      </c>
      <c r="BN314" s="1227">
        <f t="shared" si="2242"/>
        <v>14.5</v>
      </c>
      <c r="BO314" s="1227">
        <f t="shared" si="2242"/>
        <v>14.5</v>
      </c>
      <c r="BP314" s="1227">
        <f t="shared" si="2242"/>
        <v>16.5</v>
      </c>
      <c r="BQ314" s="1227">
        <f t="shared" si="2243"/>
        <v>16</v>
      </c>
      <c r="BR314" s="1227">
        <f t="shared" si="2243"/>
        <v>15.5</v>
      </c>
      <c r="BS314" s="1227">
        <f t="shared" si="2243"/>
        <v>15.5</v>
      </c>
      <c r="BT314" s="1227">
        <f t="shared" si="2243"/>
        <v>15.5</v>
      </c>
      <c r="BU314" s="1227">
        <f t="shared" si="2243"/>
        <v>16</v>
      </c>
      <c r="BV314" s="1227">
        <f t="shared" si="2244"/>
        <v>13.5</v>
      </c>
      <c r="BW314" s="1227">
        <f t="shared" si="2245"/>
        <v>14</v>
      </c>
      <c r="BX314" s="1227">
        <f t="shared" si="2246"/>
        <v>12.5</v>
      </c>
      <c r="BY314" s="1227">
        <f t="shared" si="2247"/>
        <v>13</v>
      </c>
      <c r="BZ314" s="1227">
        <f t="shared" si="2248"/>
        <v>12.5</v>
      </c>
      <c r="CA314" s="1227">
        <f t="shared" si="2249"/>
        <v>13</v>
      </c>
      <c r="CB314" s="1227">
        <f t="shared" si="2249"/>
        <v>13</v>
      </c>
      <c r="CC314" s="1227">
        <f t="shared" si="2249"/>
        <v>14</v>
      </c>
      <c r="CD314" s="1227">
        <f t="shared" si="2250"/>
        <v>15</v>
      </c>
      <c r="CE314" s="1227">
        <f t="shared" si="2250"/>
        <v>11.5</v>
      </c>
      <c r="CF314" s="1227">
        <f t="shared" si="2250"/>
        <v>12</v>
      </c>
      <c r="CG314" s="1227">
        <f t="shared" si="2251"/>
        <v>11</v>
      </c>
      <c r="CH314" s="1227">
        <f t="shared" si="2251"/>
        <v>12</v>
      </c>
      <c r="CI314" s="1227">
        <f t="shared" si="2252"/>
        <v>14</v>
      </c>
      <c r="CJ314" s="1227">
        <f t="shared" si="2252"/>
        <v>13</v>
      </c>
      <c r="CK314" s="1227">
        <f t="shared" si="2253"/>
        <v>14</v>
      </c>
      <c r="CL314" s="367">
        <f t="shared" si="2254"/>
        <v>17</v>
      </c>
      <c r="CM314" s="367">
        <f t="shared" si="2255"/>
        <v>16.5</v>
      </c>
      <c r="CN314" s="367">
        <f t="shared" si="2256"/>
        <v>13.5</v>
      </c>
      <c r="CO314" s="367">
        <f t="shared" si="2257"/>
        <v>12</v>
      </c>
      <c r="CP314" s="367">
        <f t="shared" si="2258"/>
        <v>2.5</v>
      </c>
      <c r="CQ314" s="367"/>
      <c r="CR314" s="604"/>
      <c r="CS314" s="604"/>
      <c r="CT314" s="367">
        <v>17</v>
      </c>
      <c r="CU314" s="1102"/>
      <c r="CV314" s="63">
        <v>5</v>
      </c>
      <c r="CW314" s="63">
        <v>14</v>
      </c>
      <c r="CX314" s="63">
        <v>14</v>
      </c>
      <c r="CY314" s="63">
        <v>5</v>
      </c>
      <c r="CZ314" s="63">
        <v>2</v>
      </c>
      <c r="DA314" s="63">
        <v>2</v>
      </c>
      <c r="DB314" s="62">
        <v>4</v>
      </c>
      <c r="DC314" s="63">
        <v>4</v>
      </c>
      <c r="DD314" s="62">
        <v>9</v>
      </c>
      <c r="DE314" s="62">
        <v>9</v>
      </c>
      <c r="DF314" s="63">
        <f t="shared" si="2233"/>
        <v>12</v>
      </c>
      <c r="DG314" s="63">
        <f t="shared" si="2205"/>
        <v>7</v>
      </c>
      <c r="DH314" s="63">
        <f t="shared" si="2206"/>
        <v>12</v>
      </c>
      <c r="DI314" s="63">
        <f t="shared" si="2207"/>
        <v>27</v>
      </c>
      <c r="DJ314" s="63">
        <f t="shared" si="2208"/>
        <v>21</v>
      </c>
      <c r="DK314" s="63">
        <f t="shared" si="2259"/>
        <v>14.5</v>
      </c>
      <c r="DL314" s="1227">
        <f t="shared" si="2209"/>
        <v>15.5</v>
      </c>
      <c r="DM314" s="1235">
        <f t="shared" si="2259"/>
        <v>13.5</v>
      </c>
      <c r="DN314" s="1235">
        <f t="shared" si="2260"/>
        <v>12.5</v>
      </c>
      <c r="DO314" s="1235">
        <f t="shared" si="2260"/>
        <v>15</v>
      </c>
      <c r="DP314" s="1235">
        <f t="shared" si="2260"/>
        <v>12</v>
      </c>
      <c r="DQ314" s="1235">
        <f t="shared" si="2260"/>
        <v>17</v>
      </c>
      <c r="DR314" s="1235">
        <f t="shared" si="2260"/>
        <v>2.5</v>
      </c>
      <c r="DS314" s="384">
        <f t="shared" si="2261"/>
        <v>0.5</v>
      </c>
      <c r="DT314" s="384">
        <f t="shared" si="2262"/>
        <v>0.5</v>
      </c>
      <c r="DU314" s="384">
        <f t="shared" si="2263"/>
        <v>2</v>
      </c>
      <c r="DV314" s="384">
        <f t="shared" si="2264"/>
        <v>-2</v>
      </c>
      <c r="DY314" s="384">
        <v>2.5</v>
      </c>
      <c r="DZ314" s="384">
        <v>0.5</v>
      </c>
    </row>
    <row r="315" spans="1:130">
      <c r="A315" s="45" t="s">
        <v>303</v>
      </c>
      <c r="B315" s="45">
        <v>2</v>
      </c>
      <c r="C315" s="63">
        <v>2</v>
      </c>
      <c r="D315" s="63">
        <v>2</v>
      </c>
      <c r="E315" s="63">
        <v>3</v>
      </c>
      <c r="F315" s="63">
        <v>3</v>
      </c>
      <c r="G315" s="63">
        <v>5</v>
      </c>
      <c r="H315" s="63">
        <v>5</v>
      </c>
      <c r="I315" s="63">
        <v>5</v>
      </c>
      <c r="J315" s="63">
        <v>5</v>
      </c>
      <c r="K315" s="63">
        <v>8</v>
      </c>
      <c r="L315" s="63">
        <v>9</v>
      </c>
      <c r="M315" s="63">
        <v>10</v>
      </c>
      <c r="N315" s="63">
        <v>14</v>
      </c>
      <c r="O315" s="63">
        <v>15</v>
      </c>
      <c r="P315" s="63">
        <v>16</v>
      </c>
      <c r="Q315" s="63">
        <v>16</v>
      </c>
      <c r="R315" s="63">
        <v>14</v>
      </c>
      <c r="S315" s="63">
        <v>10</v>
      </c>
      <c r="T315" s="63">
        <v>8</v>
      </c>
      <c r="U315" s="63">
        <v>7</v>
      </c>
      <c r="V315" s="63">
        <v>5</v>
      </c>
      <c r="W315" s="63">
        <v>4</v>
      </c>
      <c r="X315" s="63">
        <v>4</v>
      </c>
      <c r="Y315" s="63">
        <v>3</v>
      </c>
      <c r="Z315" s="63">
        <v>2</v>
      </c>
      <c r="AA315" s="63">
        <v>1</v>
      </c>
      <c r="AB315" s="63">
        <v>1</v>
      </c>
      <c r="AC315" s="63">
        <v>1</v>
      </c>
      <c r="AD315" s="63">
        <v>2</v>
      </c>
      <c r="AE315" s="63">
        <v>3</v>
      </c>
      <c r="AF315" s="63">
        <v>2</v>
      </c>
      <c r="AG315" s="63">
        <v>3</v>
      </c>
      <c r="AH315" s="63">
        <v>4</v>
      </c>
      <c r="AI315" s="63">
        <v>3</v>
      </c>
      <c r="AJ315" s="63">
        <v>4</v>
      </c>
      <c r="AK315" s="63">
        <v>3</v>
      </c>
      <c r="AL315" s="63">
        <v>4</v>
      </c>
      <c r="AM315" s="63">
        <v>4</v>
      </c>
      <c r="AN315" s="63">
        <v>4</v>
      </c>
      <c r="AO315" s="63">
        <v>6</v>
      </c>
      <c r="AP315" s="63">
        <v>9</v>
      </c>
      <c r="AQ315" s="63">
        <f t="shared" si="2238"/>
        <v>9</v>
      </c>
      <c r="AR315" s="63">
        <f t="shared" si="2238"/>
        <v>10</v>
      </c>
      <c r="AS315" s="63">
        <f t="shared" si="2238"/>
        <v>9</v>
      </c>
      <c r="AT315" s="63">
        <f t="shared" si="2238"/>
        <v>9</v>
      </c>
      <c r="AU315" s="63">
        <f t="shared" si="2238"/>
        <v>10</v>
      </c>
      <c r="AV315" s="63">
        <f t="shared" si="2238"/>
        <v>12</v>
      </c>
      <c r="AW315" s="63">
        <f t="shared" si="2238"/>
        <v>13</v>
      </c>
      <c r="AX315" s="63">
        <f t="shared" si="2238"/>
        <v>12</v>
      </c>
      <c r="AY315" s="63">
        <f t="shared" si="2238"/>
        <v>11</v>
      </c>
      <c r="AZ315" s="63">
        <f t="shared" si="2238"/>
        <v>9</v>
      </c>
      <c r="BA315" s="64">
        <f t="shared" si="2239"/>
        <v>8</v>
      </c>
      <c r="BB315" s="63">
        <f t="shared" si="2239"/>
        <v>7</v>
      </c>
      <c r="BC315" s="64">
        <f t="shared" si="2239"/>
        <v>7</v>
      </c>
      <c r="BD315" s="63">
        <f t="shared" si="2239"/>
        <v>8</v>
      </c>
      <c r="BE315" s="63">
        <f t="shared" si="2239"/>
        <v>8</v>
      </c>
      <c r="BF315" s="63">
        <f t="shared" si="2239"/>
        <v>12</v>
      </c>
      <c r="BG315" s="63">
        <f t="shared" si="2239"/>
        <v>13</v>
      </c>
      <c r="BH315" s="63">
        <f t="shared" si="2240"/>
        <v>17</v>
      </c>
      <c r="BI315" s="1227">
        <f t="shared" si="2241"/>
        <v>17</v>
      </c>
      <c r="BJ315" s="1227">
        <f t="shared" si="2241"/>
        <v>27</v>
      </c>
      <c r="BK315" s="1227">
        <f t="shared" si="2241"/>
        <v>28</v>
      </c>
      <c r="BL315" s="1227">
        <f t="shared" si="2242"/>
        <v>24</v>
      </c>
      <c r="BM315" s="1227">
        <f t="shared" si="2242"/>
        <v>24</v>
      </c>
      <c r="BN315" s="1227">
        <f t="shared" si="2242"/>
        <v>21</v>
      </c>
      <c r="BO315" s="1227">
        <f t="shared" si="2242"/>
        <v>19.5</v>
      </c>
      <c r="BP315" s="1227">
        <f t="shared" si="2242"/>
        <v>18.5</v>
      </c>
      <c r="BQ315" s="1227">
        <f t="shared" si="2243"/>
        <v>20</v>
      </c>
      <c r="BR315" s="1227">
        <f t="shared" si="2243"/>
        <v>14.5</v>
      </c>
      <c r="BS315" s="1227">
        <f t="shared" si="2243"/>
        <v>14.5</v>
      </c>
      <c r="BT315" s="1227">
        <f t="shared" si="2243"/>
        <v>16.5</v>
      </c>
      <c r="BU315" s="1227">
        <f t="shared" si="2243"/>
        <v>16</v>
      </c>
      <c r="BV315" s="1227">
        <f t="shared" si="2244"/>
        <v>15.5</v>
      </c>
      <c r="BW315" s="1227">
        <f t="shared" si="2245"/>
        <v>15.5</v>
      </c>
      <c r="BX315" s="1227">
        <f t="shared" si="2246"/>
        <v>15.5</v>
      </c>
      <c r="BY315" s="1227">
        <f t="shared" si="2247"/>
        <v>16</v>
      </c>
      <c r="BZ315" s="1227">
        <f t="shared" si="2248"/>
        <v>13.5</v>
      </c>
      <c r="CA315" s="1227">
        <f t="shared" si="2249"/>
        <v>14</v>
      </c>
      <c r="CB315" s="1227">
        <f t="shared" si="2249"/>
        <v>12.5</v>
      </c>
      <c r="CC315" s="1227">
        <f t="shared" si="2249"/>
        <v>13</v>
      </c>
      <c r="CD315" s="1227">
        <f t="shared" si="2250"/>
        <v>12.5</v>
      </c>
      <c r="CE315" s="1227">
        <f t="shared" si="2250"/>
        <v>13</v>
      </c>
      <c r="CF315" s="1227">
        <f t="shared" si="2250"/>
        <v>13</v>
      </c>
      <c r="CG315" s="1227">
        <f t="shared" si="2251"/>
        <v>14</v>
      </c>
      <c r="CH315" s="1227">
        <f t="shared" si="2251"/>
        <v>15</v>
      </c>
      <c r="CI315" s="1227">
        <f t="shared" si="2252"/>
        <v>11.5</v>
      </c>
      <c r="CJ315" s="1227">
        <f t="shared" si="2252"/>
        <v>12</v>
      </c>
      <c r="CK315" s="1227">
        <f t="shared" si="2253"/>
        <v>11</v>
      </c>
      <c r="CL315" s="367">
        <f t="shared" si="2254"/>
        <v>12</v>
      </c>
      <c r="CM315" s="367">
        <f t="shared" si="2255"/>
        <v>14</v>
      </c>
      <c r="CN315" s="367">
        <f t="shared" si="2256"/>
        <v>13</v>
      </c>
      <c r="CO315" s="367">
        <f t="shared" si="2257"/>
        <v>14</v>
      </c>
      <c r="CP315" s="367">
        <f t="shared" si="2258"/>
        <v>17</v>
      </c>
      <c r="CQ315" s="367"/>
      <c r="CR315" s="604"/>
      <c r="CS315" s="604"/>
      <c r="CT315" s="367">
        <v>12</v>
      </c>
      <c r="CU315" s="1102"/>
      <c r="CV315" s="63">
        <v>3</v>
      </c>
      <c r="CW315" s="63">
        <v>5</v>
      </c>
      <c r="CX315" s="63">
        <v>14</v>
      </c>
      <c r="CY315" s="63">
        <v>14</v>
      </c>
      <c r="CZ315" s="63">
        <v>5</v>
      </c>
      <c r="DA315" s="63">
        <v>2</v>
      </c>
      <c r="DB315" s="62">
        <v>2</v>
      </c>
      <c r="DC315" s="63">
        <v>4</v>
      </c>
      <c r="DD315" s="62">
        <v>4</v>
      </c>
      <c r="DE315" s="62">
        <v>9</v>
      </c>
      <c r="DF315" s="63">
        <f t="shared" si="2233"/>
        <v>9</v>
      </c>
      <c r="DG315" s="63">
        <f t="shared" si="2205"/>
        <v>12</v>
      </c>
      <c r="DH315" s="63">
        <f t="shared" si="2206"/>
        <v>7</v>
      </c>
      <c r="DI315" s="63">
        <f t="shared" si="2207"/>
        <v>12</v>
      </c>
      <c r="DJ315" s="63">
        <f t="shared" si="2208"/>
        <v>27</v>
      </c>
      <c r="DK315" s="63">
        <f t="shared" si="2259"/>
        <v>21</v>
      </c>
      <c r="DL315" s="1227">
        <f t="shared" si="2209"/>
        <v>14.5</v>
      </c>
      <c r="DM315" s="1235">
        <f t="shared" si="2259"/>
        <v>15.5</v>
      </c>
      <c r="DN315" s="1235">
        <f t="shared" si="2260"/>
        <v>13.5</v>
      </c>
      <c r="DO315" s="1235">
        <f t="shared" si="2260"/>
        <v>12.5</v>
      </c>
      <c r="DP315" s="1235">
        <f t="shared" si="2260"/>
        <v>15</v>
      </c>
      <c r="DQ315" s="1235">
        <f t="shared" si="2260"/>
        <v>12</v>
      </c>
      <c r="DR315" s="1235">
        <f t="shared" si="2260"/>
        <v>17</v>
      </c>
      <c r="DS315" s="384">
        <f t="shared" si="2261"/>
        <v>2.5</v>
      </c>
      <c r="DT315" s="384">
        <f t="shared" si="2262"/>
        <v>0.5</v>
      </c>
      <c r="DU315" s="384">
        <f t="shared" si="2263"/>
        <v>0.5</v>
      </c>
      <c r="DV315" s="384">
        <f t="shared" si="2264"/>
        <v>2</v>
      </c>
      <c r="DY315" s="384">
        <v>17</v>
      </c>
      <c r="DZ315" s="384">
        <v>2.5</v>
      </c>
    </row>
    <row r="316" spans="1:130">
      <c r="A316" s="45" t="s">
        <v>304</v>
      </c>
      <c r="B316" s="63">
        <v>11</v>
      </c>
      <c r="C316" s="63">
        <v>11</v>
      </c>
      <c r="D316" s="63">
        <v>13</v>
      </c>
      <c r="E316" s="63">
        <v>13</v>
      </c>
      <c r="F316" s="63">
        <v>13</v>
      </c>
      <c r="G316" s="63">
        <v>13</v>
      </c>
      <c r="H316" s="63">
        <v>15</v>
      </c>
      <c r="I316" s="63">
        <v>16</v>
      </c>
      <c r="J316" s="63">
        <v>16</v>
      </c>
      <c r="K316" s="63">
        <v>18</v>
      </c>
      <c r="L316" s="63">
        <v>20</v>
      </c>
      <c r="M316" s="63">
        <v>21</v>
      </c>
      <c r="N316" s="63">
        <v>21</v>
      </c>
      <c r="O316" s="63">
        <v>26</v>
      </c>
      <c r="P316" s="63">
        <v>29</v>
      </c>
      <c r="Q316" s="63">
        <v>31</v>
      </c>
      <c r="R316" s="63">
        <v>35</v>
      </c>
      <c r="S316" s="63">
        <v>41</v>
      </c>
      <c r="T316" s="63">
        <v>45</v>
      </c>
      <c r="U316" s="63">
        <v>47</v>
      </c>
      <c r="V316" s="63">
        <v>49</v>
      </c>
      <c r="W316" s="63">
        <v>51</v>
      </c>
      <c r="X316" s="63">
        <v>53</v>
      </c>
      <c r="Y316" s="63">
        <v>54</v>
      </c>
      <c r="Z316" s="63">
        <v>54</v>
      </c>
      <c r="AA316" s="63">
        <v>55</v>
      </c>
      <c r="AB316" s="63">
        <v>57</v>
      </c>
      <c r="AC316" s="63">
        <v>57</v>
      </c>
      <c r="AD316" s="63">
        <v>56</v>
      </c>
      <c r="AE316" s="63">
        <v>56</v>
      </c>
      <c r="AF316" s="63">
        <v>58</v>
      </c>
      <c r="AG316" s="63">
        <v>58</v>
      </c>
      <c r="AH316" s="63">
        <v>58</v>
      </c>
      <c r="AI316" s="63">
        <v>59</v>
      </c>
      <c r="AJ316" s="63">
        <v>60</v>
      </c>
      <c r="AK316" s="63">
        <v>61</v>
      </c>
      <c r="AL316" s="63">
        <v>62</v>
      </c>
      <c r="AM316" s="63">
        <v>62</v>
      </c>
      <c r="AN316" s="63">
        <v>64</v>
      </c>
      <c r="AO316" s="63">
        <v>64</v>
      </c>
      <c r="AP316" s="63">
        <v>66</v>
      </c>
      <c r="AQ316" s="63">
        <f t="shared" ref="AQ316:BF316" si="2265">AQ306-AQ310-AQ309-AQ308-AQ311-AQ312-AQ313-AQ314-AQ315</f>
        <v>66</v>
      </c>
      <c r="AR316" s="63">
        <f t="shared" si="2265"/>
        <v>68</v>
      </c>
      <c r="AS316" s="63">
        <f t="shared" si="2265"/>
        <v>70</v>
      </c>
      <c r="AT316" s="63">
        <f t="shared" si="2265"/>
        <v>75</v>
      </c>
      <c r="AU316" s="63">
        <f t="shared" si="2265"/>
        <v>75</v>
      </c>
      <c r="AV316" s="63">
        <f t="shared" si="2265"/>
        <v>78</v>
      </c>
      <c r="AW316" s="63">
        <f t="shared" si="2265"/>
        <v>79</v>
      </c>
      <c r="AX316" s="63">
        <f t="shared" si="2265"/>
        <v>84</v>
      </c>
      <c r="AY316" s="63">
        <f t="shared" si="2265"/>
        <v>85</v>
      </c>
      <c r="AZ316" s="63">
        <f t="shared" si="2265"/>
        <v>90</v>
      </c>
      <c r="BA316" s="64">
        <f t="shared" si="2265"/>
        <v>92</v>
      </c>
      <c r="BB316" s="63">
        <f t="shared" si="2265"/>
        <v>96</v>
      </c>
      <c r="BC316" s="64">
        <f t="shared" si="2265"/>
        <v>96</v>
      </c>
      <c r="BD316" s="63">
        <f t="shared" si="2265"/>
        <v>99</v>
      </c>
      <c r="BE316" s="63">
        <f t="shared" si="2265"/>
        <v>100</v>
      </c>
      <c r="BF316" s="63">
        <f t="shared" si="2265"/>
        <v>103</v>
      </c>
      <c r="BG316" s="63">
        <f t="shared" ref="BG316:BV316" si="2266">BG306-BG310-BG309-BG308-BG311-BG312-BG313-BG314-BG315</f>
        <v>103</v>
      </c>
      <c r="BH316" s="63">
        <f t="shared" si="2266"/>
        <v>107</v>
      </c>
      <c r="BI316" s="1227">
        <f t="shared" si="2266"/>
        <v>108</v>
      </c>
      <c r="BJ316" s="1227">
        <f t="shared" si="2266"/>
        <v>115</v>
      </c>
      <c r="BK316" s="1227">
        <f t="shared" si="2266"/>
        <v>116</v>
      </c>
      <c r="BL316" s="1227">
        <f t="shared" si="2266"/>
        <v>124</v>
      </c>
      <c r="BM316" s="1227">
        <f t="shared" si="2266"/>
        <v>125</v>
      </c>
      <c r="BN316" s="1227">
        <f t="shared" si="2266"/>
        <v>142</v>
      </c>
      <c r="BO316" s="1227">
        <f>BO306-BO310-BO309-BO308-BO311-BO312-BO313-BO314-BO315</f>
        <v>144</v>
      </c>
      <c r="BP316" s="1227">
        <f>BP306-BP310-BP309-BP308-BP311-BP312-BP313-BP314-BP315</f>
        <v>148</v>
      </c>
      <c r="BQ316" s="1227">
        <f>BQ306-BQ310-BQ309-BQ308-BQ311-BQ312-BQ313-BQ314-BQ315</f>
        <v>149</v>
      </c>
      <c r="BR316" s="1227">
        <f t="shared" si="2266"/>
        <v>163</v>
      </c>
      <c r="BS316" s="1227">
        <f>BS306-BS310-BS309-BS308-BS311-BS312-BS313-BS314-BS315</f>
        <v>163.5</v>
      </c>
      <c r="BT316" s="1227">
        <f>BT306-BT310-BT309-BT308-BT311-BT312-BT313-BT314-BT315</f>
        <v>166.5</v>
      </c>
      <c r="BU316" s="1227">
        <f>BU306-BU310-BU309-BU308-BU311-BU312-BU313-BU314-BU315</f>
        <v>169</v>
      </c>
      <c r="BV316" s="1227">
        <f t="shared" si="2266"/>
        <v>177.5</v>
      </c>
      <c r="BW316" s="1227">
        <f t="shared" ref="BW316:CD316" si="2267">BW306-BW310-BW309-BW308-BW311-BW312-BW313-BW314-BW315</f>
        <v>178</v>
      </c>
      <c r="BX316" s="1227">
        <f t="shared" si="2267"/>
        <v>183</v>
      </c>
      <c r="BY316" s="1227">
        <f t="shared" si="2267"/>
        <v>185</v>
      </c>
      <c r="BZ316" s="1227">
        <f t="shared" si="2267"/>
        <v>193</v>
      </c>
      <c r="CA316" s="1227">
        <f t="shared" si="2267"/>
        <v>193.5</v>
      </c>
      <c r="CB316" s="1227">
        <f t="shared" ref="CB316:CC316" si="2268">CB306-CB310-CB309-CB308-CB311-CB312-CB313-CB314-CB315</f>
        <v>198.5</v>
      </c>
      <c r="CC316" s="1227">
        <f t="shared" si="2268"/>
        <v>201</v>
      </c>
      <c r="CD316" s="1227">
        <f t="shared" si="2267"/>
        <v>206.5</v>
      </c>
      <c r="CE316" s="1227">
        <f t="shared" ref="CE316:CF316" si="2269">CE306-CE310-CE309-CE308-CE311-CE312-CE313-CE314-CE315</f>
        <v>207.5</v>
      </c>
      <c r="CF316" s="1227">
        <f t="shared" si="2269"/>
        <v>211</v>
      </c>
      <c r="CG316" s="1227">
        <f t="shared" ref="CG316:CH316" si="2270">CG306-CG310-CG309-CG308-CG311-CG312-CG313-CG314-CG315</f>
        <v>214</v>
      </c>
      <c r="CH316" s="1227">
        <f t="shared" si="2270"/>
        <v>219</v>
      </c>
      <c r="CI316" s="1227">
        <f t="shared" ref="CI316:CL316" si="2271">CI306-CI310-CI309-CI308-CI311-CI312-CI313-CI314-CI315</f>
        <v>220.5</v>
      </c>
      <c r="CJ316" s="1227">
        <f t="shared" ref="CJ316" si="2272">CJ306-CJ310-CJ309-CJ308-CJ311-CJ312-CJ313-CJ314-CJ315</f>
        <v>224</v>
      </c>
      <c r="CK316" s="1227">
        <f t="shared" si="2271"/>
        <v>228</v>
      </c>
      <c r="CL316" s="367">
        <f t="shared" si="2271"/>
        <v>234</v>
      </c>
      <c r="CM316" s="367">
        <f t="shared" ref="CM316:CP316" si="2273">CM306-CM310-CM309-CM308-CM311-CM312-CM313-CM314-CM315</f>
        <v>232</v>
      </c>
      <c r="CN316" s="367">
        <f t="shared" si="2273"/>
        <v>236</v>
      </c>
      <c r="CO316" s="367">
        <f t="shared" si="2273"/>
        <v>239</v>
      </c>
      <c r="CP316" s="367">
        <f t="shared" si="2273"/>
        <v>246</v>
      </c>
      <c r="CQ316" s="367"/>
      <c r="CR316" s="604"/>
      <c r="CS316" s="604"/>
      <c r="CT316" s="367">
        <v>234</v>
      </c>
      <c r="CU316" s="1102"/>
      <c r="CV316" s="63">
        <v>13</v>
      </c>
      <c r="CW316" s="63">
        <v>16</v>
      </c>
      <c r="CX316" s="63">
        <v>21</v>
      </c>
      <c r="CY316" s="63">
        <v>35</v>
      </c>
      <c r="CZ316" s="63">
        <v>49</v>
      </c>
      <c r="DA316" s="63">
        <v>54</v>
      </c>
      <c r="DB316" s="62">
        <v>56</v>
      </c>
      <c r="DC316" s="63">
        <v>58</v>
      </c>
      <c r="DD316" s="62">
        <v>62</v>
      </c>
      <c r="DE316" s="62">
        <v>66</v>
      </c>
      <c r="DF316" s="63">
        <f t="shared" si="2233"/>
        <v>75</v>
      </c>
      <c r="DG316" s="63">
        <f t="shared" si="2205"/>
        <v>84</v>
      </c>
      <c r="DH316" s="63">
        <f t="shared" si="2206"/>
        <v>96</v>
      </c>
      <c r="DI316" s="63">
        <f t="shared" si="2207"/>
        <v>103</v>
      </c>
      <c r="DJ316" s="63">
        <f t="shared" si="2208"/>
        <v>115</v>
      </c>
      <c r="DK316" s="63">
        <f>DK306-DK310-DK309-DK308-DK311-DK312-DK313-DK314-DK315</f>
        <v>149</v>
      </c>
      <c r="DL316" s="1227">
        <f t="shared" si="2209"/>
        <v>163</v>
      </c>
      <c r="DM316" s="1227">
        <f t="shared" ref="DM316:DS316" si="2274">DM306-DM310-DM309-DM308-DM311-DM312-DM313-DM314-DM315</f>
        <v>177.5</v>
      </c>
      <c r="DN316" s="1227">
        <f t="shared" si="2274"/>
        <v>193</v>
      </c>
      <c r="DO316" s="1227">
        <f t="shared" si="2274"/>
        <v>206.5</v>
      </c>
      <c r="DP316" s="1227">
        <f t="shared" ref="DP316:DQ316" si="2275">DP306-DP310-DP309-DP308-DP311-DP312-DP313-DP314-DP315</f>
        <v>219</v>
      </c>
      <c r="DQ316" s="1227">
        <f t="shared" si="2275"/>
        <v>234</v>
      </c>
      <c r="DR316" s="1227">
        <f t="shared" ref="DR316" si="2276">DR306-DR310-DR309-DR308-DR311-DR312-DR313-DR314-DR315</f>
        <v>246</v>
      </c>
      <c r="DS316" s="367">
        <f t="shared" si="2274"/>
        <v>263</v>
      </c>
      <c r="DT316" s="367">
        <f t="shared" ref="DT316:DV316" si="2277">DT306-DT310-DT309-DT308-DT311-DT312-DT313-DT314-DT315</f>
        <v>265.5</v>
      </c>
      <c r="DU316" s="367">
        <f t="shared" si="2277"/>
        <v>266</v>
      </c>
      <c r="DV316" s="367">
        <f t="shared" si="2277"/>
        <v>266.5</v>
      </c>
      <c r="DY316" s="367">
        <v>246</v>
      </c>
      <c r="DZ316" s="367">
        <v>263</v>
      </c>
    </row>
    <row r="317" spans="1:130">
      <c r="A317" s="45"/>
      <c r="B317" s="45"/>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c r="AG317" s="63"/>
      <c r="AH317" s="63"/>
      <c r="AI317" s="63"/>
      <c r="AJ317" s="63"/>
      <c r="AK317" s="63"/>
      <c r="AL317" s="63"/>
      <c r="AM317" s="63"/>
      <c r="AN317" s="63"/>
      <c r="AO317" s="63"/>
      <c r="AP317" s="63"/>
      <c r="AQ317" s="63"/>
      <c r="AR317" s="63"/>
      <c r="AS317" s="63"/>
      <c r="AT317" s="63"/>
      <c r="AU317" s="63"/>
      <c r="AV317" s="63"/>
      <c r="AW317" s="63"/>
      <c r="AX317" s="63"/>
      <c r="AY317" s="63"/>
      <c r="AZ317" s="63"/>
      <c r="BA317" s="64"/>
      <c r="BB317" s="63"/>
      <c r="BC317" s="64"/>
      <c r="BD317" s="63"/>
      <c r="BE317" s="63"/>
      <c r="BF317" s="63"/>
      <c r="BG317" s="63"/>
      <c r="BH317" s="63"/>
      <c r="BI317" s="1227"/>
      <c r="BJ317" s="1227"/>
      <c r="BK317" s="1227"/>
      <c r="BL317" s="1227"/>
      <c r="BM317" s="1227"/>
      <c r="BN317" s="1227"/>
      <c r="BO317" s="1227"/>
      <c r="BP317" s="1227"/>
      <c r="BQ317" s="1227"/>
      <c r="BR317" s="1227"/>
      <c r="BS317" s="1227"/>
      <c r="BT317" s="1227"/>
      <c r="BU317" s="1227"/>
      <c r="BV317" s="1227"/>
      <c r="BW317" s="1227"/>
      <c r="BX317" s="1227"/>
      <c r="BY317" s="1227"/>
      <c r="BZ317" s="1227"/>
      <c r="CA317" s="1227"/>
      <c r="CB317" s="1227"/>
      <c r="CC317" s="1227"/>
      <c r="CD317" s="1227"/>
      <c r="CE317" s="1227"/>
      <c r="CF317" s="1227"/>
      <c r="CG317" s="1227"/>
      <c r="CH317" s="1227"/>
      <c r="CI317" s="1227"/>
      <c r="CJ317" s="1227"/>
      <c r="CK317" s="1227"/>
      <c r="CL317" s="367"/>
      <c r="CM317" s="367"/>
      <c r="CN317" s="367"/>
      <c r="CO317" s="367"/>
      <c r="CP317" s="367"/>
      <c r="CQ317" s="367"/>
      <c r="CR317" s="604"/>
      <c r="CS317" s="604"/>
      <c r="CT317" s="367"/>
      <c r="CU317" s="1102"/>
      <c r="CV317" s="63"/>
      <c r="CW317" s="63"/>
      <c r="CX317" s="63"/>
      <c r="CY317" s="63"/>
      <c r="CZ317" s="63"/>
      <c r="DA317" s="63"/>
      <c r="DB317" s="63"/>
      <c r="DC317" s="63"/>
      <c r="DD317" s="63"/>
      <c r="DE317" s="63"/>
      <c r="DF317" s="63"/>
      <c r="DG317" s="63"/>
      <c r="DH317" s="63"/>
      <c r="DI317" s="63"/>
      <c r="DJ317" s="63"/>
      <c r="DK317" s="63"/>
      <c r="DL317" s="1227"/>
      <c r="DM317" s="1227"/>
      <c r="DN317" s="1227"/>
      <c r="DO317" s="1227"/>
      <c r="DP317" s="1227"/>
      <c r="DQ317" s="1227"/>
      <c r="DR317" s="1227"/>
      <c r="DS317" s="367"/>
      <c r="DT317" s="367"/>
      <c r="DU317" s="367"/>
      <c r="DV317" s="367"/>
      <c r="DY317" s="367"/>
      <c r="DZ317" s="367"/>
    </row>
    <row r="318" spans="1:130">
      <c r="A318" s="45"/>
      <c r="B318" s="45"/>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c r="AG318" s="63"/>
      <c r="AH318" s="63"/>
      <c r="AI318" s="63"/>
      <c r="AJ318" s="63"/>
      <c r="AK318" s="63"/>
      <c r="AL318" s="63"/>
      <c r="AM318" s="63"/>
      <c r="AN318" s="63"/>
      <c r="AO318" s="63"/>
      <c r="AP318" s="63"/>
      <c r="AQ318" s="63"/>
      <c r="AR318" s="63"/>
      <c r="AS318" s="63"/>
      <c r="AT318" s="63"/>
      <c r="AU318" s="63"/>
      <c r="AV318" s="63"/>
      <c r="AW318" s="63"/>
      <c r="AX318" s="63"/>
      <c r="AY318" s="63"/>
      <c r="AZ318" s="63"/>
      <c r="BA318" s="64"/>
      <c r="BB318" s="63"/>
      <c r="BC318" s="64"/>
      <c r="BD318" s="63"/>
      <c r="BE318" s="63"/>
      <c r="BF318" s="63"/>
      <c r="BG318" s="63"/>
      <c r="BH318" s="63"/>
      <c r="BI318" s="1227"/>
      <c r="BJ318" s="1227"/>
      <c r="BK318" s="1227"/>
      <c r="BL318" s="1227"/>
      <c r="BM318" s="1227"/>
      <c r="BN318" s="1227"/>
      <c r="BO318" s="1227"/>
      <c r="BP318" s="1227"/>
      <c r="BQ318" s="1227"/>
      <c r="BR318" s="1227"/>
      <c r="BS318" s="1227"/>
      <c r="BT318" s="1227"/>
      <c r="BU318" s="1227"/>
      <c r="BV318" s="1227"/>
      <c r="BW318" s="1227"/>
      <c r="BX318" s="1227"/>
      <c r="BY318" s="1227"/>
      <c r="BZ318" s="1227"/>
      <c r="CA318" s="1227"/>
      <c r="CB318" s="1227"/>
      <c r="CC318" s="1227"/>
      <c r="CD318" s="1227"/>
      <c r="CE318" s="1227"/>
      <c r="CF318" s="1227"/>
      <c r="CG318" s="1227"/>
      <c r="CH318" s="1227"/>
      <c r="CI318" s="1227"/>
      <c r="CJ318" s="1227"/>
      <c r="CK318" s="1227"/>
      <c r="CL318" s="367"/>
      <c r="CM318" s="367"/>
      <c r="CN318" s="367"/>
      <c r="CO318" s="367"/>
      <c r="CP318" s="367"/>
      <c r="CQ318" s="367"/>
      <c r="CR318" s="604"/>
      <c r="CS318" s="604"/>
      <c r="CT318" s="367"/>
      <c r="CU318" s="1102"/>
      <c r="CV318" s="63"/>
      <c r="CW318" s="63"/>
      <c r="CX318" s="63"/>
      <c r="CY318" s="63"/>
      <c r="CZ318" s="63"/>
      <c r="DA318" s="63"/>
      <c r="DB318" s="63"/>
      <c r="DC318" s="63"/>
      <c r="DD318" s="63"/>
      <c r="DE318" s="63"/>
      <c r="DF318" s="63"/>
      <c r="DG318" s="63"/>
      <c r="DH318" s="63"/>
      <c r="DI318" s="63"/>
      <c r="DJ318" s="63"/>
      <c r="DK318" s="63"/>
      <c r="DL318" s="1227"/>
      <c r="DM318" s="1227"/>
      <c r="DN318" s="1227"/>
      <c r="DO318" s="1227"/>
      <c r="DP318" s="1227"/>
      <c r="DQ318" s="1227"/>
      <c r="DR318" s="1227"/>
      <c r="DS318" s="367"/>
      <c r="DT318" s="367"/>
      <c r="DU318" s="367"/>
      <c r="DV318" s="367"/>
      <c r="DY318" s="367"/>
      <c r="DZ318" s="367"/>
    </row>
    <row r="319" spans="1:130">
      <c r="A319" s="40" t="s">
        <v>305</v>
      </c>
      <c r="B319" s="40"/>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c r="AG319" s="63"/>
      <c r="AH319" s="63"/>
      <c r="AI319" s="63"/>
      <c r="AJ319" s="63"/>
      <c r="AK319" s="63"/>
      <c r="AL319" s="63"/>
      <c r="AM319" s="63"/>
      <c r="AN319" s="63"/>
      <c r="AO319" s="63"/>
      <c r="AP319" s="63"/>
      <c r="AQ319" s="63"/>
      <c r="AR319" s="63"/>
      <c r="AS319" s="63"/>
      <c r="AT319" s="63"/>
      <c r="AU319" s="63"/>
      <c r="AV319" s="63"/>
      <c r="AW319" s="63"/>
      <c r="AX319" s="63"/>
      <c r="AY319" s="63"/>
      <c r="AZ319" s="63"/>
      <c r="BA319" s="64"/>
      <c r="BB319" s="63"/>
      <c r="BC319" s="64"/>
      <c r="BD319" s="63"/>
      <c r="BE319" s="63"/>
      <c r="BF319" s="63"/>
      <c r="BG319" s="63"/>
      <c r="BH319" s="63"/>
      <c r="BI319" s="1227"/>
      <c r="BJ319" s="1227"/>
      <c r="BK319" s="1227"/>
      <c r="BL319" s="1227"/>
      <c r="BM319" s="1227"/>
      <c r="BN319" s="1227"/>
      <c r="BO319" s="1227"/>
      <c r="BP319" s="1227"/>
      <c r="BQ319" s="1227"/>
      <c r="BR319" s="1227"/>
      <c r="BS319" s="1227"/>
      <c r="BT319" s="1227"/>
      <c r="BU319" s="1227"/>
      <c r="BV319" s="1227"/>
      <c r="BW319" s="1227"/>
      <c r="BX319" s="1227"/>
      <c r="BY319" s="1227"/>
      <c r="BZ319" s="1227"/>
      <c r="CA319" s="1227"/>
      <c r="CB319" s="1227"/>
      <c r="CC319" s="1227"/>
      <c r="CD319" s="1227"/>
      <c r="CE319" s="1227"/>
      <c r="CF319" s="1227"/>
      <c r="CG319" s="1227"/>
      <c r="CH319" s="1227"/>
      <c r="CI319" s="1227"/>
      <c r="CJ319" s="1227"/>
      <c r="CK319" s="1227"/>
      <c r="CL319" s="367"/>
      <c r="CM319" s="367"/>
      <c r="CN319" s="367"/>
      <c r="CO319" s="367"/>
      <c r="CP319" s="367"/>
      <c r="CQ319" s="367"/>
      <c r="CR319" s="604"/>
      <c r="CS319" s="604"/>
      <c r="CT319" s="367"/>
      <c r="CU319" s="1102"/>
      <c r="CV319" s="63"/>
      <c r="CW319" s="63"/>
      <c r="CX319" s="63"/>
      <c r="CY319" s="63"/>
      <c r="CZ319" s="63"/>
      <c r="DA319" s="63"/>
      <c r="DB319" s="63"/>
      <c r="DC319" s="63"/>
      <c r="DD319" s="63"/>
      <c r="DE319" s="63"/>
      <c r="DF319" s="63"/>
      <c r="DG319" s="63"/>
      <c r="DH319" s="63"/>
      <c r="DI319" s="63"/>
      <c r="DJ319" s="63"/>
      <c r="DK319" s="63"/>
      <c r="DL319" s="1227"/>
      <c r="DM319" s="1227"/>
      <c r="DN319" s="1227"/>
      <c r="DO319" s="1227"/>
      <c r="DP319" s="1227"/>
      <c r="DQ319" s="1227"/>
      <c r="DR319" s="1227"/>
      <c r="DS319" s="367"/>
      <c r="DT319" s="367"/>
      <c r="DU319" s="367"/>
      <c r="DV319" s="367"/>
      <c r="DY319" s="367"/>
      <c r="DZ319" s="367"/>
    </row>
    <row r="320" spans="1:130">
      <c r="A320" s="44" t="s">
        <v>306</v>
      </c>
      <c r="B320" s="63">
        <v>0</v>
      </c>
      <c r="C320" s="63">
        <v>0</v>
      </c>
      <c r="D320" s="63">
        <v>0</v>
      </c>
      <c r="E320" s="63">
        <v>0</v>
      </c>
      <c r="F320" s="63">
        <v>0</v>
      </c>
      <c r="G320" s="63">
        <v>0</v>
      </c>
      <c r="H320" s="63">
        <v>0</v>
      </c>
      <c r="I320" s="63">
        <v>0</v>
      </c>
      <c r="J320" s="63">
        <v>0</v>
      </c>
      <c r="K320" s="63">
        <v>2</v>
      </c>
      <c r="L320" s="63">
        <v>4</v>
      </c>
      <c r="M320" s="63">
        <v>5</v>
      </c>
      <c r="N320" s="63">
        <v>6</v>
      </c>
      <c r="O320" s="63">
        <v>6</v>
      </c>
      <c r="P320" s="63">
        <v>9</v>
      </c>
      <c r="Q320" s="63">
        <v>9</v>
      </c>
      <c r="R320" s="63">
        <v>11</v>
      </c>
      <c r="S320" s="63">
        <v>11</v>
      </c>
      <c r="T320" s="63">
        <v>11</v>
      </c>
      <c r="U320" s="63">
        <v>11</v>
      </c>
      <c r="V320" s="63">
        <v>14</v>
      </c>
      <c r="W320" s="63">
        <v>14</v>
      </c>
      <c r="X320" s="63">
        <v>16</v>
      </c>
      <c r="Y320" s="63">
        <v>16</v>
      </c>
      <c r="Z320" s="63">
        <v>17</v>
      </c>
      <c r="AA320" s="63">
        <v>18</v>
      </c>
      <c r="AB320" s="63">
        <v>18</v>
      </c>
      <c r="AC320" s="63">
        <v>18</v>
      </c>
      <c r="AD320" s="63">
        <v>19</v>
      </c>
      <c r="AE320" s="63">
        <v>19</v>
      </c>
      <c r="AF320" s="63">
        <v>20</v>
      </c>
      <c r="AG320" s="63">
        <v>21</v>
      </c>
      <c r="AH320" s="63">
        <v>25</v>
      </c>
      <c r="AI320" s="63">
        <v>56</v>
      </c>
      <c r="AJ320" s="63">
        <v>59</v>
      </c>
      <c r="AK320" s="63">
        <v>62</v>
      </c>
      <c r="AL320" s="63">
        <v>69</v>
      </c>
      <c r="AM320" s="63">
        <v>70.5</v>
      </c>
      <c r="AN320" s="63">
        <v>76.5</v>
      </c>
      <c r="AO320" s="63">
        <v>82</v>
      </c>
      <c r="AP320" s="63">
        <v>100.5</v>
      </c>
      <c r="AQ320" s="63">
        <f t="shared" ref="AQ320:CD320" si="2278">AQ262-AQ306</f>
        <v>103</v>
      </c>
      <c r="AR320" s="63">
        <f t="shared" si="2278"/>
        <v>120</v>
      </c>
      <c r="AS320" s="63">
        <f t="shared" si="2278"/>
        <v>128</v>
      </c>
      <c r="AT320" s="63">
        <f t="shared" si="2278"/>
        <v>139</v>
      </c>
      <c r="AU320" s="63">
        <f t="shared" si="2278"/>
        <v>138.5</v>
      </c>
      <c r="AV320" s="63">
        <f t="shared" si="2278"/>
        <v>151.5</v>
      </c>
      <c r="AW320" s="63">
        <f t="shared" si="2278"/>
        <v>155</v>
      </c>
      <c r="AX320" s="63">
        <f t="shared" si="2278"/>
        <v>173.5</v>
      </c>
      <c r="AY320" s="63">
        <f t="shared" si="2278"/>
        <v>179.5</v>
      </c>
      <c r="AZ320" s="63">
        <f t="shared" si="2278"/>
        <v>197</v>
      </c>
      <c r="BA320" s="64">
        <f t="shared" si="2278"/>
        <v>204</v>
      </c>
      <c r="BB320" s="63">
        <f t="shared" si="2278"/>
        <v>225</v>
      </c>
      <c r="BC320" s="64">
        <f t="shared" si="2278"/>
        <v>230.5</v>
      </c>
      <c r="BD320" s="63">
        <f t="shared" si="2278"/>
        <v>249</v>
      </c>
      <c r="BE320" s="63">
        <f t="shared" si="2278"/>
        <v>262</v>
      </c>
      <c r="BF320" s="63">
        <f t="shared" si="2278"/>
        <v>278</v>
      </c>
      <c r="BG320" s="63">
        <f t="shared" si="2278"/>
        <v>274</v>
      </c>
      <c r="BH320" s="63">
        <f t="shared" si="2278"/>
        <v>291</v>
      </c>
      <c r="BI320" s="1227">
        <f t="shared" si="2278"/>
        <v>298</v>
      </c>
      <c r="BJ320" s="1227">
        <f t="shared" si="2278"/>
        <v>310</v>
      </c>
      <c r="BK320" s="1227">
        <f t="shared" si="2278"/>
        <v>312</v>
      </c>
      <c r="BL320" s="1227">
        <f t="shared" si="2278"/>
        <v>321</v>
      </c>
      <c r="BM320" s="1227">
        <f t="shared" si="2278"/>
        <v>324</v>
      </c>
      <c r="BN320" s="1227">
        <f t="shared" si="2278"/>
        <v>340</v>
      </c>
      <c r="BO320" s="1227">
        <f t="shared" si="2278"/>
        <v>334.5</v>
      </c>
      <c r="BP320" s="1227">
        <f t="shared" si="2278"/>
        <v>334.5</v>
      </c>
      <c r="BQ320" s="1227">
        <f t="shared" si="2278"/>
        <v>340</v>
      </c>
      <c r="BR320" s="1227">
        <f t="shared" si="2278"/>
        <v>340.5</v>
      </c>
      <c r="BS320" s="1227">
        <f t="shared" si="2278"/>
        <v>340</v>
      </c>
      <c r="BT320" s="1227">
        <f t="shared" si="2278"/>
        <v>358.5</v>
      </c>
      <c r="BU320" s="1227">
        <f t="shared" si="2278"/>
        <v>360</v>
      </c>
      <c r="BV320" s="1227">
        <f t="shared" si="2278"/>
        <v>360.5</v>
      </c>
      <c r="BW320" s="1227">
        <f t="shared" si="2278"/>
        <v>362</v>
      </c>
      <c r="BX320" s="1227">
        <f t="shared" si="2278"/>
        <v>372.5</v>
      </c>
      <c r="BY320" s="1227">
        <f t="shared" si="2278"/>
        <v>380.5</v>
      </c>
      <c r="BZ320" s="1227">
        <f t="shared" si="2278"/>
        <v>385.5</v>
      </c>
      <c r="CA320" s="1227">
        <f t="shared" si="2278"/>
        <v>367.5</v>
      </c>
      <c r="CB320" s="1227">
        <f t="shared" ref="CB320:CC320" si="2279">CB262-CB306</f>
        <v>370.5</v>
      </c>
      <c r="CC320" s="1227">
        <f t="shared" si="2279"/>
        <v>375</v>
      </c>
      <c r="CD320" s="1227">
        <f t="shared" si="2278"/>
        <v>383</v>
      </c>
      <c r="CE320" s="1227">
        <f t="shared" ref="CE320:CF320" si="2280">CE262-CE306</f>
        <v>378</v>
      </c>
      <c r="CF320" s="1227">
        <f t="shared" si="2280"/>
        <v>382.5</v>
      </c>
      <c r="CG320" s="1227">
        <f t="shared" ref="CG320:CH320" si="2281">CG262-CG306</f>
        <v>385</v>
      </c>
      <c r="CH320" s="1227">
        <f t="shared" si="2281"/>
        <v>393</v>
      </c>
      <c r="CI320" s="1227">
        <f t="shared" ref="CI320:CL320" si="2282">CI262-CI306</f>
        <v>392.5</v>
      </c>
      <c r="CJ320" s="1227">
        <f t="shared" ref="CJ320" si="2283">CJ262-CJ306</f>
        <v>397</v>
      </c>
      <c r="CK320" s="1227">
        <f t="shared" si="2282"/>
        <v>400</v>
      </c>
      <c r="CL320" s="367">
        <f t="shared" si="2282"/>
        <v>415</v>
      </c>
      <c r="CM320" s="367">
        <f t="shared" ref="CM320:CP320" si="2284">CM262-CM306</f>
        <v>416.5</v>
      </c>
      <c r="CN320" s="367">
        <f t="shared" si="2284"/>
        <v>421</v>
      </c>
      <c r="CO320" s="367">
        <f t="shared" si="2284"/>
        <v>428.5</v>
      </c>
      <c r="CP320" s="367">
        <f t="shared" si="2284"/>
        <v>445</v>
      </c>
      <c r="CQ320" s="367"/>
      <c r="CR320" s="604"/>
      <c r="CS320" s="604"/>
      <c r="CT320" s="367">
        <v>415</v>
      </c>
      <c r="CU320" s="1102"/>
      <c r="CV320" s="63">
        <v>0</v>
      </c>
      <c r="CW320" s="63">
        <v>0</v>
      </c>
      <c r="CX320" s="63">
        <v>6</v>
      </c>
      <c r="CY320" s="63">
        <v>11</v>
      </c>
      <c r="CZ320" s="63">
        <v>14</v>
      </c>
      <c r="DA320" s="63">
        <v>17</v>
      </c>
      <c r="DB320" s="63">
        <v>19</v>
      </c>
      <c r="DC320" s="63">
        <v>25</v>
      </c>
      <c r="DD320" s="63">
        <v>69</v>
      </c>
      <c r="DE320" s="63">
        <v>100.5</v>
      </c>
      <c r="DF320" s="63">
        <f>AT320</f>
        <v>139</v>
      </c>
      <c r="DG320" s="63">
        <f t="shared" ref="DG320:DG327" si="2285">+AX320</f>
        <v>173.5</v>
      </c>
      <c r="DH320" s="63">
        <f t="shared" ref="DH320:DH327" si="2286">+BB320</f>
        <v>225</v>
      </c>
      <c r="DI320" s="63">
        <f t="shared" ref="DI320:DI327" si="2287">+BF320</f>
        <v>278</v>
      </c>
      <c r="DJ320" s="63">
        <f t="shared" ref="DJ320:DJ327" si="2288">+BJ320</f>
        <v>310</v>
      </c>
      <c r="DK320" s="63">
        <f>+BN320</f>
        <v>340</v>
      </c>
      <c r="DL320" s="1227">
        <f>+BR320</f>
        <v>340.5</v>
      </c>
      <c r="DM320" s="1227">
        <f t="shared" ref="DM320:DS320" si="2289">DM321+DL320</f>
        <v>350.5</v>
      </c>
      <c r="DN320" s="1227">
        <f t="shared" si="2289"/>
        <v>361.5</v>
      </c>
      <c r="DO320" s="1227">
        <f t="shared" si="2289"/>
        <v>365</v>
      </c>
      <c r="DP320" s="1227">
        <f t="shared" si="2289"/>
        <v>368</v>
      </c>
      <c r="DQ320" s="1227">
        <f t="shared" si="2289"/>
        <v>379</v>
      </c>
      <c r="DR320" s="1227">
        <f t="shared" si="2289"/>
        <v>389</v>
      </c>
      <c r="DS320" s="367">
        <f t="shared" si="2289"/>
        <v>399</v>
      </c>
      <c r="DT320" s="367">
        <f t="shared" ref="DT320" si="2290">DT321+DS320</f>
        <v>409</v>
      </c>
      <c r="DU320" s="367">
        <f t="shared" ref="DU320" si="2291">DU321+DT320</f>
        <v>419</v>
      </c>
      <c r="DV320" s="367">
        <f t="shared" ref="DV320" si="2292">DV321+DU320</f>
        <v>429</v>
      </c>
      <c r="DY320" s="367">
        <v>389</v>
      </c>
      <c r="DZ320" s="367">
        <v>399</v>
      </c>
    </row>
    <row r="321" spans="1:130">
      <c r="A321" s="17" t="s">
        <v>264</v>
      </c>
      <c r="B321" s="17"/>
      <c r="C321" s="17">
        <v>0</v>
      </c>
      <c r="D321" s="17">
        <v>0</v>
      </c>
      <c r="E321" s="17">
        <v>0</v>
      </c>
      <c r="F321" s="17">
        <v>0</v>
      </c>
      <c r="G321" s="17">
        <v>0</v>
      </c>
      <c r="H321" s="17">
        <v>0</v>
      </c>
      <c r="I321" s="17">
        <v>0</v>
      </c>
      <c r="J321" s="17">
        <v>0</v>
      </c>
      <c r="K321" s="17">
        <v>2</v>
      </c>
      <c r="L321" s="17">
        <v>2</v>
      </c>
      <c r="M321" s="17">
        <v>1</v>
      </c>
      <c r="N321" s="17">
        <v>1</v>
      </c>
      <c r="O321" s="17">
        <v>0</v>
      </c>
      <c r="P321" s="17">
        <v>3</v>
      </c>
      <c r="Q321" s="17">
        <v>0</v>
      </c>
      <c r="R321" s="17">
        <v>2</v>
      </c>
      <c r="S321" s="17">
        <v>0</v>
      </c>
      <c r="T321" s="17">
        <v>0</v>
      </c>
      <c r="U321" s="17">
        <v>0</v>
      </c>
      <c r="V321" s="17">
        <v>3</v>
      </c>
      <c r="W321" s="17">
        <v>0</v>
      </c>
      <c r="X321" s="17">
        <v>2</v>
      </c>
      <c r="Y321" s="17">
        <v>0</v>
      </c>
      <c r="Z321" s="17">
        <v>1</v>
      </c>
      <c r="AA321" s="29">
        <v>1</v>
      </c>
      <c r="AB321" s="29">
        <v>0</v>
      </c>
      <c r="AC321" s="29">
        <v>0</v>
      </c>
      <c r="AD321" s="17">
        <v>1</v>
      </c>
      <c r="AE321" s="79">
        <v>0</v>
      </c>
      <c r="AF321" s="79">
        <v>1</v>
      </c>
      <c r="AG321" s="79">
        <v>1</v>
      </c>
      <c r="AH321" s="78">
        <v>4</v>
      </c>
      <c r="AI321" s="78">
        <v>0</v>
      </c>
      <c r="AJ321" s="78">
        <v>1</v>
      </c>
      <c r="AK321" s="78">
        <v>1</v>
      </c>
      <c r="AL321" s="77">
        <v>4</v>
      </c>
      <c r="AM321" s="76">
        <v>0.5</v>
      </c>
      <c r="AN321" s="76">
        <v>3</v>
      </c>
      <c r="AO321" s="76">
        <v>2.5</v>
      </c>
      <c r="AP321" s="76">
        <v>8.5</v>
      </c>
      <c r="AQ321" s="76">
        <f t="shared" ref="AQ321:CD321" si="2293">+AQ224/2</f>
        <v>0.5</v>
      </c>
      <c r="AR321" s="76">
        <f t="shared" si="2293"/>
        <v>5</v>
      </c>
      <c r="AS321" s="76">
        <f t="shared" si="2293"/>
        <v>2</v>
      </c>
      <c r="AT321" s="76">
        <f t="shared" si="2293"/>
        <v>8</v>
      </c>
      <c r="AU321" s="76">
        <f t="shared" si="2293"/>
        <v>0.5</v>
      </c>
      <c r="AV321" s="76">
        <f t="shared" si="2293"/>
        <v>5</v>
      </c>
      <c r="AW321" s="76">
        <f t="shared" si="2293"/>
        <v>2.5</v>
      </c>
      <c r="AX321" s="76">
        <f t="shared" si="2293"/>
        <v>5.5</v>
      </c>
      <c r="AY321" s="76">
        <f t="shared" si="2293"/>
        <v>1</v>
      </c>
      <c r="AZ321" s="76">
        <f t="shared" si="2293"/>
        <v>3.5</v>
      </c>
      <c r="BA321" s="76">
        <f t="shared" si="2293"/>
        <v>3</v>
      </c>
      <c r="BB321" s="76">
        <f t="shared" si="2293"/>
        <v>5</v>
      </c>
      <c r="BC321" s="76">
        <f t="shared" si="2293"/>
        <v>1.5</v>
      </c>
      <c r="BD321" s="76">
        <f t="shared" si="2293"/>
        <v>3.5</v>
      </c>
      <c r="BE321" s="76">
        <f t="shared" si="2293"/>
        <v>4</v>
      </c>
      <c r="BF321" s="76">
        <f t="shared" si="2293"/>
        <v>6</v>
      </c>
      <c r="BG321" s="76">
        <f t="shared" si="2293"/>
        <v>-2</v>
      </c>
      <c r="BH321" s="603">
        <f t="shared" si="2293"/>
        <v>4</v>
      </c>
      <c r="BI321" s="1290">
        <f t="shared" si="2293"/>
        <v>3</v>
      </c>
      <c r="BJ321" s="1290">
        <f t="shared" si="2293"/>
        <v>7</v>
      </c>
      <c r="BK321" s="1290">
        <f t="shared" si="2293"/>
        <v>0</v>
      </c>
      <c r="BL321" s="1290">
        <f t="shared" si="2293"/>
        <v>3</v>
      </c>
      <c r="BM321" s="1290">
        <f t="shared" si="2293"/>
        <v>4</v>
      </c>
      <c r="BN321" s="1290">
        <f t="shared" si="2293"/>
        <v>10</v>
      </c>
      <c r="BO321" s="1290">
        <f t="shared" si="2293"/>
        <v>-0.5</v>
      </c>
      <c r="BP321" s="1290">
        <f t="shared" si="2293"/>
        <v>0</v>
      </c>
      <c r="BQ321" s="1291">
        <f t="shared" si="2293"/>
        <v>2.5</v>
      </c>
      <c r="BR321" s="1291">
        <f t="shared" si="2293"/>
        <v>0.5</v>
      </c>
      <c r="BS321" s="1291">
        <f t="shared" si="2293"/>
        <v>0.5</v>
      </c>
      <c r="BT321" s="1291">
        <f t="shared" si="2293"/>
        <v>8.5</v>
      </c>
      <c r="BU321" s="1291">
        <f t="shared" si="2293"/>
        <v>0.5</v>
      </c>
      <c r="BV321" s="1291">
        <f t="shared" si="2293"/>
        <v>0.5</v>
      </c>
      <c r="BW321" s="1291">
        <f t="shared" si="2293"/>
        <v>0.5</v>
      </c>
      <c r="BX321" s="1291">
        <f t="shared" si="2293"/>
        <v>2.5</v>
      </c>
      <c r="BY321" s="1291">
        <f t="shared" si="2293"/>
        <v>4</v>
      </c>
      <c r="BZ321" s="1291">
        <f t="shared" si="2293"/>
        <v>4</v>
      </c>
      <c r="CA321" s="1291">
        <f t="shared" si="2293"/>
        <v>-2</v>
      </c>
      <c r="CB321" s="1291">
        <f t="shared" ref="CB321:CC321" si="2294">+CB224/2</f>
        <v>0</v>
      </c>
      <c r="CC321" s="1291">
        <f t="shared" si="2294"/>
        <v>3.5</v>
      </c>
      <c r="CD321" s="1291">
        <f t="shared" si="2293"/>
        <v>2</v>
      </c>
      <c r="CE321" s="1291">
        <f t="shared" ref="CE321:CF321" si="2295">+CE224/2</f>
        <v>-2</v>
      </c>
      <c r="CF321" s="1291">
        <f t="shared" si="2295"/>
        <v>0.5</v>
      </c>
      <c r="CG321" s="1291">
        <f t="shared" ref="CG321:CH321" si="2296">+CG224/2</f>
        <v>1.5</v>
      </c>
      <c r="CH321" s="1291">
        <f t="shared" si="2296"/>
        <v>3</v>
      </c>
      <c r="CI321" s="1291">
        <f t="shared" ref="CI321:CL321" si="2297">+CI224/2</f>
        <v>0.5</v>
      </c>
      <c r="CJ321" s="1291">
        <f t="shared" ref="CJ321" si="2298">+CJ224/2</f>
        <v>0.5</v>
      </c>
      <c r="CK321" s="1291">
        <f t="shared" si="2297"/>
        <v>0</v>
      </c>
      <c r="CL321" s="389">
        <f t="shared" si="2297"/>
        <v>10</v>
      </c>
      <c r="CM321" s="389">
        <f t="shared" ref="CM321:CP321" si="2299">+CM224/2</f>
        <v>0.5</v>
      </c>
      <c r="CN321" s="389">
        <f t="shared" si="2299"/>
        <v>1.5</v>
      </c>
      <c r="CO321" s="389">
        <f t="shared" si="2299"/>
        <v>2.5</v>
      </c>
      <c r="CP321" s="389">
        <f t="shared" si="2299"/>
        <v>5.5</v>
      </c>
      <c r="CQ321" s="389"/>
      <c r="CR321" s="604"/>
      <c r="CS321" s="604"/>
      <c r="CT321" s="389">
        <v>10</v>
      </c>
      <c r="CU321" s="693"/>
      <c r="CV321" s="63">
        <v>0</v>
      </c>
      <c r="CW321" s="63">
        <v>0</v>
      </c>
      <c r="CX321" s="63">
        <v>6</v>
      </c>
      <c r="CY321" s="63">
        <v>5</v>
      </c>
      <c r="CZ321" s="63">
        <v>3</v>
      </c>
      <c r="DA321" s="63">
        <v>3</v>
      </c>
      <c r="DB321" s="63">
        <v>2</v>
      </c>
      <c r="DC321" s="63">
        <v>6</v>
      </c>
      <c r="DD321" s="63">
        <v>6</v>
      </c>
      <c r="DE321" s="63">
        <v>14.5</v>
      </c>
      <c r="DF321" s="63">
        <f>+SUM(AQ321:AT321)</f>
        <v>15.5</v>
      </c>
      <c r="DG321" s="63">
        <f t="shared" si="2285"/>
        <v>5.5</v>
      </c>
      <c r="DH321" s="63">
        <f t="shared" si="2286"/>
        <v>5</v>
      </c>
      <c r="DI321" s="63">
        <f t="shared" si="2287"/>
        <v>6</v>
      </c>
      <c r="DJ321" s="63">
        <f t="shared" si="2288"/>
        <v>7</v>
      </c>
      <c r="DK321" s="63">
        <f>+BN321</f>
        <v>10</v>
      </c>
      <c r="DL321" s="127">
        <f>+BR321</f>
        <v>0.5</v>
      </c>
      <c r="DM321" s="1243">
        <f t="shared" ref="DM321:DS321" si="2300">+DM224*50%</f>
        <v>10</v>
      </c>
      <c r="DN321" s="1243">
        <f t="shared" si="2300"/>
        <v>11</v>
      </c>
      <c r="DO321" s="1243">
        <f t="shared" si="2300"/>
        <v>3.5</v>
      </c>
      <c r="DP321" s="1243">
        <f t="shared" ref="DP321:DQ321" si="2301">+DP224*50%</f>
        <v>3</v>
      </c>
      <c r="DQ321" s="1243">
        <f t="shared" si="2301"/>
        <v>11</v>
      </c>
      <c r="DR321" s="1243">
        <f t="shared" ref="DR321" si="2302">+DR224*50%</f>
        <v>10</v>
      </c>
      <c r="DS321" s="388">
        <f t="shared" si="2300"/>
        <v>10</v>
      </c>
      <c r="DT321" s="388">
        <f t="shared" ref="DT321:DV321" si="2303">+DT224*50%</f>
        <v>10</v>
      </c>
      <c r="DU321" s="388">
        <f t="shared" si="2303"/>
        <v>10</v>
      </c>
      <c r="DV321" s="388">
        <f t="shared" si="2303"/>
        <v>10</v>
      </c>
      <c r="DY321" s="388">
        <v>10</v>
      </c>
      <c r="DZ321" s="388">
        <v>10</v>
      </c>
    </row>
    <row r="322" spans="1:130">
      <c r="A322" s="45" t="s">
        <v>296</v>
      </c>
      <c r="B322" s="45"/>
      <c r="C322" s="63"/>
      <c r="D322" s="63"/>
      <c r="E322" s="63"/>
      <c r="F322" s="63"/>
      <c r="G322" s="63"/>
      <c r="H322" s="63"/>
      <c r="I322" s="63"/>
      <c r="J322" s="63"/>
      <c r="K322" s="63">
        <v>2</v>
      </c>
      <c r="L322" s="63">
        <v>4</v>
      </c>
      <c r="M322" s="63">
        <v>5</v>
      </c>
      <c r="N322" s="63">
        <v>6</v>
      </c>
      <c r="O322" s="63">
        <v>4</v>
      </c>
      <c r="P322" s="63">
        <v>5</v>
      </c>
      <c r="Q322" s="63">
        <v>4</v>
      </c>
      <c r="R322" s="63">
        <v>5</v>
      </c>
      <c r="S322" s="63">
        <v>5</v>
      </c>
      <c r="T322" s="63">
        <v>2</v>
      </c>
      <c r="U322" s="63">
        <v>2</v>
      </c>
      <c r="V322" s="63">
        <v>3</v>
      </c>
      <c r="W322" s="63">
        <v>3</v>
      </c>
      <c r="X322" s="63">
        <v>5</v>
      </c>
      <c r="Y322" s="63">
        <v>5</v>
      </c>
      <c r="Z322" s="63">
        <v>3</v>
      </c>
      <c r="AA322" s="63">
        <v>4</v>
      </c>
      <c r="AB322" s="63">
        <v>2</v>
      </c>
      <c r="AC322" s="63">
        <v>2</v>
      </c>
      <c r="AD322" s="63">
        <v>2</v>
      </c>
      <c r="AE322" s="63">
        <v>1</v>
      </c>
      <c r="AF322" s="63">
        <v>2</v>
      </c>
      <c r="AG322" s="63">
        <v>3</v>
      </c>
      <c r="AH322" s="63">
        <v>6</v>
      </c>
      <c r="AI322" s="63">
        <v>6</v>
      </c>
      <c r="AJ322" s="63">
        <v>6</v>
      </c>
      <c r="AK322" s="63">
        <v>6</v>
      </c>
      <c r="AL322" s="63">
        <v>6</v>
      </c>
      <c r="AM322" s="63">
        <v>6.5</v>
      </c>
      <c r="AN322" s="63">
        <v>8.5</v>
      </c>
      <c r="AO322" s="63">
        <v>10</v>
      </c>
      <c r="AP322" s="63">
        <v>14.5</v>
      </c>
      <c r="AQ322" s="63">
        <f t="shared" ref="AQ322:BG322" si="2304">AQ321+AP321+AO321+AN321</f>
        <v>14.5</v>
      </c>
      <c r="AR322" s="63">
        <f t="shared" si="2304"/>
        <v>16.5</v>
      </c>
      <c r="AS322" s="63">
        <f t="shared" si="2304"/>
        <v>16</v>
      </c>
      <c r="AT322" s="63">
        <f t="shared" si="2304"/>
        <v>15.5</v>
      </c>
      <c r="AU322" s="63">
        <f t="shared" si="2304"/>
        <v>15.5</v>
      </c>
      <c r="AV322" s="63">
        <f t="shared" si="2304"/>
        <v>15.5</v>
      </c>
      <c r="AW322" s="63">
        <f t="shared" si="2304"/>
        <v>16</v>
      </c>
      <c r="AX322" s="63">
        <f t="shared" si="2304"/>
        <v>13.5</v>
      </c>
      <c r="AY322" s="63">
        <f t="shared" si="2304"/>
        <v>14</v>
      </c>
      <c r="AZ322" s="63">
        <f t="shared" si="2304"/>
        <v>12.5</v>
      </c>
      <c r="BA322" s="64">
        <f t="shared" si="2304"/>
        <v>13</v>
      </c>
      <c r="BB322" s="63">
        <f t="shared" si="2304"/>
        <v>12.5</v>
      </c>
      <c r="BC322" s="64">
        <f t="shared" si="2304"/>
        <v>13</v>
      </c>
      <c r="BD322" s="63">
        <f t="shared" si="2304"/>
        <v>13</v>
      </c>
      <c r="BE322" s="63">
        <f t="shared" si="2304"/>
        <v>14</v>
      </c>
      <c r="BF322" s="63">
        <f t="shared" si="2304"/>
        <v>15</v>
      </c>
      <c r="BG322" s="63">
        <f t="shared" si="2304"/>
        <v>11.5</v>
      </c>
      <c r="BH322" s="63">
        <f t="shared" ref="BH322:BV322" si="2305">BH321+BG321+BF321+BE321</f>
        <v>12</v>
      </c>
      <c r="BI322" s="1227">
        <f t="shared" si="2305"/>
        <v>11</v>
      </c>
      <c r="BJ322" s="1227">
        <f t="shared" si="2305"/>
        <v>12</v>
      </c>
      <c r="BK322" s="1227">
        <f t="shared" si="2305"/>
        <v>14</v>
      </c>
      <c r="BL322" s="1227">
        <f t="shared" si="2305"/>
        <v>13</v>
      </c>
      <c r="BM322" s="1227">
        <f t="shared" si="2305"/>
        <v>14</v>
      </c>
      <c r="BN322" s="1227">
        <f t="shared" si="2305"/>
        <v>17</v>
      </c>
      <c r="BO322" s="1227">
        <f t="shared" si="2305"/>
        <v>16.5</v>
      </c>
      <c r="BP322" s="1227">
        <f t="shared" si="2305"/>
        <v>13.5</v>
      </c>
      <c r="BQ322" s="1227">
        <f t="shared" si="2305"/>
        <v>12</v>
      </c>
      <c r="BR322" s="1227">
        <f t="shared" si="2305"/>
        <v>2.5</v>
      </c>
      <c r="BS322" s="1227">
        <f t="shared" si="2305"/>
        <v>3.5</v>
      </c>
      <c r="BT322" s="1227">
        <f t="shared" si="2305"/>
        <v>12</v>
      </c>
      <c r="BU322" s="1227">
        <f t="shared" si="2305"/>
        <v>10</v>
      </c>
      <c r="BV322" s="1227">
        <f t="shared" si="2305"/>
        <v>10</v>
      </c>
      <c r="BW322" s="1227">
        <f t="shared" ref="BW322:CF322" si="2306">BW321+BV321+BU321+BT321</f>
        <v>10</v>
      </c>
      <c r="BX322" s="1227">
        <f t="shared" si="2306"/>
        <v>4</v>
      </c>
      <c r="BY322" s="1227">
        <f t="shared" si="2306"/>
        <v>7.5</v>
      </c>
      <c r="BZ322" s="1227">
        <f t="shared" si="2306"/>
        <v>11</v>
      </c>
      <c r="CA322" s="1227">
        <f t="shared" si="2306"/>
        <v>8.5</v>
      </c>
      <c r="CB322" s="1227">
        <f t="shared" si="2306"/>
        <v>6</v>
      </c>
      <c r="CC322" s="1227">
        <f t="shared" si="2306"/>
        <v>5.5</v>
      </c>
      <c r="CD322" s="1227">
        <f t="shared" si="2306"/>
        <v>3.5</v>
      </c>
      <c r="CE322" s="1227">
        <f t="shared" si="2306"/>
        <v>3.5</v>
      </c>
      <c r="CF322" s="1227">
        <f t="shared" si="2306"/>
        <v>4</v>
      </c>
      <c r="CG322" s="1227">
        <f t="shared" ref="CG322:CH322" si="2307">CG321+CF321+CE321+CD321</f>
        <v>2</v>
      </c>
      <c r="CH322" s="1227">
        <f t="shared" si="2307"/>
        <v>3</v>
      </c>
      <c r="CI322" s="1227">
        <f t="shared" ref="CI322:CJ322" si="2308">CI321+CH321+CG321+CF321</f>
        <v>5.5</v>
      </c>
      <c r="CJ322" s="1227">
        <f t="shared" si="2308"/>
        <v>5.5</v>
      </c>
      <c r="CK322" s="1227">
        <f t="shared" ref="CK322" si="2309">CK321+CJ321+CI321+CH321</f>
        <v>4</v>
      </c>
      <c r="CL322" s="367">
        <f t="shared" ref="CL322" si="2310">CL321+CK321+CJ321+CI321</f>
        <v>11</v>
      </c>
      <c r="CM322" s="367">
        <f t="shared" ref="CM322" si="2311">CM321+CL321+CK321+CJ321</f>
        <v>11</v>
      </c>
      <c r="CN322" s="367">
        <f t="shared" ref="CN322" si="2312">CN321+CM321+CL321+CK321</f>
        <v>12</v>
      </c>
      <c r="CO322" s="367">
        <f t="shared" ref="CO322" si="2313">CO321+CN321+CM321+CL321</f>
        <v>14.5</v>
      </c>
      <c r="CP322" s="367">
        <f t="shared" ref="CP322" si="2314">CP321+CO321+CN321+CM321</f>
        <v>10</v>
      </c>
      <c r="CQ322" s="367"/>
      <c r="CR322" s="604"/>
      <c r="CS322" s="604"/>
      <c r="CT322" s="367">
        <v>11</v>
      </c>
      <c r="CU322" s="1102"/>
      <c r="CV322" s="63">
        <v>0</v>
      </c>
      <c r="CW322" s="63">
        <v>0</v>
      </c>
      <c r="CX322" s="63">
        <v>6</v>
      </c>
      <c r="CY322" s="63">
        <v>5</v>
      </c>
      <c r="CZ322" s="63">
        <v>3</v>
      </c>
      <c r="DA322" s="63">
        <v>3</v>
      </c>
      <c r="DB322" s="63">
        <v>2</v>
      </c>
      <c r="DC322" s="63">
        <v>6</v>
      </c>
      <c r="DD322" s="63">
        <v>6</v>
      </c>
      <c r="DE322" s="63">
        <v>14.5</v>
      </c>
      <c r="DF322" s="63">
        <f t="shared" ref="DF322:DF327" si="2315">AT322</f>
        <v>15.5</v>
      </c>
      <c r="DG322" s="63">
        <f t="shared" si="2285"/>
        <v>13.5</v>
      </c>
      <c r="DH322" s="63">
        <f t="shared" si="2286"/>
        <v>12.5</v>
      </c>
      <c r="DI322" s="63">
        <f t="shared" si="2287"/>
        <v>15</v>
      </c>
      <c r="DJ322" s="63">
        <f t="shared" si="2288"/>
        <v>12</v>
      </c>
      <c r="DK322" s="63">
        <f t="shared" ref="DK322:DM322" si="2316">DK321</f>
        <v>10</v>
      </c>
      <c r="DL322" s="1227">
        <f t="shared" si="2316"/>
        <v>0.5</v>
      </c>
      <c r="DM322" s="1227">
        <f t="shared" si="2316"/>
        <v>10</v>
      </c>
      <c r="DN322" s="1227">
        <f t="shared" ref="DN322:DS322" si="2317">DN321</f>
        <v>11</v>
      </c>
      <c r="DO322" s="1227">
        <f t="shared" si="2317"/>
        <v>3.5</v>
      </c>
      <c r="DP322" s="1227">
        <f t="shared" si="2317"/>
        <v>3</v>
      </c>
      <c r="DQ322" s="1227">
        <f t="shared" si="2317"/>
        <v>11</v>
      </c>
      <c r="DR322" s="1227">
        <f t="shared" ref="DR322" si="2318">DR321</f>
        <v>10</v>
      </c>
      <c r="DS322" s="367">
        <f t="shared" si="2317"/>
        <v>10</v>
      </c>
      <c r="DT322" s="367">
        <f t="shared" ref="DT322:DV322" si="2319">DT321</f>
        <v>10</v>
      </c>
      <c r="DU322" s="367">
        <f t="shared" si="2319"/>
        <v>10</v>
      </c>
      <c r="DV322" s="367">
        <f t="shared" si="2319"/>
        <v>10</v>
      </c>
      <c r="DY322" s="367">
        <v>10</v>
      </c>
      <c r="DZ322" s="367">
        <v>10</v>
      </c>
    </row>
    <row r="323" spans="1:130">
      <c r="A323" s="45" t="s">
        <v>297</v>
      </c>
      <c r="B323" s="45"/>
      <c r="C323" s="63"/>
      <c r="D323" s="63"/>
      <c r="E323" s="63"/>
      <c r="F323" s="63"/>
      <c r="G323" s="63"/>
      <c r="H323" s="63"/>
      <c r="I323" s="63"/>
      <c r="J323" s="63"/>
      <c r="K323" s="63">
        <v>0</v>
      </c>
      <c r="L323" s="63">
        <v>0</v>
      </c>
      <c r="M323" s="63">
        <v>0</v>
      </c>
      <c r="N323" s="63">
        <v>0</v>
      </c>
      <c r="O323" s="63">
        <v>2</v>
      </c>
      <c r="P323" s="63">
        <v>4</v>
      </c>
      <c r="Q323" s="63">
        <v>5</v>
      </c>
      <c r="R323" s="63">
        <v>6</v>
      </c>
      <c r="S323" s="63">
        <v>4</v>
      </c>
      <c r="T323" s="63">
        <v>5</v>
      </c>
      <c r="U323" s="63">
        <v>4</v>
      </c>
      <c r="V323" s="63">
        <v>5</v>
      </c>
      <c r="W323" s="63">
        <v>5</v>
      </c>
      <c r="X323" s="63">
        <v>2</v>
      </c>
      <c r="Y323" s="63">
        <v>2</v>
      </c>
      <c r="Z323" s="63">
        <v>3</v>
      </c>
      <c r="AA323" s="63">
        <v>3</v>
      </c>
      <c r="AB323" s="63">
        <v>5</v>
      </c>
      <c r="AC323" s="63">
        <v>5</v>
      </c>
      <c r="AD323" s="63">
        <v>3</v>
      </c>
      <c r="AE323" s="63">
        <v>4</v>
      </c>
      <c r="AF323" s="63">
        <v>2</v>
      </c>
      <c r="AG323" s="63">
        <v>2</v>
      </c>
      <c r="AH323" s="63">
        <v>2</v>
      </c>
      <c r="AI323" s="63">
        <v>1</v>
      </c>
      <c r="AJ323" s="63">
        <v>2</v>
      </c>
      <c r="AK323" s="63">
        <v>3</v>
      </c>
      <c r="AL323" s="63">
        <v>6</v>
      </c>
      <c r="AM323" s="63">
        <v>6</v>
      </c>
      <c r="AN323" s="63">
        <v>6</v>
      </c>
      <c r="AO323" s="63">
        <v>6</v>
      </c>
      <c r="AP323" s="63">
        <v>6</v>
      </c>
      <c r="AQ323" s="63">
        <f t="shared" ref="AQ323:AZ326" si="2320">AM322</f>
        <v>6.5</v>
      </c>
      <c r="AR323" s="63">
        <f t="shared" si="2320"/>
        <v>8.5</v>
      </c>
      <c r="AS323" s="63">
        <f t="shared" si="2320"/>
        <v>10</v>
      </c>
      <c r="AT323" s="63">
        <f t="shared" si="2320"/>
        <v>14.5</v>
      </c>
      <c r="AU323" s="63">
        <f t="shared" si="2320"/>
        <v>14.5</v>
      </c>
      <c r="AV323" s="63">
        <f t="shared" si="2320"/>
        <v>16.5</v>
      </c>
      <c r="AW323" s="63">
        <f t="shared" si="2320"/>
        <v>16</v>
      </c>
      <c r="AX323" s="63">
        <f t="shared" si="2320"/>
        <v>15.5</v>
      </c>
      <c r="AY323" s="63">
        <f t="shared" si="2320"/>
        <v>15.5</v>
      </c>
      <c r="AZ323" s="63">
        <f t="shared" si="2320"/>
        <v>15.5</v>
      </c>
      <c r="BA323" s="64">
        <f t="shared" ref="BA323:BG326" si="2321">AW322</f>
        <v>16</v>
      </c>
      <c r="BB323" s="63">
        <f t="shared" si="2321"/>
        <v>13.5</v>
      </c>
      <c r="BC323" s="64">
        <f t="shared" si="2321"/>
        <v>14</v>
      </c>
      <c r="BD323" s="63">
        <f t="shared" si="2321"/>
        <v>12.5</v>
      </c>
      <c r="BE323" s="63">
        <f t="shared" si="2321"/>
        <v>13</v>
      </c>
      <c r="BF323" s="63">
        <f t="shared" si="2321"/>
        <v>12.5</v>
      </c>
      <c r="BG323" s="63">
        <f t="shared" si="2321"/>
        <v>13</v>
      </c>
      <c r="BH323" s="63">
        <f>BD322</f>
        <v>13</v>
      </c>
      <c r="BI323" s="1227">
        <f t="shared" ref="BI323:BK326" si="2322">BE322</f>
        <v>14</v>
      </c>
      <c r="BJ323" s="1227">
        <f t="shared" si="2322"/>
        <v>15</v>
      </c>
      <c r="BK323" s="1227">
        <f t="shared" si="2322"/>
        <v>11.5</v>
      </c>
      <c r="BL323" s="1227">
        <f t="shared" ref="BL323:BP326" si="2323">BH322</f>
        <v>12</v>
      </c>
      <c r="BM323" s="1227">
        <f t="shared" si="2323"/>
        <v>11</v>
      </c>
      <c r="BN323" s="1227">
        <f t="shared" si="2323"/>
        <v>12</v>
      </c>
      <c r="BO323" s="1227">
        <f t="shared" si="2323"/>
        <v>14</v>
      </c>
      <c r="BP323" s="1227">
        <f t="shared" si="2323"/>
        <v>13</v>
      </c>
      <c r="BQ323" s="1227">
        <f t="shared" ref="BQ323:BV326" si="2324">BM322</f>
        <v>14</v>
      </c>
      <c r="BR323" s="1227">
        <f t="shared" si="2324"/>
        <v>17</v>
      </c>
      <c r="BS323" s="1227">
        <f t="shared" si="2324"/>
        <v>16.5</v>
      </c>
      <c r="BT323" s="1227">
        <f t="shared" si="2324"/>
        <v>13.5</v>
      </c>
      <c r="BU323" s="1227">
        <f t="shared" si="2324"/>
        <v>12</v>
      </c>
      <c r="BV323" s="1227">
        <f t="shared" si="2324"/>
        <v>2.5</v>
      </c>
      <c r="BW323" s="1227">
        <f t="shared" ref="BW323:CF326" si="2325">BS322</f>
        <v>3.5</v>
      </c>
      <c r="BX323" s="1227">
        <f t="shared" si="2325"/>
        <v>12</v>
      </c>
      <c r="BY323" s="1227">
        <f t="shared" si="2325"/>
        <v>10</v>
      </c>
      <c r="BZ323" s="1227">
        <f t="shared" si="2325"/>
        <v>10</v>
      </c>
      <c r="CA323" s="1227">
        <f t="shared" si="2325"/>
        <v>10</v>
      </c>
      <c r="CB323" s="1227">
        <f t="shared" si="2325"/>
        <v>4</v>
      </c>
      <c r="CC323" s="1227">
        <f t="shared" si="2325"/>
        <v>7.5</v>
      </c>
      <c r="CD323" s="1227">
        <f t="shared" si="2325"/>
        <v>11</v>
      </c>
      <c r="CE323" s="1227">
        <f t="shared" si="2325"/>
        <v>8.5</v>
      </c>
      <c r="CF323" s="1227">
        <f t="shared" si="2325"/>
        <v>6</v>
      </c>
      <c r="CG323" s="1227">
        <f t="shared" ref="CG323:CH326" si="2326">CC322</f>
        <v>5.5</v>
      </c>
      <c r="CH323" s="1227">
        <f t="shared" si="2326"/>
        <v>3.5</v>
      </c>
      <c r="CI323" s="1227">
        <f t="shared" ref="CI323:CJ326" si="2327">CE322</f>
        <v>3.5</v>
      </c>
      <c r="CJ323" s="1227">
        <f t="shared" si="2327"/>
        <v>4</v>
      </c>
      <c r="CK323" s="1227">
        <f t="shared" ref="CK323:CK326" si="2328">CG322</f>
        <v>2</v>
      </c>
      <c r="CL323" s="367">
        <f t="shared" ref="CL323:CL326" si="2329">CH322</f>
        <v>3</v>
      </c>
      <c r="CM323" s="367">
        <f t="shared" ref="CM323:CM326" si="2330">CI322</f>
        <v>5.5</v>
      </c>
      <c r="CN323" s="367">
        <f t="shared" ref="CN323:CN326" si="2331">CJ322</f>
        <v>5.5</v>
      </c>
      <c r="CO323" s="367">
        <f t="shared" ref="CO323:CO326" si="2332">CK322</f>
        <v>4</v>
      </c>
      <c r="CP323" s="367">
        <f t="shared" ref="CP323:CP326" si="2333">CL322</f>
        <v>11</v>
      </c>
      <c r="CQ323" s="367"/>
      <c r="CR323" s="604"/>
      <c r="CS323" s="604"/>
      <c r="CT323" s="367">
        <v>3</v>
      </c>
      <c r="CU323" s="1102"/>
      <c r="CV323" s="63">
        <v>0</v>
      </c>
      <c r="CW323" s="63">
        <v>0</v>
      </c>
      <c r="CX323" s="63">
        <v>0</v>
      </c>
      <c r="CY323" s="63">
        <v>6</v>
      </c>
      <c r="CZ323" s="63">
        <v>5</v>
      </c>
      <c r="DA323" s="63">
        <v>3</v>
      </c>
      <c r="DB323" s="63">
        <v>3</v>
      </c>
      <c r="DC323" s="63">
        <v>2</v>
      </c>
      <c r="DD323" s="63">
        <v>6</v>
      </c>
      <c r="DE323" s="63">
        <v>6</v>
      </c>
      <c r="DF323" s="63">
        <f t="shared" si="2315"/>
        <v>14.5</v>
      </c>
      <c r="DG323" s="63">
        <f t="shared" si="2285"/>
        <v>15.5</v>
      </c>
      <c r="DH323" s="63">
        <f t="shared" si="2286"/>
        <v>13.5</v>
      </c>
      <c r="DI323" s="63">
        <f t="shared" si="2287"/>
        <v>12.5</v>
      </c>
      <c r="DJ323" s="63">
        <f t="shared" si="2288"/>
        <v>15</v>
      </c>
      <c r="DK323" s="63">
        <f t="shared" ref="DK323:DM326" si="2334">DJ322</f>
        <v>12</v>
      </c>
      <c r="DL323" s="1227">
        <f t="shared" si="2334"/>
        <v>10</v>
      </c>
      <c r="DM323" s="1227">
        <f t="shared" si="2334"/>
        <v>0.5</v>
      </c>
      <c r="DN323" s="1227">
        <f t="shared" ref="DN323:DR326" si="2335">DM322</f>
        <v>10</v>
      </c>
      <c r="DO323" s="1227">
        <f t="shared" si="2335"/>
        <v>11</v>
      </c>
      <c r="DP323" s="1227">
        <f t="shared" si="2335"/>
        <v>3.5</v>
      </c>
      <c r="DQ323" s="1227">
        <f t="shared" si="2335"/>
        <v>3</v>
      </c>
      <c r="DR323" s="1227">
        <f t="shared" si="2335"/>
        <v>11</v>
      </c>
      <c r="DS323" s="367">
        <f t="shared" ref="DS323:DS326" si="2336">DR322</f>
        <v>10</v>
      </c>
      <c r="DT323" s="367">
        <f t="shared" ref="DT323:DT326" si="2337">DS322</f>
        <v>10</v>
      </c>
      <c r="DU323" s="367">
        <f t="shared" ref="DU323:DU326" si="2338">DT322</f>
        <v>10</v>
      </c>
      <c r="DV323" s="367">
        <f t="shared" ref="DV323:DV326" si="2339">DU322</f>
        <v>10</v>
      </c>
      <c r="DY323" s="367">
        <v>11</v>
      </c>
      <c r="DZ323" s="367">
        <v>10</v>
      </c>
    </row>
    <row r="324" spans="1:130">
      <c r="A324" s="45" t="s">
        <v>298</v>
      </c>
      <c r="B324" s="45"/>
      <c r="C324" s="63"/>
      <c r="D324" s="63"/>
      <c r="E324" s="63"/>
      <c r="F324" s="63"/>
      <c r="G324" s="63"/>
      <c r="H324" s="63"/>
      <c r="I324" s="63"/>
      <c r="J324" s="63"/>
      <c r="K324" s="63">
        <v>0</v>
      </c>
      <c r="L324" s="63">
        <v>0</v>
      </c>
      <c r="M324" s="63">
        <v>0</v>
      </c>
      <c r="N324" s="63">
        <v>0</v>
      </c>
      <c r="O324" s="63">
        <v>0</v>
      </c>
      <c r="P324" s="63">
        <v>0</v>
      </c>
      <c r="Q324" s="63">
        <v>0</v>
      </c>
      <c r="R324" s="63">
        <v>0</v>
      </c>
      <c r="S324" s="63">
        <v>2</v>
      </c>
      <c r="T324" s="63">
        <v>4</v>
      </c>
      <c r="U324" s="63">
        <v>5</v>
      </c>
      <c r="V324" s="63">
        <v>6</v>
      </c>
      <c r="W324" s="63">
        <v>4</v>
      </c>
      <c r="X324" s="63">
        <v>5</v>
      </c>
      <c r="Y324" s="63">
        <v>4</v>
      </c>
      <c r="Z324" s="63">
        <v>5</v>
      </c>
      <c r="AA324" s="63">
        <v>5</v>
      </c>
      <c r="AB324" s="63">
        <v>2</v>
      </c>
      <c r="AC324" s="63">
        <v>2</v>
      </c>
      <c r="AD324" s="63">
        <v>3</v>
      </c>
      <c r="AE324" s="63">
        <v>3</v>
      </c>
      <c r="AF324" s="63">
        <v>5</v>
      </c>
      <c r="AG324" s="63">
        <v>5</v>
      </c>
      <c r="AH324" s="63">
        <v>3</v>
      </c>
      <c r="AI324" s="63">
        <v>4</v>
      </c>
      <c r="AJ324" s="63">
        <v>2</v>
      </c>
      <c r="AK324" s="63">
        <v>2</v>
      </c>
      <c r="AL324" s="63">
        <v>2</v>
      </c>
      <c r="AM324" s="63">
        <v>1</v>
      </c>
      <c r="AN324" s="63">
        <v>2</v>
      </c>
      <c r="AO324" s="63">
        <v>3</v>
      </c>
      <c r="AP324" s="63">
        <v>6</v>
      </c>
      <c r="AQ324" s="63">
        <f t="shared" si="2320"/>
        <v>6</v>
      </c>
      <c r="AR324" s="63">
        <f t="shared" si="2320"/>
        <v>6</v>
      </c>
      <c r="AS324" s="63">
        <f t="shared" si="2320"/>
        <v>6</v>
      </c>
      <c r="AT324" s="63">
        <f t="shared" si="2320"/>
        <v>6</v>
      </c>
      <c r="AU324" s="63">
        <f t="shared" si="2320"/>
        <v>6.5</v>
      </c>
      <c r="AV324" s="63">
        <f t="shared" si="2320"/>
        <v>8.5</v>
      </c>
      <c r="AW324" s="63">
        <f t="shared" si="2320"/>
        <v>10</v>
      </c>
      <c r="AX324" s="63">
        <f t="shared" si="2320"/>
        <v>14.5</v>
      </c>
      <c r="AY324" s="63">
        <f t="shared" si="2320"/>
        <v>14.5</v>
      </c>
      <c r="AZ324" s="63">
        <f t="shared" si="2320"/>
        <v>16.5</v>
      </c>
      <c r="BA324" s="64">
        <f t="shared" si="2321"/>
        <v>16</v>
      </c>
      <c r="BB324" s="63">
        <f t="shared" si="2321"/>
        <v>15.5</v>
      </c>
      <c r="BC324" s="64">
        <f t="shared" si="2321"/>
        <v>15.5</v>
      </c>
      <c r="BD324" s="63">
        <f t="shared" si="2321"/>
        <v>15.5</v>
      </c>
      <c r="BE324" s="63">
        <f t="shared" si="2321"/>
        <v>16</v>
      </c>
      <c r="BF324" s="63">
        <f t="shared" si="2321"/>
        <v>13.5</v>
      </c>
      <c r="BG324" s="63">
        <f t="shared" si="2321"/>
        <v>14</v>
      </c>
      <c r="BH324" s="63">
        <f>BD323</f>
        <v>12.5</v>
      </c>
      <c r="BI324" s="1227">
        <f t="shared" si="2322"/>
        <v>13</v>
      </c>
      <c r="BJ324" s="1227">
        <f t="shared" si="2322"/>
        <v>12.5</v>
      </c>
      <c r="BK324" s="1227">
        <f t="shared" si="2322"/>
        <v>13</v>
      </c>
      <c r="BL324" s="1227">
        <f t="shared" si="2323"/>
        <v>13</v>
      </c>
      <c r="BM324" s="1227">
        <f t="shared" si="2323"/>
        <v>14</v>
      </c>
      <c r="BN324" s="1227">
        <f t="shared" si="2323"/>
        <v>15</v>
      </c>
      <c r="BO324" s="1227">
        <f t="shared" si="2323"/>
        <v>11.5</v>
      </c>
      <c r="BP324" s="1227">
        <f t="shared" si="2323"/>
        <v>12</v>
      </c>
      <c r="BQ324" s="1227">
        <f t="shared" si="2324"/>
        <v>11</v>
      </c>
      <c r="BR324" s="1227">
        <f t="shared" si="2324"/>
        <v>12</v>
      </c>
      <c r="BS324" s="1227">
        <f t="shared" si="2324"/>
        <v>14</v>
      </c>
      <c r="BT324" s="1227">
        <f t="shared" si="2324"/>
        <v>13</v>
      </c>
      <c r="BU324" s="1227">
        <f t="shared" si="2324"/>
        <v>14</v>
      </c>
      <c r="BV324" s="1227">
        <f t="shared" si="2324"/>
        <v>17</v>
      </c>
      <c r="BW324" s="1227">
        <f t="shared" si="2325"/>
        <v>16.5</v>
      </c>
      <c r="BX324" s="1227">
        <f t="shared" si="2325"/>
        <v>13.5</v>
      </c>
      <c r="BY324" s="1227">
        <f t="shared" si="2325"/>
        <v>12</v>
      </c>
      <c r="BZ324" s="1227">
        <f t="shared" si="2325"/>
        <v>2.5</v>
      </c>
      <c r="CA324" s="1227">
        <f t="shared" si="2325"/>
        <v>3.5</v>
      </c>
      <c r="CB324" s="1227">
        <f t="shared" si="2325"/>
        <v>12</v>
      </c>
      <c r="CC324" s="1227">
        <f t="shared" si="2325"/>
        <v>10</v>
      </c>
      <c r="CD324" s="1227">
        <f t="shared" si="2325"/>
        <v>10</v>
      </c>
      <c r="CE324" s="1227">
        <f t="shared" si="2325"/>
        <v>10</v>
      </c>
      <c r="CF324" s="1227">
        <f t="shared" si="2325"/>
        <v>4</v>
      </c>
      <c r="CG324" s="1227">
        <f t="shared" si="2326"/>
        <v>7.5</v>
      </c>
      <c r="CH324" s="1227">
        <f t="shared" si="2326"/>
        <v>11</v>
      </c>
      <c r="CI324" s="1227">
        <f t="shared" si="2327"/>
        <v>8.5</v>
      </c>
      <c r="CJ324" s="1227">
        <f t="shared" si="2327"/>
        <v>6</v>
      </c>
      <c r="CK324" s="1227">
        <f t="shared" si="2328"/>
        <v>5.5</v>
      </c>
      <c r="CL324" s="367">
        <f t="shared" si="2329"/>
        <v>3.5</v>
      </c>
      <c r="CM324" s="367">
        <f t="shared" si="2330"/>
        <v>3.5</v>
      </c>
      <c r="CN324" s="367">
        <f t="shared" si="2331"/>
        <v>4</v>
      </c>
      <c r="CO324" s="367">
        <f t="shared" si="2332"/>
        <v>2</v>
      </c>
      <c r="CP324" s="367">
        <f t="shared" si="2333"/>
        <v>3</v>
      </c>
      <c r="CQ324" s="367"/>
      <c r="CR324" s="604"/>
      <c r="CS324" s="604"/>
      <c r="CT324" s="367">
        <v>3.5</v>
      </c>
      <c r="CU324" s="1102"/>
      <c r="CV324" s="63">
        <v>0</v>
      </c>
      <c r="CW324" s="63">
        <v>0</v>
      </c>
      <c r="CX324" s="63">
        <v>0</v>
      </c>
      <c r="CY324" s="63">
        <v>0</v>
      </c>
      <c r="CZ324" s="63">
        <v>6</v>
      </c>
      <c r="DA324" s="63">
        <v>5</v>
      </c>
      <c r="DB324" s="63">
        <v>3</v>
      </c>
      <c r="DC324" s="63">
        <v>3</v>
      </c>
      <c r="DD324" s="63">
        <v>2</v>
      </c>
      <c r="DE324" s="63">
        <v>6</v>
      </c>
      <c r="DF324" s="63">
        <f t="shared" si="2315"/>
        <v>6</v>
      </c>
      <c r="DG324" s="63">
        <f t="shared" si="2285"/>
        <v>14.5</v>
      </c>
      <c r="DH324" s="63">
        <f t="shared" si="2286"/>
        <v>15.5</v>
      </c>
      <c r="DI324" s="63">
        <f t="shared" si="2287"/>
        <v>13.5</v>
      </c>
      <c r="DJ324" s="63">
        <f t="shared" si="2288"/>
        <v>12.5</v>
      </c>
      <c r="DK324" s="63">
        <f t="shared" si="2334"/>
        <v>15</v>
      </c>
      <c r="DL324" s="1227">
        <f t="shared" si="2334"/>
        <v>12</v>
      </c>
      <c r="DM324" s="1227">
        <f t="shared" si="2334"/>
        <v>10</v>
      </c>
      <c r="DN324" s="1227">
        <f t="shared" si="2335"/>
        <v>0.5</v>
      </c>
      <c r="DO324" s="1227">
        <f t="shared" si="2335"/>
        <v>10</v>
      </c>
      <c r="DP324" s="1227">
        <f t="shared" si="2335"/>
        <v>11</v>
      </c>
      <c r="DQ324" s="1227">
        <f t="shared" si="2335"/>
        <v>3.5</v>
      </c>
      <c r="DR324" s="1227">
        <f t="shared" si="2335"/>
        <v>3</v>
      </c>
      <c r="DS324" s="367">
        <f t="shared" si="2336"/>
        <v>11</v>
      </c>
      <c r="DT324" s="367">
        <f t="shared" si="2337"/>
        <v>10</v>
      </c>
      <c r="DU324" s="367">
        <f t="shared" si="2338"/>
        <v>10</v>
      </c>
      <c r="DV324" s="367">
        <f t="shared" si="2339"/>
        <v>10</v>
      </c>
      <c r="DY324" s="367">
        <v>3</v>
      </c>
      <c r="DZ324" s="367">
        <v>11</v>
      </c>
    </row>
    <row r="325" spans="1:130">
      <c r="A325" s="45" t="s">
        <v>299</v>
      </c>
      <c r="B325" s="45"/>
      <c r="C325" s="63"/>
      <c r="D325" s="63"/>
      <c r="E325" s="63"/>
      <c r="F325" s="63"/>
      <c r="G325" s="63"/>
      <c r="H325" s="63"/>
      <c r="I325" s="63"/>
      <c r="J325" s="63"/>
      <c r="K325" s="63">
        <v>0</v>
      </c>
      <c r="L325" s="63">
        <v>0</v>
      </c>
      <c r="M325" s="63">
        <v>0</v>
      </c>
      <c r="N325" s="63">
        <v>0</v>
      </c>
      <c r="O325" s="63">
        <v>0</v>
      </c>
      <c r="P325" s="63">
        <v>0</v>
      </c>
      <c r="Q325" s="63">
        <v>0</v>
      </c>
      <c r="R325" s="63">
        <v>0</v>
      </c>
      <c r="S325" s="63">
        <v>0</v>
      </c>
      <c r="T325" s="63">
        <v>0</v>
      </c>
      <c r="U325" s="63">
        <v>0</v>
      </c>
      <c r="V325" s="63">
        <v>0</v>
      </c>
      <c r="W325" s="63">
        <v>2</v>
      </c>
      <c r="X325" s="63">
        <v>4</v>
      </c>
      <c r="Y325" s="63">
        <v>5</v>
      </c>
      <c r="Z325" s="63">
        <v>6</v>
      </c>
      <c r="AA325" s="63">
        <v>4</v>
      </c>
      <c r="AB325" s="63">
        <v>5</v>
      </c>
      <c r="AC325" s="63">
        <v>4</v>
      </c>
      <c r="AD325" s="63">
        <v>5</v>
      </c>
      <c r="AE325" s="63">
        <v>5</v>
      </c>
      <c r="AF325" s="63">
        <v>2</v>
      </c>
      <c r="AG325" s="63">
        <v>2</v>
      </c>
      <c r="AH325" s="63">
        <v>3</v>
      </c>
      <c r="AI325" s="63">
        <v>3</v>
      </c>
      <c r="AJ325" s="63">
        <v>5</v>
      </c>
      <c r="AK325" s="63">
        <v>5</v>
      </c>
      <c r="AL325" s="63">
        <v>3</v>
      </c>
      <c r="AM325" s="63">
        <v>4</v>
      </c>
      <c r="AN325" s="63">
        <v>2</v>
      </c>
      <c r="AO325" s="63">
        <v>2</v>
      </c>
      <c r="AP325" s="63">
        <v>2</v>
      </c>
      <c r="AQ325" s="63">
        <f t="shared" si="2320"/>
        <v>1</v>
      </c>
      <c r="AR325" s="63">
        <f t="shared" si="2320"/>
        <v>2</v>
      </c>
      <c r="AS325" s="63">
        <f t="shared" si="2320"/>
        <v>3</v>
      </c>
      <c r="AT325" s="63">
        <f t="shared" si="2320"/>
        <v>6</v>
      </c>
      <c r="AU325" s="63">
        <f t="shared" si="2320"/>
        <v>6</v>
      </c>
      <c r="AV325" s="63">
        <f t="shared" si="2320"/>
        <v>6</v>
      </c>
      <c r="AW325" s="63">
        <f t="shared" si="2320"/>
        <v>6</v>
      </c>
      <c r="AX325" s="63">
        <f t="shared" si="2320"/>
        <v>6</v>
      </c>
      <c r="AY325" s="63">
        <f t="shared" si="2320"/>
        <v>6.5</v>
      </c>
      <c r="AZ325" s="63">
        <f t="shared" si="2320"/>
        <v>8.5</v>
      </c>
      <c r="BA325" s="64">
        <f t="shared" si="2321"/>
        <v>10</v>
      </c>
      <c r="BB325" s="63">
        <f t="shared" si="2321"/>
        <v>14.5</v>
      </c>
      <c r="BC325" s="64">
        <f t="shared" si="2321"/>
        <v>14.5</v>
      </c>
      <c r="BD325" s="63">
        <f t="shared" si="2321"/>
        <v>16.5</v>
      </c>
      <c r="BE325" s="63">
        <f t="shared" si="2321"/>
        <v>16</v>
      </c>
      <c r="BF325" s="63">
        <f t="shared" si="2321"/>
        <v>15.5</v>
      </c>
      <c r="BG325" s="63">
        <f t="shared" si="2321"/>
        <v>15.5</v>
      </c>
      <c r="BH325" s="63">
        <f>BD324</f>
        <v>15.5</v>
      </c>
      <c r="BI325" s="1227">
        <f t="shared" si="2322"/>
        <v>16</v>
      </c>
      <c r="BJ325" s="1227">
        <f t="shared" si="2322"/>
        <v>13.5</v>
      </c>
      <c r="BK325" s="1227">
        <f t="shared" si="2322"/>
        <v>14</v>
      </c>
      <c r="BL325" s="1227">
        <f t="shared" si="2323"/>
        <v>12.5</v>
      </c>
      <c r="BM325" s="1227">
        <f t="shared" si="2323"/>
        <v>13</v>
      </c>
      <c r="BN325" s="1227">
        <f t="shared" si="2323"/>
        <v>12.5</v>
      </c>
      <c r="BO325" s="1227">
        <f t="shared" si="2323"/>
        <v>13</v>
      </c>
      <c r="BP325" s="1227">
        <f t="shared" si="2323"/>
        <v>13</v>
      </c>
      <c r="BQ325" s="1227">
        <f t="shared" si="2324"/>
        <v>14</v>
      </c>
      <c r="BR325" s="1227">
        <f t="shared" si="2324"/>
        <v>15</v>
      </c>
      <c r="BS325" s="1227">
        <f t="shared" si="2324"/>
        <v>11.5</v>
      </c>
      <c r="BT325" s="1227">
        <f t="shared" si="2324"/>
        <v>12</v>
      </c>
      <c r="BU325" s="1227">
        <f t="shared" si="2324"/>
        <v>11</v>
      </c>
      <c r="BV325" s="1227">
        <f t="shared" si="2324"/>
        <v>12</v>
      </c>
      <c r="BW325" s="1227">
        <f t="shared" si="2325"/>
        <v>14</v>
      </c>
      <c r="BX325" s="1227">
        <f t="shared" si="2325"/>
        <v>13</v>
      </c>
      <c r="BY325" s="1227">
        <f t="shared" si="2325"/>
        <v>14</v>
      </c>
      <c r="BZ325" s="1227">
        <f t="shared" si="2325"/>
        <v>17</v>
      </c>
      <c r="CA325" s="1227">
        <f t="shared" si="2325"/>
        <v>16.5</v>
      </c>
      <c r="CB325" s="1227">
        <f t="shared" si="2325"/>
        <v>13.5</v>
      </c>
      <c r="CC325" s="1227">
        <f t="shared" si="2325"/>
        <v>12</v>
      </c>
      <c r="CD325" s="1227">
        <f t="shared" si="2325"/>
        <v>2.5</v>
      </c>
      <c r="CE325" s="1227">
        <f t="shared" si="2325"/>
        <v>3.5</v>
      </c>
      <c r="CF325" s="1227">
        <f t="shared" si="2325"/>
        <v>12</v>
      </c>
      <c r="CG325" s="1227">
        <f t="shared" si="2326"/>
        <v>10</v>
      </c>
      <c r="CH325" s="1227">
        <f t="shared" si="2326"/>
        <v>10</v>
      </c>
      <c r="CI325" s="1227">
        <f t="shared" si="2327"/>
        <v>10</v>
      </c>
      <c r="CJ325" s="1227">
        <f t="shared" si="2327"/>
        <v>4</v>
      </c>
      <c r="CK325" s="1227">
        <f t="shared" si="2328"/>
        <v>7.5</v>
      </c>
      <c r="CL325" s="367">
        <f t="shared" si="2329"/>
        <v>11</v>
      </c>
      <c r="CM325" s="367">
        <f t="shared" si="2330"/>
        <v>8.5</v>
      </c>
      <c r="CN325" s="367">
        <f t="shared" si="2331"/>
        <v>6</v>
      </c>
      <c r="CO325" s="367">
        <f t="shared" si="2332"/>
        <v>5.5</v>
      </c>
      <c r="CP325" s="367">
        <f t="shared" si="2333"/>
        <v>3.5</v>
      </c>
      <c r="CQ325" s="367"/>
      <c r="CR325" s="604"/>
      <c r="CS325" s="604"/>
      <c r="CT325" s="367">
        <v>11</v>
      </c>
      <c r="CU325" s="1102"/>
      <c r="CV325" s="63">
        <v>0</v>
      </c>
      <c r="CW325" s="63">
        <v>0</v>
      </c>
      <c r="CX325" s="63">
        <v>0</v>
      </c>
      <c r="CY325" s="63">
        <v>0</v>
      </c>
      <c r="CZ325" s="63">
        <v>0</v>
      </c>
      <c r="DA325" s="63">
        <v>6</v>
      </c>
      <c r="DB325" s="63">
        <v>5</v>
      </c>
      <c r="DC325" s="63">
        <v>3</v>
      </c>
      <c r="DD325" s="63">
        <v>3</v>
      </c>
      <c r="DE325" s="63">
        <v>2</v>
      </c>
      <c r="DF325" s="63">
        <f t="shared" si="2315"/>
        <v>6</v>
      </c>
      <c r="DG325" s="63">
        <f t="shared" si="2285"/>
        <v>6</v>
      </c>
      <c r="DH325" s="63">
        <f t="shared" si="2286"/>
        <v>14.5</v>
      </c>
      <c r="DI325" s="63">
        <f t="shared" si="2287"/>
        <v>15.5</v>
      </c>
      <c r="DJ325" s="63">
        <f t="shared" si="2288"/>
        <v>13.5</v>
      </c>
      <c r="DK325" s="63">
        <f t="shared" si="2334"/>
        <v>12.5</v>
      </c>
      <c r="DL325" s="1235">
        <f t="shared" si="2334"/>
        <v>15</v>
      </c>
      <c r="DM325" s="1235">
        <f t="shared" si="2334"/>
        <v>12</v>
      </c>
      <c r="DN325" s="1235">
        <f t="shared" si="2335"/>
        <v>10</v>
      </c>
      <c r="DO325" s="1235">
        <f t="shared" si="2335"/>
        <v>0.5</v>
      </c>
      <c r="DP325" s="1235">
        <f t="shared" si="2335"/>
        <v>10</v>
      </c>
      <c r="DQ325" s="1235">
        <f t="shared" si="2335"/>
        <v>11</v>
      </c>
      <c r="DR325" s="1235">
        <f t="shared" si="2335"/>
        <v>3.5</v>
      </c>
      <c r="DS325" s="384">
        <f t="shared" si="2336"/>
        <v>3</v>
      </c>
      <c r="DT325" s="384">
        <f t="shared" si="2337"/>
        <v>11</v>
      </c>
      <c r="DU325" s="384">
        <f t="shared" si="2338"/>
        <v>10</v>
      </c>
      <c r="DV325" s="384">
        <f t="shared" si="2339"/>
        <v>10</v>
      </c>
      <c r="DY325" s="384">
        <v>3.5</v>
      </c>
      <c r="DZ325" s="384">
        <v>3</v>
      </c>
    </row>
    <row r="326" spans="1:130">
      <c r="A326" s="45" t="s">
        <v>300</v>
      </c>
      <c r="B326" s="45"/>
      <c r="C326" s="63"/>
      <c r="D326" s="63"/>
      <c r="E326" s="63"/>
      <c r="F326" s="63"/>
      <c r="G326" s="63"/>
      <c r="H326" s="63"/>
      <c r="I326" s="63"/>
      <c r="J326" s="63"/>
      <c r="K326" s="63">
        <v>0</v>
      </c>
      <c r="L326" s="63">
        <v>0</v>
      </c>
      <c r="M326" s="63">
        <v>0</v>
      </c>
      <c r="N326" s="63">
        <v>0</v>
      </c>
      <c r="O326" s="63">
        <v>0</v>
      </c>
      <c r="P326" s="63">
        <v>0</v>
      </c>
      <c r="Q326" s="63">
        <v>0</v>
      </c>
      <c r="R326" s="63">
        <v>0</v>
      </c>
      <c r="S326" s="63">
        <v>0</v>
      </c>
      <c r="T326" s="63">
        <v>0</v>
      </c>
      <c r="U326" s="63">
        <v>0</v>
      </c>
      <c r="V326" s="63">
        <v>0</v>
      </c>
      <c r="W326" s="63">
        <v>0</v>
      </c>
      <c r="X326" s="63">
        <v>0</v>
      </c>
      <c r="Y326" s="63">
        <v>0</v>
      </c>
      <c r="Z326" s="63">
        <v>0</v>
      </c>
      <c r="AA326" s="63">
        <v>2</v>
      </c>
      <c r="AB326" s="63">
        <v>4</v>
      </c>
      <c r="AC326" s="63">
        <v>5</v>
      </c>
      <c r="AD326" s="63">
        <v>6</v>
      </c>
      <c r="AE326" s="63">
        <v>4</v>
      </c>
      <c r="AF326" s="63">
        <v>5</v>
      </c>
      <c r="AG326" s="63">
        <v>4</v>
      </c>
      <c r="AH326" s="63">
        <v>5</v>
      </c>
      <c r="AI326" s="63">
        <v>5</v>
      </c>
      <c r="AJ326" s="63">
        <v>2</v>
      </c>
      <c r="AK326" s="63">
        <v>2</v>
      </c>
      <c r="AL326" s="63">
        <v>3</v>
      </c>
      <c r="AM326" s="63">
        <v>3</v>
      </c>
      <c r="AN326" s="63">
        <v>5</v>
      </c>
      <c r="AO326" s="63">
        <v>5</v>
      </c>
      <c r="AP326" s="63">
        <v>3</v>
      </c>
      <c r="AQ326" s="63">
        <f t="shared" si="2320"/>
        <v>4</v>
      </c>
      <c r="AR326" s="63">
        <f t="shared" si="2320"/>
        <v>2</v>
      </c>
      <c r="AS326" s="63">
        <f t="shared" si="2320"/>
        <v>2</v>
      </c>
      <c r="AT326" s="63">
        <f t="shared" si="2320"/>
        <v>2</v>
      </c>
      <c r="AU326" s="63">
        <f t="shared" si="2320"/>
        <v>1</v>
      </c>
      <c r="AV326" s="63">
        <f t="shared" si="2320"/>
        <v>2</v>
      </c>
      <c r="AW326" s="63">
        <f t="shared" si="2320"/>
        <v>3</v>
      </c>
      <c r="AX326" s="63">
        <f t="shared" si="2320"/>
        <v>6</v>
      </c>
      <c r="AY326" s="63">
        <f t="shared" si="2320"/>
        <v>6</v>
      </c>
      <c r="AZ326" s="63">
        <f t="shared" si="2320"/>
        <v>6</v>
      </c>
      <c r="BA326" s="64">
        <f t="shared" si="2321"/>
        <v>6</v>
      </c>
      <c r="BB326" s="63">
        <f t="shared" si="2321"/>
        <v>6</v>
      </c>
      <c r="BC326" s="64">
        <f t="shared" si="2321"/>
        <v>6.5</v>
      </c>
      <c r="BD326" s="63">
        <f t="shared" si="2321"/>
        <v>8.5</v>
      </c>
      <c r="BE326" s="63">
        <f t="shared" si="2321"/>
        <v>10</v>
      </c>
      <c r="BF326" s="63">
        <f t="shared" si="2321"/>
        <v>14.5</v>
      </c>
      <c r="BG326" s="63">
        <f t="shared" si="2321"/>
        <v>14.5</v>
      </c>
      <c r="BH326" s="63">
        <f>BD325</f>
        <v>16.5</v>
      </c>
      <c r="BI326" s="1227">
        <f t="shared" si="2322"/>
        <v>16</v>
      </c>
      <c r="BJ326" s="1227">
        <f t="shared" si="2322"/>
        <v>15.5</v>
      </c>
      <c r="BK326" s="1227">
        <f t="shared" si="2322"/>
        <v>15.5</v>
      </c>
      <c r="BL326" s="1227">
        <f t="shared" si="2323"/>
        <v>15.5</v>
      </c>
      <c r="BM326" s="1227">
        <f t="shared" si="2323"/>
        <v>16</v>
      </c>
      <c r="BN326" s="1227">
        <f t="shared" si="2323"/>
        <v>13.5</v>
      </c>
      <c r="BO326" s="1227">
        <f t="shared" si="2323"/>
        <v>14</v>
      </c>
      <c r="BP326" s="1227">
        <f t="shared" si="2323"/>
        <v>12.5</v>
      </c>
      <c r="BQ326" s="1227">
        <f t="shared" si="2324"/>
        <v>13</v>
      </c>
      <c r="BR326" s="1227">
        <f t="shared" si="2324"/>
        <v>12.5</v>
      </c>
      <c r="BS326" s="1227">
        <f t="shared" si="2324"/>
        <v>13</v>
      </c>
      <c r="BT326" s="1227">
        <f t="shared" si="2324"/>
        <v>13</v>
      </c>
      <c r="BU326" s="1227">
        <f t="shared" si="2324"/>
        <v>14</v>
      </c>
      <c r="BV326" s="1227">
        <f t="shared" si="2324"/>
        <v>15</v>
      </c>
      <c r="BW326" s="1227">
        <f t="shared" si="2325"/>
        <v>11.5</v>
      </c>
      <c r="BX326" s="1227">
        <f t="shared" si="2325"/>
        <v>12</v>
      </c>
      <c r="BY326" s="1227">
        <f t="shared" si="2325"/>
        <v>11</v>
      </c>
      <c r="BZ326" s="1227">
        <f t="shared" si="2325"/>
        <v>12</v>
      </c>
      <c r="CA326" s="1227">
        <f t="shared" si="2325"/>
        <v>14</v>
      </c>
      <c r="CB326" s="1227">
        <f t="shared" si="2325"/>
        <v>13</v>
      </c>
      <c r="CC326" s="1227">
        <f t="shared" si="2325"/>
        <v>14</v>
      </c>
      <c r="CD326" s="1227">
        <f t="shared" si="2325"/>
        <v>17</v>
      </c>
      <c r="CE326" s="1227">
        <f t="shared" si="2325"/>
        <v>16.5</v>
      </c>
      <c r="CF326" s="1227">
        <f t="shared" si="2325"/>
        <v>13.5</v>
      </c>
      <c r="CG326" s="1227">
        <f t="shared" si="2326"/>
        <v>12</v>
      </c>
      <c r="CH326" s="1227">
        <f t="shared" si="2326"/>
        <v>2.5</v>
      </c>
      <c r="CI326" s="1227">
        <f t="shared" si="2327"/>
        <v>3.5</v>
      </c>
      <c r="CJ326" s="1227">
        <f t="shared" si="2327"/>
        <v>12</v>
      </c>
      <c r="CK326" s="1227">
        <f t="shared" si="2328"/>
        <v>10</v>
      </c>
      <c r="CL326" s="367">
        <f t="shared" si="2329"/>
        <v>10</v>
      </c>
      <c r="CM326" s="367">
        <f t="shared" si="2330"/>
        <v>10</v>
      </c>
      <c r="CN326" s="367">
        <f t="shared" si="2331"/>
        <v>4</v>
      </c>
      <c r="CO326" s="367">
        <f t="shared" si="2332"/>
        <v>7.5</v>
      </c>
      <c r="CP326" s="367">
        <f t="shared" si="2333"/>
        <v>11</v>
      </c>
      <c r="CQ326" s="367"/>
      <c r="CR326" s="604"/>
      <c r="CS326" s="604"/>
      <c r="CT326" s="367">
        <v>10</v>
      </c>
      <c r="CU326" s="1102"/>
      <c r="CV326" s="63">
        <v>0</v>
      </c>
      <c r="CW326" s="63">
        <v>0</v>
      </c>
      <c r="CX326" s="63">
        <v>0</v>
      </c>
      <c r="CY326" s="63">
        <v>0</v>
      </c>
      <c r="CZ326" s="63">
        <v>0</v>
      </c>
      <c r="DA326" s="63">
        <v>0</v>
      </c>
      <c r="DB326" s="63">
        <v>6</v>
      </c>
      <c r="DC326" s="63">
        <v>5</v>
      </c>
      <c r="DD326" s="63">
        <v>3</v>
      </c>
      <c r="DE326" s="63">
        <v>3</v>
      </c>
      <c r="DF326" s="63">
        <f t="shared" si="2315"/>
        <v>2</v>
      </c>
      <c r="DG326" s="63">
        <f t="shared" si="2285"/>
        <v>6</v>
      </c>
      <c r="DH326" s="63">
        <f t="shared" si="2286"/>
        <v>6</v>
      </c>
      <c r="DI326" s="63">
        <f t="shared" si="2287"/>
        <v>14.5</v>
      </c>
      <c r="DJ326" s="63">
        <f t="shared" si="2288"/>
        <v>15.5</v>
      </c>
      <c r="DK326" s="63">
        <f t="shared" si="2334"/>
        <v>13.5</v>
      </c>
      <c r="DL326" s="1235">
        <f t="shared" si="2334"/>
        <v>12.5</v>
      </c>
      <c r="DM326" s="1235">
        <f t="shared" si="2334"/>
        <v>15</v>
      </c>
      <c r="DN326" s="1235">
        <f t="shared" si="2335"/>
        <v>12</v>
      </c>
      <c r="DO326" s="1235">
        <f t="shared" si="2335"/>
        <v>10</v>
      </c>
      <c r="DP326" s="1235">
        <f t="shared" si="2335"/>
        <v>0.5</v>
      </c>
      <c r="DQ326" s="1235">
        <f t="shared" si="2335"/>
        <v>10</v>
      </c>
      <c r="DR326" s="1235">
        <f t="shared" si="2335"/>
        <v>11</v>
      </c>
      <c r="DS326" s="384">
        <f t="shared" si="2336"/>
        <v>3.5</v>
      </c>
      <c r="DT326" s="384">
        <f t="shared" si="2337"/>
        <v>3</v>
      </c>
      <c r="DU326" s="384">
        <f t="shared" si="2338"/>
        <v>11</v>
      </c>
      <c r="DV326" s="384">
        <f t="shared" si="2339"/>
        <v>10</v>
      </c>
      <c r="DY326" s="384">
        <v>11</v>
      </c>
      <c r="DZ326" s="384">
        <v>3.5</v>
      </c>
    </row>
    <row r="327" spans="1:130">
      <c r="A327" s="45" t="s">
        <v>307</v>
      </c>
      <c r="B327" s="45"/>
      <c r="C327" s="63">
        <v>0</v>
      </c>
      <c r="D327" s="63">
        <v>0</v>
      </c>
      <c r="E327" s="63">
        <v>0</v>
      </c>
      <c r="F327" s="63">
        <v>0</v>
      </c>
      <c r="G327" s="63">
        <v>0</v>
      </c>
      <c r="H327" s="63">
        <v>0</v>
      </c>
      <c r="I327" s="63">
        <v>0</v>
      </c>
      <c r="J327" s="63">
        <v>0</v>
      </c>
      <c r="K327" s="63">
        <v>0</v>
      </c>
      <c r="L327" s="63">
        <v>0</v>
      </c>
      <c r="M327" s="63">
        <v>0</v>
      </c>
      <c r="N327" s="63">
        <v>0</v>
      </c>
      <c r="O327" s="63">
        <v>0</v>
      </c>
      <c r="P327" s="63">
        <v>0</v>
      </c>
      <c r="Q327" s="63">
        <v>0</v>
      </c>
      <c r="R327" s="63">
        <v>0</v>
      </c>
      <c r="S327" s="63">
        <v>0</v>
      </c>
      <c r="T327" s="63">
        <v>0</v>
      </c>
      <c r="U327" s="63">
        <v>0</v>
      </c>
      <c r="V327" s="63">
        <v>0</v>
      </c>
      <c r="W327" s="63">
        <v>0</v>
      </c>
      <c r="X327" s="63">
        <v>0</v>
      </c>
      <c r="Y327" s="63">
        <v>0</v>
      </c>
      <c r="Z327" s="63">
        <v>0</v>
      </c>
      <c r="AA327" s="63">
        <v>0</v>
      </c>
      <c r="AB327" s="63">
        <v>0</v>
      </c>
      <c r="AC327" s="63">
        <v>0</v>
      </c>
      <c r="AD327" s="63">
        <v>0</v>
      </c>
      <c r="AE327" s="63">
        <v>2</v>
      </c>
      <c r="AF327" s="63">
        <v>4</v>
      </c>
      <c r="AG327" s="63">
        <v>5</v>
      </c>
      <c r="AH327" s="63">
        <v>6</v>
      </c>
      <c r="AI327" s="63">
        <v>37</v>
      </c>
      <c r="AJ327" s="63">
        <v>42</v>
      </c>
      <c r="AK327" s="63">
        <v>44</v>
      </c>
      <c r="AL327" s="63">
        <v>49</v>
      </c>
      <c r="AM327" s="63">
        <v>50</v>
      </c>
      <c r="AN327" s="63">
        <v>53</v>
      </c>
      <c r="AO327" s="63">
        <v>56</v>
      </c>
      <c r="AP327" s="63">
        <v>69</v>
      </c>
      <c r="AQ327" s="63">
        <f t="shared" ref="AQ327:BF327" si="2340">AQ320-AQ322-AQ323-AQ324-AQ325-AQ326</f>
        <v>71</v>
      </c>
      <c r="AR327" s="63">
        <f t="shared" si="2340"/>
        <v>85</v>
      </c>
      <c r="AS327" s="63">
        <f t="shared" si="2340"/>
        <v>91</v>
      </c>
      <c r="AT327" s="63">
        <f t="shared" si="2340"/>
        <v>95</v>
      </c>
      <c r="AU327" s="63">
        <f t="shared" si="2340"/>
        <v>95</v>
      </c>
      <c r="AV327" s="63">
        <f t="shared" si="2340"/>
        <v>103</v>
      </c>
      <c r="AW327" s="63">
        <f t="shared" si="2340"/>
        <v>104</v>
      </c>
      <c r="AX327" s="63">
        <f t="shared" si="2340"/>
        <v>118</v>
      </c>
      <c r="AY327" s="63">
        <f t="shared" si="2340"/>
        <v>123</v>
      </c>
      <c r="AZ327" s="63">
        <f t="shared" si="2340"/>
        <v>138</v>
      </c>
      <c r="BA327" s="64">
        <f t="shared" si="2340"/>
        <v>143</v>
      </c>
      <c r="BB327" s="63">
        <f t="shared" si="2340"/>
        <v>163</v>
      </c>
      <c r="BC327" s="64">
        <f t="shared" si="2340"/>
        <v>167</v>
      </c>
      <c r="BD327" s="63">
        <f t="shared" si="2340"/>
        <v>183</v>
      </c>
      <c r="BE327" s="63">
        <f t="shared" si="2340"/>
        <v>193</v>
      </c>
      <c r="BF327" s="63">
        <f t="shared" si="2340"/>
        <v>207</v>
      </c>
      <c r="BG327" s="63">
        <f t="shared" ref="BG327:BV327" si="2341">BG320-BG322-BG323-BG324-BG325-BG326</f>
        <v>205.5</v>
      </c>
      <c r="BH327" s="63">
        <f t="shared" si="2341"/>
        <v>221.5</v>
      </c>
      <c r="BI327" s="1227">
        <f t="shared" si="2341"/>
        <v>228</v>
      </c>
      <c r="BJ327" s="1227">
        <f t="shared" si="2341"/>
        <v>241.5</v>
      </c>
      <c r="BK327" s="1227">
        <f t="shared" si="2341"/>
        <v>244</v>
      </c>
      <c r="BL327" s="1227">
        <f t="shared" si="2341"/>
        <v>255</v>
      </c>
      <c r="BM327" s="1227">
        <f t="shared" si="2341"/>
        <v>256</v>
      </c>
      <c r="BN327" s="1227">
        <f t="shared" si="2341"/>
        <v>270</v>
      </c>
      <c r="BO327" s="1227">
        <f>BO320-BO322-BO323-BO324-BO325-BO326</f>
        <v>265.5</v>
      </c>
      <c r="BP327" s="1227">
        <f>BP320-BP322-BP323-BP324-BP325-BP326</f>
        <v>270.5</v>
      </c>
      <c r="BQ327" s="1227">
        <f>BQ320-BQ322-BQ323-BQ324-BQ325-BQ326</f>
        <v>276</v>
      </c>
      <c r="BR327" s="1227">
        <f t="shared" si="2341"/>
        <v>281.5</v>
      </c>
      <c r="BS327" s="1227">
        <f>BS320-BS322-BS323-BS324-BS325-BS326</f>
        <v>281.5</v>
      </c>
      <c r="BT327" s="1227">
        <f>BT320-BT322-BT323-BT324-BT325-BT326</f>
        <v>295</v>
      </c>
      <c r="BU327" s="1227">
        <f>BU320-BU322-BU323-BU324-BU325-BU326</f>
        <v>299</v>
      </c>
      <c r="BV327" s="1227">
        <f t="shared" si="2341"/>
        <v>304</v>
      </c>
      <c r="BW327" s="1227">
        <f t="shared" ref="BW327:CD327" si="2342">BW320-BW322-BW323-BW324-BW325-BW326</f>
        <v>306.5</v>
      </c>
      <c r="BX327" s="1227">
        <f t="shared" si="2342"/>
        <v>318</v>
      </c>
      <c r="BY327" s="1227">
        <f t="shared" si="2342"/>
        <v>326</v>
      </c>
      <c r="BZ327" s="1227">
        <f t="shared" si="2342"/>
        <v>333</v>
      </c>
      <c r="CA327" s="1227">
        <f t="shared" si="2342"/>
        <v>315</v>
      </c>
      <c r="CB327" s="1227">
        <f t="shared" ref="CB327:CC327" si="2343">CB320-CB322-CB323-CB324-CB325-CB326</f>
        <v>322</v>
      </c>
      <c r="CC327" s="1227">
        <f t="shared" si="2343"/>
        <v>326</v>
      </c>
      <c r="CD327" s="1227">
        <f t="shared" si="2342"/>
        <v>339</v>
      </c>
      <c r="CE327" s="1227">
        <f t="shared" ref="CE327:CF327" si="2344">CE320-CE322-CE323-CE324-CE325-CE326</f>
        <v>336</v>
      </c>
      <c r="CF327" s="1227">
        <f t="shared" si="2344"/>
        <v>343</v>
      </c>
      <c r="CG327" s="1227">
        <f t="shared" ref="CG327:CH327" si="2345">CG320-CG322-CG323-CG324-CG325-CG326</f>
        <v>348</v>
      </c>
      <c r="CH327" s="1227">
        <f t="shared" si="2345"/>
        <v>363</v>
      </c>
      <c r="CI327" s="1227">
        <f t="shared" ref="CI327:CL327" si="2346">CI320-CI322-CI323-CI324-CI325-CI326</f>
        <v>361.5</v>
      </c>
      <c r="CJ327" s="1227">
        <f t="shared" ref="CJ327" si="2347">CJ320-CJ322-CJ323-CJ324-CJ325-CJ326</f>
        <v>365.5</v>
      </c>
      <c r="CK327" s="1227">
        <f t="shared" si="2346"/>
        <v>371</v>
      </c>
      <c r="CL327" s="367">
        <f t="shared" si="2346"/>
        <v>376.5</v>
      </c>
      <c r="CM327" s="367">
        <f t="shared" ref="CM327:CP327" si="2348">CM320-CM322-CM323-CM324-CM325-CM326</f>
        <v>378</v>
      </c>
      <c r="CN327" s="367">
        <f t="shared" si="2348"/>
        <v>389.5</v>
      </c>
      <c r="CO327" s="367">
        <f t="shared" si="2348"/>
        <v>395</v>
      </c>
      <c r="CP327" s="367">
        <f t="shared" si="2348"/>
        <v>406.5</v>
      </c>
      <c r="CQ327" s="367"/>
      <c r="CR327" s="604"/>
      <c r="CS327" s="604"/>
      <c r="CT327" s="367">
        <v>376.5</v>
      </c>
      <c r="CU327" s="1102"/>
      <c r="CV327" s="63">
        <v>0</v>
      </c>
      <c r="CW327" s="63">
        <v>0</v>
      </c>
      <c r="CX327" s="63">
        <v>0</v>
      </c>
      <c r="CY327" s="63">
        <v>0</v>
      </c>
      <c r="CZ327" s="63">
        <v>0</v>
      </c>
      <c r="DA327" s="63">
        <v>0</v>
      </c>
      <c r="DB327" s="63">
        <v>0</v>
      </c>
      <c r="DC327" s="63">
        <v>6</v>
      </c>
      <c r="DD327" s="63">
        <v>49</v>
      </c>
      <c r="DE327" s="63">
        <v>69</v>
      </c>
      <c r="DF327" s="63">
        <f t="shared" si="2315"/>
        <v>95</v>
      </c>
      <c r="DG327" s="63">
        <f t="shared" si="2285"/>
        <v>118</v>
      </c>
      <c r="DH327" s="63">
        <f t="shared" si="2286"/>
        <v>163</v>
      </c>
      <c r="DI327" s="63">
        <f t="shared" si="2287"/>
        <v>207</v>
      </c>
      <c r="DJ327" s="63">
        <f t="shared" si="2288"/>
        <v>241.5</v>
      </c>
      <c r="DK327" s="63">
        <f t="shared" ref="DK327:DM327" si="2349">DK320-DK322-DK323-DK324-DK325-DK326</f>
        <v>277</v>
      </c>
      <c r="DL327" s="1227">
        <f t="shared" si="2349"/>
        <v>290.5</v>
      </c>
      <c r="DM327" s="1227">
        <f t="shared" si="2349"/>
        <v>303</v>
      </c>
      <c r="DN327" s="1227">
        <f t="shared" ref="DN327:DS327" si="2350">DN320-DN322-DN323-DN324-DN325-DN326</f>
        <v>318</v>
      </c>
      <c r="DO327" s="1227">
        <f t="shared" si="2350"/>
        <v>330</v>
      </c>
      <c r="DP327" s="1227">
        <f t="shared" si="2350"/>
        <v>340</v>
      </c>
      <c r="DQ327" s="1227">
        <f t="shared" si="2350"/>
        <v>340.5</v>
      </c>
      <c r="DR327" s="1227">
        <f t="shared" ref="DR327" si="2351">DR320-DR322-DR323-DR324-DR325-DR326</f>
        <v>350.5</v>
      </c>
      <c r="DS327" s="367">
        <f t="shared" si="2350"/>
        <v>361.5</v>
      </c>
      <c r="DT327" s="367">
        <f t="shared" ref="DT327:DV327" si="2352">DT320-DT322-DT323-DT324-DT325-DT326</f>
        <v>365</v>
      </c>
      <c r="DU327" s="367">
        <f t="shared" si="2352"/>
        <v>368</v>
      </c>
      <c r="DV327" s="367">
        <f t="shared" si="2352"/>
        <v>379</v>
      </c>
      <c r="DY327" s="367">
        <v>350.5</v>
      </c>
      <c r="DZ327" s="367">
        <v>361.5</v>
      </c>
    </row>
    <row r="328" spans="1:130" ht="15.75" thickBot="1">
      <c r="A328" s="6"/>
      <c r="B328" s="6"/>
      <c r="C328" s="6"/>
      <c r="D328" s="6"/>
      <c r="E328" s="6"/>
      <c r="F328" s="6"/>
      <c r="G328" s="74"/>
      <c r="H328" s="6"/>
      <c r="I328" s="6"/>
      <c r="J328" s="6"/>
      <c r="K328" s="6"/>
      <c r="L328" s="6"/>
      <c r="M328" s="6"/>
      <c r="N328" s="6"/>
      <c r="O328" s="6"/>
      <c r="P328" s="6"/>
      <c r="Q328" s="6"/>
      <c r="R328" s="73"/>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82"/>
      <c r="BJ328" s="682"/>
      <c r="BK328" s="682"/>
      <c r="BL328" s="682"/>
      <c r="BM328" s="682"/>
      <c r="BN328" s="682"/>
      <c r="BO328" s="682"/>
      <c r="BP328" s="682"/>
      <c r="BQ328" s="682"/>
      <c r="BR328" s="682"/>
      <c r="BS328" s="682"/>
      <c r="BT328" s="682"/>
      <c r="BU328" s="682"/>
      <c r="BV328" s="682"/>
      <c r="BW328" s="682"/>
      <c r="BX328" s="682"/>
      <c r="BY328" s="682"/>
      <c r="BZ328" s="682"/>
      <c r="CA328" s="682"/>
      <c r="CB328" s="682"/>
      <c r="CC328" s="682"/>
      <c r="CD328" s="682"/>
      <c r="CE328" s="682"/>
      <c r="CF328" s="682"/>
      <c r="CG328" s="682"/>
      <c r="CH328" s="682"/>
      <c r="CI328" s="682"/>
      <c r="CJ328" s="682"/>
      <c r="CK328" s="682"/>
      <c r="CL328" s="159"/>
      <c r="CM328" s="159"/>
      <c r="CN328" s="159"/>
      <c r="CO328" s="159"/>
      <c r="CP328" s="159"/>
      <c r="CQ328" s="159"/>
      <c r="CR328" s="604"/>
      <c r="CS328" s="604"/>
      <c r="CT328" s="159"/>
      <c r="CU328" s="702"/>
      <c r="CV328" s="6"/>
      <c r="CW328" s="6"/>
      <c r="CX328" s="6"/>
      <c r="CY328" s="6">
        <v>0</v>
      </c>
      <c r="CZ328" s="6"/>
      <c r="DA328" s="6"/>
      <c r="DB328" s="6"/>
      <c r="DC328" s="6"/>
      <c r="DD328" s="6"/>
      <c r="DE328" s="6"/>
      <c r="DF328" s="6"/>
      <c r="DG328" s="6"/>
      <c r="DH328" s="6"/>
      <c r="DI328" s="6"/>
      <c r="DJ328" s="6"/>
      <c r="DK328" s="6"/>
      <c r="DL328" s="682"/>
      <c r="DM328" s="682"/>
      <c r="DN328" s="682"/>
      <c r="DO328" s="682"/>
      <c r="DP328" s="682"/>
      <c r="DQ328" s="682"/>
      <c r="DR328" s="682"/>
      <c r="DS328" s="159"/>
      <c r="DT328" s="159"/>
      <c r="DU328" s="159"/>
      <c r="DV328" s="159"/>
      <c r="DY328" s="159"/>
      <c r="DZ328" s="159"/>
    </row>
    <row r="329" spans="1:130" ht="15.75" thickBot="1">
      <c r="A329" s="6"/>
      <c r="B329" s="6"/>
      <c r="C329" s="72">
        <v>0.6</v>
      </c>
      <c r="D329" s="71">
        <v>0.65</v>
      </c>
      <c r="E329" s="71">
        <v>0.7</v>
      </c>
      <c r="F329" s="71">
        <v>0.75</v>
      </c>
      <c r="G329" s="71">
        <v>0.8</v>
      </c>
      <c r="H329" s="71">
        <v>0.9</v>
      </c>
      <c r="I329" s="71">
        <v>1</v>
      </c>
      <c r="J329" s="70">
        <v>1</v>
      </c>
      <c r="K329" s="6"/>
      <c r="L329" s="6"/>
      <c r="M329" s="6"/>
      <c r="N329" s="6"/>
      <c r="O329" s="6"/>
      <c r="P329" s="6"/>
      <c r="Q329" s="6"/>
      <c r="R329" s="65"/>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82"/>
      <c r="BJ329" s="682"/>
      <c r="BK329" s="682"/>
      <c r="BL329" s="682"/>
      <c r="BM329" s="682"/>
      <c r="BN329" s="682"/>
      <c r="BO329" s="682"/>
      <c r="BP329" s="682"/>
      <c r="BQ329" s="682"/>
      <c r="BR329" s="682"/>
      <c r="BS329" s="682"/>
      <c r="BT329" s="682"/>
      <c r="BU329" s="682"/>
      <c r="BV329" s="682"/>
      <c r="BW329" s="682"/>
      <c r="BX329" s="682"/>
      <c r="BY329" s="682"/>
      <c r="BZ329" s="682"/>
      <c r="CA329" s="682"/>
      <c r="CB329" s="682"/>
      <c r="CC329" s="682"/>
      <c r="CD329" s="682"/>
      <c r="CE329" s="682"/>
      <c r="CF329" s="682"/>
      <c r="CG329" s="682"/>
      <c r="CH329" s="682"/>
      <c r="CI329" s="682"/>
      <c r="CJ329" s="682"/>
      <c r="CK329" s="682"/>
      <c r="CL329" s="159"/>
      <c r="CM329" s="159"/>
      <c r="CN329" s="159"/>
      <c r="CO329" s="159"/>
      <c r="CP329" s="159"/>
      <c r="CQ329" s="159"/>
      <c r="CR329" s="604"/>
      <c r="CS329" s="604"/>
      <c r="CT329" s="159"/>
      <c r="CU329" s="702"/>
      <c r="CV329" s="6"/>
      <c r="CW329" s="6"/>
      <c r="CX329" s="6"/>
      <c r="CY329" s="6"/>
      <c r="CZ329" s="6"/>
      <c r="DA329" s="6"/>
      <c r="DB329" s="6"/>
      <c r="DC329" s="6"/>
      <c r="DD329" s="6"/>
      <c r="DE329" s="6"/>
      <c r="DF329" s="6"/>
      <c r="DG329" s="6"/>
      <c r="DH329" s="6"/>
      <c r="DI329" s="6"/>
      <c r="DJ329" s="6"/>
      <c r="DK329" s="6"/>
      <c r="DL329" s="682"/>
      <c r="DM329" s="682"/>
      <c r="DN329" s="682"/>
      <c r="DO329" s="682"/>
      <c r="DP329" s="682"/>
      <c r="DQ329" s="682"/>
      <c r="DR329" s="682"/>
      <c r="DS329" s="159"/>
      <c r="DT329" s="159"/>
      <c r="DU329" s="159"/>
      <c r="DV329" s="159"/>
      <c r="DY329" s="159"/>
      <c r="DZ329" s="159"/>
    </row>
    <row r="330" spans="1:130">
      <c r="A330" s="40" t="s">
        <v>308</v>
      </c>
      <c r="B330" s="65">
        <v>111676.94915254237</v>
      </c>
      <c r="C330" s="65">
        <v>115731.61016949153</v>
      </c>
      <c r="D330" s="65">
        <v>119297.86916666666</v>
      </c>
      <c r="E330" s="65">
        <v>119732.25901639345</v>
      </c>
      <c r="F330" s="65">
        <v>123395</v>
      </c>
      <c r="G330" s="65">
        <v>126828.14516129033</v>
      </c>
      <c r="H330" s="65">
        <v>131336.5625</v>
      </c>
      <c r="I330" s="65">
        <v>132522.47500000001</v>
      </c>
      <c r="J330" s="65">
        <v>135858.33333333334</v>
      </c>
      <c r="K330" s="65">
        <v>137410</v>
      </c>
      <c r="L330" s="65">
        <v>140129.375</v>
      </c>
      <c r="M330" s="65">
        <v>143156.66666666669</v>
      </c>
      <c r="N330" s="65">
        <v>148113.58024691357</v>
      </c>
      <c r="O330" s="65">
        <v>148882.7160493827</v>
      </c>
      <c r="P330" s="65">
        <v>155548.85057471265</v>
      </c>
      <c r="Q330" s="65">
        <v>153619.31818181818</v>
      </c>
      <c r="R330" s="65">
        <v>159479.73684210525</v>
      </c>
      <c r="S330" s="65">
        <v>160896.66666666669</v>
      </c>
      <c r="T330" s="65">
        <v>167620.79207920789</v>
      </c>
      <c r="U330" s="65">
        <v>169854.75728155341</v>
      </c>
      <c r="V330" s="65">
        <v>174049.95454545453</v>
      </c>
      <c r="W330" s="65">
        <v>174363.18181818182</v>
      </c>
      <c r="X330" s="65">
        <v>180345.39130434787</v>
      </c>
      <c r="Y330" s="65">
        <v>182188.5775862069</v>
      </c>
      <c r="Z330" s="65">
        <v>186962.87500000003</v>
      </c>
      <c r="AA330" s="65">
        <v>187586.77685950417</v>
      </c>
      <c r="AB330" s="65">
        <v>193719.91999999998</v>
      </c>
      <c r="AC330" s="65">
        <v>195514.16666666666</v>
      </c>
      <c r="AD330" s="65">
        <v>204385</v>
      </c>
      <c r="AE330" s="65">
        <v>204491</v>
      </c>
      <c r="AF330" s="65">
        <v>213190.55555555556</v>
      </c>
      <c r="AG330" s="65">
        <v>213597.08904109587</v>
      </c>
      <c r="AH330" s="65">
        <v>226979.64071856288</v>
      </c>
      <c r="AI330" s="65">
        <v>193523</v>
      </c>
      <c r="AJ330" s="65">
        <v>209256.42512077297</v>
      </c>
      <c r="AK330" s="65">
        <v>198678.41232227487</v>
      </c>
      <c r="AL330" s="65">
        <v>225166.16379310348</v>
      </c>
      <c r="AM330" s="65">
        <v>225195.40598290597</v>
      </c>
      <c r="AN330" s="65">
        <v>227621.56378600822</v>
      </c>
      <c r="AO330" s="65">
        <v>229296.25498007971</v>
      </c>
      <c r="AP330" s="65">
        <v>236433.79496402878</v>
      </c>
      <c r="AQ330" s="65">
        <f t="shared" ref="AQ330:BF330" si="2353">SUM(AQ331:AQ339)</f>
        <v>235584.33247330959</v>
      </c>
      <c r="AR330" s="65">
        <f t="shared" si="2353"/>
        <v>234528.74587458739</v>
      </c>
      <c r="AS330" s="65">
        <f t="shared" si="2353"/>
        <v>233147.44408945687</v>
      </c>
      <c r="AT330" s="65">
        <f t="shared" si="2353"/>
        <v>242677.09337349399</v>
      </c>
      <c r="AU330" s="65">
        <f t="shared" si="2353"/>
        <v>244960.62499999994</v>
      </c>
      <c r="AV330" s="65">
        <f t="shared" si="2353"/>
        <v>246641.54978571431</v>
      </c>
      <c r="AW330" s="65">
        <f t="shared" si="2353"/>
        <v>249443.59550561808</v>
      </c>
      <c r="AX330" s="65">
        <f t="shared" si="2353"/>
        <v>252038.85369276319</v>
      </c>
      <c r="AY330" s="65">
        <f t="shared" si="2353"/>
        <v>250311.99180749353</v>
      </c>
      <c r="AZ330" s="65">
        <f t="shared" si="2353"/>
        <v>249703.31294117647</v>
      </c>
      <c r="BA330" s="65">
        <f t="shared" si="2353"/>
        <v>251083.72247368423</v>
      </c>
      <c r="BB330" s="65">
        <f t="shared" si="2353"/>
        <v>255583.99032432443</v>
      </c>
      <c r="BC330" s="65">
        <f t="shared" si="2353"/>
        <v>254825.12638691795</v>
      </c>
      <c r="BD330" s="65">
        <f t="shared" si="2353"/>
        <v>254331.7485200846</v>
      </c>
      <c r="BE330" s="65">
        <f t="shared" si="2353"/>
        <v>262525.68861428567</v>
      </c>
      <c r="BF330" s="65">
        <f t="shared" si="2353"/>
        <v>269555.99972656247</v>
      </c>
      <c r="BG330" s="65">
        <f t="shared" ref="BG330:BV330" si="2354">SUM(BG331:BG339)</f>
        <v>269963.56659486168</v>
      </c>
      <c r="BH330" s="65">
        <f t="shared" si="2354"/>
        <v>269681.570142315</v>
      </c>
      <c r="BI330" s="128">
        <f t="shared" si="2354"/>
        <v>271948.84268156427</v>
      </c>
      <c r="BJ330" s="128">
        <f t="shared" si="2354"/>
        <v>280319.62833633099</v>
      </c>
      <c r="BK330" s="128">
        <f t="shared" si="2354"/>
        <v>280842.74224731186</v>
      </c>
      <c r="BL330" s="128">
        <f t="shared" si="2354"/>
        <v>285784.63926315797</v>
      </c>
      <c r="BM330" s="128">
        <f t="shared" si="2354"/>
        <v>290081.2631490468</v>
      </c>
      <c r="BN330" s="128">
        <f t="shared" si="2354"/>
        <v>298304.0539759536</v>
      </c>
      <c r="BO330" s="128">
        <f t="shared" si="2354"/>
        <v>300366.59249664989</v>
      </c>
      <c r="BP330" s="128">
        <f>SUM(BP331:BP339)</f>
        <v>302494.63253517589</v>
      </c>
      <c r="BQ330" s="128">
        <f>SUM(BQ331:BQ339)</f>
        <v>304823.16466115706</v>
      </c>
      <c r="BR330" s="128">
        <f t="shared" si="2354"/>
        <v>308368.39190346544</v>
      </c>
      <c r="BS330" s="128">
        <f>SUM(BS331:BS339)</f>
        <v>308420.13201320131</v>
      </c>
      <c r="BT330" s="128">
        <f>SUM(BT331:BT339)</f>
        <v>313006.78803041077</v>
      </c>
      <c r="BU330" s="128">
        <f>SUM(BU331:BU339)</f>
        <v>314182.06842519686</v>
      </c>
      <c r="BV330" s="128">
        <f t="shared" si="2354"/>
        <v>317250.51248820755</v>
      </c>
      <c r="BW330" s="128">
        <f t="shared" ref="BW330:CD330" si="2355">SUM(BW331:BW339)</f>
        <v>317214.6809376959</v>
      </c>
      <c r="BX330" s="128">
        <f t="shared" si="2355"/>
        <v>317764.83117357909</v>
      </c>
      <c r="BY330" s="128">
        <f t="shared" si="2355"/>
        <v>320397.2118898945</v>
      </c>
      <c r="BZ330" s="128">
        <f t="shared" si="2355"/>
        <v>323507.01221428567</v>
      </c>
      <c r="CA330" s="128">
        <f t="shared" si="2355"/>
        <v>328309.3644156442</v>
      </c>
      <c r="CB330" s="128">
        <f t="shared" ref="CB330:CC330" si="2356">SUM(CB331:CB339)</f>
        <v>327403.4380332061</v>
      </c>
      <c r="CC330" s="128">
        <f t="shared" si="2356"/>
        <v>326565.22425641015</v>
      </c>
      <c r="CD330" s="128">
        <f t="shared" si="2355"/>
        <v>328290.96210401173</v>
      </c>
      <c r="CE330" s="128">
        <f t="shared" ref="CE330:CF330" si="2357">SUM(CE331:CE339)</f>
        <v>330282.49865515518</v>
      </c>
      <c r="CF330" s="128">
        <f t="shared" si="2357"/>
        <v>329971.95965126675</v>
      </c>
      <c r="CG330" s="128">
        <f t="shared" ref="CG330:CH330" si="2358">SUM(CG331:CG339)</f>
        <v>329079.14467629633</v>
      </c>
      <c r="CH330" s="128">
        <f t="shared" si="2358"/>
        <v>329051.29279479472</v>
      </c>
      <c r="CI330" s="128">
        <f t="shared" ref="CI330:CL330" si="2359">SUM(CI331:CI339)</f>
        <v>331304.94143039355</v>
      </c>
      <c r="CJ330" s="128">
        <f t="shared" ref="CJ330" si="2360">SUM(CJ331:CJ339)</f>
        <v>330499.198853835</v>
      </c>
      <c r="CK330" s="128">
        <f t="shared" si="2359"/>
        <v>330881.50777449564</v>
      </c>
      <c r="CL330" s="390">
        <f t="shared" si="2359"/>
        <v>336321.00030044664</v>
      </c>
      <c r="CM330" s="390">
        <f t="shared" ref="CM330:CP330" si="2361">SUM(CM331:CM339)</f>
        <v>336040.73197092256</v>
      </c>
      <c r="CN330" s="390">
        <f t="shared" si="2361"/>
        <v>336899.03684269951</v>
      </c>
      <c r="CO330" s="390">
        <f t="shared" si="2361"/>
        <v>337250.87763871578</v>
      </c>
      <c r="CP330" s="390">
        <f t="shared" si="2361"/>
        <v>337443.60907163407</v>
      </c>
      <c r="CQ330" s="390"/>
      <c r="CR330" s="604"/>
      <c r="CS330" s="604"/>
      <c r="CT330" s="390">
        <v>336321.00030044664</v>
      </c>
      <c r="CU330" s="702"/>
      <c r="CV330" s="65">
        <v>123395</v>
      </c>
      <c r="CW330" s="65">
        <v>135858.33333333334</v>
      </c>
      <c r="CX330" s="65">
        <v>148113.58024691357</v>
      </c>
      <c r="CY330" s="65">
        <v>159479.73684210525</v>
      </c>
      <c r="CZ330" s="65">
        <v>174049.95454545453</v>
      </c>
      <c r="DA330" s="65">
        <v>186962.87500000003</v>
      </c>
      <c r="DB330" s="65">
        <v>204385</v>
      </c>
      <c r="DC330" s="65">
        <v>226979.64071856288</v>
      </c>
      <c r="DD330" s="65">
        <v>225166.16379310348</v>
      </c>
      <c r="DE330" s="65">
        <v>236433.79496402878</v>
      </c>
      <c r="DF330" s="65">
        <f t="shared" ref="DF330:DM330" si="2362">SUM(DF331:DF339)</f>
        <v>242.67709337349402</v>
      </c>
      <c r="DG330" s="65">
        <f t="shared" si="2362"/>
        <v>252.03885369276313</v>
      </c>
      <c r="DH330" s="65">
        <f t="shared" si="2362"/>
        <v>255.58399032432445</v>
      </c>
      <c r="DI330" s="65">
        <f t="shared" si="2362"/>
        <v>269.5559997265625</v>
      </c>
      <c r="DJ330" s="65">
        <f t="shared" si="2362"/>
        <v>280.31962833633099</v>
      </c>
      <c r="DK330" s="65">
        <f t="shared" si="2362"/>
        <v>301.78245627114427</v>
      </c>
      <c r="DL330" s="128">
        <f t="shared" si="2362"/>
        <v>308.36839190346541</v>
      </c>
      <c r="DM330" s="128">
        <f t="shared" si="2362"/>
        <v>310.24895244103777</v>
      </c>
      <c r="DN330" s="128">
        <f t="shared" ref="DN330:DS330" si="2363">SUM(DN331:DN339)</f>
        <v>308.54316357738094</v>
      </c>
      <c r="DO330" s="128">
        <f t="shared" si="2363"/>
        <v>311.22493704209995</v>
      </c>
      <c r="DP330" s="128">
        <f t="shared" ref="DP330:DQ330" si="2364">SUM(DP331:DP339)</f>
        <v>307.56674408360669</v>
      </c>
      <c r="DQ330" s="128">
        <f t="shared" si="2364"/>
        <v>306.339564119817</v>
      </c>
      <c r="DR330" s="128">
        <f t="shared" ref="DR330" si="2365">SUM(DR331:DR339)</f>
        <v>299.23716076303367</v>
      </c>
      <c r="DS330" s="390">
        <f t="shared" si="2363"/>
        <v>312.02898206834027</v>
      </c>
      <c r="DT330" s="390">
        <f t="shared" ref="DT330:DV330" si="2366">SUM(DT331:DT339)</f>
        <v>326.28437825931616</v>
      </c>
      <c r="DU330" s="390">
        <f t="shared" si="2366"/>
        <v>341.71917667194566</v>
      </c>
      <c r="DV330" s="390">
        <f t="shared" si="2366"/>
        <v>358.25803975845218</v>
      </c>
      <c r="DY330" s="390">
        <v>320.23783838394991</v>
      </c>
      <c r="DZ330" s="390">
        <v>335.38032040489452</v>
      </c>
    </row>
    <row r="331" spans="1:130">
      <c r="A331" s="45" t="s">
        <v>296</v>
      </c>
      <c r="B331" s="63">
        <v>2780.3389830508472</v>
      </c>
      <c r="C331" s="63">
        <v>4170.5084745762706</v>
      </c>
      <c r="D331" s="63">
        <v>2777.06</v>
      </c>
      <c r="E331" s="63">
        <v>4097.3016393442613</v>
      </c>
      <c r="F331" s="63">
        <v>5520</v>
      </c>
      <c r="G331" s="63">
        <v>4154.5161290322576</v>
      </c>
      <c r="H331" s="63">
        <v>5510.625</v>
      </c>
      <c r="I331" s="63">
        <v>4134.1499999999996</v>
      </c>
      <c r="J331" s="63">
        <v>5480</v>
      </c>
      <c r="K331" s="63">
        <v>5460</v>
      </c>
      <c r="L331" s="63">
        <v>5376.666666666667</v>
      </c>
      <c r="M331" s="63">
        <v>8040</v>
      </c>
      <c r="N331" s="63">
        <v>11866.666666666664</v>
      </c>
      <c r="O331" s="63">
        <v>11866.666666666664</v>
      </c>
      <c r="P331" s="63">
        <v>13275.862068965518</v>
      </c>
      <c r="Q331" s="63">
        <v>11659.090909090908</v>
      </c>
      <c r="R331" s="63">
        <v>11567.36842105263</v>
      </c>
      <c r="S331" s="63">
        <v>12837.5</v>
      </c>
      <c r="T331" s="63">
        <v>15276.831683168315</v>
      </c>
      <c r="U331" s="63">
        <v>16478.446601941749</v>
      </c>
      <c r="V331" s="63">
        <v>15034.909090909088</v>
      </c>
      <c r="W331" s="63">
        <v>13781.999999999998</v>
      </c>
      <c r="X331" s="63">
        <v>11297.739130434782</v>
      </c>
      <c r="Y331" s="63">
        <v>10034.482758620688</v>
      </c>
      <c r="Z331" s="63">
        <v>8739.5000000000018</v>
      </c>
      <c r="AA331" s="63">
        <v>8754.0495867768605</v>
      </c>
      <c r="AB331" s="63">
        <v>9960.9599999999991</v>
      </c>
      <c r="AC331" s="63">
        <v>9946.6666666666661</v>
      </c>
      <c r="AD331" s="63">
        <v>14759.999999999998</v>
      </c>
      <c r="AE331" s="63">
        <v>15894.666666666666</v>
      </c>
      <c r="AF331" s="63">
        <v>20456.666666666668</v>
      </c>
      <c r="AG331" s="63">
        <v>20295.205479452052</v>
      </c>
      <c r="AH331" s="63">
        <v>30847.904191616766</v>
      </c>
      <c r="AI331" s="63">
        <v>26980.800000000003</v>
      </c>
      <c r="AJ331" s="63">
        <v>24222.608695652172</v>
      </c>
      <c r="AK331" s="63">
        <v>22787.488151658767</v>
      </c>
      <c r="AL331" s="63">
        <v>20784.568965517243</v>
      </c>
      <c r="AM331" s="63">
        <v>19224.999999999996</v>
      </c>
      <c r="AN331" s="63">
        <v>17970.123456790123</v>
      </c>
      <c r="AO331" s="63">
        <v>19295.617529880481</v>
      </c>
      <c r="AP331" s="63">
        <v>13653.992805755395</v>
      </c>
      <c r="AQ331" s="63">
        <f t="shared" ref="AQ331:CD331" si="2367">$C$329*AQ308*AQ265</f>
        <v>13553.206761565834</v>
      </c>
      <c r="AR331" s="63">
        <f t="shared" si="2367"/>
        <v>14885.940594059404</v>
      </c>
      <c r="AS331" s="63">
        <f t="shared" si="2367"/>
        <v>14188.370607028754</v>
      </c>
      <c r="AT331" s="63">
        <f t="shared" si="2367"/>
        <v>13630.662650602409</v>
      </c>
      <c r="AU331" s="63">
        <f t="shared" si="2367"/>
        <v>13717.499999999996</v>
      </c>
      <c r="AV331" s="63">
        <f t="shared" si="2367"/>
        <v>13431.511714285713</v>
      </c>
      <c r="AW331" s="63">
        <f t="shared" si="2367"/>
        <v>13857.977528089892</v>
      </c>
      <c r="AX331" s="63">
        <f t="shared" si="2367"/>
        <v>11374.925281578948</v>
      </c>
      <c r="AY331" s="63">
        <f t="shared" si="2367"/>
        <v>11658.556868217054</v>
      </c>
      <c r="AZ331" s="63">
        <f t="shared" si="2367"/>
        <v>10150.541176470588</v>
      </c>
      <c r="BA331" s="64">
        <f t="shared" si="2367"/>
        <v>10478.614421052633</v>
      </c>
      <c r="BB331" s="63">
        <f t="shared" si="2367"/>
        <v>9875.7337837837877</v>
      </c>
      <c r="BC331" s="64">
        <f t="shared" si="2367"/>
        <v>10170.837844789357</v>
      </c>
      <c r="BD331" s="63">
        <f t="shared" si="2367"/>
        <v>9941.306131078225</v>
      </c>
      <c r="BE331" s="63">
        <f t="shared" si="2367"/>
        <v>10881.893828571427</v>
      </c>
      <c r="BF331" s="63">
        <f t="shared" si="2367"/>
        <v>11514.019921874999</v>
      </c>
      <c r="BG331" s="63">
        <f t="shared" si="2367"/>
        <v>8873.400545454544</v>
      </c>
      <c r="BH331" s="63">
        <f t="shared" si="2367"/>
        <v>9078.701601518027</v>
      </c>
      <c r="BI331" s="1227">
        <f t="shared" si="2367"/>
        <v>8286.5298324022369</v>
      </c>
      <c r="BJ331" s="1227">
        <f t="shared" si="2367"/>
        <v>8999.2256115107939</v>
      </c>
      <c r="BK331" s="1227">
        <f t="shared" si="2367"/>
        <v>10511.658838709678</v>
      </c>
      <c r="BL331" s="1227">
        <f t="shared" si="2367"/>
        <v>9784.3528421052633</v>
      </c>
      <c r="BM331" s="1227">
        <f t="shared" si="2367"/>
        <v>10534.728103986135</v>
      </c>
      <c r="BN331" s="1227">
        <f t="shared" si="2367"/>
        <v>12671.32264676617</v>
      </c>
      <c r="BO331" s="1227">
        <f t="shared" si="2367"/>
        <v>12392.703753768845</v>
      </c>
      <c r="BP331" s="1227">
        <f t="shared" si="2367"/>
        <v>10139.484889447236</v>
      </c>
      <c r="BQ331" s="1227">
        <f t="shared" si="2367"/>
        <v>8983.7363305785129</v>
      </c>
      <c r="BR331" s="1227">
        <f t="shared" si="2367"/>
        <v>1870.0326980198024</v>
      </c>
      <c r="BS331" s="1227">
        <f t="shared" si="2367"/>
        <v>2614.2574257425745</v>
      </c>
      <c r="BT331" s="1227">
        <f t="shared" si="2367"/>
        <v>8864.7807014218015</v>
      </c>
      <c r="BU331" s="1227">
        <f t="shared" si="2367"/>
        <v>7370.8403149606293</v>
      </c>
      <c r="BV331" s="1227">
        <f t="shared" si="2367"/>
        <v>7370.0632075471713</v>
      </c>
      <c r="BW331" s="1227">
        <f t="shared" si="2367"/>
        <v>7356.4135109717863</v>
      </c>
      <c r="BX331" s="1227">
        <f t="shared" si="2367"/>
        <v>2914.1597050691244</v>
      </c>
      <c r="BY331" s="1227">
        <f t="shared" si="2367"/>
        <v>5434.5550452488706</v>
      </c>
      <c r="BZ331" s="1227">
        <f t="shared" si="2367"/>
        <v>7916.7455714285707</v>
      </c>
      <c r="CA331" s="1227">
        <f t="shared" si="2367"/>
        <v>6236.6244846625777</v>
      </c>
      <c r="CB331" s="1227">
        <f t="shared" ref="CB331:CC331" si="2368">$C$329*CB308*CB265</f>
        <v>4366.5921160305334</v>
      </c>
      <c r="CC331" s="1227">
        <f t="shared" si="2368"/>
        <v>3943.5193122171931</v>
      </c>
      <c r="CD331" s="1227">
        <f t="shared" si="2367"/>
        <v>2493.1236612184239</v>
      </c>
      <c r="CE331" s="1227">
        <f t="shared" ref="CE331:CF331" si="2369">$C$329*CE308*CE265</f>
        <v>2521.698771771772</v>
      </c>
      <c r="CF331" s="1227">
        <f t="shared" si="2369"/>
        <v>2863.0972637853952</v>
      </c>
      <c r="CG331" s="1227">
        <f t="shared" ref="CG331:CH331" si="2370">$C$329*CG308*CG265</f>
        <v>1416.7906488888891</v>
      </c>
      <c r="CH331" s="1227">
        <f t="shared" si="2370"/>
        <v>2096.0535327988337</v>
      </c>
      <c r="CI331" s="1227">
        <f t="shared" ref="CI331:CL331" si="2371">$C$329*CI308*CI265</f>
        <v>3867.7148906705534</v>
      </c>
      <c r="CJ331" s="1227">
        <f t="shared" ref="CJ331" si="2372">$C$329*CJ308*CJ265</f>
        <v>3842.3369956584656</v>
      </c>
      <c r="CK331" s="1227">
        <f t="shared" si="2371"/>
        <v>2786.6150317002875</v>
      </c>
      <c r="CL331" s="367">
        <f t="shared" si="2371"/>
        <v>7588.7815452408458</v>
      </c>
      <c r="CM331" s="367">
        <f t="shared" ref="CM331:CP331" si="2373">$C$329*CM308*CM265</f>
        <v>7578.571095192513</v>
      </c>
      <c r="CN331" s="367">
        <f t="shared" si="2373"/>
        <v>8234.4837996009028</v>
      </c>
      <c r="CO331" s="367">
        <f t="shared" si="2373"/>
        <v>9884.8905431039402</v>
      </c>
      <c r="CP331" s="367">
        <f t="shared" si="2373"/>
        <v>6722.5422243871653</v>
      </c>
      <c r="CQ331" s="367"/>
      <c r="CR331" s="604"/>
      <c r="CS331" s="604"/>
      <c r="CT331" s="367">
        <v>7588.7815452408458</v>
      </c>
      <c r="CU331" s="1102"/>
      <c r="CV331" s="63">
        <v>5520</v>
      </c>
      <c r="CW331" s="63">
        <v>5480</v>
      </c>
      <c r="CX331" s="63">
        <v>11866.666666666664</v>
      </c>
      <c r="CY331" s="63">
        <v>11567.36842105263</v>
      </c>
      <c r="CZ331" s="63">
        <v>15034.909090909088</v>
      </c>
      <c r="DA331" s="63">
        <v>8739.5000000000018</v>
      </c>
      <c r="DB331" s="63">
        <v>14759.999999999998</v>
      </c>
      <c r="DC331" s="63">
        <v>30847.904191616766</v>
      </c>
      <c r="DD331" s="63">
        <v>20784.568965517243</v>
      </c>
      <c r="DE331" s="63">
        <v>13653.992805755395</v>
      </c>
      <c r="DF331" s="63">
        <f t="shared" ref="DF331:DS331" si="2374">$C$329*DF308*DF265</f>
        <v>13.630662650602408</v>
      </c>
      <c r="DG331" s="63">
        <f t="shared" si="2374"/>
        <v>11.374925281578946</v>
      </c>
      <c r="DH331" s="63">
        <f t="shared" si="2374"/>
        <v>9.8757337837837884</v>
      </c>
      <c r="DI331" s="63">
        <f t="shared" si="2374"/>
        <v>11.514019921874999</v>
      </c>
      <c r="DJ331" s="63">
        <f t="shared" si="2374"/>
        <v>8.9992256115107931</v>
      </c>
      <c r="DK331" s="63">
        <f t="shared" si="2374"/>
        <v>7.4537192039800999</v>
      </c>
      <c r="DL331" s="1227">
        <f t="shared" si="2374"/>
        <v>1.8700326980198023</v>
      </c>
      <c r="DM331" s="1227">
        <f t="shared" si="2374"/>
        <v>0.36850316037735853</v>
      </c>
      <c r="DN331" s="1227">
        <f t="shared" si="2374"/>
        <v>0.3598520714285714</v>
      </c>
      <c r="DO331" s="1227">
        <f t="shared" si="2374"/>
        <v>1.4246420921248137</v>
      </c>
      <c r="DP331" s="1227">
        <f t="shared" ref="DP331:DQ331" si="2375">$C$329*DP308*DP265</f>
        <v>-1.3973690218658894</v>
      </c>
      <c r="DQ331" s="1227">
        <f t="shared" si="2375"/>
        <v>0.34494461569276569</v>
      </c>
      <c r="DR331" s="1227">
        <f t="shared" ref="DR331" si="2376">$C$329*DR308*DR265</f>
        <v>0.33612711121935823</v>
      </c>
      <c r="DS331" s="367">
        <f t="shared" si="2374"/>
        <v>19.691547645648608</v>
      </c>
      <c r="DT331" s="367">
        <f t="shared" ref="DT331:DV331" si="2377">$C$329*DT308*DT265</f>
        <v>19.26086351944803</v>
      </c>
      <c r="DU331" s="367">
        <f t="shared" si="2377"/>
        <v>18.869377038407919</v>
      </c>
      <c r="DV331" s="367">
        <f t="shared" si="2377"/>
        <v>18.511969902833759</v>
      </c>
      <c r="DY331" s="367">
        <v>20.241527840966018</v>
      </c>
      <c r="DZ331" s="367">
        <v>19.831950615269715</v>
      </c>
    </row>
    <row r="332" spans="1:130">
      <c r="A332" s="45" t="s">
        <v>297</v>
      </c>
      <c r="B332" s="63">
        <v>3012.0338983050847</v>
      </c>
      <c r="C332" s="63">
        <v>1506.0169491525423</v>
      </c>
      <c r="D332" s="63">
        <v>1504.2408333333335</v>
      </c>
      <c r="E332" s="63">
        <v>1479.5811475409837</v>
      </c>
      <c r="F332" s="63">
        <v>2990</v>
      </c>
      <c r="G332" s="63">
        <v>4500.7258064516136</v>
      </c>
      <c r="H332" s="63">
        <v>2984.921875</v>
      </c>
      <c r="I332" s="63">
        <v>4478.6625000000004</v>
      </c>
      <c r="J332" s="63">
        <v>5936.666666666667</v>
      </c>
      <c r="K332" s="63">
        <v>4436.25</v>
      </c>
      <c r="L332" s="63">
        <v>5824.7222222222226</v>
      </c>
      <c r="M332" s="63">
        <v>4355.0000000000009</v>
      </c>
      <c r="N332" s="63">
        <v>5713.5802469135797</v>
      </c>
      <c r="O332" s="63">
        <v>5713.5802469135797</v>
      </c>
      <c r="P332" s="63">
        <v>5752.8735632183907</v>
      </c>
      <c r="Q332" s="63">
        <v>8420.454545454546</v>
      </c>
      <c r="R332" s="63">
        <v>12531.315789473685</v>
      </c>
      <c r="S332" s="63">
        <v>12516.562500000002</v>
      </c>
      <c r="T332" s="63">
        <v>13791.584158415841</v>
      </c>
      <c r="U332" s="63">
        <v>12358.834951456312</v>
      </c>
      <c r="V332" s="63">
        <v>12215.863636363636</v>
      </c>
      <c r="W332" s="63">
        <v>13573.181818181816</v>
      </c>
      <c r="X332" s="63">
        <v>16318.956521739134</v>
      </c>
      <c r="Y332" s="63">
        <v>17664.870689655174</v>
      </c>
      <c r="Z332" s="63">
        <v>16230.500000000002</v>
      </c>
      <c r="AA332" s="63">
        <v>14902.727272727276</v>
      </c>
      <c r="AB332" s="63">
        <v>12139.92</v>
      </c>
      <c r="AC332" s="63">
        <v>10775.555555555557</v>
      </c>
      <c r="AD332" s="63">
        <v>9327.5</v>
      </c>
      <c r="AE332" s="63">
        <v>9271.8888888888887</v>
      </c>
      <c r="AF332" s="63">
        <v>10428.888888888891</v>
      </c>
      <c r="AG332" s="63">
        <v>10346.575342465752</v>
      </c>
      <c r="AH332" s="63">
        <v>14852.694610778446</v>
      </c>
      <c r="AI332" s="63">
        <v>13570.700000000003</v>
      </c>
      <c r="AJ332" s="63">
        <v>18587.487922705317</v>
      </c>
      <c r="AK332" s="63">
        <v>17486.232227488155</v>
      </c>
      <c r="AL332" s="63">
        <v>28949.935344827587</v>
      </c>
      <c r="AM332" s="63">
        <v>29905.555555555551</v>
      </c>
      <c r="AN332" s="63">
        <v>25255.308641975309</v>
      </c>
      <c r="AO332" s="63">
        <v>25084.302788844627</v>
      </c>
      <c r="AP332" s="63">
        <v>21422.643884892088</v>
      </c>
      <c r="AQ332" s="63">
        <f t="shared" ref="AQ332:CD332" si="2378">$D$329*AQ309*AQ265</f>
        <v>19745.620195729538</v>
      </c>
      <c r="AR332" s="63">
        <f t="shared" si="2378"/>
        <v>18081.155115511549</v>
      </c>
      <c r="AS332" s="63">
        <f t="shared" si="2378"/>
        <v>19213.418530351439</v>
      </c>
      <c r="AT332" s="63">
        <f t="shared" si="2378"/>
        <v>13813.870481927712</v>
      </c>
      <c r="AU332" s="63">
        <f t="shared" si="2378"/>
        <v>13901.874999999998</v>
      </c>
      <c r="AV332" s="63">
        <f t="shared" si="2378"/>
        <v>15489.565928571428</v>
      </c>
      <c r="AW332" s="63">
        <f t="shared" si="2378"/>
        <v>15012.808988764049</v>
      </c>
      <c r="AX332" s="63">
        <f t="shared" si="2378"/>
        <v>14148.441013815791</v>
      </c>
      <c r="AY332" s="63">
        <f t="shared" si="2378"/>
        <v>13983.328624677002</v>
      </c>
      <c r="AZ332" s="63">
        <f t="shared" si="2378"/>
        <v>13635.560313725489</v>
      </c>
      <c r="BA332" s="64">
        <f t="shared" si="2378"/>
        <v>13971.485894736845</v>
      </c>
      <c r="BB332" s="63">
        <f t="shared" si="2378"/>
        <v>11554.608527027032</v>
      </c>
      <c r="BC332" s="64">
        <f t="shared" si="2378"/>
        <v>11865.977485587584</v>
      </c>
      <c r="BD332" s="63">
        <f t="shared" si="2378"/>
        <v>10355.527219873151</v>
      </c>
      <c r="BE332" s="63">
        <f t="shared" si="2378"/>
        <v>10946.667006122449</v>
      </c>
      <c r="BF332" s="63">
        <f t="shared" si="2378"/>
        <v>10394.601318359373</v>
      </c>
      <c r="BG332" s="63">
        <f t="shared" si="2378"/>
        <v>10866.700667984191</v>
      </c>
      <c r="BH332" s="63">
        <f t="shared" si="2378"/>
        <v>10654.865074003797</v>
      </c>
      <c r="BI332" s="1227">
        <f t="shared" si="2378"/>
        <v>11425.366890130355</v>
      </c>
      <c r="BJ332" s="1227">
        <f t="shared" si="2378"/>
        <v>12186.451348920868</v>
      </c>
      <c r="BK332" s="1227">
        <f t="shared" si="2378"/>
        <v>9354.1249784946249</v>
      </c>
      <c r="BL332" s="1227">
        <f t="shared" si="2378"/>
        <v>9784.3528421052652</v>
      </c>
      <c r="BM332" s="1227">
        <f t="shared" si="2378"/>
        <v>8967.0602313691506</v>
      </c>
      <c r="BN332" s="1227">
        <f t="shared" si="2378"/>
        <v>9689.8349651741319</v>
      </c>
      <c r="BO332" s="1227">
        <f t="shared" si="2378"/>
        <v>11391.273147403685</v>
      </c>
      <c r="BP332" s="1227">
        <f t="shared" si="2378"/>
        <v>10577.610779731995</v>
      </c>
      <c r="BQ332" s="1227">
        <f t="shared" si="2378"/>
        <v>11354.444528925622</v>
      </c>
      <c r="BR332" s="1227">
        <f t="shared" si="2378"/>
        <v>13775.907542079212</v>
      </c>
      <c r="BS332" s="1227">
        <f t="shared" si="2378"/>
        <v>13351.386138613861</v>
      </c>
      <c r="BT332" s="1227">
        <f t="shared" si="2378"/>
        <v>10803.951479857822</v>
      </c>
      <c r="BU332" s="1227">
        <f t="shared" si="2378"/>
        <v>9582.09240944882</v>
      </c>
      <c r="BV332" s="1227">
        <f t="shared" si="2378"/>
        <v>1996.0587853773588</v>
      </c>
      <c r="BW332" s="1227">
        <f t="shared" si="2378"/>
        <v>2789.3067895768022</v>
      </c>
      <c r="BX332" s="1227">
        <f t="shared" si="2378"/>
        <v>9471.0190414746558</v>
      </c>
      <c r="BY332" s="1227">
        <f t="shared" si="2378"/>
        <v>7849.9128431372574</v>
      </c>
      <c r="BZ332" s="1227">
        <f t="shared" si="2378"/>
        <v>7796.7948809523805</v>
      </c>
      <c r="CA332" s="1227">
        <f t="shared" si="2378"/>
        <v>7948.6390490797558</v>
      </c>
      <c r="CB332" s="1227">
        <f t="shared" ref="CB332:CC332" si="2379">$D$329*CB309*CB265</f>
        <v>3153.6498615776081</v>
      </c>
      <c r="CC332" s="1227">
        <f t="shared" si="2379"/>
        <v>5825.653529411763</v>
      </c>
      <c r="CD332" s="1227">
        <f t="shared" si="2378"/>
        <v>8488.4924655770155</v>
      </c>
      <c r="CE332" s="1227">
        <f t="shared" ref="CE332:CF332" si="2380">$D$329*CE309*CE265</f>
        <v>6634.4693876376386</v>
      </c>
      <c r="CF332" s="1227">
        <f t="shared" si="2380"/>
        <v>4652.5330536512674</v>
      </c>
      <c r="CG332" s="1227">
        <f t="shared" ref="CG332:CH332" si="2381">$D$329*CG309*CG265</f>
        <v>4220.8554748148154</v>
      </c>
      <c r="CH332" s="1227">
        <f t="shared" si="2381"/>
        <v>2649.1787706207483</v>
      </c>
      <c r="CI332" s="1227">
        <f t="shared" ref="CI332:CL332" si="2382">$D$329*CI309*CI265</f>
        <v>2666.3792049319723</v>
      </c>
      <c r="CJ332" s="1227">
        <f t="shared" ref="CJ332" si="2383">$D$329*CJ309*CJ265</f>
        <v>3027.2958147612153</v>
      </c>
      <c r="CK332" s="1227">
        <f t="shared" si="2382"/>
        <v>1509.4164755043225</v>
      </c>
      <c r="CL332" s="367">
        <f t="shared" si="2382"/>
        <v>2242.1400020029773</v>
      </c>
      <c r="CM332" s="367">
        <f t="shared" ref="CM332:CP332" si="2384">$D$329*CM309*CM265</f>
        <v>4105.0593432292781</v>
      </c>
      <c r="CN332" s="367">
        <f t="shared" si="2384"/>
        <v>4088.6499421629492</v>
      </c>
      <c r="CO332" s="367">
        <f t="shared" si="2384"/>
        <v>2954.1052197781892</v>
      </c>
      <c r="CP332" s="367">
        <f t="shared" si="2384"/>
        <v>8011.0294840613724</v>
      </c>
      <c r="CQ332" s="367"/>
      <c r="CR332" s="604"/>
      <c r="CS332" s="604"/>
      <c r="CT332" s="367">
        <v>2242.1400020029773</v>
      </c>
      <c r="CU332" s="1102"/>
      <c r="CV332" s="63">
        <v>2990</v>
      </c>
      <c r="CW332" s="63">
        <v>5936.666666666667</v>
      </c>
      <c r="CX332" s="63">
        <v>5713.5802469135797</v>
      </c>
      <c r="CY332" s="63">
        <v>12531.315789473685</v>
      </c>
      <c r="CZ332" s="63">
        <v>12215.863636363636</v>
      </c>
      <c r="DA332" s="63">
        <v>16230.500000000002</v>
      </c>
      <c r="DB332" s="63">
        <v>9327.5</v>
      </c>
      <c r="DC332" s="63">
        <v>14852.694610778446</v>
      </c>
      <c r="DD332" s="63">
        <v>28949.935344827587</v>
      </c>
      <c r="DE332" s="63">
        <v>21422.643884892088</v>
      </c>
      <c r="DF332" s="63">
        <f t="shared" ref="DF332:DS332" si="2385">$D$329*DF309*DF265</f>
        <v>13.813870481927713</v>
      </c>
      <c r="DG332" s="63">
        <f t="shared" si="2385"/>
        <v>14.148441013815791</v>
      </c>
      <c r="DH332" s="63">
        <f t="shared" si="2385"/>
        <v>11.554608527027034</v>
      </c>
      <c r="DI332" s="63">
        <f t="shared" si="2385"/>
        <v>10.394601318359374</v>
      </c>
      <c r="DJ332" s="63">
        <f t="shared" si="2385"/>
        <v>12.186451348920865</v>
      </c>
      <c r="DK332" s="63">
        <f t="shared" si="2385"/>
        <v>9.6898349651741302</v>
      </c>
      <c r="DL332" s="1227">
        <f t="shared" si="2385"/>
        <v>13.775907542079212</v>
      </c>
      <c r="DM332" s="1227">
        <f t="shared" si="2385"/>
        <v>1.9960587853773588</v>
      </c>
      <c r="DN332" s="1227">
        <f t="shared" si="2385"/>
        <v>0.38983974404761906</v>
      </c>
      <c r="DO332" s="1227">
        <f t="shared" si="2385"/>
        <v>0.38584056661713706</v>
      </c>
      <c r="DP332" s="1227">
        <f t="shared" ref="DP332:DQ332" si="2386">$D$329*DP309*DP265</f>
        <v>1.5138164403547136</v>
      </c>
      <c r="DQ332" s="1227">
        <f t="shared" si="2386"/>
        <v>-1.4947600013353182</v>
      </c>
      <c r="DR332" s="1227">
        <f t="shared" ref="DR332" si="2387">$D$329*DR309*DR265</f>
        <v>0.36413770382097144</v>
      </c>
      <c r="DS332" s="367">
        <f t="shared" si="2385"/>
        <v>0.35554183249087767</v>
      </c>
      <c r="DT332" s="367">
        <f t="shared" ref="DT332:DV332" si="2388">$D$329*DT309*DT265</f>
        <v>20.865935479402033</v>
      </c>
      <c r="DU332" s="367">
        <f t="shared" si="2388"/>
        <v>20.441825124941914</v>
      </c>
      <c r="DV332" s="367">
        <f t="shared" si="2388"/>
        <v>20.054634061403238</v>
      </c>
      <c r="DY332" s="367">
        <v>0.36547203046188642</v>
      </c>
      <c r="DZ332" s="367">
        <v>21.484613166542189</v>
      </c>
    </row>
    <row r="333" spans="1:130">
      <c r="A333" s="45" t="s">
        <v>298</v>
      </c>
      <c r="B333" s="63">
        <v>8109.3220338983047</v>
      </c>
      <c r="C333" s="63">
        <v>6487.4576271186434</v>
      </c>
      <c r="D333" s="63">
        <v>6479.8066666666664</v>
      </c>
      <c r="E333" s="63">
        <v>4780.1852459016382</v>
      </c>
      <c r="F333" s="63">
        <v>3220</v>
      </c>
      <c r="G333" s="63">
        <v>1615.6451612903224</v>
      </c>
      <c r="H333" s="63">
        <v>1607.265625</v>
      </c>
      <c r="I333" s="63">
        <v>1607.7249999999999</v>
      </c>
      <c r="J333" s="63">
        <v>3196.6666666666665</v>
      </c>
      <c r="K333" s="63">
        <v>4777.4999999999991</v>
      </c>
      <c r="L333" s="63">
        <v>3136.3888888888887</v>
      </c>
      <c r="M333" s="63">
        <v>4689.9999999999991</v>
      </c>
      <c r="N333" s="63">
        <v>6153.0864197530855</v>
      </c>
      <c r="O333" s="63">
        <v>4614.8148148148139</v>
      </c>
      <c r="P333" s="63">
        <v>6195.402298850574</v>
      </c>
      <c r="Q333" s="63">
        <v>4534.0909090909081</v>
      </c>
      <c r="R333" s="63">
        <v>5997.8947368421041</v>
      </c>
      <c r="S333" s="63">
        <v>5990.833333333333</v>
      </c>
      <c r="T333" s="63">
        <v>5940.9900990099004</v>
      </c>
      <c r="U333" s="63">
        <v>8873.0097087378635</v>
      </c>
      <c r="V333" s="63">
        <v>13155.545454545452</v>
      </c>
      <c r="W333" s="63">
        <v>13155.545454545452</v>
      </c>
      <c r="X333" s="63">
        <v>14645.21739130435</v>
      </c>
      <c r="Y333" s="63">
        <v>13170.258620689654</v>
      </c>
      <c r="Z333" s="63">
        <v>13109.25</v>
      </c>
      <c r="AA333" s="63">
        <v>14590.082644628101</v>
      </c>
      <c r="AB333" s="63">
        <v>17431.679999999997</v>
      </c>
      <c r="AC333" s="63">
        <v>18857.222222222223</v>
      </c>
      <c r="AD333" s="63">
        <v>17219.999999999996</v>
      </c>
      <c r="AE333" s="63">
        <v>15690.888888888889</v>
      </c>
      <c r="AF333" s="63">
        <v>12635</v>
      </c>
      <c r="AG333" s="63">
        <v>11142.465753424656</v>
      </c>
      <c r="AH333" s="63">
        <v>9330.5389221556889</v>
      </c>
      <c r="AI333" s="63">
        <v>7869.3999999999987</v>
      </c>
      <c r="AJ333" s="63">
        <v>9419.9033816425108</v>
      </c>
      <c r="AK333" s="63">
        <v>8861.8009478672975</v>
      </c>
      <c r="AL333" s="63">
        <v>13856.379310344826</v>
      </c>
      <c r="AM333" s="63">
        <v>14952.777777777776</v>
      </c>
      <c r="AN333" s="63">
        <v>19265.267489711932</v>
      </c>
      <c r="AO333" s="63">
        <v>19134.820717131472</v>
      </c>
      <c r="AP333" s="63">
        <v>29662.122302158274</v>
      </c>
      <c r="AQ333" s="63">
        <f t="shared" ref="AQ333:CD333" si="2389">$E$329*AQ310*AQ265</f>
        <v>30533.661209964408</v>
      </c>
      <c r="AR333" s="63">
        <f t="shared" si="2389"/>
        <v>25260.990099009894</v>
      </c>
      <c r="AS333" s="63">
        <f t="shared" si="2389"/>
        <v>24829.648562300314</v>
      </c>
      <c r="AT333" s="63">
        <f t="shared" si="2389"/>
        <v>21545.24096385542</v>
      </c>
      <c r="AU333" s="63">
        <f t="shared" si="2389"/>
        <v>20133.749999999996</v>
      </c>
      <c r="AV333" s="63">
        <f t="shared" si="2389"/>
        <v>18703.019</v>
      </c>
      <c r="AW333" s="63">
        <f t="shared" si="2389"/>
        <v>20209.550561797758</v>
      </c>
      <c r="AX333" s="63">
        <f t="shared" si="2389"/>
        <v>14253.764396052631</v>
      </c>
      <c r="AY333" s="63">
        <f t="shared" si="2389"/>
        <v>14087.422882428937</v>
      </c>
      <c r="AZ333" s="63">
        <f t="shared" si="2389"/>
        <v>15631.833411764703</v>
      </c>
      <c r="BA333" s="64">
        <f t="shared" si="2389"/>
        <v>15046.215578947369</v>
      </c>
      <c r="BB333" s="63">
        <f t="shared" si="2389"/>
        <v>14286.89487387388</v>
      </c>
      <c r="BC333" s="64">
        <f t="shared" si="2389"/>
        <v>14147.896232815965</v>
      </c>
      <c r="BD333" s="63">
        <f t="shared" si="2389"/>
        <v>13828.611733615222</v>
      </c>
      <c r="BE333" s="63">
        <f t="shared" si="2389"/>
        <v>14509.191771428568</v>
      </c>
      <c r="BF333" s="63">
        <f t="shared" si="2389"/>
        <v>12089.720917968747</v>
      </c>
      <c r="BG333" s="63">
        <f t="shared" si="2389"/>
        <v>12602.800774703555</v>
      </c>
      <c r="BH333" s="63">
        <f t="shared" si="2389"/>
        <v>11033.14430740038</v>
      </c>
      <c r="BI333" s="1227">
        <f t="shared" si="2389"/>
        <v>11425.366890130355</v>
      </c>
      <c r="BJ333" s="1227">
        <f t="shared" si="2389"/>
        <v>10936.558902877701</v>
      </c>
      <c r="BK333" s="1227">
        <f t="shared" si="2389"/>
        <v>11387.630408602152</v>
      </c>
      <c r="BL333" s="1227">
        <f t="shared" si="2389"/>
        <v>11415.078315789475</v>
      </c>
      <c r="BM333" s="1227">
        <f t="shared" si="2389"/>
        <v>12290.516121317156</v>
      </c>
      <c r="BN333" s="1227">
        <f t="shared" si="2389"/>
        <v>13044.008606965175</v>
      </c>
      <c r="BO333" s="1227">
        <f t="shared" si="2389"/>
        <v>10076.895476549413</v>
      </c>
      <c r="BP333" s="1227">
        <f t="shared" si="2389"/>
        <v>10515.021366834169</v>
      </c>
      <c r="BQ333" s="1227">
        <f t="shared" si="2389"/>
        <v>9607.6069090909095</v>
      </c>
      <c r="BR333" s="1227">
        <f t="shared" si="2389"/>
        <v>10472.183108910891</v>
      </c>
      <c r="BS333" s="1227">
        <f t="shared" si="2389"/>
        <v>12199.867986798679</v>
      </c>
      <c r="BT333" s="1227">
        <f t="shared" si="2389"/>
        <v>11204.097830963667</v>
      </c>
      <c r="BU333" s="1227">
        <f t="shared" si="2389"/>
        <v>12039.03918110236</v>
      </c>
      <c r="BV333" s="1227">
        <f t="shared" si="2389"/>
        <v>14617.292028301887</v>
      </c>
      <c r="BW333" s="1227">
        <f t="shared" si="2389"/>
        <v>14161.096008620689</v>
      </c>
      <c r="BX333" s="1227">
        <f t="shared" si="2389"/>
        <v>11474.503838709677</v>
      </c>
      <c r="BY333" s="1227">
        <f t="shared" si="2389"/>
        <v>10144.502751131224</v>
      </c>
      <c r="BZ333" s="1227">
        <f t="shared" si="2389"/>
        <v>2099.1370833333331</v>
      </c>
      <c r="CA333" s="1227">
        <f t="shared" si="2389"/>
        <v>2996.0254877300617</v>
      </c>
      <c r="CB333" s="1227">
        <f t="shared" ref="CB333:CC333" si="2390">$E$329*CB310*CB265</f>
        <v>10188.714937404578</v>
      </c>
      <c r="CC333" s="1227">
        <f t="shared" si="2390"/>
        <v>8365.0409653091974</v>
      </c>
      <c r="CD333" s="1227">
        <f t="shared" si="2389"/>
        <v>8310.4122040614129</v>
      </c>
      <c r="CE333" s="1227">
        <f t="shared" ref="CE333:CF333" si="2391">$E$329*CE310*CE265</f>
        <v>8405.6625725725735</v>
      </c>
      <c r="CF333" s="1227">
        <f t="shared" si="2391"/>
        <v>3340.2801410829607</v>
      </c>
      <c r="CG333" s="1227">
        <f t="shared" ref="CG333:CH333" si="2392">$E$329*CG310*CG265</f>
        <v>6198.4590888888897</v>
      </c>
      <c r="CH333" s="1227">
        <f t="shared" si="2392"/>
        <v>8966.4512236394548</v>
      </c>
      <c r="CI333" s="1227">
        <f t="shared" ref="CI333:CL333" si="2393">$E$329*CI310*CI265</f>
        <v>6973.607151360542</v>
      </c>
      <c r="CJ333" s="1227">
        <f t="shared" ref="CJ333" si="2394">$E$329*CJ310*CJ265</f>
        <v>4890.2470853835011</v>
      </c>
      <c r="CK333" s="1227">
        <f t="shared" si="2393"/>
        <v>4470.1949466858778</v>
      </c>
      <c r="CL333" s="367">
        <f t="shared" si="2393"/>
        <v>2817.0476948242531</v>
      </c>
      <c r="CM333" s="367">
        <f t="shared" ref="CM333:CP333" si="2395">$E$329*CM310*CM265</f>
        <v>2813.2574520032813</v>
      </c>
      <c r="CN333" s="367">
        <f t="shared" si="2395"/>
        <v>3202.2992554003513</v>
      </c>
      <c r="CO333" s="367">
        <f t="shared" si="2395"/>
        <v>1590.6720414190249</v>
      </c>
      <c r="CP333" s="367">
        <f t="shared" si="2395"/>
        <v>2352.8897785355075</v>
      </c>
      <c r="CQ333" s="367"/>
      <c r="CR333" s="604"/>
      <c r="CS333" s="604"/>
      <c r="CT333" s="367">
        <v>2817.0476948242531</v>
      </c>
      <c r="CU333" s="1102"/>
      <c r="CV333" s="63">
        <v>3220</v>
      </c>
      <c r="CW333" s="63">
        <v>3196.6666666666665</v>
      </c>
      <c r="CX333" s="63">
        <v>6153.0864197530855</v>
      </c>
      <c r="CY333" s="63">
        <v>5997.8947368421041</v>
      </c>
      <c r="CZ333" s="63">
        <v>13155.545454545452</v>
      </c>
      <c r="DA333" s="63">
        <v>13109.25</v>
      </c>
      <c r="DB333" s="63">
        <v>17219.999999999996</v>
      </c>
      <c r="DC333" s="63">
        <v>9330.5389221556889</v>
      </c>
      <c r="DD333" s="63">
        <v>13856.379310344826</v>
      </c>
      <c r="DE333" s="63">
        <v>29662.122302158274</v>
      </c>
      <c r="DF333" s="63">
        <f t="shared" ref="DF333:DS333" si="2396">$E$329*DF310*DF265</f>
        <v>21.545240963855424</v>
      </c>
      <c r="DG333" s="63">
        <f t="shared" si="2396"/>
        <v>14.253764396052629</v>
      </c>
      <c r="DH333" s="63">
        <f t="shared" si="2396"/>
        <v>14.28689487387388</v>
      </c>
      <c r="DI333" s="63">
        <f t="shared" si="2396"/>
        <v>12.089720917968748</v>
      </c>
      <c r="DJ333" s="63">
        <f t="shared" si="2396"/>
        <v>10.936558902877699</v>
      </c>
      <c r="DK333" s="63">
        <f t="shared" si="2396"/>
        <v>13.044008606965175</v>
      </c>
      <c r="DL333" s="1227">
        <f t="shared" si="2396"/>
        <v>10.472183108910892</v>
      </c>
      <c r="DM333" s="1227">
        <f t="shared" si="2396"/>
        <v>14.617292028301886</v>
      </c>
      <c r="DN333" s="1227">
        <f t="shared" si="2396"/>
        <v>2.0991370833333334</v>
      </c>
      <c r="DO333" s="1227">
        <f t="shared" si="2396"/>
        <v>0.41552061020307063</v>
      </c>
      <c r="DP333" s="1227">
        <f t="shared" ref="DP333:DQ333" si="2397">$E$329*DP310*DP265</f>
        <v>0.40756596471088441</v>
      </c>
      <c r="DQ333" s="1227">
        <f t="shared" si="2397"/>
        <v>1.6097415398995731</v>
      </c>
      <c r="DR333" s="1227">
        <f t="shared" ref="DR333" si="2398">$E$329*DR310*DR265</f>
        <v>-1.5685931856903383</v>
      </c>
      <c r="DS333" s="367">
        <f t="shared" si="2396"/>
        <v>0.38289120422094514</v>
      </c>
      <c r="DT333" s="367">
        <f t="shared" ref="DT333:DV333" si="2399">$E$329*DT310*DT265</f>
        <v>0.37451679065593391</v>
      </c>
      <c r="DU333" s="367">
        <f t="shared" si="2399"/>
        <v>22.014273211475906</v>
      </c>
      <c r="DV333" s="367">
        <f t="shared" si="2399"/>
        <v>21.597298219972718</v>
      </c>
      <c r="DY333" s="367">
        <v>-1.5743410542973568</v>
      </c>
      <c r="DZ333" s="367">
        <v>0.38562126196357777</v>
      </c>
    </row>
    <row r="334" spans="1:130">
      <c r="A334" s="45" t="s">
        <v>299</v>
      </c>
      <c r="B334" s="63">
        <v>24327.966101694914</v>
      </c>
      <c r="C334" s="63">
        <v>17377.118644067796</v>
      </c>
      <c r="D334" s="63">
        <v>13885.3</v>
      </c>
      <c r="E334" s="63">
        <v>11950.463114754099</v>
      </c>
      <c r="F334" s="63">
        <v>8625</v>
      </c>
      <c r="G334" s="63">
        <v>6924.1935483870966</v>
      </c>
      <c r="H334" s="63">
        <v>6888.28125</v>
      </c>
      <c r="I334" s="63">
        <v>5167.6875</v>
      </c>
      <c r="J334" s="63">
        <v>3425</v>
      </c>
      <c r="K334" s="63">
        <v>1706.25</v>
      </c>
      <c r="L334" s="63">
        <v>1680.2083333333335</v>
      </c>
      <c r="M334" s="63">
        <v>1675</v>
      </c>
      <c r="N334" s="63">
        <v>3296.2962962962961</v>
      </c>
      <c r="O334" s="63">
        <v>4944.4444444444443</v>
      </c>
      <c r="P334" s="63">
        <v>3318.9655172413795</v>
      </c>
      <c r="Q334" s="63">
        <v>4857.954545454545</v>
      </c>
      <c r="R334" s="63">
        <v>6426.3157894736833</v>
      </c>
      <c r="S334" s="63">
        <v>4814.0625</v>
      </c>
      <c r="T334" s="63">
        <v>6365.3465346534649</v>
      </c>
      <c r="U334" s="63">
        <v>4753.3980582524273</v>
      </c>
      <c r="V334" s="63">
        <v>6264.545454545454</v>
      </c>
      <c r="W334" s="63">
        <v>6264.545454545454</v>
      </c>
      <c r="X334" s="63">
        <v>6276.5217391304359</v>
      </c>
      <c r="Y334" s="63">
        <v>9407.3275862068967</v>
      </c>
      <c r="Z334" s="63">
        <v>14045.625000000002</v>
      </c>
      <c r="AA334" s="63">
        <v>14069.008264462811</v>
      </c>
      <c r="AB334" s="63">
        <v>15563.999999999998</v>
      </c>
      <c r="AC334" s="63">
        <v>13987.5</v>
      </c>
      <c r="AD334" s="63">
        <v>13837.5</v>
      </c>
      <c r="AE334" s="63">
        <v>15283.333333333334</v>
      </c>
      <c r="AF334" s="63">
        <v>18050</v>
      </c>
      <c r="AG334" s="63">
        <v>19399.828767123287</v>
      </c>
      <c r="AH334" s="63">
        <v>17137.724550898205</v>
      </c>
      <c r="AI334" s="63">
        <v>13249.5</v>
      </c>
      <c r="AJ334" s="63">
        <v>11354.347826086956</v>
      </c>
      <c r="AK334" s="63">
        <v>9494.7867298578203</v>
      </c>
      <c r="AL334" s="63">
        <v>8660.2370689655181</v>
      </c>
      <c r="AM334" s="63">
        <v>8626.6025641025644</v>
      </c>
      <c r="AN334" s="63">
        <v>9713.5802469135797</v>
      </c>
      <c r="AO334" s="63">
        <v>9647.8087649402405</v>
      </c>
      <c r="AP334" s="63">
        <v>14124.820143884894</v>
      </c>
      <c r="AQ334" s="63">
        <f t="shared" ref="AQ334:CD334" si="2400">$F$329*AQ311*AQ265</f>
        <v>15188.938612099642</v>
      </c>
      <c r="AR334" s="63">
        <f t="shared" si="2400"/>
        <v>19171.287128712869</v>
      </c>
      <c r="AS334" s="63">
        <f t="shared" si="2400"/>
        <v>18843.929712460063</v>
      </c>
      <c r="AT334" s="63">
        <f t="shared" si="2400"/>
        <v>29679.668674698798</v>
      </c>
      <c r="AU334" s="63">
        <f t="shared" si="2400"/>
        <v>30974.999999999996</v>
      </c>
      <c r="AV334" s="63">
        <f t="shared" si="2400"/>
        <v>25996.474285714288</v>
      </c>
      <c r="AW334" s="63">
        <f t="shared" si="2400"/>
        <v>25983.707865168548</v>
      </c>
      <c r="AX334" s="63">
        <f t="shared" si="2400"/>
        <v>22117.910269736843</v>
      </c>
      <c r="AY334" s="63">
        <f t="shared" si="2400"/>
        <v>20298.380261627906</v>
      </c>
      <c r="AZ334" s="63">
        <f t="shared" si="2400"/>
        <v>18778.501176470585</v>
      </c>
      <c r="BA334" s="64">
        <f t="shared" si="2400"/>
        <v>20151.181578947369</v>
      </c>
      <c r="BB334" s="63">
        <f t="shared" si="2400"/>
        <v>14319.813986486493</v>
      </c>
      <c r="BC334" s="64">
        <f t="shared" si="2400"/>
        <v>14180.495072062085</v>
      </c>
      <c r="BD334" s="63">
        <f t="shared" si="2400"/>
        <v>15772.264534883721</v>
      </c>
      <c r="BE334" s="63">
        <f t="shared" si="2400"/>
        <v>15545.562612244896</v>
      </c>
      <c r="BF334" s="63">
        <f t="shared" si="2400"/>
        <v>14872.275732421873</v>
      </c>
      <c r="BG334" s="63">
        <f t="shared" si="2400"/>
        <v>14949.750918972331</v>
      </c>
      <c r="BH334" s="63">
        <f t="shared" si="2400"/>
        <v>14658.320294117648</v>
      </c>
      <c r="BI334" s="1227">
        <f t="shared" si="2400"/>
        <v>15066.417877094977</v>
      </c>
      <c r="BJ334" s="1227">
        <f t="shared" si="2400"/>
        <v>12655.161016187054</v>
      </c>
      <c r="BK334" s="1227">
        <f t="shared" si="2400"/>
        <v>13139.573548387098</v>
      </c>
      <c r="BL334" s="1227">
        <f t="shared" si="2400"/>
        <v>11760.039473684212</v>
      </c>
      <c r="BM334" s="1227">
        <f t="shared" si="2400"/>
        <v>12227.809406412478</v>
      </c>
      <c r="BN334" s="1227">
        <f t="shared" si="2400"/>
        <v>11646.436256218907</v>
      </c>
      <c r="BO334" s="1227">
        <f t="shared" si="2400"/>
        <v>12204.935515075376</v>
      </c>
      <c r="BP334" s="1227">
        <f t="shared" si="2400"/>
        <v>12204.935515075376</v>
      </c>
      <c r="BQ334" s="1227">
        <f t="shared" si="2400"/>
        <v>13101.282148760334</v>
      </c>
      <c r="BR334" s="1227">
        <f t="shared" si="2400"/>
        <v>14025.245235148519</v>
      </c>
      <c r="BS334" s="1227">
        <f t="shared" si="2400"/>
        <v>10737.128712871287</v>
      </c>
      <c r="BT334" s="1227">
        <f t="shared" si="2400"/>
        <v>11080.975876777253</v>
      </c>
      <c r="BU334" s="1227">
        <f t="shared" si="2400"/>
        <v>10134.905433070866</v>
      </c>
      <c r="BV334" s="1227">
        <f t="shared" si="2400"/>
        <v>11055.094811320756</v>
      </c>
      <c r="BW334" s="1227">
        <f t="shared" si="2400"/>
        <v>12873.723644200627</v>
      </c>
      <c r="BX334" s="1227">
        <f t="shared" si="2400"/>
        <v>11838.773801843319</v>
      </c>
      <c r="BY334" s="1227">
        <f t="shared" si="2400"/>
        <v>12680.628438914031</v>
      </c>
      <c r="BZ334" s="1227">
        <f t="shared" si="2400"/>
        <v>15293.713035714285</v>
      </c>
      <c r="CA334" s="1227">
        <f t="shared" si="2400"/>
        <v>15132.985881901843</v>
      </c>
      <c r="CB334" s="1227">
        <f t="shared" ref="CB334:CC334" si="2401">$F$329*CB311*CB265</f>
        <v>12281.040326335877</v>
      </c>
      <c r="CC334" s="1227">
        <f t="shared" si="2401"/>
        <v>10755.052669683255</v>
      </c>
      <c r="CD334" s="1227">
        <f t="shared" si="2400"/>
        <v>2226.0032689450213</v>
      </c>
      <c r="CE334" s="1227">
        <f t="shared" ref="CE334:CF334" si="2402">$F$329*CE311*CE265</f>
        <v>3152.1234647147148</v>
      </c>
      <c r="CF334" s="1227">
        <f t="shared" si="2402"/>
        <v>10736.614739195231</v>
      </c>
      <c r="CG334" s="1227">
        <f t="shared" ref="CG334:CH334" si="2403">$F$329*CG311*CG265</f>
        <v>8854.941555555557</v>
      </c>
      <c r="CH334" s="1227">
        <f t="shared" si="2403"/>
        <v>8733.5563866618086</v>
      </c>
      <c r="CI334" s="1227">
        <f t="shared" ref="CI334:CL334" si="2404">$F$329*CI311*CI265</f>
        <v>8790.2611151603487</v>
      </c>
      <c r="CJ334" s="1227">
        <f t="shared" ref="CJ334" si="2405">$F$329*CJ311*CJ265</f>
        <v>3493.033632416787</v>
      </c>
      <c r="CK334" s="1227">
        <f t="shared" si="2404"/>
        <v>6531.128980547549</v>
      </c>
      <c r="CL334" s="367">
        <f t="shared" si="2404"/>
        <v>9485.9769315510566</v>
      </c>
      <c r="CM334" s="367">
        <f t="shared" ref="CM334:CP334" si="2406">$F$329*CM311*CM265</f>
        <v>7320.2107169473147</v>
      </c>
      <c r="CN334" s="367">
        <f t="shared" si="2406"/>
        <v>5146.5523747505649</v>
      </c>
      <c r="CO334" s="367">
        <f t="shared" si="2406"/>
        <v>4686.8015506096272</v>
      </c>
      <c r="CP334" s="367">
        <f t="shared" si="2406"/>
        <v>2941.1122231693848</v>
      </c>
      <c r="CQ334" s="367"/>
      <c r="CR334" s="604"/>
      <c r="CS334" s="604"/>
      <c r="CT334" s="367">
        <v>9485.9769315510566</v>
      </c>
      <c r="CU334" s="1102"/>
      <c r="CV334" s="63">
        <v>8625</v>
      </c>
      <c r="CW334" s="63">
        <v>3425</v>
      </c>
      <c r="CX334" s="63">
        <v>3296.2962962962961</v>
      </c>
      <c r="CY334" s="63">
        <v>6426.3157894736833</v>
      </c>
      <c r="CZ334" s="63">
        <v>6264.545454545454</v>
      </c>
      <c r="DA334" s="63">
        <v>14045.625000000002</v>
      </c>
      <c r="DB334" s="63">
        <v>13837.5</v>
      </c>
      <c r="DC334" s="63">
        <v>17137.724550898205</v>
      </c>
      <c r="DD334" s="63">
        <v>8660.2370689655181</v>
      </c>
      <c r="DE334" s="63">
        <v>14124.820143884894</v>
      </c>
      <c r="DF334" s="63">
        <f t="shared" ref="DF334:DS334" si="2407">$F$329*DF311*DF265</f>
        <v>29.679668674698796</v>
      </c>
      <c r="DG334" s="63">
        <f t="shared" si="2407"/>
        <v>22.117910269736843</v>
      </c>
      <c r="DH334" s="63">
        <f t="shared" si="2407"/>
        <v>14.319813986486492</v>
      </c>
      <c r="DI334" s="63">
        <f t="shared" si="2407"/>
        <v>14.872275732421873</v>
      </c>
      <c r="DJ334" s="63">
        <f t="shared" si="2407"/>
        <v>12.655161016187053</v>
      </c>
      <c r="DK334" s="63">
        <f t="shared" si="2407"/>
        <v>11.646436256218905</v>
      </c>
      <c r="DL334" s="1227">
        <f t="shared" si="2407"/>
        <v>14.025245235148518</v>
      </c>
      <c r="DM334" s="1227">
        <f t="shared" si="2407"/>
        <v>11.055094811320757</v>
      </c>
      <c r="DN334" s="1227">
        <f t="shared" si="2407"/>
        <v>15.293713035714285</v>
      </c>
      <c r="DO334" s="1227">
        <f t="shared" si="2407"/>
        <v>2.2260032689450213</v>
      </c>
      <c r="DP334" s="1227">
        <f t="shared" ref="DP334:DQ334" si="2408">$F$329*DP311*DP265</f>
        <v>0.43667781933309047</v>
      </c>
      <c r="DQ334" s="1227">
        <f t="shared" si="2408"/>
        <v>0.43118076961595714</v>
      </c>
      <c r="DR334" s="1227">
        <f t="shared" ref="DR334" si="2409">$F$329*DR311*DR265</f>
        <v>1.6806355560967914</v>
      </c>
      <c r="DS334" s="367">
        <f t="shared" si="2407"/>
        <v>-1.6409623038040508</v>
      </c>
      <c r="DT334" s="367">
        <f t="shared" ref="DT334:DV334" si="2410">$F$329*DT311*DT265</f>
        <v>0.40126798998850066</v>
      </c>
      <c r="DU334" s="367">
        <f t="shared" si="2410"/>
        <v>0.39311202163349834</v>
      </c>
      <c r="DV334" s="367">
        <f t="shared" si="2410"/>
        <v>23.139962378542197</v>
      </c>
      <c r="DY334" s="367">
        <v>1.6867939867471682</v>
      </c>
      <c r="DZ334" s="367">
        <v>-1.6526625512724762</v>
      </c>
    </row>
    <row r="335" spans="1:130">
      <c r="A335" s="45" t="s">
        <v>300</v>
      </c>
      <c r="B335" s="63">
        <v>25949.830508474577</v>
      </c>
      <c r="C335" s="63">
        <v>27803.389830508473</v>
      </c>
      <c r="D335" s="63">
        <v>29621.973333333335</v>
      </c>
      <c r="E335" s="63">
        <v>29136.367213114754</v>
      </c>
      <c r="F335" s="63">
        <v>25760.000000000004</v>
      </c>
      <c r="G335" s="63">
        <v>18464.516129032258</v>
      </c>
      <c r="H335" s="63">
        <v>14695</v>
      </c>
      <c r="I335" s="63">
        <v>12861.800000000001</v>
      </c>
      <c r="J335" s="63">
        <v>9133.3333333333339</v>
      </c>
      <c r="K335" s="63">
        <v>7280</v>
      </c>
      <c r="L335" s="63">
        <v>7168.8888888888896</v>
      </c>
      <c r="M335" s="63">
        <v>5360.0000000000009</v>
      </c>
      <c r="N335" s="63">
        <v>3516.0493827160494</v>
      </c>
      <c r="O335" s="63">
        <v>1758.0246913580247</v>
      </c>
      <c r="P335" s="63">
        <v>1770.1149425287358</v>
      </c>
      <c r="Q335" s="63">
        <v>1727.2727272727273</v>
      </c>
      <c r="R335" s="63">
        <v>3427.3684210526317</v>
      </c>
      <c r="S335" s="63">
        <v>5135.0000000000009</v>
      </c>
      <c r="T335" s="63">
        <v>3394.8514851485147</v>
      </c>
      <c r="U335" s="63">
        <v>5070.2912621359237</v>
      </c>
      <c r="V335" s="63">
        <v>6682.181818181818</v>
      </c>
      <c r="W335" s="63">
        <v>5011.636363636364</v>
      </c>
      <c r="X335" s="63">
        <v>6694.9565217391319</v>
      </c>
      <c r="Y335" s="63">
        <v>5017.2413793103451</v>
      </c>
      <c r="Z335" s="63">
        <v>6658.6666666666679</v>
      </c>
      <c r="AA335" s="63">
        <v>6669.7520661157032</v>
      </c>
      <c r="AB335" s="63">
        <v>6640.6399999999994</v>
      </c>
      <c r="AC335" s="63">
        <v>9946.6666666666679</v>
      </c>
      <c r="AD335" s="63">
        <v>14760</v>
      </c>
      <c r="AE335" s="63">
        <v>14672</v>
      </c>
      <c r="AF335" s="63">
        <v>16044.444444444445</v>
      </c>
      <c r="AG335" s="63">
        <v>14326.027397260274</v>
      </c>
      <c r="AH335" s="63">
        <v>13710.179640718565</v>
      </c>
      <c r="AI335" s="63">
        <v>12848</v>
      </c>
      <c r="AJ335" s="63">
        <v>16148.405797101452</v>
      </c>
      <c r="AK335" s="63">
        <v>16457.630331753557</v>
      </c>
      <c r="AL335" s="63">
        <v>15835.86206896552</v>
      </c>
      <c r="AM335" s="63">
        <v>14459.82905982906</v>
      </c>
      <c r="AN335" s="63">
        <v>11656.296296296296</v>
      </c>
      <c r="AO335" s="63">
        <v>10290.996015936256</v>
      </c>
      <c r="AP335" s="63">
        <v>8788.7769784172669</v>
      </c>
      <c r="AQ335" s="63">
        <f t="shared" ref="AQ335:CD335" si="2411">$G$329*AQ312*AQ265</f>
        <v>8723.9032028469755</v>
      </c>
      <c r="AR335" s="63">
        <f t="shared" si="2411"/>
        <v>9623.2343234323416</v>
      </c>
      <c r="AS335" s="63">
        <f t="shared" si="2411"/>
        <v>9458.9137380191696</v>
      </c>
      <c r="AT335" s="63">
        <f t="shared" si="2411"/>
        <v>14070.361445783135</v>
      </c>
      <c r="AU335" s="63">
        <f t="shared" si="2411"/>
        <v>15339.999999999998</v>
      </c>
      <c r="AV335" s="63">
        <f t="shared" si="2411"/>
        <v>19641.780571428575</v>
      </c>
      <c r="AW335" s="63">
        <f t="shared" si="2411"/>
        <v>19632.13483146068</v>
      </c>
      <c r="AX335" s="63">
        <f t="shared" si="2411"/>
        <v>30333.134084210531</v>
      </c>
      <c r="AY335" s="63">
        <f t="shared" si="2411"/>
        <v>31089.484981912145</v>
      </c>
      <c r="AZ335" s="63">
        <f t="shared" si="2411"/>
        <v>25985.385411764706</v>
      </c>
      <c r="BA335" s="64">
        <f t="shared" si="2411"/>
        <v>25793.512421052637</v>
      </c>
      <c r="BB335" s="63">
        <f t="shared" si="2411"/>
        <v>22121.643675675688</v>
      </c>
      <c r="BC335" s="64">
        <f t="shared" si="2411"/>
        <v>20341.675689578715</v>
      </c>
      <c r="BD335" s="63">
        <f t="shared" si="2411"/>
        <v>18862.991120507402</v>
      </c>
      <c r="BE335" s="63">
        <f t="shared" si="2411"/>
        <v>20727.416816326528</v>
      </c>
      <c r="BF335" s="63">
        <f t="shared" si="2411"/>
        <v>14840.292343749999</v>
      </c>
      <c r="BG335" s="63">
        <f t="shared" si="2411"/>
        <v>14917.600916996049</v>
      </c>
      <c r="BH335" s="63">
        <f t="shared" si="2411"/>
        <v>16644.286269449716</v>
      </c>
      <c r="BI335" s="1227">
        <f t="shared" si="2411"/>
        <v>16070.845735567975</v>
      </c>
      <c r="BJ335" s="1227">
        <f t="shared" si="2411"/>
        <v>15498.666330935257</v>
      </c>
      <c r="BK335" s="1227">
        <f t="shared" si="2411"/>
        <v>15517.210666666668</v>
      </c>
      <c r="BL335" s="1227">
        <f t="shared" si="2411"/>
        <v>15554.612210526317</v>
      </c>
      <c r="BM335" s="1227">
        <f t="shared" si="2411"/>
        <v>16052.919015597919</v>
      </c>
      <c r="BN335" s="1227">
        <f t="shared" si="2411"/>
        <v>13416.694567164181</v>
      </c>
      <c r="BO335" s="1227">
        <f t="shared" si="2411"/>
        <v>14020.028489112228</v>
      </c>
      <c r="BP335" s="1227">
        <f t="shared" si="2411"/>
        <v>12517.882579564488</v>
      </c>
      <c r="BQ335" s="1227">
        <f t="shared" si="2411"/>
        <v>12976.508033057855</v>
      </c>
      <c r="BR335" s="1227">
        <f t="shared" si="2411"/>
        <v>12466.884653465349</v>
      </c>
      <c r="BS335" s="1227">
        <f t="shared" si="2411"/>
        <v>12946.798679867987</v>
      </c>
      <c r="BT335" s="1227">
        <f t="shared" si="2411"/>
        <v>12804.683235387049</v>
      </c>
      <c r="BU335" s="1227">
        <f t="shared" si="2411"/>
        <v>13758.901921259843</v>
      </c>
      <c r="BV335" s="1227">
        <f t="shared" si="2411"/>
        <v>14740.126415094343</v>
      </c>
      <c r="BW335" s="1227">
        <f t="shared" si="2411"/>
        <v>11279.834050156742</v>
      </c>
      <c r="BX335" s="1227">
        <f t="shared" si="2411"/>
        <v>11656.638820276499</v>
      </c>
      <c r="BY335" s="1227">
        <f t="shared" si="2411"/>
        <v>10627.574310708902</v>
      </c>
      <c r="BZ335" s="1227">
        <f t="shared" si="2411"/>
        <v>11515.266285714288</v>
      </c>
      <c r="CA335" s="1227">
        <f t="shared" si="2411"/>
        <v>13696.116515337428</v>
      </c>
      <c r="CB335" s="1227">
        <f t="shared" ref="CB335:CC335" si="2412">$G$329*CB312*CB265</f>
        <v>12614.599446310433</v>
      </c>
      <c r="CC335" s="1227">
        <f t="shared" si="2412"/>
        <v>13384.065544494719</v>
      </c>
      <c r="CD335" s="1227">
        <f t="shared" si="2411"/>
        <v>16145.94371074789</v>
      </c>
      <c r="CE335" s="1227">
        <f t="shared" ref="CE335:CF335" si="2413">$G$329*CE312*CE265</f>
        <v>15850.677993993997</v>
      </c>
      <c r="CF335" s="1227">
        <f t="shared" si="2413"/>
        <v>12883.937687034278</v>
      </c>
      <c r="CG335" s="1227">
        <f t="shared" ref="CG335:CH335" si="2414">$G$329*CG312*CG265</f>
        <v>11334.325191111115</v>
      </c>
      <c r="CH335" s="1227">
        <f t="shared" si="2414"/>
        <v>2328.9483697764822</v>
      </c>
      <c r="CI335" s="1227">
        <f t="shared" ref="CI335:CL335" si="2415">$G$329*CI312*CI265</f>
        <v>3281.6974829931969</v>
      </c>
      <c r="CJ335" s="1227">
        <f t="shared" ref="CJ335" si="2416">$G$329*CJ312*CJ265</f>
        <v>11177.707623733721</v>
      </c>
      <c r="CK335" s="1227">
        <f t="shared" si="2415"/>
        <v>9288.7167723342918</v>
      </c>
      <c r="CL335" s="367">
        <f t="shared" si="2415"/>
        <v>9198.5230851404194</v>
      </c>
      <c r="CM335" s="367">
        <f t="shared" ref="CM335:CP335" si="2417">$G$329*CM312*CM265</f>
        <v>9186.1467820515318</v>
      </c>
      <c r="CN335" s="367">
        <f t="shared" si="2417"/>
        <v>3659.7705776004022</v>
      </c>
      <c r="CO335" s="367">
        <f t="shared" si="2417"/>
        <v>6817.1658917958212</v>
      </c>
      <c r="CP335" s="367">
        <f t="shared" si="2417"/>
        <v>9859.7285957678432</v>
      </c>
      <c r="CQ335" s="367"/>
      <c r="CR335" s="604"/>
      <c r="CS335" s="604"/>
      <c r="CT335" s="367">
        <v>9198.5230851404194</v>
      </c>
      <c r="CU335" s="1102"/>
      <c r="CV335" s="63">
        <v>25760.000000000004</v>
      </c>
      <c r="CW335" s="63">
        <v>9133.3333333333339</v>
      </c>
      <c r="CX335" s="63">
        <v>3516.0493827160494</v>
      </c>
      <c r="CY335" s="63">
        <v>3427.3684210526317</v>
      </c>
      <c r="CZ335" s="63">
        <v>6682.181818181818</v>
      </c>
      <c r="DA335" s="63">
        <v>6658.6666666666679</v>
      </c>
      <c r="DB335" s="63">
        <v>14760</v>
      </c>
      <c r="DC335" s="63">
        <v>13710.179640718565</v>
      </c>
      <c r="DD335" s="63">
        <v>15835.86206896552</v>
      </c>
      <c r="DE335" s="63">
        <v>8788.7769784172669</v>
      </c>
      <c r="DF335" s="63">
        <f t="shared" ref="DF335:DS335" si="2418">$G$329*DF312*DF265</f>
        <v>14.070361445783135</v>
      </c>
      <c r="DG335" s="63">
        <f t="shared" si="2418"/>
        <v>30.333134084210528</v>
      </c>
      <c r="DH335" s="63">
        <f t="shared" si="2418"/>
        <v>22.121643675675688</v>
      </c>
      <c r="DI335" s="63">
        <f t="shared" si="2418"/>
        <v>14.840292343750001</v>
      </c>
      <c r="DJ335" s="63">
        <f t="shared" si="2418"/>
        <v>15.498666330935256</v>
      </c>
      <c r="DK335" s="63">
        <f t="shared" si="2418"/>
        <v>13.41669456716418</v>
      </c>
      <c r="DL335" s="1227">
        <f t="shared" si="2418"/>
        <v>12.46688465346535</v>
      </c>
      <c r="DM335" s="1227">
        <f t="shared" si="2418"/>
        <v>14.740126415094341</v>
      </c>
      <c r="DN335" s="1227">
        <f t="shared" si="2418"/>
        <v>11.515266285714286</v>
      </c>
      <c r="DO335" s="1227">
        <f t="shared" si="2418"/>
        <v>16.14594371074789</v>
      </c>
      <c r="DP335" s="1227">
        <f t="shared" ref="DP335:DQ335" si="2419">$G$329*DP312*DP265</f>
        <v>2.3289483697764823</v>
      </c>
      <c r="DQ335" s="1227">
        <f t="shared" si="2419"/>
        <v>0.45992615425702099</v>
      </c>
      <c r="DR335" s="1227">
        <f t="shared" ref="DR335" si="2420">$G$329*DR312*DR265</f>
        <v>0.44816948162581105</v>
      </c>
      <c r="DS335" s="367">
        <f t="shared" si="2418"/>
        <v>1.7503597907243209</v>
      </c>
      <c r="DT335" s="367">
        <f t="shared" ref="DT335:DV335" si="2421">$G$329*DT312*DT265</f>
        <v>-1.7120767572842697</v>
      </c>
      <c r="DU335" s="367">
        <f t="shared" si="2421"/>
        <v>0.41931948974239824</v>
      </c>
      <c r="DV335" s="367">
        <f t="shared" si="2421"/>
        <v>0.4113771089518613</v>
      </c>
      <c r="DY335" s="367">
        <v>0.44981172979924483</v>
      </c>
      <c r="DZ335" s="367">
        <v>1.7628400546906413</v>
      </c>
    </row>
    <row r="336" spans="1:130">
      <c r="A336" s="45" t="s">
        <v>301</v>
      </c>
      <c r="B336" s="63">
        <v>10426.271186440677</v>
      </c>
      <c r="C336" s="63">
        <v>16682.033898305086</v>
      </c>
      <c r="D336" s="63">
        <v>18745.154999999999</v>
      </c>
      <c r="E336" s="63">
        <v>20486.508196721312</v>
      </c>
      <c r="F336" s="63">
        <v>28980</v>
      </c>
      <c r="G336" s="63">
        <v>31158.870967741936</v>
      </c>
      <c r="H336" s="63">
        <v>33063.75</v>
      </c>
      <c r="I336" s="63">
        <v>33073.200000000004</v>
      </c>
      <c r="J336" s="63">
        <v>28770</v>
      </c>
      <c r="K336" s="63">
        <v>20475</v>
      </c>
      <c r="L336" s="63">
        <v>16130</v>
      </c>
      <c r="M336" s="63">
        <v>14070</v>
      </c>
      <c r="N336" s="63">
        <v>9888.8888888888887</v>
      </c>
      <c r="O336" s="63">
        <v>7911.1111111111104</v>
      </c>
      <c r="P336" s="63">
        <v>7965.5172413793107</v>
      </c>
      <c r="Q336" s="63">
        <v>5829.545454545455</v>
      </c>
      <c r="R336" s="63">
        <v>3855.7894736842104</v>
      </c>
      <c r="S336" s="63">
        <v>1925.6250000000002</v>
      </c>
      <c r="T336" s="63">
        <v>1909.6039603960396</v>
      </c>
      <c r="U336" s="63">
        <v>1901.3592233009711</v>
      </c>
      <c r="V336" s="63">
        <v>3758.7272727272725</v>
      </c>
      <c r="W336" s="63">
        <v>5638.090909090909</v>
      </c>
      <c r="X336" s="63">
        <v>3765.9130434782614</v>
      </c>
      <c r="Y336" s="63">
        <v>5644.3965517241377</v>
      </c>
      <c r="Z336" s="63">
        <v>7491.0000000000009</v>
      </c>
      <c r="AA336" s="63">
        <v>5627.6033057851246</v>
      </c>
      <c r="AB336" s="63">
        <v>7470.7199999999993</v>
      </c>
      <c r="AC336" s="63">
        <v>5595</v>
      </c>
      <c r="AD336" s="63">
        <v>7380</v>
      </c>
      <c r="AE336" s="63">
        <v>7336</v>
      </c>
      <c r="AF336" s="63">
        <v>7220.0000000000009</v>
      </c>
      <c r="AG336" s="63">
        <v>10744.520547945205</v>
      </c>
      <c r="AH336" s="63">
        <v>15423.952095808383</v>
      </c>
      <c r="AI336" s="63">
        <v>13008.599999999999</v>
      </c>
      <c r="AJ336" s="63">
        <v>15139.130434782608</v>
      </c>
      <c r="AK336" s="63">
        <v>12817.962085308056</v>
      </c>
      <c r="AL336" s="63">
        <v>13361.508620689654</v>
      </c>
      <c r="AM336" s="63">
        <v>14788.461538461537</v>
      </c>
      <c r="AN336" s="63">
        <v>17484.444444444445</v>
      </c>
      <c r="AO336" s="63">
        <v>18813.227091633467</v>
      </c>
      <c r="AP336" s="63">
        <v>16949.784172661872</v>
      </c>
      <c r="AQ336" s="63">
        <f t="shared" ref="AQ336:CD336" si="2422">$H$329*AQ313*AQ265</f>
        <v>15422.614590747331</v>
      </c>
      <c r="AR336" s="63">
        <f t="shared" si="2422"/>
        <v>12179.405940594057</v>
      </c>
      <c r="AS336" s="63">
        <f t="shared" si="2422"/>
        <v>10641.277955271566</v>
      </c>
      <c r="AT336" s="63">
        <f t="shared" si="2422"/>
        <v>9233.674698795181</v>
      </c>
      <c r="AU336" s="63">
        <f t="shared" si="2422"/>
        <v>9292.4999999999982</v>
      </c>
      <c r="AV336" s="63">
        <f t="shared" si="2422"/>
        <v>10398.589714285716</v>
      </c>
      <c r="AW336" s="63">
        <f t="shared" si="2422"/>
        <v>10393.48314606742</v>
      </c>
      <c r="AX336" s="63">
        <f t="shared" si="2422"/>
        <v>15166.567042105266</v>
      </c>
      <c r="AY336" s="63">
        <f t="shared" si="2422"/>
        <v>16238.704209302326</v>
      </c>
      <c r="AZ336" s="63">
        <f t="shared" si="2422"/>
        <v>20707.103999999999</v>
      </c>
      <c r="BA336" s="64">
        <f t="shared" si="2422"/>
        <v>20554.205210526321</v>
      </c>
      <c r="BB336" s="63">
        <f t="shared" si="2422"/>
        <v>31997.377459459476</v>
      </c>
      <c r="BC336" s="64">
        <f t="shared" si="2422"/>
        <v>32859.629960088692</v>
      </c>
      <c r="BD336" s="63">
        <f t="shared" si="2422"/>
        <v>27529.770824524316</v>
      </c>
      <c r="BE336" s="63">
        <f t="shared" si="2422"/>
        <v>27982.012702040814</v>
      </c>
      <c r="BF336" s="63">
        <f t="shared" si="2422"/>
        <v>24179.441835937501</v>
      </c>
      <c r="BG336" s="63">
        <f t="shared" si="2422"/>
        <v>22569.301387351781</v>
      </c>
      <c r="BH336" s="63">
        <f t="shared" si="2422"/>
        <v>20994.497453510441</v>
      </c>
      <c r="BI336" s="1227">
        <f t="shared" si="2422"/>
        <v>22599.626815642463</v>
      </c>
      <c r="BJ336" s="1227">
        <f t="shared" si="2422"/>
        <v>16311.096420863314</v>
      </c>
      <c r="BK336" s="1227">
        <f t="shared" si="2422"/>
        <v>16330.61283870968</v>
      </c>
      <c r="BL336" s="1227">
        <f t="shared" si="2422"/>
        <v>18627.902526315789</v>
      </c>
      <c r="BM336" s="1227">
        <f t="shared" si="2422"/>
        <v>18059.533892547661</v>
      </c>
      <c r="BN336" s="1227">
        <f t="shared" si="2422"/>
        <v>17329.897149253735</v>
      </c>
      <c r="BO336" s="1227">
        <f t="shared" si="2422"/>
        <v>17462.446198492464</v>
      </c>
      <c r="BP336" s="1227">
        <f t="shared" si="2422"/>
        <v>17462.446198492464</v>
      </c>
      <c r="BQ336" s="1227">
        <f t="shared" si="2422"/>
        <v>17967.47266115703</v>
      </c>
      <c r="BR336" s="1227">
        <f t="shared" si="2422"/>
        <v>15147.2648539604</v>
      </c>
      <c r="BS336" s="1227">
        <f t="shared" si="2422"/>
        <v>15685.544554455446</v>
      </c>
      <c r="BT336" s="1227">
        <f t="shared" si="2422"/>
        <v>13851.219845971567</v>
      </c>
      <c r="BU336" s="1227">
        <f t="shared" si="2422"/>
        <v>14373.138614173229</v>
      </c>
      <c r="BV336" s="1227">
        <f t="shared" si="2422"/>
        <v>13818.868514150945</v>
      </c>
      <c r="BW336" s="1227">
        <f t="shared" si="2422"/>
        <v>14345.006346394986</v>
      </c>
      <c r="BX336" s="1227">
        <f t="shared" si="2422"/>
        <v>14206.528562211983</v>
      </c>
      <c r="BY336" s="1227">
        <f t="shared" si="2422"/>
        <v>15216.754126696836</v>
      </c>
      <c r="BZ336" s="1227">
        <f t="shared" si="2422"/>
        <v>16193.343214285713</v>
      </c>
      <c r="CA336" s="1227">
        <f t="shared" si="2422"/>
        <v>12656.679101226995</v>
      </c>
      <c r="CB336" s="1227">
        <f t="shared" ref="CB336:CC336" si="2423">$H$329*CB313*CB265</f>
        <v>13099.776348091604</v>
      </c>
      <c r="CC336" s="1227">
        <f t="shared" si="2423"/>
        <v>11830.557936651579</v>
      </c>
      <c r="CD336" s="1227">
        <f t="shared" si="2422"/>
        <v>12821.778829123323</v>
      </c>
      <c r="CE336" s="1227">
        <f t="shared" ref="CE336:CF336" si="2424">$H$329*CE313*CE265</f>
        <v>15130.192630630632</v>
      </c>
      <c r="CF336" s="1227">
        <f t="shared" si="2424"/>
        <v>13957.599160953801</v>
      </c>
      <c r="CG336" s="1227">
        <f t="shared" ref="CG336:CH336" si="2425">$H$329*CG313*CG265</f>
        <v>14876.301813333335</v>
      </c>
      <c r="CH336" s="1227">
        <f t="shared" si="2425"/>
        <v>17816.455028790089</v>
      </c>
      <c r="CI336" s="1227">
        <f t="shared" ref="CI336:CL336" si="2426">$H$329*CI313*CI265</f>
        <v>17404.717008017491</v>
      </c>
      <c r="CJ336" s="1227">
        <f t="shared" ref="CJ336" si="2427">$H$329*CJ313*CJ265</f>
        <v>14146.786211287988</v>
      </c>
      <c r="CK336" s="1227">
        <f t="shared" si="2426"/>
        <v>12539.767642651295</v>
      </c>
      <c r="CL336" s="367">
        <f t="shared" si="2426"/>
        <v>2587.084617695743</v>
      </c>
      <c r="CM336" s="367">
        <f t="shared" ref="CM336:CP336" si="2428">$H$329*CM313*CM265</f>
        <v>3617.0452954327907</v>
      </c>
      <c r="CN336" s="367">
        <f t="shared" si="2428"/>
        <v>12351.725699401357</v>
      </c>
      <c r="CO336" s="367">
        <f t="shared" si="2428"/>
        <v>10225.748837693733</v>
      </c>
      <c r="CP336" s="367">
        <f t="shared" si="2428"/>
        <v>10083.813336580748</v>
      </c>
      <c r="CQ336" s="367"/>
      <c r="CR336" s="604"/>
      <c r="CS336" s="604"/>
      <c r="CT336" s="367">
        <v>2587.084617695743</v>
      </c>
      <c r="CU336" s="1102"/>
      <c r="CV336" s="63">
        <v>28980</v>
      </c>
      <c r="CW336" s="63">
        <v>28770</v>
      </c>
      <c r="CX336" s="63">
        <v>9888.8888888888887</v>
      </c>
      <c r="CY336" s="63">
        <v>3855.7894736842104</v>
      </c>
      <c r="CZ336" s="63">
        <v>3758.7272727272725</v>
      </c>
      <c r="DA336" s="63">
        <v>7491.0000000000009</v>
      </c>
      <c r="DB336" s="63">
        <v>7380</v>
      </c>
      <c r="DC336" s="63">
        <v>15423.952095808383</v>
      </c>
      <c r="DD336" s="63">
        <v>13361.508620689654</v>
      </c>
      <c r="DE336" s="63">
        <v>16949.784172661872</v>
      </c>
      <c r="DF336" s="63">
        <f t="shared" ref="DF336:DS336" si="2429">$H$329*DF313*DF265</f>
        <v>9.2336746987951805</v>
      </c>
      <c r="DG336" s="63">
        <f t="shared" si="2429"/>
        <v>15.166567042105264</v>
      </c>
      <c r="DH336" s="63">
        <f t="shared" si="2429"/>
        <v>31.997377459459475</v>
      </c>
      <c r="DI336" s="63">
        <f t="shared" si="2429"/>
        <v>24.179441835937499</v>
      </c>
      <c r="DJ336" s="63">
        <f t="shared" si="2429"/>
        <v>16.311096420863315</v>
      </c>
      <c r="DK336" s="63">
        <f t="shared" si="2429"/>
        <v>17.329897149253732</v>
      </c>
      <c r="DL336" s="1227">
        <f t="shared" si="2429"/>
        <v>15.147264853960399</v>
      </c>
      <c r="DM336" s="1227">
        <f t="shared" si="2429"/>
        <v>13.818868514150944</v>
      </c>
      <c r="DN336" s="1227">
        <f t="shared" si="2429"/>
        <v>16.193343214285715</v>
      </c>
      <c r="DO336" s="1227">
        <f t="shared" si="2429"/>
        <v>12.821778829123325</v>
      </c>
      <c r="DP336" s="1227">
        <f t="shared" ref="DP336:DQ336" si="2430">$H$329*DP313*DP265</f>
        <v>17.816455028790092</v>
      </c>
      <c r="DQ336" s="1227">
        <f t="shared" si="2430"/>
        <v>2.5870846176957429</v>
      </c>
      <c r="DR336" s="1227">
        <f t="shared" ref="DR336" si="2431">$H$329*DR313*DR265</f>
        <v>0.50419066682903735</v>
      </c>
      <c r="DS336" s="367">
        <f t="shared" si="2429"/>
        <v>0.49228869114121521</v>
      </c>
      <c r="DT336" s="367">
        <f t="shared" ref="DT336:DV336" si="2432">$H$329*DT313*DT265</f>
        <v>1.9260863519448033</v>
      </c>
      <c r="DU336" s="367">
        <f t="shared" si="2432"/>
        <v>-1.8869377038407922</v>
      </c>
      <c r="DV336" s="367">
        <f t="shared" si="2432"/>
        <v>0.46279924757084395</v>
      </c>
      <c r="DY336" s="367">
        <v>0.50603819602415046</v>
      </c>
      <c r="DZ336" s="367">
        <v>0.49579876538174289</v>
      </c>
    </row>
    <row r="337" spans="1:130">
      <c r="A337" s="45" t="s">
        <v>302</v>
      </c>
      <c r="B337" s="63">
        <v>6950.8474576271183</v>
      </c>
      <c r="C337" s="63">
        <v>11584.745762711864</v>
      </c>
      <c r="D337" s="63">
        <v>11571.083333333334</v>
      </c>
      <c r="E337" s="63">
        <v>11381.39344262295</v>
      </c>
      <c r="F337" s="63">
        <v>11500</v>
      </c>
      <c r="G337" s="63">
        <v>18464.516129032258</v>
      </c>
      <c r="H337" s="63">
        <v>20664.84375</v>
      </c>
      <c r="I337" s="63">
        <v>22967.5</v>
      </c>
      <c r="J337" s="63">
        <v>31966.666666666668</v>
      </c>
      <c r="K337" s="63">
        <v>34125</v>
      </c>
      <c r="L337" s="63">
        <v>35844.444444444445</v>
      </c>
      <c r="M337" s="63">
        <v>35733.333333333336</v>
      </c>
      <c r="N337" s="63">
        <v>30765.432098765428</v>
      </c>
      <c r="O337" s="63">
        <v>21975.308641975309</v>
      </c>
      <c r="P337" s="63">
        <v>17701.149425287356</v>
      </c>
      <c r="Q337" s="63">
        <v>15113.636363636364</v>
      </c>
      <c r="R337" s="63">
        <v>10710.526315789473</v>
      </c>
      <c r="S337" s="63">
        <v>8558.3333333333339</v>
      </c>
      <c r="T337" s="63">
        <v>8487.1287128712866</v>
      </c>
      <c r="U337" s="63">
        <v>6337.8640776699031</v>
      </c>
      <c r="V337" s="63">
        <v>4176.363636363636</v>
      </c>
      <c r="W337" s="63">
        <v>2088.181818181818</v>
      </c>
      <c r="X337" s="63">
        <v>2092.1739130434785</v>
      </c>
      <c r="Y337" s="63">
        <v>2090.5172413793102</v>
      </c>
      <c r="Z337" s="63">
        <v>4161.666666666667</v>
      </c>
      <c r="AA337" s="63">
        <v>6252.8925619834718</v>
      </c>
      <c r="AB337" s="63">
        <v>4150.3999999999996</v>
      </c>
      <c r="AC337" s="63">
        <v>6216.6666666666661</v>
      </c>
      <c r="AD337" s="63">
        <v>8200</v>
      </c>
      <c r="AE337" s="63">
        <v>6113.3333333333339</v>
      </c>
      <c r="AF337" s="63">
        <v>8022.2222222222226</v>
      </c>
      <c r="AG337" s="63">
        <v>5969.17808219178</v>
      </c>
      <c r="AH337" s="63">
        <v>7616.7664670658687</v>
      </c>
      <c r="AI337" s="63">
        <v>6424</v>
      </c>
      <c r="AJ337" s="63">
        <v>6728.5024154589373</v>
      </c>
      <c r="AK337" s="63">
        <v>9494.7867298578203</v>
      </c>
      <c r="AL337" s="63">
        <v>14846.120689655172</v>
      </c>
      <c r="AM337" s="63">
        <v>14788.461538461537</v>
      </c>
      <c r="AN337" s="63">
        <v>16189.300411522634</v>
      </c>
      <c r="AO337" s="63">
        <v>14471.713147410359</v>
      </c>
      <c r="AP337" s="63">
        <v>14124.820143884894</v>
      </c>
      <c r="AQ337" s="63">
        <f t="shared" ref="AQ337:CD337" si="2433">$I$329*AQ314*AQ265</f>
        <v>15578.398576512454</v>
      </c>
      <c r="AR337" s="63">
        <f t="shared" si="2433"/>
        <v>18043.56435643564</v>
      </c>
      <c r="AS337" s="63">
        <f t="shared" si="2433"/>
        <v>19213.418530351439</v>
      </c>
      <c r="AT337" s="63">
        <f t="shared" si="2433"/>
        <v>17587.951807228917</v>
      </c>
      <c r="AU337" s="63">
        <f t="shared" si="2433"/>
        <v>16224.999999999998</v>
      </c>
      <c r="AV337" s="63">
        <f t="shared" si="2433"/>
        <v>12998.237142857144</v>
      </c>
      <c r="AW337" s="63">
        <f t="shared" si="2433"/>
        <v>11548.314606741576</v>
      </c>
      <c r="AX337" s="63">
        <f t="shared" si="2433"/>
        <v>9830.1823421052632</v>
      </c>
      <c r="AY337" s="63">
        <f t="shared" si="2433"/>
        <v>9715.4640568475443</v>
      </c>
      <c r="AZ337" s="63">
        <f t="shared" si="2433"/>
        <v>10827.243921568626</v>
      </c>
      <c r="BA337" s="64">
        <f t="shared" si="2433"/>
        <v>10747.296842105265</v>
      </c>
      <c r="BB337" s="63">
        <f t="shared" si="2433"/>
        <v>15801.174054054061</v>
      </c>
      <c r="BC337" s="64">
        <f t="shared" si="2433"/>
        <v>16951.396407982262</v>
      </c>
      <c r="BD337" s="63">
        <f t="shared" si="2433"/>
        <v>21666.949260042285</v>
      </c>
      <c r="BE337" s="63">
        <f t="shared" si="2433"/>
        <v>22022.880367346937</v>
      </c>
      <c r="BF337" s="63">
        <f t="shared" si="2433"/>
        <v>34542.059765624996</v>
      </c>
      <c r="BG337" s="63">
        <f t="shared" si="2433"/>
        <v>36008.002213438733</v>
      </c>
      <c r="BH337" s="63">
        <f t="shared" si="2433"/>
        <v>30262.338671726757</v>
      </c>
      <c r="BI337" s="1227">
        <f t="shared" si="2433"/>
        <v>30132.835754189953</v>
      </c>
      <c r="BJ337" s="1227">
        <f t="shared" si="2433"/>
        <v>26247.741366906481</v>
      </c>
      <c r="BK337" s="1227">
        <f t="shared" si="2433"/>
        <v>24402.065161290324</v>
      </c>
      <c r="BL337" s="1227">
        <f t="shared" si="2433"/>
        <v>23206.477894736843</v>
      </c>
      <c r="BM337" s="1227">
        <f t="shared" si="2433"/>
        <v>25082.68596187175</v>
      </c>
      <c r="BN337" s="1227">
        <f t="shared" si="2433"/>
        <v>18013.154742951909</v>
      </c>
      <c r="BO337" s="1227">
        <f t="shared" si="2433"/>
        <v>18150.929740368509</v>
      </c>
      <c r="BP337" s="1227">
        <f t="shared" si="2433"/>
        <v>20654.506256281406</v>
      </c>
      <c r="BQ337" s="1227">
        <f t="shared" si="2433"/>
        <v>19963.858512396699</v>
      </c>
      <c r="BR337" s="1227">
        <f t="shared" si="2433"/>
        <v>19323.67121287129</v>
      </c>
      <c r="BS337" s="1227">
        <f t="shared" si="2433"/>
        <v>19295.709570957097</v>
      </c>
      <c r="BT337" s="1227">
        <f t="shared" si="2433"/>
        <v>19083.902898894157</v>
      </c>
      <c r="BU337" s="1227">
        <f t="shared" si="2433"/>
        <v>19655.574173228346</v>
      </c>
      <c r="BV337" s="1227">
        <f t="shared" si="2433"/>
        <v>16582.642216981134</v>
      </c>
      <c r="BW337" s="1227">
        <f t="shared" si="2433"/>
        <v>17164.96485893417</v>
      </c>
      <c r="BX337" s="1227">
        <f t="shared" si="2433"/>
        <v>15177.915130568357</v>
      </c>
      <c r="BY337" s="1227">
        <f t="shared" si="2433"/>
        <v>15699.825686274515</v>
      </c>
      <c r="BZ337" s="1227">
        <f t="shared" si="2433"/>
        <v>14993.836309523809</v>
      </c>
      <c r="CA337" s="1227">
        <f t="shared" si="2433"/>
        <v>15897.278098159512</v>
      </c>
      <c r="CB337" s="1227">
        <f t="shared" ref="CB337:CC337" si="2434">$I$329*CB314*CB265</f>
        <v>15768.24930788804</v>
      </c>
      <c r="CC337" s="1227">
        <f t="shared" si="2434"/>
        <v>16730.081930618395</v>
      </c>
      <c r="CD337" s="1227">
        <f t="shared" si="2433"/>
        <v>17808.026151560171</v>
      </c>
      <c r="CE337" s="1227">
        <f t="shared" ref="CE337:CF337" si="2435">$I$329*CE314*CE265</f>
        <v>13809.302797797798</v>
      </c>
      <c r="CF337" s="1227">
        <f t="shared" si="2435"/>
        <v>14315.486318926974</v>
      </c>
      <c r="CG337" s="1227">
        <f t="shared" ref="CG337:CH337" si="2436">$I$329*CG314*CG265</f>
        <v>12987.247614814816</v>
      </c>
      <c r="CH337" s="1227">
        <f t="shared" si="2436"/>
        <v>13973.690218658892</v>
      </c>
      <c r="CI337" s="1227">
        <f t="shared" ref="CI337:CL337" si="2437">$I$329*CI314*CI265</f>
        <v>16408.487414965984</v>
      </c>
      <c r="CJ337" s="1227">
        <f t="shared" ref="CJ337" si="2438">$I$329*CJ314*CJ265</f>
        <v>15136.479073806076</v>
      </c>
      <c r="CK337" s="1227">
        <f t="shared" si="2437"/>
        <v>16255.25435158501</v>
      </c>
      <c r="CL337" s="367">
        <f t="shared" si="2437"/>
        <v>19546.861555923391</v>
      </c>
      <c r="CM337" s="367">
        <f t="shared" ref="CM337:CP337" si="2439">$I$329*CM314*CM265</f>
        <v>18946.427737981285</v>
      </c>
      <c r="CN337" s="367">
        <f t="shared" si="2439"/>
        <v>15439.657124251695</v>
      </c>
      <c r="CO337" s="367">
        <f t="shared" si="2439"/>
        <v>13634.331783591642</v>
      </c>
      <c r="CP337" s="367">
        <f t="shared" si="2439"/>
        <v>2801.0592601613189</v>
      </c>
      <c r="CQ337" s="367"/>
      <c r="CR337" s="604"/>
      <c r="CS337" s="604"/>
      <c r="CT337" s="367">
        <v>19546.861555923391</v>
      </c>
      <c r="CU337" s="1102"/>
      <c r="CV337" s="63">
        <v>11500</v>
      </c>
      <c r="CW337" s="63">
        <v>31966.666666666668</v>
      </c>
      <c r="CX337" s="63">
        <v>30765.432098765428</v>
      </c>
      <c r="CY337" s="63">
        <v>10710.526315789473</v>
      </c>
      <c r="CZ337" s="63">
        <v>4176.363636363636</v>
      </c>
      <c r="DA337" s="63">
        <v>4161.666666666667</v>
      </c>
      <c r="DB337" s="63">
        <v>8200</v>
      </c>
      <c r="DC337" s="63">
        <v>7616.7664670658687</v>
      </c>
      <c r="DD337" s="63">
        <v>14846.120689655172</v>
      </c>
      <c r="DE337" s="63">
        <v>14124.820143884894</v>
      </c>
      <c r="DF337" s="63">
        <f t="shared" ref="DF337:DS337" si="2440">$I$329*DF314*DF265</f>
        <v>17.587951807228919</v>
      </c>
      <c r="DG337" s="63">
        <f t="shared" si="2440"/>
        <v>9.8301823421052639</v>
      </c>
      <c r="DH337" s="63">
        <f t="shared" si="2440"/>
        <v>15.801174054054062</v>
      </c>
      <c r="DI337" s="63">
        <f t="shared" si="2440"/>
        <v>34.542059765624998</v>
      </c>
      <c r="DJ337" s="63">
        <f t="shared" si="2440"/>
        <v>26.247741366906482</v>
      </c>
      <c r="DK337" s="63">
        <f t="shared" si="2440"/>
        <v>18.013154742951908</v>
      </c>
      <c r="DL337" s="1227">
        <f t="shared" si="2440"/>
        <v>19.32367121287129</v>
      </c>
      <c r="DM337" s="1227">
        <f t="shared" si="2440"/>
        <v>16.582642216981135</v>
      </c>
      <c r="DN337" s="1227">
        <f t="shared" si="2440"/>
        <v>14.993836309523809</v>
      </c>
      <c r="DO337" s="1227">
        <f t="shared" si="2440"/>
        <v>17.808026151560171</v>
      </c>
      <c r="DP337" s="1227">
        <f t="shared" ref="DP337:DQ337" si="2441">$I$329*DP314*DP265</f>
        <v>13.973690218658895</v>
      </c>
      <c r="DQ337" s="1227">
        <f t="shared" si="2441"/>
        <v>19.546861555923389</v>
      </c>
      <c r="DR337" s="1227">
        <f t="shared" ref="DR337" si="2442">$I$329*DR314*DR265</f>
        <v>2.8010592601613187</v>
      </c>
      <c r="DS337" s="367">
        <f t="shared" si="2440"/>
        <v>0.54698743460135024</v>
      </c>
      <c r="DT337" s="367">
        <f t="shared" ref="DT337:DV337" si="2443">$I$329*DT314*DT265</f>
        <v>0.53502398665133422</v>
      </c>
      <c r="DU337" s="367">
        <f t="shared" si="2443"/>
        <v>2.0965974487119912</v>
      </c>
      <c r="DV337" s="367">
        <f t="shared" si="2443"/>
        <v>-2.0568855447593064</v>
      </c>
      <c r="DY337" s="367">
        <v>2.81132331124528</v>
      </c>
      <c r="DZ337" s="367">
        <v>0.5508875170908254</v>
      </c>
    </row>
    <row r="338" spans="1:130">
      <c r="A338" s="45" t="s">
        <v>303</v>
      </c>
      <c r="B338" s="63">
        <v>4633.8983050847455</v>
      </c>
      <c r="C338" s="63">
        <v>4633.8983050847455</v>
      </c>
      <c r="D338" s="63">
        <v>4628.4333333333334</v>
      </c>
      <c r="E338" s="63">
        <v>6828.8360655737706</v>
      </c>
      <c r="F338" s="63">
        <v>6900</v>
      </c>
      <c r="G338" s="63">
        <v>11540.322580645161</v>
      </c>
      <c r="H338" s="63">
        <v>11480.46875</v>
      </c>
      <c r="I338" s="63">
        <v>11483.75</v>
      </c>
      <c r="J338" s="63">
        <v>11416.666666666668</v>
      </c>
      <c r="K338" s="63">
        <v>18200</v>
      </c>
      <c r="L338" s="63">
        <v>20162.5</v>
      </c>
      <c r="M338" s="63">
        <v>22333.333333333336</v>
      </c>
      <c r="N338" s="63">
        <v>30765.432098765428</v>
      </c>
      <c r="O338" s="63">
        <v>32962.962962962964</v>
      </c>
      <c r="P338" s="63">
        <v>35402.298850574713</v>
      </c>
      <c r="Q338" s="63">
        <v>34545.454545454544</v>
      </c>
      <c r="R338" s="63">
        <v>29989.473684210523</v>
      </c>
      <c r="S338" s="63">
        <v>21395.833333333336</v>
      </c>
      <c r="T338" s="63">
        <v>16974.257425742573</v>
      </c>
      <c r="U338" s="63">
        <v>14788.349514563108</v>
      </c>
      <c r="V338" s="63">
        <v>10440.90909090909</v>
      </c>
      <c r="W338" s="63">
        <v>8352.7272727272721</v>
      </c>
      <c r="X338" s="63">
        <v>8368.6956521739139</v>
      </c>
      <c r="Y338" s="63">
        <v>6271.5517241379312</v>
      </c>
      <c r="Z338" s="63">
        <v>4161.666666666667</v>
      </c>
      <c r="AA338" s="63">
        <v>2084.2975206611573</v>
      </c>
      <c r="AB338" s="63">
        <v>2075.1999999999998</v>
      </c>
      <c r="AC338" s="63">
        <v>2072.2222222222222</v>
      </c>
      <c r="AD338" s="63">
        <v>4100</v>
      </c>
      <c r="AE338" s="63">
        <v>6113.3333333333339</v>
      </c>
      <c r="AF338" s="63">
        <v>4011.1111111111113</v>
      </c>
      <c r="AG338" s="63">
        <v>5969.17808219178</v>
      </c>
      <c r="AH338" s="63">
        <v>7616.7664670658687</v>
      </c>
      <c r="AI338" s="63">
        <v>4818</v>
      </c>
      <c r="AJ338" s="63">
        <v>6728.5024154589373</v>
      </c>
      <c r="AK338" s="63">
        <v>4747.3933649289102</v>
      </c>
      <c r="AL338" s="63">
        <v>6598.2758620689656</v>
      </c>
      <c r="AM338" s="63">
        <v>6572.6495726495723</v>
      </c>
      <c r="AN338" s="63">
        <v>6475.7201646090534</v>
      </c>
      <c r="AO338" s="63">
        <v>9647.8087649402405</v>
      </c>
      <c r="AP338" s="63">
        <v>14124.820143884894</v>
      </c>
      <c r="AQ338" s="63">
        <f t="shared" ref="AQ338:CD338" si="2444">$J$329*AQ315*AQ265</f>
        <v>14020.558718861208</v>
      </c>
      <c r="AR338" s="63">
        <f t="shared" si="2444"/>
        <v>15036.303630363034</v>
      </c>
      <c r="AS338" s="63">
        <f t="shared" si="2444"/>
        <v>13301.597444089457</v>
      </c>
      <c r="AT338" s="63">
        <f t="shared" si="2444"/>
        <v>13190.963855421687</v>
      </c>
      <c r="AU338" s="63">
        <f t="shared" si="2444"/>
        <v>14749.999999999998</v>
      </c>
      <c r="AV338" s="63">
        <f t="shared" si="2444"/>
        <v>17330.982857142859</v>
      </c>
      <c r="AW338" s="63">
        <f t="shared" si="2444"/>
        <v>18766.011235955062</v>
      </c>
      <c r="AX338" s="63">
        <f t="shared" si="2444"/>
        <v>16851.741157894736</v>
      </c>
      <c r="AY338" s="63">
        <f t="shared" si="2444"/>
        <v>15267.157803617571</v>
      </c>
      <c r="AZ338" s="63">
        <f t="shared" si="2444"/>
        <v>12180.649411764705</v>
      </c>
      <c r="BA338" s="64">
        <f t="shared" si="2444"/>
        <v>10747.296842105265</v>
      </c>
      <c r="BB338" s="63">
        <f t="shared" si="2444"/>
        <v>9217.3515315315362</v>
      </c>
      <c r="BC338" s="64">
        <f t="shared" si="2444"/>
        <v>9127.6749889135262</v>
      </c>
      <c r="BD338" s="63">
        <f t="shared" si="2444"/>
        <v>10196.211416490487</v>
      </c>
      <c r="BE338" s="63">
        <f t="shared" si="2444"/>
        <v>10363.708408163264</v>
      </c>
      <c r="BF338" s="63">
        <f t="shared" si="2444"/>
        <v>15352.026562499999</v>
      </c>
      <c r="BG338" s="63">
        <f t="shared" si="2444"/>
        <v>16718.001027667986</v>
      </c>
      <c r="BH338" s="63">
        <f t="shared" si="2444"/>
        <v>21435.823225806453</v>
      </c>
      <c r="BI338" s="1227">
        <f t="shared" si="2444"/>
        <v>21344.091992551217</v>
      </c>
      <c r="BJ338" s="1227">
        <f t="shared" si="2444"/>
        <v>33747.096043165475</v>
      </c>
      <c r="BK338" s="1227">
        <f t="shared" si="2444"/>
        <v>35038.862795698929</v>
      </c>
      <c r="BL338" s="1227">
        <f t="shared" si="2444"/>
        <v>30105.701052631579</v>
      </c>
      <c r="BM338" s="1227">
        <f t="shared" si="2444"/>
        <v>30099.223154246098</v>
      </c>
      <c r="BN338" s="1227">
        <f t="shared" si="2444"/>
        <v>26088.01721393035</v>
      </c>
      <c r="BO338" s="1227">
        <f t="shared" si="2444"/>
        <v>24409.871030150753</v>
      </c>
      <c r="BP338" s="1227">
        <f t="shared" si="2444"/>
        <v>23158.082772194306</v>
      </c>
      <c r="BQ338" s="1227">
        <f t="shared" si="2444"/>
        <v>24954.823140495871</v>
      </c>
      <c r="BR338" s="1227">
        <f t="shared" si="2444"/>
        <v>18076.982747524758</v>
      </c>
      <c r="BS338" s="1227">
        <f t="shared" si="2444"/>
        <v>18050.82508250825</v>
      </c>
      <c r="BT338" s="1227">
        <f t="shared" si="2444"/>
        <v>20315.122440758299</v>
      </c>
      <c r="BU338" s="1227">
        <f t="shared" si="2444"/>
        <v>19655.574173228346</v>
      </c>
      <c r="BV338" s="1227">
        <f t="shared" si="2444"/>
        <v>19039.32995283019</v>
      </c>
      <c r="BW338" s="1227">
        <f t="shared" si="2444"/>
        <v>19004.068236677114</v>
      </c>
      <c r="BX338" s="1227">
        <f t="shared" si="2444"/>
        <v>18820.614761904762</v>
      </c>
      <c r="BY338" s="1227">
        <f t="shared" si="2444"/>
        <v>19322.862383107095</v>
      </c>
      <c r="BZ338" s="1227">
        <f t="shared" si="2444"/>
        <v>16193.343214285713</v>
      </c>
      <c r="CA338" s="1227">
        <f t="shared" si="2444"/>
        <v>17120.145644171782</v>
      </c>
      <c r="CB338" s="1227">
        <f t="shared" ref="CB338:CC338" si="2445">$J$329*CB315*CB265</f>
        <v>15161.778180661577</v>
      </c>
      <c r="CC338" s="1227">
        <f t="shared" si="2445"/>
        <v>15535.076078431368</v>
      </c>
      <c r="CD338" s="1227">
        <f t="shared" si="2444"/>
        <v>14840.021792966809</v>
      </c>
      <c r="CE338" s="1227">
        <f t="shared" ref="CE338:CF338" si="2446">$J$329*CE315*CE265</f>
        <v>15610.516206206208</v>
      </c>
      <c r="CF338" s="1227">
        <f t="shared" si="2446"/>
        <v>15508.44351217089</v>
      </c>
      <c r="CG338" s="1227">
        <f t="shared" ref="CG338:CH338" si="2447">$J$329*CG315*CG265</f>
        <v>16529.22423703704</v>
      </c>
      <c r="CH338" s="1227">
        <f t="shared" si="2447"/>
        <v>17467.112773323617</v>
      </c>
      <c r="CI338" s="1227">
        <f t="shared" ref="CI338:CL338" si="2448">$J$329*CI315*CI265</f>
        <v>13478.4003765792</v>
      </c>
      <c r="CJ338" s="1227">
        <f t="shared" ref="CJ338" si="2449">$J$329*CJ315*CJ265</f>
        <v>13972.134529667148</v>
      </c>
      <c r="CK338" s="1227">
        <f t="shared" si="2448"/>
        <v>12771.985561959651</v>
      </c>
      <c r="CL338" s="367">
        <f t="shared" si="2448"/>
        <v>13797.784627710629</v>
      </c>
      <c r="CM338" s="367">
        <f t="shared" ref="CM338:CP338" si="2450">$J$329*CM315*CM265</f>
        <v>16075.756868590181</v>
      </c>
      <c r="CN338" s="367">
        <f t="shared" si="2450"/>
        <v>14867.817971501632</v>
      </c>
      <c r="CO338" s="367">
        <f t="shared" si="2450"/>
        <v>15906.720414190249</v>
      </c>
      <c r="CP338" s="367">
        <f t="shared" si="2450"/>
        <v>19047.202969096968</v>
      </c>
      <c r="CQ338" s="367"/>
      <c r="CR338" s="604"/>
      <c r="CS338" s="604"/>
      <c r="CT338" s="367">
        <v>13797.784627710629</v>
      </c>
      <c r="CU338" s="1102"/>
      <c r="CV338" s="63">
        <v>6900</v>
      </c>
      <c r="CW338" s="63">
        <v>11416.666666666668</v>
      </c>
      <c r="CX338" s="63">
        <v>30765.432098765428</v>
      </c>
      <c r="CY338" s="63">
        <v>29989.473684210523</v>
      </c>
      <c r="CZ338" s="63">
        <v>10440.90909090909</v>
      </c>
      <c r="DA338" s="63">
        <v>4161.666666666667</v>
      </c>
      <c r="DB338" s="63">
        <v>4100</v>
      </c>
      <c r="DC338" s="63">
        <v>7616.7664670658687</v>
      </c>
      <c r="DD338" s="63">
        <v>6598.2758620689656</v>
      </c>
      <c r="DE338" s="63">
        <v>14124.820143884894</v>
      </c>
      <c r="DF338" s="63">
        <f t="shared" ref="DF338:DS338" si="2451">$J$329*DF315*DF265</f>
        <v>13.190963855421687</v>
      </c>
      <c r="DG338" s="63">
        <f t="shared" si="2451"/>
        <v>16.851741157894736</v>
      </c>
      <c r="DH338" s="63">
        <f t="shared" si="2451"/>
        <v>9.217351531531536</v>
      </c>
      <c r="DI338" s="63">
        <f t="shared" si="2451"/>
        <v>15.352026562499997</v>
      </c>
      <c r="DJ338" s="63">
        <f t="shared" si="2451"/>
        <v>33.747096043165477</v>
      </c>
      <c r="DK338" s="63">
        <f t="shared" si="2451"/>
        <v>26.08801721393035</v>
      </c>
      <c r="DL338" s="1227">
        <f t="shared" si="2451"/>
        <v>18.076982747524756</v>
      </c>
      <c r="DM338" s="1227">
        <f t="shared" si="2451"/>
        <v>19.03932995283019</v>
      </c>
      <c r="DN338" s="1227">
        <f t="shared" si="2451"/>
        <v>16.193343214285715</v>
      </c>
      <c r="DO338" s="1227">
        <f t="shared" si="2451"/>
        <v>14.840021792966809</v>
      </c>
      <c r="DP338" s="1227">
        <f t="shared" ref="DP338:DQ338" si="2452">$J$329*DP315*DP265</f>
        <v>17.467112773323617</v>
      </c>
      <c r="DQ338" s="1227">
        <f t="shared" si="2452"/>
        <v>13.797784627710628</v>
      </c>
      <c r="DR338" s="1227">
        <f t="shared" ref="DR338" si="2453">$J$329*DR315*DR265</f>
        <v>19.047202969096968</v>
      </c>
      <c r="DS338" s="367">
        <f t="shared" si="2451"/>
        <v>2.7349371730067511</v>
      </c>
      <c r="DT338" s="367">
        <f t="shared" ref="DT338:DV338" si="2454">$J$329*DT315*DT265</f>
        <v>0.53502398665133422</v>
      </c>
      <c r="DU338" s="367">
        <f t="shared" si="2454"/>
        <v>0.52414936217799779</v>
      </c>
      <c r="DV338" s="367">
        <f t="shared" si="2454"/>
        <v>2.0568855447593064</v>
      </c>
      <c r="DY338" s="367">
        <v>19.116998516467905</v>
      </c>
      <c r="DZ338" s="367">
        <v>2.7544375854541272</v>
      </c>
    </row>
    <row r="339" spans="1:130">
      <c r="A339" s="45" t="s">
        <v>304</v>
      </c>
      <c r="B339" s="63">
        <v>25486.4406779661</v>
      </c>
      <c r="C339" s="63">
        <v>25486.4406779661</v>
      </c>
      <c r="D339" s="63">
        <v>30084.816666666666</v>
      </c>
      <c r="E339" s="63">
        <v>29591.62295081967</v>
      </c>
      <c r="F339" s="63">
        <v>29900</v>
      </c>
      <c r="G339" s="63">
        <v>30004.838709677417</v>
      </c>
      <c r="H339" s="63">
        <v>34441.40625</v>
      </c>
      <c r="I339" s="63">
        <v>36748</v>
      </c>
      <c r="J339" s="63">
        <v>36533.333333333336</v>
      </c>
      <c r="K339" s="63">
        <v>40950</v>
      </c>
      <c r="L339" s="63">
        <v>44805.555555555555</v>
      </c>
      <c r="M339" s="63">
        <v>46900</v>
      </c>
      <c r="N339" s="63">
        <v>46148.148148148146</v>
      </c>
      <c r="O339" s="63">
        <v>57135.8024691358</v>
      </c>
      <c r="P339" s="63">
        <v>64166.666666666664</v>
      </c>
      <c r="Q339" s="63">
        <v>66931.818181818177</v>
      </c>
      <c r="R339" s="63">
        <v>74973.684210526306</v>
      </c>
      <c r="S339" s="63">
        <v>87722.916666666672</v>
      </c>
      <c r="T339" s="63">
        <v>95480.198019801974</v>
      </c>
      <c r="U339" s="63">
        <v>99293.203883495153</v>
      </c>
      <c r="V339" s="63">
        <v>102320.90909090909</v>
      </c>
      <c r="W339" s="63">
        <v>106497.27272727272</v>
      </c>
      <c r="X339" s="63">
        <v>110885.21739130437</v>
      </c>
      <c r="Y339" s="63">
        <v>112887.93103448275</v>
      </c>
      <c r="Z339" s="63">
        <v>112365.00000000001</v>
      </c>
      <c r="AA339" s="63">
        <v>114636.36363636365</v>
      </c>
      <c r="AB339" s="63">
        <v>118286.39999999999</v>
      </c>
      <c r="AC339" s="63">
        <v>118116.66666666666</v>
      </c>
      <c r="AD339" s="63">
        <v>114800</v>
      </c>
      <c r="AE339" s="63">
        <v>114115.55555555556</v>
      </c>
      <c r="AF339" s="63">
        <v>116322.22222222223</v>
      </c>
      <c r="AG339" s="63">
        <v>115404.10958904109</v>
      </c>
      <c r="AH339" s="63">
        <v>110443.11377245509</v>
      </c>
      <c r="AI339" s="63">
        <v>94754</v>
      </c>
      <c r="AJ339" s="63">
        <v>100927.53623188406</v>
      </c>
      <c r="AK339" s="63">
        <v>96530.331753554507</v>
      </c>
      <c r="AL339" s="63">
        <v>102273.27586206897</v>
      </c>
      <c r="AM339" s="63">
        <v>101876.06837606838</v>
      </c>
      <c r="AN339" s="63">
        <v>103611.52263374485</v>
      </c>
      <c r="AO339" s="63">
        <v>102909.96015936256</v>
      </c>
      <c r="AP339" s="63">
        <v>103582.01438848922</v>
      </c>
      <c r="AQ339" s="63">
        <f t="shared" ref="AQ339:CD339" si="2455">AQ316*AQ265</f>
        <v>102817.4306049822</v>
      </c>
      <c r="AR339" s="63">
        <f t="shared" si="2455"/>
        <v>102246.86468646863</v>
      </c>
      <c r="AS339" s="63">
        <f t="shared" si="2455"/>
        <v>103456.86900958467</v>
      </c>
      <c r="AT339" s="63">
        <f t="shared" si="2455"/>
        <v>109924.69879518072</v>
      </c>
      <c r="AU339" s="63">
        <f t="shared" si="2455"/>
        <v>110624.99999999999</v>
      </c>
      <c r="AV339" s="63">
        <f t="shared" si="2455"/>
        <v>112651.38857142857</v>
      </c>
      <c r="AW339" s="63">
        <f t="shared" si="2455"/>
        <v>114039.60674157306</v>
      </c>
      <c r="AX339" s="63">
        <f t="shared" si="2455"/>
        <v>117962.18810526317</v>
      </c>
      <c r="AY339" s="63">
        <f t="shared" si="2455"/>
        <v>117973.49211886304</v>
      </c>
      <c r="AZ339" s="63">
        <f t="shared" si="2455"/>
        <v>121806.49411764705</v>
      </c>
      <c r="BA339" s="64">
        <f t="shared" si="2455"/>
        <v>123593.91368421054</v>
      </c>
      <c r="BB339" s="63">
        <f t="shared" si="2455"/>
        <v>126409.39243243249</v>
      </c>
      <c r="BC339" s="64">
        <f t="shared" si="2455"/>
        <v>125179.54270509978</v>
      </c>
      <c r="BD339" s="63">
        <f t="shared" si="2455"/>
        <v>126178.11627906977</v>
      </c>
      <c r="BE339" s="63">
        <f t="shared" si="2455"/>
        <v>129546.3551020408</v>
      </c>
      <c r="BF339" s="63">
        <f t="shared" si="2455"/>
        <v>131771.56132812498</v>
      </c>
      <c r="BG339" s="63">
        <f t="shared" si="2455"/>
        <v>132458.0081422925</v>
      </c>
      <c r="BH339" s="63">
        <f t="shared" si="2455"/>
        <v>134919.59324478178</v>
      </c>
      <c r="BI339" s="1227">
        <f t="shared" si="2455"/>
        <v>135597.76089385478</v>
      </c>
      <c r="BJ339" s="1227">
        <f t="shared" si="2455"/>
        <v>143737.63129496406</v>
      </c>
      <c r="BK339" s="1227">
        <f t="shared" si="2455"/>
        <v>145161.0030107527</v>
      </c>
      <c r="BL339" s="1227">
        <f t="shared" si="2455"/>
        <v>155546.12210526317</v>
      </c>
      <c r="BM339" s="1227">
        <f t="shared" si="2455"/>
        <v>156766.78726169842</v>
      </c>
      <c r="BN339" s="1227">
        <f t="shared" si="2455"/>
        <v>176404.68782752904</v>
      </c>
      <c r="BO339" s="1227">
        <f t="shared" si="2455"/>
        <v>180257.50914572863</v>
      </c>
      <c r="BP339" s="1227">
        <f t="shared" si="2455"/>
        <v>185264.66217755445</v>
      </c>
      <c r="BQ339" s="1227">
        <f t="shared" si="2455"/>
        <v>185913.43239669426</v>
      </c>
      <c r="BR339" s="1227">
        <f t="shared" si="2455"/>
        <v>203210.21985148519</v>
      </c>
      <c r="BS339" s="1227">
        <f t="shared" si="2455"/>
        <v>203538.61386138614</v>
      </c>
      <c r="BT339" s="1227">
        <f t="shared" si="2455"/>
        <v>204998.05372037919</v>
      </c>
      <c r="BU339" s="1227">
        <f t="shared" si="2455"/>
        <v>207612.00220472441</v>
      </c>
      <c r="BV339" s="1227">
        <f t="shared" si="2455"/>
        <v>218031.03655660379</v>
      </c>
      <c r="BW339" s="1227">
        <f t="shared" si="2455"/>
        <v>218240.267492163</v>
      </c>
      <c r="BX339" s="1227">
        <f t="shared" si="2455"/>
        <v>222204.67751152074</v>
      </c>
      <c r="BY339" s="1227">
        <f t="shared" si="2455"/>
        <v>223420.59630467577</v>
      </c>
      <c r="BZ339" s="1227">
        <f t="shared" si="2455"/>
        <v>231504.83261904761</v>
      </c>
      <c r="CA339" s="1227">
        <f t="shared" si="2455"/>
        <v>236624.87015337427</v>
      </c>
      <c r="CB339" s="1227">
        <f t="shared" ref="CB339:CC339" si="2456">CB316*CB265</f>
        <v>240769.03750890584</v>
      </c>
      <c r="CC339" s="1227">
        <f t="shared" si="2456"/>
        <v>240196.17628959269</v>
      </c>
      <c r="CD339" s="1227">
        <f t="shared" si="2455"/>
        <v>245157.16001981168</v>
      </c>
      <c r="CE339" s="1227">
        <f t="shared" ref="CE339:CF339" si="2457">CE316*CE265</f>
        <v>249167.85482982986</v>
      </c>
      <c r="CF339" s="1227">
        <f t="shared" si="2457"/>
        <v>251713.96777446597</v>
      </c>
      <c r="CG339" s="1227">
        <f t="shared" ref="CG339:CH339" si="2458">CG316*CG265</f>
        <v>252660.99905185189</v>
      </c>
      <c r="CH339" s="1227">
        <f t="shared" si="2458"/>
        <v>255019.8464905248</v>
      </c>
      <c r="CI339" s="1227">
        <f t="shared" ref="CI339:CL339" si="2459">CI316*CI265</f>
        <v>258433.67678571425</v>
      </c>
      <c r="CJ339" s="1227">
        <f t="shared" ref="CJ339" si="2460">CJ316*CJ265</f>
        <v>260813.17788712011</v>
      </c>
      <c r="CK339" s="1227">
        <f t="shared" si="2459"/>
        <v>264728.42801152734</v>
      </c>
      <c r="CL339" s="367">
        <f t="shared" si="2459"/>
        <v>269056.80024035729</v>
      </c>
      <c r="CM339" s="367">
        <f t="shared" ref="CM339:CP339" si="2461">CM316*CM265</f>
        <v>266398.2566794944</v>
      </c>
      <c r="CN339" s="367">
        <f t="shared" si="2461"/>
        <v>269908.08009802963</v>
      </c>
      <c r="CO339" s="367">
        <f t="shared" si="2461"/>
        <v>271550.44135653356</v>
      </c>
      <c r="CP339" s="367">
        <f t="shared" si="2461"/>
        <v>275624.23119987379</v>
      </c>
      <c r="CQ339" s="367"/>
      <c r="CR339" s="604"/>
      <c r="CS339" s="604"/>
      <c r="CT339" s="367">
        <v>269056.80024035729</v>
      </c>
      <c r="CU339" s="1102"/>
      <c r="CV339" s="63">
        <v>29900</v>
      </c>
      <c r="CW339" s="63">
        <v>36533.333333333336</v>
      </c>
      <c r="CX339" s="63">
        <v>46148.148148148146</v>
      </c>
      <c r="CY339" s="63">
        <v>74973.684210526306</v>
      </c>
      <c r="CZ339" s="63">
        <v>102320.90909090909</v>
      </c>
      <c r="DA339" s="63">
        <v>112365.00000000001</v>
      </c>
      <c r="DB339" s="63">
        <v>114800</v>
      </c>
      <c r="DC339" s="63">
        <v>110443.11377245509</v>
      </c>
      <c r="DD339" s="63">
        <v>102273.27586206897</v>
      </c>
      <c r="DE339" s="63">
        <v>103582.01438848922</v>
      </c>
      <c r="DF339" s="63">
        <f t="shared" ref="DF339:DS339" si="2462">DF316*DF265</f>
        <v>109.92469879518073</v>
      </c>
      <c r="DG339" s="63">
        <f t="shared" si="2462"/>
        <v>117.96218810526315</v>
      </c>
      <c r="DH339" s="63">
        <f t="shared" si="2462"/>
        <v>126.4093924324325</v>
      </c>
      <c r="DI339" s="63">
        <f t="shared" si="2462"/>
        <v>131.77156132812499</v>
      </c>
      <c r="DJ339" s="63">
        <f t="shared" si="2462"/>
        <v>143.73763129496405</v>
      </c>
      <c r="DK339" s="63">
        <f t="shared" si="2462"/>
        <v>185.10069356550582</v>
      </c>
      <c r="DL339" s="1227">
        <f t="shared" si="2462"/>
        <v>203.21021985148519</v>
      </c>
      <c r="DM339" s="1227">
        <f t="shared" si="2462"/>
        <v>218.03103655660379</v>
      </c>
      <c r="DN339" s="1227">
        <f t="shared" si="2462"/>
        <v>231.50483261904762</v>
      </c>
      <c r="DO339" s="1227">
        <f t="shared" si="2462"/>
        <v>245.1571600198117</v>
      </c>
      <c r="DP339" s="1227">
        <f t="shared" ref="DP339:DQ339" si="2463">DP316*DP265</f>
        <v>255.01984649052483</v>
      </c>
      <c r="DQ339" s="1227">
        <f t="shared" si="2463"/>
        <v>269.05680024035723</v>
      </c>
      <c r="DR339" s="1227">
        <f t="shared" ref="DR339" si="2464">DR316*DR265</f>
        <v>275.62423119987375</v>
      </c>
      <c r="DS339" s="367">
        <f t="shared" si="2462"/>
        <v>287.71539060031023</v>
      </c>
      <c r="DT339" s="367">
        <f t="shared" ref="DT339:DV339" si="2465">DT316*DT265</f>
        <v>284.09773691185848</v>
      </c>
      <c r="DU339" s="367">
        <f t="shared" si="2465"/>
        <v>278.8474606786948</v>
      </c>
      <c r="DV339" s="367">
        <f t="shared" si="2465"/>
        <v>274.07999883917756</v>
      </c>
      <c r="DY339" s="367">
        <v>276.63421382653559</v>
      </c>
      <c r="DZ339" s="367">
        <v>289.76683398977417</v>
      </c>
    </row>
    <row r="340" spans="1:130" ht="15.75" thickBo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82"/>
      <c r="BJ340" s="682"/>
      <c r="BK340" s="682"/>
      <c r="BL340" s="682"/>
      <c r="BM340" s="682"/>
      <c r="BN340" s="682"/>
      <c r="BO340" s="682"/>
      <c r="BP340" s="682"/>
      <c r="BQ340" s="682"/>
      <c r="BR340" s="682"/>
      <c r="BS340" s="682"/>
      <c r="BT340" s="682"/>
      <c r="BU340" s="682"/>
      <c r="BV340" s="682"/>
      <c r="BW340" s="682"/>
      <c r="BX340" s="682"/>
      <c r="BY340" s="682"/>
      <c r="BZ340" s="682"/>
      <c r="CA340" s="682"/>
      <c r="CB340" s="682"/>
      <c r="CC340" s="682"/>
      <c r="CD340" s="682"/>
      <c r="CE340" s="682"/>
      <c r="CF340" s="682"/>
      <c r="CG340" s="682"/>
      <c r="CH340" s="682"/>
      <c r="CI340" s="682"/>
      <c r="CJ340" s="682"/>
      <c r="CK340" s="682"/>
      <c r="CL340" s="159"/>
      <c r="CM340" s="159"/>
      <c r="CN340" s="159"/>
      <c r="CO340" s="159"/>
      <c r="CP340" s="159"/>
      <c r="CQ340" s="159"/>
      <c r="CR340" s="604"/>
      <c r="CS340" s="604"/>
      <c r="CT340" s="159"/>
      <c r="CU340" s="702"/>
      <c r="CV340" s="6"/>
      <c r="CW340" s="6"/>
      <c r="CX340" s="6"/>
      <c r="CY340" s="6"/>
      <c r="CZ340" s="6"/>
      <c r="DA340" s="6"/>
      <c r="DB340" s="6"/>
      <c r="DC340" s="6"/>
      <c r="DD340" s="6"/>
      <c r="DE340" s="6"/>
      <c r="DF340" s="6"/>
      <c r="DG340" s="6"/>
      <c r="DH340" s="6"/>
      <c r="DI340" s="6"/>
      <c r="DJ340" s="6"/>
      <c r="DK340" s="6"/>
      <c r="DL340" s="682"/>
      <c r="DM340" s="682"/>
      <c r="DN340" s="682"/>
      <c r="DO340" s="682"/>
      <c r="DP340" s="682"/>
      <c r="DQ340" s="682"/>
      <c r="DR340" s="682"/>
      <c r="DS340" s="159"/>
      <c r="DT340" s="159"/>
      <c r="DU340" s="159"/>
      <c r="DV340" s="159"/>
      <c r="DY340" s="159"/>
      <c r="DZ340" s="159"/>
    </row>
    <row r="341" spans="1:130" ht="15.75" thickBot="1">
      <c r="A341" s="6"/>
      <c r="B341" s="6"/>
      <c r="C341" s="69">
        <v>0.6</v>
      </c>
      <c r="D341" s="68">
        <v>0.65</v>
      </c>
      <c r="E341" s="68">
        <v>0.7</v>
      </c>
      <c r="F341" s="68">
        <v>0.8</v>
      </c>
      <c r="G341" s="67">
        <v>0.9</v>
      </c>
      <c r="H341" s="66"/>
      <c r="I341" s="66"/>
      <c r="J341" s="6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82"/>
      <c r="BJ341" s="682"/>
      <c r="BK341" s="682"/>
      <c r="BL341" s="682"/>
      <c r="BM341" s="682"/>
      <c r="BN341" s="682"/>
      <c r="BO341" s="682"/>
      <c r="BP341" s="682"/>
      <c r="BQ341" s="682"/>
      <c r="BR341" s="682"/>
      <c r="BS341" s="682"/>
      <c r="BT341" s="682"/>
      <c r="BU341" s="682"/>
      <c r="BV341" s="682"/>
      <c r="BW341" s="682"/>
      <c r="BX341" s="682"/>
      <c r="BY341" s="682"/>
      <c r="BZ341" s="682"/>
      <c r="CA341" s="682"/>
      <c r="CB341" s="682"/>
      <c r="CC341" s="682"/>
      <c r="CD341" s="682"/>
      <c r="CE341" s="682"/>
      <c r="CF341" s="682"/>
      <c r="CG341" s="682"/>
      <c r="CH341" s="682"/>
      <c r="CI341" s="682"/>
      <c r="CJ341" s="682"/>
      <c r="CK341" s="682"/>
      <c r="CL341" s="159"/>
      <c r="CM341" s="159"/>
      <c r="CN341" s="159"/>
      <c r="CO341" s="159"/>
      <c r="CP341" s="159"/>
      <c r="CQ341" s="159"/>
      <c r="CR341" s="604"/>
      <c r="CS341" s="604"/>
      <c r="CT341" s="159"/>
      <c r="CU341" s="702"/>
      <c r="CV341" s="6"/>
      <c r="CW341" s="6"/>
      <c r="CX341" s="6"/>
      <c r="CY341" s="6"/>
      <c r="CZ341" s="6"/>
      <c r="DA341" s="6"/>
      <c r="DB341" s="6"/>
      <c r="DC341" s="6"/>
      <c r="DD341" s="6"/>
      <c r="DE341" s="6"/>
      <c r="DF341" s="6"/>
      <c r="DG341" s="6"/>
      <c r="DH341" s="6"/>
      <c r="DI341" s="6"/>
      <c r="DJ341" s="6"/>
      <c r="DK341" s="6"/>
      <c r="DL341" s="682"/>
      <c r="DM341" s="682"/>
      <c r="DN341" s="682"/>
      <c r="DO341" s="682"/>
      <c r="DP341" s="682"/>
      <c r="DQ341" s="682"/>
      <c r="DR341" s="682"/>
      <c r="DS341" s="159"/>
      <c r="DT341" s="159"/>
      <c r="DU341" s="159"/>
      <c r="DV341" s="159"/>
      <c r="DY341" s="159"/>
      <c r="DZ341" s="159"/>
    </row>
    <row r="342" spans="1:130">
      <c r="A342" s="40" t="s">
        <v>309</v>
      </c>
      <c r="B342" s="6"/>
      <c r="C342" s="65">
        <v>0</v>
      </c>
      <c r="D342" s="65">
        <v>0</v>
      </c>
      <c r="E342" s="65">
        <v>0</v>
      </c>
      <c r="F342" s="65">
        <v>0</v>
      </c>
      <c r="G342" s="65">
        <v>0</v>
      </c>
      <c r="H342" s="65">
        <v>0</v>
      </c>
      <c r="I342" s="65">
        <v>0</v>
      </c>
      <c r="J342" s="65">
        <v>0</v>
      </c>
      <c r="K342" s="65">
        <v>2730</v>
      </c>
      <c r="L342" s="65">
        <v>5376.666666666667</v>
      </c>
      <c r="M342" s="65">
        <v>6700</v>
      </c>
      <c r="N342" s="65">
        <v>7911.1111111111095</v>
      </c>
      <c r="O342" s="65">
        <v>8130.8641975308637</v>
      </c>
      <c r="P342" s="65">
        <v>12390.80459770115</v>
      </c>
      <c r="Q342" s="65">
        <v>12198.863636363636</v>
      </c>
      <c r="R342" s="65">
        <v>14780.526315789473</v>
      </c>
      <c r="S342" s="65">
        <v>14977.083333333334</v>
      </c>
      <c r="T342" s="65">
        <v>15382.920792079207</v>
      </c>
      <c r="U342" s="65">
        <v>15422.135922330099</v>
      </c>
      <c r="V342" s="65">
        <v>19315.681818181816</v>
      </c>
      <c r="W342" s="65">
        <v>19733.31818181818</v>
      </c>
      <c r="X342" s="65">
        <v>23013.913043478264</v>
      </c>
      <c r="Y342" s="65">
        <v>23204.741379310341</v>
      </c>
      <c r="Z342" s="65">
        <v>25074.041666666672</v>
      </c>
      <c r="AA342" s="65">
        <v>26783.223140495873</v>
      </c>
      <c r="AB342" s="65">
        <v>27911.439999999995</v>
      </c>
      <c r="AC342" s="65">
        <v>28078.611111111109</v>
      </c>
      <c r="AD342" s="65">
        <v>30032.5</v>
      </c>
      <c r="AE342" s="65">
        <v>30362.888888888891</v>
      </c>
      <c r="AF342" s="65">
        <v>32289.444444444445</v>
      </c>
      <c r="AG342" s="65">
        <v>33427.397260273974</v>
      </c>
      <c r="AH342" s="65">
        <v>37893.413173652691</v>
      </c>
      <c r="AI342" s="65">
        <v>81825.7</v>
      </c>
      <c r="AJ342" s="65">
        <v>91002.995169082133</v>
      </c>
      <c r="AK342" s="65">
        <v>89804.857819905214</v>
      </c>
      <c r="AL342" s="65">
        <v>103922.8448275862</v>
      </c>
      <c r="AM342" s="65">
        <v>105819.65811965812</v>
      </c>
      <c r="AN342" s="65">
        <v>112515.63786008231</v>
      </c>
      <c r="AO342" s="65">
        <v>119150.43824701196</v>
      </c>
      <c r="AP342" s="65">
        <v>141405.14388489211</v>
      </c>
      <c r="AQ342" s="65">
        <f t="shared" ref="AQ342:BF342" si="2466">SUM(AQ343:AQ348)</f>
        <v>144139.13282918147</v>
      </c>
      <c r="AR342" s="65">
        <f t="shared" si="2466"/>
        <v>162429.66996699668</v>
      </c>
      <c r="AS342" s="65">
        <f t="shared" si="2466"/>
        <v>170703.83386581467</v>
      </c>
      <c r="AT342" s="65">
        <f t="shared" si="2466"/>
        <v>182511.64156626508</v>
      </c>
      <c r="AU342" s="65">
        <f t="shared" si="2466"/>
        <v>182863.12499999997</v>
      </c>
      <c r="AV342" s="65">
        <f t="shared" si="2466"/>
        <v>195804.00007142857</v>
      </c>
      <c r="AW342" s="65">
        <f t="shared" si="2466"/>
        <v>199930.19662921355</v>
      </c>
      <c r="AX342" s="65">
        <f t="shared" si="2466"/>
        <v>219809.8987282895</v>
      </c>
      <c r="AY342" s="65">
        <f t="shared" si="2466"/>
        <v>225155.87951744185</v>
      </c>
      <c r="AZ342" s="65">
        <f t="shared" si="2466"/>
        <v>242699.43952941173</v>
      </c>
      <c r="BA342" s="65">
        <f t="shared" si="2466"/>
        <v>249605.96915789478</v>
      </c>
      <c r="BB342" s="65">
        <f t="shared" si="2466"/>
        <v>272734.8479954956</v>
      </c>
      <c r="BC342" s="65">
        <f t="shared" si="2466"/>
        <v>276698.94752106431</v>
      </c>
      <c r="BD342" s="65">
        <f t="shared" si="2466"/>
        <v>293937.65724101482</v>
      </c>
      <c r="BE342" s="65">
        <f t="shared" si="2466"/>
        <v>314603.32336530607</v>
      </c>
      <c r="BF342" s="65">
        <f t="shared" si="2466"/>
        <v>331379.89002929686</v>
      </c>
      <c r="BG342" s="65">
        <f t="shared" ref="BG342:BV342" si="2467">SUM(BG343:BG348)</f>
        <v>329344.62024505925</v>
      </c>
      <c r="BH342" s="65">
        <f t="shared" si="2467"/>
        <v>344423.24200759019</v>
      </c>
      <c r="BI342" s="128">
        <f t="shared" si="2467"/>
        <v>351549.75046554941</v>
      </c>
      <c r="BJ342" s="128">
        <f t="shared" si="2467"/>
        <v>364906.09962230222</v>
      </c>
      <c r="BK342" s="128">
        <f t="shared" si="2467"/>
        <v>368064.48284946242</v>
      </c>
      <c r="BL342" s="128">
        <f t="shared" si="2467"/>
        <v>380899.83852631581</v>
      </c>
      <c r="BM342" s="128">
        <f t="shared" si="2467"/>
        <v>383953.21536135179</v>
      </c>
      <c r="BN342" s="128">
        <f t="shared" si="2467"/>
        <v>398339.17712603649</v>
      </c>
      <c r="BO342" s="128">
        <f t="shared" si="2467"/>
        <v>395001.78479815746</v>
      </c>
      <c r="BP342" s="128">
        <f t="shared" si="2467"/>
        <v>396942.05659798993</v>
      </c>
      <c r="BQ342" s="128">
        <f>SUM(BQ343:BQ348)</f>
        <v>402895.61960330588</v>
      </c>
      <c r="BR342" s="128">
        <f t="shared" si="2467"/>
        <v>406046.4331633664</v>
      </c>
      <c r="BS342" s="128">
        <f>SUM(BS343:BS348)</f>
        <v>404618.58085808583</v>
      </c>
      <c r="BT342" s="128">
        <f>SUM(BT343:BT348)</f>
        <v>420307.57110387058</v>
      </c>
      <c r="BU342" s="128">
        <f>SUM(BU343:BU348)</f>
        <v>422594.8447244094</v>
      </c>
      <c r="BV342" s="128">
        <f t="shared" si="2467"/>
        <v>425774.69321933971</v>
      </c>
      <c r="BW342" s="128">
        <f t="shared" ref="BW342:CD342" si="2468">SUM(BW343:BW348)</f>
        <v>426518.72502155171</v>
      </c>
      <c r="BX342" s="128">
        <f t="shared" si="2468"/>
        <v>435727.58756835642</v>
      </c>
      <c r="BY342" s="128">
        <f t="shared" si="2468"/>
        <v>442614.31646304688</v>
      </c>
      <c r="BZ342" s="128">
        <f t="shared" si="2468"/>
        <v>446516.44529761904</v>
      </c>
      <c r="CA342" s="128">
        <f t="shared" si="2468"/>
        <v>433934.54870245408</v>
      </c>
      <c r="CB342" s="128">
        <f t="shared" ref="CB342:CC342" si="2469">SUM(CB343:CB348)</f>
        <v>435567.56357404578</v>
      </c>
      <c r="CC342" s="128">
        <f t="shared" si="2469"/>
        <v>434235.25153846142</v>
      </c>
      <c r="CD342" s="128">
        <f t="shared" si="2468"/>
        <v>442292.00951758277</v>
      </c>
      <c r="CE342" s="128">
        <f t="shared" ref="CE342:CF342" si="2470">SUM(CE343:CE348)</f>
        <v>442227.91198773775</v>
      </c>
      <c r="CF342" s="128">
        <f t="shared" si="2470"/>
        <v>445987.04669423751</v>
      </c>
      <c r="CG342" s="128">
        <f t="shared" ref="CG342:CH342" si="2471">SUM(CG343:CG348)</f>
        <v>444901.78022296302</v>
      </c>
      <c r="CH342" s="128">
        <f t="shared" si="2471"/>
        <v>448351.67303659499</v>
      </c>
      <c r="CI342" s="128">
        <f t="shared" ref="CI342:CL342" si="2472">SUM(CI343:CI348)</f>
        <v>450266.47518889693</v>
      </c>
      <c r="CJ342" s="128">
        <f t="shared" ref="CJ342" si="2473">SUM(CJ343:CJ348)</f>
        <v>453628.63439652673</v>
      </c>
      <c r="CK342" s="128">
        <f t="shared" si="2472"/>
        <v>456946.81071902008</v>
      </c>
      <c r="CL342" s="390">
        <f t="shared" si="2472"/>
        <v>466020.17580092652</v>
      </c>
      <c r="CM342" s="390">
        <f t="shared" ref="CM342:CP342" si="2474">SUM(CM343:CM348)</f>
        <v>466684.96323691175</v>
      </c>
      <c r="CN342" s="390">
        <f t="shared" si="2474"/>
        <v>470595.03075566416</v>
      </c>
      <c r="CO342" s="390">
        <f t="shared" si="2474"/>
        <v>475894.98896311328</v>
      </c>
      <c r="CP342" s="390">
        <f t="shared" si="2474"/>
        <v>486768.07823083404</v>
      </c>
      <c r="CQ342" s="390"/>
      <c r="CR342" s="604"/>
      <c r="CS342" s="604"/>
      <c r="CT342" s="390">
        <v>466020.17580092652</v>
      </c>
      <c r="CU342" s="702"/>
      <c r="CV342" s="65">
        <v>0</v>
      </c>
      <c r="CW342" s="65">
        <v>0</v>
      </c>
      <c r="CX342" s="65">
        <v>7911.1111111111095</v>
      </c>
      <c r="CY342" s="65">
        <v>14780.526315789473</v>
      </c>
      <c r="CZ342" s="65">
        <v>19315.681818181816</v>
      </c>
      <c r="DA342" s="65">
        <v>25074.041666666672</v>
      </c>
      <c r="DB342" s="65">
        <v>30032.5</v>
      </c>
      <c r="DC342" s="65">
        <v>37893.413173652691</v>
      </c>
      <c r="DD342" s="65">
        <v>103922.8448275862</v>
      </c>
      <c r="DE342" s="65">
        <v>141405.14388489211</v>
      </c>
      <c r="DF342" s="65">
        <f t="shared" ref="DF342:DM342" si="2475">SUM(DF343:DF348)</f>
        <v>182.5116415662651</v>
      </c>
      <c r="DG342" s="65">
        <f t="shared" si="2475"/>
        <v>219.80989872828945</v>
      </c>
      <c r="DH342" s="65">
        <f t="shared" si="2475"/>
        <v>272.73484799549561</v>
      </c>
      <c r="DI342" s="65">
        <f t="shared" si="2475"/>
        <v>331.37989002929686</v>
      </c>
      <c r="DJ342" s="65">
        <f t="shared" si="2475"/>
        <v>364.90609962230224</v>
      </c>
      <c r="DK342" s="65">
        <f t="shared" si="2475"/>
        <v>401.81757942122721</v>
      </c>
      <c r="DL342" s="128">
        <f t="shared" si="2475"/>
        <v>410.09817067574267</v>
      </c>
      <c r="DM342" s="128">
        <f t="shared" si="2475"/>
        <v>416.93061737028302</v>
      </c>
      <c r="DN342" s="128">
        <f t="shared" ref="DN342:DS342" si="2476">SUM(DN343:DN348)</f>
        <v>420.12729339285715</v>
      </c>
      <c r="DO342" s="128">
        <f t="shared" si="2476"/>
        <v>422.22830005349164</v>
      </c>
      <c r="DP342" s="128">
        <f t="shared" ref="DP342:DQ342" si="2477">SUM(DP343:DP348)</f>
        <v>419.47271325136671</v>
      </c>
      <c r="DQ342" s="128">
        <f t="shared" si="2477"/>
        <v>424.62682191779459</v>
      </c>
      <c r="DR342" s="128">
        <f t="shared" ref="DR342" si="2478">SUM(DR343:DR348)</f>
        <v>424.02435080322044</v>
      </c>
      <c r="DS342" s="390">
        <f t="shared" si="2476"/>
        <v>423.64176809874573</v>
      </c>
      <c r="DT342" s="390">
        <f t="shared" ref="DT342:DV342" si="2479">SUM(DT343:DT348)</f>
        <v>423.7389974278567</v>
      </c>
      <c r="DU342" s="390">
        <f t="shared" si="2479"/>
        <v>424.98030285392065</v>
      </c>
      <c r="DV342" s="390">
        <f t="shared" si="2479"/>
        <v>427.31797192374592</v>
      </c>
      <c r="DY342" s="390">
        <v>425.57812285631053</v>
      </c>
      <c r="DZ342" s="390">
        <v>426.66238198684425</v>
      </c>
    </row>
    <row r="343" spans="1:130">
      <c r="A343" s="45" t="s">
        <v>296</v>
      </c>
      <c r="B343" s="45"/>
      <c r="C343" s="63">
        <v>0</v>
      </c>
      <c r="D343" s="63">
        <v>0</v>
      </c>
      <c r="E343" s="63">
        <v>0</v>
      </c>
      <c r="F343" s="63">
        <v>0</v>
      </c>
      <c r="G343" s="63">
        <v>0</v>
      </c>
      <c r="H343" s="63">
        <v>0</v>
      </c>
      <c r="I343" s="63">
        <v>0</v>
      </c>
      <c r="J343" s="63">
        <v>0</v>
      </c>
      <c r="K343" s="63">
        <v>2730</v>
      </c>
      <c r="L343" s="63">
        <v>5376.666666666667</v>
      </c>
      <c r="M343" s="63">
        <v>6700</v>
      </c>
      <c r="N343" s="63">
        <v>7911.1111111111095</v>
      </c>
      <c r="O343" s="63">
        <v>5274.0740740740739</v>
      </c>
      <c r="P343" s="63">
        <v>6637.9310344827591</v>
      </c>
      <c r="Q343" s="63">
        <v>5181.8181818181811</v>
      </c>
      <c r="R343" s="63">
        <v>6426.3157894736833</v>
      </c>
      <c r="S343" s="63">
        <v>6418.75</v>
      </c>
      <c r="T343" s="63">
        <v>2546.1386138613857</v>
      </c>
      <c r="U343" s="63">
        <v>2535.1456310679614</v>
      </c>
      <c r="V343" s="63">
        <v>3758.7272727272721</v>
      </c>
      <c r="W343" s="63">
        <v>3758.7272727272721</v>
      </c>
      <c r="X343" s="63">
        <v>6276.5217391304359</v>
      </c>
      <c r="Y343" s="63">
        <v>6271.5517241379312</v>
      </c>
      <c r="Z343" s="63">
        <v>3745.5</v>
      </c>
      <c r="AA343" s="63">
        <v>5002.3140495867774</v>
      </c>
      <c r="AB343" s="63">
        <v>2490.2399999999998</v>
      </c>
      <c r="AC343" s="63">
        <v>2486.6666666666665</v>
      </c>
      <c r="AD343" s="63">
        <v>2460</v>
      </c>
      <c r="AE343" s="63">
        <v>1222.6666666666667</v>
      </c>
      <c r="AF343" s="63">
        <v>2406.6666666666665</v>
      </c>
      <c r="AG343" s="63">
        <v>3581.5068493150679</v>
      </c>
      <c r="AH343" s="63">
        <v>6855.0898203592815</v>
      </c>
      <c r="AI343" s="63">
        <v>5781.5999999999995</v>
      </c>
      <c r="AJ343" s="63">
        <v>6055.652173913043</v>
      </c>
      <c r="AK343" s="63">
        <v>5696.8720379146916</v>
      </c>
      <c r="AL343" s="63">
        <v>5938.4482758620688</v>
      </c>
      <c r="AM343" s="63">
        <v>6408.333333333333</v>
      </c>
      <c r="AN343" s="63">
        <v>8256.5432098765432</v>
      </c>
      <c r="AO343" s="63">
        <v>9647.8087649402405</v>
      </c>
      <c r="AP343" s="63">
        <v>13653.992805755395</v>
      </c>
      <c r="AQ343" s="63">
        <f t="shared" ref="AQ343:CD343" si="2480">$C$341*AQ322*AQ265</f>
        <v>13553.206761565834</v>
      </c>
      <c r="AR343" s="63">
        <f t="shared" si="2480"/>
        <v>14885.940594059404</v>
      </c>
      <c r="AS343" s="63">
        <f t="shared" si="2480"/>
        <v>14188.370607028754</v>
      </c>
      <c r="AT343" s="63">
        <f t="shared" si="2480"/>
        <v>13630.662650602409</v>
      </c>
      <c r="AU343" s="63">
        <f t="shared" si="2480"/>
        <v>13717.499999999996</v>
      </c>
      <c r="AV343" s="63">
        <f t="shared" si="2480"/>
        <v>13431.511714285713</v>
      </c>
      <c r="AW343" s="63">
        <f t="shared" si="2480"/>
        <v>13857.977528089892</v>
      </c>
      <c r="AX343" s="63">
        <f t="shared" si="2480"/>
        <v>11374.925281578948</v>
      </c>
      <c r="AY343" s="63">
        <f t="shared" si="2480"/>
        <v>11658.556868217054</v>
      </c>
      <c r="AZ343" s="63">
        <f t="shared" si="2480"/>
        <v>10150.541176470588</v>
      </c>
      <c r="BA343" s="64">
        <f t="shared" si="2480"/>
        <v>10478.614421052633</v>
      </c>
      <c r="BB343" s="63">
        <f t="shared" si="2480"/>
        <v>9875.7337837837877</v>
      </c>
      <c r="BC343" s="64">
        <f t="shared" si="2480"/>
        <v>10170.837844789357</v>
      </c>
      <c r="BD343" s="63">
        <f t="shared" si="2480"/>
        <v>9941.306131078225</v>
      </c>
      <c r="BE343" s="63">
        <f t="shared" si="2480"/>
        <v>10881.893828571427</v>
      </c>
      <c r="BF343" s="63">
        <f t="shared" si="2480"/>
        <v>11514.019921874999</v>
      </c>
      <c r="BG343" s="63">
        <f t="shared" si="2480"/>
        <v>8873.400545454544</v>
      </c>
      <c r="BH343" s="63">
        <f t="shared" si="2480"/>
        <v>9078.701601518027</v>
      </c>
      <c r="BI343" s="1227">
        <f t="shared" si="2480"/>
        <v>8286.5298324022369</v>
      </c>
      <c r="BJ343" s="1227">
        <f t="shared" si="2480"/>
        <v>8999.2256115107939</v>
      </c>
      <c r="BK343" s="1227">
        <f t="shared" si="2480"/>
        <v>10511.658838709678</v>
      </c>
      <c r="BL343" s="1227">
        <f t="shared" si="2480"/>
        <v>9784.3528421052633</v>
      </c>
      <c r="BM343" s="1227">
        <f t="shared" si="2480"/>
        <v>10534.728103986135</v>
      </c>
      <c r="BN343" s="1227">
        <f t="shared" si="2480"/>
        <v>12671.32264676617</v>
      </c>
      <c r="BO343" s="1227">
        <f t="shared" si="2480"/>
        <v>12392.703753768845</v>
      </c>
      <c r="BP343" s="1227">
        <f t="shared" si="2480"/>
        <v>10139.484889447236</v>
      </c>
      <c r="BQ343" s="1227">
        <f t="shared" si="2480"/>
        <v>8983.7363305785129</v>
      </c>
      <c r="BR343" s="1227">
        <f t="shared" si="2480"/>
        <v>1870.0326980198024</v>
      </c>
      <c r="BS343" s="1227">
        <f t="shared" si="2480"/>
        <v>2614.2574257425745</v>
      </c>
      <c r="BT343" s="1227">
        <f t="shared" si="2480"/>
        <v>8864.7807014218015</v>
      </c>
      <c r="BU343" s="1227">
        <f t="shared" si="2480"/>
        <v>7370.8403149606293</v>
      </c>
      <c r="BV343" s="1227">
        <f t="shared" si="2480"/>
        <v>7370.0632075471713</v>
      </c>
      <c r="BW343" s="1227">
        <f t="shared" si="2480"/>
        <v>7356.4135109717863</v>
      </c>
      <c r="BX343" s="1227">
        <f t="shared" si="2480"/>
        <v>2914.1597050691244</v>
      </c>
      <c r="BY343" s="1227">
        <f t="shared" si="2480"/>
        <v>5434.5550452488706</v>
      </c>
      <c r="BZ343" s="1227">
        <f t="shared" si="2480"/>
        <v>7916.7455714285707</v>
      </c>
      <c r="CA343" s="1227">
        <f t="shared" si="2480"/>
        <v>6236.6244846625777</v>
      </c>
      <c r="CB343" s="1227">
        <f t="shared" ref="CB343:CC343" si="2481">$C$341*CB322*CB265</f>
        <v>4366.5921160305334</v>
      </c>
      <c r="CC343" s="1227">
        <f t="shared" si="2481"/>
        <v>3943.5193122171931</v>
      </c>
      <c r="CD343" s="1227">
        <f t="shared" si="2480"/>
        <v>2493.1236612184239</v>
      </c>
      <c r="CE343" s="1227">
        <f t="shared" ref="CE343:CF343" si="2482">$C$341*CE322*CE265</f>
        <v>2521.698771771772</v>
      </c>
      <c r="CF343" s="1227">
        <f t="shared" si="2482"/>
        <v>2863.0972637853952</v>
      </c>
      <c r="CG343" s="1227">
        <f t="shared" ref="CG343:CH343" si="2483">$C$341*CG322*CG265</f>
        <v>1416.7906488888891</v>
      </c>
      <c r="CH343" s="1227">
        <f t="shared" si="2483"/>
        <v>2096.0535327988337</v>
      </c>
      <c r="CI343" s="1227">
        <f t="shared" ref="CI343:CL343" si="2484">$C$341*CI322*CI265</f>
        <v>3867.7148906705534</v>
      </c>
      <c r="CJ343" s="1227">
        <f t="shared" ref="CJ343" si="2485">$C$341*CJ322*CJ265</f>
        <v>3842.3369956584656</v>
      </c>
      <c r="CK343" s="1227">
        <f t="shared" si="2484"/>
        <v>2786.6150317002875</v>
      </c>
      <c r="CL343" s="367">
        <f t="shared" si="2484"/>
        <v>7588.7815452408458</v>
      </c>
      <c r="CM343" s="367">
        <f t="shared" ref="CM343:CP343" si="2486">$C$341*CM322*CM265</f>
        <v>7578.571095192513</v>
      </c>
      <c r="CN343" s="367">
        <f t="shared" si="2486"/>
        <v>8234.4837996009028</v>
      </c>
      <c r="CO343" s="367">
        <f t="shared" si="2486"/>
        <v>9884.8905431039402</v>
      </c>
      <c r="CP343" s="367">
        <f t="shared" si="2486"/>
        <v>6722.5422243871653</v>
      </c>
      <c r="CQ343" s="367"/>
      <c r="CR343" s="604"/>
      <c r="CS343" s="604"/>
      <c r="CT343" s="367">
        <v>7588.7815452408458</v>
      </c>
      <c r="CU343" s="1102"/>
      <c r="CV343" s="63">
        <v>0</v>
      </c>
      <c r="CW343" s="63">
        <v>0</v>
      </c>
      <c r="CX343" s="63">
        <v>7911.1111111111095</v>
      </c>
      <c r="CY343" s="63">
        <v>6426.3157894736833</v>
      </c>
      <c r="CZ343" s="63">
        <v>3758.7272727272721</v>
      </c>
      <c r="DA343" s="63">
        <v>3745.5</v>
      </c>
      <c r="DB343" s="63">
        <v>2460</v>
      </c>
      <c r="DC343" s="63">
        <v>6855.0898203592815</v>
      </c>
      <c r="DD343" s="63">
        <v>5938.4482758620688</v>
      </c>
      <c r="DE343" s="63">
        <v>13653.992805755395</v>
      </c>
      <c r="DF343" s="63">
        <f t="shared" ref="DF343:DS343" si="2487">$C$341*DF322*DF265</f>
        <v>13.630662650602408</v>
      </c>
      <c r="DG343" s="63">
        <f t="shared" si="2487"/>
        <v>11.374925281578946</v>
      </c>
      <c r="DH343" s="63">
        <f t="shared" si="2487"/>
        <v>9.8757337837837884</v>
      </c>
      <c r="DI343" s="63">
        <f t="shared" si="2487"/>
        <v>11.514019921874999</v>
      </c>
      <c r="DJ343" s="63">
        <f t="shared" si="2487"/>
        <v>8.9992256115107931</v>
      </c>
      <c r="DK343" s="63">
        <f t="shared" si="2487"/>
        <v>7.4537192039800999</v>
      </c>
      <c r="DL343" s="1227">
        <f t="shared" si="2487"/>
        <v>0.37400653960396046</v>
      </c>
      <c r="DM343" s="1227">
        <f t="shared" si="2487"/>
        <v>7.3700632075471706</v>
      </c>
      <c r="DN343" s="1227">
        <f t="shared" si="2487"/>
        <v>7.9167455714285708</v>
      </c>
      <c r="DO343" s="1227">
        <f t="shared" si="2487"/>
        <v>2.4931236612184242</v>
      </c>
      <c r="DP343" s="1227">
        <f t="shared" ref="DP343:DQ343" si="2488">$C$341*DP322*DP265</f>
        <v>2.0960535327988339</v>
      </c>
      <c r="DQ343" s="1227">
        <f t="shared" si="2488"/>
        <v>7.5887815452408454</v>
      </c>
      <c r="DR343" s="1227">
        <f t="shared" ref="DR343" si="2489">$C$341*DR322*DR265</f>
        <v>6.7225422243871655</v>
      </c>
      <c r="DS343" s="367">
        <f t="shared" si="2487"/>
        <v>6.5638492152162033</v>
      </c>
      <c r="DT343" s="367">
        <f t="shared" ref="DT343:DV343" si="2490">$C$341*DT322*DT265</f>
        <v>6.4202878398160106</v>
      </c>
      <c r="DU343" s="367">
        <f t="shared" si="2490"/>
        <v>6.2897923461359735</v>
      </c>
      <c r="DV343" s="367">
        <f t="shared" si="2490"/>
        <v>6.1706566342779192</v>
      </c>
      <c r="DY343" s="367">
        <v>6.7471759469886727</v>
      </c>
      <c r="DZ343" s="367">
        <v>6.6106502050899048</v>
      </c>
    </row>
    <row r="344" spans="1:130">
      <c r="A344" s="45" t="s">
        <v>297</v>
      </c>
      <c r="B344" s="45"/>
      <c r="C344" s="63">
        <v>0</v>
      </c>
      <c r="D344" s="63">
        <v>0</v>
      </c>
      <c r="E344" s="63">
        <v>0</v>
      </c>
      <c r="F344" s="63">
        <v>0</v>
      </c>
      <c r="G344" s="63">
        <v>0</v>
      </c>
      <c r="H344" s="63">
        <v>0</v>
      </c>
      <c r="I344" s="63">
        <v>0</v>
      </c>
      <c r="J344" s="63">
        <v>0</v>
      </c>
      <c r="K344" s="63">
        <v>0</v>
      </c>
      <c r="L344" s="63">
        <v>0</v>
      </c>
      <c r="M344" s="63">
        <v>0</v>
      </c>
      <c r="N344" s="63">
        <v>0</v>
      </c>
      <c r="O344" s="63">
        <v>2856.7901234567898</v>
      </c>
      <c r="P344" s="63">
        <v>5752.8735632183907</v>
      </c>
      <c r="Q344" s="63">
        <v>7017.045454545454</v>
      </c>
      <c r="R344" s="63">
        <v>8354.21052631579</v>
      </c>
      <c r="S344" s="63">
        <v>5562.916666666667</v>
      </c>
      <c r="T344" s="63">
        <v>6895.7920792079203</v>
      </c>
      <c r="U344" s="63">
        <v>5492.8155339805835</v>
      </c>
      <c r="V344" s="63">
        <v>6786.5909090909081</v>
      </c>
      <c r="W344" s="63">
        <v>6786.5909090909081</v>
      </c>
      <c r="X344" s="63">
        <v>2719.826086956522</v>
      </c>
      <c r="Y344" s="63">
        <v>2717.6724137931033</v>
      </c>
      <c r="Z344" s="63">
        <v>4057.6250000000005</v>
      </c>
      <c r="AA344" s="63">
        <v>4064.3801652892571</v>
      </c>
      <c r="AB344" s="63">
        <v>6744.4</v>
      </c>
      <c r="AC344" s="63">
        <v>6734.7222222222217</v>
      </c>
      <c r="AD344" s="63">
        <v>3997.5000000000005</v>
      </c>
      <c r="AE344" s="63">
        <v>5298.2222222222226</v>
      </c>
      <c r="AF344" s="63">
        <v>2607.2222222222226</v>
      </c>
      <c r="AG344" s="63">
        <v>2586.6438356164381</v>
      </c>
      <c r="AH344" s="63">
        <v>2475.4491017964074</v>
      </c>
      <c r="AI344" s="63">
        <v>1043.9000000000001</v>
      </c>
      <c r="AJ344" s="63">
        <v>2186.7632850241548</v>
      </c>
      <c r="AK344" s="63">
        <v>3085.8056872037919</v>
      </c>
      <c r="AL344" s="63">
        <v>6433.3189655172418</v>
      </c>
      <c r="AM344" s="63">
        <v>6408.3333333333339</v>
      </c>
      <c r="AN344" s="63">
        <v>6313.8271604938273</v>
      </c>
      <c r="AO344" s="63">
        <v>6271.0756972111567</v>
      </c>
      <c r="AP344" s="63">
        <v>6120.7553956834545</v>
      </c>
      <c r="AQ344" s="63">
        <f t="shared" ref="AQ344:CD344" si="2491">$D$341*AQ323*AQ265</f>
        <v>6581.873398576513</v>
      </c>
      <c r="AR344" s="63">
        <f t="shared" si="2491"/>
        <v>8307.5577557755769</v>
      </c>
      <c r="AS344" s="63">
        <f t="shared" si="2491"/>
        <v>9606.7092651757193</v>
      </c>
      <c r="AT344" s="63">
        <f t="shared" si="2491"/>
        <v>13813.870481927712</v>
      </c>
      <c r="AU344" s="63">
        <f t="shared" si="2491"/>
        <v>13901.874999999998</v>
      </c>
      <c r="AV344" s="63">
        <f t="shared" si="2491"/>
        <v>15489.565928571428</v>
      </c>
      <c r="AW344" s="63">
        <f t="shared" si="2491"/>
        <v>15012.808988764049</v>
      </c>
      <c r="AX344" s="63">
        <f t="shared" si="2491"/>
        <v>14148.441013815791</v>
      </c>
      <c r="AY344" s="63">
        <f t="shared" si="2491"/>
        <v>13983.328624677002</v>
      </c>
      <c r="AZ344" s="63">
        <f t="shared" si="2491"/>
        <v>13635.560313725489</v>
      </c>
      <c r="BA344" s="64">
        <f t="shared" si="2491"/>
        <v>13971.485894736845</v>
      </c>
      <c r="BB344" s="63">
        <f t="shared" si="2491"/>
        <v>11554.608527027032</v>
      </c>
      <c r="BC344" s="64">
        <f t="shared" si="2491"/>
        <v>11865.977485587584</v>
      </c>
      <c r="BD344" s="63">
        <f t="shared" si="2491"/>
        <v>10355.527219873151</v>
      </c>
      <c r="BE344" s="63">
        <f t="shared" si="2491"/>
        <v>10946.667006122449</v>
      </c>
      <c r="BF344" s="63">
        <f t="shared" si="2491"/>
        <v>10394.601318359373</v>
      </c>
      <c r="BG344" s="63">
        <f t="shared" si="2491"/>
        <v>10866.700667984191</v>
      </c>
      <c r="BH344" s="63">
        <f t="shared" si="2491"/>
        <v>10654.865074003797</v>
      </c>
      <c r="BI344" s="1227">
        <f t="shared" si="2491"/>
        <v>11425.366890130355</v>
      </c>
      <c r="BJ344" s="1227">
        <f t="shared" si="2491"/>
        <v>12186.451348920868</v>
      </c>
      <c r="BK344" s="1227">
        <f t="shared" si="2491"/>
        <v>9354.1249784946249</v>
      </c>
      <c r="BL344" s="1227">
        <f t="shared" si="2491"/>
        <v>9784.3528421052652</v>
      </c>
      <c r="BM344" s="1227">
        <f t="shared" si="2491"/>
        <v>8967.0602313691506</v>
      </c>
      <c r="BN344" s="1227">
        <f t="shared" si="2491"/>
        <v>9689.8349651741319</v>
      </c>
      <c r="BO344" s="1227">
        <f t="shared" si="2491"/>
        <v>11391.273147403685</v>
      </c>
      <c r="BP344" s="1227">
        <f t="shared" si="2491"/>
        <v>10577.610779731995</v>
      </c>
      <c r="BQ344" s="1227">
        <f t="shared" si="2491"/>
        <v>11354.444528925622</v>
      </c>
      <c r="BR344" s="1227">
        <f t="shared" si="2491"/>
        <v>13775.907542079212</v>
      </c>
      <c r="BS344" s="1227">
        <f t="shared" si="2491"/>
        <v>13351.386138613861</v>
      </c>
      <c r="BT344" s="1227">
        <f t="shared" si="2491"/>
        <v>10803.951479857822</v>
      </c>
      <c r="BU344" s="1227">
        <f t="shared" si="2491"/>
        <v>9582.09240944882</v>
      </c>
      <c r="BV344" s="1227">
        <f t="shared" si="2491"/>
        <v>1996.0587853773588</v>
      </c>
      <c r="BW344" s="1227">
        <f t="shared" si="2491"/>
        <v>2789.3067895768022</v>
      </c>
      <c r="BX344" s="1227">
        <f t="shared" si="2491"/>
        <v>9471.0190414746558</v>
      </c>
      <c r="BY344" s="1227">
        <f t="shared" si="2491"/>
        <v>7849.9128431372574</v>
      </c>
      <c r="BZ344" s="1227">
        <f t="shared" si="2491"/>
        <v>7796.7948809523805</v>
      </c>
      <c r="CA344" s="1227">
        <f t="shared" si="2491"/>
        <v>7948.6390490797558</v>
      </c>
      <c r="CB344" s="1227">
        <f t="shared" ref="CB344:CC344" si="2492">$D$341*CB323*CB265</f>
        <v>3153.6498615776081</v>
      </c>
      <c r="CC344" s="1227">
        <f t="shared" si="2492"/>
        <v>5825.653529411763</v>
      </c>
      <c r="CD344" s="1227">
        <f t="shared" si="2491"/>
        <v>8488.4924655770155</v>
      </c>
      <c r="CE344" s="1227">
        <f t="shared" ref="CE344:CF344" si="2493">$D$341*CE323*CE265</f>
        <v>6634.4693876376386</v>
      </c>
      <c r="CF344" s="1227">
        <f t="shared" si="2493"/>
        <v>4652.5330536512674</v>
      </c>
      <c r="CG344" s="1227">
        <f t="shared" ref="CG344:CH344" si="2494">$D$341*CG323*CG265</f>
        <v>4220.8554748148154</v>
      </c>
      <c r="CH344" s="1227">
        <f t="shared" si="2494"/>
        <v>2649.1787706207483</v>
      </c>
      <c r="CI344" s="1227">
        <f t="shared" ref="CI344:CL344" si="2495">$D$341*CI323*CI265</f>
        <v>2666.3792049319723</v>
      </c>
      <c r="CJ344" s="1227">
        <f t="shared" ref="CJ344" si="2496">$D$341*CJ323*CJ265</f>
        <v>3027.2958147612153</v>
      </c>
      <c r="CK344" s="1227">
        <f t="shared" si="2495"/>
        <v>1509.4164755043225</v>
      </c>
      <c r="CL344" s="367">
        <f t="shared" si="2495"/>
        <v>2242.1400020029773</v>
      </c>
      <c r="CM344" s="367">
        <f t="shared" ref="CM344:CP344" si="2497">$D$341*CM323*CM265</f>
        <v>4105.0593432292781</v>
      </c>
      <c r="CN344" s="367">
        <f t="shared" si="2497"/>
        <v>4088.6499421629492</v>
      </c>
      <c r="CO344" s="367">
        <f t="shared" si="2497"/>
        <v>2954.1052197781892</v>
      </c>
      <c r="CP344" s="367">
        <f t="shared" si="2497"/>
        <v>8011.0294840613724</v>
      </c>
      <c r="CQ344" s="367"/>
      <c r="CR344" s="604"/>
      <c r="CS344" s="604"/>
      <c r="CT344" s="367">
        <v>2242.1400020029773</v>
      </c>
      <c r="CU344" s="1102"/>
      <c r="CV344" s="63">
        <v>0</v>
      </c>
      <c r="CW344" s="63">
        <v>0</v>
      </c>
      <c r="CX344" s="63">
        <v>0</v>
      </c>
      <c r="CY344" s="63">
        <v>8354.21052631579</v>
      </c>
      <c r="CZ344" s="63">
        <v>6786.5909090909081</v>
      </c>
      <c r="DA344" s="63">
        <v>4057.6250000000005</v>
      </c>
      <c r="DB344" s="63">
        <v>3997.5000000000005</v>
      </c>
      <c r="DC344" s="63">
        <v>2475.4491017964074</v>
      </c>
      <c r="DD344" s="63">
        <v>6433.3189655172418</v>
      </c>
      <c r="DE344" s="63">
        <v>6120.7553956834545</v>
      </c>
      <c r="DF344" s="63">
        <f t="shared" ref="DF344:DS344" si="2498">$D$341*DF323*DF265</f>
        <v>13.813870481927713</v>
      </c>
      <c r="DG344" s="63">
        <f t="shared" si="2498"/>
        <v>14.148441013815791</v>
      </c>
      <c r="DH344" s="63">
        <f t="shared" si="2498"/>
        <v>11.554608527027034</v>
      </c>
      <c r="DI344" s="63">
        <f t="shared" si="2498"/>
        <v>10.394601318359374</v>
      </c>
      <c r="DJ344" s="63">
        <f t="shared" si="2498"/>
        <v>12.186451348920865</v>
      </c>
      <c r="DK344" s="63">
        <f t="shared" si="2498"/>
        <v>9.6898349651741302</v>
      </c>
      <c r="DL344" s="1227">
        <f t="shared" si="2498"/>
        <v>8.1034750247524769</v>
      </c>
      <c r="DM344" s="1227">
        <f t="shared" si="2498"/>
        <v>0.39921175707547174</v>
      </c>
      <c r="DN344" s="1227">
        <f t="shared" si="2498"/>
        <v>7.7967948809523806</v>
      </c>
      <c r="DO344" s="1227">
        <f t="shared" si="2498"/>
        <v>8.488492465577016</v>
      </c>
      <c r="DP344" s="1227">
        <f t="shared" ref="DP344:DQ344" si="2499">$D$341*DP323*DP265</f>
        <v>2.6491787706207486</v>
      </c>
      <c r="DQ344" s="1227">
        <f t="shared" si="2499"/>
        <v>2.2421400020029774</v>
      </c>
      <c r="DR344" s="1227">
        <f t="shared" ref="DR344" si="2500">$D$341*DR323*DR265</f>
        <v>8.0110294840613729</v>
      </c>
      <c r="DS344" s="367">
        <f t="shared" si="2498"/>
        <v>7.1108366498175535</v>
      </c>
      <c r="DT344" s="367">
        <f t="shared" ref="DT344:DV344" si="2501">$D$341*DT323*DT265</f>
        <v>6.9553118264673444</v>
      </c>
      <c r="DU344" s="367">
        <f t="shared" si="2501"/>
        <v>6.8139417083139708</v>
      </c>
      <c r="DV344" s="367">
        <f t="shared" si="2501"/>
        <v>6.684878020467746</v>
      </c>
      <c r="DY344" s="367">
        <v>8.0403846701615009</v>
      </c>
      <c r="DZ344" s="367">
        <v>7.1615377221807304</v>
      </c>
    </row>
    <row r="345" spans="1:130">
      <c r="A345" s="45" t="s">
        <v>298</v>
      </c>
      <c r="B345" s="45"/>
      <c r="C345" s="63">
        <v>0</v>
      </c>
      <c r="D345" s="63">
        <v>0</v>
      </c>
      <c r="E345" s="63">
        <v>0</v>
      </c>
      <c r="F345" s="63">
        <v>0</v>
      </c>
      <c r="G345" s="63">
        <v>0</v>
      </c>
      <c r="H345" s="63">
        <v>0</v>
      </c>
      <c r="I345" s="63">
        <v>0</v>
      </c>
      <c r="J345" s="63">
        <v>0</v>
      </c>
      <c r="K345" s="63">
        <v>0</v>
      </c>
      <c r="L345" s="63">
        <v>0</v>
      </c>
      <c r="M345" s="63">
        <v>0</v>
      </c>
      <c r="N345" s="63">
        <v>0</v>
      </c>
      <c r="O345" s="63">
        <v>0</v>
      </c>
      <c r="P345" s="63">
        <v>0</v>
      </c>
      <c r="Q345" s="63">
        <v>0</v>
      </c>
      <c r="R345" s="63">
        <v>0</v>
      </c>
      <c r="S345" s="63">
        <v>2995.4166666666665</v>
      </c>
      <c r="T345" s="63">
        <v>5940.9900990099004</v>
      </c>
      <c r="U345" s="63">
        <v>7394.1747572815539</v>
      </c>
      <c r="V345" s="63">
        <v>8770.3636363636342</v>
      </c>
      <c r="W345" s="63">
        <v>5846.9090909090901</v>
      </c>
      <c r="X345" s="63">
        <v>7322.6086956521749</v>
      </c>
      <c r="Y345" s="63">
        <v>5853.4482758620679</v>
      </c>
      <c r="Z345" s="63">
        <v>7282.916666666667</v>
      </c>
      <c r="AA345" s="63">
        <v>7295.0413223140504</v>
      </c>
      <c r="AB345" s="63">
        <v>2905.2799999999997</v>
      </c>
      <c r="AC345" s="63">
        <v>2901.1111111111109</v>
      </c>
      <c r="AD345" s="63">
        <v>4304.9999999999991</v>
      </c>
      <c r="AE345" s="63">
        <v>4279.333333333333</v>
      </c>
      <c r="AF345" s="63">
        <v>7019.4444444444453</v>
      </c>
      <c r="AG345" s="63">
        <v>6964.0410958904104</v>
      </c>
      <c r="AH345" s="63">
        <v>3998.8023952095805</v>
      </c>
      <c r="AI345" s="63">
        <v>4496.7999999999993</v>
      </c>
      <c r="AJ345" s="63">
        <v>2354.9758454106277</v>
      </c>
      <c r="AK345" s="63">
        <v>2215.4502369668244</v>
      </c>
      <c r="AL345" s="63">
        <v>2309.3965517241377</v>
      </c>
      <c r="AM345" s="63">
        <v>1150.2136752136751</v>
      </c>
      <c r="AN345" s="63">
        <v>2266.5020576131687</v>
      </c>
      <c r="AO345" s="63">
        <v>3376.7330677290834</v>
      </c>
      <c r="AP345" s="63">
        <v>6591.5827338129493</v>
      </c>
      <c r="AQ345" s="63">
        <f t="shared" ref="AQ345:CD345" si="2502">$E$341*AQ324*AQ265</f>
        <v>6542.9274021352294</v>
      </c>
      <c r="AR345" s="63">
        <f t="shared" si="2502"/>
        <v>6315.2475247524735</v>
      </c>
      <c r="AS345" s="63">
        <f t="shared" si="2502"/>
        <v>6207.4121405750784</v>
      </c>
      <c r="AT345" s="63">
        <f t="shared" si="2502"/>
        <v>6155.7831325301195</v>
      </c>
      <c r="AU345" s="63">
        <f t="shared" si="2502"/>
        <v>6711.2499999999991</v>
      </c>
      <c r="AV345" s="63">
        <f t="shared" si="2502"/>
        <v>8593.2789999999986</v>
      </c>
      <c r="AW345" s="63">
        <f t="shared" si="2502"/>
        <v>10104.775280898879</v>
      </c>
      <c r="AX345" s="63">
        <f t="shared" si="2502"/>
        <v>14253.764396052631</v>
      </c>
      <c r="AY345" s="63">
        <f t="shared" si="2502"/>
        <v>14087.422882428937</v>
      </c>
      <c r="AZ345" s="63">
        <f t="shared" si="2502"/>
        <v>15631.833411764703</v>
      </c>
      <c r="BA345" s="64">
        <f t="shared" si="2502"/>
        <v>15046.215578947369</v>
      </c>
      <c r="BB345" s="63">
        <f t="shared" si="2502"/>
        <v>14286.89487387388</v>
      </c>
      <c r="BC345" s="64">
        <f t="shared" si="2502"/>
        <v>14147.896232815965</v>
      </c>
      <c r="BD345" s="63">
        <f t="shared" si="2502"/>
        <v>13828.611733615222</v>
      </c>
      <c r="BE345" s="63">
        <f t="shared" si="2502"/>
        <v>14509.191771428568</v>
      </c>
      <c r="BF345" s="63">
        <f t="shared" si="2502"/>
        <v>12089.720917968747</v>
      </c>
      <c r="BG345" s="63">
        <f t="shared" si="2502"/>
        <v>12602.800774703555</v>
      </c>
      <c r="BH345" s="63">
        <f t="shared" si="2502"/>
        <v>11033.14430740038</v>
      </c>
      <c r="BI345" s="1227">
        <f t="shared" si="2502"/>
        <v>11425.366890130355</v>
      </c>
      <c r="BJ345" s="1227">
        <f t="shared" si="2502"/>
        <v>10936.558902877701</v>
      </c>
      <c r="BK345" s="1227">
        <f t="shared" si="2502"/>
        <v>11387.630408602152</v>
      </c>
      <c r="BL345" s="1227">
        <f t="shared" si="2502"/>
        <v>11415.078315789475</v>
      </c>
      <c r="BM345" s="1227">
        <f t="shared" si="2502"/>
        <v>12290.516121317156</v>
      </c>
      <c r="BN345" s="1227">
        <f t="shared" si="2502"/>
        <v>13044.008606965175</v>
      </c>
      <c r="BO345" s="1227">
        <f t="shared" si="2502"/>
        <v>10076.895476549413</v>
      </c>
      <c r="BP345" s="1227">
        <f t="shared" si="2502"/>
        <v>10515.021366834169</v>
      </c>
      <c r="BQ345" s="1227">
        <f t="shared" si="2502"/>
        <v>9607.6069090909095</v>
      </c>
      <c r="BR345" s="1227">
        <f t="shared" si="2502"/>
        <v>10472.183108910891</v>
      </c>
      <c r="BS345" s="1227">
        <f t="shared" si="2502"/>
        <v>12199.867986798679</v>
      </c>
      <c r="BT345" s="1227">
        <f t="shared" si="2502"/>
        <v>11204.097830963667</v>
      </c>
      <c r="BU345" s="1227">
        <f t="shared" si="2502"/>
        <v>12039.03918110236</v>
      </c>
      <c r="BV345" s="1227">
        <f t="shared" si="2502"/>
        <v>14617.292028301887</v>
      </c>
      <c r="BW345" s="1227">
        <f t="shared" si="2502"/>
        <v>14161.096008620689</v>
      </c>
      <c r="BX345" s="1227">
        <f t="shared" si="2502"/>
        <v>11474.503838709677</v>
      </c>
      <c r="BY345" s="1227">
        <f t="shared" si="2502"/>
        <v>10144.502751131224</v>
      </c>
      <c r="BZ345" s="1227">
        <f t="shared" si="2502"/>
        <v>2099.1370833333331</v>
      </c>
      <c r="CA345" s="1227">
        <f t="shared" si="2502"/>
        <v>2996.0254877300617</v>
      </c>
      <c r="CB345" s="1227">
        <f t="shared" ref="CB345:CC345" si="2503">$E$341*CB324*CB265</f>
        <v>10188.714937404578</v>
      </c>
      <c r="CC345" s="1227">
        <f t="shared" si="2503"/>
        <v>8365.0409653091974</v>
      </c>
      <c r="CD345" s="1227">
        <f t="shared" si="2502"/>
        <v>8310.4122040614129</v>
      </c>
      <c r="CE345" s="1227">
        <f t="shared" ref="CE345:CF345" si="2504">$E$341*CE324*CE265</f>
        <v>8405.6625725725735</v>
      </c>
      <c r="CF345" s="1227">
        <f t="shared" si="2504"/>
        <v>3340.2801410829607</v>
      </c>
      <c r="CG345" s="1227">
        <f t="shared" ref="CG345:CH345" si="2505">$E$341*CG324*CG265</f>
        <v>6198.4590888888897</v>
      </c>
      <c r="CH345" s="1227">
        <f t="shared" si="2505"/>
        <v>8966.4512236394548</v>
      </c>
      <c r="CI345" s="1227">
        <f t="shared" ref="CI345:CL345" si="2506">$E$341*CI324*CI265</f>
        <v>6973.607151360542</v>
      </c>
      <c r="CJ345" s="1227">
        <f t="shared" ref="CJ345" si="2507">$E$341*CJ324*CJ265</f>
        <v>4890.2470853835011</v>
      </c>
      <c r="CK345" s="1227">
        <f t="shared" si="2506"/>
        <v>4470.1949466858778</v>
      </c>
      <c r="CL345" s="367">
        <f t="shared" si="2506"/>
        <v>2817.0476948242531</v>
      </c>
      <c r="CM345" s="367">
        <f t="shared" ref="CM345:CP345" si="2508">$E$341*CM324*CM265</f>
        <v>2813.2574520032813</v>
      </c>
      <c r="CN345" s="367">
        <f t="shared" si="2508"/>
        <v>3202.2992554003513</v>
      </c>
      <c r="CO345" s="367">
        <f t="shared" si="2508"/>
        <v>1590.6720414190249</v>
      </c>
      <c r="CP345" s="367">
        <f t="shared" si="2508"/>
        <v>2352.8897785355075</v>
      </c>
      <c r="CQ345" s="367"/>
      <c r="CR345" s="604"/>
      <c r="CS345" s="604"/>
      <c r="CT345" s="367">
        <v>2817.0476948242531</v>
      </c>
      <c r="CU345" s="1102"/>
      <c r="CV345" s="63">
        <v>0</v>
      </c>
      <c r="CW345" s="63">
        <v>0</v>
      </c>
      <c r="CX345" s="63">
        <v>0</v>
      </c>
      <c r="CY345" s="63">
        <v>0</v>
      </c>
      <c r="CZ345" s="63">
        <v>8770.3636363636342</v>
      </c>
      <c r="DA345" s="63">
        <v>7282.916666666667</v>
      </c>
      <c r="DB345" s="63">
        <v>4304.9999999999991</v>
      </c>
      <c r="DC345" s="63">
        <v>3998.8023952095805</v>
      </c>
      <c r="DD345" s="63">
        <v>2309.3965517241377</v>
      </c>
      <c r="DE345" s="63">
        <v>6591.5827338129493</v>
      </c>
      <c r="DF345" s="63">
        <f t="shared" ref="DF345:DS345" si="2509">$E$341*DF324*DF265</f>
        <v>6.1557831325301198</v>
      </c>
      <c r="DG345" s="63">
        <f t="shared" si="2509"/>
        <v>14.253764396052629</v>
      </c>
      <c r="DH345" s="63">
        <f t="shared" si="2509"/>
        <v>14.28689487387388</v>
      </c>
      <c r="DI345" s="63">
        <f t="shared" si="2509"/>
        <v>12.089720917968748</v>
      </c>
      <c r="DJ345" s="63">
        <f t="shared" si="2509"/>
        <v>10.936558902877699</v>
      </c>
      <c r="DK345" s="63">
        <f t="shared" si="2509"/>
        <v>13.044008606965175</v>
      </c>
      <c r="DL345" s="1227">
        <f t="shared" si="2509"/>
        <v>10.472183108910892</v>
      </c>
      <c r="DM345" s="1227">
        <f t="shared" si="2509"/>
        <v>8.5984070754716981</v>
      </c>
      <c r="DN345" s="1227">
        <f t="shared" si="2509"/>
        <v>0.41982741666666662</v>
      </c>
      <c r="DO345" s="1227">
        <f t="shared" si="2509"/>
        <v>8.3104122040614126</v>
      </c>
      <c r="DP345" s="1227">
        <f t="shared" ref="DP345:DQ345" si="2510">$E$341*DP324*DP265</f>
        <v>8.9664512236394565</v>
      </c>
      <c r="DQ345" s="1227">
        <f t="shared" si="2510"/>
        <v>2.8170476948242529</v>
      </c>
      <c r="DR345" s="1227">
        <f t="shared" ref="DR345" si="2511">$E$341*DR324*DR265</f>
        <v>2.3528897785355074</v>
      </c>
      <c r="DS345" s="367">
        <f t="shared" si="2509"/>
        <v>8.4236064928607934</v>
      </c>
      <c r="DT345" s="367">
        <f t="shared" ref="DT345:DV345" si="2512">$E$341*DT324*DT265</f>
        <v>7.490335813118679</v>
      </c>
      <c r="DU345" s="367">
        <f t="shared" si="2512"/>
        <v>7.3380910704919691</v>
      </c>
      <c r="DV345" s="367">
        <f t="shared" si="2512"/>
        <v>7.199099406657572</v>
      </c>
      <c r="DY345" s="367">
        <v>2.361511581446035</v>
      </c>
      <c r="DZ345" s="367">
        <v>8.4836677631987101</v>
      </c>
    </row>
    <row r="346" spans="1:130">
      <c r="A346" s="45" t="s">
        <v>299</v>
      </c>
      <c r="B346" s="45"/>
      <c r="C346" s="63">
        <v>0</v>
      </c>
      <c r="D346" s="63">
        <v>0</v>
      </c>
      <c r="E346" s="63">
        <v>0</v>
      </c>
      <c r="F346" s="63">
        <v>0</v>
      </c>
      <c r="G346" s="63">
        <v>0</v>
      </c>
      <c r="H346" s="63">
        <v>0</v>
      </c>
      <c r="I346" s="63">
        <v>0</v>
      </c>
      <c r="J346" s="63">
        <v>0</v>
      </c>
      <c r="K346" s="63">
        <v>0</v>
      </c>
      <c r="L346" s="63">
        <v>0</v>
      </c>
      <c r="M346" s="63">
        <v>0</v>
      </c>
      <c r="N346" s="63">
        <v>0</v>
      </c>
      <c r="O346" s="63">
        <v>0</v>
      </c>
      <c r="P346" s="63">
        <v>0</v>
      </c>
      <c r="Q346" s="63">
        <v>0</v>
      </c>
      <c r="R346" s="63">
        <v>0</v>
      </c>
      <c r="S346" s="63">
        <v>0</v>
      </c>
      <c r="T346" s="63">
        <v>0</v>
      </c>
      <c r="U346" s="63">
        <v>0</v>
      </c>
      <c r="V346" s="63">
        <v>0</v>
      </c>
      <c r="W346" s="63">
        <v>3341.090909090909</v>
      </c>
      <c r="X346" s="63">
        <v>6694.9565217391319</v>
      </c>
      <c r="Y346" s="63">
        <v>8362.0689655172409</v>
      </c>
      <c r="Z346" s="63">
        <v>9988.0000000000018</v>
      </c>
      <c r="AA346" s="63">
        <v>6669.7520661157032</v>
      </c>
      <c r="AB346" s="63">
        <v>8300.7999999999993</v>
      </c>
      <c r="AC346" s="63">
        <v>6631.1111111111113</v>
      </c>
      <c r="AD346" s="63">
        <v>8200</v>
      </c>
      <c r="AE346" s="63">
        <v>8151.1111111111113</v>
      </c>
      <c r="AF346" s="63">
        <v>3208.8888888888891</v>
      </c>
      <c r="AG346" s="63">
        <v>3183.5616438356165</v>
      </c>
      <c r="AH346" s="63">
        <v>4570.0598802395216</v>
      </c>
      <c r="AI346" s="63">
        <v>3854.4000000000005</v>
      </c>
      <c r="AJ346" s="63">
        <v>6728.5024154589373</v>
      </c>
      <c r="AK346" s="63">
        <v>6329.8578199052135</v>
      </c>
      <c r="AL346" s="63">
        <v>3958.96551724138</v>
      </c>
      <c r="AM346" s="63">
        <v>5258.1196581196582</v>
      </c>
      <c r="AN346" s="63">
        <v>2590.2880658436216</v>
      </c>
      <c r="AO346" s="63">
        <v>2572.7490039840641</v>
      </c>
      <c r="AP346" s="63">
        <v>2511.0791366906478</v>
      </c>
      <c r="AQ346" s="63">
        <f t="shared" ref="AQ346:CD346" si="2513">$F$341*AQ325*AQ265</f>
        <v>1246.2718861209964</v>
      </c>
      <c r="AR346" s="63">
        <f t="shared" si="2513"/>
        <v>2405.8085808580854</v>
      </c>
      <c r="AS346" s="63">
        <f t="shared" si="2513"/>
        <v>3547.0926517571888</v>
      </c>
      <c r="AT346" s="63">
        <f t="shared" si="2513"/>
        <v>7035.1807228915677</v>
      </c>
      <c r="AU346" s="63">
        <f t="shared" si="2513"/>
        <v>7080</v>
      </c>
      <c r="AV346" s="63">
        <f t="shared" si="2513"/>
        <v>6932.3931428571441</v>
      </c>
      <c r="AW346" s="63">
        <f t="shared" si="2513"/>
        <v>6928.9887640449469</v>
      </c>
      <c r="AX346" s="63">
        <f t="shared" si="2513"/>
        <v>6740.6964631578958</v>
      </c>
      <c r="AY346" s="63">
        <f t="shared" si="2513"/>
        <v>7217.2018708010337</v>
      </c>
      <c r="AZ346" s="63">
        <f t="shared" si="2513"/>
        <v>9203.1573333333326</v>
      </c>
      <c r="BA346" s="64">
        <f t="shared" si="2513"/>
        <v>10747.296842105265</v>
      </c>
      <c r="BB346" s="63">
        <f t="shared" si="2513"/>
        <v>15274.468252252262</v>
      </c>
      <c r="BC346" s="64">
        <f t="shared" si="2513"/>
        <v>15125.861410199559</v>
      </c>
      <c r="BD346" s="63">
        <f t="shared" si="2513"/>
        <v>16823.748837209303</v>
      </c>
      <c r="BE346" s="63">
        <f t="shared" si="2513"/>
        <v>16581.933453061221</v>
      </c>
      <c r="BF346" s="63">
        <f t="shared" si="2513"/>
        <v>15863.760781249999</v>
      </c>
      <c r="BG346" s="63">
        <f t="shared" si="2513"/>
        <v>15946.400980237155</v>
      </c>
      <c r="BH346" s="63">
        <f t="shared" si="2513"/>
        <v>15635.541647058824</v>
      </c>
      <c r="BI346" s="1227">
        <f t="shared" si="2513"/>
        <v>16070.845735567975</v>
      </c>
      <c r="BJ346" s="1227">
        <f t="shared" si="2513"/>
        <v>13498.838417266192</v>
      </c>
      <c r="BK346" s="1227">
        <f t="shared" si="2513"/>
        <v>14015.545118279573</v>
      </c>
      <c r="BL346" s="1227">
        <f t="shared" si="2513"/>
        <v>12544.042105263159</v>
      </c>
      <c r="BM346" s="1227">
        <f t="shared" si="2513"/>
        <v>13042.996700173309</v>
      </c>
      <c r="BN346" s="1227">
        <f t="shared" si="2513"/>
        <v>12422.865339966833</v>
      </c>
      <c r="BO346" s="1227">
        <f t="shared" si="2513"/>
        <v>13018.597882747068</v>
      </c>
      <c r="BP346" s="1227">
        <f t="shared" si="2513"/>
        <v>13018.597882747068</v>
      </c>
      <c r="BQ346" s="1227">
        <f t="shared" si="2513"/>
        <v>13974.700958677691</v>
      </c>
      <c r="BR346" s="1227">
        <f t="shared" si="2513"/>
        <v>14960.261584158419</v>
      </c>
      <c r="BS346" s="1227">
        <f t="shared" si="2513"/>
        <v>11452.937293729374</v>
      </c>
      <c r="BT346" s="1227">
        <f t="shared" si="2513"/>
        <v>11819.70760189574</v>
      </c>
      <c r="BU346" s="1227">
        <f t="shared" si="2513"/>
        <v>10810.565795275592</v>
      </c>
      <c r="BV346" s="1227">
        <f t="shared" si="2513"/>
        <v>11792.101132075475</v>
      </c>
      <c r="BW346" s="1227">
        <f t="shared" si="2513"/>
        <v>13731.971887147336</v>
      </c>
      <c r="BX346" s="1227">
        <f t="shared" si="2513"/>
        <v>12628.025388632874</v>
      </c>
      <c r="BY346" s="1227">
        <f t="shared" si="2513"/>
        <v>13526.003668174968</v>
      </c>
      <c r="BZ346" s="1227">
        <f t="shared" si="2513"/>
        <v>16313.293904761906</v>
      </c>
      <c r="CA346" s="1227">
        <f t="shared" si="2513"/>
        <v>16141.851607361967</v>
      </c>
      <c r="CB346" s="1227">
        <f t="shared" ref="CB346:CC346" si="2514">$F$341*CB325*CB265</f>
        <v>13099.776348091604</v>
      </c>
      <c r="CC346" s="1227">
        <f t="shared" si="2514"/>
        <v>11472.056180995472</v>
      </c>
      <c r="CD346" s="1227">
        <f t="shared" si="2513"/>
        <v>2374.4034868746894</v>
      </c>
      <c r="CE346" s="1227">
        <f t="shared" ref="CE346:CF346" si="2515">$F$341*CE325*CE265</f>
        <v>3362.2650290290298</v>
      </c>
      <c r="CF346" s="1227">
        <f t="shared" si="2515"/>
        <v>11452.389055141583</v>
      </c>
      <c r="CG346" s="1227">
        <f t="shared" ref="CG346:CH346" si="2516">$F$341*CG325*CG265</f>
        <v>9445.2709925925938</v>
      </c>
      <c r="CH346" s="1227">
        <f t="shared" si="2516"/>
        <v>9315.7934791059288</v>
      </c>
      <c r="CI346" s="1227">
        <f t="shared" ref="CI346:CL346" si="2517">$F$341*CI325*CI265</f>
        <v>9376.2785228377052</v>
      </c>
      <c r="CJ346" s="1227">
        <f t="shared" ref="CJ346" si="2518">$F$341*CJ325*CJ265</f>
        <v>3725.9025412445731</v>
      </c>
      <c r="CK346" s="1227">
        <f t="shared" si="2517"/>
        <v>6966.5375792507184</v>
      </c>
      <c r="CL346" s="367">
        <f t="shared" si="2517"/>
        <v>10118.375393654462</v>
      </c>
      <c r="CM346" s="367">
        <f t="shared" ref="CM346:CP346" si="2519">$F$341*CM325*CM265</f>
        <v>7808.2247647438026</v>
      </c>
      <c r="CN346" s="367">
        <f t="shared" si="2519"/>
        <v>5489.6558664006034</v>
      </c>
      <c r="CO346" s="367">
        <f t="shared" si="2519"/>
        <v>4999.2549873169355</v>
      </c>
      <c r="CP346" s="367">
        <f t="shared" si="2519"/>
        <v>3137.1863713806774</v>
      </c>
      <c r="CQ346" s="367"/>
      <c r="CR346" s="604"/>
      <c r="CS346" s="604"/>
      <c r="CT346" s="367">
        <v>10118.375393654462</v>
      </c>
      <c r="CU346" s="1102"/>
      <c r="CV346" s="63">
        <v>0</v>
      </c>
      <c r="CW346" s="63">
        <v>0</v>
      </c>
      <c r="CX346" s="63">
        <v>0</v>
      </c>
      <c r="CY346" s="63">
        <v>0</v>
      </c>
      <c r="CZ346" s="63">
        <v>0</v>
      </c>
      <c r="DA346" s="63">
        <v>9988.0000000000018</v>
      </c>
      <c r="DB346" s="63">
        <v>8200</v>
      </c>
      <c r="DC346" s="63">
        <v>4570.0598802395216</v>
      </c>
      <c r="DD346" s="63">
        <v>3958.96551724138</v>
      </c>
      <c r="DE346" s="63">
        <v>2511.0791366906478</v>
      </c>
      <c r="DF346" s="63">
        <f t="shared" ref="DF346:DS346" si="2520">$F$341*DF325*DF265</f>
        <v>7.0351807228915675</v>
      </c>
      <c r="DG346" s="63">
        <f t="shared" si="2520"/>
        <v>6.7406964631578958</v>
      </c>
      <c r="DH346" s="63">
        <f t="shared" si="2520"/>
        <v>15.274468252252261</v>
      </c>
      <c r="DI346" s="63">
        <f t="shared" si="2520"/>
        <v>15.863760781249999</v>
      </c>
      <c r="DJ346" s="63">
        <f t="shared" si="2520"/>
        <v>13.498838417266191</v>
      </c>
      <c r="DK346" s="63">
        <f t="shared" si="2520"/>
        <v>12.422865339966833</v>
      </c>
      <c r="DL346" s="1227">
        <f t="shared" si="2520"/>
        <v>14.960261584158419</v>
      </c>
      <c r="DM346" s="1227">
        <f t="shared" si="2520"/>
        <v>11.792101132075475</v>
      </c>
      <c r="DN346" s="1227">
        <f t="shared" si="2520"/>
        <v>9.5960552380952375</v>
      </c>
      <c r="DO346" s="1227">
        <f t="shared" si="2520"/>
        <v>0.47488069737493793</v>
      </c>
      <c r="DP346" s="1227">
        <f t="shared" ref="DP346:DQ346" si="2521">$F$341*DP325*DP265</f>
        <v>9.3157934791059294</v>
      </c>
      <c r="DQ346" s="1227">
        <f t="shared" si="2521"/>
        <v>10.118375393654462</v>
      </c>
      <c r="DR346" s="1227">
        <f t="shared" ref="DR346" si="2522">$F$341*DR325*DR265</f>
        <v>3.1371863713806771</v>
      </c>
      <c r="DS346" s="367">
        <f t="shared" si="2520"/>
        <v>2.6255396860864817</v>
      </c>
      <c r="DT346" s="367">
        <f t="shared" ref="DT346:DV346" si="2523">$F$341*DT325*DT265</f>
        <v>9.4164221650634836</v>
      </c>
      <c r="DU346" s="367">
        <f t="shared" si="2523"/>
        <v>8.3863897948479647</v>
      </c>
      <c r="DV346" s="367">
        <f t="shared" si="2523"/>
        <v>8.2275421790372256</v>
      </c>
      <c r="DY346" s="367">
        <v>3.1486821085947141</v>
      </c>
      <c r="DZ346" s="367">
        <v>2.6442600820359621</v>
      </c>
    </row>
    <row r="347" spans="1:130">
      <c r="A347" s="45" t="s">
        <v>300</v>
      </c>
      <c r="B347" s="45"/>
      <c r="C347" s="63">
        <v>0</v>
      </c>
      <c r="D347" s="63">
        <v>0</v>
      </c>
      <c r="E347" s="63">
        <v>0</v>
      </c>
      <c r="F347" s="63">
        <v>0</v>
      </c>
      <c r="G347" s="63">
        <v>0</v>
      </c>
      <c r="H347" s="63">
        <v>0</v>
      </c>
      <c r="I347" s="63">
        <v>0</v>
      </c>
      <c r="J347" s="63">
        <v>0</v>
      </c>
      <c r="K347" s="63">
        <v>0</v>
      </c>
      <c r="L347" s="63">
        <v>0</v>
      </c>
      <c r="M347" s="63">
        <v>0</v>
      </c>
      <c r="N347" s="63">
        <v>0</v>
      </c>
      <c r="O347" s="63">
        <v>0</v>
      </c>
      <c r="P347" s="63">
        <v>0</v>
      </c>
      <c r="Q347" s="63">
        <v>0</v>
      </c>
      <c r="R347" s="63">
        <v>0</v>
      </c>
      <c r="S347" s="63">
        <v>0</v>
      </c>
      <c r="T347" s="63">
        <v>0</v>
      </c>
      <c r="U347" s="63">
        <v>0</v>
      </c>
      <c r="V347" s="63">
        <v>0</v>
      </c>
      <c r="W347" s="63">
        <v>0</v>
      </c>
      <c r="X347" s="63">
        <v>0</v>
      </c>
      <c r="Y347" s="63">
        <v>0</v>
      </c>
      <c r="Z347" s="63">
        <v>0</v>
      </c>
      <c r="AA347" s="63">
        <v>3751.7355371900831</v>
      </c>
      <c r="AB347" s="63">
        <v>7470.7199999999993</v>
      </c>
      <c r="AC347" s="63">
        <v>9325</v>
      </c>
      <c r="AD347" s="63">
        <v>11070</v>
      </c>
      <c r="AE347" s="63">
        <v>7336</v>
      </c>
      <c r="AF347" s="63">
        <v>9025</v>
      </c>
      <c r="AG347" s="63">
        <v>7163.0136986301368</v>
      </c>
      <c r="AH347" s="63">
        <v>8568.8622754491025</v>
      </c>
      <c r="AI347" s="63">
        <v>7227</v>
      </c>
      <c r="AJ347" s="63">
        <v>3027.826086956522</v>
      </c>
      <c r="AK347" s="63">
        <v>2848.4360189573463</v>
      </c>
      <c r="AL347" s="63">
        <v>4453.8362068965516</v>
      </c>
      <c r="AM347" s="63">
        <v>4436.5384615384619</v>
      </c>
      <c r="AN347" s="63">
        <v>7285.1851851851852</v>
      </c>
      <c r="AO347" s="63">
        <v>7235.8565737051795</v>
      </c>
      <c r="AP347" s="63">
        <v>4237.4460431654679</v>
      </c>
      <c r="AQ347" s="63">
        <f t="shared" ref="AQ347:CD347" si="2524">$G$341*AQ326*AQ265</f>
        <v>5608.2234875444838</v>
      </c>
      <c r="AR347" s="63">
        <f t="shared" si="2524"/>
        <v>2706.5346534653463</v>
      </c>
      <c r="AS347" s="63">
        <f t="shared" si="2524"/>
        <v>2660.3194888178914</v>
      </c>
      <c r="AT347" s="63">
        <f t="shared" si="2524"/>
        <v>2638.1927710843374</v>
      </c>
      <c r="AU347" s="63">
        <f t="shared" si="2524"/>
        <v>1327.4999999999998</v>
      </c>
      <c r="AV347" s="63">
        <f t="shared" si="2524"/>
        <v>2599.6474285714289</v>
      </c>
      <c r="AW347" s="63">
        <f t="shared" si="2524"/>
        <v>3897.5561797752821</v>
      </c>
      <c r="AX347" s="63">
        <f t="shared" si="2524"/>
        <v>7583.2835210526328</v>
      </c>
      <c r="AY347" s="63">
        <f t="shared" si="2524"/>
        <v>7494.7865581395345</v>
      </c>
      <c r="AZ347" s="63">
        <f t="shared" si="2524"/>
        <v>7308.3896470588234</v>
      </c>
      <c r="BA347" s="64">
        <f t="shared" si="2524"/>
        <v>7254.4253684210544</v>
      </c>
      <c r="BB347" s="63">
        <f t="shared" si="2524"/>
        <v>7110.5283243243284</v>
      </c>
      <c r="BC347" s="64">
        <f t="shared" si="2524"/>
        <v>7628.1283835920185</v>
      </c>
      <c r="BD347" s="63">
        <f t="shared" si="2524"/>
        <v>9750.127167019029</v>
      </c>
      <c r="BE347" s="63">
        <f t="shared" si="2524"/>
        <v>11659.171959183672</v>
      </c>
      <c r="BF347" s="63">
        <f t="shared" si="2524"/>
        <v>16695.328886718748</v>
      </c>
      <c r="BG347" s="63">
        <f t="shared" si="2524"/>
        <v>16782.301031620555</v>
      </c>
      <c r="BH347" s="63">
        <f t="shared" si="2524"/>
        <v>18724.822053130931</v>
      </c>
      <c r="BI347" s="1227">
        <f t="shared" si="2524"/>
        <v>18079.701452513971</v>
      </c>
      <c r="BJ347" s="1227">
        <f t="shared" si="2524"/>
        <v>17435.999622302166</v>
      </c>
      <c r="BK347" s="1227">
        <f t="shared" si="2524"/>
        <v>17456.862000000001</v>
      </c>
      <c r="BL347" s="1227">
        <f t="shared" si="2524"/>
        <v>17498.938736842108</v>
      </c>
      <c r="BM347" s="1227">
        <f t="shared" si="2524"/>
        <v>18059.533892547661</v>
      </c>
      <c r="BN347" s="1227">
        <f t="shared" si="2524"/>
        <v>15093.781388059704</v>
      </c>
      <c r="BO347" s="1227">
        <f t="shared" si="2524"/>
        <v>15772.532050251255</v>
      </c>
      <c r="BP347" s="1227">
        <f t="shared" si="2524"/>
        <v>14082.61790201005</v>
      </c>
      <c r="BQ347" s="1227">
        <f t="shared" si="2524"/>
        <v>14598.571537190088</v>
      </c>
      <c r="BR347" s="1227">
        <f t="shared" si="2524"/>
        <v>14025.245235148519</v>
      </c>
      <c r="BS347" s="1227">
        <f t="shared" si="2524"/>
        <v>14565.148514851486</v>
      </c>
      <c r="BT347" s="1227">
        <f t="shared" si="2524"/>
        <v>14405.268639810431</v>
      </c>
      <c r="BU347" s="1227">
        <f t="shared" si="2524"/>
        <v>15478.764661417323</v>
      </c>
      <c r="BV347" s="1227">
        <f t="shared" si="2524"/>
        <v>16582.642216981134</v>
      </c>
      <c r="BW347" s="1227">
        <f t="shared" si="2524"/>
        <v>12689.813306426331</v>
      </c>
      <c r="BX347" s="1227">
        <f t="shared" si="2524"/>
        <v>13113.718672811061</v>
      </c>
      <c r="BY347" s="1227">
        <f t="shared" si="2524"/>
        <v>11956.021099547515</v>
      </c>
      <c r="BZ347" s="1227">
        <f t="shared" si="2524"/>
        <v>12954.674571428572</v>
      </c>
      <c r="CA347" s="1227">
        <f t="shared" si="2524"/>
        <v>15408.131079754603</v>
      </c>
      <c r="CB347" s="1227">
        <f t="shared" ref="CB347:CC347" si="2525">$G$341*CB326*CB265</f>
        <v>14191.424377099238</v>
      </c>
      <c r="CC347" s="1227">
        <f t="shared" si="2525"/>
        <v>15057.073737556555</v>
      </c>
      <c r="CD347" s="1227">
        <f t="shared" si="2524"/>
        <v>18164.186674591376</v>
      </c>
      <c r="CE347" s="1227">
        <f t="shared" ref="CE347:CF347" si="2526">$G$341*CE326*CE265</f>
        <v>17832.012743243245</v>
      </c>
      <c r="CF347" s="1227">
        <f t="shared" si="2526"/>
        <v>14494.429897913564</v>
      </c>
      <c r="CG347" s="1227">
        <f t="shared" ref="CG347:CH347" si="2527">$G$341*CG326*CG265</f>
        <v>12751.115840000002</v>
      </c>
      <c r="CH347" s="1227">
        <f t="shared" si="2527"/>
        <v>2620.0669159985423</v>
      </c>
      <c r="CI347" s="1227">
        <f t="shared" ref="CI347:CL347" si="2528">$G$341*CI326*CI265</f>
        <v>3691.9096683673465</v>
      </c>
      <c r="CJ347" s="1227">
        <f t="shared" ref="CJ347" si="2529">$G$341*CJ326*CJ265</f>
        <v>12574.921076700433</v>
      </c>
      <c r="CK347" s="1227">
        <f t="shared" si="2528"/>
        <v>10449.806368876078</v>
      </c>
      <c r="CL347" s="367">
        <f t="shared" si="2528"/>
        <v>10348.338470782972</v>
      </c>
      <c r="CM347" s="367">
        <f t="shared" ref="CM347:CP347" si="2530">$G$341*CM326*CM265</f>
        <v>10334.415129807974</v>
      </c>
      <c r="CN347" s="367">
        <f t="shared" si="2530"/>
        <v>4117.2418998004523</v>
      </c>
      <c r="CO347" s="367">
        <f t="shared" si="2530"/>
        <v>7669.3116282702986</v>
      </c>
      <c r="CP347" s="367">
        <f t="shared" si="2530"/>
        <v>11092.194670238823</v>
      </c>
      <c r="CQ347" s="367"/>
      <c r="CR347" s="604"/>
      <c r="CS347" s="604"/>
      <c r="CT347" s="367">
        <v>10348.338470782972</v>
      </c>
      <c r="CU347" s="1102"/>
      <c r="CV347" s="63">
        <v>0</v>
      </c>
      <c r="CW347" s="63">
        <v>0</v>
      </c>
      <c r="CX347" s="63">
        <v>0</v>
      </c>
      <c r="CY347" s="63">
        <v>0</v>
      </c>
      <c r="CZ347" s="63">
        <v>0</v>
      </c>
      <c r="DA347" s="63">
        <v>0</v>
      </c>
      <c r="DB347" s="63">
        <v>11070</v>
      </c>
      <c r="DC347" s="63">
        <v>8568.8622754491025</v>
      </c>
      <c r="DD347" s="63">
        <v>4453.8362068965516</v>
      </c>
      <c r="DE347" s="63">
        <v>4237.4460431654679</v>
      </c>
      <c r="DF347" s="63">
        <f t="shared" ref="DF347:DS347" si="2531">$G$341*DF326*DF265</f>
        <v>2.6381927710843378</v>
      </c>
      <c r="DG347" s="63">
        <f t="shared" si="2531"/>
        <v>7.5832835210526319</v>
      </c>
      <c r="DH347" s="63">
        <f t="shared" si="2531"/>
        <v>7.1105283243243278</v>
      </c>
      <c r="DI347" s="63">
        <f t="shared" si="2531"/>
        <v>16.695328886718748</v>
      </c>
      <c r="DJ347" s="63">
        <f t="shared" si="2531"/>
        <v>17.435999622302162</v>
      </c>
      <c r="DK347" s="63">
        <f t="shared" si="2531"/>
        <v>15.093781388059703</v>
      </c>
      <c r="DL347" s="1227">
        <f t="shared" si="2531"/>
        <v>14.025245235148518</v>
      </c>
      <c r="DM347" s="1227">
        <f t="shared" si="2531"/>
        <v>16.582642216981135</v>
      </c>
      <c r="DN347" s="1227">
        <f t="shared" si="2531"/>
        <v>12.954674571428571</v>
      </c>
      <c r="DO347" s="1227">
        <f t="shared" si="2531"/>
        <v>10.684815690936103</v>
      </c>
      <c r="DP347" s="1227">
        <f t="shared" ref="DP347:DQ347" si="2532">$G$341*DP326*DP265</f>
        <v>0.52401338319970858</v>
      </c>
      <c r="DQ347" s="1227">
        <f t="shared" si="2532"/>
        <v>10.348338470782972</v>
      </c>
      <c r="DR347" s="1227">
        <f t="shared" ref="DR347" si="2533">$G$341*DR326*DR265</f>
        <v>11.092194670238824</v>
      </c>
      <c r="DS347" s="367">
        <f t="shared" si="2531"/>
        <v>3.4460208379885064</v>
      </c>
      <c r="DT347" s="367">
        <f t="shared" ref="DT347:DV347" si="2534">$G$341*DT326*DT265</f>
        <v>2.8891295279172051</v>
      </c>
      <c r="DU347" s="367">
        <f t="shared" si="2534"/>
        <v>10.378157371124356</v>
      </c>
      <c r="DV347" s="367">
        <f t="shared" si="2534"/>
        <v>9.2559849514168793</v>
      </c>
      <c r="DY347" s="367">
        <v>11.132840312531309</v>
      </c>
      <c r="DZ347" s="367">
        <v>3.4705913576722001</v>
      </c>
    </row>
    <row r="348" spans="1:130">
      <c r="A348" s="45" t="s">
        <v>307</v>
      </c>
      <c r="B348" s="45"/>
      <c r="C348" s="63">
        <v>0</v>
      </c>
      <c r="D348" s="63">
        <v>0</v>
      </c>
      <c r="E348" s="63">
        <v>0</v>
      </c>
      <c r="F348" s="63">
        <v>0</v>
      </c>
      <c r="G348" s="63">
        <v>0</v>
      </c>
      <c r="H348" s="63">
        <v>0</v>
      </c>
      <c r="I348" s="63">
        <v>0</v>
      </c>
      <c r="J348" s="63">
        <v>0</v>
      </c>
      <c r="K348" s="63">
        <v>0</v>
      </c>
      <c r="L348" s="63">
        <v>0</v>
      </c>
      <c r="M348" s="63">
        <v>0</v>
      </c>
      <c r="N348" s="63">
        <v>0</v>
      </c>
      <c r="O348" s="63">
        <v>0</v>
      </c>
      <c r="P348" s="63">
        <v>0</v>
      </c>
      <c r="Q348" s="63">
        <v>0</v>
      </c>
      <c r="R348" s="63">
        <v>0</v>
      </c>
      <c r="S348" s="63">
        <v>0</v>
      </c>
      <c r="T348" s="63">
        <v>0</v>
      </c>
      <c r="U348" s="63">
        <v>0</v>
      </c>
      <c r="V348" s="63">
        <v>0</v>
      </c>
      <c r="W348" s="63">
        <v>0</v>
      </c>
      <c r="X348" s="63">
        <v>0</v>
      </c>
      <c r="Y348" s="63">
        <v>0</v>
      </c>
      <c r="Z348" s="63">
        <v>0</v>
      </c>
      <c r="AA348" s="63">
        <v>0</v>
      </c>
      <c r="AB348" s="63">
        <v>0</v>
      </c>
      <c r="AC348" s="63">
        <v>0</v>
      </c>
      <c r="AD348" s="63">
        <v>0</v>
      </c>
      <c r="AE348" s="63">
        <v>4075.5555555555557</v>
      </c>
      <c r="AF348" s="63">
        <v>8022.2222222222226</v>
      </c>
      <c r="AG348" s="63">
        <v>9948.6301369863013</v>
      </c>
      <c r="AH348" s="63">
        <v>11425.149700598802</v>
      </c>
      <c r="AI348" s="63">
        <v>59422</v>
      </c>
      <c r="AJ348" s="63">
        <v>70649.275362318847</v>
      </c>
      <c r="AK348" s="63">
        <v>69628.436018957349</v>
      </c>
      <c r="AL348" s="63">
        <v>80828.879310344826</v>
      </c>
      <c r="AM348" s="63">
        <v>82158.119658119656</v>
      </c>
      <c r="AN348" s="63">
        <v>85803.292181069963</v>
      </c>
      <c r="AO348" s="63">
        <v>90046.21513944224</v>
      </c>
      <c r="AP348" s="63">
        <v>108290.28776978418</v>
      </c>
      <c r="AQ348" s="63">
        <f t="shared" ref="AQ348:CD348" si="2535">AQ327*AQ265</f>
        <v>110606.62989323842</v>
      </c>
      <c r="AR348" s="63">
        <f t="shared" si="2535"/>
        <v>127808.58085808578</v>
      </c>
      <c r="AS348" s="63">
        <f t="shared" si="2535"/>
        <v>134493.92971246006</v>
      </c>
      <c r="AT348" s="63">
        <f t="shared" si="2535"/>
        <v>139237.95180722894</v>
      </c>
      <c r="AU348" s="63">
        <f t="shared" si="2535"/>
        <v>140124.99999999997</v>
      </c>
      <c r="AV348" s="63">
        <f t="shared" si="2535"/>
        <v>148757.60285714286</v>
      </c>
      <c r="AW348" s="63">
        <f t="shared" si="2535"/>
        <v>150128.0898876405</v>
      </c>
      <c r="AX348" s="63">
        <f t="shared" si="2535"/>
        <v>165708.7880526316</v>
      </c>
      <c r="AY348" s="63">
        <f t="shared" si="2535"/>
        <v>170714.58271317827</v>
      </c>
      <c r="AZ348" s="63">
        <f t="shared" si="2535"/>
        <v>186769.95764705879</v>
      </c>
      <c r="BA348" s="64">
        <f t="shared" si="2535"/>
        <v>192107.93105263161</v>
      </c>
      <c r="BB348" s="63">
        <f t="shared" si="2535"/>
        <v>214632.61423423432</v>
      </c>
      <c r="BC348" s="64">
        <f t="shared" si="2535"/>
        <v>217760.24616407984</v>
      </c>
      <c r="BD348" s="63">
        <f t="shared" si="2535"/>
        <v>233238.33615221988</v>
      </c>
      <c r="BE348" s="63">
        <f t="shared" si="2535"/>
        <v>250024.46534693873</v>
      </c>
      <c r="BF348" s="63">
        <f t="shared" si="2535"/>
        <v>264822.45820312499</v>
      </c>
      <c r="BG348" s="63">
        <f t="shared" si="2535"/>
        <v>264273.01624505926</v>
      </c>
      <c r="BH348" s="63">
        <f t="shared" si="2535"/>
        <v>279296.16732447821</v>
      </c>
      <c r="BI348" s="1227">
        <f t="shared" si="2535"/>
        <v>286261.93966480455</v>
      </c>
      <c r="BJ348" s="1227">
        <f t="shared" si="2535"/>
        <v>301849.02571942454</v>
      </c>
      <c r="BK348" s="1227">
        <f t="shared" si="2535"/>
        <v>305338.6615053764</v>
      </c>
      <c r="BL348" s="1227">
        <f t="shared" si="2535"/>
        <v>319873.07368421054</v>
      </c>
      <c r="BM348" s="1227">
        <f t="shared" si="2535"/>
        <v>321058.38031195838</v>
      </c>
      <c r="BN348" s="1227">
        <f t="shared" si="2535"/>
        <v>335417.36417910451</v>
      </c>
      <c r="BO348" s="1227">
        <f t="shared" si="2535"/>
        <v>332349.78248743719</v>
      </c>
      <c r="BP348" s="1227">
        <f t="shared" si="2535"/>
        <v>338608.72377721942</v>
      </c>
      <c r="BQ348" s="1227">
        <f t="shared" si="2535"/>
        <v>344376.55933884304</v>
      </c>
      <c r="BR348" s="1227">
        <f t="shared" si="2535"/>
        <v>350942.80299504957</v>
      </c>
      <c r="BS348" s="1227">
        <f t="shared" si="2535"/>
        <v>350434.98349834984</v>
      </c>
      <c r="BT348" s="1227">
        <f t="shared" si="2535"/>
        <v>363209.76484992111</v>
      </c>
      <c r="BU348" s="1227">
        <f t="shared" si="2535"/>
        <v>367313.54236220469</v>
      </c>
      <c r="BV348" s="1227">
        <f t="shared" si="2535"/>
        <v>373416.53584905667</v>
      </c>
      <c r="BW348" s="1227">
        <f t="shared" si="2535"/>
        <v>375790.12351880874</v>
      </c>
      <c r="BX348" s="1227">
        <f t="shared" si="2535"/>
        <v>386126.16092165903</v>
      </c>
      <c r="BY348" s="1227">
        <f t="shared" si="2535"/>
        <v>393703.32105580706</v>
      </c>
      <c r="BZ348" s="1227">
        <f t="shared" si="2535"/>
        <v>399435.79928571428</v>
      </c>
      <c r="CA348" s="1227">
        <f t="shared" si="2535"/>
        <v>385203.27699386509</v>
      </c>
      <c r="CB348" s="1227">
        <f t="shared" ref="CB348:CC348" si="2536">CB327*CB265</f>
        <v>390567.40593384224</v>
      </c>
      <c r="CC348" s="1227">
        <f t="shared" si="2536"/>
        <v>389571.90781297121</v>
      </c>
      <c r="CD348" s="1227">
        <f t="shared" si="2535"/>
        <v>402461.39102525986</v>
      </c>
      <c r="CE348" s="1227">
        <f t="shared" ref="CE348:CF348" si="2537">CE327*CE265</f>
        <v>403471.8034834835</v>
      </c>
      <c r="CF348" s="1227">
        <f t="shared" si="2537"/>
        <v>409184.31728266273</v>
      </c>
      <c r="CG348" s="1227">
        <f t="shared" ref="CG348:CH348" si="2538">CG327*CG265</f>
        <v>410869.28817777784</v>
      </c>
      <c r="CH348" s="1227">
        <f t="shared" si="2538"/>
        <v>422704.1291144315</v>
      </c>
      <c r="CI348" s="1227">
        <f t="shared" ref="CI348:CL348" si="2539">CI327*CI265</f>
        <v>423690.58575072879</v>
      </c>
      <c r="CJ348" s="1227">
        <f t="shared" ref="CJ348" si="2540">CJ327*CJ265</f>
        <v>425567.93088277854</v>
      </c>
      <c r="CK348" s="1227">
        <f t="shared" si="2539"/>
        <v>430764.24031700281</v>
      </c>
      <c r="CL348" s="367">
        <f t="shared" si="2539"/>
        <v>432905.49269442097</v>
      </c>
      <c r="CM348" s="367">
        <f t="shared" ref="CM348:CP348" si="2541">CM327*CM265</f>
        <v>434045.43545193487</v>
      </c>
      <c r="CN348" s="367">
        <f t="shared" si="2541"/>
        <v>445462.69999229891</v>
      </c>
      <c r="CO348" s="367">
        <f t="shared" si="2541"/>
        <v>448796.75454322487</v>
      </c>
      <c r="CP348" s="367">
        <f t="shared" si="2541"/>
        <v>455452.23570223048</v>
      </c>
      <c r="CQ348" s="367"/>
      <c r="CR348" s="604"/>
      <c r="CS348" s="604"/>
      <c r="CT348" s="367">
        <v>432905.49269442097</v>
      </c>
      <c r="CU348" s="1102"/>
      <c r="CV348" s="63">
        <v>0</v>
      </c>
      <c r="CW348" s="63">
        <v>0</v>
      </c>
      <c r="CX348" s="63">
        <v>0</v>
      </c>
      <c r="CY348" s="63">
        <v>0</v>
      </c>
      <c r="CZ348" s="63">
        <v>0</v>
      </c>
      <c r="DA348" s="63">
        <v>0</v>
      </c>
      <c r="DB348" s="63">
        <v>0</v>
      </c>
      <c r="DC348" s="63">
        <v>11425.149700598802</v>
      </c>
      <c r="DD348" s="63">
        <v>80828.879310344826</v>
      </c>
      <c r="DE348" s="63">
        <v>108290.28776978418</v>
      </c>
      <c r="DF348" s="63">
        <f t="shared" ref="DF348:DS348" si="2542">DF327*DF265</f>
        <v>139.23795180722894</v>
      </c>
      <c r="DG348" s="63">
        <f t="shared" si="2542"/>
        <v>165.70878805263158</v>
      </c>
      <c r="DH348" s="63">
        <f t="shared" si="2542"/>
        <v>214.63261423423432</v>
      </c>
      <c r="DI348" s="63">
        <f t="shared" si="2542"/>
        <v>264.822458203125</v>
      </c>
      <c r="DJ348" s="63">
        <f t="shared" si="2542"/>
        <v>301.8490257194245</v>
      </c>
      <c r="DK348" s="63">
        <f t="shared" si="2542"/>
        <v>344.11336991708129</v>
      </c>
      <c r="DL348" s="1227">
        <f t="shared" si="2542"/>
        <v>362.16299918316838</v>
      </c>
      <c r="DM348" s="1227">
        <f t="shared" si="2542"/>
        <v>372.18819198113209</v>
      </c>
      <c r="DN348" s="1227">
        <f t="shared" si="2542"/>
        <v>381.44319571428571</v>
      </c>
      <c r="DO348" s="1227">
        <f t="shared" si="2542"/>
        <v>391.77657533432375</v>
      </c>
      <c r="DP348" s="1227">
        <f t="shared" ref="DP348:DQ348" si="2543">DP327*DP265</f>
        <v>395.92122286200203</v>
      </c>
      <c r="DQ348" s="1227">
        <f t="shared" si="2543"/>
        <v>391.51213881128911</v>
      </c>
      <c r="DR348" s="1227">
        <f t="shared" ref="DR348" si="2544">DR327*DR265</f>
        <v>392.70850827461692</v>
      </c>
      <c r="DS348" s="367">
        <f t="shared" si="2542"/>
        <v>395.47191521677621</v>
      </c>
      <c r="DT348" s="367">
        <f t="shared" ref="DT348:DV348" si="2545">DT327*DT265</f>
        <v>390.56751025547396</v>
      </c>
      <c r="DU348" s="367">
        <f t="shared" si="2545"/>
        <v>385.77393056300639</v>
      </c>
      <c r="DV348" s="367">
        <f t="shared" si="2545"/>
        <v>389.77981073188857</v>
      </c>
      <c r="DY348" s="367">
        <v>394.1475282365883</v>
      </c>
      <c r="DZ348" s="367">
        <v>398.29167485666676</v>
      </c>
    </row>
    <row r="349" spans="1:130">
      <c r="A349" s="45"/>
      <c r="B349" s="45"/>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c r="AG349" s="63"/>
      <c r="AH349" s="63"/>
      <c r="AI349" s="63"/>
      <c r="AJ349" s="63"/>
      <c r="AK349" s="63"/>
      <c r="AL349" s="63"/>
      <c r="AM349" s="63"/>
      <c r="AN349" s="63"/>
      <c r="AO349" s="63"/>
      <c r="AP349" s="63"/>
      <c r="AQ349" s="63"/>
      <c r="AR349" s="63"/>
      <c r="AS349" s="63"/>
      <c r="AT349" s="63"/>
      <c r="AU349" s="63"/>
      <c r="AV349" s="63"/>
      <c r="AW349" s="63"/>
      <c r="AX349" s="63"/>
      <c r="AY349" s="63"/>
      <c r="AZ349" s="63"/>
      <c r="BA349" s="64"/>
      <c r="BB349" s="63"/>
      <c r="BC349" s="64"/>
      <c r="BD349" s="63"/>
      <c r="BE349" s="63"/>
      <c r="BF349" s="63"/>
      <c r="BG349" s="63"/>
      <c r="BH349" s="63"/>
      <c r="BI349" s="1227"/>
      <c r="BJ349" s="1227"/>
      <c r="BK349" s="1227"/>
      <c r="BL349" s="1227"/>
      <c r="BM349" s="1227"/>
      <c r="BN349" s="1227"/>
      <c r="BO349" s="1227"/>
      <c r="BP349" s="1227"/>
      <c r="BQ349" s="1227"/>
      <c r="BR349" s="1227"/>
      <c r="BS349" s="1227"/>
      <c r="BT349" s="1227"/>
      <c r="BU349" s="1227"/>
      <c r="BV349" s="1227"/>
      <c r="BW349" s="1227"/>
      <c r="BX349" s="1227"/>
      <c r="BY349" s="1227"/>
      <c r="BZ349" s="1227"/>
      <c r="CA349" s="1227"/>
      <c r="CB349" s="1227"/>
      <c r="CC349" s="1227"/>
      <c r="CD349" s="1227"/>
      <c r="CE349" s="1227"/>
      <c r="CF349" s="1227"/>
      <c r="CG349" s="1227"/>
      <c r="CH349" s="1227"/>
      <c r="CI349" s="1227"/>
      <c r="CJ349" s="1227"/>
      <c r="CK349" s="1227"/>
      <c r="CL349" s="367"/>
      <c r="CM349" s="367"/>
      <c r="CN349" s="367"/>
      <c r="CO349" s="367"/>
      <c r="CP349" s="367"/>
      <c r="CQ349" s="367"/>
      <c r="CR349" s="604"/>
      <c r="CS349" s="604"/>
      <c r="CT349" s="367"/>
      <c r="CU349" s="1102"/>
      <c r="CV349" s="63"/>
      <c r="CW349" s="63"/>
      <c r="CX349" s="63"/>
      <c r="CY349" s="63"/>
      <c r="CZ349" s="62"/>
      <c r="DA349" s="62"/>
      <c r="DB349" s="62"/>
      <c r="DC349" s="62"/>
      <c r="DD349" s="62"/>
      <c r="DE349" s="62"/>
      <c r="DF349" s="62"/>
      <c r="DG349" s="62"/>
      <c r="DH349" s="62"/>
      <c r="DI349" s="62"/>
      <c r="DJ349" s="62"/>
      <c r="DK349" s="62"/>
      <c r="DL349" s="1235"/>
      <c r="DM349" s="1235"/>
      <c r="DN349" s="1235"/>
      <c r="DO349" s="1235"/>
      <c r="DP349" s="1235"/>
      <c r="DQ349" s="1235"/>
      <c r="DR349" s="1235"/>
      <c r="DS349" s="384"/>
      <c r="DT349" s="384"/>
      <c r="DU349" s="384"/>
      <c r="DV349" s="384"/>
      <c r="DY349" s="384"/>
      <c r="DZ349" s="384"/>
    </row>
    <row r="350" spans="1:130">
      <c r="A350" s="45" t="s">
        <v>310</v>
      </c>
      <c r="B350" s="63">
        <v>0</v>
      </c>
      <c r="C350" s="63">
        <v>0</v>
      </c>
      <c r="D350" s="63">
        <v>0</v>
      </c>
      <c r="E350" s="63">
        <v>0</v>
      </c>
      <c r="F350" s="63">
        <v>0</v>
      </c>
      <c r="G350" s="63">
        <v>198012</v>
      </c>
      <c r="H350" s="63">
        <v>279148</v>
      </c>
      <c r="I350" s="63">
        <v>255413</v>
      </c>
      <c r="J350" s="63">
        <v>403861</v>
      </c>
      <c r="K350" s="63">
        <v>250995</v>
      </c>
      <c r="L350" s="63">
        <v>357709</v>
      </c>
      <c r="M350" s="63">
        <v>320523</v>
      </c>
      <c r="N350" s="63">
        <v>506879</v>
      </c>
      <c r="O350" s="63">
        <v>310293</v>
      </c>
      <c r="P350" s="63">
        <v>444355</v>
      </c>
      <c r="Q350" s="63">
        <v>395358</v>
      </c>
      <c r="R350" s="63">
        <v>601722</v>
      </c>
      <c r="S350" s="63">
        <v>383383</v>
      </c>
      <c r="T350" s="63">
        <v>509846</v>
      </c>
      <c r="U350" s="63">
        <v>449034</v>
      </c>
      <c r="V350" s="63">
        <v>613758</v>
      </c>
      <c r="W350" s="63">
        <v>362649</v>
      </c>
      <c r="X350" s="63">
        <v>554732</v>
      </c>
      <c r="Y350" s="63">
        <v>486730</v>
      </c>
      <c r="Z350" s="63">
        <v>711858</v>
      </c>
      <c r="AA350" s="63">
        <v>440246</v>
      </c>
      <c r="AB350" s="63">
        <v>629989</v>
      </c>
      <c r="AC350" s="63">
        <v>568740</v>
      </c>
      <c r="AD350" s="63">
        <v>823709</v>
      </c>
      <c r="AE350" s="63">
        <v>517707</v>
      </c>
      <c r="AF350" s="63">
        <v>749653</v>
      </c>
      <c r="AG350" s="63">
        <v>657076</v>
      </c>
      <c r="AH350" s="63">
        <v>972180</v>
      </c>
      <c r="AI350" s="63">
        <v>619199</v>
      </c>
      <c r="AJ350" s="63">
        <v>855169</v>
      </c>
      <c r="AK350" s="63">
        <v>803260</v>
      </c>
      <c r="AL350" s="63">
        <v>1184332</v>
      </c>
      <c r="AM350" s="63">
        <v>726731</v>
      </c>
      <c r="AN350" s="63">
        <v>947203</v>
      </c>
      <c r="AO350" s="63">
        <v>906918</v>
      </c>
      <c r="AP350" s="63">
        <v>1332954</v>
      </c>
      <c r="AQ350" s="63">
        <f t="shared" ref="AQ350:CH350" si="2546">AQ30</f>
        <v>814516</v>
      </c>
      <c r="AR350" s="63">
        <f t="shared" si="2546"/>
        <v>1111198</v>
      </c>
      <c r="AS350" s="63">
        <f t="shared" si="2546"/>
        <v>1047091</v>
      </c>
      <c r="AT350" s="63">
        <f t="shared" si="2546"/>
        <v>1669807</v>
      </c>
      <c r="AU350" s="63">
        <f t="shared" si="2546"/>
        <v>1010895</v>
      </c>
      <c r="AV350" s="63">
        <f t="shared" si="2546"/>
        <v>1354226</v>
      </c>
      <c r="AW350" s="63">
        <f t="shared" si="2546"/>
        <v>1248365</v>
      </c>
      <c r="AX350" s="63">
        <f t="shared" si="2546"/>
        <v>1837366</v>
      </c>
      <c r="AY350" s="63">
        <f t="shared" si="2546"/>
        <v>1076148</v>
      </c>
      <c r="AZ350" s="63">
        <f t="shared" si="2546"/>
        <v>1464688</v>
      </c>
      <c r="BA350" s="64">
        <f t="shared" si="2546"/>
        <v>1260418</v>
      </c>
      <c r="BB350" s="63">
        <f t="shared" si="2546"/>
        <v>1920504</v>
      </c>
      <c r="BC350" s="64">
        <f t="shared" si="2546"/>
        <v>1234684</v>
      </c>
      <c r="BD350" s="63">
        <f t="shared" si="2546"/>
        <v>1630456</v>
      </c>
      <c r="BE350" s="63">
        <f t="shared" si="2546"/>
        <v>1512578</v>
      </c>
      <c r="BF350" s="63">
        <f t="shared" si="2546"/>
        <v>2222355</v>
      </c>
      <c r="BG350" s="63">
        <f t="shared" si="2546"/>
        <v>1398819</v>
      </c>
      <c r="BH350" s="63">
        <f t="shared" si="2546"/>
        <v>1780031</v>
      </c>
      <c r="BI350" s="1227">
        <f t="shared" si="2546"/>
        <v>1711461</v>
      </c>
      <c r="BJ350" s="1227">
        <f t="shared" si="2546"/>
        <v>2595122</v>
      </c>
      <c r="BK350" s="1227">
        <f t="shared" si="2546"/>
        <v>1650337</v>
      </c>
      <c r="BL350" s="1227">
        <f t="shared" si="2546"/>
        <v>2019374</v>
      </c>
      <c r="BM350" s="1227">
        <f t="shared" si="2546"/>
        <v>1931924</v>
      </c>
      <c r="BN350" s="1227">
        <f t="shared" si="2546"/>
        <v>2873058</v>
      </c>
      <c r="BO350" s="1227">
        <f t="shared" si="2546"/>
        <v>1550180</v>
      </c>
      <c r="BP350" s="1227">
        <f t="shared" si="2546"/>
        <v>539636</v>
      </c>
      <c r="BQ350" s="1227">
        <f t="shared" si="2546"/>
        <v>1651197</v>
      </c>
      <c r="BR350" s="1227">
        <f t="shared" si="2546"/>
        <v>2919558</v>
      </c>
      <c r="BS350" s="1227">
        <f t="shared" si="2546"/>
        <v>1364417</v>
      </c>
      <c r="BT350" s="1227">
        <f t="shared" si="2546"/>
        <v>2258723</v>
      </c>
      <c r="BU350" s="1227">
        <f t="shared" si="2546"/>
        <v>2371924.3700500024</v>
      </c>
      <c r="BV350" s="1227">
        <f t="shared" si="2546"/>
        <v>3560662.0335699995</v>
      </c>
      <c r="BW350" s="1227">
        <f t="shared" si="2546"/>
        <v>2229665</v>
      </c>
      <c r="BX350" s="1227">
        <f t="shared" si="2546"/>
        <v>3175745</v>
      </c>
      <c r="BY350" s="1227">
        <f t="shared" si="2546"/>
        <v>2615521</v>
      </c>
      <c r="BZ350" s="1227">
        <f t="shared" si="2546"/>
        <v>3554864</v>
      </c>
      <c r="CA350" s="1227">
        <f t="shared" si="2546"/>
        <v>2277999</v>
      </c>
      <c r="CB350" s="1227">
        <f t="shared" si="2546"/>
        <v>2985304</v>
      </c>
      <c r="CC350" s="1227">
        <f t="shared" si="2546"/>
        <v>2636106</v>
      </c>
      <c r="CD350" s="1227">
        <f t="shared" si="2546"/>
        <v>3806931</v>
      </c>
      <c r="CE350" s="1227">
        <f t="shared" ref="CE350:CF350" si="2547">CE30</f>
        <v>2461296</v>
      </c>
      <c r="CF350" s="1227">
        <f t="shared" si="2547"/>
        <v>3079923</v>
      </c>
      <c r="CG350" s="1227">
        <f t="shared" si="2546"/>
        <v>2955952</v>
      </c>
      <c r="CH350" s="1227">
        <f t="shared" si="2546"/>
        <v>4174779</v>
      </c>
      <c r="CI350" s="1227">
        <f t="shared" ref="CI350:CL350" si="2548">CI30</f>
        <v>2756840</v>
      </c>
      <c r="CJ350" s="1227">
        <f t="shared" ref="CJ350" si="2549">CJ30</f>
        <v>3649669</v>
      </c>
      <c r="CK350" s="1227">
        <f t="shared" si="2548"/>
        <v>3079149</v>
      </c>
      <c r="CL350" s="367">
        <f t="shared" si="2548"/>
        <v>4372015.7390090954</v>
      </c>
      <c r="CM350" s="367">
        <f t="shared" ref="CM350:CP350" si="2550">CM30</f>
        <v>2935811.0941041741</v>
      </c>
      <c r="CN350" s="367">
        <f t="shared" si="2550"/>
        <v>3851396.9565790822</v>
      </c>
      <c r="CO350" s="367">
        <f t="shared" si="2550"/>
        <v>3332428.9985024352</v>
      </c>
      <c r="CP350" s="367">
        <f t="shared" si="2550"/>
        <v>4741143.6357525196</v>
      </c>
      <c r="CQ350" s="367"/>
      <c r="CR350" s="604"/>
      <c r="CS350" s="604"/>
      <c r="CT350" s="367">
        <v>4372015.7390090954</v>
      </c>
      <c r="CU350" s="1102"/>
      <c r="CV350" s="63">
        <v>0</v>
      </c>
      <c r="CW350" s="63">
        <v>0</v>
      </c>
      <c r="CX350" s="63">
        <v>1436106</v>
      </c>
      <c r="CY350" s="63">
        <v>1751728</v>
      </c>
      <c r="CZ350" s="63">
        <v>1956021</v>
      </c>
      <c r="DA350" s="63">
        <v>2115969</v>
      </c>
      <c r="DB350" s="63">
        <v>2462684</v>
      </c>
      <c r="DC350" s="63">
        <v>2896616</v>
      </c>
      <c r="DD350" s="63">
        <v>3461960</v>
      </c>
      <c r="DE350" s="63">
        <v>3913806</v>
      </c>
      <c r="DF350" s="63">
        <f t="shared" ref="DF350:DV350" si="2551">DF30</f>
        <v>4642612</v>
      </c>
      <c r="DG350" s="63">
        <f t="shared" si="2551"/>
        <v>5450852</v>
      </c>
      <c r="DH350" s="63">
        <f t="shared" si="2551"/>
        <v>5721758</v>
      </c>
      <c r="DI350" s="63">
        <f t="shared" si="2551"/>
        <v>6600073</v>
      </c>
      <c r="DJ350" s="63">
        <f t="shared" si="2551"/>
        <v>7485433</v>
      </c>
      <c r="DK350" s="63">
        <f t="shared" si="2551"/>
        <v>8474693</v>
      </c>
      <c r="DL350" s="1227">
        <f t="shared" si="2551"/>
        <v>6660571</v>
      </c>
      <c r="DM350" s="1227">
        <f t="shared" si="2551"/>
        <v>9555726.4036200009</v>
      </c>
      <c r="DN350" s="1227">
        <f t="shared" si="2551"/>
        <v>11575795</v>
      </c>
      <c r="DO350" s="1227">
        <f t="shared" si="2551"/>
        <v>11706340</v>
      </c>
      <c r="DP350" s="1227">
        <f t="shared" si="2551"/>
        <v>12671950</v>
      </c>
      <c r="DQ350" s="1227">
        <f t="shared" ref="DQ350:DR350" si="2552">DQ30</f>
        <v>13857673.739009095</v>
      </c>
      <c r="DR350" s="1227">
        <f t="shared" si="2552"/>
        <v>14860780.684938211</v>
      </c>
      <c r="DS350" s="367">
        <f t="shared" si="2551"/>
        <v>16129238.936102465</v>
      </c>
      <c r="DT350" s="367">
        <f t="shared" si="2551"/>
        <v>17370380.215569045</v>
      </c>
      <c r="DU350" s="367">
        <f t="shared" si="2551"/>
        <v>18695329.764494058</v>
      </c>
      <c r="DV350" s="367">
        <f t="shared" si="2551"/>
        <v>20109365.04613978</v>
      </c>
      <c r="DY350" s="367">
        <v>15277654.571192246</v>
      </c>
      <c r="DZ350" s="367">
        <v>16632533.820276788</v>
      </c>
    </row>
    <row r="351" spans="1:130">
      <c r="A351" s="7" t="s">
        <v>92</v>
      </c>
      <c r="B351" s="7"/>
      <c r="C351" s="7"/>
      <c r="D351" s="7"/>
      <c r="E351" s="7"/>
      <c r="F351" s="7"/>
      <c r="G351" s="7" t="e">
        <v>#DIV/0!</v>
      </c>
      <c r="H351" s="7" t="e">
        <v>#DIV/0!</v>
      </c>
      <c r="I351" s="7" t="e">
        <v>#DIV/0!</v>
      </c>
      <c r="J351" s="7" t="e">
        <v>#DIV/0!</v>
      </c>
      <c r="K351" s="7">
        <v>0.26757469244288234</v>
      </c>
      <c r="L351" s="7">
        <v>0.28143135541003339</v>
      </c>
      <c r="M351" s="7">
        <v>0.25492046215345332</v>
      </c>
      <c r="N351" s="7">
        <v>0.25508281314610715</v>
      </c>
      <c r="O351" s="7">
        <v>0.23625171816171631</v>
      </c>
      <c r="P351" s="7">
        <v>0.24222482520708177</v>
      </c>
      <c r="Q351" s="7">
        <v>0.23347778474555647</v>
      </c>
      <c r="R351" s="7">
        <v>0.18711171699754781</v>
      </c>
      <c r="S351" s="7">
        <v>0.23555155933263072</v>
      </c>
      <c r="T351" s="7">
        <v>0.14738441111273648</v>
      </c>
      <c r="U351" s="7">
        <v>0.13576555931586065</v>
      </c>
      <c r="V351" s="7">
        <v>2.0002592559354548E-2</v>
      </c>
      <c r="W351" s="7">
        <v>-5.4081688546440465E-2</v>
      </c>
      <c r="X351" s="7">
        <v>8.8038348834746261E-2</v>
      </c>
      <c r="Y351" s="7">
        <v>8.394909962274566E-2</v>
      </c>
      <c r="Z351" s="7">
        <v>0.15983498382098471</v>
      </c>
      <c r="AA351" s="7">
        <v>0.21397273948087547</v>
      </c>
      <c r="AB351" s="7">
        <v>0.13566370788056203</v>
      </c>
      <c r="AC351" s="7">
        <v>0.16849177161876194</v>
      </c>
      <c r="AD351" s="7">
        <v>0.15712543793846523</v>
      </c>
      <c r="AE351" s="7">
        <v>0.17594935558755798</v>
      </c>
      <c r="AF351" s="7">
        <v>0.18994617366334965</v>
      </c>
      <c r="AG351" s="7">
        <v>0.15531877483560153</v>
      </c>
      <c r="AH351" s="7">
        <v>0.18024690758508166</v>
      </c>
      <c r="AI351" s="7">
        <v>0.19604139020720224</v>
      </c>
      <c r="AJ351" s="7">
        <v>0.14075312177767585</v>
      </c>
      <c r="AK351" s="7">
        <v>0.22247654761397473</v>
      </c>
      <c r="AL351" s="7">
        <v>0.2182229628258141</v>
      </c>
      <c r="AM351" s="7">
        <v>0.17366307116129054</v>
      </c>
      <c r="AN351" s="7">
        <v>0.10762083284122781</v>
      </c>
      <c r="AO351" s="7">
        <v>0.12904663496252766</v>
      </c>
      <c r="AP351" s="7">
        <v>0.12549014972153083</v>
      </c>
      <c r="AQ351" s="7">
        <f t="shared" ref="AQ351:BG351" si="2553">AQ350/AM350-1</f>
        <v>0.12079435169271702</v>
      </c>
      <c r="AR351" s="7">
        <f t="shared" si="2553"/>
        <v>0.17313606481398391</v>
      </c>
      <c r="AS351" s="7">
        <f t="shared" si="2553"/>
        <v>0.15455972866345147</v>
      </c>
      <c r="AT351" s="7">
        <f t="shared" si="2553"/>
        <v>0.25271164646341893</v>
      </c>
      <c r="AU351" s="7">
        <f t="shared" si="2553"/>
        <v>0.24109900849093213</v>
      </c>
      <c r="AV351" s="7">
        <f t="shared" si="2553"/>
        <v>0.21870809702681249</v>
      </c>
      <c r="AW351" s="7">
        <f t="shared" si="2553"/>
        <v>0.19222207047907003</v>
      </c>
      <c r="AX351" s="7">
        <f t="shared" si="2553"/>
        <v>0.10034632744981908</v>
      </c>
      <c r="AY351" s="7">
        <f t="shared" si="2553"/>
        <v>6.4549730684195783E-2</v>
      </c>
      <c r="AZ351" s="7">
        <f t="shared" si="2553"/>
        <v>8.1568364512274893E-2</v>
      </c>
      <c r="BA351" s="8">
        <f t="shared" si="2553"/>
        <v>9.6550287776411281E-3</v>
      </c>
      <c r="BB351" s="7">
        <f t="shared" si="2553"/>
        <v>4.5248469820384107E-2</v>
      </c>
      <c r="BC351" s="8">
        <f t="shared" si="2553"/>
        <v>0.14731802688849482</v>
      </c>
      <c r="BD351" s="7">
        <f t="shared" si="2553"/>
        <v>0.11317632151011003</v>
      </c>
      <c r="BE351" s="7">
        <f t="shared" si="2553"/>
        <v>0.20006061481191151</v>
      </c>
      <c r="BF351" s="7">
        <f t="shared" si="2553"/>
        <v>0.15717280463878236</v>
      </c>
      <c r="BG351" s="7">
        <f t="shared" si="2553"/>
        <v>0.13293684861875588</v>
      </c>
      <c r="BH351" s="7">
        <f t="shared" ref="BH351:BV351" si="2554">BH350/BD350-1</f>
        <v>9.1738139514344397E-2</v>
      </c>
      <c r="BI351" s="114">
        <f t="shared" si="2554"/>
        <v>0.13148611179059855</v>
      </c>
      <c r="BJ351" s="114">
        <f t="shared" si="2554"/>
        <v>0.16773512782611233</v>
      </c>
      <c r="BK351" s="114">
        <f t="shared" si="2554"/>
        <v>0.17980739466650086</v>
      </c>
      <c r="BL351" s="114">
        <f t="shared" si="2554"/>
        <v>0.13446001783115014</v>
      </c>
      <c r="BM351" s="114">
        <f t="shared" si="2554"/>
        <v>0.12881567269134386</v>
      </c>
      <c r="BN351" s="114">
        <f t="shared" si="2554"/>
        <v>0.10709939648309397</v>
      </c>
      <c r="BO351" s="114">
        <f t="shared" si="2554"/>
        <v>-6.0688816890126063E-2</v>
      </c>
      <c r="BP351" s="114">
        <f t="shared" si="2554"/>
        <v>-0.73277065070660519</v>
      </c>
      <c r="BQ351" s="114">
        <f t="shared" si="2554"/>
        <v>-0.14530954633826176</v>
      </c>
      <c r="BR351" s="114">
        <f t="shared" si="2554"/>
        <v>1.6184845554806149E-2</v>
      </c>
      <c r="BS351" s="114">
        <f t="shared" si="2554"/>
        <v>-0.11983318066289073</v>
      </c>
      <c r="BT351" s="114">
        <f t="shared" si="2554"/>
        <v>3.1856418029931284</v>
      </c>
      <c r="BU351" s="114">
        <f t="shared" si="2554"/>
        <v>0.43648781462781394</v>
      </c>
      <c r="BV351" s="114">
        <f t="shared" si="2554"/>
        <v>0.21958941509981966</v>
      </c>
      <c r="BW351" s="114">
        <f t="shared" ref="BW351:CF351" si="2555">BW350/BS350-1</f>
        <v>0.63415216902164073</v>
      </c>
      <c r="BX351" s="114">
        <f t="shared" si="2555"/>
        <v>0.40599134997961239</v>
      </c>
      <c r="BY351" s="114">
        <f t="shared" si="2555"/>
        <v>0.10269999879669967</v>
      </c>
      <c r="BZ351" s="114">
        <f t="shared" si="2555"/>
        <v>-1.6283582983545042E-3</v>
      </c>
      <c r="CA351" s="114">
        <f t="shared" si="2555"/>
        <v>2.1677695976749956E-2</v>
      </c>
      <c r="CB351" s="114">
        <f t="shared" si="2555"/>
        <v>-5.9967346244739428E-2</v>
      </c>
      <c r="CC351" s="114">
        <f t="shared" si="2555"/>
        <v>7.8703248798230874E-3</v>
      </c>
      <c r="CD351" s="114">
        <f t="shared" si="2555"/>
        <v>7.0907635285063053E-2</v>
      </c>
      <c r="CE351" s="114">
        <f t="shared" si="2555"/>
        <v>8.0464038834082041E-2</v>
      </c>
      <c r="CF351" s="114">
        <f t="shared" si="2555"/>
        <v>3.1694929561612462E-2</v>
      </c>
      <c r="CG351" s="114">
        <f t="shared" ref="CG351:CH351" si="2556">CG350/CC350-1</f>
        <v>0.12133275369048135</v>
      </c>
      <c r="CH351" s="114">
        <f t="shared" si="2556"/>
        <v>9.6625864771386683E-2</v>
      </c>
      <c r="CI351" s="114">
        <f t="shared" ref="CI351:CJ351" si="2557">CI350/CE350-1</f>
        <v>0.12007657754288803</v>
      </c>
      <c r="CJ351" s="114">
        <f t="shared" si="2557"/>
        <v>0.18498709220977272</v>
      </c>
      <c r="CK351" s="114">
        <f t="shared" ref="CK351" si="2558">CK350/CG350-1</f>
        <v>4.1677605049067035E-2</v>
      </c>
      <c r="CL351" s="168">
        <f t="shared" ref="CL351" si="2559">CL350/CH350-1</f>
        <v>4.7244833561032928E-2</v>
      </c>
      <c r="CM351" s="168">
        <f t="shared" ref="CM351" si="2560">CM350/CI350-1</f>
        <v>6.4918926779999664E-2</v>
      </c>
      <c r="CN351" s="168">
        <f t="shared" ref="CN351" si="2561">CN350/CJ350-1</f>
        <v>5.5272945732635526E-2</v>
      </c>
      <c r="CO351" s="168">
        <f t="shared" ref="CO351" si="2562">CO350/CK350-1</f>
        <v>8.2256493109763573E-2</v>
      </c>
      <c r="CP351" s="168">
        <f t="shared" ref="CP351" si="2563">CP350/CL350-1</f>
        <v>8.4429681588265693E-2</v>
      </c>
      <c r="CQ351" s="168"/>
      <c r="CR351" s="604"/>
      <c r="CS351" s="604"/>
      <c r="CT351" s="168">
        <v>4.7244833561032928E-2</v>
      </c>
      <c r="CU351" s="694"/>
      <c r="CV351" s="7"/>
      <c r="CW351" s="7" t="e">
        <v>#DIV/0!</v>
      </c>
      <c r="CX351" s="7" t="e">
        <v>#DIV/0!</v>
      </c>
      <c r="CY351" s="7">
        <v>0.21977625607023432</v>
      </c>
      <c r="CZ351" s="7">
        <v>0.11662369956979624</v>
      </c>
      <c r="DA351" s="7">
        <v>8.177212821334745E-2</v>
      </c>
      <c r="DB351" s="7">
        <v>0.16385637029654032</v>
      </c>
      <c r="DC351" s="7">
        <v>0.17620287458723904</v>
      </c>
      <c r="DD351" s="7">
        <v>0.19517395471129073</v>
      </c>
      <c r="DE351" s="7">
        <v>0.13051739477059243</v>
      </c>
      <c r="DF351" s="7">
        <f t="shared" ref="DF351:DM351" si="2564">DF350/DE350-1</f>
        <v>0.18621413529439113</v>
      </c>
      <c r="DG351" s="7">
        <f t="shared" si="2564"/>
        <v>0.17409165357777034</v>
      </c>
      <c r="DH351" s="7">
        <f t="shared" si="2564"/>
        <v>4.9699753359658372E-2</v>
      </c>
      <c r="DI351" s="7">
        <f t="shared" si="2564"/>
        <v>0.15350439497790713</v>
      </c>
      <c r="DJ351" s="7">
        <f t="shared" si="2564"/>
        <v>0.13414397083183771</v>
      </c>
      <c r="DK351" s="7">
        <f t="shared" si="2564"/>
        <v>0.13215801944924221</v>
      </c>
      <c r="DL351" s="114">
        <f t="shared" si="2564"/>
        <v>-0.21406344749007422</v>
      </c>
      <c r="DM351" s="114">
        <f t="shared" si="2564"/>
        <v>0.43467075174485803</v>
      </c>
      <c r="DN351" s="114">
        <f t="shared" ref="DN351:DS351" si="2565">DN350/DM350-1</f>
        <v>0.21139874783509249</v>
      </c>
      <c r="DO351" s="114">
        <f t="shared" si="2565"/>
        <v>1.1277411184285935E-2</v>
      </c>
      <c r="DP351" s="114">
        <f t="shared" si="2565"/>
        <v>8.2486071650063053E-2</v>
      </c>
      <c r="DQ351" s="114">
        <f t="shared" si="2565"/>
        <v>9.3570740020998855E-2</v>
      </c>
      <c r="DR351" s="114">
        <f t="shared" si="2565"/>
        <v>7.2386387847001243E-2</v>
      </c>
      <c r="DS351" s="168">
        <f t="shared" si="2565"/>
        <v>8.5356097910109785E-2</v>
      </c>
      <c r="DT351" s="168">
        <f t="shared" ref="DT351" si="2566">DT350/DS350-1</f>
        <v>7.6949773289581858E-2</v>
      </c>
      <c r="DU351" s="168">
        <f t="shared" ref="DU351" si="2567">DU350/DT350-1</f>
        <v>7.6276370032330121E-2</v>
      </c>
      <c r="DV351" s="168">
        <f t="shared" ref="DV351" si="2568">DV350/DU350-1</f>
        <v>7.5635749647553263E-2</v>
      </c>
      <c r="DY351" s="168">
        <v>8.8863761228983984E-2</v>
      </c>
      <c r="DZ351" s="168">
        <v>8.8683720578374592E-2</v>
      </c>
    </row>
    <row r="352" spans="1:130">
      <c r="A352" s="45"/>
      <c r="B352" s="45"/>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c r="AG352" s="63"/>
      <c r="AH352" s="63"/>
      <c r="AI352" s="63"/>
      <c r="AJ352" s="63"/>
      <c r="AK352" s="63"/>
      <c r="AL352" s="63"/>
      <c r="AM352" s="63"/>
      <c r="AN352" s="63"/>
      <c r="AO352" s="63"/>
      <c r="AP352" s="63"/>
      <c r="AQ352" s="63"/>
      <c r="AR352" s="63"/>
      <c r="AS352" s="63"/>
      <c r="AT352" s="63"/>
      <c r="AU352" s="63"/>
      <c r="AV352" s="63"/>
      <c r="AW352" s="63"/>
      <c r="AX352" s="63"/>
      <c r="AY352" s="63"/>
      <c r="AZ352" s="63"/>
      <c r="BA352" s="64"/>
      <c r="BB352" s="63"/>
      <c r="BC352" s="64"/>
      <c r="BD352" s="63"/>
      <c r="BE352" s="63"/>
      <c r="BF352" s="63"/>
      <c r="BG352" s="63"/>
      <c r="BH352" s="63"/>
      <c r="BI352" s="1227"/>
      <c r="BJ352" s="1227"/>
      <c r="BK352" s="1227"/>
      <c r="BL352" s="1227"/>
      <c r="BM352" s="1227"/>
      <c r="BN352" s="1227"/>
      <c r="BO352" s="1227"/>
      <c r="BP352" s="1227"/>
      <c r="BQ352" s="1227"/>
      <c r="BR352" s="1227"/>
      <c r="BS352" s="1227"/>
      <c r="BT352" s="1227"/>
      <c r="BU352" s="1227"/>
      <c r="BV352" s="1227"/>
      <c r="BW352" s="1227"/>
      <c r="BX352" s="1227"/>
      <c r="BY352" s="1227"/>
      <c r="BZ352" s="1227"/>
      <c r="CA352" s="1227"/>
      <c r="CB352" s="1227"/>
      <c r="CC352" s="1227"/>
      <c r="CD352" s="1227"/>
      <c r="CE352" s="1227"/>
      <c r="CF352" s="1227"/>
      <c r="CG352" s="1227"/>
      <c r="CH352" s="1227"/>
      <c r="CI352" s="1227"/>
      <c r="CJ352" s="1227"/>
      <c r="CK352" s="1227"/>
      <c r="CL352" s="367"/>
      <c r="CM352" s="367"/>
      <c r="CN352" s="367"/>
      <c r="CO352" s="367"/>
      <c r="CP352" s="367"/>
      <c r="CQ352" s="367"/>
      <c r="CR352" s="604"/>
      <c r="CS352" s="604"/>
      <c r="CT352" s="367"/>
      <c r="CU352" s="1102"/>
      <c r="CV352" s="63"/>
      <c r="CW352" s="63"/>
      <c r="CX352" s="63"/>
      <c r="CY352" s="63"/>
      <c r="CZ352" s="62"/>
      <c r="DA352" s="62"/>
      <c r="DB352" s="62"/>
      <c r="DC352" s="62"/>
      <c r="DD352" s="62"/>
      <c r="DE352" s="62"/>
      <c r="DF352" s="62"/>
      <c r="DG352" s="62"/>
      <c r="DH352" s="62"/>
      <c r="DI352" s="62"/>
      <c r="DJ352" s="62"/>
      <c r="DK352" s="62"/>
      <c r="DL352" s="1235"/>
      <c r="DM352" s="1235"/>
      <c r="DN352" s="1235"/>
      <c r="DO352" s="1235"/>
      <c r="DP352" s="1235"/>
      <c r="DQ352" s="1235"/>
      <c r="DR352" s="1235"/>
      <c r="DS352" s="384"/>
      <c r="DT352" s="384"/>
      <c r="DU352" s="384"/>
      <c r="DV352" s="384"/>
      <c r="DY352" s="384"/>
      <c r="DZ352" s="384"/>
    </row>
    <row r="353" spans="1:130">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116"/>
      <c r="BJ353" s="116"/>
      <c r="BK353" s="116"/>
      <c r="BL353" s="116"/>
      <c r="BM353" s="116"/>
      <c r="BN353" s="116"/>
      <c r="BO353" s="116"/>
      <c r="BP353" s="116"/>
      <c r="BQ353" s="116"/>
      <c r="BR353" s="116"/>
      <c r="BS353" s="116"/>
      <c r="BT353" s="116"/>
      <c r="BU353" s="116"/>
      <c r="BV353" s="116"/>
      <c r="BW353" s="116"/>
      <c r="BX353" s="116"/>
      <c r="BY353" s="116"/>
      <c r="BZ353" s="116"/>
      <c r="CA353" s="116"/>
      <c r="CB353" s="116"/>
      <c r="CC353" s="116"/>
      <c r="CD353" s="116"/>
      <c r="CE353" s="116"/>
      <c r="CF353" s="116"/>
      <c r="CG353" s="116"/>
      <c r="CH353" s="116"/>
      <c r="CI353" s="116"/>
      <c r="CJ353" s="116"/>
      <c r="CK353" s="116"/>
      <c r="CL353" s="192"/>
      <c r="CM353" s="192"/>
      <c r="CN353" s="192"/>
      <c r="CO353" s="192"/>
      <c r="CP353" s="192"/>
      <c r="CQ353" s="192"/>
      <c r="CR353" s="604"/>
      <c r="CS353" s="604"/>
      <c r="CT353" s="192"/>
      <c r="CU353" s="694"/>
      <c r="CV353" s="8"/>
      <c r="CW353" s="8"/>
      <c r="CX353" s="8"/>
      <c r="CY353" s="8"/>
      <c r="CZ353" s="8"/>
      <c r="DA353" s="8"/>
      <c r="DB353" s="7"/>
      <c r="DC353" s="7"/>
      <c r="DD353" s="7"/>
      <c r="DE353" s="7"/>
      <c r="DF353" s="7"/>
      <c r="DG353" s="7"/>
      <c r="DH353" s="7"/>
      <c r="DI353" s="7"/>
      <c r="DJ353" s="7"/>
      <c r="DK353" s="7"/>
      <c r="DL353" s="114"/>
      <c r="DM353" s="114"/>
      <c r="DN353" s="114"/>
      <c r="DO353" s="114"/>
      <c r="DP353" s="114"/>
      <c r="DQ353" s="114"/>
      <c r="DR353" s="114"/>
      <c r="DS353" s="168"/>
      <c r="DT353" s="168"/>
      <c r="DU353" s="168"/>
      <c r="DV353" s="168"/>
      <c r="DY353" s="168"/>
      <c r="DZ353" s="168"/>
    </row>
    <row r="354" spans="1:130">
      <c r="A354" s="17" t="s">
        <v>167</v>
      </c>
      <c r="B354" s="17"/>
      <c r="C354" s="61">
        <v>1.8499999999999999E-2</v>
      </c>
      <c r="D354" s="61">
        <v>1.6E-2</v>
      </c>
      <c r="E354" s="61">
        <v>1.9400000000000001E-2</v>
      </c>
      <c r="F354" s="61">
        <v>0.02</v>
      </c>
      <c r="G354" s="61">
        <v>1.7899999999999999E-2</v>
      </c>
      <c r="H354" s="61">
        <v>1.3469457789979433E-2</v>
      </c>
      <c r="I354" s="61">
        <v>7.7189382259461592E-3</v>
      </c>
      <c r="J354" s="61">
        <v>1.668820790972636E-2</v>
      </c>
      <c r="K354" s="61">
        <v>1.4368541453025019E-2</v>
      </c>
      <c r="L354" s="61">
        <v>9.9540016253008012E-4</v>
      </c>
      <c r="M354" s="61">
        <v>4.4759999999999999E-3</v>
      </c>
      <c r="N354" s="61">
        <v>1.1345218800648427E-2</v>
      </c>
      <c r="O354" s="61">
        <v>1.26E-2</v>
      </c>
      <c r="P354" s="61">
        <v>8.2000000000000007E-3</v>
      </c>
      <c r="Q354" s="61">
        <v>8.8999999999999999E-3</v>
      </c>
      <c r="R354" s="61">
        <v>1.43E-2</v>
      </c>
      <c r="S354" s="61">
        <v>1.5149686330916142E-2</v>
      </c>
      <c r="T354" s="61">
        <v>2.0897660603252811E-2</v>
      </c>
      <c r="U354" s="61">
        <v>1.0699999999999999E-2</v>
      </c>
      <c r="V354" s="61">
        <v>1.09E-2</v>
      </c>
      <c r="W354" s="61">
        <v>1.24E-2</v>
      </c>
      <c r="X354" s="61">
        <v>1.32E-2</v>
      </c>
      <c r="Y354" s="61">
        <v>6.6E-3</v>
      </c>
      <c r="Z354" s="61">
        <v>1.0200000000000001E-2</v>
      </c>
      <c r="AA354" s="61">
        <v>2.06E-2</v>
      </c>
      <c r="AB354" s="61">
        <v>0.01</v>
      </c>
      <c r="AC354" s="61">
        <v>5.0000000000000001E-3</v>
      </c>
      <c r="AD354" s="61">
        <v>2.23E-2</v>
      </c>
      <c r="AE354" s="61">
        <v>2.4400000000000002E-2</v>
      </c>
      <c r="AF354" s="61">
        <v>1.4E-2</v>
      </c>
      <c r="AG354" s="61">
        <v>1.06E-2</v>
      </c>
      <c r="AH354" s="61">
        <v>1.44E-2</v>
      </c>
      <c r="AI354" s="61">
        <v>1.224646292000009E-2</v>
      </c>
      <c r="AJ354" s="61">
        <v>1.083105843199994E-2</v>
      </c>
      <c r="AK354" s="61">
        <v>1.416561049100018E-2</v>
      </c>
      <c r="AL354" s="61">
        <v>1.9929689660000083E-2</v>
      </c>
      <c r="AM354" s="61">
        <v>1.9420462519999848E-2</v>
      </c>
      <c r="AN354" s="61">
        <v>1.1844322910000038E-2</v>
      </c>
      <c r="AO354" s="61">
        <v>6.2101725200001123E-3</v>
      </c>
      <c r="AP354" s="61">
        <v>2.0433183176000069E-2</v>
      </c>
      <c r="AQ354" s="61">
        <f>MACRO!BD8</f>
        <v>2.1700000000000001E-2</v>
      </c>
      <c r="AR354" s="61">
        <f>MACRO!BE8</f>
        <v>1.14E-2</v>
      </c>
      <c r="AS354" s="61">
        <f>MACRO!BF8</f>
        <v>1.04E-2</v>
      </c>
      <c r="AT354" s="61">
        <f>MACRO!BG8</f>
        <v>1.67E-2</v>
      </c>
      <c r="AU354" s="61">
        <f>MACRO!BH8</f>
        <v>1.3475174441242466E-2</v>
      </c>
      <c r="AV354" s="61">
        <f>MACRO!BI8</f>
        <v>1.3475174441242466E-2</v>
      </c>
      <c r="AW354" s="61">
        <f>MACRO!BJ8</f>
        <v>1.3475174441242466E-2</v>
      </c>
      <c r="AX354" s="61">
        <f>MACRO!BK8</f>
        <v>1.3475174441242466E-2</v>
      </c>
      <c r="AY354" s="61">
        <f>MACRO!BL8</f>
        <v>2.5999999999999999E-2</v>
      </c>
      <c r="AZ354" s="61">
        <f>MACRO!BM8</f>
        <v>1.7496396530000125E-2</v>
      </c>
      <c r="BA354" s="61">
        <f>MACRO!BN8</f>
        <v>1.043057830399996E-2</v>
      </c>
      <c r="BB354" s="61">
        <f>MACRO!BO8</f>
        <v>7.4178940399998172E-3</v>
      </c>
      <c r="BC354" s="61">
        <f>MACRO!BP8</f>
        <v>9.6303213499999707E-3</v>
      </c>
      <c r="BD354" s="61">
        <f>MACRO!BQ8</f>
        <v>2.1939800180001967E-3</v>
      </c>
      <c r="BE354" s="61">
        <f>MACRO!BR8</f>
        <v>5.9114472960000164E-3</v>
      </c>
      <c r="BF354" s="61">
        <f>MACRO!BS8</f>
        <v>1.1442611743999853E-2</v>
      </c>
      <c r="BG354" s="61">
        <f>MACRO!BT8</f>
        <v>7.0147783519998175E-3</v>
      </c>
      <c r="BH354" s="61">
        <f>MACRO!BU8</f>
        <v>1.1239843999999888E-2</v>
      </c>
      <c r="BI354" s="1251">
        <f>MACRO!BV8</f>
        <v>8.1158400000000963E-3</v>
      </c>
      <c r="BJ354" s="1251">
        <f>MACRO!BW8</f>
        <v>3.8999999999999998E-3</v>
      </c>
      <c r="BK354" s="1251">
        <f>MACRO!BX8</f>
        <v>1.4999999999999999E-2</v>
      </c>
      <c r="BL354" s="1251">
        <f>MACRO!BY8</f>
        <v>7.1000000000000004E-3</v>
      </c>
      <c r="BM354" s="1251">
        <f>MACRO!BZ8</f>
        <v>2.5999999999999999E-3</v>
      </c>
      <c r="BN354" s="1251">
        <f>MACRO!CA8</f>
        <v>1.7600000000000001E-2</v>
      </c>
      <c r="BO354" s="1251">
        <f>MACRO!CB8</f>
        <v>5.4000000000000003E-3</v>
      </c>
      <c r="BP354" s="1251">
        <f>MACRO!CC8</f>
        <v>-4.3E-3</v>
      </c>
      <c r="BQ354" s="1292">
        <f>MACRO!CD8</f>
        <v>1.24E-2</v>
      </c>
      <c r="BR354" s="1292">
        <f>MACRO!CE8</f>
        <v>3.1E-2</v>
      </c>
      <c r="BS354" s="1292">
        <f>MACRO!CF8</f>
        <v>2.0400000000000001E-2</v>
      </c>
      <c r="BT354" s="1292">
        <f>MACRO!CG8</f>
        <v>1.67E-2</v>
      </c>
      <c r="BU354" s="1292">
        <f>MACRO!CH8</f>
        <v>2.9900000000000003E-2</v>
      </c>
      <c r="BV354" s="1292">
        <f>MACRO!CI8</f>
        <v>2.9300000000000003E-2</v>
      </c>
      <c r="BW354" s="1292">
        <f>MACRO!CJ8</f>
        <v>3.2199999999999999E-2</v>
      </c>
      <c r="BX354" s="1292">
        <f>MACRO!CK8</f>
        <v>2.2000000000000002E-2</v>
      </c>
      <c r="BY354" s="1292">
        <f>MACRO!CL8</f>
        <v>-1.3299999999999999E-2</v>
      </c>
      <c r="BZ354" s="1292">
        <f>MACRO!CM8</f>
        <v>1.7500000000000002E-2</v>
      </c>
      <c r="CA354" s="1292">
        <f>MACRO!CN8</f>
        <v>2.0799999999999999E-2</v>
      </c>
      <c r="CB354" s="1292">
        <f>MACRO!CO8</f>
        <v>7.6E-3</v>
      </c>
      <c r="CC354" s="1292">
        <f>MACRO!CP8</f>
        <v>6.0999999999999995E-3</v>
      </c>
      <c r="CD354" s="1292">
        <f>MACRO!CQ8</f>
        <v>1.2E-2</v>
      </c>
      <c r="CE354" s="1292">
        <f>MACRO!CR8</f>
        <v>1.4154915775999921E-2</v>
      </c>
      <c r="CF354" s="1292">
        <f>MACRO!CS8</f>
        <v>1.0535156707999871E-2</v>
      </c>
      <c r="CG354" s="1292">
        <f>MACRO!CT8</f>
        <v>6.2002865600001567E-3</v>
      </c>
      <c r="CH354" s="1292">
        <v>0.02</v>
      </c>
      <c r="CI354" s="1292">
        <f>MACRO!CV8</f>
        <v>2.0403397376000054E-2</v>
      </c>
      <c r="CJ354" s="1292">
        <f>MACRO!CW8</f>
        <v>9.327766831999762E-3</v>
      </c>
      <c r="CK354" s="1292">
        <f>MACRO!CX8</f>
        <v>6.3043262719999493E-3</v>
      </c>
      <c r="CL354" s="391">
        <f>MACRO!CY8</f>
        <v>1.093402249999964E-2</v>
      </c>
      <c r="CM354" s="391">
        <f>MACRO!CZ8</f>
        <v>1.4999999999999999E-2</v>
      </c>
      <c r="CN354" s="391">
        <f>MACRO!DA8</f>
        <v>8.5000000000000006E-3</v>
      </c>
      <c r="CO354" s="391">
        <f>MACRO!DB8</f>
        <v>6.0000000000000001E-3</v>
      </c>
      <c r="CP354" s="391">
        <f>MACRO!DC8</f>
        <v>1.15E-2</v>
      </c>
      <c r="CQ354" s="391"/>
      <c r="CR354" s="604"/>
      <c r="CS354" s="604"/>
      <c r="CT354" s="391">
        <v>1.093402249999964E-2</v>
      </c>
      <c r="CU354" s="693"/>
      <c r="CV354" s="61">
        <v>7.5968463247999996E-2</v>
      </c>
      <c r="CW354" s="61">
        <v>5.5776603925651952E-2</v>
      </c>
      <c r="CX354" s="61">
        <v>3.1185160416203526E-2</v>
      </c>
      <c r="CY354" s="61">
        <v>4.4600000000000001E-2</v>
      </c>
      <c r="CZ354" s="61">
        <v>5.8900000000000001E-2</v>
      </c>
      <c r="DA354" s="61">
        <v>4.3099999999999999E-2</v>
      </c>
      <c r="DB354" s="61">
        <v>5.91E-2</v>
      </c>
      <c r="DC354" s="61">
        <v>6.4799999999999996E-2</v>
      </c>
      <c r="DD354" s="61">
        <v>5.7172821503000293E-2</v>
      </c>
      <c r="DE354" s="61">
        <v>5.7908141126000068E-2</v>
      </c>
      <c r="DF354" s="61">
        <f>MACRO!DW8</f>
        <v>6.4100000000000004E-2</v>
      </c>
      <c r="DG354" s="61">
        <f>MACRO!DX8</f>
        <v>0.1067</v>
      </c>
      <c r="DH354" s="61">
        <f>MACRO!DY8</f>
        <v>6.2665012362475903E-2</v>
      </c>
      <c r="DI354" s="61">
        <f>MACRO!DZ8</f>
        <v>2.9473499083459087E-2</v>
      </c>
      <c r="DJ354" s="61">
        <f>MACRO!EA8</f>
        <v>3.0601831439692972E-2</v>
      </c>
      <c r="DK354" s="61">
        <f>MACRO!EB8</f>
        <v>4.2901847469440035E-2</v>
      </c>
      <c r="DL354" s="1251">
        <f>MACRO!EC8</f>
        <v>4.4908326166231971E-2</v>
      </c>
      <c r="DM354" s="1252">
        <f>MACRO!ED8</f>
        <v>9.9766038912527666E-2</v>
      </c>
      <c r="DN354" s="1252">
        <f>MACRO!EE8</f>
        <v>5.7740343796135907E-2</v>
      </c>
      <c r="DO354" s="1252">
        <f>MACRO!EF8</f>
        <v>4.7250271699456059E-2</v>
      </c>
      <c r="DP354" s="1252">
        <f>MACRO!EG8</f>
        <v>4.6425617126184315E-2</v>
      </c>
      <c r="DQ354" s="1252">
        <f>MACRO!EH8</f>
        <v>4.7746622243991066E-2</v>
      </c>
      <c r="DR354" s="1252">
        <f>MACRO!EI8</f>
        <v>4.1611611547499816E-2</v>
      </c>
      <c r="DS354" s="404">
        <f>MACRO!EJ8</f>
        <v>4.7500000000000001E-2</v>
      </c>
      <c r="DT354" s="404">
        <f>MACRO!EK8</f>
        <v>4.4999999999999998E-2</v>
      </c>
      <c r="DU354" s="404">
        <f>MACRO!EL8</f>
        <v>4.4999999999999998E-2</v>
      </c>
      <c r="DV354" s="404">
        <f>MACRO!EM8</f>
        <v>4.4999999999999998E-2</v>
      </c>
      <c r="DY354" s="404">
        <v>4.6799600990062862E-2</v>
      </c>
      <c r="DZ354" s="404">
        <v>4.7500000000000001E-2</v>
      </c>
    </row>
    <row r="355" spans="1:130">
      <c r="A355" s="17"/>
      <c r="B355" s="17"/>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c r="AA355" s="61"/>
      <c r="AB355" s="61"/>
      <c r="AC355" s="61"/>
      <c r="AD355" s="61"/>
      <c r="AE355" s="61"/>
      <c r="AF355" s="61"/>
      <c r="AG355" s="61"/>
      <c r="AH355" s="61"/>
      <c r="AI355" s="61"/>
      <c r="AJ355" s="61"/>
      <c r="AK355" s="61"/>
      <c r="AL355" s="61"/>
      <c r="AM355" s="61"/>
      <c r="AN355" s="61"/>
      <c r="AO355" s="61"/>
      <c r="AP355" s="61"/>
      <c r="AQ355" s="61"/>
      <c r="AR355" s="61"/>
      <c r="AS355" s="61"/>
      <c r="AT355" s="61"/>
      <c r="AU355" s="61"/>
      <c r="AV355" s="61"/>
      <c r="AW355" s="61"/>
      <c r="AX355" s="61"/>
      <c r="AY355" s="61"/>
      <c r="AZ355" s="61"/>
      <c r="BA355" s="61"/>
      <c r="BB355" s="61"/>
      <c r="BC355" s="61"/>
      <c r="BD355" s="61"/>
      <c r="BE355" s="61"/>
      <c r="BF355" s="61"/>
      <c r="BG355" s="61"/>
      <c r="BH355" s="61"/>
      <c r="BI355" s="1251"/>
      <c r="BJ355" s="1251"/>
      <c r="BK355" s="1251"/>
      <c r="BL355" s="1251"/>
      <c r="BM355" s="1251"/>
      <c r="BN355" s="1251"/>
      <c r="BO355" s="1251"/>
      <c r="BP355" s="1251"/>
      <c r="BQ355" s="1251"/>
      <c r="BR355" s="1251"/>
      <c r="BS355" s="1251"/>
      <c r="BT355" s="1251"/>
      <c r="BU355" s="1251"/>
      <c r="BV355" s="1251"/>
      <c r="BW355" s="1251"/>
      <c r="BX355" s="1251"/>
      <c r="BY355" s="1251"/>
      <c r="BZ355" s="1251"/>
      <c r="CA355" s="1251"/>
      <c r="CB355" s="1251"/>
      <c r="CC355" s="1251"/>
      <c r="CD355" s="1251"/>
      <c r="CE355" s="1251"/>
      <c r="CF355" s="1251"/>
      <c r="CG355" s="1251"/>
      <c r="CH355" s="1251"/>
      <c r="CI355" s="1251"/>
      <c r="CJ355" s="1251"/>
      <c r="CK355" s="1251"/>
      <c r="CL355" s="387"/>
      <c r="CM355" s="387"/>
      <c r="CN355" s="387"/>
      <c r="CO355" s="387"/>
      <c r="CP355" s="387"/>
      <c r="CQ355" s="387"/>
      <c r="CR355" s="604"/>
      <c r="CS355" s="604"/>
      <c r="CT355" s="387"/>
      <c r="CU355" s="693"/>
      <c r="CV355" s="61"/>
      <c r="CW355" s="61"/>
      <c r="CX355" s="61"/>
      <c r="CY355" s="61"/>
      <c r="CZ355" s="61"/>
      <c r="DA355" s="61"/>
      <c r="DB355" s="61"/>
      <c r="DC355" s="61"/>
      <c r="DD355" s="61"/>
      <c r="DE355" s="61"/>
      <c r="DF355" s="61"/>
      <c r="DG355" s="61"/>
      <c r="DH355" s="61"/>
      <c r="DI355" s="61"/>
      <c r="DJ355" s="61"/>
      <c r="DK355" s="61"/>
      <c r="DL355" s="1251"/>
      <c r="DM355" s="1251"/>
      <c r="DN355" s="1251"/>
      <c r="DO355" s="1251"/>
      <c r="DP355" s="1251"/>
      <c r="DQ355" s="1251"/>
      <c r="DR355" s="1251"/>
      <c r="DS355" s="387"/>
      <c r="DT355" s="387"/>
      <c r="DU355" s="387"/>
      <c r="DV355" s="387"/>
      <c r="DY355" s="387"/>
      <c r="DZ355" s="387"/>
    </row>
    <row r="356" spans="1:130">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82"/>
      <c r="BJ356" s="682"/>
      <c r="BK356" s="682"/>
      <c r="BL356" s="682"/>
      <c r="BM356" s="682"/>
      <c r="BN356" s="682"/>
      <c r="BO356" s="682"/>
      <c r="BP356" s="682"/>
      <c r="BQ356" s="682"/>
      <c r="BR356" s="682"/>
      <c r="BS356" s="682"/>
      <c r="BT356" s="682"/>
      <c r="BU356" s="682"/>
      <c r="BV356" s="682"/>
      <c r="BW356" s="682"/>
      <c r="BX356" s="682"/>
      <c r="BY356" s="682"/>
      <c r="BZ356" s="682"/>
      <c r="CA356" s="682"/>
      <c r="CB356" s="682"/>
      <c r="CC356" s="682"/>
      <c r="CD356" s="682"/>
      <c r="CE356" s="682"/>
      <c r="CF356" s="682"/>
      <c r="CG356" s="682"/>
      <c r="CH356" s="682"/>
      <c r="CI356" s="682"/>
      <c r="CJ356" s="682"/>
      <c r="CK356" s="682"/>
      <c r="CL356" s="159"/>
      <c r="CM356" s="159"/>
      <c r="CN356" s="159"/>
      <c r="CO356" s="159"/>
      <c r="CP356" s="159"/>
      <c r="CQ356" s="159"/>
      <c r="CR356" s="604"/>
      <c r="CS356" s="604"/>
      <c r="CT356" s="159"/>
      <c r="CU356" s="702"/>
      <c r="CV356" s="6"/>
      <c r="CW356" s="6"/>
      <c r="CX356" s="6"/>
      <c r="CY356" s="6"/>
      <c r="CZ356" s="6"/>
      <c r="DA356" s="6"/>
      <c r="DB356" s="6"/>
      <c r="DC356" s="6"/>
      <c r="DD356" s="6"/>
      <c r="DE356" s="6"/>
      <c r="DF356" s="6"/>
      <c r="DG356" s="6"/>
      <c r="DH356" s="6"/>
      <c r="DI356" s="6"/>
      <c r="DJ356" s="6"/>
      <c r="DK356" s="6"/>
      <c r="DL356" s="682"/>
      <c r="DM356" s="682"/>
      <c r="DN356" s="682"/>
      <c r="DO356" s="682"/>
      <c r="DP356" s="682"/>
      <c r="DQ356" s="682"/>
      <c r="DR356" s="682"/>
      <c r="DS356" s="159"/>
      <c r="DT356" s="159"/>
      <c r="DU356" s="159"/>
      <c r="DV356" s="159"/>
      <c r="DY356" s="159"/>
      <c r="DZ356" s="159"/>
    </row>
    <row r="357" spans="1:130">
      <c r="A357" s="6" t="s">
        <v>311</v>
      </c>
      <c r="B357" s="6"/>
      <c r="C357" s="33">
        <v>2989.0338983050847</v>
      </c>
      <c r="D357" s="33">
        <v>3991.15</v>
      </c>
      <c r="E357" s="33">
        <v>3441.8852459016393</v>
      </c>
      <c r="F357" s="33">
        <v>5290.7580645161288</v>
      </c>
      <c r="G357" s="33">
        <v>3390.3870967741937</v>
      </c>
      <c r="H357" s="33">
        <v>4621.59375</v>
      </c>
      <c r="I357" s="33">
        <v>4247.921875</v>
      </c>
      <c r="J357" s="33">
        <v>6428.409090909091</v>
      </c>
      <c r="K357" s="33">
        <v>3922.8235294117649</v>
      </c>
      <c r="L357" s="33">
        <v>5289.7222222222226</v>
      </c>
      <c r="M357" s="33">
        <v>4623.8266666666668</v>
      </c>
      <c r="N357" s="33">
        <v>6627.641975308642</v>
      </c>
      <c r="O357" s="33">
        <v>4290.8024691358023</v>
      </c>
      <c r="P357" s="33">
        <v>5642.2068965517237</v>
      </c>
      <c r="Q357" s="33">
        <v>5045.590909090909</v>
      </c>
      <c r="R357" s="33">
        <v>6826.3157894736842</v>
      </c>
      <c r="S357" s="33">
        <v>4497.885416666667</v>
      </c>
      <c r="T357" s="33">
        <v>5607.3960396039602</v>
      </c>
      <c r="U357" s="33">
        <v>4964.7572815533977</v>
      </c>
      <c r="V357" s="33">
        <v>6122.6636363636362</v>
      </c>
      <c r="W357" s="33">
        <v>3810.3090909090911</v>
      </c>
      <c r="X357" s="33">
        <v>5334.0347826086954</v>
      </c>
      <c r="Y357" s="33">
        <v>4761.3017241379312</v>
      </c>
      <c r="Z357" s="33">
        <v>6489.7416666666668</v>
      </c>
      <c r="AA357" s="33">
        <v>4179.2975206611573</v>
      </c>
      <c r="AB357" s="33">
        <v>5616.1440000000002</v>
      </c>
      <c r="AC357" s="33">
        <v>5110.1031746031749</v>
      </c>
      <c r="AD357" s="33">
        <v>6714.5671641791041</v>
      </c>
      <c r="AE357" s="33">
        <v>4435.3111111111111</v>
      </c>
      <c r="AF357" s="33">
        <v>5808.4652777777774</v>
      </c>
      <c r="AG357" s="33">
        <v>5081.6575342465758</v>
      </c>
      <c r="AH357" s="33">
        <v>6355.8922155688624</v>
      </c>
      <c r="AI357" s="33">
        <v>3546.38</v>
      </c>
      <c r="AJ357" s="33">
        <v>4615.7198067632853</v>
      </c>
      <c r="AK357" s="33">
        <v>4289.3744075829381</v>
      </c>
      <c r="AL357" s="33">
        <v>5572.0689655172409</v>
      </c>
      <c r="AM357" s="33">
        <v>3563.4743589743589</v>
      </c>
      <c r="AN357" s="33">
        <v>4363.7942386831273</v>
      </c>
      <c r="AO357" s="33">
        <v>4069.4621513944221</v>
      </c>
      <c r="AP357" s="33">
        <v>5232.705035971223</v>
      </c>
      <c r="AQ357" s="33">
        <f t="shared" ref="AQ357:CH357" si="2569">AQ26/AQ262</f>
        <v>3340.2633451957295</v>
      </c>
      <c r="AR357" s="33">
        <f t="shared" si="2569"/>
        <v>4142.666666666667</v>
      </c>
      <c r="AS357" s="33">
        <f t="shared" si="2569"/>
        <v>3846.0159744408948</v>
      </c>
      <c r="AT357" s="33">
        <f t="shared" si="2569"/>
        <v>5477.1054216867469</v>
      </c>
      <c r="AU357" s="33">
        <f t="shared" si="2569"/>
        <v>3535.984939759036</v>
      </c>
      <c r="AV357" s="33">
        <f t="shared" si="2569"/>
        <v>4389.7171428571428</v>
      </c>
      <c r="AW357" s="33">
        <f t="shared" si="2569"/>
        <v>3990.4634831460676</v>
      </c>
      <c r="AX357" s="33">
        <f t="shared" si="2569"/>
        <v>5300.644736842105</v>
      </c>
      <c r="AY357" s="33">
        <f t="shared" si="2569"/>
        <v>3223.1757105943152</v>
      </c>
      <c r="AZ357" s="33">
        <f t="shared" si="2569"/>
        <v>4038.1862745098038</v>
      </c>
      <c r="BA357" s="34">
        <f t="shared" si="2569"/>
        <v>3458.9210526315787</v>
      </c>
      <c r="BB357" s="33">
        <f t="shared" si="2569"/>
        <v>4754.0585585585586</v>
      </c>
      <c r="BC357" s="34">
        <f t="shared" si="2569"/>
        <v>3138.1906873614189</v>
      </c>
      <c r="BD357" s="33">
        <f t="shared" si="2569"/>
        <v>3871.3150105708246</v>
      </c>
      <c r="BE357" s="33">
        <f t="shared" si="2569"/>
        <v>3564.034693877551</v>
      </c>
      <c r="BF357" s="33">
        <f t="shared" si="2569"/>
        <v>4788.03125</v>
      </c>
      <c r="BG357" s="33">
        <f t="shared" si="2569"/>
        <v>3217.9545454545455</v>
      </c>
      <c r="BH357" s="33">
        <f t="shared" si="2569"/>
        <v>3833.2011385199239</v>
      </c>
      <c r="BI357" s="1244">
        <f t="shared" si="2569"/>
        <v>3618.7858472998137</v>
      </c>
      <c r="BJ357" s="1244">
        <f t="shared" si="2569"/>
        <v>5098.6888489208632</v>
      </c>
      <c r="BK357" s="1244">
        <f t="shared" si="2569"/>
        <v>3390.8906810035842</v>
      </c>
      <c r="BL357" s="1244">
        <f t="shared" si="2569"/>
        <v>4021.0596491228071</v>
      </c>
      <c r="BM357" s="1244">
        <f t="shared" si="2569"/>
        <v>3857.4610051993068</v>
      </c>
      <c r="BN357" s="1244">
        <f t="shared" si="2569"/>
        <v>5271.2454394693204</v>
      </c>
      <c r="BO357" s="1244">
        <f t="shared" si="2569"/>
        <v>3121.8777219430485</v>
      </c>
      <c r="BP357" s="1244">
        <f t="shared" si="2569"/>
        <v>1354.2814070351758</v>
      </c>
      <c r="BQ357" s="1244">
        <f t="shared" si="2569"/>
        <v>2958.7421487603306</v>
      </c>
      <c r="BR357" s="1244">
        <f t="shared" si="2569"/>
        <v>5074.0495049504952</v>
      </c>
      <c r="BS357" s="1244">
        <f t="shared" si="2569"/>
        <v>2609.5610561056105</v>
      </c>
      <c r="BT357" s="1244">
        <f t="shared" si="2569"/>
        <v>3934.1121642969983</v>
      </c>
      <c r="BU357" s="1244">
        <f t="shared" si="2569"/>
        <v>4139.0383298740198</v>
      </c>
      <c r="BV357" s="1244">
        <f t="shared" si="2569"/>
        <v>6087.3896439465398</v>
      </c>
      <c r="BW357" s="1244">
        <f t="shared" si="2569"/>
        <v>4095.6489028213168</v>
      </c>
      <c r="BX357" s="1244">
        <f t="shared" si="2569"/>
        <v>5570.4101382488479</v>
      </c>
      <c r="BY357" s="1244">
        <f t="shared" si="2569"/>
        <v>4551.4811463046753</v>
      </c>
      <c r="BZ357" s="1244">
        <f t="shared" si="2569"/>
        <v>5973.4285714285716</v>
      </c>
      <c r="CA357" s="1244">
        <f t="shared" si="2569"/>
        <v>4256.5828220858893</v>
      </c>
      <c r="CB357" s="1244">
        <f t="shared" si="2569"/>
        <v>5349.7450381679391</v>
      </c>
      <c r="CC357" s="1244">
        <f t="shared" si="2569"/>
        <v>4671.3363499245852</v>
      </c>
      <c r="CD357" s="1244">
        <f t="shared" si="2569"/>
        <v>6346.7726597325409</v>
      </c>
      <c r="CE357" s="1244">
        <f t="shared" ref="CE357:CF357" si="2570">CE26/CE262</f>
        <v>4366.7402402402404</v>
      </c>
      <c r="CF357" s="1244">
        <f t="shared" si="2570"/>
        <v>5246.4843517138597</v>
      </c>
      <c r="CG357" s="1244">
        <f t="shared" si="2569"/>
        <v>5022.9762962962959</v>
      </c>
      <c r="CH357" s="1244">
        <f t="shared" si="2569"/>
        <v>6730.6370262390674</v>
      </c>
      <c r="CI357" s="1244">
        <f t="shared" ref="CI357:CL357" si="2571">CI26/CI262</f>
        <v>4748.6530612244896</v>
      </c>
      <c r="CJ357" s="1244">
        <f t="shared" ref="CJ357" si="2572">CJ26/CJ262</f>
        <v>6031.2098408104193</v>
      </c>
      <c r="CK357" s="1244">
        <f t="shared" si="2571"/>
        <v>5134.6858789625358</v>
      </c>
      <c r="CL357" s="175">
        <f t="shared" si="2571"/>
        <v>6714.6278059223432</v>
      </c>
      <c r="CM357" s="175">
        <f t="shared" ref="CM357:CP357" si="2573">CM26/CM262</f>
        <v>4763.1537592069799</v>
      </c>
      <c r="CN357" s="175">
        <f t="shared" si="2573"/>
        <v>5991.8173786828456</v>
      </c>
      <c r="CO357" s="175">
        <f t="shared" si="2573"/>
        <v>5211.273730650536</v>
      </c>
      <c r="CP357" s="175">
        <f t="shared" si="2573"/>
        <v>6917.235664700389</v>
      </c>
      <c r="CQ357" s="175"/>
      <c r="CR357" s="175"/>
      <c r="CS357" s="175"/>
      <c r="CT357" s="175">
        <v>6714.6278059223432</v>
      </c>
      <c r="CU357" s="702"/>
      <c r="CV357" s="31">
        <v>15.383935483870967</v>
      </c>
      <c r="CW357" s="31">
        <v>18.214060606060606</v>
      </c>
      <c r="CX357" s="31">
        <v>18.904172839506174</v>
      </c>
      <c r="CY357" s="31">
        <v>20.325673684210528</v>
      </c>
      <c r="CZ357" s="31">
        <v>19.845518181818182</v>
      </c>
      <c r="DA357" s="31">
        <v>19.696900000000003</v>
      </c>
      <c r="DB357" s="31">
        <v>20.53237313432836</v>
      </c>
      <c r="DC357" s="31">
        <v>19.392467065868264</v>
      </c>
      <c r="DD357" s="31">
        <v>16.648741379310344</v>
      </c>
      <c r="DE357" s="31">
        <v>15.72079856115108</v>
      </c>
      <c r="DF357" s="31">
        <f t="shared" ref="DF357:DV357" si="2574">DF26/DF262/1000</f>
        <v>15.710975903614459</v>
      </c>
      <c r="DG357" s="31">
        <f t="shared" si="2574"/>
        <v>16.171573684210529</v>
      </c>
      <c r="DH357" s="31">
        <f t="shared" si="2574"/>
        <v>14.530585585585586</v>
      </c>
      <c r="DI357" s="31">
        <f t="shared" si="2574"/>
        <v>14.539658203125001</v>
      </c>
      <c r="DJ357" s="31">
        <f t="shared" si="2574"/>
        <v>15.155649280575538</v>
      </c>
      <c r="DK357" s="31">
        <f t="shared" si="2574"/>
        <v>15.901222222222223</v>
      </c>
      <c r="DL357" s="1146">
        <f t="shared" si="2574"/>
        <v>12.437590759075906</v>
      </c>
      <c r="DM357" s="1146">
        <f t="shared" si="2574"/>
        <v>16.6219436368239</v>
      </c>
      <c r="DN357" s="1146">
        <f t="shared" si="2574"/>
        <v>19.748715773809522</v>
      </c>
      <c r="DO357" s="1146">
        <f t="shared" si="2574"/>
        <v>20.279121842496288</v>
      </c>
      <c r="DP357" s="1146">
        <f t="shared" si="2574"/>
        <v>21.044265306122448</v>
      </c>
      <c r="DQ357" s="1146">
        <f t="shared" ref="DQ357:DR357" si="2575">DQ26/DQ262/1000</f>
        <v>21.997818348342371</v>
      </c>
      <c r="DR357" s="1146">
        <f t="shared" si="2575"/>
        <v>22.241338213027273</v>
      </c>
      <c r="DS357" s="174">
        <f t="shared" si="2574"/>
        <v>22.893460223796339</v>
      </c>
      <c r="DT357" s="174">
        <f t="shared" si="2574"/>
        <v>23.289853624422488</v>
      </c>
      <c r="DU357" s="174">
        <f t="shared" si="2574"/>
        <v>23.747122893932968</v>
      </c>
      <c r="DV357" s="174">
        <f t="shared" si="2574"/>
        <v>24.262443498053941</v>
      </c>
      <c r="DY357" s="174">
        <v>22.628842614664457</v>
      </c>
      <c r="DZ357" s="174">
        <v>23.19958576874366</v>
      </c>
    </row>
    <row r="358" spans="1:130">
      <c r="A358" s="8" t="s">
        <v>169</v>
      </c>
      <c r="B358" s="8"/>
      <c r="C358" s="8"/>
      <c r="D358" s="8"/>
      <c r="E358" s="8"/>
      <c r="F358" s="8"/>
      <c r="G358" s="8">
        <v>0.1342752247462613</v>
      </c>
      <c r="H358" s="8">
        <v>0.15796042494018003</v>
      </c>
      <c r="I358" s="8">
        <v>0.23418463182586735</v>
      </c>
      <c r="J358" s="8">
        <v>0.21502609125579197</v>
      </c>
      <c r="K358" s="8">
        <v>0.15704296218687275</v>
      </c>
      <c r="L358" s="8">
        <v>0.14456668161761788</v>
      </c>
      <c r="M358" s="8">
        <v>8.8491455993801038E-2</v>
      </c>
      <c r="N358" s="8">
        <v>3.0992564658229638E-2</v>
      </c>
      <c r="O358" s="8">
        <v>9.3804612153740363E-2</v>
      </c>
      <c r="P358" s="8">
        <v>6.6635762620711247E-2</v>
      </c>
      <c r="Q358" s="8">
        <v>9.1215409406402603E-2</v>
      </c>
      <c r="R358" s="8">
        <v>2.9976545942765664E-2</v>
      </c>
      <c r="S358" s="8">
        <v>4.8262055645869051E-2</v>
      </c>
      <c r="T358" s="8">
        <v>-6.1697235826354557E-3</v>
      </c>
      <c r="U358" s="8">
        <v>-1.6020646341317391E-2</v>
      </c>
      <c r="V358" s="8">
        <v>-0.10307934394056217</v>
      </c>
      <c r="W358" s="8">
        <v>-0.15286657219185695</v>
      </c>
      <c r="X358" s="8">
        <v>-4.8750124846642984E-2</v>
      </c>
      <c r="Y358" s="8">
        <v>-4.097996052524211E-2</v>
      </c>
      <c r="Z358" s="8">
        <v>5.9953976260084918E-2</v>
      </c>
      <c r="AA358" s="8">
        <v>9.6839500667393441E-2</v>
      </c>
      <c r="AB358" s="8">
        <v>5.2888522270440497E-2</v>
      </c>
      <c r="AC358" s="8">
        <v>7.325758178629127E-2</v>
      </c>
      <c r="AD358" s="8">
        <v>3.4643212173946836E-2</v>
      </c>
      <c r="AE358" s="8">
        <v>6.1257565221021437E-2</v>
      </c>
      <c r="AF358" s="8">
        <v>3.4244363708939352E-2</v>
      </c>
      <c r="AG358" s="8">
        <v>-5.5665491252645527E-3</v>
      </c>
      <c r="AH358" s="8">
        <v>-5.3417434041571843E-2</v>
      </c>
      <c r="AI358" s="8">
        <v>-0.20042136590693871</v>
      </c>
      <c r="AJ358" s="8">
        <v>-0.20534606199295669</v>
      </c>
      <c r="AK358" s="8">
        <v>-0.15591037399199792</v>
      </c>
      <c r="AL358" s="8">
        <v>-0.12332230054682702</v>
      </c>
      <c r="AM358" s="8">
        <v>4.8202276615474382E-3</v>
      </c>
      <c r="AN358" s="8">
        <v>-5.4579909229112711E-2</v>
      </c>
      <c r="AO358" s="8">
        <v>-5.1269074529783576E-2</v>
      </c>
      <c r="AP358" s="8">
        <v>-6.0904474019645494E-2</v>
      </c>
      <c r="AQ358" s="8">
        <f t="shared" ref="AQ358:BG358" si="2576">AQ357/AM357-1</f>
        <v>-6.2638591243539654E-2</v>
      </c>
      <c r="AR358" s="8">
        <f t="shared" si="2576"/>
        <v>-5.0673235244746651E-2</v>
      </c>
      <c r="AS358" s="8">
        <f t="shared" si="2576"/>
        <v>-5.4908036649747971E-2</v>
      </c>
      <c r="AT358" s="8">
        <f t="shared" si="2576"/>
        <v>4.6706318058335139E-2</v>
      </c>
      <c r="AU358" s="8">
        <f t="shared" si="2576"/>
        <v>5.8594659862615694E-2</v>
      </c>
      <c r="AV358" s="8">
        <f t="shared" si="2576"/>
        <v>5.9635615430594369E-2</v>
      </c>
      <c r="AW358" s="8">
        <f t="shared" si="2576"/>
        <v>3.7557698580846788E-2</v>
      </c>
      <c r="AX358" s="8">
        <f t="shared" si="2576"/>
        <v>-3.2217872627746225E-2</v>
      </c>
      <c r="AY358" s="8">
        <f t="shared" si="2576"/>
        <v>-8.8464525300279595E-2</v>
      </c>
      <c r="AZ358" s="8">
        <f t="shared" si="2576"/>
        <v>-8.008052840473856E-2</v>
      </c>
      <c r="BA358" s="8">
        <f t="shared" si="2576"/>
        <v>-0.13320318122430796</v>
      </c>
      <c r="BB358" s="8">
        <f t="shared" si="2576"/>
        <v>-0.10311692358563518</v>
      </c>
      <c r="BC358" s="8">
        <f t="shared" si="2576"/>
        <v>-2.6366860160169869E-2</v>
      </c>
      <c r="BD358" s="8">
        <f t="shared" si="2576"/>
        <v>-4.1323320073746617E-2</v>
      </c>
      <c r="BE358" s="8">
        <f t="shared" si="2576"/>
        <v>3.0389141482717763E-2</v>
      </c>
      <c r="BF358" s="8">
        <f t="shared" si="2576"/>
        <v>7.1460397517151275E-3</v>
      </c>
      <c r="BG358" s="8">
        <f t="shared" si="2576"/>
        <v>2.5417148299611947E-2</v>
      </c>
      <c r="BH358" s="8">
        <f t="shared" ref="BH358:BV358" si="2577">BH357/BD357-1</f>
        <v>-9.8452003897457896E-3</v>
      </c>
      <c r="BI358" s="116">
        <f t="shared" si="2577"/>
        <v>1.5362126950199562E-2</v>
      </c>
      <c r="BJ358" s="116">
        <f t="shared" si="2577"/>
        <v>6.4882115988875944E-2</v>
      </c>
      <c r="BK358" s="116">
        <f t="shared" si="2577"/>
        <v>5.3741012530247101E-2</v>
      </c>
      <c r="BL358" s="116">
        <f t="shared" si="2577"/>
        <v>4.900825806271647E-2</v>
      </c>
      <c r="BM358" s="116">
        <f t="shared" si="2577"/>
        <v>6.5954485280631525E-2</v>
      </c>
      <c r="BN358" s="116">
        <f t="shared" si="2577"/>
        <v>3.3843326325939449E-2</v>
      </c>
      <c r="BO358" s="116">
        <f t="shared" si="2577"/>
        <v>-7.933401113978622E-2</v>
      </c>
      <c r="BP358" s="116">
        <f t="shared" si="2577"/>
        <v>-0.66320285566253367</v>
      </c>
      <c r="BQ358" s="116">
        <f t="shared" si="2577"/>
        <v>-0.23298196799076687</v>
      </c>
      <c r="BR358" s="116">
        <f t="shared" si="2577"/>
        <v>-3.7409742495063569E-2</v>
      </c>
      <c r="BS358" s="116">
        <f t="shared" si="2577"/>
        <v>-0.16410529542411845</v>
      </c>
      <c r="BT358" s="116">
        <f t="shared" si="2577"/>
        <v>1.9049443814706484</v>
      </c>
      <c r="BU358" s="116">
        <f t="shared" si="2577"/>
        <v>0.39891823003508975</v>
      </c>
      <c r="BV358" s="116">
        <f t="shared" si="2577"/>
        <v>0.19971033747451217</v>
      </c>
      <c r="BW358" s="116">
        <f t="shared" ref="BW358:CF358" si="2578">BW357/BS357-1</f>
        <v>0.56947809028598684</v>
      </c>
      <c r="BX358" s="116">
        <f t="shared" si="2578"/>
        <v>0.41592560293568703</v>
      </c>
      <c r="BY358" s="116">
        <f t="shared" si="2578"/>
        <v>9.9647015456174604E-2</v>
      </c>
      <c r="BZ358" s="116">
        <f t="shared" si="2578"/>
        <v>-1.8720844102906087E-2</v>
      </c>
      <c r="CA358" s="116">
        <f t="shared" si="2578"/>
        <v>3.9293875789429222E-2</v>
      </c>
      <c r="CB358" s="116">
        <f t="shared" si="2578"/>
        <v>-3.9613797656608218E-2</v>
      </c>
      <c r="CC358" s="116">
        <f t="shared" si="2578"/>
        <v>2.6333230824699738E-2</v>
      </c>
      <c r="CD358" s="116">
        <f t="shared" si="2578"/>
        <v>6.2500803992150633E-2</v>
      </c>
      <c r="CE358" s="116">
        <f t="shared" si="2578"/>
        <v>2.5879308064389983E-2</v>
      </c>
      <c r="CF358" s="116">
        <f t="shared" si="2578"/>
        <v>-1.9301982751955937E-2</v>
      </c>
      <c r="CG358" s="116">
        <f t="shared" ref="CG358:CH358" si="2579">CG357/CC357-1</f>
        <v>7.5276092327924093E-2</v>
      </c>
      <c r="CH358" s="116">
        <f t="shared" si="2579"/>
        <v>6.0481820775143857E-2</v>
      </c>
      <c r="CI358" s="116">
        <f t="shared" ref="CI358:CJ358" si="2580">CI357/CE357-1</f>
        <v>8.7459477773570882E-2</v>
      </c>
      <c r="CJ358" s="116">
        <f t="shared" si="2580"/>
        <v>0.14957168200458182</v>
      </c>
      <c r="CK358" s="116">
        <f t="shared" ref="CK358" si="2581">CK357/CG357-1</f>
        <v>2.2239719257407087E-2</v>
      </c>
      <c r="CL358" s="192">
        <f t="shared" ref="CL358" si="2582">CL357/CH357-1</f>
        <v>-2.3785594519973863E-3</v>
      </c>
      <c r="CM358" s="192">
        <f t="shared" ref="CM358" si="2583">CM357/CI357-1</f>
        <v>3.0536444325437451E-3</v>
      </c>
      <c r="CN358" s="192">
        <f t="shared" ref="CN358" si="2584">CN357/CJ357-1</f>
        <v>-6.5314361740530513E-3</v>
      </c>
      <c r="CO358" s="192">
        <f t="shared" ref="CO358" si="2585">CO357/CK357-1</f>
        <v>1.4915781314255305E-2</v>
      </c>
      <c r="CP358" s="192">
        <f t="shared" ref="CP358" si="2586">CP357/CL357-1</f>
        <v>3.0174101176441148E-2</v>
      </c>
      <c r="CQ358" s="192"/>
      <c r="CR358" s="192"/>
      <c r="CS358" s="192"/>
      <c r="CT358" s="192">
        <v>-2.3785594519973863E-3</v>
      </c>
      <c r="CU358" s="694"/>
      <c r="CV358" s="8"/>
      <c r="CW358" s="8">
        <v>0.18396626306427488</v>
      </c>
      <c r="CX358" s="8">
        <v>3.7888983042910107E-2</v>
      </c>
      <c r="CY358" s="8">
        <v>7.5195082946643677E-2</v>
      </c>
      <c r="CZ358" s="8">
        <v>-2.3623103954745761E-2</v>
      </c>
      <c r="DA358" s="8">
        <v>-7.4887528990973395E-3</v>
      </c>
      <c r="DB358" s="8">
        <v>4.2416478447286465E-2</v>
      </c>
      <c r="DC358" s="8">
        <v>-5.5517502093037185E-2</v>
      </c>
      <c r="DD358" s="8">
        <v>-0.14148409674945472</v>
      </c>
      <c r="DE358" s="8">
        <v>-5.5736514672060089E-2</v>
      </c>
      <c r="DF358" s="8">
        <f t="shared" ref="DF358:DM358" si="2587">DF357/DE357-1</f>
        <v>-6.2481924810697809E-4</v>
      </c>
      <c r="DG358" s="8">
        <f t="shared" si="2587"/>
        <v>2.9316942717104277E-2</v>
      </c>
      <c r="DH358" s="8">
        <f t="shared" si="2587"/>
        <v>-0.10147361850301295</v>
      </c>
      <c r="DI358" s="8">
        <f t="shared" si="2587"/>
        <v>6.2438072340431638E-4</v>
      </c>
      <c r="DJ358" s="8">
        <f t="shared" si="2587"/>
        <v>4.2366269471048712E-2</v>
      </c>
      <c r="DK358" s="8">
        <f t="shared" si="2587"/>
        <v>4.9194391335134702E-2</v>
      </c>
      <c r="DL358" s="116">
        <f t="shared" si="2587"/>
        <v>-0.21782171299422726</v>
      </c>
      <c r="DM358" s="116">
        <f t="shared" si="2587"/>
        <v>0.33642792714454006</v>
      </c>
      <c r="DN358" s="116">
        <f t="shared" ref="DN358:DS358" si="2588">DN357/DM357-1</f>
        <v>0.18811110212518334</v>
      </c>
      <c r="DO358" s="116">
        <f t="shared" si="2588"/>
        <v>2.685774987911782E-2</v>
      </c>
      <c r="DP358" s="116">
        <f t="shared" si="2588"/>
        <v>3.773060143180107E-2</v>
      </c>
      <c r="DQ358" s="116">
        <f t="shared" si="2588"/>
        <v>4.5311776312880081E-2</v>
      </c>
      <c r="DR358" s="116">
        <f t="shared" si="2588"/>
        <v>1.1070182543954532E-2</v>
      </c>
      <c r="DS358" s="192">
        <f t="shared" si="2588"/>
        <v>2.9320268615271594E-2</v>
      </c>
      <c r="DT358" s="192">
        <f t="shared" ref="DT358" si="2589">DT357/DS357-1</f>
        <v>1.7314700213562295E-2</v>
      </c>
      <c r="DU358" s="192">
        <f t="shared" ref="DU358" si="2590">DU357/DT357-1</f>
        <v>1.9633840421863891E-2</v>
      </c>
      <c r="DV358" s="192">
        <f t="shared" ref="DV358" si="2591">DV357/DU357-1</f>
        <v>2.1700338454585077E-2</v>
      </c>
      <c r="DY358" s="192">
        <v>1.4271274653037791E-2</v>
      </c>
      <c r="DZ358" s="192">
        <v>2.5221933078863668E-2</v>
      </c>
    </row>
    <row r="359" spans="1:130">
      <c r="A359" s="8" t="s">
        <v>170</v>
      </c>
      <c r="B359" s="8"/>
      <c r="C359" s="8"/>
      <c r="D359" s="8">
        <v>0.33526421438818743</v>
      </c>
      <c r="E359" s="8">
        <v>-0.13762067426640456</v>
      </c>
      <c r="F359" s="8">
        <v>0.53716864059195468</v>
      </c>
      <c r="G359" s="8">
        <v>-0.35918689620061761</v>
      </c>
      <c r="H359" s="8">
        <v>0.36314633641605298</v>
      </c>
      <c r="I359" s="8">
        <v>-8.0853466404311236E-2</v>
      </c>
      <c r="J359" s="8">
        <v>0.51330680743960033</v>
      </c>
      <c r="K359" s="8">
        <v>-0.38976759662677163</v>
      </c>
      <c r="L359" s="8">
        <v>0.34844766341437405</v>
      </c>
      <c r="M359" s="8">
        <v>-0.12588478706086226</v>
      </c>
      <c r="N359" s="8">
        <v>0.43336730658343048</v>
      </c>
      <c r="O359" s="8">
        <v>-0.35258988262775248</v>
      </c>
      <c r="P359" s="8">
        <v>0.31495377313141693</v>
      </c>
      <c r="Q359" s="8">
        <v>-0.1057416004764804</v>
      </c>
      <c r="R359" s="8">
        <v>0.35292692421304883</v>
      </c>
      <c r="S359" s="8">
        <v>-0.34109619956309423</v>
      </c>
      <c r="T359" s="8">
        <v>0.24667383006825006</v>
      </c>
      <c r="U359" s="8">
        <v>-0.11460555907086434</v>
      </c>
      <c r="V359" s="8">
        <v>0.23322516875345567</v>
      </c>
      <c r="W359" s="8">
        <v>-0.37767133437170097</v>
      </c>
      <c r="X359" s="8">
        <v>0.39989556105435597</v>
      </c>
      <c r="Y359" s="8">
        <v>-0.10737332653662601</v>
      </c>
      <c r="Z359" s="8">
        <v>0.36301835982505026</v>
      </c>
      <c r="AA359" s="8">
        <v>-0.35601480993807044</v>
      </c>
      <c r="AB359" s="8">
        <v>0.34380095512116982</v>
      </c>
      <c r="AC359" s="8">
        <v>-9.0104674202945212E-2</v>
      </c>
      <c r="AD359" s="8">
        <v>0.31397878570240878</v>
      </c>
      <c r="AE359" s="8">
        <v>-0.33944943841315278</v>
      </c>
      <c r="AF359" s="8">
        <v>0.30959590708906792</v>
      </c>
      <c r="AG359" s="8">
        <v>-0.12512905023498155</v>
      </c>
      <c r="AH359" s="8">
        <v>0.25075178182215097</v>
      </c>
      <c r="AI359" s="8">
        <v>-0.44203270292830266</v>
      </c>
      <c r="AJ359" s="8">
        <v>0.30152995639589819</v>
      </c>
      <c r="AK359" s="8">
        <v>-7.0703035028721328E-2</v>
      </c>
      <c r="AL359" s="8">
        <v>0.29904000818084353</v>
      </c>
      <c r="AM359" s="8">
        <v>-0.36047554669065895</v>
      </c>
      <c r="AN359" s="8">
        <v>0.22458976804287056</v>
      </c>
      <c r="AO359" s="8">
        <v>-6.7448663064720193E-2</v>
      </c>
      <c r="AP359" s="8">
        <v>0.28584683707605185</v>
      </c>
      <c r="AQ359" s="8">
        <f t="shared" ref="AQ359:BG359" si="2592">AQ357/AP357-1</f>
        <v>-0.36165648125897931</v>
      </c>
      <c r="AR359" s="8">
        <f t="shared" si="2592"/>
        <v>0.24022157493211638</v>
      </c>
      <c r="AS359" s="8">
        <f t="shared" si="2592"/>
        <v>-7.1608631853662397E-2</v>
      </c>
      <c r="AT359" s="8">
        <f t="shared" si="2592"/>
        <v>0.42409845879097463</v>
      </c>
      <c r="AU359" s="8">
        <f t="shared" si="2592"/>
        <v>-0.35440626617150583</v>
      </c>
      <c r="AV359" s="8">
        <f t="shared" si="2592"/>
        <v>0.24144113101236386</v>
      </c>
      <c r="AW359" s="8">
        <f t="shared" si="2592"/>
        <v>-9.0952024177852198E-2</v>
      </c>
      <c r="AX359" s="8">
        <f t="shared" si="2592"/>
        <v>0.32832809001502117</v>
      </c>
      <c r="AY359" s="8">
        <f t="shared" si="2592"/>
        <v>-0.3919276105807189</v>
      </c>
      <c r="AZ359" s="8">
        <f t="shared" si="2592"/>
        <v>0.25285948924119017</v>
      </c>
      <c r="BA359" s="8">
        <f t="shared" si="2592"/>
        <v>-0.14344687998538208</v>
      </c>
      <c r="BB359" s="8">
        <f t="shared" si="2592"/>
        <v>0.37443395967121806</v>
      </c>
      <c r="BC359" s="8">
        <f t="shared" si="2592"/>
        <v>-0.33989229440351587</v>
      </c>
      <c r="BD359" s="8">
        <f t="shared" si="2592"/>
        <v>0.23361369535699383</v>
      </c>
      <c r="BE359" s="8">
        <f t="shared" si="2592"/>
        <v>-7.9373627786483159E-2</v>
      </c>
      <c r="BF359" s="8">
        <f t="shared" si="2592"/>
        <v>0.34343003400754823</v>
      </c>
      <c r="BG359" s="8">
        <f t="shared" si="2592"/>
        <v>-0.32791697099835226</v>
      </c>
      <c r="BH359" s="8">
        <f t="shared" ref="BH359:BV359" si="2593">BH357/BG357-1</f>
        <v>0.19119182212639774</v>
      </c>
      <c r="BI359" s="116">
        <f t="shared" si="2593"/>
        <v>-5.5936352795434185E-2</v>
      </c>
      <c r="BJ359" s="116">
        <f t="shared" si="2593"/>
        <v>0.40895014628325987</v>
      </c>
      <c r="BK359" s="116">
        <f t="shared" si="2593"/>
        <v>-0.33494849725508047</v>
      </c>
      <c r="BL359" s="116">
        <f t="shared" si="2593"/>
        <v>0.18584172342964322</v>
      </c>
      <c r="BM359" s="116">
        <f t="shared" si="2593"/>
        <v>-4.068545562590431E-2</v>
      </c>
      <c r="BN359" s="116">
        <f t="shared" si="2593"/>
        <v>0.36650647469007058</v>
      </c>
      <c r="BO359" s="116">
        <f t="shared" si="2593"/>
        <v>-0.40775329895142542</v>
      </c>
      <c r="BP359" s="116">
        <f t="shared" si="2593"/>
        <v>-0.56619652412514265</v>
      </c>
      <c r="BQ359" s="116">
        <f t="shared" si="2593"/>
        <v>1.1847321637809953</v>
      </c>
      <c r="BR359" s="116">
        <f t="shared" si="2593"/>
        <v>0.71493467488420626</v>
      </c>
      <c r="BS359" s="116">
        <f t="shared" si="2593"/>
        <v>-0.48570445488172853</v>
      </c>
      <c r="BT359" s="116">
        <f t="shared" si="2593"/>
        <v>0.50757620906869572</v>
      </c>
      <c r="BU359" s="116">
        <f t="shared" si="2593"/>
        <v>5.2089558461696939E-2</v>
      </c>
      <c r="BV359" s="116">
        <f t="shared" si="2593"/>
        <v>0.47072560309723488</v>
      </c>
      <c r="BW359" s="116">
        <f t="shared" ref="BW359:CF359" si="2594">BW357/BV357-1</f>
        <v>-0.3271912687741062</v>
      </c>
      <c r="BX359" s="116">
        <f t="shared" si="2594"/>
        <v>0.36007999475043651</v>
      </c>
      <c r="BY359" s="116">
        <f t="shared" si="2594"/>
        <v>-0.18291812750873848</v>
      </c>
      <c r="BZ359" s="116">
        <f t="shared" si="2594"/>
        <v>0.3124142184524632</v>
      </c>
      <c r="CA359" s="116">
        <f t="shared" si="2594"/>
        <v>-0.28741379072556505</v>
      </c>
      <c r="CB359" s="116">
        <f t="shared" si="2594"/>
        <v>0.25681685562654177</v>
      </c>
      <c r="CC359" s="116">
        <f t="shared" si="2594"/>
        <v>-0.12681140566573246</v>
      </c>
      <c r="CD359" s="116">
        <f t="shared" si="2594"/>
        <v>0.35866317137172188</v>
      </c>
      <c r="CE359" s="116">
        <f t="shared" si="2594"/>
        <v>-0.31197468786848603</v>
      </c>
      <c r="CF359" s="116">
        <f t="shared" si="2594"/>
        <v>0.20146472267038695</v>
      </c>
      <c r="CG359" s="116">
        <f t="shared" ref="CG359:CH359" si="2595">CG357/CF357-1</f>
        <v>-4.2601490909727202E-2</v>
      </c>
      <c r="CH359" s="116">
        <f t="shared" si="2595"/>
        <v>0.3399698961752855</v>
      </c>
      <c r="CI359" s="116">
        <f t="shared" ref="CI359:CJ359" si="2596">CI357/CH357-1</f>
        <v>-0.29447197305216544</v>
      </c>
      <c r="CJ359" s="116">
        <f t="shared" si="2596"/>
        <v>0.270088541540074</v>
      </c>
      <c r="CK359" s="116">
        <f t="shared" ref="CK359" si="2597">CK357/CJ357-1</f>
        <v>-0.14864744976729527</v>
      </c>
      <c r="CL359" s="192">
        <f t="shared" ref="CL359" si="2598">CL357/CK357-1</f>
        <v>0.30769982121652872</v>
      </c>
      <c r="CM359" s="192">
        <f t="shared" ref="CM359" si="2599">CM357/CL357-1</f>
        <v>-0.29063026322831342</v>
      </c>
      <c r="CN359" s="192">
        <f t="shared" ref="CN359" si="2600">CN357/CM357-1</f>
        <v>0.25795170208413065</v>
      </c>
      <c r="CO359" s="192">
        <f t="shared" ref="CO359" si="2601">CO357/CN357-1</f>
        <v>-0.13026826398435609</v>
      </c>
      <c r="CP359" s="192">
        <f t="shared" ref="CP359" si="2602">CP357/CO357-1</f>
        <v>0.32735987826087465</v>
      </c>
      <c r="CQ359" s="192"/>
      <c r="CR359" s="192"/>
      <c r="CS359" s="192"/>
      <c r="CT359" s="192">
        <v>0.30769982121652872</v>
      </c>
      <c r="CU359" s="694"/>
      <c r="CV359" s="8"/>
      <c r="CW359" s="8"/>
      <c r="CX359" s="8"/>
      <c r="CY359" s="8"/>
      <c r="CZ359" s="8"/>
      <c r="DA359" s="8"/>
      <c r="DB359" s="7"/>
      <c r="DC359" s="7"/>
      <c r="DD359" s="7"/>
      <c r="DE359" s="7"/>
      <c r="DF359" s="7"/>
      <c r="DG359" s="7"/>
      <c r="DH359" s="7"/>
      <c r="DI359" s="7"/>
      <c r="DJ359" s="7"/>
      <c r="DK359" s="7"/>
      <c r="DL359" s="114"/>
      <c r="DM359" s="114"/>
      <c r="DN359" s="114"/>
      <c r="DO359" s="114"/>
      <c r="DP359" s="114"/>
      <c r="DQ359" s="114"/>
      <c r="DR359" s="114"/>
      <c r="DS359" s="168"/>
      <c r="DT359" s="168"/>
      <c r="DU359" s="168"/>
      <c r="DV359" s="168"/>
      <c r="DY359" s="168"/>
      <c r="DZ359" s="168"/>
    </row>
    <row r="360" spans="1:13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82"/>
      <c r="BJ360" s="682"/>
      <c r="BK360" s="682"/>
      <c r="BL360" s="682"/>
      <c r="BM360" s="682"/>
      <c r="BN360" s="682"/>
      <c r="BO360" s="682"/>
      <c r="BP360" s="682"/>
      <c r="BQ360" s="682"/>
      <c r="BR360" s="682"/>
      <c r="BS360" s="682"/>
      <c r="BT360" s="682"/>
      <c r="BU360" s="682"/>
      <c r="BV360" s="682"/>
      <c r="BW360" s="682"/>
      <c r="BX360" s="682"/>
      <c r="BY360" s="682"/>
      <c r="BZ360" s="682">
        <f>1981.6-1131.8+103</f>
        <v>952.8</v>
      </c>
      <c r="CA360" s="682"/>
      <c r="CB360" s="682"/>
      <c r="CC360" s="682"/>
      <c r="CD360" s="682"/>
      <c r="CE360" s="682"/>
      <c r="CF360" s="682"/>
      <c r="CG360" s="682"/>
      <c r="CH360" s="682"/>
      <c r="CI360" s="682"/>
      <c r="CJ360" s="682"/>
      <c r="CK360" s="682"/>
      <c r="CL360" s="159"/>
      <c r="CM360" s="159"/>
      <c r="CN360" s="159"/>
      <c r="CO360" s="159"/>
      <c r="CP360" s="159"/>
      <c r="CQ360" s="159"/>
      <c r="CR360" s="159"/>
      <c r="CS360" s="159"/>
      <c r="CT360" s="159"/>
      <c r="CU360" s="702"/>
      <c r="CV360" s="6"/>
      <c r="CW360" s="6"/>
      <c r="CX360" s="6"/>
      <c r="CY360" s="6"/>
      <c r="CZ360" s="6"/>
      <c r="DA360" s="6"/>
      <c r="DB360" s="6"/>
      <c r="DC360" s="6"/>
      <c r="DD360" s="6"/>
      <c r="DE360" s="6"/>
      <c r="DF360" s="6"/>
      <c r="DG360" s="6"/>
      <c r="DH360" s="6"/>
      <c r="DI360" s="6"/>
      <c r="DJ360" s="6"/>
      <c r="DK360" s="6"/>
      <c r="DL360" s="682"/>
      <c r="DM360" s="682"/>
      <c r="DN360" s="682"/>
      <c r="DO360" s="682"/>
      <c r="DP360" s="682"/>
      <c r="DQ360" s="682"/>
      <c r="DR360" s="682"/>
      <c r="DS360" s="159"/>
      <c r="DT360" s="159"/>
      <c r="DU360" s="159"/>
      <c r="DV360" s="159"/>
      <c r="DY360" s="159"/>
      <c r="DZ360" s="159"/>
    </row>
    <row r="361" spans="1:130">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82"/>
      <c r="BJ361" s="682"/>
      <c r="BK361" s="682"/>
      <c r="BL361" s="682"/>
      <c r="BM361" s="682"/>
      <c r="BN361" s="682"/>
      <c r="BO361" s="682"/>
      <c r="BP361" s="682"/>
      <c r="BQ361" s="682"/>
      <c r="BR361" s="682"/>
      <c r="BS361" s="682"/>
      <c r="BT361" s="682"/>
      <c r="BU361" s="682"/>
      <c r="BV361" s="682"/>
      <c r="BW361" s="682"/>
      <c r="BX361" s="682"/>
      <c r="BY361" s="682"/>
      <c r="BZ361" s="682"/>
      <c r="CA361" s="682"/>
      <c r="CB361" s="682"/>
      <c r="CC361" s="682"/>
      <c r="CD361" s="682"/>
      <c r="CE361" s="682"/>
      <c r="CF361" s="682"/>
      <c r="CG361" s="682"/>
      <c r="CH361" s="682"/>
      <c r="CI361" s="682"/>
      <c r="CJ361" s="682"/>
      <c r="CK361" s="682"/>
      <c r="CL361" s="159"/>
      <c r="CM361" s="159"/>
      <c r="CN361" s="159"/>
      <c r="CO361" s="159"/>
      <c r="CP361" s="159"/>
      <c r="CQ361" s="159"/>
      <c r="CR361" s="159"/>
      <c r="CS361" s="159"/>
      <c r="CT361" s="159"/>
      <c r="CU361" s="702"/>
      <c r="CV361" s="6"/>
      <c r="CW361" s="6"/>
      <c r="CX361" s="6"/>
      <c r="CY361" s="6"/>
      <c r="CZ361" s="6"/>
      <c r="DA361" s="6"/>
      <c r="DB361" s="6"/>
      <c r="DC361" s="6"/>
      <c r="DD361" s="6"/>
      <c r="DE361" s="6"/>
      <c r="DF361" s="6"/>
      <c r="DG361" s="6"/>
      <c r="DH361" s="6"/>
      <c r="DI361" s="6"/>
      <c r="DJ361" s="6"/>
      <c r="DK361" s="6"/>
      <c r="DL361" s="682"/>
      <c r="DM361" s="682"/>
      <c r="DN361" s="682"/>
      <c r="DO361" s="682"/>
      <c r="DP361" s="682"/>
      <c r="DQ361" s="682"/>
      <c r="DR361" s="682"/>
      <c r="DS361" s="159"/>
      <c r="DT361" s="159"/>
      <c r="DU361" s="159"/>
      <c r="DV361" s="159"/>
      <c r="DY361" s="159"/>
      <c r="DZ361" s="159"/>
    </row>
    <row r="362" spans="1:130">
      <c r="A362" s="60" t="s">
        <v>312</v>
      </c>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c r="AC362" s="60"/>
      <c r="AD362" s="60"/>
      <c r="AE362" s="60"/>
      <c r="AF362" s="60"/>
      <c r="AG362" s="60"/>
      <c r="AH362" s="60"/>
      <c r="AI362" s="60"/>
      <c r="AJ362" s="60"/>
      <c r="AK362" s="60"/>
      <c r="AL362" s="60"/>
      <c r="AM362" s="60"/>
      <c r="AN362" s="60"/>
      <c r="AO362" s="60"/>
      <c r="AP362" s="60"/>
      <c r="AQ362" s="60"/>
      <c r="AR362" s="60"/>
      <c r="AS362" s="60"/>
      <c r="AT362" s="60"/>
      <c r="AU362" s="60"/>
      <c r="AV362" s="60"/>
      <c r="AW362" s="60"/>
      <c r="AX362" s="60"/>
      <c r="AY362" s="60"/>
      <c r="AZ362" s="60"/>
      <c r="BA362" s="60"/>
      <c r="BB362" s="60"/>
      <c r="BC362" s="60"/>
      <c r="BD362" s="60"/>
      <c r="BE362" s="60"/>
      <c r="BF362" s="60"/>
      <c r="BG362" s="60"/>
      <c r="BH362" s="60"/>
      <c r="BI362" s="60"/>
      <c r="BJ362" s="60"/>
      <c r="BK362" s="60"/>
      <c r="BL362" s="60"/>
      <c r="BM362" s="60"/>
      <c r="BN362" s="60"/>
      <c r="BO362" s="60"/>
      <c r="BP362" s="60"/>
      <c r="BQ362" s="60"/>
      <c r="BR362" s="60"/>
      <c r="BS362" s="60"/>
      <c r="BT362" s="60"/>
      <c r="BU362" s="60"/>
      <c r="BV362" s="60"/>
      <c r="BW362" s="60"/>
      <c r="BX362" s="60"/>
      <c r="BY362" s="60"/>
      <c r="BZ362" s="60"/>
      <c r="CA362" s="60"/>
      <c r="CB362" s="60"/>
      <c r="CC362" s="60"/>
      <c r="CD362" s="60"/>
      <c r="CE362" s="60"/>
      <c r="CF362" s="60"/>
      <c r="CG362" s="60"/>
      <c r="CH362" s="60"/>
      <c r="CI362" s="60"/>
      <c r="CJ362" s="60"/>
      <c r="CK362" s="60"/>
      <c r="CL362" s="60"/>
      <c r="CM362" s="60"/>
      <c r="CN362" s="60"/>
      <c r="CO362" s="60"/>
      <c r="CP362" s="60"/>
      <c r="CQ362" s="60"/>
      <c r="CR362" s="60"/>
      <c r="CS362" s="60"/>
      <c r="CT362" s="60"/>
      <c r="CU362" s="1111"/>
      <c r="CV362" s="60"/>
      <c r="CW362" s="60"/>
      <c r="CX362" s="60"/>
      <c r="CY362" s="60"/>
      <c r="CZ362" s="60"/>
      <c r="DA362" s="60"/>
      <c r="DB362" s="60"/>
      <c r="DC362" s="60"/>
      <c r="DD362" s="60"/>
      <c r="DE362" s="60"/>
      <c r="DF362" s="60"/>
      <c r="DG362" s="60"/>
      <c r="DH362" s="60"/>
      <c r="DI362" s="60"/>
      <c r="DJ362" s="60"/>
      <c r="DK362" s="60"/>
      <c r="DL362" s="60"/>
      <c r="DM362" s="60"/>
      <c r="DN362" s="60"/>
      <c r="DO362" s="60"/>
      <c r="DP362" s="60"/>
      <c r="DQ362" s="60"/>
      <c r="DR362" s="60"/>
      <c r="DS362" s="60"/>
      <c r="DT362" s="60"/>
      <c r="DU362" s="60"/>
      <c r="DV362" s="60"/>
      <c r="DY362" s="60"/>
      <c r="DZ362" s="60"/>
    </row>
    <row r="363" spans="1:130">
      <c r="A363" s="59" t="s">
        <v>313</v>
      </c>
      <c r="B363" s="59"/>
      <c r="C363" s="59">
        <v>7.3999999999999995</v>
      </c>
      <c r="D363" s="59">
        <v>0</v>
      </c>
      <c r="E363" s="59">
        <v>19.700000000000003</v>
      </c>
      <c r="F363" s="59">
        <v>16.100000000000001</v>
      </c>
      <c r="G363" s="59">
        <v>6.6</v>
      </c>
      <c r="H363" s="59">
        <v>10.199999999999999</v>
      </c>
      <c r="I363" s="59">
        <v>6.7000000000000011</v>
      </c>
      <c r="J363" s="59">
        <v>32.4</v>
      </c>
      <c r="K363" s="59">
        <v>16.8</v>
      </c>
      <c r="L363" s="59">
        <v>32.799999999999997</v>
      </c>
      <c r="M363" s="59">
        <v>21.900000000000002</v>
      </c>
      <c r="N363" s="59">
        <v>47.500000000000007</v>
      </c>
      <c r="O363" s="59">
        <v>11.6</v>
      </c>
      <c r="P363" s="59">
        <v>24.2</v>
      </c>
      <c r="Q363" s="59">
        <v>16.8</v>
      </c>
      <c r="R363" s="59">
        <v>55.9</v>
      </c>
      <c r="S363" s="59">
        <v>18.100000000000001</v>
      </c>
      <c r="T363" s="59">
        <v>30.4</v>
      </c>
      <c r="U363" s="59">
        <v>36.700000000000003</v>
      </c>
      <c r="V363" s="59">
        <v>51.599999999999994</v>
      </c>
      <c r="W363" s="59">
        <v>6.3999999999999995</v>
      </c>
      <c r="X363" s="59">
        <v>21.5</v>
      </c>
      <c r="Y363" s="59">
        <v>14.2</v>
      </c>
      <c r="Z363" s="59">
        <v>27</v>
      </c>
      <c r="AA363" s="59">
        <v>15.899999999999999</v>
      </c>
      <c r="AB363" s="59">
        <v>20.6</v>
      </c>
      <c r="AC363" s="59">
        <v>27.099999999999998</v>
      </c>
      <c r="AD363" s="59">
        <v>96.7</v>
      </c>
      <c r="AE363" s="59">
        <v>24</v>
      </c>
      <c r="AF363" s="59">
        <v>64.3</v>
      </c>
      <c r="AG363" s="59">
        <v>55.7</v>
      </c>
      <c r="AH363" s="59">
        <v>152.6</v>
      </c>
      <c r="AI363" s="59">
        <v>69.8</v>
      </c>
      <c r="AJ363" s="59">
        <v>67.099999999999994</v>
      </c>
      <c r="AK363" s="59">
        <v>86.399999999999991</v>
      </c>
      <c r="AL363" s="59">
        <v>150.19999999999999</v>
      </c>
      <c r="AM363" s="59">
        <v>36.799999999999997</v>
      </c>
      <c r="AN363" s="59">
        <v>65.800000000000011</v>
      </c>
      <c r="AO363" s="59">
        <v>123.4</v>
      </c>
      <c r="AP363" s="59">
        <v>186.2</v>
      </c>
      <c r="AQ363" s="59">
        <f t="shared" ref="AQ363:BN363" si="2603">AQ368+AQ378</f>
        <v>77.400000000000006</v>
      </c>
      <c r="AR363" s="59">
        <f t="shared" si="2603"/>
        <v>116</v>
      </c>
      <c r="AS363" s="59">
        <f t="shared" si="2603"/>
        <v>131.6</v>
      </c>
      <c r="AT363" s="59">
        <f t="shared" si="2603"/>
        <v>177</v>
      </c>
      <c r="AU363" s="59">
        <f t="shared" si="2603"/>
        <v>71.399999999999991</v>
      </c>
      <c r="AV363" s="59">
        <f t="shared" si="2603"/>
        <v>146.60000000000002</v>
      </c>
      <c r="AW363" s="59">
        <f t="shared" si="2603"/>
        <v>166.8</v>
      </c>
      <c r="AX363" s="59">
        <f t="shared" si="2603"/>
        <v>186.6</v>
      </c>
      <c r="AY363" s="59">
        <f t="shared" si="2603"/>
        <v>87.6</v>
      </c>
      <c r="AZ363" s="59">
        <f t="shared" si="2603"/>
        <v>157.89999999999998</v>
      </c>
      <c r="BA363" s="59">
        <f t="shared" si="2603"/>
        <v>106.8</v>
      </c>
      <c r="BB363" s="59">
        <f t="shared" si="2603"/>
        <v>160.19999999999999</v>
      </c>
      <c r="BC363" s="59">
        <f t="shared" si="2603"/>
        <v>66.472064909999986</v>
      </c>
      <c r="BD363" s="59">
        <f t="shared" si="2603"/>
        <v>118.75100000000005</v>
      </c>
      <c r="BE363" s="59">
        <f t="shared" si="2603"/>
        <v>134.93200000000004</v>
      </c>
      <c r="BF363" s="59">
        <f t="shared" si="2603"/>
        <v>230.2437773777763</v>
      </c>
      <c r="BG363" s="59">
        <f t="shared" si="2603"/>
        <v>94.100000000000009</v>
      </c>
      <c r="BH363" s="59">
        <f t="shared" si="2603"/>
        <v>134.17307100199938</v>
      </c>
      <c r="BI363" s="59">
        <f t="shared" si="2603"/>
        <v>158.30976684999999</v>
      </c>
      <c r="BJ363" s="59">
        <f t="shared" si="2603"/>
        <v>223.77816057000001</v>
      </c>
      <c r="BK363" s="59">
        <f t="shared" si="2603"/>
        <v>78.882000000000019</v>
      </c>
      <c r="BL363" s="59">
        <f t="shared" si="2603"/>
        <v>166.46038018388762</v>
      </c>
      <c r="BM363" s="59">
        <f t="shared" si="2603"/>
        <v>257.33154870320794</v>
      </c>
      <c r="BN363" s="59">
        <f t="shared" si="2603"/>
        <v>248.5302119149033</v>
      </c>
      <c r="BO363" s="59">
        <f t="shared" ref="BO363:CD363" si="2604">BO368+BO378</f>
        <v>89.439747971866026</v>
      </c>
      <c r="BP363" s="59">
        <f t="shared" si="2604"/>
        <v>141.5</v>
      </c>
      <c r="BQ363" s="59">
        <f t="shared" si="2604"/>
        <v>188.90860608999998</v>
      </c>
      <c r="BR363" s="59">
        <f t="shared" si="2604"/>
        <v>124.8</v>
      </c>
      <c r="BS363" s="59">
        <f t="shared" si="2604"/>
        <v>264.12759803792</v>
      </c>
      <c r="BT363" s="59">
        <f t="shared" si="2604"/>
        <v>254.11398082636279</v>
      </c>
      <c r="BU363" s="59">
        <f t="shared" si="2604"/>
        <v>186.5770286405</v>
      </c>
      <c r="BV363" s="59">
        <f t="shared" si="2604"/>
        <v>383.62173330759992</v>
      </c>
      <c r="BW363" s="59">
        <f t="shared" si="2604"/>
        <v>114.71413055725199</v>
      </c>
      <c r="BX363" s="59">
        <f t="shared" si="2604"/>
        <v>208.002842233943</v>
      </c>
      <c r="BY363" s="59">
        <f t="shared" si="2604"/>
        <v>263.73555669179882</v>
      </c>
      <c r="BZ363" s="59">
        <f t="shared" si="2604"/>
        <v>408.54019999999997</v>
      </c>
      <c r="CA363" s="59">
        <f t="shared" si="2604"/>
        <v>81.434505072202271</v>
      </c>
      <c r="CB363" s="59">
        <f t="shared" ref="CB363:CC363" si="2605">CB368+CB378</f>
        <v>235.87079286433976</v>
      </c>
      <c r="CC363" s="59">
        <f t="shared" si="2605"/>
        <v>244.06575667637054</v>
      </c>
      <c r="CD363" s="59">
        <f t="shared" si="2604"/>
        <v>327.44657132743066</v>
      </c>
      <c r="CE363" s="59">
        <f t="shared" ref="CE363:CF363" si="2606">CE368+CE378</f>
        <v>68.973813961094052</v>
      </c>
      <c r="CF363" s="59">
        <f t="shared" si="2606"/>
        <v>137.1278303906752</v>
      </c>
      <c r="CG363" s="59">
        <f t="shared" ref="CG363:CH363" si="2607">CG368+CG378</f>
        <v>172.91239856704584</v>
      </c>
      <c r="CH363" s="59">
        <f t="shared" si="2607"/>
        <v>283.29311546802484</v>
      </c>
      <c r="CI363" s="59">
        <f t="shared" ref="CI363:CJ363" si="2608">CI368+CI378</f>
        <v>61.5882515329005</v>
      </c>
      <c r="CJ363" s="59">
        <f t="shared" si="2608"/>
        <v>165.86454772856234</v>
      </c>
      <c r="CK363" s="59">
        <f t="shared" ref="CK363" si="2609">CK368+CK378</f>
        <v>199.92210481561401</v>
      </c>
      <c r="CL363" s="769">
        <f t="shared" ref="CL363:CP363" si="2610">CL368+CL378</f>
        <v>303.28972846744892</v>
      </c>
      <c r="CM363" s="769">
        <f t="shared" si="2610"/>
        <v>95.571182498504726</v>
      </c>
      <c r="CN363" s="769">
        <f t="shared" si="2610"/>
        <v>155.60383081517551</v>
      </c>
      <c r="CO363" s="769">
        <f t="shared" si="2610"/>
        <v>174.31295642392683</v>
      </c>
      <c r="CP363" s="769">
        <f t="shared" si="2610"/>
        <v>273.83518483982436</v>
      </c>
      <c r="CQ363" s="769"/>
      <c r="CR363" s="769"/>
      <c r="CS363" s="769"/>
      <c r="CT363" s="769">
        <v>303.28972846744892</v>
      </c>
      <c r="CU363" s="1123"/>
      <c r="CV363" s="58">
        <v>43.2</v>
      </c>
      <c r="CW363" s="58">
        <v>55.9</v>
      </c>
      <c r="CX363" s="58">
        <v>119</v>
      </c>
      <c r="CY363" s="58">
        <v>108.5</v>
      </c>
      <c r="CZ363" s="58">
        <v>136.80000000000001</v>
      </c>
      <c r="DA363" s="58">
        <v>69.099999999999994</v>
      </c>
      <c r="DB363" s="58">
        <v>160.30000000000001</v>
      </c>
      <c r="DC363" s="58">
        <v>296.60000000000002</v>
      </c>
      <c r="DD363" s="58">
        <v>373.49999999999994</v>
      </c>
      <c r="DE363" s="58">
        <v>412.2</v>
      </c>
      <c r="DF363" s="57">
        <f>+SUM(AQ363:AT363)</f>
        <v>502</v>
      </c>
      <c r="DG363" s="57">
        <f>+SUM(AU363:AX363)</f>
        <v>571.4</v>
      </c>
      <c r="DH363" s="57">
        <f>+SUM(AY363:BB363)</f>
        <v>512.5</v>
      </c>
      <c r="DI363" s="57">
        <f>+SUM(BC363:BF363)</f>
        <v>550.39884228777635</v>
      </c>
      <c r="DJ363" s="57">
        <f>+SUM(BG363:BJ363)</f>
        <v>610.36099842199928</v>
      </c>
      <c r="DK363" s="57">
        <f>+SUM(BK363:BN363)</f>
        <v>751.20414080199885</v>
      </c>
      <c r="DL363" s="57">
        <f>+SUM(BO363:BR363)</f>
        <v>544.64835406186603</v>
      </c>
      <c r="DM363" s="57">
        <f>+SUM(BS363:BV363)</f>
        <v>1088.4403408123826</v>
      </c>
      <c r="DN363" s="57">
        <f>+SUM(BW363:BZ363)</f>
        <v>994.99272948299381</v>
      </c>
      <c r="DO363" s="57">
        <f>+SUM(CA363:CD363)</f>
        <v>888.81762594034319</v>
      </c>
      <c r="DP363" s="57">
        <f>+SUM(CE363:CH363)</f>
        <v>662.30715838684</v>
      </c>
      <c r="DQ363" s="57">
        <f>+SUM(CI363:CL363)</f>
        <v>730.66463254452583</v>
      </c>
      <c r="DR363" s="57">
        <f>+SUM(CM363:CP363)</f>
        <v>699.32315457743141</v>
      </c>
      <c r="DS363" s="760">
        <f>DS368+DS378</f>
        <v>755.73673709225886</v>
      </c>
      <c r="DT363" s="760">
        <f t="shared" ref="DT363:DV363" si="2611">DT368+DT378</f>
        <v>808.49304988659765</v>
      </c>
      <c r="DU363" s="760">
        <f t="shared" si="2611"/>
        <v>864.76215335353254</v>
      </c>
      <c r="DV363" s="760">
        <f t="shared" si="2611"/>
        <v>924.75010418246643</v>
      </c>
      <c r="DY363" s="760">
        <v>785.81402699045339</v>
      </c>
      <c r="DZ363" s="760">
        <v>847.49106413670938</v>
      </c>
    </row>
    <row r="364" spans="1:130">
      <c r="A364" s="56" t="s">
        <v>314</v>
      </c>
      <c r="B364" s="56"/>
      <c r="C364" s="55" t="e">
        <f t="shared" ref="C364" si="2612">C363/C30*1000</f>
        <v>#DIV/0!</v>
      </c>
      <c r="D364" s="55" t="e">
        <f t="shared" ref="D364" si="2613">D363/D30*1000</f>
        <v>#DIV/0!</v>
      </c>
      <c r="E364" s="55" t="e">
        <f t="shared" ref="E364" si="2614">E363/E30*1000</f>
        <v>#DIV/0!</v>
      </c>
      <c r="F364" s="55" t="e">
        <f t="shared" ref="F364" si="2615">F363/F30*1000</f>
        <v>#DIV/0!</v>
      </c>
      <c r="G364" s="55">
        <f t="shared" ref="G364" si="2616">G363/G30*1000</f>
        <v>3.3331313253742195E-2</v>
      </c>
      <c r="H364" s="55">
        <f t="shared" ref="H364" si="2617">H363/H30*1000</f>
        <v>3.65397566882084E-2</v>
      </c>
      <c r="I364" s="55">
        <f t="shared" ref="I364" si="2618">I363/I30*1000</f>
        <v>2.6232024211766829E-2</v>
      </c>
      <c r="J364" s="55">
        <f t="shared" ref="J364" si="2619">J363/J30*1000</f>
        <v>8.0225622181889319E-2</v>
      </c>
      <c r="K364" s="55">
        <f t="shared" ref="K364" si="2620">K363/K30*1000</f>
        <v>6.6933604255064838E-2</v>
      </c>
      <c r="L364" s="55">
        <f t="shared" ref="L364" si="2621">L363/L30*1000</f>
        <v>9.1694645647719231E-2</v>
      </c>
      <c r="M364" s="55">
        <f t="shared" ref="M364" si="2622">M363/M30*1000</f>
        <v>6.8325829971640106E-2</v>
      </c>
      <c r="N364" s="55">
        <f t="shared" ref="N364" si="2623">N363/N30*1000</f>
        <v>9.3710727806833594E-2</v>
      </c>
      <c r="O364" s="55">
        <f t="shared" ref="O364" si="2624">O363/O30*1000</f>
        <v>3.7384020909269622E-2</v>
      </c>
      <c r="P364" s="55">
        <f t="shared" ref="P364" si="2625">P363/P30*1000</f>
        <v>5.4460960268253984E-2</v>
      </c>
      <c r="Q364" s="55">
        <f t="shared" ref="Q364" si="2626">Q363/Q30*1000</f>
        <v>4.2493132806216138E-2</v>
      </c>
      <c r="R364" s="55">
        <f t="shared" ref="R364" si="2627">R363/R30*1000</f>
        <v>9.2900043541701977E-2</v>
      </c>
      <c r="S364" s="55">
        <f t="shared" ref="S364" si="2628">S363/S30*1000</f>
        <v>4.7211274365321368E-2</v>
      </c>
      <c r="T364" s="55">
        <f t="shared" ref="T364" si="2629">T363/T30*1000</f>
        <v>5.9625847805023474E-2</v>
      </c>
      <c r="U364" s="55">
        <f t="shared" ref="U364" si="2630">U363/U30*1000</f>
        <v>8.1731004779148131E-2</v>
      </c>
      <c r="V364" s="55">
        <f t="shared" ref="V364" si="2631">V363/V30*1000</f>
        <v>8.40722239058391E-2</v>
      </c>
      <c r="W364" s="55">
        <f t="shared" ref="W364" si="2632">W363/W30*1000</f>
        <v>1.7647918510736275E-2</v>
      </c>
      <c r="X364" s="55">
        <f t="shared" ref="X364" si="2633">X363/X30*1000</f>
        <v>3.8757454049883552E-2</v>
      </c>
      <c r="Y364" s="55">
        <f t="shared" ref="Y364" si="2634">Y363/Y30*1000</f>
        <v>2.9174285538183384E-2</v>
      </c>
      <c r="Z364" s="55">
        <f t="shared" ref="Z364" si="2635">Z363/Z30*1000</f>
        <v>3.7928912788786524E-2</v>
      </c>
      <c r="AA364" s="55">
        <f t="shared" ref="AA364" si="2636">AA363/AA30*1000</f>
        <v>3.6116171413255314E-2</v>
      </c>
      <c r="AB364" s="55">
        <f t="shared" ref="AB364" si="2637">AB363/AB30*1000</f>
        <v>3.269898363304756E-2</v>
      </c>
      <c r="AC364" s="55">
        <f t="shared" ref="AC364" si="2638">AC363/AC30*1000</f>
        <v>4.7649189436297777E-2</v>
      </c>
      <c r="AD364" s="55">
        <f t="shared" ref="AD364" si="2639">AD363/AD30*1000</f>
        <v>0.11739582789553107</v>
      </c>
      <c r="AE364" s="55">
        <f t="shared" ref="AE364" si="2640">AE363/AE30*1000</f>
        <v>4.6358268286888139E-2</v>
      </c>
      <c r="AF364" s="55">
        <f t="shared" ref="AF364" si="2641">AF363/AF30*1000</f>
        <v>8.577301764949917E-2</v>
      </c>
      <c r="AG364" s="55">
        <f t="shared" ref="AG364" si="2642">AG363/AG30*1000</f>
        <v>8.4769493939818238E-2</v>
      </c>
      <c r="AH364" s="55">
        <f t="shared" ref="AH364" si="2643">AH363/AH30*1000</f>
        <v>0.15696681684461725</v>
      </c>
      <c r="AI364" s="55">
        <f t="shared" ref="AI364" si="2644">AI363/AI30*1000</f>
        <v>0.11272628024270065</v>
      </c>
      <c r="AJ364" s="55">
        <f t="shared" ref="AJ364" si="2645">AJ363/AJ30*1000</f>
        <v>7.8464022900736577E-2</v>
      </c>
      <c r="AK364" s="55">
        <f t="shared" ref="AK364" si="2646">AK363/AK30*1000</f>
        <v>0.10756168612902421</v>
      </c>
      <c r="AL364" s="55">
        <f t="shared" ref="AL364" si="2647">AL363/AL30*1000</f>
        <v>0.12682254638057569</v>
      </c>
      <c r="AM364" s="55">
        <f t="shared" ref="AM364" si="2648">AM363/AM30*1000</f>
        <v>5.0637718770769377E-2</v>
      </c>
      <c r="AN364" s="55">
        <f t="shared" ref="AN364" si="2649">AN363/AN30*1000</f>
        <v>6.9467685385287012E-2</v>
      </c>
      <c r="AO364" s="55">
        <f t="shared" ref="AO364" si="2650">AO363/AO30*1000</f>
        <v>0.13606522309624464</v>
      </c>
      <c r="AP364" s="55">
        <f t="shared" ref="AP364" si="2651">AP363/AP30*1000</f>
        <v>0.1396897417315226</v>
      </c>
      <c r="AQ364" s="1253">
        <f t="shared" ref="AQ364" si="2652">AQ363/AQ30*1000</f>
        <v>9.5025757627842808E-2</v>
      </c>
      <c r="AR364" s="1253">
        <f t="shared" ref="AR364" si="2653">AR363/AR30*1000</f>
        <v>0.10439183655838113</v>
      </c>
      <c r="AS364" s="1253">
        <f t="shared" ref="AS364" si="2654">AS363/AS30*1000</f>
        <v>0.12568153102261409</v>
      </c>
      <c r="AT364" s="1253">
        <f t="shared" ref="AT364" si="2655">AT363/AT30*1000</f>
        <v>0.1060002742831956</v>
      </c>
      <c r="AU364" s="1253">
        <f t="shared" ref="AU364" si="2656">AU363/AU30*1000</f>
        <v>7.0630480910480312E-2</v>
      </c>
      <c r="AV364" s="1253">
        <f t="shared" ref="AV364" si="2657">AV363/AV30*1000</f>
        <v>0.10825371836015556</v>
      </c>
      <c r="AW364" s="1253">
        <f t="shared" ref="AW364" si="2658">AW363/AW30*1000</f>
        <v>0.13361476811669665</v>
      </c>
      <c r="AX364" s="1253">
        <f t="shared" ref="AX364" si="2659">AX363/AX30*1000</f>
        <v>0.10155842657369299</v>
      </c>
      <c r="AY364" s="1253">
        <f t="shared" ref="AY364" si="2660">AY363/AY30*1000</f>
        <v>8.1401442924207451E-2</v>
      </c>
      <c r="AZ364" s="1253">
        <f t="shared" ref="AZ364" si="2661">AZ363/AZ30*1000</f>
        <v>0.10780452901914946</v>
      </c>
      <c r="BA364" s="1253">
        <f t="shared" ref="BA364" si="2662">BA363/BA30*1000</f>
        <v>8.4733794661770931E-2</v>
      </c>
      <c r="BB364" s="1253">
        <f t="shared" ref="BB364" si="2663">BB363/BB30*1000</f>
        <v>8.3415603404106406E-2</v>
      </c>
      <c r="BC364" s="1273">
        <f t="shared" ref="BC364" si="2664">BC363/BC30*1000</f>
        <v>5.3837309716494253E-2</v>
      </c>
      <c r="BD364" s="1253">
        <f t="shared" ref="BD364" si="2665">BD363/BD30*1000</f>
        <v>7.283299886657478E-2</v>
      </c>
      <c r="BE364" s="1253">
        <f t="shared" ref="BE364" si="2666">BE363/BE30*1000</f>
        <v>8.9206639260917486E-2</v>
      </c>
      <c r="BF364" s="1253">
        <f t="shared" ref="BF364" si="2667">BF363/BF30*1000</f>
        <v>0.10360350951030609</v>
      </c>
      <c r="BG364" s="1253">
        <f t="shared" ref="BG364" si="2668">BG363/BG30*1000</f>
        <v>6.7271033636231714E-2</v>
      </c>
      <c r="BH364" s="1253">
        <f t="shared" ref="BH364" si="2669">BH363/BH30*1000</f>
        <v>7.5376817034085011E-2</v>
      </c>
      <c r="BI364" s="1253">
        <f t="shared" ref="BI364" si="2670">BI363/BI30*1000</f>
        <v>9.2499780509167309E-2</v>
      </c>
      <c r="BJ364" s="1253">
        <f t="shared" ref="BJ364" si="2671">BJ363/BJ30*1000</f>
        <v>8.6230304613810066E-2</v>
      </c>
      <c r="BK364" s="1253">
        <f t="shared" ref="BK364" si="2672">BK363/BK30*1000</f>
        <v>4.7797510447866114E-2</v>
      </c>
      <c r="BL364" s="1253">
        <f t="shared" ref="BL364" si="2673">BL363/BL30*1000</f>
        <v>8.2431674461435872E-2</v>
      </c>
      <c r="BM364" s="1253">
        <f t="shared" ref="BM364" si="2674">BM363/BM30*1000</f>
        <v>0.13319962312348099</v>
      </c>
      <c r="BN364" s="1253">
        <f t="shared" ref="BN364" si="2675">BN363/BN30*1000</f>
        <v>8.6503722484858742E-2</v>
      </c>
      <c r="BO364" s="1253">
        <f t="shared" ref="BO364" si="2676">BO363/BO30*1000</f>
        <v>5.7696362984857259E-2</v>
      </c>
      <c r="BP364" s="1253">
        <f t="shared" ref="BP364" si="2677">BP363/BP30*1000</f>
        <v>0.26221378855376587</v>
      </c>
      <c r="BQ364" s="1253">
        <f t="shared" ref="BQ364" si="2678">BQ363/BQ30*1000</f>
        <v>0.11440706717005904</v>
      </c>
      <c r="BR364" s="1253">
        <f t="shared" ref="BR364" si="2679">BR363/BR30*1000</f>
        <v>4.2746196513307841E-2</v>
      </c>
      <c r="BS364" s="1253">
        <f t="shared" ref="BS364" si="2680">BS363/BS30*1000</f>
        <v>0.19358275222158622</v>
      </c>
      <c r="BT364" s="1253">
        <f t="shared" ref="BT364" si="2681">BT363/BT30*1000</f>
        <v>0.11250338391487702</v>
      </c>
      <c r="BU364" s="1253">
        <f t="shared" ref="BU364" si="2682">BU363/BU30*1000</f>
        <v>7.8660614561064948E-2</v>
      </c>
      <c r="BV364" s="1253">
        <f t="shared" ref="BV364" si="2683">BV363/BV30*1000</f>
        <v>0.10773887824533918</v>
      </c>
      <c r="BW364" s="1253">
        <f t="shared" ref="BW364" si="2684">BW363/BW30*1000</f>
        <v>5.1449043043350455E-2</v>
      </c>
      <c r="BX364" s="1253">
        <f t="shared" ref="BX364" si="2685">BX363/BX30*1000</f>
        <v>6.5497337548809181E-2</v>
      </c>
      <c r="BY364" s="1253">
        <f t="shared" ref="BY364" si="2686">BY363/BY30*1000</f>
        <v>0.10083480755528204</v>
      </c>
      <c r="BZ364" s="1253">
        <f t="shared" ref="BZ364" si="2687">BZ363/BZ30*1000</f>
        <v>0.11492428402324251</v>
      </c>
      <c r="CA364" s="1253">
        <f t="shared" ref="CA364" si="2688">CA363/CA30*1000</f>
        <v>3.5748261993180097E-2</v>
      </c>
      <c r="CB364" s="1253">
        <f t="shared" ref="CB364" si="2689">CB363/CB30*1000</f>
        <v>7.901064443163569E-2</v>
      </c>
      <c r="CC364" s="1253">
        <f t="shared" ref="CC364" si="2690">CC363/CC30*1000</f>
        <v>9.2585714184623288E-2</v>
      </c>
      <c r="CD364" s="1253">
        <f t="shared" ref="CD364" si="2691">CD363/CD30*1000</f>
        <v>8.6013266677917366E-2</v>
      </c>
      <c r="CE364" s="1253">
        <f t="shared" ref="CE364" si="2692">CE363/CE30*1000</f>
        <v>2.8023372223858509E-2</v>
      </c>
      <c r="CF364" s="1253">
        <f t="shared" ref="CF364" si="2693">CF363/CF30*1000</f>
        <v>4.4523135932513641E-2</v>
      </c>
      <c r="CG364" s="1253">
        <f t="shared" ref="CG364" si="2694">CG363/CG30*1000</f>
        <v>5.8496348576379399E-2</v>
      </c>
      <c r="CH364" s="1253">
        <f t="shared" ref="CH364" si="2695">CH363/CH30*1000</f>
        <v>6.7858230451965207E-2</v>
      </c>
      <c r="CI364" s="1253">
        <f t="shared" ref="CI364" si="2696">CI363/CI30*1000</f>
        <v>2.2340161755089339E-2</v>
      </c>
      <c r="CJ364" s="1253">
        <f t="shared" ref="CJ364" si="2697">CJ363/CJ30*1000</f>
        <v>4.5446463152839976E-2</v>
      </c>
      <c r="CK364" s="1253">
        <f t="shared" ref="CK364" si="2698">CK363/CK30*1000</f>
        <v>6.4927713733766712E-2</v>
      </c>
      <c r="CL364" s="770">
        <f t="shared" ref="CL364:CP364" si="2699">CL363/CL30*1000</f>
        <v>6.9370685416651465E-2</v>
      </c>
      <c r="CM364" s="770">
        <f t="shared" si="2699"/>
        <v>3.2553587214938659E-2</v>
      </c>
      <c r="CN364" s="770">
        <f t="shared" si="2699"/>
        <v>4.0401919763001309E-2</v>
      </c>
      <c r="CO364" s="770">
        <f t="shared" si="2699"/>
        <v>5.2308078132275754E-2</v>
      </c>
      <c r="CP364" s="770">
        <f t="shared" si="2699"/>
        <v>5.7757200767945292E-2</v>
      </c>
      <c r="CQ364" s="770"/>
      <c r="CR364" s="770"/>
      <c r="CS364" s="770"/>
      <c r="CT364" s="770">
        <v>6.9370685416651465E-2</v>
      </c>
      <c r="CU364" s="1124"/>
      <c r="CV364" s="55">
        <v>4.5292324209166665E-2</v>
      </c>
      <c r="CW364" s="55">
        <v>4.6500871787363743E-2</v>
      </c>
      <c r="CX364" s="55">
        <v>7.7714894745297594E-2</v>
      </c>
      <c r="CY364" s="55">
        <v>5.6190278408587736E-2</v>
      </c>
      <c r="CZ364" s="55">
        <v>6.2665854942288324E-2</v>
      </c>
      <c r="DA364" s="55">
        <v>2.9234718830543554E-2</v>
      </c>
      <c r="DB364" s="55">
        <v>5.8262561706340699E-2</v>
      </c>
      <c r="DC364" s="55">
        <v>9.1584422866833284E-2</v>
      </c>
      <c r="DD364" s="55">
        <v>9.669882884384963E-2</v>
      </c>
      <c r="DE364" s="55">
        <v>9.4316698174209943E-2</v>
      </c>
      <c r="DF364" s="55">
        <f t="shared" ref="DF364:DL364" si="2700">DF363/DF26*1000</f>
        <v>9.624151943503545E-2</v>
      </c>
      <c r="DG364" s="55">
        <f t="shared" si="2700"/>
        <v>9.2983171575594478E-2</v>
      </c>
      <c r="DH364" s="55">
        <f t="shared" si="2700"/>
        <v>7.9437905133316181E-2</v>
      </c>
      <c r="DI364" s="55">
        <f t="shared" si="2700"/>
        <v>7.3935557756939885E-2</v>
      </c>
      <c r="DJ364" s="55">
        <f t="shared" si="2700"/>
        <v>7.2433160702831609E-2</v>
      </c>
      <c r="DK364" s="55">
        <f t="shared" si="2700"/>
        <v>7.8344796008150114E-2</v>
      </c>
      <c r="DL364" s="1253">
        <f t="shared" si="2700"/>
        <v>7.2261555921693005E-2</v>
      </c>
      <c r="DM364" s="1253">
        <f t="shared" ref="DM364:DP364" si="2701">DM363/DM30*1000</f>
        <v>0.1139045107444734</v>
      </c>
      <c r="DN364" s="1253">
        <f t="shared" si="2701"/>
        <v>8.5954591411042933E-2</v>
      </c>
      <c r="DO364" s="1253">
        <f t="shared" si="2701"/>
        <v>7.5926175554472466E-2</v>
      </c>
      <c r="DP364" s="1253">
        <f t="shared" si="2701"/>
        <v>5.2265606981312267E-2</v>
      </c>
      <c r="DQ364" s="1253">
        <f>DQ363/DQ30*1000</f>
        <v>5.2726355541747129E-2</v>
      </c>
      <c r="DR364" s="1253">
        <f>DR363/DR30*1000</f>
        <v>4.7058305307352638E-2</v>
      </c>
      <c r="DS364" s="1253">
        <f t="shared" ref="DS364:DV364" si="2702">DS363/DS30*1000</f>
        <v>4.685507729696254E-2</v>
      </c>
      <c r="DT364" s="1253">
        <f t="shared" si="2702"/>
        <v>4.6544349625804192E-2</v>
      </c>
      <c r="DU364" s="1253">
        <f t="shared" si="2702"/>
        <v>4.6255517514105483E-2</v>
      </c>
      <c r="DV364" s="1253">
        <f t="shared" si="2702"/>
        <v>4.598604192925438E-2</v>
      </c>
      <c r="DY364" s="392">
        <v>5.1435514746628393E-2</v>
      </c>
      <c r="DZ364" s="392">
        <v>5.0953815774210522E-2</v>
      </c>
    </row>
    <row r="365" spans="1:130">
      <c r="A365" s="55" t="s">
        <v>315</v>
      </c>
      <c r="B365" s="55"/>
      <c r="C365" s="55">
        <v>1.1368873866953448</v>
      </c>
      <c r="D365" s="55">
        <v>0</v>
      </c>
      <c r="E365" s="55">
        <v>2.8575572961995945</v>
      </c>
      <c r="F365" s="55">
        <v>2.2429646140986348</v>
      </c>
      <c r="G365" s="55">
        <v>0.92800899887514066</v>
      </c>
      <c r="H365" s="55">
        <v>1.2960609911054637</v>
      </c>
      <c r="I365" s="55">
        <v>0.84628015662498435</v>
      </c>
      <c r="J365" s="55">
        <v>3.9710748866282635</v>
      </c>
      <c r="K365" s="55">
        <v>1.9672131147540983</v>
      </c>
      <c r="L365" s="55">
        <v>3.5061464457509355</v>
      </c>
      <c r="M365" s="55">
        <v>2.1806233197251821</v>
      </c>
      <c r="N365" s="55">
        <v>4.4305568510400155</v>
      </c>
      <c r="O365" s="55">
        <v>0.99119883790481078</v>
      </c>
      <c r="P365" s="55">
        <v>2</v>
      </c>
      <c r="Q365" s="55">
        <v>1.3306930693069308</v>
      </c>
      <c r="R365" s="55">
        <v>4.2096543414413734</v>
      </c>
      <c r="S365" s="55">
        <v>1.2414266117969821</v>
      </c>
      <c r="T365" s="55">
        <v>1.9849820437479595</v>
      </c>
      <c r="U365" s="55">
        <v>2.2973395931142409</v>
      </c>
      <c r="V365" s="55">
        <v>3.1936621897629505</v>
      </c>
      <c r="W365" s="55">
        <v>0.35283091680908535</v>
      </c>
      <c r="X365" s="55">
        <v>1.1721092514855804</v>
      </c>
      <c r="Y365" s="55">
        <v>0.75535932762380975</v>
      </c>
      <c r="Z365" s="55">
        <v>1.4367051561751716</v>
      </c>
      <c r="AA365" s="55">
        <v>0.8459696727853151</v>
      </c>
      <c r="AB365" s="55">
        <v>1.1493611560564638</v>
      </c>
      <c r="AC365" s="55">
        <v>1.4813600087460368</v>
      </c>
      <c r="AD365" s="55">
        <v>4.6546329723225028</v>
      </c>
      <c r="AE365" s="55">
        <v>1.1155008133860098</v>
      </c>
      <c r="AF365" s="55">
        <v>2.8477789096062711</v>
      </c>
      <c r="AG365" s="55">
        <v>2.3042237206800977</v>
      </c>
      <c r="AH365" s="55">
        <v>5.1956011031289364</v>
      </c>
      <c r="AI365" s="55">
        <v>2.3153215908713967</v>
      </c>
      <c r="AJ365" s="55">
        <v>2.1014719699342312</v>
      </c>
      <c r="AK365" s="55">
        <v>2.5600758540993804</v>
      </c>
      <c r="AL365" s="55">
        <v>4.0459002262687207</v>
      </c>
      <c r="AM365" s="55">
        <v>0.93660125728538346</v>
      </c>
      <c r="AN365" s="55">
        <v>1.6212487064505006</v>
      </c>
      <c r="AO365" s="55">
        <v>2.9189138045226608</v>
      </c>
      <c r="AP365" s="55">
        <v>4.1118275770691639</v>
      </c>
      <c r="AQ365" s="1253">
        <f t="shared" ref="AQ365:CH365" si="2703">AQ363*1000/AQ130</f>
        <v>1.6023517721099703</v>
      </c>
      <c r="AR365" s="1253">
        <f t="shared" si="2703"/>
        <v>2.246625220304844</v>
      </c>
      <c r="AS365" s="1253">
        <f t="shared" si="2703"/>
        <v>2.3916836289619074</v>
      </c>
      <c r="AT365" s="1253">
        <f t="shared" si="2703"/>
        <v>3.0638209482266188</v>
      </c>
      <c r="AU365" s="1253">
        <f t="shared" si="2703"/>
        <v>1.16314664585526</v>
      </c>
      <c r="AV365" s="1253">
        <f t="shared" si="2703"/>
        <v>2.3019572593529309</v>
      </c>
      <c r="AW365" s="1253">
        <f t="shared" si="2703"/>
        <v>2.4444932952297207</v>
      </c>
      <c r="AX365" s="1253">
        <f t="shared" si="2703"/>
        <v>2.6107030430220357</v>
      </c>
      <c r="AY365" s="1253">
        <f t="shared" si="2703"/>
        <v>1.194013575770793</v>
      </c>
      <c r="AZ365" s="1253">
        <f t="shared" si="2703"/>
        <v>2.052995631370917</v>
      </c>
      <c r="BA365" s="1253">
        <f t="shared" si="2703"/>
        <v>1.3587613389142632</v>
      </c>
      <c r="BB365" s="1253">
        <f t="shared" si="2703"/>
        <v>1.9445995484450487</v>
      </c>
      <c r="BC365" s="1273">
        <f t="shared" si="2703"/>
        <v>0.8402060938645497</v>
      </c>
      <c r="BD365" s="1253">
        <f t="shared" si="2703"/>
        <v>1.489787981432694</v>
      </c>
      <c r="BE365" s="1253">
        <f t="shared" si="2703"/>
        <v>1.6302238760888745</v>
      </c>
      <c r="BF365" s="1253">
        <f t="shared" si="2703"/>
        <v>2.6325910126776697</v>
      </c>
      <c r="BG365" s="1253">
        <f t="shared" si="2703"/>
        <v>1.2742389773588996</v>
      </c>
      <c r="BH365" s="1253">
        <f t="shared" si="2703"/>
        <v>1.7589317261441169</v>
      </c>
      <c r="BI365" s="1253">
        <f t="shared" si="2703"/>
        <v>1.9475889383034999</v>
      </c>
      <c r="BJ365" s="1253">
        <f t="shared" si="2703"/>
        <v>2.6909350717893217</v>
      </c>
      <c r="BK365" s="1253">
        <f t="shared" si="2703"/>
        <v>0.4854874446085673</v>
      </c>
      <c r="BL365" s="1253">
        <f t="shared" si="2703"/>
        <v>1.0097075105173337</v>
      </c>
      <c r="BM365" s="1253">
        <f t="shared" si="2703"/>
        <v>1.53953388116715</v>
      </c>
      <c r="BN365" s="1253">
        <f t="shared" si="2703"/>
        <v>1.4858737305239882</v>
      </c>
      <c r="BO365" s="1253">
        <f t="shared" si="2703"/>
        <v>0.49256929788777293</v>
      </c>
      <c r="BP365" s="1253">
        <f t="shared" si="2703"/>
        <v>0.77316911913361341</v>
      </c>
      <c r="BQ365" s="1253">
        <f t="shared" si="2703"/>
        <v>0.95272695499339322</v>
      </c>
      <c r="BR365" s="1253">
        <f t="shared" si="2703"/>
        <v>0.63424947145877375</v>
      </c>
      <c r="BS365" s="1253">
        <f t="shared" si="2703"/>
        <v>1.310950069178372</v>
      </c>
      <c r="BT365" s="1253">
        <f t="shared" si="2703"/>
        <v>1.197904987584913</v>
      </c>
      <c r="BU365" s="1253">
        <f t="shared" si="2703"/>
        <v>0.82410712344356651</v>
      </c>
      <c r="BV365" s="1253">
        <f t="shared" si="2703"/>
        <v>1.6186092955381062</v>
      </c>
      <c r="BW365" s="1253">
        <f t="shared" si="2703"/>
        <v>0.4880829279549504</v>
      </c>
      <c r="BX365" s="1253">
        <f t="shared" si="2703"/>
        <v>0.82852163580575811</v>
      </c>
      <c r="BY365" s="1253">
        <f t="shared" si="2703"/>
        <v>1.0499946519671264</v>
      </c>
      <c r="BZ365" s="1253">
        <f t="shared" si="2703"/>
        <v>1.5921968595691942</v>
      </c>
      <c r="CA365" s="1253">
        <f t="shared" si="2703"/>
        <v>0.31737209194513533</v>
      </c>
      <c r="CB365" s="1253">
        <f t="shared" si="2703"/>
        <v>0.9524437623737716</v>
      </c>
      <c r="CC365" s="1253">
        <f t="shared" si="2703"/>
        <v>0.92360637978138582</v>
      </c>
      <c r="CD365" s="1253">
        <f t="shared" si="2703"/>
        <v>1.1621759886405136</v>
      </c>
      <c r="CE365" s="1253">
        <f t="shared" ref="CE365:CF365" si="2704">CE363*1000/CE130</f>
        <v>0.23313305784264662</v>
      </c>
      <c r="CF365" s="1253">
        <f t="shared" si="2704"/>
        <v>0.45816946621452143</v>
      </c>
      <c r="CG365" s="1253">
        <f t="shared" si="2703"/>
        <v>0.58372374382490833</v>
      </c>
      <c r="CH365" s="1253">
        <f t="shared" si="2703"/>
        <v>0.92437470378185416</v>
      </c>
      <c r="CI365" s="1253">
        <f t="shared" ref="CI365" si="2705">CI363*1000/CI130</f>
        <v>0.20196113976639035</v>
      </c>
      <c r="CJ365" s="1253">
        <f t="shared" ref="CJ365:CL365" si="2706">CJ363*1000/CJ130</f>
        <v>0.51339650087925126</v>
      </c>
      <c r="CK365" s="1253">
        <f t="shared" ref="CK365" si="2707">CK363*1000/CK130</f>
        <v>0.65069913884043851</v>
      </c>
      <c r="CL365" s="770">
        <f t="shared" si="2706"/>
        <v>0.98570185155362011</v>
      </c>
      <c r="CM365" s="770">
        <f t="shared" ref="CM365:CP365" si="2708">CM363*1000/CM130</f>
        <v>0.28076817720158065</v>
      </c>
      <c r="CN365" s="770">
        <f t="shared" si="2708"/>
        <v>0.47172308497537596</v>
      </c>
      <c r="CO365" s="770">
        <f t="shared" si="2708"/>
        <v>0.5420514705452123</v>
      </c>
      <c r="CP365" s="770">
        <f t="shared" si="2708"/>
        <v>0.85261283795837928</v>
      </c>
      <c r="CQ365" s="770"/>
      <c r="CR365" s="770"/>
      <c r="CS365" s="770"/>
      <c r="CT365" s="770">
        <v>0.98570185155362011</v>
      </c>
      <c r="CU365" s="1124"/>
      <c r="CV365" s="55">
        <v>1.5799290494825</v>
      </c>
      <c r="CW365" s="55">
        <v>1.7998583295769206</v>
      </c>
      <c r="CX365" s="55">
        <v>3.0781965389689336</v>
      </c>
      <c r="CY365" s="55">
        <v>2.1827911561751865</v>
      </c>
      <c r="CZ365" s="55">
        <v>2.2054911570767568</v>
      </c>
      <c r="DA365" s="55">
        <v>0.9328509328509329</v>
      </c>
      <c r="DB365" s="55">
        <v>2.1151384802142847</v>
      </c>
      <c r="DC365" s="55">
        <v>3.0377516950367687</v>
      </c>
      <c r="DD365" s="55">
        <v>2.8093268145919512</v>
      </c>
      <c r="DE365" s="55">
        <v>2.4618214612063043</v>
      </c>
      <c r="DF365" s="55">
        <f t="shared" ref="DF365:DV365" si="2709">DF363*1000/DF130</f>
        <v>2.3597766203486077</v>
      </c>
      <c r="DG365" s="55">
        <f t="shared" si="2709"/>
        <v>2.1580167976879276</v>
      </c>
      <c r="DH365" s="55">
        <f t="shared" si="2709"/>
        <v>1.6465281548282631</v>
      </c>
      <c r="DI365" s="55">
        <f t="shared" si="2709"/>
        <v>1.6726804343622779</v>
      </c>
      <c r="DJ365" s="55">
        <f t="shared" si="2709"/>
        <v>1.940277958197433</v>
      </c>
      <c r="DK365" s="55">
        <f t="shared" si="2709"/>
        <v>1.1351764346438447</v>
      </c>
      <c r="DL365" s="1253">
        <f t="shared" si="2709"/>
        <v>0.71698125043522676</v>
      </c>
      <c r="DM365" s="1253">
        <f t="shared" si="2709"/>
        <v>1.2410723872909759</v>
      </c>
      <c r="DN365" s="1253">
        <f t="shared" si="2709"/>
        <v>1.0011498007576534</v>
      </c>
      <c r="DO365" s="1253">
        <f t="shared" si="2709"/>
        <v>0.84629631394261073</v>
      </c>
      <c r="DP365" s="1253">
        <f t="shared" si="2709"/>
        <v>0.55291603780362053</v>
      </c>
      <c r="DQ365" s="1253">
        <f t="shared" ref="DQ365:DR365" si="2710">DQ363*1000/DQ130</f>
        <v>0.5878447458436441</v>
      </c>
      <c r="DR365" s="1253">
        <f t="shared" si="2710"/>
        <v>0.53261217982159403</v>
      </c>
      <c r="DS365" s="392">
        <f t="shared" si="2709"/>
        <v>0.55435695785175321</v>
      </c>
      <c r="DT365" s="392">
        <f t="shared" si="2709"/>
        <v>0.56424583712454413</v>
      </c>
      <c r="DU365" s="392">
        <f t="shared" si="2709"/>
        <v>0.56995939642828408</v>
      </c>
      <c r="DV365" s="392">
        <f t="shared" si="2709"/>
        <v>0.57269651649182929</v>
      </c>
      <c r="DY365" s="392">
        <v>0.6038364627366265</v>
      </c>
      <c r="DZ365" s="392">
        <v>0.6174573814062162</v>
      </c>
    </row>
    <row r="366" spans="1:130">
      <c r="A366" s="44"/>
      <c r="B366" s="44"/>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c r="AA366" s="52"/>
      <c r="AB366" s="52"/>
      <c r="AC366" s="52"/>
      <c r="AD366" s="52"/>
      <c r="AE366" s="52"/>
      <c r="AF366" s="52"/>
      <c r="AG366" s="52"/>
      <c r="AH366" s="52"/>
      <c r="AI366" s="52"/>
      <c r="AJ366" s="52"/>
      <c r="AK366" s="52"/>
      <c r="AL366" s="52"/>
      <c r="AM366" s="52"/>
      <c r="AN366" s="52"/>
      <c r="AO366" s="52"/>
      <c r="AP366" s="52"/>
      <c r="AQ366" s="1274"/>
      <c r="AR366" s="1274"/>
      <c r="AS366" s="1274"/>
      <c r="AT366" s="1274"/>
      <c r="AU366" s="1274"/>
      <c r="AV366" s="1274"/>
      <c r="AW366" s="1274"/>
      <c r="AX366" s="1274"/>
      <c r="AY366" s="1274"/>
      <c r="AZ366" s="1274"/>
      <c r="BA366" s="1275"/>
      <c r="BB366" s="1274"/>
      <c r="BC366" s="1275"/>
      <c r="BD366" s="1274"/>
      <c r="BE366" s="1274"/>
      <c r="BF366" s="1274"/>
      <c r="BG366" s="1274"/>
      <c r="BH366" s="1274"/>
      <c r="BI366" s="1274"/>
      <c r="BJ366" s="1274"/>
      <c r="BK366" s="1274"/>
      <c r="BL366" s="1274"/>
      <c r="BM366" s="1274"/>
      <c r="BN366" s="1274"/>
      <c r="BO366" s="1274"/>
      <c r="BP366" s="1274"/>
      <c r="BQ366" s="1274"/>
      <c r="BR366" s="1274"/>
      <c r="BS366" s="1274"/>
      <c r="BT366" s="1274"/>
      <c r="BU366" s="1274"/>
      <c r="BV366" s="1274"/>
      <c r="BW366" s="1274"/>
      <c r="BX366" s="1274"/>
      <c r="BY366" s="1274"/>
      <c r="BZ366" s="1274"/>
      <c r="CA366" s="1274"/>
      <c r="CB366" s="1274"/>
      <c r="CC366" s="1274"/>
      <c r="CD366" s="1274"/>
      <c r="CE366" s="1274"/>
      <c r="CF366" s="1274"/>
      <c r="CG366" s="1274"/>
      <c r="CH366" s="1274"/>
      <c r="CI366" s="1274"/>
      <c r="CJ366" s="1274"/>
      <c r="CK366" s="1274"/>
      <c r="CL366" s="393"/>
      <c r="CM366" s="393"/>
      <c r="CN366" s="393"/>
      <c r="CO366" s="393"/>
      <c r="CP366" s="393"/>
      <c r="CQ366" s="393"/>
      <c r="CR366" s="393"/>
      <c r="CS366" s="393"/>
      <c r="CT366" s="393"/>
      <c r="CU366" s="1125"/>
      <c r="CV366" s="53"/>
      <c r="CW366" s="53"/>
      <c r="CX366" s="53"/>
      <c r="CY366" s="53"/>
      <c r="CZ366" s="52"/>
      <c r="DA366" s="52"/>
      <c r="DB366" s="50"/>
      <c r="DC366" s="50"/>
      <c r="DD366" s="50"/>
      <c r="DE366" s="50"/>
      <c r="DF366" s="50"/>
      <c r="DG366" s="50"/>
      <c r="DH366" s="50"/>
      <c r="DI366" s="50"/>
      <c r="DJ366" s="50"/>
      <c r="DK366" s="50"/>
      <c r="DL366" s="1254"/>
      <c r="DM366" s="1254"/>
      <c r="DN366" s="1254"/>
      <c r="DO366" s="1254"/>
      <c r="DP366" s="1254"/>
      <c r="DQ366" s="1254"/>
      <c r="DR366" s="1254"/>
      <c r="DS366" s="380"/>
      <c r="DT366" s="380"/>
      <c r="DU366" s="380"/>
      <c r="DV366" s="380"/>
      <c r="DY366" s="380"/>
      <c r="DZ366" s="380"/>
    </row>
    <row r="367" spans="1:130">
      <c r="A367" s="54" t="s">
        <v>316</v>
      </c>
      <c r="B367" s="44"/>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c r="AA367" s="52"/>
      <c r="AB367" s="52"/>
      <c r="AC367" s="52"/>
      <c r="AD367" s="52"/>
      <c r="AE367" s="52"/>
      <c r="AF367" s="52"/>
      <c r="AG367" s="52"/>
      <c r="AH367" s="52"/>
      <c r="AI367" s="52"/>
      <c r="AJ367" s="52"/>
      <c r="AK367" s="52"/>
      <c r="AL367" s="52"/>
      <c r="AM367" s="52"/>
      <c r="AN367" s="52"/>
      <c r="AO367" s="52"/>
      <c r="AP367" s="52"/>
      <c r="AQ367" s="1274"/>
      <c r="AR367" s="1274"/>
      <c r="AS367" s="1274"/>
      <c r="AT367" s="1274"/>
      <c r="AU367" s="1274"/>
      <c r="AV367" s="1274"/>
      <c r="AW367" s="1274"/>
      <c r="AX367" s="1274"/>
      <c r="AY367" s="1274"/>
      <c r="AZ367" s="1274"/>
      <c r="BA367" s="1275"/>
      <c r="BB367" s="1274"/>
      <c r="BC367" s="1275"/>
      <c r="BD367" s="1274"/>
      <c r="BE367" s="1274"/>
      <c r="BF367" s="1274"/>
      <c r="BG367" s="1274"/>
      <c r="BH367" s="1274"/>
      <c r="BI367" s="1274"/>
      <c r="BJ367" s="1274"/>
      <c r="BK367" s="1274"/>
      <c r="BL367" s="1274"/>
      <c r="BM367" s="1274"/>
      <c r="BN367" s="1274"/>
      <c r="BO367" s="1274"/>
      <c r="BP367" s="1274"/>
      <c r="BQ367" s="1274"/>
      <c r="BR367" s="1274"/>
      <c r="BS367" s="1274"/>
      <c r="BT367" s="1274"/>
      <c r="BU367" s="1274"/>
      <c r="BV367" s="1274"/>
      <c r="BW367" s="1274"/>
      <c r="BX367" s="1274"/>
      <c r="BY367" s="1274"/>
      <c r="BZ367" s="1274"/>
      <c r="CA367" s="1274"/>
      <c r="CB367" s="1274"/>
      <c r="CC367" s="1274"/>
      <c r="CD367" s="1274"/>
      <c r="CE367" s="1274"/>
      <c r="CF367" s="1274"/>
      <c r="CG367" s="1274"/>
      <c r="CH367" s="1274"/>
      <c r="CI367" s="1274"/>
      <c r="CJ367" s="1274"/>
      <c r="CK367" s="1274"/>
      <c r="CL367" s="393"/>
      <c r="CM367" s="393"/>
      <c r="CN367" s="393"/>
      <c r="CO367" s="393"/>
      <c r="CP367" s="393"/>
      <c r="CQ367" s="393"/>
      <c r="CR367" s="393"/>
      <c r="CS367" s="393"/>
      <c r="CT367" s="393"/>
      <c r="CU367" s="1125"/>
      <c r="CV367" s="53"/>
      <c r="CW367" s="53"/>
      <c r="CX367" s="53"/>
      <c r="CY367" s="53"/>
      <c r="CZ367" s="52"/>
      <c r="DA367" s="52"/>
      <c r="DB367" s="50"/>
      <c r="DC367" s="50"/>
      <c r="DD367" s="50"/>
      <c r="DE367" s="50"/>
      <c r="DF367" s="50"/>
      <c r="DG367" s="51"/>
      <c r="DH367" s="50"/>
      <c r="DI367" s="50"/>
      <c r="DJ367" s="50"/>
      <c r="DK367" s="50"/>
      <c r="DL367" s="1254"/>
      <c r="DM367" s="1254"/>
      <c r="DN367" s="1254"/>
      <c r="DO367" s="1254"/>
      <c r="DP367" s="1254"/>
      <c r="DQ367" s="1254"/>
      <c r="DR367" s="1254"/>
      <c r="DS367" s="380"/>
      <c r="DT367" s="380"/>
      <c r="DU367" s="380"/>
      <c r="DV367" s="380"/>
      <c r="DY367" s="380"/>
      <c r="DZ367" s="380"/>
    </row>
    <row r="368" spans="1:130">
      <c r="A368" s="48" t="s">
        <v>317</v>
      </c>
      <c r="B368" s="48"/>
      <c r="C368" s="48">
        <v>2.7</v>
      </c>
      <c r="D368" s="48">
        <v>0</v>
      </c>
      <c r="E368" s="48">
        <v>0</v>
      </c>
      <c r="F368" s="48">
        <v>5.2</v>
      </c>
      <c r="G368" s="48">
        <v>3.6</v>
      </c>
      <c r="H368" s="48">
        <v>5.4</v>
      </c>
      <c r="I368" s="48">
        <v>2.1</v>
      </c>
      <c r="J368" s="48">
        <v>12.5</v>
      </c>
      <c r="K368" s="48">
        <v>9.9</v>
      </c>
      <c r="L368" s="48">
        <v>22.5</v>
      </c>
      <c r="M368" s="48">
        <v>12.7</v>
      </c>
      <c r="N368" s="48">
        <v>36.1</v>
      </c>
      <c r="O368" s="48">
        <v>8.4</v>
      </c>
      <c r="P368" s="48">
        <v>17</v>
      </c>
      <c r="Q368" s="48">
        <v>8.1</v>
      </c>
      <c r="R368" s="48">
        <v>26.5</v>
      </c>
      <c r="S368" s="48">
        <v>10.3</v>
      </c>
      <c r="T368" s="48">
        <v>20.399999999999999</v>
      </c>
      <c r="U368" s="48">
        <v>21</v>
      </c>
      <c r="V368" s="48">
        <v>32</v>
      </c>
      <c r="W368" s="48">
        <v>5.8</v>
      </c>
      <c r="X368" s="48">
        <v>14.8</v>
      </c>
      <c r="Y368" s="48">
        <v>9.4</v>
      </c>
      <c r="Z368" s="48">
        <v>12.9</v>
      </c>
      <c r="AA368" s="48">
        <v>7.7</v>
      </c>
      <c r="AB368" s="48">
        <v>15.4</v>
      </c>
      <c r="AC368" s="48">
        <v>16.899999999999999</v>
      </c>
      <c r="AD368" s="48">
        <v>32.5</v>
      </c>
      <c r="AE368" s="48">
        <v>17.8</v>
      </c>
      <c r="AF368" s="48">
        <v>42</v>
      </c>
      <c r="AG368" s="48">
        <v>29.6</v>
      </c>
      <c r="AH368" s="48">
        <v>98.9</v>
      </c>
      <c r="AI368" s="48">
        <v>23.7</v>
      </c>
      <c r="AJ368" s="48">
        <v>29.6</v>
      </c>
      <c r="AK368" s="48">
        <v>36.299999999999997</v>
      </c>
      <c r="AL368" s="48">
        <v>82</v>
      </c>
      <c r="AM368" s="48">
        <v>18.8</v>
      </c>
      <c r="AN368" s="48">
        <v>42.2</v>
      </c>
      <c r="AO368" s="48">
        <v>48.9</v>
      </c>
      <c r="AP368" s="48">
        <v>88.7</v>
      </c>
      <c r="AQ368" s="1276">
        <v>37.700000000000003</v>
      </c>
      <c r="AR368" s="1276">
        <v>52.8</v>
      </c>
      <c r="AS368" s="1276">
        <v>57.5</v>
      </c>
      <c r="AT368" s="1276">
        <v>70.400000000000006</v>
      </c>
      <c r="AU368" s="1276">
        <v>32.799999999999997</v>
      </c>
      <c r="AV368" s="1276">
        <v>50</v>
      </c>
      <c r="AW368" s="1276">
        <v>40.299999999999997</v>
      </c>
      <c r="AX368" s="1276">
        <v>53.9</v>
      </c>
      <c r="AY368" s="1276">
        <v>39.6</v>
      </c>
      <c r="AZ368" s="1276">
        <v>48.3</v>
      </c>
      <c r="BA368" s="1277">
        <v>42.3</v>
      </c>
      <c r="BB368" s="1276">
        <v>49.8</v>
      </c>
      <c r="BC368" s="1277">
        <v>22.5049428402255</v>
      </c>
      <c r="BD368" s="1276">
        <v>52.469118694632101</v>
      </c>
      <c r="BE368" s="1276">
        <v>57.380989414139407</v>
      </c>
      <c r="BF368" s="1276">
        <v>90.019496013700007</v>
      </c>
      <c r="BG368" s="1276">
        <v>30.308854593886196</v>
      </c>
      <c r="BH368" s="1276">
        <v>45.814993739480833</v>
      </c>
      <c r="BI368" s="1276">
        <v>64.489992908891068</v>
      </c>
      <c r="BJ368" s="1276">
        <v>84.50968427083528</v>
      </c>
      <c r="BK368" s="1276">
        <v>27.903026381317563</v>
      </c>
      <c r="BL368" s="1276">
        <v>59.4</v>
      </c>
      <c r="BM368" s="1276">
        <v>71.898440274263791</v>
      </c>
      <c r="BN368" s="1276">
        <v>103.19421080829709</v>
      </c>
      <c r="BO368" s="1276">
        <v>49.566672152324799</v>
      </c>
      <c r="BP368" s="1276">
        <v>12.8</v>
      </c>
      <c r="BQ368" s="1276">
        <v>19.150549846900173</v>
      </c>
      <c r="BR368" s="1276">
        <v>14.8</v>
      </c>
      <c r="BS368" s="1276">
        <v>78.184094860000016</v>
      </c>
      <c r="BT368" s="1276">
        <v>66.799561649999987</v>
      </c>
      <c r="BU368" s="1276">
        <v>13.496119400000005</v>
      </c>
      <c r="BV368" s="1276">
        <v>14.671295469999997</v>
      </c>
      <c r="BW368" s="1276">
        <v>37.972279018000002</v>
      </c>
      <c r="BX368" s="1276">
        <v>72.20064945384199</v>
      </c>
      <c r="BY368" s="1276">
        <v>58.974462914851003</v>
      </c>
      <c r="BZ368" s="1276">
        <v>53.151400000000002</v>
      </c>
      <c r="CA368" s="1276">
        <v>17.123429194956898</v>
      </c>
      <c r="CB368" s="1276">
        <v>49.367888983088001</v>
      </c>
      <c r="CC368" s="1276">
        <v>52.823127100905673</v>
      </c>
      <c r="CD368" s="1276">
        <v>74.624218335269148</v>
      </c>
      <c r="CE368" s="1276">
        <v>11.490560987434</v>
      </c>
      <c r="CF368" s="1276">
        <v>30.442295082076502</v>
      </c>
      <c r="CG368" s="1276">
        <v>44.809292325552498</v>
      </c>
      <c r="CH368" s="1276">
        <v>58.483855708499995</v>
      </c>
      <c r="CI368" s="1276">
        <v>3.7474389267000001</v>
      </c>
      <c r="CJ368" s="1276">
        <v>14.2698085</v>
      </c>
      <c r="CK368" s="1276">
        <v>42.581724780000002</v>
      </c>
      <c r="CL368" s="394">
        <f t="shared" ref="CL368" si="2711">+$DO$368/4</f>
        <v>48.484665903554934</v>
      </c>
      <c r="CM368" s="394">
        <f>+CM370*CM271/1000</f>
        <v>2.9605411384977742</v>
      </c>
      <c r="CN368" s="394">
        <f t="shared" ref="CN368:CP368" si="2712">+CN370*CN271/1000</f>
        <v>8.881623415492756</v>
      </c>
      <c r="CO368" s="394">
        <f t="shared" si="2712"/>
        <v>14.802705692488304</v>
      </c>
      <c r="CP368" s="394">
        <f t="shared" si="2712"/>
        <v>32.565952523474095</v>
      </c>
      <c r="CQ368" s="394"/>
      <c r="CR368" s="394"/>
      <c r="CS368" s="394"/>
      <c r="CT368" s="394">
        <v>48.484665903554934</v>
      </c>
      <c r="CU368" s="1126"/>
      <c r="CV368" s="49">
        <v>7.9</v>
      </c>
      <c r="CW368" s="49">
        <v>23.6</v>
      </c>
      <c r="CX368" s="49">
        <v>81.199999999999989</v>
      </c>
      <c r="CY368" s="49">
        <v>60</v>
      </c>
      <c r="CZ368" s="49">
        <v>83.7</v>
      </c>
      <c r="DA368" s="49">
        <v>42.9</v>
      </c>
      <c r="DB368" s="49">
        <v>72.5</v>
      </c>
      <c r="DC368" s="49">
        <v>188.3</v>
      </c>
      <c r="DD368" s="49">
        <v>171.6</v>
      </c>
      <c r="DE368" s="49">
        <v>198.60000000000002</v>
      </c>
      <c r="DF368" s="49">
        <f>+SUM(AQ368:AT368)</f>
        <v>218.4</v>
      </c>
      <c r="DG368" s="49">
        <f>+SUM(AU368:AX368)</f>
        <v>177</v>
      </c>
      <c r="DH368" s="49">
        <f>+SUM(AY368:BB368)</f>
        <v>180</v>
      </c>
      <c r="DI368" s="49">
        <f>+SUM(BC368:BF368)</f>
        <v>222.37454696269702</v>
      </c>
      <c r="DJ368" s="49">
        <f>+SUM(BG368:BJ368)</f>
        <v>225.1235255130934</v>
      </c>
      <c r="DK368" s="49">
        <f>+SUM(BK368:BN368)</f>
        <v>262.39567746387843</v>
      </c>
      <c r="DL368" s="1255">
        <f>+SUM(BO368:BR368)</f>
        <v>96.317221999224969</v>
      </c>
      <c r="DM368" s="1261">
        <f>+SUM(BS368:BV368)</f>
        <v>173.15107137999999</v>
      </c>
      <c r="DN368" s="1261">
        <f>+SUM(BW368:BZ368)</f>
        <v>222.29879138669301</v>
      </c>
      <c r="DO368" s="1261">
        <f>+SUM(CA368:CD368)</f>
        <v>193.93866361421973</v>
      </c>
      <c r="DP368" s="1261">
        <f>+SUM(CE368:CH368)</f>
        <v>145.22600410356299</v>
      </c>
      <c r="DQ368" s="1261">
        <f>+SUM(CI368:CL368)</f>
        <v>109.08363811025492</v>
      </c>
      <c r="DR368" s="1261">
        <f>+SUM(CM368:CP368)</f>
        <v>59.210822769952927</v>
      </c>
      <c r="DS368" s="405">
        <f t="shared" ref="DS368" si="2713">+DS369*DS271/1000</f>
        <v>61.579255680751338</v>
      </c>
      <c r="DT368" s="405">
        <f t="shared" ref="DT368:DV368" si="2714">+DT369*DT271/1000</f>
        <v>64.042425907981084</v>
      </c>
      <c r="DU368" s="405">
        <f t="shared" si="2714"/>
        <v>66.604122944300656</v>
      </c>
      <c r="DV368" s="405">
        <f t="shared" si="2714"/>
        <v>69.268287862072356</v>
      </c>
      <c r="DY368" s="405">
        <v>109.02317960791316</v>
      </c>
      <c r="DZ368" s="405">
        <v>113.38410679223017</v>
      </c>
    </row>
    <row r="369" spans="1:130">
      <c r="A369" s="45" t="s">
        <v>318</v>
      </c>
      <c r="B369" s="45"/>
      <c r="C369" s="46">
        <v>1.1653255303584382</v>
      </c>
      <c r="D369" s="46">
        <v>0</v>
      </c>
      <c r="E369" s="46" t="e">
        <v>#DIV/0!</v>
      </c>
      <c r="F369" s="46">
        <v>1.3877768881772083</v>
      </c>
      <c r="G369" s="46">
        <v>7.2</v>
      </c>
      <c r="H369" s="46">
        <v>1.4025974025974026</v>
      </c>
      <c r="I369" s="46">
        <v>50</v>
      </c>
      <c r="J369" s="46">
        <v>3.3710895361380797</v>
      </c>
      <c r="K369" s="46">
        <v>2.4750000000000001</v>
      </c>
      <c r="L369" s="46">
        <v>3.4090909090909092</v>
      </c>
      <c r="M369" s="46">
        <v>2.0483870967741935</v>
      </c>
      <c r="N369" s="46">
        <v>3.4380952380952383</v>
      </c>
      <c r="O369" s="46" t="e">
        <v>#DIV/0!</v>
      </c>
      <c r="P369" s="46">
        <v>1.1724137931034482</v>
      </c>
      <c r="Q369" s="46">
        <v>-3.24</v>
      </c>
      <c r="R369" s="46">
        <v>1.962962962962963</v>
      </c>
      <c r="S369" s="46">
        <v>5.4210526315789478</v>
      </c>
      <c r="T369" s="46">
        <v>2.292134831460674</v>
      </c>
      <c r="U369" s="46">
        <v>6.3636363636363633</v>
      </c>
      <c r="V369" s="46">
        <v>2.6446280991735538</v>
      </c>
      <c r="W369" s="46"/>
      <c r="X369" s="46">
        <v>1.3577981651376148</v>
      </c>
      <c r="Y369" s="46">
        <v>4.9473684210526319</v>
      </c>
      <c r="Z369" s="46">
        <v>1.7916666666666667</v>
      </c>
      <c r="AA369" s="46">
        <v>3.08</v>
      </c>
      <c r="AB369" s="46">
        <v>2.1388888888888888</v>
      </c>
      <c r="AC369" s="46">
        <v>9.9411764705882355</v>
      </c>
      <c r="AD369" s="46">
        <v>2.3897058823529411</v>
      </c>
      <c r="AE369" s="46">
        <v>1.78</v>
      </c>
      <c r="AF369" s="46">
        <v>3.0656934306569341</v>
      </c>
      <c r="AG369" s="46">
        <v>17.411764705882351</v>
      </c>
      <c r="AH369" s="46">
        <v>3.5963636363636362</v>
      </c>
      <c r="AI369" s="46">
        <v>7.40625</v>
      </c>
      <c r="AJ369" s="46">
        <v>1.0962962962962963</v>
      </c>
      <c r="AK369" s="46">
        <v>-2.5384615384615383</v>
      </c>
      <c r="AL369" s="46">
        <v>1.680327868852459</v>
      </c>
      <c r="AM369" s="46">
        <v>10.444444444444445</v>
      </c>
      <c r="AN369" s="46">
        <v>4.7415730337078648</v>
      </c>
      <c r="AO369" s="46">
        <v>4.7941176470588234</v>
      </c>
      <c r="AP369" s="46">
        <v>2.712538226299694</v>
      </c>
      <c r="AQ369" s="1250">
        <f t="shared" ref="AQ369:CD369" si="2715">AQ368*1000/AQ271</f>
        <v>-8.6495217834271387E-2</v>
      </c>
      <c r="AR369" s="1250">
        <f t="shared" si="2715"/>
        <v>2958.4804168767891</v>
      </c>
      <c r="AS369" s="1250">
        <f t="shared" si="2715"/>
        <v>8214.2857142857138</v>
      </c>
      <c r="AT369" s="1250">
        <f t="shared" si="2715"/>
        <v>2933.3333333333262</v>
      </c>
      <c r="AU369" s="1250">
        <f t="shared" si="2715"/>
        <v>10580.645161290438</v>
      </c>
      <c r="AV369" s="1250">
        <f t="shared" si="2715"/>
        <v>3167.1628555140237</v>
      </c>
      <c r="AW369" s="1250">
        <f t="shared" si="2715"/>
        <v>4790.2056341376056</v>
      </c>
      <c r="AX369" s="1250">
        <f t="shared" si="2715"/>
        <v>2730.7081045288865</v>
      </c>
      <c r="AY369" s="1250">
        <f t="shared" si="2715"/>
        <v>11353.536511941387</v>
      </c>
      <c r="AZ369" s="1250">
        <f t="shared" si="2715"/>
        <v>3206.5176620702073</v>
      </c>
      <c r="BA369" s="1250">
        <f t="shared" si="2715"/>
        <v>4520.7666707278349</v>
      </c>
      <c r="BB369" s="1250">
        <f t="shared" si="2715"/>
        <v>2156.1073689515151</v>
      </c>
      <c r="BC369" s="1250">
        <f t="shared" si="2715"/>
        <v>6542.8573040705214</v>
      </c>
      <c r="BD369" s="1250">
        <f t="shared" si="2715"/>
        <v>3552.9070875580665</v>
      </c>
      <c r="BE369" s="1250">
        <f t="shared" si="2715"/>
        <v>1797.3043222306094</v>
      </c>
      <c r="BF369" s="1250">
        <f t="shared" si="2715"/>
        <v>4447.0191177295865</v>
      </c>
      <c r="BG369" s="1250">
        <f t="shared" si="2715"/>
        <v>-7042.4128189970907</v>
      </c>
      <c r="BH369" s="1250">
        <f t="shared" si="2715"/>
        <v>3321.2555848049919</v>
      </c>
      <c r="BI369" s="1250">
        <f t="shared" si="2715"/>
        <v>6640.4569455429237</v>
      </c>
      <c r="BJ369" s="1250">
        <f t="shared" si="2715"/>
        <v>4079.0464461258539</v>
      </c>
      <c r="BK369" s="1250">
        <f t="shared" si="2715"/>
        <v>8368.5312515200349</v>
      </c>
      <c r="BL369" s="1250">
        <f t="shared" si="2715"/>
        <v>3549.2521474768118</v>
      </c>
      <c r="BM369" s="1250">
        <f t="shared" si="2715"/>
        <v>8335.9640623186297</v>
      </c>
      <c r="BN369" s="1250">
        <f t="shared" si="2715"/>
        <v>4052.6660462295704</v>
      </c>
      <c r="BO369" s="1250">
        <f t="shared" si="2715"/>
        <v>-27827.841023317975</v>
      </c>
      <c r="BP369" s="1250" t="e">
        <f t="shared" si="2715"/>
        <v>#DIV/0!</v>
      </c>
      <c r="BQ369" s="1250">
        <f t="shared" si="2715"/>
        <v>2531.1962429534633</v>
      </c>
      <c r="BR369" s="1250">
        <f t="shared" si="2715"/>
        <v>24269.854544861224</v>
      </c>
      <c r="BS369" s="1250">
        <f t="shared" si="2715"/>
        <v>-71517.910428912961</v>
      </c>
      <c r="BT369" s="1250">
        <f t="shared" si="2715"/>
        <v>2676.0532782468617</v>
      </c>
      <c r="BU369" s="1250">
        <f t="shared" si="2715"/>
        <v>18780.345101096143</v>
      </c>
      <c r="BV369" s="1250">
        <f t="shared" si="2715"/>
        <v>12801.0605270041</v>
      </c>
      <c r="BW369" s="1250">
        <f t="shared" si="2715"/>
        <v>37773.214179279646</v>
      </c>
      <c r="BX369" s="1250">
        <f t="shared" si="2715"/>
        <v>8768.7593839869969</v>
      </c>
      <c r="BY369" s="1250">
        <f t="shared" si="2715"/>
        <v>5767.5100574017797</v>
      </c>
      <c r="BZ369" s="1250">
        <f t="shared" si="2715"/>
        <v>9883.9801916497836</v>
      </c>
      <c r="CA369" s="1250">
        <f t="shared" si="2715"/>
        <v>-1954.9525282517768</v>
      </c>
      <c r="CB369" s="1250">
        <f t="shared" si="2715"/>
        <v>-17429.312641794029</v>
      </c>
      <c r="CC369" s="1250">
        <f t="shared" si="2715"/>
        <v>-24138.924079871293</v>
      </c>
      <c r="CD369" s="1250">
        <f t="shared" si="2715"/>
        <v>11141.446216213972</v>
      </c>
      <c r="CE369" s="1250">
        <f t="shared" ref="CE369:CG369" si="2716">CE368*1000/CE271</f>
        <v>15280.407706887503</v>
      </c>
      <c r="CF369" s="1250">
        <f t="shared" ref="CF369" si="2717">CF368*1000/CF271</f>
        <v>41388.619099433323</v>
      </c>
      <c r="CG369" s="1250">
        <f t="shared" si="2716"/>
        <v>-12695.516878669905</v>
      </c>
      <c r="CH369" s="1250">
        <f>CH368*1000/CH271</f>
        <v>31033.312911517856</v>
      </c>
      <c r="CI369" s="1250">
        <f t="shared" ref="CI369:CL369" si="2718">CI368*1000/CI271</f>
        <v>722.52426360856248</v>
      </c>
      <c r="CJ369" s="1250">
        <f t="shared" si="2718"/>
        <v>26125.770021786673</v>
      </c>
      <c r="CK369" s="1250">
        <f t="shared" si="2718"/>
        <v>34504.274191721503</v>
      </c>
      <c r="CL369" s="46">
        <f t="shared" si="2718"/>
        <v>2317.5027592558317</v>
      </c>
      <c r="CM369" s="2169">
        <v>2500</v>
      </c>
      <c r="CN369" s="2169">
        <v>2500</v>
      </c>
      <c r="CO369" s="2169">
        <v>2500</v>
      </c>
      <c r="CP369" s="2169">
        <v>2500</v>
      </c>
      <c r="CQ369" s="46"/>
      <c r="CR369" s="46"/>
      <c r="CS369" s="161"/>
      <c r="CT369" s="46">
        <v>2317.5027592558317</v>
      </c>
      <c r="CU369" s="1121"/>
      <c r="CV369" s="46">
        <v>5.5399719495091163E-2</v>
      </c>
      <c r="CW369" s="46">
        <v>2.9135802469135803</v>
      </c>
      <c r="CX369" s="46">
        <v>2.974358974358974</v>
      </c>
      <c r="CY369" s="46">
        <v>2.3529411764705883</v>
      </c>
      <c r="CZ369" s="46">
        <v>3.1946564885496183</v>
      </c>
      <c r="DA369" s="46">
        <v>2.145</v>
      </c>
      <c r="DB369" s="46">
        <v>2.9</v>
      </c>
      <c r="DC369" s="46">
        <v>4.3487297921478056</v>
      </c>
      <c r="DD369" s="46">
        <v>2.6522411128284391</v>
      </c>
      <c r="DE369" s="46">
        <v>3.7052238805970155</v>
      </c>
      <c r="DF369" s="46">
        <f t="shared" ref="DF369:DP369" si="2719">DF368*1000/DF271</f>
        <v>-0.50113190645354178</v>
      </c>
      <c r="DG369" s="46">
        <f t="shared" si="2719"/>
        <v>3762.8774915510676</v>
      </c>
      <c r="DH369" s="46">
        <f t="shared" si="2719"/>
        <v>3529.0678535836596</v>
      </c>
      <c r="DI369" s="46">
        <f t="shared" si="2719"/>
        <v>3159.7904035204178</v>
      </c>
      <c r="DJ369" s="46">
        <f t="shared" si="2719"/>
        <v>5639.3103654545612</v>
      </c>
      <c r="DK369" s="46">
        <f t="shared" si="2719"/>
        <v>4844.9512055869782</v>
      </c>
      <c r="DL369" s="1250">
        <f t="shared" si="2719"/>
        <v>15062.675171864283</v>
      </c>
      <c r="DM369" s="1250">
        <f t="shared" si="2719"/>
        <v>6728.627612500296</v>
      </c>
      <c r="DN369" s="1250">
        <f t="shared" si="2719"/>
        <v>8948.527827806276</v>
      </c>
      <c r="DO369" s="1250">
        <f t="shared" si="2719"/>
        <v>-27385.246396554205</v>
      </c>
      <c r="DP369" s="1250">
        <f t="shared" si="2719"/>
        <v>-922172.33091977658</v>
      </c>
      <c r="DQ369" s="1250">
        <f t="shared" ref="DQ369:DR369" si="2720">DQ368*1000/DQ271</f>
        <v>3911.4941841726331</v>
      </c>
      <c r="DR369" s="1250">
        <f t="shared" si="2720"/>
        <v>2500</v>
      </c>
      <c r="DS369" s="406">
        <f>+DR369*1.04</f>
        <v>2600</v>
      </c>
      <c r="DT369" s="406">
        <f t="shared" ref="DT369:DV369" si="2721">+DS369*1.04</f>
        <v>2704</v>
      </c>
      <c r="DU369" s="406">
        <f t="shared" si="2721"/>
        <v>2812.1600000000003</v>
      </c>
      <c r="DV369" s="406">
        <f t="shared" si="2721"/>
        <v>2924.6464000000005</v>
      </c>
      <c r="DY369" s="406">
        <v>4067.9539515395386</v>
      </c>
      <c r="DZ369" s="406">
        <v>4230.6721096011206</v>
      </c>
    </row>
    <row r="370" spans="1:130">
      <c r="A370" s="45" t="s">
        <v>319</v>
      </c>
      <c r="B370" s="44"/>
      <c r="C370" s="42"/>
      <c r="D370" s="42"/>
      <c r="E370" s="42"/>
      <c r="F370" s="42"/>
      <c r="G370" s="43">
        <v>1.0868222798567371</v>
      </c>
      <c r="H370" s="43">
        <v>1.7446860793709302</v>
      </c>
      <c r="I370" s="43">
        <v>2.0123456790123457</v>
      </c>
      <c r="J370" s="43">
        <v>2.0344827586206899</v>
      </c>
      <c r="K370" s="43">
        <v>2.0836236933797907</v>
      </c>
      <c r="L370" s="43">
        <v>2.2917885703140239</v>
      </c>
      <c r="M370" s="43">
        <v>2.1098901098901095</v>
      </c>
      <c r="N370" s="43">
        <v>3.484978540772532</v>
      </c>
      <c r="O370" s="43">
        <v>2.5544871794871802</v>
      </c>
      <c r="P370" s="43">
        <v>3.2977777777777773</v>
      </c>
      <c r="Q370" s="43">
        <v>2.729411764705882</v>
      </c>
      <c r="R370" s="43">
        <v>2.1897810218978102</v>
      </c>
      <c r="S370" s="43">
        <v>2.8394495412844041</v>
      </c>
      <c r="T370" s="43">
        <v>2.3659420289855078</v>
      </c>
      <c r="U370" s="43">
        <v>2.9847328244274807</v>
      </c>
      <c r="V370" s="43">
        <v>3.4444444444444446</v>
      </c>
      <c r="W370" s="43">
        <v>3.0114068441064639</v>
      </c>
      <c r="X370" s="43">
        <v>2.9558232931726902</v>
      </c>
      <c r="Y370" s="43">
        <v>3.0999999999999996</v>
      </c>
      <c r="Z370" s="43">
        <v>1.9066666666666665</v>
      </c>
      <c r="AA370" s="43">
        <v>2.3829787234042552</v>
      </c>
      <c r="AB370" s="43">
        <v>2.4408602150537635</v>
      </c>
      <c r="AC370" s="43">
        <v>2.1159999999999997</v>
      </c>
      <c r="AD370" s="43">
        <v>3.1659388646288207</v>
      </c>
      <c r="AE370" s="43">
        <v>2.8095238095238093</v>
      </c>
      <c r="AF370" s="43">
        <v>3.7142857142857144</v>
      </c>
      <c r="AG370" s="43">
        <v>2.8152424942263283</v>
      </c>
      <c r="AH370" s="43">
        <v>4.0845986984815621</v>
      </c>
      <c r="AI370" s="43">
        <v>3.269360269360269</v>
      </c>
      <c r="AJ370" s="43">
        <v>4.1889400921658986</v>
      </c>
      <c r="AK370" s="43">
        <v>2.9134466769706338</v>
      </c>
      <c r="AL370" s="43">
        <v>2.7109004739336493</v>
      </c>
      <c r="AM370" s="43">
        <v>3.6880530973451329</v>
      </c>
      <c r="AN370" s="43">
        <v>2.5724533715925393</v>
      </c>
      <c r="AO370" s="43">
        <v>3.580223880597015</v>
      </c>
      <c r="AP370" s="43">
        <v>3.7260787992495312</v>
      </c>
      <c r="AQ370" s="1278">
        <f t="shared" ref="AQ370:BU370" si="2722">+SUM(AN368:AQ368)/(AR271+AQ271+AP271+AO271)*1000</f>
        <v>-0.55351342327311448</v>
      </c>
      <c r="AR370" s="1278">
        <f t="shared" si="2722"/>
        <v>-0.56581205316103156</v>
      </c>
      <c r="AS370" s="1278">
        <f t="shared" si="2722"/>
        <v>-0.54312235465912706</v>
      </c>
      <c r="AT370" s="1278">
        <f t="shared" si="2722"/>
        <v>4204.2851367740195</v>
      </c>
      <c r="AU370" s="1278">
        <f t="shared" si="2722"/>
        <v>4279.6720588530034</v>
      </c>
      <c r="AV370" s="1278">
        <f t="shared" si="2722"/>
        <v>4107.2124756335179</v>
      </c>
      <c r="AW370" s="1278">
        <f t="shared" si="2722"/>
        <v>4113.6542068651506</v>
      </c>
      <c r="AX370" s="1278">
        <f t="shared" si="2722"/>
        <v>3732.1009387815288</v>
      </c>
      <c r="AY370" s="1278">
        <f t="shared" si="2722"/>
        <v>3935.554544901725</v>
      </c>
      <c r="AZ370" s="1278">
        <f t="shared" si="2722"/>
        <v>3821.9159279238293</v>
      </c>
      <c r="BA370" s="1278">
        <f t="shared" si="2722"/>
        <v>3609.452176915288</v>
      </c>
      <c r="BB370" s="1278">
        <f t="shared" si="2722"/>
        <v>3532.4115439994171</v>
      </c>
      <c r="BC370" s="1278">
        <f t="shared" si="2722"/>
        <v>3215.5532289219964</v>
      </c>
      <c r="BD370" s="1278">
        <f t="shared" si="2722"/>
        <v>2281.4700783994126</v>
      </c>
      <c r="BE370" s="1278">
        <f t="shared" si="2722"/>
        <v>2588.2988399655501</v>
      </c>
      <c r="BF370" s="1278">
        <f t="shared" si="2722"/>
        <v>3550.4385542999407</v>
      </c>
      <c r="BG370" s="1278">
        <f t="shared" si="2722"/>
        <v>3733.0562858153544</v>
      </c>
      <c r="BH370" s="1278">
        <f t="shared" si="2722"/>
        <v>5666.7256625089449</v>
      </c>
      <c r="BI370" s="1278">
        <f t="shared" si="2722"/>
        <v>5777.3303187332021</v>
      </c>
      <c r="BJ370" s="1278">
        <f t="shared" si="2722"/>
        <v>4733.6187964343098</v>
      </c>
      <c r="BK370" s="1278">
        <f t="shared" si="2722"/>
        <v>4410.2619115238476</v>
      </c>
      <c r="BL370" s="1278">
        <f t="shared" si="2722"/>
        <v>4782.1689986852653</v>
      </c>
      <c r="BM370" s="1278">
        <f t="shared" si="2722"/>
        <v>4499.9545949398416</v>
      </c>
      <c r="BN370" s="1278">
        <f t="shared" si="2722"/>
        <v>5350.3066478426563</v>
      </c>
      <c r="BO370" s="1278">
        <f t="shared" si="2722"/>
        <v>8792.4490874906114</v>
      </c>
      <c r="BP370" s="1278">
        <f t="shared" si="2722"/>
        <v>7599.2065784522702</v>
      </c>
      <c r="BQ370" s="1278">
        <f t="shared" si="2722"/>
        <v>28886.301485436608</v>
      </c>
      <c r="BR370" s="1278">
        <f t="shared" si="2722"/>
        <v>13599.49819330217</v>
      </c>
      <c r="BS370" s="1278">
        <f t="shared" si="2722"/>
        <v>3898.8004981497538</v>
      </c>
      <c r="BT370" s="1278">
        <f t="shared" si="2722"/>
        <v>7101.3527835196492</v>
      </c>
      <c r="BU370" s="1278">
        <f t="shared" si="2722"/>
        <v>6733.6290534241671</v>
      </c>
      <c r="BV370" s="1278">
        <f t="shared" ref="BV370:CL370" si="2723">+SUM(BS368:BV368)/(CS271+BV271+BU271+BT271)*1000</f>
        <v>6454.4305255584741</v>
      </c>
      <c r="BW370" s="1278">
        <f t="shared" si="2723"/>
        <v>5587.7767135690838</v>
      </c>
      <c r="BX370" s="1278">
        <f t="shared" si="2723"/>
        <v>13320.887120527246</v>
      </c>
      <c r="BY370" s="1278">
        <f t="shared" si="2723"/>
        <v>1.288875172944516</v>
      </c>
      <c r="BZ370" s="1278">
        <f t="shared" si="2723"/>
        <v>27.363769166803422</v>
      </c>
      <c r="CA370" s="1278">
        <f t="shared" si="2723"/>
        <v>7.3772693355394123</v>
      </c>
      <c r="CB370" s="1278">
        <f t="shared" si="2723"/>
        <v>7.0063026584521051</v>
      </c>
      <c r="CC370" s="1278">
        <f t="shared" si="2723"/>
        <v>6.586129792626787</v>
      </c>
      <c r="CD370" s="1278">
        <f t="shared" si="2723"/>
        <v>9.6961200964001026</v>
      </c>
      <c r="CE370" s="1278">
        <f t="shared" si="2723"/>
        <v>7.5306468932287407</v>
      </c>
      <c r="CF370" s="1278">
        <f t="shared" si="2723"/>
        <v>3.9110436042125682</v>
      </c>
      <c r="CG370" s="1278">
        <f t="shared" si="2723"/>
        <v>2.4941493024164756</v>
      </c>
      <c r="CH370" s="1278">
        <f t="shared" si="2723"/>
        <v>2.7094863485035674</v>
      </c>
      <c r="CI370" s="1278">
        <f t="shared" si="2723"/>
        <v>-0.3154652869709661</v>
      </c>
      <c r="CJ370" s="1278">
        <f t="shared" si="2723"/>
        <v>2219.5333938103345</v>
      </c>
      <c r="CK370" s="1278">
        <f t="shared" si="2723"/>
        <v>2054.1488513045956</v>
      </c>
      <c r="CL370" s="43">
        <f t="shared" si="2723"/>
        <v>1171.9626985812529</v>
      </c>
      <c r="CM370" s="2169">
        <v>2500</v>
      </c>
      <c r="CN370" s="2169">
        <v>2500</v>
      </c>
      <c r="CO370" s="2169">
        <v>2500</v>
      </c>
      <c r="CP370" s="2169">
        <v>2500</v>
      </c>
      <c r="CQ370" s="43"/>
      <c r="CR370" s="43"/>
      <c r="CS370" s="395"/>
      <c r="CT370" s="43">
        <v>1171.9626985812529</v>
      </c>
      <c r="CU370" s="1127"/>
      <c r="CV370" s="42"/>
      <c r="CW370" s="42"/>
      <c r="CX370" s="42"/>
      <c r="CY370" s="42"/>
      <c r="CZ370" s="41"/>
      <c r="DA370" s="41"/>
      <c r="DB370" s="40"/>
      <c r="DC370" s="40"/>
      <c r="DD370" s="40"/>
      <c r="DE370" s="40"/>
      <c r="DF370" s="40"/>
      <c r="DG370" s="40"/>
      <c r="DH370" s="40"/>
      <c r="DI370" s="40"/>
      <c r="DJ370" s="40"/>
      <c r="DK370" s="40"/>
      <c r="DL370" s="1256"/>
      <c r="DM370" s="1256"/>
      <c r="DN370" s="1256"/>
      <c r="DO370" s="1256"/>
      <c r="DP370" s="1256"/>
      <c r="DQ370" s="1256"/>
      <c r="DR370" s="1256"/>
      <c r="DS370" s="407"/>
      <c r="DT370" s="407"/>
      <c r="DU370" s="407"/>
      <c r="DV370" s="407"/>
      <c r="DY370" s="407"/>
      <c r="DZ370" s="407"/>
    </row>
    <row r="371" spans="1:130">
      <c r="A371" s="8" t="s">
        <v>320</v>
      </c>
      <c r="B371" s="8"/>
      <c r="C371" s="8">
        <v>0.36486486486486491</v>
      </c>
      <c r="D371" s="8"/>
      <c r="E371" s="8"/>
      <c r="F371" s="8">
        <v>0.32298136645962733</v>
      </c>
      <c r="G371" s="8">
        <v>0.54545454545454553</v>
      </c>
      <c r="H371" s="8">
        <v>0.52941176470588247</v>
      </c>
      <c r="I371" s="8">
        <v>0.31343283582089548</v>
      </c>
      <c r="J371" s="8">
        <v>0.38580246913580246</v>
      </c>
      <c r="K371" s="8">
        <v>0.5892857142857143</v>
      </c>
      <c r="L371" s="8">
        <v>0.68597560975609762</v>
      </c>
      <c r="M371" s="8">
        <v>0.57990867579908667</v>
      </c>
      <c r="N371" s="8">
        <v>0.7599999999999999</v>
      </c>
      <c r="O371" s="8">
        <v>0.72413793103448276</v>
      </c>
      <c r="P371" s="8">
        <v>0.7024793388429752</v>
      </c>
      <c r="Q371" s="8">
        <v>0.4821428571428571</v>
      </c>
      <c r="R371" s="8">
        <v>0.4740608228980322</v>
      </c>
      <c r="S371" s="8">
        <v>0.56906077348066297</v>
      </c>
      <c r="T371" s="8">
        <v>0.67105263157894735</v>
      </c>
      <c r="U371" s="8">
        <v>0.57220708446866475</v>
      </c>
      <c r="V371" s="8">
        <v>0.62015503875969002</v>
      </c>
      <c r="W371" s="8">
        <v>0.90625</v>
      </c>
      <c r="X371" s="8">
        <v>0.68837209302325586</v>
      </c>
      <c r="Y371" s="8">
        <v>0.6619718309859155</v>
      </c>
      <c r="Z371" s="8">
        <v>0.4777777777777778</v>
      </c>
      <c r="AA371" s="8">
        <v>0.48427672955974849</v>
      </c>
      <c r="AB371" s="8">
        <v>0.74757281553398058</v>
      </c>
      <c r="AC371" s="8">
        <v>0.62361623616236161</v>
      </c>
      <c r="AD371" s="8">
        <v>0.33609100310237849</v>
      </c>
      <c r="AE371" s="8">
        <v>0.7416666666666667</v>
      </c>
      <c r="AF371" s="8">
        <v>0.65318818040435467</v>
      </c>
      <c r="AG371" s="8">
        <v>0.53141831238779169</v>
      </c>
      <c r="AH371" s="8">
        <v>0.64809960681520318</v>
      </c>
      <c r="AI371" s="8">
        <v>0.33954154727793695</v>
      </c>
      <c r="AJ371" s="8">
        <v>0.44113263785394941</v>
      </c>
      <c r="AK371" s="8">
        <v>0.4201388888888889</v>
      </c>
      <c r="AL371" s="8">
        <v>0.54593874833555267</v>
      </c>
      <c r="AM371" s="8">
        <v>0.51086956521739135</v>
      </c>
      <c r="AN371" s="8">
        <v>0.64133738601823698</v>
      </c>
      <c r="AO371" s="8">
        <v>0.39627228525121555</v>
      </c>
      <c r="AP371" s="8">
        <v>0.47636949516648769</v>
      </c>
      <c r="AQ371" s="116">
        <f t="shared" ref="AQ371:BC371" si="2724">AQ368/AQ363</f>
        <v>0.48708010335917312</v>
      </c>
      <c r="AR371" s="116">
        <f t="shared" si="2724"/>
        <v>0.45517241379310341</v>
      </c>
      <c r="AS371" s="116">
        <f t="shared" si="2724"/>
        <v>0.43693009118541037</v>
      </c>
      <c r="AT371" s="116">
        <f t="shared" si="2724"/>
        <v>0.3977401129943503</v>
      </c>
      <c r="AU371" s="116">
        <f t="shared" si="2724"/>
        <v>0.45938375350140059</v>
      </c>
      <c r="AV371" s="116">
        <f t="shared" si="2724"/>
        <v>0.34106412005457021</v>
      </c>
      <c r="AW371" s="116">
        <f t="shared" si="2724"/>
        <v>0.24160671462829733</v>
      </c>
      <c r="AX371" s="116">
        <f t="shared" si="2724"/>
        <v>0.28885316184351556</v>
      </c>
      <c r="AY371" s="116">
        <f t="shared" si="2724"/>
        <v>0.45205479452054798</v>
      </c>
      <c r="AZ371" s="116">
        <f t="shared" si="2724"/>
        <v>0.30588980367321089</v>
      </c>
      <c r="BA371" s="116">
        <f t="shared" si="2724"/>
        <v>0.39606741573033705</v>
      </c>
      <c r="BB371" s="116">
        <f t="shared" si="2724"/>
        <v>0.31086142322097376</v>
      </c>
      <c r="BC371" s="116">
        <f t="shared" si="2724"/>
        <v>0.33856241521451336</v>
      </c>
      <c r="BD371" s="116">
        <f t="shared" ref="BD371:BV371" si="2725">BD368/BD363</f>
        <v>0.44184148928962352</v>
      </c>
      <c r="BE371" s="116">
        <f t="shared" si="2725"/>
        <v>0.42525857034757797</v>
      </c>
      <c r="BF371" s="116">
        <f t="shared" si="2725"/>
        <v>0.39097471835687886</v>
      </c>
      <c r="BG371" s="116">
        <f t="shared" si="2725"/>
        <v>0.32209197230484798</v>
      </c>
      <c r="BH371" s="116">
        <f t="shared" si="2725"/>
        <v>0.34146191480403787</v>
      </c>
      <c r="BI371" s="116">
        <f t="shared" si="2725"/>
        <v>0.40736585109114559</v>
      </c>
      <c r="BJ371" s="116">
        <f t="shared" si="2725"/>
        <v>0.37764938301206485</v>
      </c>
      <c r="BK371" s="116">
        <f t="shared" si="2725"/>
        <v>0.35373122361651016</v>
      </c>
      <c r="BL371" s="116">
        <f t="shared" si="2725"/>
        <v>0.35684166967768083</v>
      </c>
      <c r="BM371" s="116">
        <f t="shared" si="2725"/>
        <v>0.2794000216319667</v>
      </c>
      <c r="BN371" s="116">
        <f>BN368/BN363</f>
        <v>0.41521797295063173</v>
      </c>
      <c r="BO371" s="116">
        <f>BO368/BO363</f>
        <v>0.55419065098345743</v>
      </c>
      <c r="BP371" s="116">
        <f t="shared" si="2725"/>
        <v>9.0459363957597183E-2</v>
      </c>
      <c r="BQ371" s="116">
        <f>BQ368/BQ363</f>
        <v>0.10137468188069979</v>
      </c>
      <c r="BR371" s="116">
        <f>BR368/BR363</f>
        <v>0.1185897435897436</v>
      </c>
      <c r="BS371" s="116">
        <f t="shared" si="2725"/>
        <v>0.2960088057468927</v>
      </c>
      <c r="BT371" s="116">
        <f t="shared" si="2725"/>
        <v>0.26287243792243142</v>
      </c>
      <c r="BU371" s="116">
        <f t="shared" si="2725"/>
        <v>7.233537535858485E-2</v>
      </c>
      <c r="BV371" s="116">
        <f t="shared" si="2725"/>
        <v>3.8244171787410422E-2</v>
      </c>
      <c r="BW371" s="116">
        <f t="shared" ref="BW371:CD371" si="2726">BW368/BW363</f>
        <v>0.33101657863369016</v>
      </c>
      <c r="BX371" s="116">
        <f t="shared" si="2726"/>
        <v>0.34711376382365561</v>
      </c>
      <c r="BY371" s="116">
        <f t="shared" si="2726"/>
        <v>0.22361210469534268</v>
      </c>
      <c r="BZ371" s="116">
        <f t="shared" si="2726"/>
        <v>0.13010078322769708</v>
      </c>
      <c r="CA371" s="116">
        <f t="shared" si="2726"/>
        <v>0.21027240455105306</v>
      </c>
      <c r="CB371" s="116">
        <f t="shared" si="2726"/>
        <v>0.20930055978351572</v>
      </c>
      <c r="CC371" s="116">
        <f t="shared" si="2726"/>
        <v>0.2164298991396354</v>
      </c>
      <c r="CD371" s="116">
        <f t="shared" si="2726"/>
        <v>0.22789738806166504</v>
      </c>
      <c r="CE371" s="116">
        <f t="shared" ref="CE371:CH371" si="2727">CE368/CE363</f>
        <v>0.16659309276293555</v>
      </c>
      <c r="CF371" s="116">
        <f t="shared" ref="CF371" si="2728">CF368/CF363</f>
        <v>0.2219993927953709</v>
      </c>
      <c r="CG371" s="116">
        <f t="shared" si="2727"/>
        <v>0.25914447255890638</v>
      </c>
      <c r="CH371" s="116">
        <f t="shared" si="2727"/>
        <v>0.20644291200610218</v>
      </c>
      <c r="CI371" s="116">
        <f t="shared" ref="CI371:CL371" si="2729">CI368/CI363</f>
        <v>6.0846652298581896E-2</v>
      </c>
      <c r="CJ371" s="116">
        <f t="shared" si="2729"/>
        <v>8.603290272344738E-2</v>
      </c>
      <c r="CK371" s="116">
        <f t="shared" si="2729"/>
        <v>0.21299157899159107</v>
      </c>
      <c r="CL371" s="192">
        <f t="shared" si="2729"/>
        <v>0.15986253853222276</v>
      </c>
      <c r="CM371" s="192">
        <f t="shared" ref="CM371:CP371" si="2730">CM368/CM363</f>
        <v>3.0977341297875997E-2</v>
      </c>
      <c r="CN371" s="192">
        <f t="shared" si="2730"/>
        <v>5.7078436751613455E-2</v>
      </c>
      <c r="CO371" s="192">
        <f t="shared" si="2730"/>
        <v>8.4920283587459316E-2</v>
      </c>
      <c r="CP371" s="192">
        <f t="shared" si="2730"/>
        <v>0.1189253767463193</v>
      </c>
      <c r="CQ371" s="192"/>
      <c r="CR371" s="192"/>
      <c r="CS371" s="192"/>
      <c r="CT371" s="192">
        <v>0.15986253853222276</v>
      </c>
      <c r="CU371" s="694"/>
      <c r="CV371" s="8">
        <v>0.18287037037037038</v>
      </c>
      <c r="CW371" s="8">
        <v>0.42218246869409665</v>
      </c>
      <c r="CX371" s="8">
        <v>0.6823529411764705</v>
      </c>
      <c r="CY371" s="8">
        <v>0.55299539170506917</v>
      </c>
      <c r="CZ371" s="8">
        <v>0.61184210526315785</v>
      </c>
      <c r="DA371" s="8">
        <v>0.62083936324167877</v>
      </c>
      <c r="DB371" s="8">
        <v>0.4522769806612601</v>
      </c>
      <c r="DC371" s="8">
        <v>0.63486176668914363</v>
      </c>
      <c r="DD371" s="8">
        <v>0.45943775100401613</v>
      </c>
      <c r="DE371" s="8">
        <v>0.4818049490538574</v>
      </c>
      <c r="DF371" s="8">
        <f t="shared" ref="DF371:DM371" si="2731">DF368/DF363</f>
        <v>0.43505976095617532</v>
      </c>
      <c r="DG371" s="8">
        <f t="shared" si="2731"/>
        <v>0.30976548827441375</v>
      </c>
      <c r="DH371" s="8">
        <f t="shared" si="2731"/>
        <v>0.35121951219512193</v>
      </c>
      <c r="DI371" s="8">
        <f t="shared" si="2731"/>
        <v>0.40402437265016694</v>
      </c>
      <c r="DJ371" s="8">
        <f t="shared" si="2731"/>
        <v>0.36883668205392867</v>
      </c>
      <c r="DK371" s="8">
        <f t="shared" si="2731"/>
        <v>0.34930009462373324</v>
      </c>
      <c r="DL371" s="116">
        <f>DL368/DL363</f>
        <v>0.17684295065047492</v>
      </c>
      <c r="DM371" s="116">
        <f t="shared" si="2731"/>
        <v>0.15908182092071732</v>
      </c>
      <c r="DN371" s="116">
        <f t="shared" ref="DN371:DS371" si="2732">DN368/DN363</f>
        <v>0.2234175032637688</v>
      </c>
      <c r="DO371" s="116">
        <f t="shared" si="2732"/>
        <v>0.21819848971721084</v>
      </c>
      <c r="DP371" s="116">
        <f t="shared" ref="DP371:DQ371" si="2733">DP368/DP363</f>
        <v>0.21927288911882703</v>
      </c>
      <c r="DQ371" s="116">
        <f t="shared" si="2733"/>
        <v>0.14929371595607852</v>
      </c>
      <c r="DR371" s="116">
        <f t="shared" ref="DR371" si="2734">DR368/DR363</f>
        <v>8.4668757758680657E-2</v>
      </c>
      <c r="DS371" s="192">
        <f t="shared" si="2732"/>
        <v>8.1482416638472693E-2</v>
      </c>
      <c r="DT371" s="192">
        <f t="shared" ref="DT371:DV371" si="2735">DT368/DT363</f>
        <v>7.9212092072979384E-2</v>
      </c>
      <c r="DU371" s="192">
        <f t="shared" si="2735"/>
        <v>7.7020164083281203E-2</v>
      </c>
      <c r="DV371" s="192">
        <f t="shared" si="2735"/>
        <v>7.4904871649957377E-2</v>
      </c>
      <c r="DY371" s="192">
        <v>0.13873916201961314</v>
      </c>
      <c r="DZ371" s="192">
        <v>0.13378796731942899</v>
      </c>
    </row>
    <row r="372" spans="1:130">
      <c r="A372" s="8" t="s">
        <v>169</v>
      </c>
      <c r="B372" s="8"/>
      <c r="C372" s="8"/>
      <c r="D372" s="8"/>
      <c r="E372" s="8"/>
      <c r="F372" s="8"/>
      <c r="G372" s="8">
        <v>0.33333333333333326</v>
      </c>
      <c r="H372" s="8"/>
      <c r="I372" s="8"/>
      <c r="J372" s="8">
        <v>1.4038461538461537</v>
      </c>
      <c r="K372" s="8">
        <v>1.75</v>
      </c>
      <c r="L372" s="8">
        <v>3.1666666666666661</v>
      </c>
      <c r="M372" s="8">
        <v>5.0476190476190474</v>
      </c>
      <c r="N372" s="8">
        <v>1.8879999999999999</v>
      </c>
      <c r="O372" s="8">
        <v>-0.15151515151515149</v>
      </c>
      <c r="P372" s="8">
        <v>-0.24444444444444446</v>
      </c>
      <c r="Q372" s="8">
        <v>-0.36220472440944884</v>
      </c>
      <c r="R372" s="8">
        <v>-0.26592797783933519</v>
      </c>
      <c r="S372" s="8">
        <v>0.22619047619047628</v>
      </c>
      <c r="T372" s="8">
        <v>0.19999999999999996</v>
      </c>
      <c r="U372" s="8">
        <v>1.5925925925925926</v>
      </c>
      <c r="V372" s="8">
        <v>0.20754716981132071</v>
      </c>
      <c r="W372" s="8">
        <v>-0.43689320388349517</v>
      </c>
      <c r="X372" s="8">
        <v>-0.27450980392156854</v>
      </c>
      <c r="Y372" s="8">
        <v>-0.55238095238095242</v>
      </c>
      <c r="Z372" s="8">
        <v>-0.59687500000000004</v>
      </c>
      <c r="AA372" s="8">
        <v>0.32758620689655182</v>
      </c>
      <c r="AB372" s="8">
        <v>4.0540540540540571E-2</v>
      </c>
      <c r="AC372" s="8">
        <v>0.79787234042553168</v>
      </c>
      <c r="AD372" s="8">
        <v>1.5193798449612403</v>
      </c>
      <c r="AE372" s="8">
        <v>1.3116883116883118</v>
      </c>
      <c r="AF372" s="8">
        <v>1.7272727272727271</v>
      </c>
      <c r="AG372" s="8">
        <v>0.75147928994082869</v>
      </c>
      <c r="AH372" s="8">
        <v>2.0430769230769235</v>
      </c>
      <c r="AI372" s="8">
        <v>0.33146067415730318</v>
      </c>
      <c r="AJ372" s="8">
        <v>-0.29523809523809519</v>
      </c>
      <c r="AK372" s="8">
        <v>0.22635135135135109</v>
      </c>
      <c r="AL372" s="8">
        <v>-0.17087967644084934</v>
      </c>
      <c r="AM372" s="8">
        <v>-0.20675105485232059</v>
      </c>
      <c r="AN372" s="8">
        <v>0.42567567567567566</v>
      </c>
      <c r="AO372" s="8">
        <v>0.3471074380165291</v>
      </c>
      <c r="AP372" s="8">
        <v>8.1707317073170804E-2</v>
      </c>
      <c r="AQ372" s="116">
        <f t="shared" ref="AQ372:BC372" si="2736">AQ368/AM368-1</f>
        <v>1.0053191489361701</v>
      </c>
      <c r="AR372" s="116">
        <f t="shared" si="2736"/>
        <v>0.25118483412322257</v>
      </c>
      <c r="AS372" s="116">
        <f t="shared" si="2736"/>
        <v>0.17586912065439675</v>
      </c>
      <c r="AT372" s="116">
        <f t="shared" si="2736"/>
        <v>-0.20631341600901909</v>
      </c>
      <c r="AU372" s="116">
        <f t="shared" si="2736"/>
        <v>-0.12997347480106114</v>
      </c>
      <c r="AV372" s="116">
        <f t="shared" si="2736"/>
        <v>-5.3030303030302983E-2</v>
      </c>
      <c r="AW372" s="116">
        <f t="shared" si="2736"/>
        <v>-0.2991304347826087</v>
      </c>
      <c r="AX372" s="116">
        <f t="shared" si="2736"/>
        <v>-0.23437500000000011</v>
      </c>
      <c r="AY372" s="116">
        <f t="shared" si="2736"/>
        <v>0.20731707317073189</v>
      </c>
      <c r="AZ372" s="116">
        <f t="shared" si="2736"/>
        <v>-3.400000000000003E-2</v>
      </c>
      <c r="BA372" s="116">
        <f t="shared" si="2736"/>
        <v>4.9627791563275458E-2</v>
      </c>
      <c r="BB372" s="116">
        <f t="shared" si="2736"/>
        <v>-7.6066790352504632E-2</v>
      </c>
      <c r="BC372" s="116">
        <f t="shared" si="2736"/>
        <v>-0.43169336262056823</v>
      </c>
      <c r="BD372" s="116">
        <f t="shared" ref="BD372:BW372" si="2737">BD368/AZ368-1</f>
        <v>8.6317157238759989E-2</v>
      </c>
      <c r="BE372" s="116">
        <f t="shared" si="2737"/>
        <v>0.35652457243828395</v>
      </c>
      <c r="BF372" s="116">
        <f t="shared" si="2737"/>
        <v>0.80762040188152628</v>
      </c>
      <c r="BG372" s="116">
        <f t="shared" si="2737"/>
        <v>0.34676434457375849</v>
      </c>
      <c r="BH372" s="116">
        <f t="shared" si="2737"/>
        <v>-0.12681983461315549</v>
      </c>
      <c r="BI372" s="116">
        <f t="shared" si="2737"/>
        <v>0.12389126725305144</v>
      </c>
      <c r="BJ372" s="116">
        <f t="shared" si="2737"/>
        <v>-6.1206871698395116E-2</v>
      </c>
      <c r="BK372" s="116">
        <f t="shared" si="2737"/>
        <v>-7.9377074614160104E-2</v>
      </c>
      <c r="BL372" s="116">
        <f t="shared" si="2737"/>
        <v>0.2965187846094226</v>
      </c>
      <c r="BM372" s="116">
        <f t="shared" si="2737"/>
        <v>0.11487747216593869</v>
      </c>
      <c r="BN372" s="116">
        <f>BN368/BJ368-1</f>
        <v>0.22109331846018887</v>
      </c>
      <c r="BO372" s="116">
        <f>BO368/BK368-1</f>
        <v>0.7763905418342758</v>
      </c>
      <c r="BP372" s="116">
        <f t="shared" si="2737"/>
        <v>-0.78451178451178449</v>
      </c>
      <c r="BQ372" s="116">
        <f t="shared" si="2737"/>
        <v>-0.7336444327046806</v>
      </c>
      <c r="BR372" s="116">
        <f t="shared" si="2737"/>
        <v>-0.85658110194288106</v>
      </c>
      <c r="BS372" s="116">
        <f t="shared" si="2737"/>
        <v>0.57735210908915113</v>
      </c>
      <c r="BT372" s="116">
        <f t="shared" si="2737"/>
        <v>4.218715753906249</v>
      </c>
      <c r="BU372" s="116">
        <f t="shared" si="2737"/>
        <v>-0.29526204167006875</v>
      </c>
      <c r="BV372" s="116">
        <f t="shared" si="2737"/>
        <v>-8.6962520270272847E-3</v>
      </c>
      <c r="BW372" s="116">
        <f t="shared" si="2737"/>
        <v>-0.51432220215639912</v>
      </c>
      <c r="BX372" s="116">
        <f t="shared" ref="BX372:CD372" si="2738">BX368/BT368-1</f>
        <v>8.0855138423531869E-2</v>
      </c>
      <c r="BY372" s="116">
        <f t="shared" si="2738"/>
        <v>3.3697348228003214</v>
      </c>
      <c r="BZ372" s="116">
        <f t="shared" si="2738"/>
        <v>2.6228157294415131</v>
      </c>
      <c r="CA372" s="116">
        <f t="shared" si="2738"/>
        <v>-0.54905447769305926</v>
      </c>
      <c r="CB372" s="116">
        <f t="shared" si="2738"/>
        <v>-0.31624037516935377</v>
      </c>
      <c r="CC372" s="116">
        <f t="shared" si="2738"/>
        <v>-0.10430507561937108</v>
      </c>
      <c r="CD372" s="116">
        <f t="shared" si="2738"/>
        <v>0.4039934664988909</v>
      </c>
      <c r="CE372" s="116">
        <f t="shared" ref="CE372:CF372" si="2739">CE368/CA368-1</f>
        <v>-0.32895678449628896</v>
      </c>
      <c r="CF372" s="116">
        <f t="shared" si="2739"/>
        <v>-0.38335837911754456</v>
      </c>
      <c r="CG372" s="116">
        <f t="shared" ref="CG372:CH372" si="2740">CG368/CC368-1</f>
        <v>-0.15171072246526984</v>
      </c>
      <c r="CH372" s="116">
        <f t="shared" si="2740"/>
        <v>-0.21628853188457242</v>
      </c>
      <c r="CI372" s="116">
        <f t="shared" ref="CI372" si="2741">CI368/CE368-1</f>
        <v>-0.67386806172490843</v>
      </c>
      <c r="CJ372" s="116">
        <f t="shared" ref="CJ372" si="2742">CJ368/CF368-1</f>
        <v>-0.53125056893618938</v>
      </c>
      <c r="CK372" s="116">
        <f t="shared" ref="CK372" si="2743">CK368/CG368-1</f>
        <v>-4.9712178656350359E-2</v>
      </c>
      <c r="CL372" s="192">
        <f t="shared" ref="CL372" si="2744">CL368/CH368-1</f>
        <v>-0.1709735051461696</v>
      </c>
      <c r="CM372" s="192">
        <f t="shared" ref="CM372" si="2745">CM368/CI368-1</f>
        <v>-0.20998281855794487</v>
      </c>
      <c r="CN372" s="192">
        <f t="shared" ref="CN372" si="2746">CN368/CJ368-1</f>
        <v>-0.37759337026192352</v>
      </c>
      <c r="CO372" s="192">
        <f t="shared" ref="CO372" si="2747">CO368/CK368-1</f>
        <v>-0.65236951370647822</v>
      </c>
      <c r="CP372" s="192">
        <f t="shared" ref="CP372" si="2748">CP368/CL368-1</f>
        <v>-0.32832469984935309</v>
      </c>
      <c r="CQ372" s="192"/>
      <c r="CR372" s="192"/>
      <c r="CS372" s="192"/>
      <c r="CT372" s="192">
        <v>-0.1709735051461696</v>
      </c>
      <c r="CU372" s="694"/>
      <c r="CV372" s="8"/>
      <c r="CW372" s="8">
        <v>1.9873417721518987</v>
      </c>
      <c r="CX372" s="8">
        <v>2.4406779661016942</v>
      </c>
      <c r="CY372" s="8">
        <v>-0.26108374384236444</v>
      </c>
      <c r="CZ372" s="8">
        <v>0.39500000000000002</v>
      </c>
      <c r="DA372" s="8">
        <v>-0.48745519713261654</v>
      </c>
      <c r="DB372" s="8">
        <v>0.68997668997668993</v>
      </c>
      <c r="DC372" s="8">
        <v>1.5972413793103448</v>
      </c>
      <c r="DD372" s="8">
        <v>-8.8688263409453127E-2</v>
      </c>
      <c r="DE372" s="8">
        <v>0.15734265734265751</v>
      </c>
      <c r="DF372" s="8">
        <f t="shared" ref="DF372:DM372" si="2749">DF368/DE368-1</f>
        <v>9.9697885196374569E-2</v>
      </c>
      <c r="DG372" s="8">
        <f t="shared" si="2749"/>
        <v>-0.18956043956043955</v>
      </c>
      <c r="DH372" s="8">
        <f t="shared" si="2749"/>
        <v>1.6949152542372836E-2</v>
      </c>
      <c r="DI372" s="8">
        <f t="shared" si="2749"/>
        <v>0.23541414979276132</v>
      </c>
      <c r="DJ372" s="8">
        <f t="shared" si="2749"/>
        <v>1.2361929851879561E-2</v>
      </c>
      <c r="DK372" s="8">
        <f t="shared" si="2749"/>
        <v>0.16556311414293856</v>
      </c>
      <c r="DL372" s="116">
        <f>DL368/DK368-1</f>
        <v>-0.63293136941067152</v>
      </c>
      <c r="DM372" s="116">
        <f t="shared" si="2749"/>
        <v>0.79771662622696149</v>
      </c>
      <c r="DN372" s="116">
        <f t="shared" ref="DN372:DS372" si="2750">DN368/DM368-1</f>
        <v>0.28384300261609519</v>
      </c>
      <c r="DO372" s="116">
        <f t="shared" si="2750"/>
        <v>-0.12757661701875966</v>
      </c>
      <c r="DP372" s="116">
        <f t="shared" si="2750"/>
        <v>-0.25117559646360843</v>
      </c>
      <c r="DQ372" s="116">
        <f t="shared" si="2750"/>
        <v>-0.248869795849608</v>
      </c>
      <c r="DR372" s="116">
        <f t="shared" si="2750"/>
        <v>-0.45719794649582257</v>
      </c>
      <c r="DS372" s="192">
        <f t="shared" si="2750"/>
        <v>4.0000000000004921E-2</v>
      </c>
      <c r="DT372" s="192">
        <f t="shared" ref="DT372" si="2751">DT368/DS368-1</f>
        <v>3.9999999999994929E-2</v>
      </c>
      <c r="DU372" s="192">
        <f t="shared" ref="DU372" si="2752">DU368/DT368-1</f>
        <v>4.0000000000005143E-2</v>
      </c>
      <c r="DV372" s="192">
        <f t="shared" ref="DV372" si="2753">DV368/DU368-1</f>
        <v>3.9999999999995151E-2</v>
      </c>
      <c r="DY372" s="192">
        <v>-5.5423987858427282E-4</v>
      </c>
      <c r="DZ372" s="192">
        <v>4.0000000000004476E-2</v>
      </c>
    </row>
    <row r="373" spans="1:130">
      <c r="A373" s="8" t="s">
        <v>170</v>
      </c>
      <c r="B373" s="8"/>
      <c r="C373" s="8"/>
      <c r="D373" s="8"/>
      <c r="E373" s="8"/>
      <c r="F373" s="8"/>
      <c r="G373" s="8">
        <v>-0.30769230769230771</v>
      </c>
      <c r="H373" s="8">
        <v>0.5</v>
      </c>
      <c r="I373" s="8">
        <v>-0.61111111111111116</v>
      </c>
      <c r="J373" s="8">
        <v>4.9523809523809526</v>
      </c>
      <c r="K373" s="8">
        <v>-0.20799999999999996</v>
      </c>
      <c r="L373" s="8">
        <v>1.2727272727272725</v>
      </c>
      <c r="M373" s="8">
        <v>-0.43555555555555558</v>
      </c>
      <c r="N373" s="8">
        <v>1.8425196850393704</v>
      </c>
      <c r="O373" s="8">
        <v>-0.76731301939058172</v>
      </c>
      <c r="P373" s="8">
        <v>1.0238095238095237</v>
      </c>
      <c r="Q373" s="8">
        <v>-0.52352941176470591</v>
      </c>
      <c r="R373" s="8">
        <v>2.2716049382716053</v>
      </c>
      <c r="S373" s="8">
        <v>-0.61132075471698111</v>
      </c>
      <c r="T373" s="8">
        <v>0.98058252427184445</v>
      </c>
      <c r="U373" s="8">
        <v>2.941176470588247E-2</v>
      </c>
      <c r="V373" s="8">
        <v>0.52380952380952372</v>
      </c>
      <c r="W373" s="8">
        <v>-0.81874999999999998</v>
      </c>
      <c r="X373" s="8">
        <v>1.5517241379310347</v>
      </c>
      <c r="Y373" s="8">
        <v>-0.36486486486486491</v>
      </c>
      <c r="Z373" s="8">
        <v>0.37234042553191493</v>
      </c>
      <c r="AA373" s="8">
        <v>-0.4031007751937985</v>
      </c>
      <c r="AB373" s="8">
        <v>1</v>
      </c>
      <c r="AC373" s="8">
        <v>9.740259740259738E-2</v>
      </c>
      <c r="AD373" s="8">
        <v>0.92307692307692313</v>
      </c>
      <c r="AE373" s="8">
        <v>-0.4523076923076923</v>
      </c>
      <c r="AF373" s="8">
        <v>1.3595505617977528</v>
      </c>
      <c r="AG373" s="8">
        <v>-0.29523809523809519</v>
      </c>
      <c r="AH373" s="8">
        <v>2.3412162162162162</v>
      </c>
      <c r="AI373" s="8">
        <v>-0.76036400404448945</v>
      </c>
      <c r="AJ373" s="8">
        <v>0.24894514767932496</v>
      </c>
      <c r="AK373" s="8">
        <v>0.22635135135135109</v>
      </c>
      <c r="AL373" s="8">
        <v>1.2589531680440773</v>
      </c>
      <c r="AM373" s="8">
        <v>-0.77073170731707319</v>
      </c>
      <c r="AN373" s="8">
        <v>1.2446808510638299</v>
      </c>
      <c r="AO373" s="8">
        <v>0.15876777251184815</v>
      </c>
      <c r="AP373" s="8">
        <v>0.81390593047034776</v>
      </c>
      <c r="AQ373" s="116">
        <f t="shared" ref="AQ373:BC373" si="2754">AQ368/AP368-1</f>
        <v>-0.5749718151071026</v>
      </c>
      <c r="AR373" s="116">
        <f t="shared" si="2754"/>
        <v>0.40053050397877965</v>
      </c>
      <c r="AS373" s="116">
        <f t="shared" si="2754"/>
        <v>8.9015151515151603E-2</v>
      </c>
      <c r="AT373" s="116">
        <f t="shared" si="2754"/>
        <v>0.22434782608695669</v>
      </c>
      <c r="AU373" s="116">
        <f t="shared" si="2754"/>
        <v>-0.53409090909090917</v>
      </c>
      <c r="AV373" s="116">
        <f t="shared" si="2754"/>
        <v>0.52439024390243905</v>
      </c>
      <c r="AW373" s="116">
        <f t="shared" si="2754"/>
        <v>-0.19400000000000006</v>
      </c>
      <c r="AX373" s="116">
        <f t="shared" si="2754"/>
        <v>0.33746898263027303</v>
      </c>
      <c r="AY373" s="116">
        <f t="shared" si="2754"/>
        <v>-0.26530612244897955</v>
      </c>
      <c r="AZ373" s="116">
        <f t="shared" si="2754"/>
        <v>0.2196969696969695</v>
      </c>
      <c r="BA373" s="116">
        <f t="shared" si="2754"/>
        <v>-0.12422360248447206</v>
      </c>
      <c r="BB373" s="116">
        <f t="shared" si="2754"/>
        <v>0.17730496453900702</v>
      </c>
      <c r="BC373" s="116">
        <f t="shared" si="2754"/>
        <v>-0.54809351726454825</v>
      </c>
      <c r="BD373" s="116">
        <f t="shared" ref="BD373:BW373" si="2755">BD368/BC368-1</f>
        <v>1.3314486540640491</v>
      </c>
      <c r="BE373" s="116">
        <f t="shared" si="2755"/>
        <v>9.3614507765875876E-2</v>
      </c>
      <c r="BF373" s="116">
        <f t="shared" si="2755"/>
        <v>0.56880348235191036</v>
      </c>
      <c r="BG373" s="116">
        <f t="shared" si="2755"/>
        <v>-0.66330788400244423</v>
      </c>
      <c r="BH373" s="116">
        <f t="shared" si="2755"/>
        <v>0.51160426064805775</v>
      </c>
      <c r="BI373" s="116">
        <f t="shared" si="2755"/>
        <v>0.40761763006238616</v>
      </c>
      <c r="BJ373" s="116">
        <f t="shared" si="2755"/>
        <v>0.31043097477506687</v>
      </c>
      <c r="BK373" s="116">
        <f t="shared" si="2755"/>
        <v>-0.6698245103851721</v>
      </c>
      <c r="BL373" s="116">
        <f t="shared" si="2755"/>
        <v>1.1288013417702674</v>
      </c>
      <c r="BM373" s="116">
        <f t="shared" si="2755"/>
        <v>0.21041145242868331</v>
      </c>
      <c r="BN373" s="116">
        <f>BN368/BM368-1</f>
        <v>0.43527746102213682</v>
      </c>
      <c r="BO373" s="116">
        <f>BO368/BN368-1</f>
        <v>-0.51967584456453331</v>
      </c>
      <c r="BP373" s="116">
        <f t="shared" si="2755"/>
        <v>-0.74176196536527716</v>
      </c>
      <c r="BQ373" s="116">
        <f t="shared" si="2755"/>
        <v>0.49613670678907584</v>
      </c>
      <c r="BR373" s="116">
        <f t="shared" si="2755"/>
        <v>-0.2271762368015966</v>
      </c>
      <c r="BS373" s="116">
        <f t="shared" si="2755"/>
        <v>4.2827091121621628</v>
      </c>
      <c r="BT373" s="116">
        <f t="shared" si="2755"/>
        <v>-0.14561188219145715</v>
      </c>
      <c r="BU373" s="116">
        <f t="shared" si="2755"/>
        <v>-0.79796095862554206</v>
      </c>
      <c r="BV373" s="116">
        <f t="shared" si="2755"/>
        <v>8.7075109160636988E-2</v>
      </c>
      <c r="BW373" s="116">
        <f t="shared" si="2755"/>
        <v>1.588202186756178</v>
      </c>
      <c r="BX373" s="116">
        <f t="shared" ref="BX373:CD373" si="2756">BX368/BW368-1</f>
        <v>0.90140416432779058</v>
      </c>
      <c r="BY373" s="116">
        <f t="shared" si="2756"/>
        <v>-0.18318653140989416</v>
      </c>
      <c r="BZ373" s="116">
        <f t="shared" si="2756"/>
        <v>-9.8738718880043153E-2</v>
      </c>
      <c r="CA373" s="116">
        <f t="shared" si="2756"/>
        <v>-0.67783672311628862</v>
      </c>
      <c r="CB373" s="116">
        <f t="shared" si="2756"/>
        <v>1.8830608881559523</v>
      </c>
      <c r="CC373" s="116">
        <f t="shared" si="2756"/>
        <v>6.9989586125534631E-2</v>
      </c>
      <c r="CD373" s="116">
        <f t="shared" si="2756"/>
        <v>0.41271867893617542</v>
      </c>
      <c r="CE373" s="116">
        <f t="shared" ref="CE373:CF373" si="2757">CE368/CD368-1</f>
        <v>-0.84602102047073247</v>
      </c>
      <c r="CF373" s="116">
        <f t="shared" si="2757"/>
        <v>1.6493306214873225</v>
      </c>
      <c r="CG373" s="116">
        <f t="shared" ref="CG373:CH373" si="2758">CG368/CF368-1</f>
        <v>0.47194198744676275</v>
      </c>
      <c r="CH373" s="116">
        <f t="shared" si="2758"/>
        <v>0.3051724915358589</v>
      </c>
      <c r="CI373" s="116">
        <f t="shared" ref="CI373" si="2759">CI368/CH368-1</f>
        <v>-0.93592353169431419</v>
      </c>
      <c r="CJ373" s="116">
        <f t="shared" ref="CJ373" si="2760">CJ368/CI368-1</f>
        <v>2.8078828712402828</v>
      </c>
      <c r="CK373" s="116">
        <f t="shared" ref="CK373" si="2761">CK368/CJ368-1</f>
        <v>1.9840431832003915</v>
      </c>
      <c r="CL373" s="192">
        <f t="shared" ref="CL373" si="2762">CL368/CK368-1</f>
        <v>0.13862616307941233</v>
      </c>
      <c r="CM373" s="192">
        <f t="shared" ref="CM373" si="2763">CM368/CL368-1</f>
        <v>-0.93893860907721127</v>
      </c>
      <c r="CN373" s="192">
        <f t="shared" ref="CN373" si="2764">CN368/CM368-1</f>
        <v>1.9999999999998086</v>
      </c>
      <c r="CO373" s="192">
        <f t="shared" ref="CO373" si="2765">CO368/CN368-1</f>
        <v>0.66666666666670915</v>
      </c>
      <c r="CP373" s="192">
        <f t="shared" ref="CP373" si="2766">CP368/CO368-1</f>
        <v>1.1999999999999882</v>
      </c>
      <c r="CQ373" s="192"/>
      <c r="CR373" s="192"/>
      <c r="CS373" s="192"/>
      <c r="CT373" s="192">
        <v>0.13862616307941233</v>
      </c>
      <c r="CU373" s="694"/>
      <c r="CV373" s="8"/>
      <c r="CW373" s="8"/>
      <c r="CX373" s="8"/>
      <c r="CY373" s="8"/>
      <c r="CZ373" s="8"/>
      <c r="DA373" s="8"/>
      <c r="DB373" s="7"/>
      <c r="DC373" s="7"/>
      <c r="DD373" s="7"/>
      <c r="DE373" s="7"/>
      <c r="DF373" s="7"/>
      <c r="DG373" s="7"/>
      <c r="DH373" s="7"/>
      <c r="DI373" s="7"/>
      <c r="DJ373" s="7"/>
      <c r="DK373" s="7"/>
      <c r="DL373" s="114"/>
      <c r="DM373" s="114"/>
      <c r="DN373" s="114"/>
      <c r="DO373" s="114"/>
      <c r="DP373" s="114"/>
      <c r="DQ373" s="114"/>
      <c r="DR373" s="114"/>
      <c r="DS373" s="168"/>
      <c r="DT373" s="168"/>
      <c r="DU373" s="168"/>
      <c r="DV373" s="168"/>
      <c r="DY373" s="168"/>
      <c r="DZ373" s="168"/>
    </row>
    <row r="374" spans="1:130">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116"/>
      <c r="AR374" s="116"/>
      <c r="AS374" s="116"/>
      <c r="AT374" s="116"/>
      <c r="AU374" s="116"/>
      <c r="AV374" s="116"/>
      <c r="AW374" s="116"/>
      <c r="AX374" s="116"/>
      <c r="AY374" s="116"/>
      <c r="AZ374" s="116"/>
      <c r="BA374" s="116"/>
      <c r="BB374" s="116"/>
      <c r="BC374" s="116"/>
      <c r="BD374" s="116"/>
      <c r="BE374" s="116"/>
      <c r="BF374" s="116"/>
      <c r="BG374" s="116"/>
      <c r="BH374" s="116"/>
      <c r="BI374" s="116"/>
      <c r="BJ374" s="116"/>
      <c r="BK374" s="116"/>
      <c r="BL374" s="116"/>
      <c r="BM374" s="116"/>
      <c r="BN374" s="116"/>
      <c r="BO374" s="116"/>
      <c r="BP374" s="116"/>
      <c r="BQ374" s="116"/>
      <c r="BR374" s="116"/>
      <c r="BS374" s="116"/>
      <c r="BT374" s="116"/>
      <c r="BU374" s="116"/>
      <c r="BV374" s="116"/>
      <c r="BW374" s="116"/>
      <c r="BX374" s="116"/>
      <c r="BY374" s="116"/>
      <c r="BZ374" s="116"/>
      <c r="CA374" s="116"/>
      <c r="CB374" s="116"/>
      <c r="CC374" s="116"/>
      <c r="CD374" s="116"/>
      <c r="CE374" s="116"/>
      <c r="CF374" s="116"/>
      <c r="CG374" s="116"/>
      <c r="CH374" s="116"/>
      <c r="CI374" s="116"/>
      <c r="CJ374" s="116"/>
      <c r="CK374" s="116"/>
      <c r="CL374" s="192"/>
      <c r="CM374" s="192"/>
      <c r="CN374" s="192"/>
      <c r="CO374" s="192"/>
      <c r="CP374" s="192"/>
      <c r="CQ374" s="192"/>
      <c r="CR374" s="192"/>
      <c r="CS374" s="192"/>
      <c r="CT374" s="192"/>
      <c r="CU374" s="694"/>
      <c r="CV374" s="8"/>
      <c r="CW374" s="8"/>
      <c r="CX374" s="8"/>
      <c r="CY374" s="8"/>
      <c r="CZ374" s="8"/>
      <c r="DA374" s="8"/>
      <c r="DB374" s="7"/>
      <c r="DC374" s="7"/>
      <c r="DD374" s="7"/>
      <c r="DE374" s="7"/>
      <c r="DF374" s="7"/>
      <c r="DG374" s="7"/>
      <c r="DH374" s="7"/>
      <c r="DI374" s="7"/>
      <c r="DJ374" s="7"/>
      <c r="DK374" s="7"/>
      <c r="DL374" s="114"/>
      <c r="DM374" s="114"/>
      <c r="DN374" s="114"/>
      <c r="DO374" s="114"/>
      <c r="DP374" s="114"/>
      <c r="DQ374" s="114"/>
      <c r="DR374" s="114"/>
      <c r="DS374" s="168"/>
      <c r="DT374" s="168"/>
      <c r="DU374" s="168"/>
      <c r="DV374" s="168"/>
      <c r="DY374" s="168"/>
      <c r="DZ374" s="168"/>
    </row>
    <row r="375" spans="1:130">
      <c r="A375" s="8" t="s">
        <v>321</v>
      </c>
      <c r="B375" s="8"/>
      <c r="C375" s="15" t="e">
        <v>#REF!</v>
      </c>
      <c r="D375" s="15">
        <v>0.60403371668429562</v>
      </c>
      <c r="E375" s="15">
        <v>0.32858910891089022</v>
      </c>
      <c r="F375" s="15">
        <v>1.234375</v>
      </c>
      <c r="G375" s="15">
        <v>1.0868222798567371</v>
      </c>
      <c r="H375" s="15">
        <v>1.7446860793709302</v>
      </c>
      <c r="I375" s="15">
        <v>2.0123456790123457</v>
      </c>
      <c r="J375" s="15">
        <v>2.0344827586206899</v>
      </c>
      <c r="K375" s="15">
        <v>2.0836236933797907</v>
      </c>
      <c r="L375" s="15">
        <v>2.2917885703140239</v>
      </c>
      <c r="M375" s="15">
        <v>2.1098901098901095</v>
      </c>
      <c r="N375" s="15">
        <v>3.484978540772532</v>
      </c>
      <c r="O375" s="15">
        <v>2.5544871794871802</v>
      </c>
      <c r="P375" s="15">
        <v>3.2977777777777773</v>
      </c>
      <c r="Q375" s="15">
        <v>2.729411764705882</v>
      </c>
      <c r="R375" s="15">
        <v>2.1897810218978102</v>
      </c>
      <c r="S375" s="15">
        <v>2.8394495412844041</v>
      </c>
      <c r="T375" s="15">
        <v>2.3659420289855078</v>
      </c>
      <c r="U375" s="15">
        <v>2.9847328244274807</v>
      </c>
      <c r="V375" s="15">
        <v>3.4444444444444446</v>
      </c>
      <c r="W375" s="15">
        <v>3.0114068441064639</v>
      </c>
      <c r="X375" s="15">
        <v>2.9558232931726902</v>
      </c>
      <c r="Y375" s="15">
        <v>3.0999999999999996</v>
      </c>
      <c r="Z375" s="15">
        <v>1.9066666666666665</v>
      </c>
      <c r="AA375" s="15">
        <v>2.3829787234042552</v>
      </c>
      <c r="AB375" s="15">
        <v>2.4408602150537635</v>
      </c>
      <c r="AC375" s="15">
        <v>2.1159999999999997</v>
      </c>
      <c r="AD375" s="15">
        <v>3.1659388646288207</v>
      </c>
      <c r="AE375" s="15">
        <v>2.8095238095238093</v>
      </c>
      <c r="AF375" s="15">
        <v>3.7142857142857144</v>
      </c>
      <c r="AG375" s="15">
        <v>2.8152424942263283</v>
      </c>
      <c r="AH375" s="15">
        <v>4.0845986984815621</v>
      </c>
      <c r="AI375" s="15">
        <v>3.269360269360269</v>
      </c>
      <c r="AJ375" s="15">
        <v>4.1889400921658986</v>
      </c>
      <c r="AK375" s="15">
        <v>2.9134466769706338</v>
      </c>
      <c r="AL375" s="15">
        <v>2.7109004739336493</v>
      </c>
      <c r="AM375" s="15">
        <v>3.6880530973451329</v>
      </c>
      <c r="AN375" s="15">
        <v>2.5724533715925393</v>
      </c>
      <c r="AO375" s="15">
        <v>3.580223880597015</v>
      </c>
      <c r="AP375" s="15">
        <v>3.7260787992495312</v>
      </c>
      <c r="AQ375" s="1263">
        <f t="shared" ref="AQ375:CD375" si="2767">+SUM(AN368:AQ368)/SUM(AN271:AQ271)*1000</f>
        <v>-0.56631444954286281</v>
      </c>
      <c r="AR375" s="1263">
        <f t="shared" si="2767"/>
        <v>-0.58048924987860895</v>
      </c>
      <c r="AS375" s="1263">
        <f t="shared" si="2767"/>
        <v>-0.58714473030783054</v>
      </c>
      <c r="AT375" s="1263">
        <f t="shared" si="2767"/>
        <v>-0.50113190645354178</v>
      </c>
      <c r="AU375" s="1263">
        <f t="shared" si="2767"/>
        <v>4109.9582266540901</v>
      </c>
      <c r="AV375" s="1263">
        <f t="shared" si="2767"/>
        <v>4223.5452121795206</v>
      </c>
      <c r="AW375" s="1263">
        <f t="shared" si="2767"/>
        <v>3771.9298245613945</v>
      </c>
      <c r="AX375" s="1263">
        <f t="shared" si="2767"/>
        <v>3762.8774915510676</v>
      </c>
      <c r="AY375" s="1263">
        <f t="shared" si="2767"/>
        <v>3875.4810878420617</v>
      </c>
      <c r="AZ375" s="1263">
        <f t="shared" si="2767"/>
        <v>3899.1538771850055</v>
      </c>
      <c r="BA375" s="1263">
        <f t="shared" si="2767"/>
        <v>3863.8919403117911</v>
      </c>
      <c r="BB375" s="1263">
        <f t="shared" si="2767"/>
        <v>3529.0678535836596</v>
      </c>
      <c r="BC375" s="1263">
        <f t="shared" si="2767"/>
        <v>3196.9294481298762</v>
      </c>
      <c r="BD375" s="1263">
        <f t="shared" si="2767"/>
        <v>3297.8467606378008</v>
      </c>
      <c r="BE375" s="1263">
        <f t="shared" si="2767"/>
        <v>2487.4076475524721</v>
      </c>
      <c r="BF375" s="1263">
        <f t="shared" si="2767"/>
        <v>3159.7904035204178</v>
      </c>
      <c r="BG375" s="1263">
        <f t="shared" si="2767"/>
        <v>3675.0360387827277</v>
      </c>
      <c r="BH375" s="1263">
        <f t="shared" si="2767"/>
        <v>3625.1390500802841</v>
      </c>
      <c r="BI375" s="1263">
        <f t="shared" si="2767"/>
        <v>5846.9511075900682</v>
      </c>
      <c r="BJ375" s="1263">
        <f t="shared" si="2767"/>
        <v>5639.3103654545621</v>
      </c>
      <c r="BK375" s="1263">
        <f t="shared" si="2767"/>
        <v>4683.0320191437031</v>
      </c>
      <c r="BL375" s="1263">
        <f t="shared" si="2767"/>
        <v>4679.272575717885</v>
      </c>
      <c r="BM375" s="1263">
        <f t="shared" si="2767"/>
        <v>4932.097233890262</v>
      </c>
      <c r="BN375" s="1263">
        <f t="shared" si="2767"/>
        <v>4844.9512055869782</v>
      </c>
      <c r="BO375" s="1263">
        <f t="shared" si="2767"/>
        <v>5792.0332384077183</v>
      </c>
      <c r="BP375" s="1263">
        <f t="shared" si="2767"/>
        <v>7350.0457091714179</v>
      </c>
      <c r="BQ375" s="1263">
        <f t="shared" si="2767"/>
        <v>5911.1611883009491</v>
      </c>
      <c r="BR375" s="1263">
        <f t="shared" si="2767"/>
        <v>15062.675171864281</v>
      </c>
      <c r="BS375" s="1263">
        <f t="shared" si="2767"/>
        <v>17640.131636956983</v>
      </c>
      <c r="BT375" s="1263">
        <f t="shared" si="2767"/>
        <v>5583.9497084012828</v>
      </c>
      <c r="BU375" s="1263">
        <f t="shared" si="2767"/>
        <v>6876.9456888067371</v>
      </c>
      <c r="BV375" s="1263">
        <f t="shared" si="2767"/>
        <v>6728.627612500296</v>
      </c>
      <c r="BW375" s="1263">
        <f t="shared" si="2767"/>
        <v>4776.4946404440716</v>
      </c>
      <c r="BX375" s="1263">
        <f t="shared" si="2767"/>
        <v>12458.772708730976</v>
      </c>
      <c r="BY375" s="1263">
        <f t="shared" si="2767"/>
        <v>8918.6869639174947</v>
      </c>
      <c r="BZ375" s="1263">
        <f t="shared" si="2767"/>
        <v>8948.527827806276</v>
      </c>
      <c r="CA375" s="1263">
        <f t="shared" si="2767"/>
        <v>13360.813810333208</v>
      </c>
      <c r="CB375" s="1263">
        <f t="shared" si="2767"/>
        <v>44527.873219840912</v>
      </c>
      <c r="CC375" s="1263">
        <f t="shared" si="2767"/>
        <v>-20526.199030369669</v>
      </c>
      <c r="CD375" s="1263">
        <f t="shared" si="2767"/>
        <v>-27385.246396554208</v>
      </c>
      <c r="CE375" s="1263">
        <f t="shared" ref="CE375:CF375" si="2768">+SUM(CB368:CE368)/SUM(CB271:CE271)*1000</f>
        <v>77520.382776168524</v>
      </c>
      <c r="CF375" s="1263">
        <f t="shared" si="2768"/>
        <v>28243.684698551104</v>
      </c>
      <c r="CG375" s="1263">
        <f t="shared" ref="CG375:CH375" si="2769">+SUM(CD368:CG368)/SUM(CD271:CG271)*1000</f>
        <v>34658.766958268847</v>
      </c>
      <c r="CH375" s="1263">
        <f t="shared" si="2769"/>
        <v>-922172.33091977646</v>
      </c>
      <c r="CI375" s="1263">
        <f t="shared" ref="CI375" si="2770">+SUM(CF368:CI368)/SUM(CF271:CI271)*1000</f>
        <v>32143.723020539041</v>
      </c>
      <c r="CJ375" s="1263">
        <f t="shared" ref="CJ375" si="2771">+SUM(CG368:CJ368)/SUM(CG271:CJ271)*1000</f>
        <v>29676.181941423885</v>
      </c>
      <c r="CK375" s="1263">
        <f t="shared" ref="CK375" si="2772">+SUM(CH368:CK368)/SUM(CH271:CK271)*1000</f>
        <v>13453.497726381551</v>
      </c>
      <c r="CL375" s="186">
        <f t="shared" ref="CL375" si="2773">+SUM(CI368:CL368)/SUM(CI271:CL271)*1000</f>
        <v>3911.4941841726331</v>
      </c>
      <c r="CM375" s="186">
        <f t="shared" ref="CM375" si="2774">+SUM(CJ368:CM368)/SUM(CJ271:CM271)*1000</f>
        <v>4533.9770063387277</v>
      </c>
      <c r="CN375" s="186">
        <f t="shared" ref="CN375" si="2775">+SUM(CK368:CN368)/SUM(CK271:CN271)*1000</f>
        <v>3826.7280669833281</v>
      </c>
      <c r="CO375" s="186">
        <f t="shared" ref="CO375" si="2776">+SUM(CL368:CO368)/SUM(CL271:CO271)*1000</f>
        <v>2379.0957244879496</v>
      </c>
      <c r="CP375" s="186">
        <f t="shared" ref="CP375" si="2777">+SUM(CM368:CP368)/SUM(CM271:CP271)*1000</f>
        <v>2500</v>
      </c>
      <c r="CQ375" s="186"/>
      <c r="CR375" s="186"/>
      <c r="CS375" s="186"/>
      <c r="CT375" s="186">
        <v>3911.4941841726331</v>
      </c>
      <c r="CU375" s="694"/>
      <c r="CV375" s="8" t="e">
        <v>#DIV/0!</v>
      </c>
      <c r="CW375" s="13">
        <v>5.9</v>
      </c>
      <c r="CX375" s="13">
        <v>5.4133333333333322</v>
      </c>
      <c r="CY375" s="13">
        <v>4.2857142857142856</v>
      </c>
      <c r="CZ375" s="13">
        <v>5.58</v>
      </c>
      <c r="DA375" s="13">
        <v>4.29</v>
      </c>
      <c r="DB375" s="13">
        <v>5.1785714285714288</v>
      </c>
      <c r="DC375" s="13">
        <v>5.7060606060606061</v>
      </c>
      <c r="DD375" s="13">
        <v>2.64</v>
      </c>
      <c r="DE375" s="13">
        <v>4.3173913043478267</v>
      </c>
      <c r="DF375" s="13">
        <f t="shared" ref="DF375:DS375" si="2778">+DF368/DF263</f>
        <v>4.0444444444444443</v>
      </c>
      <c r="DG375" s="13">
        <f t="shared" si="2778"/>
        <v>3.6875</v>
      </c>
      <c r="DH375" s="13">
        <f t="shared" si="2778"/>
        <v>2.8125</v>
      </c>
      <c r="DI375" s="13">
        <f t="shared" si="2778"/>
        <v>3.2702139259220151</v>
      </c>
      <c r="DJ375" s="13">
        <f t="shared" si="2778"/>
        <v>5.1164437616612135</v>
      </c>
      <c r="DK375" s="13">
        <f t="shared" si="2778"/>
        <v>5.5828867545506045</v>
      </c>
      <c r="DL375" s="1257">
        <f t="shared" si="2778"/>
        <v>32.105740666408323</v>
      </c>
      <c r="DM375" s="1257">
        <f t="shared" si="2778"/>
        <v>5.7717023793333331</v>
      </c>
      <c r="DN375" s="1257">
        <f t="shared" si="2778"/>
        <v>6.1749664274081395</v>
      </c>
      <c r="DO375" s="1257">
        <f t="shared" si="2778"/>
        <v>193.93866361421973</v>
      </c>
      <c r="DP375" s="1257">
        <f t="shared" ref="DP375:DQ375" si="2779">+DP368/DP263</f>
        <v>11.17123108488946</v>
      </c>
      <c r="DQ375" s="1257">
        <f t="shared" si="2779"/>
        <v>3.305564791219846</v>
      </c>
      <c r="DR375" s="1257">
        <f t="shared" ref="DR375" si="2780">+DR368/DR263</f>
        <v>1.4802705692488232</v>
      </c>
      <c r="DS375" s="408">
        <f t="shared" si="2778"/>
        <v>1.5394813920187835</v>
      </c>
      <c r="DT375" s="408">
        <f t="shared" ref="DT375:DV375" si="2781">+DT368/DT263</f>
        <v>1.6010606476995271</v>
      </c>
      <c r="DU375" s="408">
        <f t="shared" si="2781"/>
        <v>1.6651030736075163</v>
      </c>
      <c r="DV375" s="408">
        <f t="shared" si="2781"/>
        <v>1.7317071965518089</v>
      </c>
      <c r="DY375" s="408">
        <v>2.7255794901978292</v>
      </c>
      <c r="DZ375" s="408">
        <v>2.8346026698057543</v>
      </c>
    </row>
    <row r="376" spans="1:130">
      <c r="A376" s="8" t="s">
        <v>169</v>
      </c>
      <c r="B376" s="8"/>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263"/>
      <c r="AR376" s="1263"/>
      <c r="AS376" s="1263"/>
      <c r="AT376" s="1263"/>
      <c r="AU376" s="1263"/>
      <c r="AV376" s="1263"/>
      <c r="AW376" s="1263"/>
      <c r="AX376" s="1263"/>
      <c r="AY376" s="1263"/>
      <c r="AZ376" s="1263"/>
      <c r="BA376" s="1263"/>
      <c r="BB376" s="1263"/>
      <c r="BC376" s="1263"/>
      <c r="BD376" s="1263"/>
      <c r="BE376" s="1263"/>
      <c r="BF376" s="1263"/>
      <c r="BG376" s="1263"/>
      <c r="BH376" s="1263"/>
      <c r="BI376" s="1263"/>
      <c r="BJ376" s="1263"/>
      <c r="BK376" s="1263"/>
      <c r="BL376" s="1263"/>
      <c r="BM376" s="1263"/>
      <c r="BN376" s="1263"/>
      <c r="BO376" s="1263"/>
      <c r="BP376" s="1263"/>
      <c r="BQ376" s="1263"/>
      <c r="BR376" s="1263"/>
      <c r="BS376" s="1263"/>
      <c r="BT376" s="1263"/>
      <c r="BU376" s="1263"/>
      <c r="BV376" s="1263"/>
      <c r="BW376" s="1263"/>
      <c r="BX376" s="1263"/>
      <c r="BY376" s="1263"/>
      <c r="BZ376" s="1263"/>
      <c r="CA376" s="1263"/>
      <c r="CB376" s="1263"/>
      <c r="CC376" s="1263"/>
      <c r="CD376" s="1263"/>
      <c r="CE376" s="1263"/>
      <c r="CF376" s="1263"/>
      <c r="CG376" s="1263"/>
      <c r="CH376" s="1263"/>
      <c r="CI376" s="1263"/>
      <c r="CJ376" s="1263"/>
      <c r="CK376" s="1263"/>
      <c r="CL376" s="186"/>
      <c r="CM376" s="186"/>
      <c r="CN376" s="186"/>
      <c r="CO376" s="186"/>
      <c r="CP376" s="186"/>
      <c r="CQ376" s="186"/>
      <c r="CR376" s="186"/>
      <c r="CS376" s="186"/>
      <c r="CT376" s="186"/>
      <c r="CU376" s="694"/>
      <c r="CV376" s="8"/>
      <c r="CW376" s="13"/>
      <c r="CX376" s="8">
        <v>-8.2485875706214906E-2</v>
      </c>
      <c r="CY376" s="8">
        <v>-0.20830401125967613</v>
      </c>
      <c r="CZ376" s="8">
        <v>0.30200000000000005</v>
      </c>
      <c r="DA376" s="8">
        <v>-0.23118279569892475</v>
      </c>
      <c r="DB376" s="8">
        <v>0.20712620712620722</v>
      </c>
      <c r="DC376" s="8">
        <v>0.10185997910135836</v>
      </c>
      <c r="DD376" s="8">
        <v>-0.5373340414232608</v>
      </c>
      <c r="DE376" s="8">
        <v>0.63537549407114646</v>
      </c>
      <c r="DF376" s="8">
        <f t="shared" ref="DF376:DM376" si="2782">+DF375/DE375-1</f>
        <v>-6.3220320017903231E-2</v>
      </c>
      <c r="DG376" s="8">
        <f t="shared" si="2782"/>
        <v>-8.8255494505494525E-2</v>
      </c>
      <c r="DH376" s="8">
        <f t="shared" si="2782"/>
        <v>-0.23728813559322037</v>
      </c>
      <c r="DI376" s="8">
        <f t="shared" si="2782"/>
        <v>0.16274272921671651</v>
      </c>
      <c r="DJ376" s="8">
        <f t="shared" si="2782"/>
        <v>0.56455934613472292</v>
      </c>
      <c r="DK376" s="8">
        <f t="shared" si="2782"/>
        <v>9.1165468559346596E-2</v>
      </c>
      <c r="DL376" s="116">
        <f>+DL375/DK375-1</f>
        <v>4.7507418792328133</v>
      </c>
      <c r="DM376" s="116">
        <f t="shared" si="2782"/>
        <v>-0.82022833737730383</v>
      </c>
      <c r="DN376" s="116">
        <f t="shared" ref="DN376:DS376" si="2783">+DN375/DM375-1</f>
        <v>6.9869168846746099E-2</v>
      </c>
      <c r="DO376" s="116">
        <f t="shared" si="2783"/>
        <v>30.407241787324651</v>
      </c>
      <c r="DP376" s="116">
        <f t="shared" si="2783"/>
        <v>-0.94239812280489299</v>
      </c>
      <c r="DQ376" s="116">
        <f t="shared" si="2783"/>
        <v>-0.70410022260742133</v>
      </c>
      <c r="DR376" s="116">
        <f t="shared" si="2783"/>
        <v>-0.55218830585905354</v>
      </c>
      <c r="DS376" s="192">
        <f t="shared" si="2783"/>
        <v>4.0000000000004921E-2</v>
      </c>
      <c r="DT376" s="192">
        <f t="shared" ref="DT376" si="2784">+DT375/DS375-1</f>
        <v>3.9999999999994929E-2</v>
      </c>
      <c r="DU376" s="192">
        <f t="shared" ref="DU376" si="2785">+DU375/DT375-1</f>
        <v>4.0000000000005143E-2</v>
      </c>
      <c r="DV376" s="192">
        <f t="shared" ref="DV376" si="2786">+DV375/DU375-1</f>
        <v>3.9999999999995151E-2</v>
      </c>
      <c r="DY376" s="192">
        <v>-0.17545724789983197</v>
      </c>
      <c r="DZ376" s="192">
        <v>4.0000000000004476E-2</v>
      </c>
    </row>
    <row r="377" spans="1:130">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116"/>
      <c r="AR377" s="116"/>
      <c r="AS377" s="116"/>
      <c r="AT377" s="116"/>
      <c r="AU377" s="116"/>
      <c r="AV377" s="116"/>
      <c r="AW377" s="116"/>
      <c r="AX377" s="116"/>
      <c r="AY377" s="116"/>
      <c r="AZ377" s="116"/>
      <c r="BA377" s="116"/>
      <c r="BB377" s="116"/>
      <c r="BC377" s="116"/>
      <c r="BD377" s="116"/>
      <c r="BE377" s="116"/>
      <c r="BF377" s="116"/>
      <c r="BG377" s="116"/>
      <c r="BH377" s="116"/>
      <c r="BI377" s="116"/>
      <c r="BJ377" s="116"/>
      <c r="BK377" s="116"/>
      <c r="BL377" s="116"/>
      <c r="BM377" s="116"/>
      <c r="BN377" s="116"/>
      <c r="BO377" s="116"/>
      <c r="BP377" s="116"/>
      <c r="BQ377" s="116"/>
      <c r="BR377" s="116"/>
      <c r="BS377" s="116"/>
      <c r="BT377" s="116"/>
      <c r="BU377" s="116"/>
      <c r="BV377" s="116"/>
      <c r="BW377" s="116"/>
      <c r="BX377" s="116"/>
      <c r="BY377" s="116"/>
      <c r="BZ377" s="116"/>
      <c r="CA377" s="116"/>
      <c r="CB377" s="116"/>
      <c r="CC377" s="116"/>
      <c r="CD377" s="116"/>
      <c r="CE377" s="116"/>
      <c r="CF377" s="116"/>
      <c r="CG377" s="116"/>
      <c r="CH377" s="116"/>
      <c r="CI377" s="116"/>
      <c r="CJ377" s="116"/>
      <c r="CK377" s="116"/>
      <c r="CL377" s="192"/>
      <c r="CM377" s="192"/>
      <c r="CN377" s="192"/>
      <c r="CO377" s="192"/>
      <c r="CP377" s="192"/>
      <c r="CQ377" s="192"/>
      <c r="CR377" s="192"/>
      <c r="CS377" s="192"/>
      <c r="CT377" s="192"/>
      <c r="CU377" s="694"/>
      <c r="CV377" s="8"/>
      <c r="CW377" s="8"/>
      <c r="CX377" s="8"/>
      <c r="CY377" s="8"/>
      <c r="CZ377" s="8"/>
      <c r="DA377" s="8"/>
      <c r="DB377" s="7"/>
      <c r="DC377" s="7"/>
      <c r="DD377" s="7"/>
      <c r="DE377" s="7"/>
      <c r="DF377" s="7"/>
      <c r="DG377" s="7"/>
      <c r="DH377" s="7"/>
      <c r="DI377" s="7"/>
      <c r="DJ377" s="7"/>
      <c r="DK377" s="7"/>
      <c r="DL377" s="114"/>
      <c r="DM377" s="114"/>
      <c r="DN377" s="114"/>
      <c r="DO377" s="114"/>
      <c r="DP377" s="114"/>
      <c r="DQ377" s="114"/>
      <c r="DR377" s="114"/>
      <c r="DS377" s="168"/>
      <c r="DT377" s="168"/>
      <c r="DU377" s="168"/>
      <c r="DV377" s="168"/>
      <c r="DY377" s="168"/>
      <c r="DZ377" s="168"/>
    </row>
    <row r="378" spans="1:130">
      <c r="A378" s="39" t="s">
        <v>322</v>
      </c>
      <c r="B378" s="38"/>
      <c r="C378" s="38">
        <v>4.7</v>
      </c>
      <c r="D378" s="38">
        <v>0</v>
      </c>
      <c r="E378" s="38">
        <v>0</v>
      </c>
      <c r="F378" s="38">
        <v>10.900000000000002</v>
      </c>
      <c r="G378" s="38">
        <v>3</v>
      </c>
      <c r="H378" s="38">
        <v>4.8</v>
      </c>
      <c r="I378" s="38">
        <v>4.6000000000000005</v>
      </c>
      <c r="J378" s="38">
        <v>19.899999999999999</v>
      </c>
      <c r="K378" s="38">
        <v>6.9</v>
      </c>
      <c r="L378" s="38">
        <v>10.299999999999999</v>
      </c>
      <c r="M378" s="38">
        <v>9.2000000000000011</v>
      </c>
      <c r="N378" s="38">
        <v>11.4</v>
      </c>
      <c r="O378" s="38">
        <v>3.2</v>
      </c>
      <c r="P378" s="38">
        <v>7.1999999999999993</v>
      </c>
      <c r="Q378" s="38">
        <v>8.6999999999999993</v>
      </c>
      <c r="R378" s="38">
        <v>29.4</v>
      </c>
      <c r="S378" s="38">
        <v>7.8</v>
      </c>
      <c r="T378" s="38">
        <v>10</v>
      </c>
      <c r="U378" s="38">
        <v>15.7</v>
      </c>
      <c r="V378" s="38">
        <v>19.599999999999998</v>
      </c>
      <c r="W378" s="38">
        <v>0.6</v>
      </c>
      <c r="X378" s="38">
        <v>6.6999999999999993</v>
      </c>
      <c r="Y378" s="38">
        <v>4.8</v>
      </c>
      <c r="Z378" s="38">
        <v>14.1</v>
      </c>
      <c r="AA378" s="38">
        <v>8.1999999999999993</v>
      </c>
      <c r="AB378" s="38">
        <v>5.2</v>
      </c>
      <c r="AC378" s="38">
        <v>10.199999999999999</v>
      </c>
      <c r="AD378" s="38">
        <v>64.2</v>
      </c>
      <c r="AE378" s="38">
        <v>6.2</v>
      </c>
      <c r="AF378" s="38">
        <v>22.299999999999997</v>
      </c>
      <c r="AG378" s="38">
        <v>26.1</v>
      </c>
      <c r="AH378" s="38">
        <v>53.699999999999996</v>
      </c>
      <c r="AI378" s="38">
        <v>46.099999999999994</v>
      </c>
      <c r="AJ378" s="38">
        <v>37.5</v>
      </c>
      <c r="AK378" s="38">
        <v>50.099999999999994</v>
      </c>
      <c r="AL378" s="38">
        <v>68.2</v>
      </c>
      <c r="AM378" s="38">
        <v>18</v>
      </c>
      <c r="AN378" s="38">
        <v>23.6</v>
      </c>
      <c r="AO378" s="38">
        <v>74.5</v>
      </c>
      <c r="AP378" s="38">
        <v>97.499999999999986</v>
      </c>
      <c r="AQ378" s="1279">
        <f t="shared" ref="AQ378:BD378" si="2787">AQ383+AQ394+AQ400</f>
        <v>39.700000000000003</v>
      </c>
      <c r="AR378" s="1279">
        <f t="shared" si="2787"/>
        <v>63.199999999999996</v>
      </c>
      <c r="AS378" s="1279">
        <f t="shared" si="2787"/>
        <v>74.099999999999994</v>
      </c>
      <c r="AT378" s="1279">
        <f t="shared" si="2787"/>
        <v>106.6</v>
      </c>
      <c r="AU378" s="1280">
        <f t="shared" si="2787"/>
        <v>38.599999999999994</v>
      </c>
      <c r="AV378" s="1280">
        <f t="shared" si="2787"/>
        <v>96.600000000000009</v>
      </c>
      <c r="AW378" s="1280">
        <f t="shared" si="2787"/>
        <v>126.5</v>
      </c>
      <c r="AX378" s="1280">
        <f t="shared" si="2787"/>
        <v>132.69999999999999</v>
      </c>
      <c r="AY378" s="1280">
        <f t="shared" si="2787"/>
        <v>48</v>
      </c>
      <c r="AZ378" s="1280">
        <f t="shared" si="2787"/>
        <v>109.6</v>
      </c>
      <c r="BA378" s="1280">
        <f t="shared" si="2787"/>
        <v>64.5</v>
      </c>
      <c r="BB378" s="1280">
        <f t="shared" si="2787"/>
        <v>110.39999999999999</v>
      </c>
      <c r="BC378" s="1280">
        <f t="shared" si="2787"/>
        <v>43.96712206977449</v>
      </c>
      <c r="BD378" s="1280">
        <f t="shared" si="2787"/>
        <v>66.281881305367946</v>
      </c>
      <c r="BE378" s="1280">
        <f>BE383+BE394+BE400</f>
        <v>77.551010585860638</v>
      </c>
      <c r="BF378" s="1280">
        <f>BF383+BF394+BF400</f>
        <v>140.22428136407629</v>
      </c>
      <c r="BG378" s="1280">
        <f>BG383+BG394+BG400</f>
        <v>63.791145406113813</v>
      </c>
      <c r="BH378" s="1280">
        <f t="shared" ref="BH378:BO378" si="2788">BH383+BH394+BH400</f>
        <v>88.358077262518535</v>
      </c>
      <c r="BI378" s="1280">
        <f t="shared" si="2788"/>
        <v>93.81977394110892</v>
      </c>
      <c r="BJ378" s="1280">
        <f t="shared" si="2788"/>
        <v>139.26847629916472</v>
      </c>
      <c r="BK378" s="1280">
        <f t="shared" si="2788"/>
        <v>50.978973618682453</v>
      </c>
      <c r="BL378" s="1280">
        <f t="shared" si="2788"/>
        <v>107.06038018388763</v>
      </c>
      <c r="BM378" s="1280">
        <f t="shared" si="2788"/>
        <v>185.43310842894414</v>
      </c>
      <c r="BN378" s="1280">
        <f t="shared" si="2788"/>
        <v>145.3360011066062</v>
      </c>
      <c r="BO378" s="1280">
        <f t="shared" si="2788"/>
        <v>39.873075819541228</v>
      </c>
      <c r="BP378" s="1258">
        <f>+BP383+BP394+BP400</f>
        <v>128.69999999999999</v>
      </c>
      <c r="BQ378" s="1258">
        <f>+BQ383+BQ394+BQ400</f>
        <v>169.75805624309982</v>
      </c>
      <c r="BR378" s="1258">
        <f t="shared" ref="BR378:CD378" si="2789">BR383+BR394+BR400</f>
        <v>110</v>
      </c>
      <c r="BS378" s="1258">
        <f t="shared" si="2789"/>
        <v>185.94350317791998</v>
      </c>
      <c r="BT378" s="1258">
        <f t="shared" si="2789"/>
        <v>187.3144191763628</v>
      </c>
      <c r="BU378" s="1258">
        <f t="shared" si="2789"/>
        <v>173.08090924050001</v>
      </c>
      <c r="BV378" s="1258">
        <f t="shared" si="2789"/>
        <v>368.95043783759991</v>
      </c>
      <c r="BW378" s="1258">
        <f t="shared" si="2789"/>
        <v>76.741851539251996</v>
      </c>
      <c r="BX378" s="1258">
        <f t="shared" si="2789"/>
        <v>135.802192780101</v>
      </c>
      <c r="BY378" s="1258">
        <f t="shared" si="2789"/>
        <v>204.76109377694783</v>
      </c>
      <c r="BZ378" s="1258">
        <f t="shared" si="2789"/>
        <v>355.38879999999995</v>
      </c>
      <c r="CA378" s="1258">
        <f t="shared" ref="CA378:CB378" si="2790">CA383+CA394+CA400</f>
        <v>64.311075877245372</v>
      </c>
      <c r="CB378" s="1258">
        <f t="shared" si="2790"/>
        <v>186.50290388125177</v>
      </c>
      <c r="CC378" s="1258">
        <f t="shared" si="2789"/>
        <v>191.24262957546486</v>
      </c>
      <c r="CD378" s="1258">
        <f t="shared" si="2789"/>
        <v>252.82235299216151</v>
      </c>
      <c r="CE378" s="1258">
        <f t="shared" ref="CE378:CJ378" si="2791">CE383+CE394+CE400</f>
        <v>57.483252973660058</v>
      </c>
      <c r="CF378" s="1258">
        <f t="shared" ref="CF378" si="2792">CF383+CF394+CF400</f>
        <v>106.6855353085987</v>
      </c>
      <c r="CG378" s="1258">
        <f t="shared" si="2791"/>
        <v>128.10310624149335</v>
      </c>
      <c r="CH378" s="1258">
        <f t="shared" si="2791"/>
        <v>224.80925975952485</v>
      </c>
      <c r="CI378" s="1258">
        <f t="shared" si="2791"/>
        <v>57.840812606200501</v>
      </c>
      <c r="CJ378" s="1258">
        <f t="shared" si="2791"/>
        <v>151.59473922856233</v>
      </c>
      <c r="CK378" s="1258">
        <f t="shared" ref="CK378:CL378" si="2793">CK383+CK394+CK400</f>
        <v>157.340380035614</v>
      </c>
      <c r="CL378" s="396">
        <f t="shared" si="2793"/>
        <v>254.80506256389401</v>
      </c>
      <c r="CM378" s="396">
        <f t="shared" ref="CM378:CP378" si="2794">CM383+CM394+CM400</f>
        <v>92.610641360006952</v>
      </c>
      <c r="CN378" s="396">
        <f t="shared" si="2794"/>
        <v>146.72220739968276</v>
      </c>
      <c r="CO378" s="396">
        <f t="shared" si="2794"/>
        <v>159.51025073143853</v>
      </c>
      <c r="CP378" s="396">
        <f t="shared" si="2794"/>
        <v>241.26923231635027</v>
      </c>
      <c r="CQ378" s="396"/>
      <c r="CR378" s="396"/>
      <c r="CS378" s="396"/>
      <c r="CT378" s="396">
        <v>254.80506256389401</v>
      </c>
      <c r="CU378" s="1128"/>
      <c r="CV378" s="38">
        <v>15.6</v>
      </c>
      <c r="CW378" s="38">
        <v>32.299999999999997</v>
      </c>
      <c r="CX378" s="38">
        <v>37.799999999999997</v>
      </c>
      <c r="CY378" s="38">
        <v>48.499999999999993</v>
      </c>
      <c r="CZ378" s="38">
        <v>53.099999999999994</v>
      </c>
      <c r="DA378" s="38">
        <v>26.2</v>
      </c>
      <c r="DB378" s="38">
        <v>87.8</v>
      </c>
      <c r="DC378" s="38">
        <v>108.30000000000001</v>
      </c>
      <c r="DD378" s="38">
        <v>201.9</v>
      </c>
      <c r="DE378" s="38">
        <v>213.60000000000002</v>
      </c>
      <c r="DF378" s="37">
        <f t="shared" ref="DF378:DK378" si="2795">DF383+DF394+DF400</f>
        <v>283.60000000000002</v>
      </c>
      <c r="DG378" s="37">
        <f t="shared" si="2795"/>
        <v>394.4</v>
      </c>
      <c r="DH378" s="37">
        <f t="shared" si="2795"/>
        <v>332.49999999999994</v>
      </c>
      <c r="DI378" s="37">
        <f t="shared" si="2795"/>
        <v>328.02429532507938</v>
      </c>
      <c r="DJ378" s="37">
        <f t="shared" si="2795"/>
        <v>385.23747290890594</v>
      </c>
      <c r="DK378" s="37">
        <f t="shared" si="2795"/>
        <v>488.80846333812042</v>
      </c>
      <c r="DL378" s="1258">
        <f>DL383+DL394+DL400</f>
        <v>448.33113206264102</v>
      </c>
      <c r="DM378" s="1255">
        <f>+SUM(BS378:BV378)</f>
        <v>915.28926943238264</v>
      </c>
      <c r="DN378" s="1255">
        <f>+SUM(BW378:BZ378)</f>
        <v>772.69393809630083</v>
      </c>
      <c r="DO378" s="1255">
        <f>+SUM(CA378:CD378)</f>
        <v>694.87896232612354</v>
      </c>
      <c r="DP378" s="1255">
        <f>+SUM(CE378:CH378)</f>
        <v>517.08115428327699</v>
      </c>
      <c r="DQ378" s="1255">
        <f>+SUM(CI378:CL378)</f>
        <v>621.58099443427091</v>
      </c>
      <c r="DR378" s="1255">
        <f>+SUM(CM378:CP378)</f>
        <v>640.11233180747854</v>
      </c>
      <c r="DS378" s="409">
        <f>DS383+DS394+DS400</f>
        <v>694.15748141150755</v>
      </c>
      <c r="DT378" s="409">
        <f t="shared" ref="DT378:DV378" si="2796">DT383+DT394+DT400</f>
        <v>744.45062397861659</v>
      </c>
      <c r="DU378" s="409">
        <f t="shared" si="2796"/>
        <v>798.15803040923186</v>
      </c>
      <c r="DV378" s="409">
        <f t="shared" si="2796"/>
        <v>855.48181632039405</v>
      </c>
      <c r="DY378" s="409">
        <v>676.79084738254028</v>
      </c>
      <c r="DZ378" s="409">
        <v>734.10695734447927</v>
      </c>
    </row>
    <row r="379" spans="1:130">
      <c r="A379" s="8" t="s">
        <v>320</v>
      </c>
      <c r="B379" s="17"/>
      <c r="C379" s="7">
        <v>0.6351351351351352</v>
      </c>
      <c r="D379" s="7"/>
      <c r="E379" s="7">
        <v>0</v>
      </c>
      <c r="F379" s="7">
        <v>0.67701863354037273</v>
      </c>
      <c r="G379" s="7">
        <v>0.45454545454545459</v>
      </c>
      <c r="H379" s="7">
        <v>0.47058823529411764</v>
      </c>
      <c r="I379" s="7">
        <v>0.68656716417910446</v>
      </c>
      <c r="J379" s="7">
        <v>0.61419753086419748</v>
      </c>
      <c r="K379" s="7">
        <v>0.4107142857142857</v>
      </c>
      <c r="L379" s="7">
        <v>0.31402439024390244</v>
      </c>
      <c r="M379" s="7">
        <v>0.42009132420091327</v>
      </c>
      <c r="N379" s="7">
        <v>0.23999999999999996</v>
      </c>
      <c r="O379" s="7">
        <v>0.27586206896551724</v>
      </c>
      <c r="P379" s="7">
        <v>0.29752066115702475</v>
      </c>
      <c r="Q379" s="7">
        <v>0.51785714285714279</v>
      </c>
      <c r="R379" s="7">
        <v>0.5259391771019678</v>
      </c>
      <c r="S379" s="7">
        <v>0.43093922651933697</v>
      </c>
      <c r="T379" s="7">
        <v>0.32894736842105265</v>
      </c>
      <c r="U379" s="7">
        <v>0.42779291553133508</v>
      </c>
      <c r="V379" s="7">
        <v>0.37984496124031009</v>
      </c>
      <c r="W379" s="7">
        <v>9.375E-2</v>
      </c>
      <c r="X379" s="7">
        <v>0.31162790697674414</v>
      </c>
      <c r="Y379" s="7">
        <v>0.3380281690140845</v>
      </c>
      <c r="Z379" s="7">
        <v>0.52222222222222225</v>
      </c>
      <c r="AA379" s="7">
        <v>0.51572327044025157</v>
      </c>
      <c r="AB379" s="7">
        <v>0.25242718446601942</v>
      </c>
      <c r="AC379" s="7">
        <v>0.37638376383763839</v>
      </c>
      <c r="AD379" s="7">
        <v>0.66390899689762151</v>
      </c>
      <c r="AE379" s="7">
        <v>0.25833333333333336</v>
      </c>
      <c r="AF379" s="7">
        <v>0.34681181959564539</v>
      </c>
      <c r="AG379" s="7">
        <v>0.46858168761220825</v>
      </c>
      <c r="AH379" s="7">
        <v>0.35190039318479682</v>
      </c>
      <c r="AI379" s="7">
        <v>0.66045845272206294</v>
      </c>
      <c r="AJ379" s="7">
        <v>0.55886736214605071</v>
      </c>
      <c r="AK379" s="7">
        <v>0.57986111111111105</v>
      </c>
      <c r="AL379" s="7">
        <v>0.45406125166444744</v>
      </c>
      <c r="AM379" s="7">
        <v>0.48913043478260876</v>
      </c>
      <c r="AN379" s="7">
        <v>0.35866261398176286</v>
      </c>
      <c r="AO379" s="7">
        <v>0.60372771474878439</v>
      </c>
      <c r="AP379" s="7">
        <v>0.52363050483351226</v>
      </c>
      <c r="AQ379" s="114">
        <f t="shared" ref="AQ379:BG379" si="2797">AQ378/AQ363</f>
        <v>0.51291989664082682</v>
      </c>
      <c r="AR379" s="114">
        <f t="shared" si="2797"/>
        <v>0.54482758620689653</v>
      </c>
      <c r="AS379" s="114">
        <f t="shared" si="2797"/>
        <v>0.56306990881458963</v>
      </c>
      <c r="AT379" s="114">
        <f t="shared" si="2797"/>
        <v>0.6022598870056497</v>
      </c>
      <c r="AU379" s="114">
        <f t="shared" si="2797"/>
        <v>0.54061624649859941</v>
      </c>
      <c r="AV379" s="114">
        <f t="shared" si="2797"/>
        <v>0.65893587994542968</v>
      </c>
      <c r="AW379" s="114">
        <f t="shared" si="2797"/>
        <v>0.75839328537170259</v>
      </c>
      <c r="AX379" s="114">
        <f t="shared" si="2797"/>
        <v>0.71114683815648438</v>
      </c>
      <c r="AY379" s="114">
        <f t="shared" si="2797"/>
        <v>0.54794520547945214</v>
      </c>
      <c r="AZ379" s="114">
        <f t="shared" si="2797"/>
        <v>0.69411019632678916</v>
      </c>
      <c r="BA379" s="116">
        <f t="shared" si="2797"/>
        <v>0.6039325842696629</v>
      </c>
      <c r="BB379" s="114">
        <f t="shared" si="2797"/>
        <v>0.68913857677902624</v>
      </c>
      <c r="BC379" s="116">
        <f t="shared" si="2797"/>
        <v>0.66143758478548664</v>
      </c>
      <c r="BD379" s="114">
        <f t="shared" si="2797"/>
        <v>0.55815851071037648</v>
      </c>
      <c r="BE379" s="114">
        <f t="shared" si="2797"/>
        <v>0.57474142965242203</v>
      </c>
      <c r="BF379" s="114">
        <f t="shared" si="2797"/>
        <v>0.60902528164312109</v>
      </c>
      <c r="BG379" s="114">
        <f t="shared" si="2797"/>
        <v>0.67790802769515202</v>
      </c>
      <c r="BH379" s="114">
        <f t="shared" ref="BH379:BV379" si="2798">BH378/BH363</f>
        <v>0.65853808519596213</v>
      </c>
      <c r="BI379" s="114">
        <f t="shared" si="2798"/>
        <v>0.59263414890885446</v>
      </c>
      <c r="BJ379" s="114">
        <f t="shared" si="2798"/>
        <v>0.62235061698793515</v>
      </c>
      <c r="BK379" s="114">
        <f t="shared" si="2798"/>
        <v>0.64626877638348978</v>
      </c>
      <c r="BL379" s="114">
        <f t="shared" si="2798"/>
        <v>0.64315833032231917</v>
      </c>
      <c r="BM379" s="114">
        <f t="shared" si="2798"/>
        <v>0.72059997836803324</v>
      </c>
      <c r="BN379" s="114">
        <f t="shared" si="2798"/>
        <v>0.58478202704936821</v>
      </c>
      <c r="BO379" s="114">
        <f t="shared" si="2798"/>
        <v>0.44580934901654257</v>
      </c>
      <c r="BP379" s="114">
        <f t="shared" si="2798"/>
        <v>0.90954063604240276</v>
      </c>
      <c r="BQ379" s="114">
        <f>BQ378/BQ363</f>
        <v>0.89862531811930024</v>
      </c>
      <c r="BR379" s="114">
        <f t="shared" si="2798"/>
        <v>0.88141025641025639</v>
      </c>
      <c r="BS379" s="114">
        <f t="shared" si="2798"/>
        <v>0.7039911942531073</v>
      </c>
      <c r="BT379" s="114">
        <f>BT378/BT363</f>
        <v>0.73712756207756858</v>
      </c>
      <c r="BU379" s="114">
        <f t="shared" si="2798"/>
        <v>0.92766462464141519</v>
      </c>
      <c r="BV379" s="114">
        <f t="shared" si="2798"/>
        <v>0.96175582821258954</v>
      </c>
      <c r="BW379" s="114">
        <f t="shared" ref="BW379:CD379" si="2799">BW378/BW363</f>
        <v>0.66898342136630995</v>
      </c>
      <c r="BX379" s="114">
        <f t="shared" si="2799"/>
        <v>0.65288623617634434</v>
      </c>
      <c r="BY379" s="114">
        <f t="shared" si="2799"/>
        <v>0.77638789530465735</v>
      </c>
      <c r="BZ379" s="114">
        <f t="shared" si="2799"/>
        <v>0.86989921677230286</v>
      </c>
      <c r="CA379" s="114">
        <f t="shared" ref="CA379:CB379" si="2800">CA378/CA363</f>
        <v>0.78972759544894688</v>
      </c>
      <c r="CB379" s="114">
        <f t="shared" si="2800"/>
        <v>0.79069944021648431</v>
      </c>
      <c r="CC379" s="114">
        <f t="shared" si="2799"/>
        <v>0.7835701008603646</v>
      </c>
      <c r="CD379" s="114">
        <f t="shared" si="2799"/>
        <v>0.77210261193833496</v>
      </c>
      <c r="CE379" s="114">
        <f t="shared" ref="CE379:CH379" si="2801">CE378/CE363</f>
        <v>0.83340690723706456</v>
      </c>
      <c r="CF379" s="114">
        <f t="shared" ref="CF379" si="2802">CF378/CF363</f>
        <v>0.77800060720462916</v>
      </c>
      <c r="CG379" s="114">
        <f t="shared" si="2801"/>
        <v>0.74085552744109362</v>
      </c>
      <c r="CH379" s="114">
        <f t="shared" si="2801"/>
        <v>0.7935570879938979</v>
      </c>
      <c r="CI379" s="114">
        <f t="shared" ref="CI379:CL379" si="2803">CI378/CI363</f>
        <v>0.93915334770141812</v>
      </c>
      <c r="CJ379" s="114">
        <f t="shared" si="2803"/>
        <v>0.91396709727655256</v>
      </c>
      <c r="CK379" s="114">
        <f t="shared" si="2803"/>
        <v>0.78700842100840895</v>
      </c>
      <c r="CL379" s="168">
        <f t="shared" si="2803"/>
        <v>0.84013746146777735</v>
      </c>
      <c r="CM379" s="168">
        <f t="shared" ref="CM379:CP379" si="2804">CM378/CM363</f>
        <v>0.96902265870212401</v>
      </c>
      <c r="CN379" s="168">
        <f t="shared" si="2804"/>
        <v>0.94292156324838661</v>
      </c>
      <c r="CO379" s="168">
        <f t="shared" si="2804"/>
        <v>0.91507971641254071</v>
      </c>
      <c r="CP379" s="168">
        <f t="shared" si="2804"/>
        <v>0.88107462325368069</v>
      </c>
      <c r="CQ379" s="168"/>
      <c r="CR379" s="168"/>
      <c r="CS379" s="168"/>
      <c r="CT379" s="168">
        <v>0.84013746146777735</v>
      </c>
      <c r="CU379" s="1129"/>
      <c r="CV379" s="27"/>
      <c r="CW379" s="27"/>
      <c r="CX379" s="27"/>
      <c r="CY379" s="27"/>
      <c r="CZ379" s="27"/>
      <c r="DA379" s="27"/>
      <c r="DB379" s="17"/>
      <c r="DC379" s="17"/>
      <c r="DD379" s="17"/>
      <c r="DE379" s="17"/>
      <c r="DF379" s="17"/>
      <c r="DG379" s="17"/>
      <c r="DH379" s="17"/>
      <c r="DI379" s="17"/>
      <c r="DJ379" s="17"/>
      <c r="DK379" s="17"/>
      <c r="DL379" s="144"/>
      <c r="DM379" s="144"/>
      <c r="DN379" s="144"/>
      <c r="DO379" s="144"/>
      <c r="DP379" s="144"/>
      <c r="DQ379" s="144"/>
      <c r="DR379" s="144"/>
      <c r="DS379" s="185"/>
      <c r="DT379" s="185"/>
      <c r="DU379" s="185"/>
      <c r="DV379" s="185"/>
      <c r="DY379" s="185"/>
      <c r="DZ379" s="185"/>
    </row>
    <row r="380" spans="1:130">
      <c r="A380" s="8"/>
      <c r="B380" s="17" t="s">
        <v>323</v>
      </c>
      <c r="C380" s="36" t="s">
        <v>324</v>
      </c>
      <c r="D380" s="36" t="s">
        <v>325</v>
      </c>
      <c r="E380" s="36" t="s">
        <v>326</v>
      </c>
      <c r="F380" s="36"/>
      <c r="G380" s="36">
        <v>2.0964360587002098E-2</v>
      </c>
      <c r="H380" s="36">
        <v>3.2664171486900304E-2</v>
      </c>
      <c r="I380" s="36">
        <v>3.1294220093610541E-2</v>
      </c>
      <c r="J380" s="36">
        <v>0.13205043132050431</v>
      </c>
      <c r="K380" s="36">
        <v>4.4602456367162251E-2</v>
      </c>
      <c r="L380" s="36">
        <v>6.3856168629882193E-2</v>
      </c>
      <c r="M380" s="36">
        <v>5.4925373134328367E-2</v>
      </c>
      <c r="N380" s="36">
        <v>6.4044943820224715E-2</v>
      </c>
      <c r="O380" s="36">
        <v>1.7977528089887642E-2</v>
      </c>
      <c r="P380" s="36">
        <v>3.7402597402597396E-2</v>
      </c>
      <c r="Q380" s="36">
        <v>4.5789473684210526E-2</v>
      </c>
      <c r="R380" s="36">
        <v>0.14447174447174446</v>
      </c>
      <c r="S380" s="36">
        <v>3.7974683544303799E-2</v>
      </c>
      <c r="T380" s="36">
        <v>4.6663555762949137E-2</v>
      </c>
      <c r="U380" s="36">
        <v>7.2150735294117641E-2</v>
      </c>
      <c r="V380" s="36">
        <v>8.532868959512406E-2</v>
      </c>
      <c r="W380" s="36">
        <v>2.6121027427078798E-3</v>
      </c>
      <c r="X380" s="36">
        <v>2.7847049044056521E-2</v>
      </c>
      <c r="Y380" s="36">
        <v>1.9793814432989689E-2</v>
      </c>
      <c r="Z380" s="36">
        <v>5.6467761313576288E-2</v>
      </c>
      <c r="AA380" s="36">
        <v>3.2513877874702619E-2</v>
      </c>
      <c r="AB380" s="36">
        <v>2.0046260601387818E-2</v>
      </c>
      <c r="AC380" s="36">
        <v>3.9065492148602068E-2</v>
      </c>
      <c r="AD380" s="36">
        <v>0.23370950127411722</v>
      </c>
      <c r="AE380" s="36">
        <v>2.2537259178480554E-2</v>
      </c>
      <c r="AF380" s="36">
        <v>7.7216066481994444E-2</v>
      </c>
      <c r="AG380" s="36">
        <v>8.9845094664371766E-2</v>
      </c>
      <c r="AH380" s="36">
        <v>0.16886792452830188</v>
      </c>
      <c r="AI380" s="36">
        <v>0.14352428393524283</v>
      </c>
      <c r="AJ380" s="36">
        <v>0.10769672601952901</v>
      </c>
      <c r="AK380" s="36">
        <v>0.15004492362982927</v>
      </c>
      <c r="AL380" s="36">
        <v>0.17820747321661876</v>
      </c>
      <c r="AM380" s="36">
        <v>4.6814044213263982E-2</v>
      </c>
      <c r="AN380" s="36">
        <v>5.9989832231825115E-2</v>
      </c>
      <c r="AO380" s="36">
        <v>0.18458870168483646</v>
      </c>
      <c r="AP380" s="36">
        <v>0.22347008938803573</v>
      </c>
      <c r="AQ380" s="1281">
        <f t="shared" ref="AQ380:CD380" si="2805">AQ378*1000/AQ268</f>
        <v>90.690412173074776</v>
      </c>
      <c r="AR380" s="1281">
        <f t="shared" si="2805"/>
        <v>138.71817383669887</v>
      </c>
      <c r="AS380" s="1281">
        <f t="shared" si="2805"/>
        <v>160.1815823605707</v>
      </c>
      <c r="AT380" s="1281">
        <f t="shared" si="2805"/>
        <v>219.07110563090833</v>
      </c>
      <c r="AU380" s="1281">
        <f t="shared" si="2805"/>
        <v>78.823769654890739</v>
      </c>
      <c r="AV380" s="1281">
        <f t="shared" si="2805"/>
        <v>191.10283746169537</v>
      </c>
      <c r="AW380" s="1281">
        <f t="shared" si="2805"/>
        <v>246.15683985211126</v>
      </c>
      <c r="AX380" s="1281">
        <f t="shared" si="2805"/>
        <v>248.67022799162137</v>
      </c>
      <c r="AY380" s="1281">
        <f t="shared" si="2805"/>
        <v>89.364445093246871</v>
      </c>
      <c r="AZ380" s="1281">
        <f t="shared" si="2805"/>
        <v>198.48260770796341</v>
      </c>
      <c r="BA380" s="1282">
        <f t="shared" si="2805"/>
        <v>114.86141854101209</v>
      </c>
      <c r="BB380" s="1281">
        <f t="shared" si="2805"/>
        <v>188.83304326479731</v>
      </c>
      <c r="BC380" s="1282">
        <f t="shared" si="2805"/>
        <v>74.763456151541732</v>
      </c>
      <c r="BD380" s="1281">
        <f t="shared" si="2805"/>
        <v>109.94736892759231</v>
      </c>
      <c r="BE380" s="1281">
        <f t="shared" si="2805"/>
        <v>122.17045274481789</v>
      </c>
      <c r="BF380" s="1281">
        <f t="shared" si="2805"/>
        <v>214.07640099440704</v>
      </c>
      <c r="BG380" s="1281">
        <f t="shared" si="2805"/>
        <v>98.03223139560815</v>
      </c>
      <c r="BH380" s="1281">
        <f t="shared" si="2805"/>
        <v>132.9671609450495</v>
      </c>
      <c r="BI380" s="1281">
        <f t="shared" si="2805"/>
        <v>139.1526027192651</v>
      </c>
      <c r="BJ380" s="1281">
        <f t="shared" si="2805"/>
        <v>200.40354018829922</v>
      </c>
      <c r="BK380" s="1281">
        <f t="shared" si="2805"/>
        <v>73.007069682229329</v>
      </c>
      <c r="BL380" s="1281">
        <f t="shared" si="2805"/>
        <v>149.73261953097133</v>
      </c>
      <c r="BM380" s="1281">
        <f t="shared" si="2805"/>
        <v>256.25209237449661</v>
      </c>
      <c r="BN380" s="1281">
        <f t="shared" si="2805"/>
        <v>194.01446776699623</v>
      </c>
      <c r="BO380" s="1281">
        <f t="shared" si="2805"/>
        <v>53.354927480753169</v>
      </c>
      <c r="BP380" s="1281">
        <f t="shared" si="2805"/>
        <v>172.21593834021755</v>
      </c>
      <c r="BQ380" s="1281">
        <f t="shared" si="2805"/>
        <v>224.87983739356275</v>
      </c>
      <c r="BR380" s="1281">
        <f t="shared" si="2805"/>
        <v>145.60024967001357</v>
      </c>
      <c r="BS380" s="1281">
        <f t="shared" si="2805"/>
        <v>246.47866274909859</v>
      </c>
      <c r="BT380" s="1281">
        <f t="shared" si="2805"/>
        <v>240.34328898080926</v>
      </c>
      <c r="BU380" s="1281">
        <f t="shared" si="2805"/>
        <v>221.87567443735944</v>
      </c>
      <c r="BV380" s="1281">
        <f t="shared" si="2805"/>
        <v>472.27064543185719</v>
      </c>
      <c r="BW380" s="1281">
        <f t="shared" si="2805"/>
        <v>98.106258095347343</v>
      </c>
      <c r="BX380" s="1281">
        <f t="shared" si="2805"/>
        <v>171.80020861635865</v>
      </c>
      <c r="BY380" s="1281">
        <f t="shared" si="2805"/>
        <v>255.73044488647784</v>
      </c>
      <c r="BZ380" s="1281">
        <f t="shared" si="2805"/>
        <v>440.89148537027808</v>
      </c>
      <c r="CA380" s="1281">
        <f t="shared" ref="CA380:CB380" si="2806">CA378*1000/CA268</f>
        <v>80.660100732314433</v>
      </c>
      <c r="CB380" s="1281">
        <f t="shared" si="2806"/>
        <v>234.74922799387289</v>
      </c>
      <c r="CC380" s="1281">
        <f t="shared" si="2805"/>
        <v>241.3799239179842</v>
      </c>
      <c r="CD380" s="1281">
        <f t="shared" si="2805"/>
        <v>316.42870874745432</v>
      </c>
      <c r="CE380" s="1281">
        <f t="shared" ref="CE380:CH380" si="2807">CE378*1000/CE268</f>
        <v>71.877538426227616</v>
      </c>
      <c r="CF380" s="1281">
        <f t="shared" ref="CF380" si="2808">CF378*1000/CF268</f>
        <v>133.27790588456929</v>
      </c>
      <c r="CG380" s="1281">
        <f t="shared" si="2807"/>
        <v>160.74277150194047</v>
      </c>
      <c r="CH380" s="1281">
        <f t="shared" si="2807"/>
        <v>281.42340590065908</v>
      </c>
      <c r="CI380" s="1281">
        <f t="shared" ref="CI380:CL380" si="2809">CI378*1000/CI268</f>
        <v>71.939888011168236</v>
      </c>
      <c r="CJ380" s="1281">
        <f t="shared" si="2809"/>
        <v>188.41894615336875</v>
      </c>
      <c r="CK380" s="1281">
        <f t="shared" si="2809"/>
        <v>195.26076685498069</v>
      </c>
      <c r="CL380" s="397">
        <f t="shared" si="2809"/>
        <v>308.21306653509856</v>
      </c>
      <c r="CM380" s="397">
        <f t="shared" ref="CM380:CP380" si="2810">CM378*1000/CM268</f>
        <v>111.86191079378642</v>
      </c>
      <c r="CN380" s="397">
        <f t="shared" si="2810"/>
        <v>176.46458468516363</v>
      </c>
      <c r="CO380" s="397">
        <f t="shared" si="2810"/>
        <v>190.48838412578951</v>
      </c>
      <c r="CP380" s="397">
        <f t="shared" si="2810"/>
        <v>283.71211291293059</v>
      </c>
      <c r="CQ380" s="397"/>
      <c r="CR380" s="397"/>
      <c r="CS380" s="397"/>
      <c r="CT380" s="397">
        <v>308.21306653509856</v>
      </c>
      <c r="CU380" s="1129"/>
      <c r="CV380" s="27"/>
      <c r="CW380" s="27"/>
      <c r="CX380" s="27"/>
      <c r="CY380" s="35">
        <v>0.2383292383292383</v>
      </c>
      <c r="CZ380" s="35">
        <v>0.23117109272964734</v>
      </c>
      <c r="DA380" s="35">
        <v>0.10492591109331198</v>
      </c>
      <c r="DB380" s="35">
        <v>0.31962140516927556</v>
      </c>
      <c r="DC380" s="35">
        <v>0.34056603773584909</v>
      </c>
      <c r="DD380" s="35">
        <v>0.52756728507969686</v>
      </c>
      <c r="DE380" s="35">
        <v>0.48957139582855841</v>
      </c>
      <c r="DF380" s="35">
        <f t="shared" ref="DF380:DS380" si="2811">DF378*1000/DF268</f>
        <v>582.81956432387994</v>
      </c>
      <c r="DG380" s="35">
        <f t="shared" si="2811"/>
        <v>739.07715086582868</v>
      </c>
      <c r="DH380" s="35">
        <f t="shared" si="2811"/>
        <v>568.7227072966042</v>
      </c>
      <c r="DI380" s="35">
        <f t="shared" si="2811"/>
        <v>500.7853126349454</v>
      </c>
      <c r="DJ380" s="35">
        <f t="shared" si="2811"/>
        <v>554.3462198746106</v>
      </c>
      <c r="DK380" s="35">
        <f t="shared" si="2811"/>
        <v>652.52871368729291</v>
      </c>
      <c r="DL380" s="1259">
        <f t="shared" si="2811"/>
        <v>593.42840693782148</v>
      </c>
      <c r="DM380" s="1259">
        <f t="shared" si="2811"/>
        <v>1171.6052068271381</v>
      </c>
      <c r="DN380" s="1259">
        <f t="shared" si="2811"/>
        <v>958.5957073039101</v>
      </c>
      <c r="DO380" s="1259">
        <f t="shared" si="2811"/>
        <v>869.70020721009325</v>
      </c>
      <c r="DP380" s="1259">
        <f t="shared" ref="DP380:DQ380" si="2812">DP378*1000/DP268</f>
        <v>647.29869099299208</v>
      </c>
      <c r="DQ380" s="1259">
        <f t="shared" si="2812"/>
        <v>751.86647575529582</v>
      </c>
      <c r="DR380" s="1259">
        <f t="shared" ref="DR380" si="2813">DR378*1000/DR268</f>
        <v>752.71770219171674</v>
      </c>
      <c r="DS380" s="410">
        <f t="shared" si="2811"/>
        <v>794.15245702622019</v>
      </c>
      <c r="DT380" s="410">
        <f t="shared" ref="DT380:DV380" si="2814">DT378*1000/DT268</f>
        <v>829.22175724749934</v>
      </c>
      <c r="DU380" s="410">
        <f t="shared" si="2814"/>
        <v>866.19356922351733</v>
      </c>
      <c r="DV380" s="410">
        <f t="shared" si="2814"/>
        <v>905.1387147910367</v>
      </c>
      <c r="DY380" s="410">
        <v>792.94290200615228</v>
      </c>
      <c r="DZ380" s="410">
        <v>833.91086736779039</v>
      </c>
    </row>
    <row r="381" spans="1:130">
      <c r="A381" s="8"/>
      <c r="B381" s="33" t="s">
        <v>327</v>
      </c>
      <c r="C381" s="33">
        <v>0.59097222222222223</v>
      </c>
      <c r="D381" s="33" t="s">
        <v>328</v>
      </c>
      <c r="E381" s="33"/>
      <c r="F381" s="33"/>
      <c r="G381" s="33">
        <v>48.387096774193552</v>
      </c>
      <c r="H381" s="33">
        <v>75</v>
      </c>
      <c r="I381" s="33">
        <v>71.875000000000014</v>
      </c>
      <c r="J381" s="33">
        <v>301.51515151515156</v>
      </c>
      <c r="K381" s="33">
        <v>101.47058823529412</v>
      </c>
      <c r="L381" s="33">
        <v>143.05555555555551</v>
      </c>
      <c r="M381" s="33">
        <v>122.6666666666667</v>
      </c>
      <c r="N381" s="33">
        <v>140.74074074074073</v>
      </c>
      <c r="O381" s="33">
        <v>39.506172839506171</v>
      </c>
      <c r="P381" s="33">
        <v>82.75862068965516</v>
      </c>
      <c r="Q381" s="33">
        <v>98.86363636363636</v>
      </c>
      <c r="R381" s="33">
        <v>309.47368421052624</v>
      </c>
      <c r="S381" s="33">
        <v>81.250000000000014</v>
      </c>
      <c r="T381" s="33">
        <v>99.009900990098998</v>
      </c>
      <c r="U381" s="33">
        <v>152.42718446601941</v>
      </c>
      <c r="V381" s="33">
        <v>178.18181818181813</v>
      </c>
      <c r="W381" s="33">
        <v>5.4545454545454541</v>
      </c>
      <c r="X381" s="33">
        <v>58.260869565217391</v>
      </c>
      <c r="Y381" s="33">
        <v>41.37931034482758</v>
      </c>
      <c r="Z381" s="33">
        <v>117.5</v>
      </c>
      <c r="AA381" s="33">
        <v>67.768595041322328</v>
      </c>
      <c r="AB381" s="33">
        <v>41.599999999999994</v>
      </c>
      <c r="AC381" s="33">
        <v>80.952380952380949</v>
      </c>
      <c r="AD381" s="33">
        <v>479.1044776119403</v>
      </c>
      <c r="AE381" s="33">
        <v>45.925925925925931</v>
      </c>
      <c r="AF381" s="33">
        <v>154.86111111111109</v>
      </c>
      <c r="AG381" s="33">
        <v>178.76712328767121</v>
      </c>
      <c r="AH381" s="33">
        <v>321.55688622754491</v>
      </c>
      <c r="AI381" s="33">
        <v>230.49999999999997</v>
      </c>
      <c r="AJ381" s="33">
        <v>181.15942028985509</v>
      </c>
      <c r="AK381" s="33">
        <v>237.44075829383883</v>
      </c>
      <c r="AL381" s="33">
        <v>293.9655172413793</v>
      </c>
      <c r="AM381" s="33">
        <v>76.92307692307692</v>
      </c>
      <c r="AN381" s="33">
        <v>97.119341563786008</v>
      </c>
      <c r="AO381" s="33">
        <v>296.81274900398404</v>
      </c>
      <c r="AP381" s="33">
        <v>350.71942446043164</v>
      </c>
      <c r="AQ381" s="1244">
        <f t="shared" ref="AQ381:CD381" si="2815">AQ380*AQ265</f>
        <v>141281.13879003559</v>
      </c>
      <c r="AR381" s="1244">
        <f t="shared" si="2815"/>
        <v>208580.85808580855</v>
      </c>
      <c r="AS381" s="1244">
        <f t="shared" si="2815"/>
        <v>236741.21405750801</v>
      </c>
      <c r="AT381" s="1244">
        <f t="shared" si="2815"/>
        <v>321084.3373493976</v>
      </c>
      <c r="AU381" s="1244">
        <f t="shared" si="2815"/>
        <v>116265.06024096382</v>
      </c>
      <c r="AV381" s="1244">
        <f t="shared" si="2815"/>
        <v>276000.00000000006</v>
      </c>
      <c r="AW381" s="1244">
        <f t="shared" si="2815"/>
        <v>355337.07865168544</v>
      </c>
      <c r="AX381" s="1244">
        <f t="shared" si="2815"/>
        <v>349210.5263157895</v>
      </c>
      <c r="AY381" s="1244">
        <f t="shared" si="2815"/>
        <v>124031.00775193798</v>
      </c>
      <c r="AZ381" s="1244">
        <f t="shared" si="2815"/>
        <v>268627.45098039211</v>
      </c>
      <c r="BA381" s="1283">
        <f t="shared" si="2815"/>
        <v>154306.22009569377</v>
      </c>
      <c r="BB381" s="1244">
        <f t="shared" si="2815"/>
        <v>248648.64864864861</v>
      </c>
      <c r="BC381" s="1283">
        <f t="shared" si="2815"/>
        <v>97488.075542737221</v>
      </c>
      <c r="BD381" s="1244">
        <f t="shared" si="2815"/>
        <v>140130.82728407602</v>
      </c>
      <c r="BE381" s="1244">
        <f t="shared" si="2815"/>
        <v>158267.36854257275</v>
      </c>
      <c r="BF381" s="1244">
        <f t="shared" si="2815"/>
        <v>273875.5495392115</v>
      </c>
      <c r="BG381" s="1244">
        <f t="shared" si="2815"/>
        <v>126069.45732433558</v>
      </c>
      <c r="BH381" s="1244">
        <f t="shared" si="2815"/>
        <v>167662.38569737863</v>
      </c>
      <c r="BI381" s="1244">
        <f t="shared" si="2815"/>
        <v>174710.93843781922</v>
      </c>
      <c r="BJ381" s="1244">
        <f t="shared" si="2815"/>
        <v>250482.87104166319</v>
      </c>
      <c r="BK381" s="1244">
        <f t="shared" si="2815"/>
        <v>91360.167775416587</v>
      </c>
      <c r="BL381" s="1244">
        <f t="shared" si="2815"/>
        <v>187825.22839278533</v>
      </c>
      <c r="BM381" s="1244">
        <f t="shared" si="2815"/>
        <v>321374.53800510243</v>
      </c>
      <c r="BN381" s="1244">
        <f t="shared" si="2815"/>
        <v>241021.56070747299</v>
      </c>
      <c r="BO381" s="1244">
        <f t="shared" si="2815"/>
        <v>66789.071724524678</v>
      </c>
      <c r="BP381" s="1244">
        <f t="shared" si="2815"/>
        <v>215577.88944723614</v>
      </c>
      <c r="BQ381" s="1244">
        <f t="shared" si="2815"/>
        <v>280591.82850099145</v>
      </c>
      <c r="BR381" s="1244">
        <f t="shared" si="2815"/>
        <v>181518.15181518154</v>
      </c>
      <c r="BS381" s="1244">
        <f t="shared" si="2815"/>
        <v>306837.46398996696</v>
      </c>
      <c r="BT381" s="1244">
        <f t="shared" si="2815"/>
        <v>295915.35414907243</v>
      </c>
      <c r="BU381" s="1244">
        <f t="shared" si="2815"/>
        <v>272568.36100866145</v>
      </c>
      <c r="BV381" s="1244">
        <f t="shared" si="2815"/>
        <v>580110.75131698104</v>
      </c>
      <c r="BW381" s="1244">
        <f t="shared" si="2815"/>
        <v>120285.03376058307</v>
      </c>
      <c r="BX381" s="1244">
        <f t="shared" si="2815"/>
        <v>208605.51886344241</v>
      </c>
      <c r="BY381" s="1244">
        <f t="shared" si="2815"/>
        <v>308840.26210701029</v>
      </c>
      <c r="BZ381" s="1244">
        <f t="shared" si="2815"/>
        <v>528852.38095238083</v>
      </c>
      <c r="CA381" s="1244">
        <f t="shared" ref="CA381:CB381" si="2816">CA380*CA265</f>
        <v>98636.61944362786</v>
      </c>
      <c r="CB381" s="1244">
        <f t="shared" si="2816"/>
        <v>284737.25783397217</v>
      </c>
      <c r="CC381" s="1244">
        <f t="shared" si="2815"/>
        <v>288450.42168245075</v>
      </c>
      <c r="CD381" s="1244">
        <f t="shared" si="2815"/>
        <v>375664.71469860553</v>
      </c>
      <c r="CE381" s="1244">
        <f t="shared" ref="CE381:CH381" si="2817">CE380*CE265</f>
        <v>86311.190651141209</v>
      </c>
      <c r="CF381" s="1244">
        <f t="shared" ref="CF381" si="2818">CF380*CF265</f>
        <v>158994.83652548239</v>
      </c>
      <c r="CG381" s="1244">
        <f t="shared" si="2817"/>
        <v>189782.37961702721</v>
      </c>
      <c r="CH381" s="1244">
        <f t="shared" si="2817"/>
        <v>327710.2911946426</v>
      </c>
      <c r="CI381" s="1244">
        <f t="shared" ref="CI381:CL381" si="2819">CI380*CI265</f>
        <v>84316.053361808299</v>
      </c>
      <c r="CJ381" s="1244">
        <f t="shared" si="2819"/>
        <v>219384.57196608154</v>
      </c>
      <c r="CK381" s="1244">
        <f t="shared" si="2819"/>
        <v>226715.24500808935</v>
      </c>
      <c r="CL381" s="175">
        <f t="shared" si="2819"/>
        <v>354388.12595812802</v>
      </c>
      <c r="CM381" s="175">
        <f t="shared" ref="CM381:CP381" si="2820">CM380*CM265</f>
        <v>128447.49148405957</v>
      </c>
      <c r="CN381" s="175">
        <f t="shared" si="2820"/>
        <v>201818.71719351134</v>
      </c>
      <c r="CO381" s="175">
        <f t="shared" si="2820"/>
        <v>216431.81917427212</v>
      </c>
      <c r="CP381" s="175">
        <f t="shared" si="2820"/>
        <v>317877.77643787919</v>
      </c>
      <c r="CQ381" s="175"/>
      <c r="CR381" s="175"/>
      <c r="CS381" s="175"/>
      <c r="CT381" s="175">
        <v>354388.12595812802</v>
      </c>
      <c r="CU381" s="705"/>
      <c r="CV381" s="31"/>
      <c r="CW381" s="30">
        <v>0</v>
      </c>
      <c r="CX381" s="30">
        <v>0</v>
      </c>
      <c r="CY381" s="30">
        <v>510.52631578947359</v>
      </c>
      <c r="CZ381" s="30">
        <v>482.72727272727263</v>
      </c>
      <c r="DA381" s="30">
        <v>218.33333333333337</v>
      </c>
      <c r="DB381" s="30">
        <v>655.22388059701495</v>
      </c>
      <c r="DC381" s="30">
        <v>648.50299401197617</v>
      </c>
      <c r="DD381" s="30">
        <v>870.25862068965512</v>
      </c>
      <c r="DE381" s="30">
        <v>768.34532374100741</v>
      </c>
      <c r="DF381" s="30">
        <f t="shared" ref="DF381:DS381" si="2821">DF380*DF265</f>
        <v>854.2168674698795</v>
      </c>
      <c r="DG381" s="30">
        <f t="shared" si="2821"/>
        <v>1037.8947368421052</v>
      </c>
      <c r="DH381" s="30">
        <f t="shared" si="2821"/>
        <v>748.87387387387366</v>
      </c>
      <c r="DI381" s="30">
        <f t="shared" si="2821"/>
        <v>640.67245180679561</v>
      </c>
      <c r="DJ381" s="30">
        <f t="shared" si="2821"/>
        <v>692.87315271385967</v>
      </c>
      <c r="DK381" s="30">
        <f t="shared" si="2821"/>
        <v>810.6276340599012</v>
      </c>
      <c r="DL381" s="1260">
        <f t="shared" si="2821"/>
        <v>739.82034993835168</v>
      </c>
      <c r="DM381" s="1260">
        <f t="shared" si="2821"/>
        <v>1439.134071434564</v>
      </c>
      <c r="DN381" s="1260">
        <f t="shared" si="2821"/>
        <v>1149.842169786162</v>
      </c>
      <c r="DO381" s="1260">
        <f t="shared" si="2821"/>
        <v>1032.5096022676428</v>
      </c>
      <c r="DP381" s="1260">
        <f t="shared" ref="DP381:DQ381" si="2822">DP380*DP265</f>
        <v>753.76261557328996</v>
      </c>
      <c r="DQ381" s="1260">
        <f t="shared" si="2822"/>
        <v>864.50764177228223</v>
      </c>
      <c r="DR381" s="1260">
        <f t="shared" ref="DR381" si="2823">DR380*DR265</f>
        <v>843.36275600458316</v>
      </c>
      <c r="DS381" s="411">
        <f t="shared" si="2821"/>
        <v>868.78283030226248</v>
      </c>
      <c r="DT381" s="411">
        <f t="shared" ref="DT381:DV381" si="2824">DT380*DT265</f>
        <v>887.30706076116394</v>
      </c>
      <c r="DU381" s="411">
        <f t="shared" si="2824"/>
        <v>908.02961366237992</v>
      </c>
      <c r="DV381" s="411">
        <f t="shared" si="2824"/>
        <v>930.88336922785004</v>
      </c>
      <c r="DY381" s="411">
        <v>891.68754595855103</v>
      </c>
      <c r="DZ381" s="411">
        <v>918.78217439859736</v>
      </c>
    </row>
    <row r="382" spans="1:130">
      <c r="A382" s="6"/>
      <c r="B382" s="6"/>
      <c r="C382" s="31"/>
      <c r="D382" s="31"/>
      <c r="E382" s="31"/>
      <c r="F382" s="31"/>
      <c r="G382" s="31"/>
      <c r="H382" s="31"/>
      <c r="I382" s="31"/>
      <c r="J382" s="31"/>
      <c r="K382" s="31"/>
      <c r="L382" s="31"/>
      <c r="M382" s="31"/>
      <c r="N382" s="31"/>
      <c r="O382" s="31"/>
      <c r="P382" s="31"/>
      <c r="Q382" s="31"/>
      <c r="R382" s="31">
        <v>200</v>
      </c>
      <c r="S382" s="31"/>
      <c r="T382" s="31"/>
      <c r="U382" s="31"/>
      <c r="V382" s="31"/>
      <c r="W382" s="31"/>
      <c r="X382" s="31"/>
      <c r="Y382" s="31"/>
      <c r="Z382" s="31"/>
      <c r="AA382" s="31"/>
      <c r="AB382" s="31"/>
      <c r="AC382" s="31"/>
      <c r="AD382" s="31"/>
      <c r="AE382" s="31"/>
      <c r="AF382" s="31"/>
      <c r="AG382" s="31"/>
      <c r="AH382" s="31"/>
      <c r="AI382" s="31"/>
      <c r="AJ382" s="31"/>
      <c r="AK382" s="31"/>
      <c r="AL382" s="31"/>
      <c r="AM382" s="31"/>
      <c r="AN382" s="31"/>
      <c r="AO382" s="31"/>
      <c r="AP382" s="31"/>
      <c r="AQ382" s="1146"/>
      <c r="AR382" s="1146"/>
      <c r="AS382" s="1146"/>
      <c r="AT382" s="1146"/>
      <c r="AU382" s="1146"/>
      <c r="AV382" s="1146"/>
      <c r="AW382" s="1146"/>
      <c r="AX382" s="1146"/>
      <c r="AY382" s="1146"/>
      <c r="AZ382" s="1146"/>
      <c r="BA382" s="1221"/>
      <c r="BB382" s="1146"/>
      <c r="BC382" s="1221"/>
      <c r="BD382" s="1146"/>
      <c r="BE382" s="1146"/>
      <c r="BF382" s="1146"/>
      <c r="BG382" s="1146"/>
      <c r="BH382" s="1146"/>
      <c r="BI382" s="1146"/>
      <c r="BJ382" s="1146"/>
      <c r="BK382" s="1146"/>
      <c r="BL382" s="1146"/>
      <c r="BM382" s="1146"/>
      <c r="BN382" s="1146"/>
      <c r="BO382" s="1146"/>
      <c r="BP382" s="1146"/>
      <c r="BQ382" s="1146"/>
      <c r="BR382" s="1146"/>
      <c r="BS382" s="1146"/>
      <c r="BT382" s="1146"/>
      <c r="BU382" s="1146"/>
      <c r="BV382" s="1146"/>
      <c r="BW382" s="1146"/>
      <c r="BX382" s="1146"/>
      <c r="BY382" s="1146"/>
      <c r="BZ382" s="1146"/>
      <c r="CA382" s="1146"/>
      <c r="CB382" s="1146"/>
      <c r="CC382" s="1146"/>
      <c r="CD382" s="1146"/>
      <c r="CE382" s="1146"/>
      <c r="CF382" s="1146"/>
      <c r="CG382" s="1146"/>
      <c r="CH382" s="1146"/>
      <c r="CI382" s="1146"/>
      <c r="CJ382" s="1146"/>
      <c r="CK382" s="1146"/>
      <c r="CL382" s="174"/>
      <c r="CM382" s="174"/>
      <c r="CN382" s="174"/>
      <c r="CO382" s="174"/>
      <c r="CP382" s="174"/>
      <c r="CQ382" s="174"/>
      <c r="CR382" s="174"/>
      <c r="CS382" s="174"/>
      <c r="CT382" s="174"/>
      <c r="CU382" s="705"/>
      <c r="CV382" s="31"/>
      <c r="CW382" s="30"/>
      <c r="CX382" s="30"/>
      <c r="CY382" s="30"/>
      <c r="CZ382" s="30"/>
      <c r="DA382" s="30"/>
      <c r="DB382" s="30"/>
      <c r="DC382" s="30"/>
      <c r="DD382" s="30"/>
      <c r="DE382" s="30"/>
      <c r="DF382" s="30"/>
      <c r="DG382" s="30"/>
      <c r="DH382" s="30"/>
      <c r="DI382" s="30"/>
      <c r="DJ382" s="30"/>
      <c r="DK382" s="30"/>
      <c r="DL382" s="1260"/>
      <c r="DM382" s="1260"/>
      <c r="DN382" s="1260"/>
      <c r="DO382" s="1260"/>
      <c r="DP382" s="1260"/>
      <c r="DQ382" s="1260"/>
      <c r="DR382" s="1260"/>
      <c r="DS382" s="411"/>
      <c r="DT382" s="411"/>
      <c r="DU382" s="411"/>
      <c r="DV382" s="411"/>
      <c r="DY382" s="411"/>
      <c r="DZ382" s="411"/>
    </row>
    <row r="383" spans="1:130" s="656" customFormat="1" ht="12">
      <c r="A383" s="761" t="s">
        <v>329</v>
      </c>
      <c r="B383" s="761"/>
      <c r="C383" s="761">
        <v>2.8</v>
      </c>
      <c r="D383" s="761">
        <v>0</v>
      </c>
      <c r="E383" s="761">
        <v>0</v>
      </c>
      <c r="F383" s="761">
        <v>4.4000000000000004</v>
      </c>
      <c r="G383" s="761">
        <v>0.89999999999999991</v>
      </c>
      <c r="H383" s="761">
        <v>2.6</v>
      </c>
      <c r="I383" s="761">
        <v>3.2</v>
      </c>
      <c r="J383" s="761">
        <v>10.7</v>
      </c>
      <c r="K383" s="761">
        <v>3.1</v>
      </c>
      <c r="L383" s="761">
        <v>4.8</v>
      </c>
      <c r="M383" s="761">
        <v>4.4000000000000004</v>
      </c>
      <c r="N383" s="761">
        <v>5.0999999999999996</v>
      </c>
      <c r="O383" s="761">
        <v>0.7</v>
      </c>
      <c r="P383" s="761">
        <v>3.4</v>
      </c>
      <c r="Q383" s="761">
        <v>1.5</v>
      </c>
      <c r="R383" s="761">
        <v>5.7</v>
      </c>
      <c r="S383" s="761">
        <v>1.1000000000000001</v>
      </c>
      <c r="T383" s="761">
        <v>6.5</v>
      </c>
      <c r="U383" s="761">
        <v>9.6999999999999993</v>
      </c>
      <c r="V383" s="761">
        <v>7.1</v>
      </c>
      <c r="W383" s="761">
        <v>0.6</v>
      </c>
      <c r="X383" s="761">
        <v>2.2999999999999998</v>
      </c>
      <c r="Y383" s="761">
        <v>2.2000000000000002</v>
      </c>
      <c r="Z383" s="761">
        <v>4.4000000000000004</v>
      </c>
      <c r="AA383" s="761">
        <v>1.5</v>
      </c>
      <c r="AB383" s="761">
        <v>1.1000000000000001</v>
      </c>
      <c r="AC383" s="761">
        <v>5.4</v>
      </c>
      <c r="AD383" s="761">
        <v>15.2</v>
      </c>
      <c r="AE383" s="761">
        <v>2.9</v>
      </c>
      <c r="AF383" s="761">
        <v>7.3</v>
      </c>
      <c r="AG383" s="761">
        <v>7.4</v>
      </c>
      <c r="AH383" s="761">
        <v>21.4</v>
      </c>
      <c r="AI383" s="762">
        <v>22</v>
      </c>
      <c r="AJ383" s="762">
        <v>12.7</v>
      </c>
      <c r="AK383" s="762">
        <v>15.3</v>
      </c>
      <c r="AL383" s="762">
        <v>25.7</v>
      </c>
      <c r="AM383" s="763">
        <v>10.3</v>
      </c>
      <c r="AN383" s="763">
        <v>15.3</v>
      </c>
      <c r="AO383" s="763">
        <v>35.1</v>
      </c>
      <c r="AP383" s="763">
        <v>48.3</v>
      </c>
      <c r="AQ383" s="1284">
        <v>16.399999999999999</v>
      </c>
      <c r="AR383" s="1284">
        <v>27</v>
      </c>
      <c r="AS383" s="1284">
        <v>32.5</v>
      </c>
      <c r="AT383" s="1284">
        <v>46.3</v>
      </c>
      <c r="AU383" s="1284">
        <v>25.3</v>
      </c>
      <c r="AV383" s="1284">
        <v>44.7</v>
      </c>
      <c r="AW383" s="1284">
        <v>69.7</v>
      </c>
      <c r="AX383" s="1284">
        <v>62.4</v>
      </c>
      <c r="AY383" s="1284">
        <v>23.4</v>
      </c>
      <c r="AZ383" s="1284">
        <v>37.9</v>
      </c>
      <c r="BA383" s="1284">
        <v>24.3</v>
      </c>
      <c r="BB383" s="1284">
        <v>47.3</v>
      </c>
      <c r="BC383" s="1284">
        <v>21.426282372976203</v>
      </c>
      <c r="BD383" s="1284">
        <v>27.674611707707154</v>
      </c>
      <c r="BE383" s="1284">
        <v>38.388020586304087</v>
      </c>
      <c r="BF383" s="1284">
        <v>54.481692329254543</v>
      </c>
      <c r="BG383" s="1284">
        <v>26.306164835085948</v>
      </c>
      <c r="BH383" s="1284">
        <v>47.523274228712737</v>
      </c>
      <c r="BI383" s="1284">
        <v>49.863319228280886</v>
      </c>
      <c r="BJ383" s="1284">
        <v>44.216093576335723</v>
      </c>
      <c r="BK383" s="1284">
        <v>17.395862139190477</v>
      </c>
      <c r="BL383" s="1284">
        <v>34.212610623934246</v>
      </c>
      <c r="BM383" s="1284">
        <v>21.827498432062072</v>
      </c>
      <c r="BN383" s="1284">
        <v>21.219997435329578</v>
      </c>
      <c r="BO383" s="1284">
        <v>11.717672822538178</v>
      </c>
      <c r="BP383" s="1284">
        <v>5.9</v>
      </c>
      <c r="BQ383" s="1284">
        <v>10.487063131360413</v>
      </c>
      <c r="BR383" s="1284">
        <v>17.5</v>
      </c>
      <c r="BS383" s="1284">
        <v>6.4356016300000007</v>
      </c>
      <c r="BT383" s="1284">
        <v>17.128804774199999</v>
      </c>
      <c r="BU383" s="1284">
        <v>31.291006379999999</v>
      </c>
      <c r="BV383" s="1284">
        <v>36.344887382799989</v>
      </c>
      <c r="BW383" s="1284">
        <v>9.0115116242200024</v>
      </c>
      <c r="BX383" s="1284">
        <v>31.140779977944998</v>
      </c>
      <c r="BY383" s="1284">
        <v>52.079344575771593</v>
      </c>
      <c r="BZ383" s="1284">
        <v>86.522999999999996</v>
      </c>
      <c r="CA383" s="1284">
        <v>24.301625296413366</v>
      </c>
      <c r="CB383" s="1284">
        <v>59.583570267764856</v>
      </c>
      <c r="CC383" s="1284">
        <v>85.507355201235427</v>
      </c>
      <c r="CD383" s="1284">
        <v>122.5901545229614</v>
      </c>
      <c r="CE383" s="1284">
        <v>19.767358943660057</v>
      </c>
      <c r="CF383" s="1284">
        <v>47.297196273648716</v>
      </c>
      <c r="CG383" s="1284">
        <v>64.441073029323888</v>
      </c>
      <c r="CH383" s="1284">
        <v>106.29459750666987</v>
      </c>
      <c r="CI383" s="1284">
        <v>29.7404549424005</v>
      </c>
      <c r="CJ383" s="1284">
        <v>70.09432070731232</v>
      </c>
      <c r="CK383" s="1284">
        <v>99.036677216868995</v>
      </c>
      <c r="CL383" s="764">
        <f t="shared" ref="CL383" si="2825">+CD383*1.3</f>
        <v>159.36720087984983</v>
      </c>
      <c r="CM383" s="764">
        <f t="shared" ref="CM383" si="2826">+CE383*1.3</f>
        <v>25.697566626758075</v>
      </c>
      <c r="CN383" s="764">
        <f t="shared" ref="CN383" si="2827">+CF383*1.3</f>
        <v>61.486355155743333</v>
      </c>
      <c r="CO383" s="764">
        <f t="shared" ref="CO383" si="2828">+CG383*1.3</f>
        <v>83.773394938121058</v>
      </c>
      <c r="CP383" s="764">
        <f t="shared" ref="CP383" si="2829">+CH383*1.3</f>
        <v>138.18297675867083</v>
      </c>
      <c r="CQ383" s="764"/>
      <c r="CR383" s="764"/>
      <c r="CS383" s="764"/>
      <c r="CT383" s="764">
        <v>159.36720087984983</v>
      </c>
      <c r="CU383" s="1130"/>
      <c r="CV383" s="762">
        <v>7.2</v>
      </c>
      <c r="CW383" s="762">
        <v>17.399999999999999</v>
      </c>
      <c r="CX383" s="762">
        <v>17.399999999999999</v>
      </c>
      <c r="CY383" s="762">
        <v>11.3</v>
      </c>
      <c r="CZ383" s="762">
        <v>24.4</v>
      </c>
      <c r="DA383" s="762">
        <v>9.5</v>
      </c>
      <c r="DB383" s="763">
        <v>23.2</v>
      </c>
      <c r="DC383" s="762">
        <v>39</v>
      </c>
      <c r="DD383" s="763">
        <v>75.7</v>
      </c>
      <c r="DE383" s="763">
        <v>109</v>
      </c>
      <c r="DF383" s="765">
        <f>+SUM(AQ383:AT383)</f>
        <v>122.2</v>
      </c>
      <c r="DG383" s="765">
        <f>+SUM(AU383:AX383)</f>
        <v>202.1</v>
      </c>
      <c r="DH383" s="765">
        <f>+SUM(AY383:BB383)</f>
        <v>132.89999999999998</v>
      </c>
      <c r="DI383" s="765">
        <f>+SUM(BC383:BF383)</f>
        <v>141.970606996242</v>
      </c>
      <c r="DJ383" s="765">
        <f>+SUM(BG383:BJ383)</f>
        <v>167.9088518684153</v>
      </c>
      <c r="DK383" s="765">
        <f>+SUM(BK383:BN383)</f>
        <v>94.655968630516369</v>
      </c>
      <c r="DL383" s="1261">
        <f>+SUM(BO383:BR383)</f>
        <v>45.60473595389859</v>
      </c>
      <c r="DM383" s="1261">
        <f>+SUM(BS383:BV383)</f>
        <v>91.200300166999995</v>
      </c>
      <c r="DN383" s="1261">
        <f>+SUM(BW383:BZ383)</f>
        <v>178.75463617793659</v>
      </c>
      <c r="DO383" s="1261">
        <f>+SUM(CA383:CD383)</f>
        <v>291.98270528837509</v>
      </c>
      <c r="DP383" s="1261">
        <f>+SUM(CE383:CH383)</f>
        <v>237.80022575330253</v>
      </c>
      <c r="DQ383" s="1261">
        <f>+SUM(CI383:CL383)</f>
        <v>358.23865374643162</v>
      </c>
      <c r="DR383" s="1261">
        <f>+SUM(CM383:CP383)</f>
        <v>309.14029347929329</v>
      </c>
      <c r="DS383" s="766">
        <f>+DS384*DS$30/1000</f>
        <v>335.52730263747185</v>
      </c>
      <c r="DT383" s="766">
        <f t="shared" ref="DT383:DV383" si="2830">+DT384*DT$30/1000</f>
        <v>361.34605250789025</v>
      </c>
      <c r="DU383" s="766">
        <f t="shared" si="2830"/>
        <v>388.9082177187039</v>
      </c>
      <c r="DV383" s="766">
        <f t="shared" si="2830"/>
        <v>418.32358230995197</v>
      </c>
      <c r="DY383" s="766">
        <v>390.07308793594723</v>
      </c>
      <c r="DZ383" s="766">
        <v>424.6662206716025</v>
      </c>
    </row>
    <row r="384" spans="1:130">
      <c r="A384" s="10" t="s">
        <v>330</v>
      </c>
      <c r="B384" s="8"/>
      <c r="C384" s="8"/>
      <c r="D384" s="8"/>
      <c r="E384" s="8"/>
      <c r="F384" s="8"/>
      <c r="G384" s="8">
        <v>4.5451790800557536E-3</v>
      </c>
      <c r="H384" s="8">
        <v>9.3140556264060658E-3</v>
      </c>
      <c r="I384" s="8">
        <v>1.2528727981739381E-2</v>
      </c>
      <c r="J384" s="8">
        <v>2.6494264115623938E-2</v>
      </c>
      <c r="K384" s="8">
        <v>1.2350843642303632E-2</v>
      </c>
      <c r="L384" s="8">
        <v>1.3418728631373547E-2</v>
      </c>
      <c r="M384" s="8">
        <v>1.3727564012566962E-2</v>
      </c>
      <c r="N384" s="8">
        <v>1.0061572880312657E-2</v>
      </c>
      <c r="O384" s="8">
        <v>2.2559322962490292E-3</v>
      </c>
      <c r="P384" s="8">
        <v>7.6515398723993201E-3</v>
      </c>
      <c r="Q384" s="8">
        <v>3.794029714840727E-3</v>
      </c>
      <c r="R384" s="8">
        <v>9.4728130266136176E-3</v>
      </c>
      <c r="S384" s="8">
        <v>2.869193469715663E-3</v>
      </c>
      <c r="T384" s="8">
        <v>1.2748947721468834E-2</v>
      </c>
      <c r="U384" s="8">
        <v>2.1601927693671301E-2</v>
      </c>
      <c r="V384" s="8">
        <v>1.1568077320377085E-2</v>
      </c>
      <c r="W384" s="8">
        <v>1.6544923603815259E-3</v>
      </c>
      <c r="X384" s="8">
        <v>4.1461462471968445E-3</v>
      </c>
      <c r="Y384" s="8">
        <v>4.5199597312678488E-3</v>
      </c>
      <c r="Z384" s="8">
        <v>6.1810080100244717E-3</v>
      </c>
      <c r="AA384" s="8">
        <v>3.4071859823825773E-3</v>
      </c>
      <c r="AB384" s="8">
        <v>1.7460622328326369E-3</v>
      </c>
      <c r="AC384" s="8">
        <v>9.4946724338010342E-3</v>
      </c>
      <c r="AD384" s="8">
        <v>1.8453118759173447E-2</v>
      </c>
      <c r="AE384" s="8">
        <v>5.6016240846656507E-3</v>
      </c>
      <c r="AF384" s="8">
        <v>9.7378387067083034E-3</v>
      </c>
      <c r="AG384" s="8">
        <v>1.1262015352866335E-2</v>
      </c>
      <c r="AH384" s="8">
        <v>2.2012384537842787E-2</v>
      </c>
      <c r="AI384" s="8">
        <v>3.5529773142398482E-2</v>
      </c>
      <c r="AJ384" s="8">
        <v>1.4850865735310796E-2</v>
      </c>
      <c r="AK384" s="8">
        <v>1.9047381918681376E-2</v>
      </c>
      <c r="AL384" s="8">
        <v>2.1699996284825541E-2</v>
      </c>
      <c r="AM384" s="8">
        <v>1.4173057155949039E-2</v>
      </c>
      <c r="AN384" s="8">
        <v>1.6152820461928435E-2</v>
      </c>
      <c r="AO384" s="8">
        <v>3.8702506731589842E-2</v>
      </c>
      <c r="AP384" s="8">
        <v>3.6235308945394964E-2</v>
      </c>
      <c r="AQ384" s="116">
        <f t="shared" ref="AQ384:BJ384" si="2831">+AQ383/AQ$30*1000</f>
        <v>2.0134656654995114E-2</v>
      </c>
      <c r="AR384" s="116">
        <f t="shared" si="2831"/>
        <v>2.4298099888588713E-2</v>
      </c>
      <c r="AS384" s="116">
        <f t="shared" si="2831"/>
        <v>3.1038372023061991E-2</v>
      </c>
      <c r="AT384" s="116">
        <f t="shared" si="2831"/>
        <v>2.7727755363344386E-2</v>
      </c>
      <c r="AU384" s="116">
        <f t="shared" si="2831"/>
        <v>2.502732726939989E-2</v>
      </c>
      <c r="AV384" s="116">
        <f t="shared" si="2831"/>
        <v>3.3007784520456704E-2</v>
      </c>
      <c r="AW384" s="116">
        <f t="shared" si="2831"/>
        <v>5.5833029602720359E-2</v>
      </c>
      <c r="AX384" s="116">
        <f t="shared" si="2831"/>
        <v>3.396166033332499E-2</v>
      </c>
      <c r="AY384" s="116">
        <f t="shared" si="2831"/>
        <v>2.1744221055096512E-2</v>
      </c>
      <c r="AZ384" s="116">
        <f t="shared" si="2831"/>
        <v>2.5875817921632457E-2</v>
      </c>
      <c r="BA384" s="116">
        <f t="shared" si="2831"/>
        <v>1.9279318448324288E-2</v>
      </c>
      <c r="BB384" s="116">
        <f t="shared" si="2831"/>
        <v>2.4628951566880358E-2</v>
      </c>
      <c r="BC384" s="116">
        <f t="shared" si="2831"/>
        <v>1.7353656784226738E-2</v>
      </c>
      <c r="BD384" s="116">
        <f t="shared" si="2831"/>
        <v>1.6973540965047294E-2</v>
      </c>
      <c r="BE384" s="116">
        <f t="shared" si="2831"/>
        <v>2.5379200666877402E-2</v>
      </c>
      <c r="BF384" s="116">
        <f t="shared" si="2831"/>
        <v>2.4515296759183184E-2</v>
      </c>
      <c r="BG384" s="116">
        <f t="shared" si="2831"/>
        <v>1.8805981928388126E-2</v>
      </c>
      <c r="BH384" s="116">
        <f t="shared" si="2831"/>
        <v>2.6698003702583122E-2</v>
      </c>
      <c r="BI384" s="116">
        <f t="shared" si="2831"/>
        <v>2.9134943319351646E-2</v>
      </c>
      <c r="BJ384" s="116">
        <f t="shared" si="2831"/>
        <v>1.7038156039036211E-2</v>
      </c>
      <c r="BK384" s="116">
        <f t="shared" ref="BK384:BW384" si="2832">+BK383/BK$30*1000</f>
        <v>1.054079387373032E-2</v>
      </c>
      <c r="BL384" s="116">
        <f t="shared" si="2832"/>
        <v>1.6942186352767862E-2</v>
      </c>
      <c r="BM384" s="116">
        <f t="shared" si="2832"/>
        <v>1.129832148265774E-2</v>
      </c>
      <c r="BN384" s="116">
        <f t="shared" si="2832"/>
        <v>7.3858576594449457E-3</v>
      </c>
      <c r="BO384" s="116">
        <f t="shared" si="2832"/>
        <v>7.5589111087345853E-3</v>
      </c>
      <c r="BP384" s="116">
        <f t="shared" si="2832"/>
        <v>1.0933295777153488E-2</v>
      </c>
      <c r="BQ384" s="116">
        <f>+BQ383/BQ$30*1000</f>
        <v>6.3511883387387539E-3</v>
      </c>
      <c r="BR384" s="116">
        <f t="shared" si="2832"/>
        <v>5.9940580046705704E-3</v>
      </c>
      <c r="BS384" s="116">
        <f t="shared" si="2832"/>
        <v>4.7167410183250437E-3</v>
      </c>
      <c r="BT384" s="116">
        <f t="shared" si="2832"/>
        <v>7.5834021144691047E-3</v>
      </c>
      <c r="BU384" s="116">
        <f t="shared" si="2832"/>
        <v>1.3192244565260046E-2</v>
      </c>
      <c r="BV384" s="116">
        <f t="shared" si="2832"/>
        <v>1.0207339826172661E-2</v>
      </c>
      <c r="BW384" s="116">
        <f t="shared" si="2832"/>
        <v>4.0416437555507228E-3</v>
      </c>
      <c r="BX384" s="116">
        <f t="shared" ref="BX384:CD384" si="2833">+BX383/BX$30*1000</f>
        <v>9.8058187851811154E-3</v>
      </c>
      <c r="BY384" s="116">
        <f t="shared" si="2833"/>
        <v>1.9911652238988557E-2</v>
      </c>
      <c r="BZ384" s="116">
        <f t="shared" si="2833"/>
        <v>2.4339327749247228E-2</v>
      </c>
      <c r="CA384" s="116">
        <f t="shared" si="2833"/>
        <v>1.0667970133618743E-2</v>
      </c>
      <c r="CB384" s="116">
        <f t="shared" si="2833"/>
        <v>1.9958962393030948E-2</v>
      </c>
      <c r="CC384" s="116">
        <f t="shared" si="2833"/>
        <v>3.2436994263977031E-2</v>
      </c>
      <c r="CD384" s="116">
        <f t="shared" si="2833"/>
        <v>3.2201832532021565E-2</v>
      </c>
      <c r="CE384" s="116">
        <f t="shared" ref="CE384:CH384" si="2834">+CE383/CE$30*1000</f>
        <v>8.031280652006121E-3</v>
      </c>
      <c r="CF384" s="116">
        <f t="shared" si="2834"/>
        <v>1.5356616471791248E-2</v>
      </c>
      <c r="CG384" s="116">
        <f t="shared" si="2834"/>
        <v>2.1800446363582322E-2</v>
      </c>
      <c r="CH384" s="116">
        <f t="shared" si="2834"/>
        <v>2.5461131596827013E-2</v>
      </c>
      <c r="CI384" s="116">
        <f t="shared" ref="CI384:CL384" si="2835">+CI383/CI$30*1000</f>
        <v>1.0787878492186889E-2</v>
      </c>
      <c r="CJ384" s="116">
        <f t="shared" si="2835"/>
        <v>1.9205665145883729E-2</v>
      </c>
      <c r="CK384" s="116">
        <f t="shared" si="2835"/>
        <v>3.2163652105458032E-2</v>
      </c>
      <c r="CL384" s="192">
        <f t="shared" si="2835"/>
        <v>3.6451653057399544E-2</v>
      </c>
      <c r="CM384" s="192">
        <f t="shared" ref="CM384:CP384" si="2836">+CM383/CM$30*1000</f>
        <v>8.753140376901317E-3</v>
      </c>
      <c r="CN384" s="192">
        <f t="shared" si="2836"/>
        <v>1.5964689137200033E-2</v>
      </c>
      <c r="CO384" s="192">
        <f t="shared" si="2836"/>
        <v>2.5138838659658793E-2</v>
      </c>
      <c r="CP384" s="192">
        <f t="shared" si="2836"/>
        <v>2.9145494710737293E-2</v>
      </c>
      <c r="CQ384" s="192"/>
      <c r="CR384" s="192"/>
      <c r="CS384" s="192"/>
      <c r="CT384" s="192">
        <v>3.6451653057399544E-2</v>
      </c>
      <c r="CU384" s="1131"/>
      <c r="CV384" s="13"/>
      <c r="CW384" s="13"/>
      <c r="CX384" s="13"/>
      <c r="CY384" s="13"/>
      <c r="CZ384" s="8">
        <v>1.2474303701238381E-2</v>
      </c>
      <c r="DA384" s="8">
        <v>4.4896687994956455E-3</v>
      </c>
      <c r="DB384" s="8">
        <v>9.4206158808844333E-3</v>
      </c>
      <c r="DC384" s="8">
        <v>1.3463986942004048E-2</v>
      </c>
      <c r="DD384" s="8">
        <v>2.1866226068469885E-2</v>
      </c>
      <c r="DE384" s="8">
        <v>2.7850128493849723E-2</v>
      </c>
      <c r="DF384" s="12">
        <f t="shared" ref="DF384:DM384" si="2837">+DF383/DF$30*1000</f>
        <v>2.6321389769379824E-2</v>
      </c>
      <c r="DG384" s="12">
        <f t="shared" si="2837"/>
        <v>3.7076772585276578E-2</v>
      </c>
      <c r="DH384" s="12">
        <f t="shared" si="2837"/>
        <v>2.3227127047316571E-2</v>
      </c>
      <c r="DI384" s="12">
        <f t="shared" si="2837"/>
        <v>2.1510460111008163E-2</v>
      </c>
      <c r="DJ384" s="12">
        <f t="shared" si="2837"/>
        <v>2.2431414704856125E-2</v>
      </c>
      <c r="DK384" s="12">
        <f t="shared" si="2837"/>
        <v>1.116925045314519E-2</v>
      </c>
      <c r="DL384" s="116">
        <f t="shared" si="2837"/>
        <v>6.8469709209463556E-3</v>
      </c>
      <c r="DM384" s="116">
        <f t="shared" si="2837"/>
        <v>9.5440468170426632E-3</v>
      </c>
      <c r="DN384" s="116">
        <f>+DN383/DN$30*1000</f>
        <v>1.5442104510138319E-2</v>
      </c>
      <c r="DO384" s="116">
        <f>+DO383/DO$30*1000</f>
        <v>2.4942271050420121E-2</v>
      </c>
      <c r="DP384" s="116">
        <f>+DP383/DP$30*1000</f>
        <v>1.8765874688055312E-2</v>
      </c>
      <c r="DQ384" s="116">
        <f>+DQ383/DQ$30*1000</f>
        <v>2.5851283591559557E-2</v>
      </c>
      <c r="DR384" s="116">
        <f>+DR383/DR$30*1000</f>
        <v>2.0802426200436094E-2</v>
      </c>
      <c r="DS384" s="373">
        <f>+DR384</f>
        <v>2.0802426200436094E-2</v>
      </c>
      <c r="DT384" s="373">
        <f t="shared" ref="DT384:DV384" si="2838">+DS384</f>
        <v>2.0802426200436094E-2</v>
      </c>
      <c r="DU384" s="373">
        <f t="shared" si="2838"/>
        <v>2.0802426200436094E-2</v>
      </c>
      <c r="DV384" s="373">
        <f t="shared" si="2838"/>
        <v>2.0802426200436094E-2</v>
      </c>
      <c r="DY384" s="373">
        <v>2.553226256806947E-2</v>
      </c>
      <c r="DZ384" s="373">
        <v>2.553226256806947E-2</v>
      </c>
    </row>
    <row r="385" spans="1:130" hidden="1">
      <c r="A385" s="17" t="s">
        <v>331</v>
      </c>
      <c r="B385" s="17"/>
      <c r="C385" s="27"/>
      <c r="D385" s="27"/>
      <c r="E385" s="27"/>
      <c r="F385" s="27"/>
      <c r="G385" s="27"/>
      <c r="H385" s="27"/>
      <c r="I385" s="27"/>
      <c r="J385" s="27"/>
      <c r="K385" s="27"/>
      <c r="L385" s="27"/>
      <c r="M385" s="27"/>
      <c r="N385" s="27"/>
      <c r="O385" s="27"/>
      <c r="P385" s="27"/>
      <c r="Q385" s="27"/>
      <c r="R385" s="27">
        <v>1.5</v>
      </c>
      <c r="S385" s="27">
        <v>1.5227245294963743</v>
      </c>
      <c r="T385" s="27">
        <v>1.5545459099060372</v>
      </c>
      <c r="U385" s="27">
        <v>1.5711795511420317</v>
      </c>
      <c r="V385" s="27">
        <v>1.5883054082494796</v>
      </c>
      <c r="W385" s="27">
        <v>1.6397665034767628</v>
      </c>
      <c r="X385" s="27">
        <v>1.6614114213226563</v>
      </c>
      <c r="Y385" s="27">
        <v>1.6723767367033857</v>
      </c>
      <c r="Z385" s="27">
        <v>1.6894349794177603</v>
      </c>
      <c r="AA385" s="27">
        <v>1.724237339993766</v>
      </c>
      <c r="AB385" s="27">
        <v>1.7414797133937037</v>
      </c>
      <c r="AC385" s="27">
        <v>1.750187111960672</v>
      </c>
      <c r="AD385" s="27">
        <v>1.7892162845573949</v>
      </c>
      <c r="AE385" s="27">
        <v>1.8328731619005953</v>
      </c>
      <c r="AF385" s="27">
        <v>1.8585333861672038</v>
      </c>
      <c r="AG385" s="27">
        <v>1.878233840060576</v>
      </c>
      <c r="AH385" s="27">
        <v>1.9052804073574483</v>
      </c>
      <c r="AI385" s="27">
        <v>1.928613353218354</v>
      </c>
      <c r="AJ385" s="27">
        <v>1.9495022771397974</v>
      </c>
      <c r="AK385" s="27">
        <v>1.9771181670490776</v>
      </c>
      <c r="AL385" s="27">
        <v>2.016521518539514</v>
      </c>
      <c r="AM385" s="27">
        <v>2.0556832991110836</v>
      </c>
      <c r="AN385" s="27">
        <v>2.0800314759064493</v>
      </c>
      <c r="AO385" s="27">
        <v>2.0929488302188588</v>
      </c>
      <c r="AP385" s="27">
        <v>2.1357144370447156</v>
      </c>
      <c r="AQ385" s="1285">
        <f>+AP385*(1+AQ2)</f>
        <v>2.1820594403285862</v>
      </c>
      <c r="AR385" s="1285">
        <f>+AQ385*(1+AR2)</f>
        <v>2.2069349179483324</v>
      </c>
      <c r="AS385" s="1285">
        <f>+AR385*(1+AS2)</f>
        <v>2.2298870410949951</v>
      </c>
      <c r="AT385" s="1285">
        <f>+AS385*(1+AT2)</f>
        <v>2.2671261546812813</v>
      </c>
      <c r="AU385" s="1285"/>
      <c r="AV385" s="1285"/>
      <c r="AW385" s="1285"/>
      <c r="AX385" s="1285"/>
      <c r="AY385" s="1285"/>
      <c r="AZ385" s="1285"/>
      <c r="BA385" s="1263"/>
      <c r="BB385" s="1285"/>
      <c r="BC385" s="1263"/>
      <c r="BD385" s="1285"/>
      <c r="BE385" s="1285"/>
      <c r="BF385" s="1285"/>
      <c r="BG385" s="1285"/>
      <c r="BH385" s="1285"/>
      <c r="BI385" s="1285"/>
      <c r="BJ385" s="1285"/>
      <c r="BK385" s="1285"/>
      <c r="BL385" s="1285"/>
      <c r="BM385" s="1285"/>
      <c r="BN385" s="1285"/>
      <c r="BO385" s="1285"/>
      <c r="BP385" s="1285"/>
      <c r="BQ385" s="1285"/>
      <c r="BR385" s="1285"/>
      <c r="BS385" s="1285"/>
      <c r="BT385" s="1285"/>
      <c r="BU385" s="1285"/>
      <c r="BV385" s="1285"/>
      <c r="BW385" s="1285"/>
      <c r="BX385" s="1285"/>
      <c r="BY385" s="1285"/>
      <c r="BZ385" s="1285"/>
      <c r="CA385" s="1285"/>
      <c r="CB385" s="1285"/>
      <c r="CC385" s="1285"/>
      <c r="CD385" s="1285"/>
      <c r="CE385" s="1285"/>
      <c r="CF385" s="1285"/>
      <c r="CG385" s="1285"/>
      <c r="CH385" s="1285"/>
      <c r="CI385" s="1285"/>
      <c r="CJ385" s="1285"/>
      <c r="CK385" s="1285"/>
      <c r="CL385" s="182"/>
      <c r="CM385" s="182"/>
      <c r="CN385" s="182"/>
      <c r="CO385" s="182"/>
      <c r="CP385" s="182"/>
      <c r="CQ385" s="182"/>
      <c r="CR385" s="182"/>
      <c r="CS385" s="182"/>
      <c r="CT385" s="182"/>
      <c r="CU385" s="1129"/>
      <c r="CV385" s="29"/>
      <c r="CW385" s="29"/>
      <c r="CX385" s="29"/>
      <c r="CY385" s="28">
        <v>1.5</v>
      </c>
      <c r="CZ385" s="28">
        <v>1.5883054082494796</v>
      </c>
      <c r="DA385" s="28">
        <v>1.6397665034767628</v>
      </c>
      <c r="DB385" s="27">
        <v>2.3199999999999998</v>
      </c>
      <c r="DC385" s="27">
        <v>3</v>
      </c>
      <c r="DD385" s="27">
        <v>3.028</v>
      </c>
      <c r="DE385" s="27">
        <v>2.8684210526315788</v>
      </c>
      <c r="DF385" s="26">
        <f>+DF383/DF386</f>
        <v>3.2157894736842105</v>
      </c>
      <c r="DG385" s="26">
        <f>+DG383/DG386</f>
        <v>6.0029702970297034</v>
      </c>
      <c r="DH385" s="25">
        <f t="shared" ref="DH385:DM385" si="2839">+DG385*(1+DH354)</f>
        <v>6.3791465049046456</v>
      </c>
      <c r="DI385" s="25">
        <f t="shared" si="2839"/>
        <v>6.5671622735702035</v>
      </c>
      <c r="DJ385" s="25">
        <f t="shared" si="2839"/>
        <v>6.76812946650311</v>
      </c>
      <c r="DK385" s="25">
        <f t="shared" si="2839"/>
        <v>7.0584947245284493</v>
      </c>
      <c r="DL385" s="1262">
        <f t="shared" si="2839"/>
        <v>7.3754799078602007</v>
      </c>
      <c r="DM385" s="1262">
        <f t="shared" si="2839"/>
        <v>8.1113023233463473</v>
      </c>
      <c r="DN385" s="1262">
        <f t="shared" ref="DN385:DS385" si="2840">+DM385*(1+DN354)</f>
        <v>8.5796517081307613</v>
      </c>
      <c r="DO385" s="1262">
        <f t="shared" si="2840"/>
        <v>8.985042582426642</v>
      </c>
      <c r="DP385" s="1262">
        <f t="shared" si="2840"/>
        <v>9.402178729220843</v>
      </c>
      <c r="DQ385" s="1262">
        <f t="shared" si="2840"/>
        <v>9.8511010052754386</v>
      </c>
      <c r="DR385" s="1262">
        <f t="shared" si="2840"/>
        <v>10.261021193622145</v>
      </c>
      <c r="DS385" s="187">
        <f t="shared" si="2840"/>
        <v>10.748419700319198</v>
      </c>
      <c r="DT385" s="187">
        <f t="shared" ref="DT385:DV385" si="2841">+DS385*(1+DT354)</f>
        <v>11.232098586833562</v>
      </c>
      <c r="DU385" s="187">
        <f t="shared" si="2841"/>
        <v>11.737543023241072</v>
      </c>
      <c r="DV385" s="187">
        <f t="shared" si="2841"/>
        <v>12.265732459286919</v>
      </c>
      <c r="DY385" s="187">
        <v>10.304604335104196</v>
      </c>
      <c r="DZ385" s="187">
        <v>10.794073041021647</v>
      </c>
    </row>
    <row r="386" spans="1:130" hidden="1">
      <c r="A386" s="17" t="s">
        <v>332</v>
      </c>
      <c r="B386" s="17"/>
      <c r="C386" s="23">
        <v>1.8666666666666665</v>
      </c>
      <c r="D386" s="23">
        <v>0</v>
      </c>
      <c r="E386" s="23">
        <v>0</v>
      </c>
      <c r="F386" s="23">
        <v>2.9333333333333336</v>
      </c>
      <c r="G386" s="23">
        <v>0.6</v>
      </c>
      <c r="H386" s="23">
        <v>1.7333333333333334</v>
      </c>
      <c r="I386" s="23">
        <v>2.1333333333333333</v>
      </c>
      <c r="J386" s="23">
        <v>7.1333333333333329</v>
      </c>
      <c r="K386" s="23">
        <v>2.0666666666666669</v>
      </c>
      <c r="L386" s="23">
        <v>3.1999999999999997</v>
      </c>
      <c r="M386" s="23">
        <v>2.9333333333333336</v>
      </c>
      <c r="N386" s="23">
        <v>3.4</v>
      </c>
      <c r="O386" s="23">
        <v>0.46666666666666662</v>
      </c>
      <c r="P386" s="23">
        <v>2.2666666666666666</v>
      </c>
      <c r="Q386" s="23">
        <v>1</v>
      </c>
      <c r="R386" s="23">
        <v>3.8000000000000003</v>
      </c>
      <c r="S386" s="23">
        <v>0.72238936110381957</v>
      </c>
      <c r="T386" s="23">
        <v>4.1812853249170914</v>
      </c>
      <c r="U386" s="23">
        <v>6.1737056041427172</v>
      </c>
      <c r="V386" s="23">
        <v>4.4701730304029681</v>
      </c>
      <c r="W386" s="23">
        <v>0.36590575470826636</v>
      </c>
      <c r="X386" s="23">
        <v>1.3843651069696876</v>
      </c>
      <c r="Y386" s="23">
        <v>1.3154930654779815</v>
      </c>
      <c r="Z386" s="23">
        <v>2.6044210363848377</v>
      </c>
      <c r="AA386" s="23">
        <v>0.86994984113116536</v>
      </c>
      <c r="AB386" s="23">
        <v>0.63164674933615972</v>
      </c>
      <c r="AC386" s="23">
        <v>3.0853843929581757</v>
      </c>
      <c r="AD386" s="23">
        <v>8.4953396250582855</v>
      </c>
      <c r="AE386" s="23">
        <v>1.5822153219772441</v>
      </c>
      <c r="AF386" s="23">
        <v>3.9278282834910838</v>
      </c>
      <c r="AG386" s="23">
        <v>3.9398715123572359</v>
      </c>
      <c r="AH386" s="23">
        <v>11.231942509544297</v>
      </c>
      <c r="AI386" s="23">
        <v>11.407159430524382</v>
      </c>
      <c r="AJ386" s="23">
        <v>6.5144832857711465</v>
      </c>
      <c r="AK386" s="23">
        <v>7.7385359433704561</v>
      </c>
      <c r="AL386" s="23">
        <v>12.744718944835999</v>
      </c>
      <c r="AM386" s="23">
        <v>5.0104994307507953</v>
      </c>
      <c r="AN386" s="23">
        <v>7.3556579201920345</v>
      </c>
      <c r="AO386" s="23">
        <v>16.77059634388176</v>
      </c>
      <c r="AP386" s="23">
        <v>22.615383012925118</v>
      </c>
      <c r="AQ386" s="1234">
        <f>+AQ383/AQ385</f>
        <v>7.5158355894880655</v>
      </c>
      <c r="AR386" s="1234">
        <f>+AR383/AR385</f>
        <v>12.234162312815474</v>
      </c>
      <c r="AS386" s="1234">
        <f>+AS383/AS385</f>
        <v>14.574729302898115</v>
      </c>
      <c r="AT386" s="1234">
        <f>+AT383/AT385</f>
        <v>20.422330669335416</v>
      </c>
      <c r="AU386" s="1234"/>
      <c r="AV386" s="1234"/>
      <c r="AW386" s="1234"/>
      <c r="AX386" s="1234"/>
      <c r="AY386" s="1234"/>
      <c r="AZ386" s="1234"/>
      <c r="BA386" s="115"/>
      <c r="BB386" s="1234"/>
      <c r="BC386" s="115"/>
      <c r="BD386" s="1234"/>
      <c r="BE386" s="1233"/>
      <c r="BF386" s="1233"/>
      <c r="BG386" s="1234"/>
      <c r="BH386" s="1234"/>
      <c r="BI386" s="1234"/>
      <c r="BJ386" s="1234"/>
      <c r="BK386" s="1234"/>
      <c r="BL386" s="1233"/>
      <c r="BM386" s="1233"/>
      <c r="BN386" s="1233"/>
      <c r="BO386" s="1233"/>
      <c r="BP386" s="1233"/>
      <c r="BQ386" s="1233"/>
      <c r="BR386" s="1233"/>
      <c r="BS386" s="1233"/>
      <c r="BT386" s="1233"/>
      <c r="BU386" s="1233"/>
      <c r="BV386" s="1233"/>
      <c r="BW386" s="1233"/>
      <c r="BX386" s="1233"/>
      <c r="BY386" s="1233"/>
      <c r="BZ386" s="1233"/>
      <c r="CA386" s="1233"/>
      <c r="CB386" s="1233"/>
      <c r="CC386" s="1233"/>
      <c r="CD386" s="1233"/>
      <c r="CE386" s="1233"/>
      <c r="CF386" s="1233"/>
      <c r="CG386" s="1233"/>
      <c r="CH386" s="1233"/>
      <c r="CI386" s="1233"/>
      <c r="CJ386" s="1233"/>
      <c r="CK386" s="1233"/>
      <c r="CL386" s="383"/>
      <c r="CM386" s="383"/>
      <c r="CN386" s="383"/>
      <c r="CO386" s="383"/>
      <c r="CP386" s="383"/>
      <c r="CQ386" s="383"/>
      <c r="CR386" s="383"/>
      <c r="CS386" s="383"/>
      <c r="CT386" s="383"/>
      <c r="CU386" s="1129"/>
      <c r="CV386" s="23">
        <v>4.8</v>
      </c>
      <c r="CW386" s="23">
        <v>11.6</v>
      </c>
      <c r="CX386" s="23">
        <v>11.6</v>
      </c>
      <c r="CY386" s="23">
        <v>7.5333333333333341</v>
      </c>
      <c r="CZ386" s="23">
        <v>15.844155844155843</v>
      </c>
      <c r="DA386" s="23">
        <v>5.7935077828808845</v>
      </c>
      <c r="DB386" s="21">
        <v>10</v>
      </c>
      <c r="DC386" s="22">
        <v>13</v>
      </c>
      <c r="DD386" s="21">
        <v>25</v>
      </c>
      <c r="DE386" s="21">
        <v>38</v>
      </c>
      <c r="DF386" s="20">
        <v>38</v>
      </c>
      <c r="DG386" s="19">
        <f>+AVERAGE(DD386:DF386)</f>
        <v>33.666666666666664</v>
      </c>
      <c r="DH386" s="19">
        <v>30</v>
      </c>
      <c r="DI386" s="19">
        <f t="shared" ref="DI386:DS386" si="2842">+DH386*(1+DI269)</f>
        <v>33.611245171929049</v>
      </c>
      <c r="DJ386" s="19">
        <f t="shared" si="2842"/>
        <v>35.65969371006711</v>
      </c>
      <c r="DK386" s="19">
        <f t="shared" si="2842"/>
        <v>38.438750634061662</v>
      </c>
      <c r="DL386" s="1233">
        <f t="shared" si="2842"/>
        <v>38.766870111464847</v>
      </c>
      <c r="DM386" s="1233">
        <f t="shared" si="2842"/>
        <v>40.087341098020346</v>
      </c>
      <c r="DN386" s="1233">
        <f t="shared" si="2842"/>
        <v>41.362063687912048</v>
      </c>
      <c r="DO386" s="1233">
        <f t="shared" si="2842"/>
        <v>40.998669548058174</v>
      </c>
      <c r="DP386" s="1233">
        <f t="shared" si="2842"/>
        <v>40.990588597043001</v>
      </c>
      <c r="DQ386" s="1233">
        <f t="shared" si="2842"/>
        <v>42.421613194376803</v>
      </c>
      <c r="DR386" s="1233">
        <f t="shared" si="2842"/>
        <v>43.636934918057534</v>
      </c>
      <c r="DS386" s="383">
        <f t="shared" si="2842"/>
        <v>44.852256641738279</v>
      </c>
      <c r="DT386" s="383">
        <f t="shared" ref="DT386" si="2843">+DS386*(1+DT269)</f>
        <v>46.06757836541901</v>
      </c>
      <c r="DU386" s="383">
        <f t="shared" ref="DU386" si="2844">+DT386*(1+DU269)</f>
        <v>47.282900089099755</v>
      </c>
      <c r="DV386" s="383">
        <f t="shared" ref="DV386" si="2845">+DU386*(1+DV269)</f>
        <v>48.498221812780486</v>
      </c>
      <c r="DY386" s="383">
        <v>43.796835758256343</v>
      </c>
      <c r="DZ386" s="383">
        <v>45.172058322135896</v>
      </c>
    </row>
    <row r="387" spans="1:130" hidden="1">
      <c r="A387" s="8" t="s">
        <v>320</v>
      </c>
      <c r="B387" s="8"/>
      <c r="C387" s="8">
        <v>0.3783783783783784</v>
      </c>
      <c r="D387" s="8"/>
      <c r="E387" s="8"/>
      <c r="F387" s="8">
        <v>0.27329192546583853</v>
      </c>
      <c r="G387" s="8">
        <v>0.13636363636363635</v>
      </c>
      <c r="H387" s="8">
        <v>0.25490196078431376</v>
      </c>
      <c r="I387" s="8">
        <v>0.4776119402985074</v>
      </c>
      <c r="J387" s="8">
        <v>0.33024691358024688</v>
      </c>
      <c r="K387" s="8">
        <v>0.18452380952380953</v>
      </c>
      <c r="L387" s="8">
        <v>0.14634146341463417</v>
      </c>
      <c r="M387" s="8">
        <v>0.20091324200913241</v>
      </c>
      <c r="N387" s="8">
        <v>0.10736842105263156</v>
      </c>
      <c r="O387" s="8">
        <v>6.0344827586206892E-2</v>
      </c>
      <c r="P387" s="8">
        <v>0.14049586776859505</v>
      </c>
      <c r="Q387" s="8">
        <v>8.9285714285714288E-2</v>
      </c>
      <c r="R387" s="8">
        <v>0.10196779964221825</v>
      </c>
      <c r="S387" s="8">
        <v>6.0773480662983423E-2</v>
      </c>
      <c r="T387" s="8">
        <v>0.21381578947368421</v>
      </c>
      <c r="U387" s="8">
        <v>0.26430517711171658</v>
      </c>
      <c r="V387" s="8">
        <v>0.1375968992248062</v>
      </c>
      <c r="W387" s="8">
        <v>9.375E-2</v>
      </c>
      <c r="X387" s="8">
        <v>0.10697674418604651</v>
      </c>
      <c r="Y387" s="8">
        <v>0.15492957746478875</v>
      </c>
      <c r="Z387" s="8">
        <v>0.16296296296296298</v>
      </c>
      <c r="AA387" s="8">
        <v>9.4339622641509441E-2</v>
      </c>
      <c r="AB387" s="8">
        <v>5.3398058252427189E-2</v>
      </c>
      <c r="AC387" s="8">
        <v>0.19926199261992622</v>
      </c>
      <c r="AD387" s="8">
        <v>0.15718717683557393</v>
      </c>
      <c r="AE387" s="8">
        <v>0.12083333333333333</v>
      </c>
      <c r="AF387" s="8">
        <v>0.11353032659409021</v>
      </c>
      <c r="AG387" s="8">
        <v>0.13285457809694792</v>
      </c>
      <c r="AH387" s="8">
        <v>0.14023591087811271</v>
      </c>
      <c r="AI387" s="8">
        <v>0.31518624641833815</v>
      </c>
      <c r="AJ387" s="8">
        <v>0.18926974664679583</v>
      </c>
      <c r="AK387" s="8">
        <v>0.17708333333333337</v>
      </c>
      <c r="AL387" s="8">
        <v>0.1711051930758988</v>
      </c>
      <c r="AM387" s="8">
        <v>0.27989130434782611</v>
      </c>
      <c r="AN387" s="8">
        <v>0.23252279635258355</v>
      </c>
      <c r="AO387" s="8">
        <v>0.28444084278768234</v>
      </c>
      <c r="AP387" s="8">
        <v>0.25939849624060152</v>
      </c>
      <c r="AQ387" s="116">
        <f>AQ383/AQ363</f>
        <v>0.2118863049095607</v>
      </c>
      <c r="AR387" s="116">
        <f>AR383/AR363</f>
        <v>0.23275862068965517</v>
      </c>
      <c r="AS387" s="116">
        <f>AS383/AS363</f>
        <v>0.24696048632218845</v>
      </c>
      <c r="AT387" s="116">
        <f>AT383/AT363</f>
        <v>0.26158192090395477</v>
      </c>
      <c r="AU387" s="116"/>
      <c r="AV387" s="116"/>
      <c r="AW387" s="116"/>
      <c r="AX387" s="116"/>
      <c r="AY387" s="116"/>
      <c r="AZ387" s="116"/>
      <c r="BA387" s="116"/>
      <c r="BB387" s="116"/>
      <c r="BC387" s="116"/>
      <c r="BD387" s="116"/>
      <c r="BE387" s="116"/>
      <c r="BF387" s="116"/>
      <c r="BG387" s="116"/>
      <c r="BH387" s="116"/>
      <c r="BI387" s="116"/>
      <c r="BJ387" s="116"/>
      <c r="BK387" s="116"/>
      <c r="BL387" s="116"/>
      <c r="BM387" s="116"/>
      <c r="BN387" s="116"/>
      <c r="BO387" s="116"/>
      <c r="BP387" s="116"/>
      <c r="BQ387" s="116"/>
      <c r="BR387" s="116"/>
      <c r="BS387" s="116"/>
      <c r="BT387" s="116"/>
      <c r="BU387" s="116"/>
      <c r="BV387" s="116"/>
      <c r="BW387" s="116"/>
      <c r="BX387" s="116"/>
      <c r="BY387" s="116"/>
      <c r="BZ387" s="116"/>
      <c r="CA387" s="116"/>
      <c r="CB387" s="116"/>
      <c r="CC387" s="116"/>
      <c r="CD387" s="116"/>
      <c r="CE387" s="116"/>
      <c r="CF387" s="116"/>
      <c r="CG387" s="116"/>
      <c r="CH387" s="116"/>
      <c r="CI387" s="116"/>
      <c r="CJ387" s="116"/>
      <c r="CK387" s="116"/>
      <c r="CL387" s="192"/>
      <c r="CM387" s="192"/>
      <c r="CN387" s="192"/>
      <c r="CO387" s="192"/>
      <c r="CP387" s="192"/>
      <c r="CQ387" s="192"/>
      <c r="CR387" s="192"/>
      <c r="CS387" s="192"/>
      <c r="CT387" s="192"/>
      <c r="CU387" s="694"/>
      <c r="CV387" s="8">
        <v>0.16666666666666666</v>
      </c>
      <c r="CW387" s="8">
        <v>0.31127012522361358</v>
      </c>
      <c r="CX387" s="8">
        <v>0.14621848739495796</v>
      </c>
      <c r="CY387" s="8">
        <v>0.10414746543778802</v>
      </c>
      <c r="CZ387" s="8">
        <v>0.17836257309941517</v>
      </c>
      <c r="DA387" s="8">
        <v>0.13748191027496384</v>
      </c>
      <c r="DB387" s="8">
        <v>0.14472863381160322</v>
      </c>
      <c r="DC387" s="8">
        <v>0.13149022252191503</v>
      </c>
      <c r="DD387" s="8">
        <v>0.20267737617135212</v>
      </c>
      <c r="DE387" s="8">
        <v>0.26443474041727316</v>
      </c>
      <c r="DF387" s="12">
        <f t="shared" ref="DF387:DM387" si="2846">DF383/DF363</f>
        <v>0.24342629482071715</v>
      </c>
      <c r="DG387" s="12">
        <f t="shared" si="2846"/>
        <v>0.3536926846342317</v>
      </c>
      <c r="DH387" s="12">
        <f t="shared" si="2846"/>
        <v>0.25931707317073166</v>
      </c>
      <c r="DI387" s="12">
        <f t="shared" si="2846"/>
        <v>0.25794132561422173</v>
      </c>
      <c r="DJ387" s="12">
        <f t="shared" si="2846"/>
        <v>0.27509760994316401</v>
      </c>
      <c r="DK387" s="12">
        <f t="shared" si="2846"/>
        <v>0.12600565344256487</v>
      </c>
      <c r="DL387" s="116">
        <f t="shared" si="2846"/>
        <v>8.3732440599129029E-2</v>
      </c>
      <c r="DM387" s="116">
        <f t="shared" si="2846"/>
        <v>8.3789893434977378E-2</v>
      </c>
      <c r="DN387" s="116">
        <f t="shared" ref="DN387:DS387" si="2847">DN383/DN363</f>
        <v>0.17965421342407087</v>
      </c>
      <c r="DO387" s="116">
        <f t="shared" si="2847"/>
        <v>0.3285068801144283</v>
      </c>
      <c r="DP387" s="116">
        <f t="shared" si="2847"/>
        <v>0.35904824935382673</v>
      </c>
      <c r="DQ387" s="116">
        <f t="shared" si="2847"/>
        <v>0.49029149323797466</v>
      </c>
      <c r="DR387" s="116">
        <f t="shared" ref="DR387" si="2848">DR383/DR363</f>
        <v>0.4420564247813194</v>
      </c>
      <c r="DS387" s="192">
        <f t="shared" si="2847"/>
        <v>0.44397378897899381</v>
      </c>
      <c r="DT387" s="192">
        <f t="shared" ref="DT387:DV387" si="2849">DT383/DT363</f>
        <v>0.44693773503504336</v>
      </c>
      <c r="DU387" s="192">
        <f t="shared" si="2849"/>
        <v>0.44972853658144568</v>
      </c>
      <c r="DV387" s="192">
        <f t="shared" si="2849"/>
        <v>0.45236392017470994</v>
      </c>
      <c r="DY387" s="192">
        <v>0.49639364345514042</v>
      </c>
      <c r="DZ387" s="192">
        <v>0.50108636968837617</v>
      </c>
    </row>
    <row r="388" spans="1:130" hidden="1">
      <c r="A388" s="8" t="s">
        <v>169</v>
      </c>
      <c r="B388" s="8"/>
      <c r="C388" s="8"/>
      <c r="D388" s="8"/>
      <c r="E388" s="8"/>
      <c r="F388" s="8"/>
      <c r="G388" s="8">
        <v>-0.6785714285714286</v>
      </c>
      <c r="H388" s="8"/>
      <c r="I388" s="8"/>
      <c r="J388" s="8">
        <v>1.4318181818181817</v>
      </c>
      <c r="K388" s="8">
        <v>2.4444444444444451</v>
      </c>
      <c r="L388" s="8">
        <v>0.84615384615384603</v>
      </c>
      <c r="M388" s="8">
        <v>0.375</v>
      </c>
      <c r="N388" s="8">
        <v>-0.52336448598130847</v>
      </c>
      <c r="O388" s="8">
        <v>-0.77419354838709675</v>
      </c>
      <c r="P388" s="8">
        <v>-0.29166666666666663</v>
      </c>
      <c r="Q388" s="8">
        <v>-0.65909090909090917</v>
      </c>
      <c r="R388" s="8">
        <v>0.11764705882352944</v>
      </c>
      <c r="S388" s="8">
        <v>0.57142857142857162</v>
      </c>
      <c r="T388" s="8">
        <v>0.91176470588235303</v>
      </c>
      <c r="U388" s="8">
        <v>5.4666666666666659</v>
      </c>
      <c r="V388" s="8">
        <v>0.24561403508771917</v>
      </c>
      <c r="W388" s="8">
        <v>-0.45454545454545459</v>
      </c>
      <c r="X388" s="8">
        <v>-0.64615384615384619</v>
      </c>
      <c r="Y388" s="8">
        <v>-0.77319587628865971</v>
      </c>
      <c r="Z388" s="8">
        <v>-0.38028169014084501</v>
      </c>
      <c r="AA388" s="8">
        <v>1.5</v>
      </c>
      <c r="AB388" s="8">
        <v>-0.52173913043478248</v>
      </c>
      <c r="AC388" s="8">
        <v>1.4545454545454546</v>
      </c>
      <c r="AD388" s="8">
        <v>2.4545454545454541</v>
      </c>
      <c r="AE388" s="8">
        <v>0.93333333333333335</v>
      </c>
      <c r="AF388" s="8">
        <v>5.6363636363636358</v>
      </c>
      <c r="AG388" s="8">
        <v>0.37037037037037024</v>
      </c>
      <c r="AH388" s="8">
        <v>0.40789473684210531</v>
      </c>
      <c r="AI388" s="8">
        <v>6.5862068965517242</v>
      </c>
      <c r="AJ388" s="8">
        <v>0.73972602739726012</v>
      </c>
      <c r="AK388" s="8">
        <v>1.0675675675675675</v>
      </c>
      <c r="AL388" s="8">
        <v>0.2009345794392523</v>
      </c>
      <c r="AM388" s="8">
        <v>-0.53181818181818175</v>
      </c>
      <c r="AN388" s="8">
        <v>0.20472440944881898</v>
      </c>
      <c r="AO388" s="8">
        <v>1.2941176470588234</v>
      </c>
      <c r="AP388" s="8">
        <v>0.87937743190661477</v>
      </c>
      <c r="AQ388" s="116">
        <f>AQ383/AM383-1</f>
        <v>0.5922330097087376</v>
      </c>
      <c r="AR388" s="116">
        <f>AR383/AN383-1</f>
        <v>0.76470588235294112</v>
      </c>
      <c r="AS388" s="116">
        <f>AS383/AO383-1</f>
        <v>-7.407407407407407E-2</v>
      </c>
      <c r="AT388" s="116">
        <f>AT383/AP383-1</f>
        <v>-4.1407867494824058E-2</v>
      </c>
      <c r="AU388" s="116"/>
      <c r="AV388" s="116"/>
      <c r="AW388" s="116"/>
      <c r="AX388" s="116"/>
      <c r="AY388" s="116"/>
      <c r="AZ388" s="116"/>
      <c r="BA388" s="116"/>
      <c r="BB388" s="116"/>
      <c r="BC388" s="116"/>
      <c r="BD388" s="116"/>
      <c r="BE388" s="116"/>
      <c r="BF388" s="116"/>
      <c r="BG388" s="116"/>
      <c r="BH388" s="116"/>
      <c r="BI388" s="116"/>
      <c r="BJ388" s="116"/>
      <c r="BK388" s="116"/>
      <c r="BL388" s="116"/>
      <c r="BM388" s="116"/>
      <c r="BN388" s="116"/>
      <c r="BO388" s="116"/>
      <c r="BP388" s="116"/>
      <c r="BQ388" s="116"/>
      <c r="BR388" s="116"/>
      <c r="BS388" s="116"/>
      <c r="BT388" s="116"/>
      <c r="BU388" s="116"/>
      <c r="BV388" s="116"/>
      <c r="BW388" s="116"/>
      <c r="BX388" s="116"/>
      <c r="BY388" s="116"/>
      <c r="BZ388" s="116"/>
      <c r="CA388" s="116"/>
      <c r="CB388" s="116"/>
      <c r="CC388" s="116"/>
      <c r="CD388" s="116"/>
      <c r="CE388" s="116"/>
      <c r="CF388" s="116"/>
      <c r="CG388" s="116"/>
      <c r="CH388" s="116"/>
      <c r="CI388" s="116"/>
      <c r="CJ388" s="116"/>
      <c r="CK388" s="116"/>
      <c r="CL388" s="192"/>
      <c r="CM388" s="192"/>
      <c r="CN388" s="192"/>
      <c r="CO388" s="192"/>
      <c r="CP388" s="192"/>
      <c r="CQ388" s="192"/>
      <c r="CR388" s="192"/>
      <c r="CS388" s="192"/>
      <c r="CT388" s="192"/>
      <c r="CU388" s="694"/>
      <c r="CV388" s="8"/>
      <c r="CW388" s="8">
        <v>1.4166666666666665</v>
      </c>
      <c r="CX388" s="8">
        <v>0</v>
      </c>
      <c r="CY388" s="8">
        <v>-0.35057471264367812</v>
      </c>
      <c r="CZ388" s="8">
        <v>1.1592920353982299</v>
      </c>
      <c r="DA388" s="8">
        <v>-0.61065573770491799</v>
      </c>
      <c r="DB388" s="8">
        <v>1.4421052631578948</v>
      </c>
      <c r="DC388" s="8">
        <v>0.68103448275862077</v>
      </c>
      <c r="DD388" s="8">
        <v>0.94102564102564101</v>
      </c>
      <c r="DE388" s="8">
        <v>0.439894319682959</v>
      </c>
      <c r="DF388" s="12">
        <f t="shared" ref="DF388:DM388" si="2850">DF383/DE383-1</f>
        <v>0.12110091743119278</v>
      </c>
      <c r="DG388" s="12">
        <f t="shared" si="2850"/>
        <v>0.65384615384615374</v>
      </c>
      <c r="DH388" s="12">
        <f t="shared" si="2850"/>
        <v>-0.3424047501237012</v>
      </c>
      <c r="DI388" s="12">
        <f t="shared" si="2850"/>
        <v>6.8251369422438035E-2</v>
      </c>
      <c r="DJ388" s="12">
        <f t="shared" si="2850"/>
        <v>0.18270151421455783</v>
      </c>
      <c r="DK388" s="12">
        <f t="shared" si="2850"/>
        <v>-0.43626576218450253</v>
      </c>
      <c r="DL388" s="116">
        <f t="shared" si="2850"/>
        <v>-0.51820538510451664</v>
      </c>
      <c r="DM388" s="116">
        <f t="shared" si="2850"/>
        <v>0.99979888622079827</v>
      </c>
      <c r="DN388" s="116">
        <f t="shared" ref="DN388:DS388" si="2851">DN383/DM383-1</f>
        <v>0.96002245442847056</v>
      </c>
      <c r="DO388" s="116">
        <f t="shared" si="2851"/>
        <v>0.63342731428643106</v>
      </c>
      <c r="DP388" s="116">
        <f t="shared" si="2851"/>
        <v>-0.18556742763774159</v>
      </c>
      <c r="DQ388" s="116">
        <f t="shared" si="2851"/>
        <v>0.50646893883975408</v>
      </c>
      <c r="DR388" s="116">
        <f t="shared" si="2851"/>
        <v>-0.13705489274725535</v>
      </c>
      <c r="DS388" s="192">
        <f t="shared" si="2851"/>
        <v>8.5356097910109563E-2</v>
      </c>
      <c r="DT388" s="192">
        <f t="shared" ref="DT388" si="2852">DT383/DS383-1</f>
        <v>7.6949773289581858E-2</v>
      </c>
      <c r="DU388" s="192">
        <f t="shared" ref="DU388" si="2853">DU383/DT383-1</f>
        <v>7.6276370032330121E-2</v>
      </c>
      <c r="DV388" s="192">
        <f t="shared" ref="DV388" si="2854">DV383/DU383-1</f>
        <v>7.5635749647553485E-2</v>
      </c>
      <c r="DY388" s="192">
        <v>8.8863761228983984E-2</v>
      </c>
      <c r="DZ388" s="192">
        <v>8.8683720578374592E-2</v>
      </c>
    </row>
    <row r="389" spans="1:130" hidden="1">
      <c r="A389" s="8" t="s">
        <v>170</v>
      </c>
      <c r="B389" s="8"/>
      <c r="C389" s="8"/>
      <c r="D389" s="8"/>
      <c r="E389" s="8"/>
      <c r="F389" s="8"/>
      <c r="G389" s="8">
        <v>-0.79545454545454553</v>
      </c>
      <c r="H389" s="8">
        <v>1.8888888888888893</v>
      </c>
      <c r="I389" s="8">
        <v>0.23076923076923084</v>
      </c>
      <c r="J389" s="8">
        <v>2.3437499999999996</v>
      </c>
      <c r="K389" s="8">
        <v>-0.71028037383177567</v>
      </c>
      <c r="L389" s="8">
        <v>0.54838709677419351</v>
      </c>
      <c r="M389" s="8">
        <v>-8.3333333333333259E-2</v>
      </c>
      <c r="N389" s="8">
        <v>0.15909090909090895</v>
      </c>
      <c r="O389" s="8">
        <v>-0.86274509803921573</v>
      </c>
      <c r="P389" s="8">
        <v>3.8571428571428577</v>
      </c>
      <c r="Q389" s="8">
        <v>-0.55882352941176472</v>
      </c>
      <c r="R389" s="8">
        <v>2.8000000000000003</v>
      </c>
      <c r="S389" s="8">
        <v>-0.80701754385964908</v>
      </c>
      <c r="T389" s="8">
        <v>4.9090909090909083</v>
      </c>
      <c r="U389" s="8">
        <v>0.49230769230769211</v>
      </c>
      <c r="V389" s="8">
        <v>-0.268041237113402</v>
      </c>
      <c r="W389" s="8">
        <v>-0.91549295774647887</v>
      </c>
      <c r="X389" s="8">
        <v>2.833333333333333</v>
      </c>
      <c r="Y389" s="8">
        <v>-4.3478260869565077E-2</v>
      </c>
      <c r="Z389" s="8">
        <v>1</v>
      </c>
      <c r="AA389" s="8">
        <v>-0.65909090909090917</v>
      </c>
      <c r="AB389" s="8">
        <v>-0.26666666666666661</v>
      </c>
      <c r="AC389" s="8">
        <v>3.9090909090909092</v>
      </c>
      <c r="AD389" s="8">
        <v>1.8148148148148144</v>
      </c>
      <c r="AE389" s="8">
        <v>-0.80921052631578949</v>
      </c>
      <c r="AF389" s="8">
        <v>1.5172413793103448</v>
      </c>
      <c r="AG389" s="8">
        <v>1.3698630136986356E-2</v>
      </c>
      <c r="AH389" s="8">
        <v>1.8918918918918917</v>
      </c>
      <c r="AI389" s="8">
        <v>2.8037383177570208E-2</v>
      </c>
      <c r="AJ389" s="8">
        <v>-0.42272727272727273</v>
      </c>
      <c r="AK389" s="8">
        <v>0.20472440944881898</v>
      </c>
      <c r="AL389" s="8">
        <v>0.67973856209150307</v>
      </c>
      <c r="AM389" s="8">
        <v>-0.59922178988326846</v>
      </c>
      <c r="AN389" s="8">
        <v>0.4854368932038835</v>
      </c>
      <c r="AO389" s="8">
        <v>1.2941176470588234</v>
      </c>
      <c r="AP389" s="8">
        <v>0.37606837606837584</v>
      </c>
      <c r="AQ389" s="116">
        <f>AQ383/AP383-1</f>
        <v>-0.66045548654244302</v>
      </c>
      <c r="AR389" s="116">
        <f>AR383/AQ383-1</f>
        <v>0.64634146341463428</v>
      </c>
      <c r="AS389" s="116">
        <f>AS383/AR383-1</f>
        <v>0.20370370370370372</v>
      </c>
      <c r="AT389" s="116">
        <f>AT383/AS383-1</f>
        <v>0.42461538461538462</v>
      </c>
      <c r="AU389" s="116"/>
      <c r="AV389" s="116"/>
      <c r="AW389" s="116"/>
      <c r="AX389" s="116"/>
      <c r="AY389" s="116"/>
      <c r="AZ389" s="116"/>
      <c r="BA389" s="116"/>
      <c r="BB389" s="116"/>
      <c r="BC389" s="116"/>
      <c r="BD389" s="116"/>
      <c r="BE389" s="116"/>
      <c r="BF389" s="116"/>
      <c r="BG389" s="116"/>
      <c r="BH389" s="116"/>
      <c r="BI389" s="116"/>
      <c r="BJ389" s="116"/>
      <c r="BK389" s="116"/>
      <c r="BL389" s="116"/>
      <c r="BM389" s="116"/>
      <c r="BN389" s="116"/>
      <c r="BO389" s="116"/>
      <c r="BP389" s="116"/>
      <c r="BQ389" s="116"/>
      <c r="BR389" s="116"/>
      <c r="BS389" s="116"/>
      <c r="BT389" s="116"/>
      <c r="BU389" s="116"/>
      <c r="BV389" s="116"/>
      <c r="BW389" s="116"/>
      <c r="BX389" s="116"/>
      <c r="BY389" s="116"/>
      <c r="BZ389" s="116"/>
      <c r="CA389" s="116"/>
      <c r="CB389" s="116"/>
      <c r="CC389" s="116"/>
      <c r="CD389" s="116"/>
      <c r="CE389" s="116"/>
      <c r="CF389" s="116"/>
      <c r="CG389" s="116"/>
      <c r="CH389" s="116"/>
      <c r="CI389" s="116"/>
      <c r="CJ389" s="116"/>
      <c r="CK389" s="116"/>
      <c r="CL389" s="192"/>
      <c r="CM389" s="192"/>
      <c r="CN389" s="192"/>
      <c r="CO389" s="192"/>
      <c r="CP389" s="192"/>
      <c r="CQ389" s="192"/>
      <c r="CR389" s="192"/>
      <c r="CS389" s="192"/>
      <c r="CT389" s="192"/>
      <c r="CU389" s="694"/>
      <c r="CV389" s="8"/>
      <c r="CW389" s="8"/>
      <c r="CX389" s="8"/>
      <c r="CY389" s="8"/>
      <c r="CZ389" s="8"/>
      <c r="DA389" s="8"/>
      <c r="DB389" s="7"/>
      <c r="DC389" s="7"/>
      <c r="DD389" s="7"/>
      <c r="DE389" s="7"/>
      <c r="DF389" s="14"/>
      <c r="DG389" s="14"/>
      <c r="DH389" s="14"/>
      <c r="DI389" s="14"/>
      <c r="DJ389" s="14"/>
      <c r="DK389" s="14"/>
      <c r="DL389" s="114"/>
      <c r="DM389" s="114"/>
      <c r="DN389" s="114"/>
      <c r="DO389" s="114"/>
      <c r="DP389" s="114"/>
      <c r="DQ389" s="114"/>
      <c r="DR389" s="114"/>
      <c r="DS389" s="168"/>
      <c r="DT389" s="168"/>
      <c r="DU389" s="168"/>
      <c r="DV389" s="168"/>
      <c r="DY389" s="168"/>
      <c r="DZ389" s="168"/>
    </row>
    <row r="390" spans="1:130" hidden="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116"/>
      <c r="AR390" s="116"/>
      <c r="AS390" s="116"/>
      <c r="AT390" s="116"/>
      <c r="AU390" s="116"/>
      <c r="AV390" s="116"/>
      <c r="AW390" s="116"/>
      <c r="AX390" s="116"/>
      <c r="AY390" s="116"/>
      <c r="AZ390" s="116"/>
      <c r="BA390" s="116"/>
      <c r="BB390" s="116"/>
      <c r="BC390" s="116"/>
      <c r="BD390" s="116"/>
      <c r="BE390" s="116"/>
      <c r="BF390" s="116"/>
      <c r="BG390" s="116"/>
      <c r="BH390" s="116"/>
      <c r="BI390" s="116"/>
      <c r="BJ390" s="116"/>
      <c r="BK390" s="116"/>
      <c r="BL390" s="116"/>
      <c r="BM390" s="116"/>
      <c r="BN390" s="116"/>
      <c r="BO390" s="116"/>
      <c r="BP390" s="116"/>
      <c r="BQ390" s="116"/>
      <c r="BR390" s="116"/>
      <c r="BS390" s="116"/>
      <c r="BT390" s="116"/>
      <c r="BU390" s="116"/>
      <c r="BV390" s="116"/>
      <c r="BW390" s="116"/>
      <c r="BX390" s="116"/>
      <c r="BY390" s="116"/>
      <c r="BZ390" s="116"/>
      <c r="CA390" s="116"/>
      <c r="CB390" s="116"/>
      <c r="CC390" s="116"/>
      <c r="CD390" s="116"/>
      <c r="CE390" s="116"/>
      <c r="CF390" s="116"/>
      <c r="CG390" s="116"/>
      <c r="CH390" s="116"/>
      <c r="CI390" s="116"/>
      <c r="CJ390" s="116"/>
      <c r="CK390" s="116"/>
      <c r="CL390" s="192"/>
      <c r="CM390" s="192"/>
      <c r="CN390" s="192"/>
      <c r="CO390" s="192"/>
      <c r="CP390" s="192"/>
      <c r="CQ390" s="192"/>
      <c r="CR390" s="192"/>
      <c r="CS390" s="192"/>
      <c r="CT390" s="192"/>
      <c r="CU390" s="694"/>
      <c r="CV390" s="8"/>
      <c r="CW390" s="8"/>
      <c r="CX390" s="8"/>
      <c r="CY390" s="8"/>
      <c r="CZ390" s="8"/>
      <c r="DA390" s="8"/>
      <c r="DB390" s="7"/>
      <c r="DC390" s="7"/>
      <c r="DD390" s="7"/>
      <c r="DE390" s="7"/>
      <c r="DF390" s="14"/>
      <c r="DG390" s="14"/>
      <c r="DH390" s="14"/>
      <c r="DI390" s="14"/>
      <c r="DJ390" s="14"/>
      <c r="DK390" s="14"/>
      <c r="DL390" s="114"/>
      <c r="DM390" s="114"/>
      <c r="DN390" s="114"/>
      <c r="DO390" s="114"/>
      <c r="DP390" s="114"/>
      <c r="DQ390" s="114"/>
      <c r="DR390" s="114"/>
      <c r="DS390" s="168"/>
      <c r="DT390" s="168"/>
      <c r="DU390" s="168"/>
      <c r="DV390" s="168"/>
      <c r="DY390" s="168"/>
      <c r="DZ390" s="168"/>
    </row>
    <row r="391" spans="1:130" hidden="1">
      <c r="A391" s="8" t="s">
        <v>333</v>
      </c>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116"/>
      <c r="AR391" s="116"/>
      <c r="AS391" s="116"/>
      <c r="AT391" s="116"/>
      <c r="AU391" s="116"/>
      <c r="AV391" s="116"/>
      <c r="AW391" s="116"/>
      <c r="AX391" s="116"/>
      <c r="AY391" s="116"/>
      <c r="AZ391" s="116"/>
      <c r="BA391" s="116"/>
      <c r="BB391" s="116"/>
      <c r="BC391" s="116"/>
      <c r="BD391" s="116"/>
      <c r="BE391" s="116"/>
      <c r="BF391" s="116"/>
      <c r="BG391" s="116"/>
      <c r="BH391" s="116"/>
      <c r="BI391" s="116"/>
      <c r="BJ391" s="116"/>
      <c r="BK391" s="116"/>
      <c r="BL391" s="116"/>
      <c r="BM391" s="116"/>
      <c r="BN391" s="116"/>
      <c r="BO391" s="116"/>
      <c r="BP391" s="116"/>
      <c r="BQ391" s="116"/>
      <c r="BR391" s="116"/>
      <c r="BS391" s="116"/>
      <c r="BT391" s="116"/>
      <c r="BU391" s="116"/>
      <c r="BV391" s="116"/>
      <c r="BW391" s="116"/>
      <c r="BX391" s="116"/>
      <c r="BY391" s="116"/>
      <c r="BZ391" s="116"/>
      <c r="CA391" s="116"/>
      <c r="CB391" s="116"/>
      <c r="CC391" s="116"/>
      <c r="CD391" s="116"/>
      <c r="CE391" s="116"/>
      <c r="CF391" s="116"/>
      <c r="CG391" s="116"/>
      <c r="CH391" s="116"/>
      <c r="CI391" s="116"/>
      <c r="CJ391" s="116"/>
      <c r="CK391" s="116"/>
      <c r="CL391" s="192"/>
      <c r="CM391" s="192"/>
      <c r="CN391" s="192"/>
      <c r="CO391" s="192"/>
      <c r="CP391" s="192"/>
      <c r="CQ391" s="192"/>
      <c r="CR391" s="192"/>
      <c r="CS391" s="192"/>
      <c r="CT391" s="192"/>
      <c r="CU391" s="694"/>
      <c r="CV391" s="15">
        <v>1.5</v>
      </c>
      <c r="CW391" s="15">
        <v>1.5</v>
      </c>
      <c r="CX391" s="15">
        <v>1.5</v>
      </c>
      <c r="CY391" s="15">
        <v>1.5</v>
      </c>
      <c r="CZ391" s="15">
        <v>1.54</v>
      </c>
      <c r="DA391" s="15">
        <v>1.6397665034767628</v>
      </c>
      <c r="DB391" s="15">
        <v>2.3199999999999998</v>
      </c>
      <c r="DC391" s="15">
        <v>3</v>
      </c>
      <c r="DD391" s="15">
        <v>3.028</v>
      </c>
      <c r="DE391" s="15">
        <v>2.8684210526315788</v>
      </c>
      <c r="DF391" s="16">
        <f t="shared" ref="DF391:DM391" si="2855">+DF383/DF386</f>
        <v>3.2157894736842105</v>
      </c>
      <c r="DG391" s="16">
        <f t="shared" si="2855"/>
        <v>6.0029702970297034</v>
      </c>
      <c r="DH391" s="16">
        <f t="shared" si="2855"/>
        <v>4.4299999999999988</v>
      </c>
      <c r="DI391" s="16">
        <f t="shared" si="2855"/>
        <v>4.2239020384407224</v>
      </c>
      <c r="DJ391" s="16">
        <f t="shared" si="2855"/>
        <v>4.7086453751848367</v>
      </c>
      <c r="DK391" s="16">
        <f t="shared" si="2855"/>
        <v>2.4625141834510886</v>
      </c>
      <c r="DL391" s="1263">
        <f>+DL383/DL386</f>
        <v>1.1763842637482236</v>
      </c>
      <c r="DM391" s="1263">
        <f t="shared" si="2855"/>
        <v>2.2750398921195547</v>
      </c>
      <c r="DN391" s="1263">
        <f t="shared" ref="DN391:DS391" si="2856">+DN383/DN386</f>
        <v>4.3217049692367535</v>
      </c>
      <c r="DO391" s="1263">
        <f t="shared" si="2856"/>
        <v>7.1217604987429235</v>
      </c>
      <c r="DP391" s="1263">
        <f t="shared" ref="DP391:DQ391" si="2857">+DP383/DP386</f>
        <v>5.8013371823223121</v>
      </c>
      <c r="DQ391" s="1263">
        <f t="shared" si="2857"/>
        <v>8.4447201973431305</v>
      </c>
      <c r="DR391" s="1263">
        <f t="shared" ref="DR391" si="2858">+DR383/DR386</f>
        <v>7.0843723112038974</v>
      </c>
      <c r="DS391" s="186">
        <f t="shared" si="2856"/>
        <v>7.4807228835224171</v>
      </c>
      <c r="DT391" s="186">
        <f t="shared" ref="DT391:DV391" si="2859">+DT383/DT386</f>
        <v>7.8438256433105131</v>
      </c>
      <c r="DU391" s="186">
        <f t="shared" si="2859"/>
        <v>8.2251346043886144</v>
      </c>
      <c r="DV391" s="186">
        <f t="shared" si="2859"/>
        <v>8.6255447452243157</v>
      </c>
      <c r="DY391" s="186">
        <v>8.9064216896631105</v>
      </c>
      <c r="DZ391" s="186">
        <v>9.4010819175689662</v>
      </c>
    </row>
    <row r="392" spans="1:130" hidden="1">
      <c r="A392" s="8" t="s">
        <v>169</v>
      </c>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116"/>
      <c r="AR392" s="116"/>
      <c r="AS392" s="116"/>
      <c r="AT392" s="116"/>
      <c r="AU392" s="116"/>
      <c r="AV392" s="116"/>
      <c r="AW392" s="116"/>
      <c r="AX392" s="116"/>
      <c r="AY392" s="116"/>
      <c r="AZ392" s="116"/>
      <c r="BA392" s="116"/>
      <c r="BB392" s="116"/>
      <c r="BC392" s="116"/>
      <c r="BD392" s="116"/>
      <c r="BE392" s="116"/>
      <c r="BF392" s="116"/>
      <c r="BG392" s="116"/>
      <c r="BH392" s="116"/>
      <c r="BI392" s="116"/>
      <c r="BJ392" s="116"/>
      <c r="BK392" s="116"/>
      <c r="BL392" s="116"/>
      <c r="BM392" s="116"/>
      <c r="BN392" s="116"/>
      <c r="BO392" s="116"/>
      <c r="BP392" s="116"/>
      <c r="BQ392" s="116"/>
      <c r="BR392" s="116"/>
      <c r="BS392" s="116"/>
      <c r="BT392" s="116"/>
      <c r="BU392" s="116"/>
      <c r="BV392" s="116"/>
      <c r="BW392" s="116"/>
      <c r="BX392" s="116"/>
      <c r="BY392" s="116"/>
      <c r="BZ392" s="116"/>
      <c r="CA392" s="116"/>
      <c r="CB392" s="116"/>
      <c r="CC392" s="116"/>
      <c r="CD392" s="116"/>
      <c r="CE392" s="116"/>
      <c r="CF392" s="116"/>
      <c r="CG392" s="116"/>
      <c r="CH392" s="116"/>
      <c r="CI392" s="116"/>
      <c r="CJ392" s="116"/>
      <c r="CK392" s="116"/>
      <c r="CL392" s="192"/>
      <c r="CM392" s="192"/>
      <c r="CN392" s="192"/>
      <c r="CO392" s="192"/>
      <c r="CP392" s="192"/>
      <c r="CQ392" s="192"/>
      <c r="CR392" s="192"/>
      <c r="CS392" s="192"/>
      <c r="CT392" s="192"/>
      <c r="CU392" s="694"/>
      <c r="CV392" s="8"/>
      <c r="CW392" s="8"/>
      <c r="CX392" s="8"/>
      <c r="CY392" s="8"/>
      <c r="CZ392" s="8"/>
      <c r="DA392" s="8"/>
      <c r="DB392" s="7"/>
      <c r="DC392" s="7"/>
      <c r="DD392" s="7"/>
      <c r="DE392" s="7"/>
      <c r="DF392" s="14"/>
      <c r="DG392" s="14"/>
      <c r="DH392" s="14"/>
      <c r="DI392" s="14"/>
      <c r="DJ392" s="14"/>
      <c r="DK392" s="14"/>
      <c r="DL392" s="114"/>
      <c r="DM392" s="114"/>
      <c r="DN392" s="114"/>
      <c r="DO392" s="114"/>
      <c r="DP392" s="114"/>
      <c r="DQ392" s="114"/>
      <c r="DR392" s="114"/>
      <c r="DS392" s="168"/>
      <c r="DT392" s="168"/>
      <c r="DU392" s="168"/>
      <c r="DV392" s="168"/>
      <c r="DY392" s="168"/>
      <c r="DZ392" s="168"/>
    </row>
    <row r="393" spans="1:130">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116"/>
      <c r="AR393" s="116"/>
      <c r="AS393" s="116"/>
      <c r="AT393" s="116"/>
      <c r="AU393" s="116"/>
      <c r="AV393" s="116"/>
      <c r="AW393" s="116"/>
      <c r="AX393" s="116"/>
      <c r="AY393" s="116"/>
      <c r="AZ393" s="116"/>
      <c r="BA393" s="116"/>
      <c r="BB393" s="116"/>
      <c r="BC393" s="116"/>
      <c r="BD393" s="116"/>
      <c r="BE393" s="116"/>
      <c r="BF393" s="116"/>
      <c r="BG393" s="116"/>
      <c r="BH393" s="116"/>
      <c r="BI393" s="116"/>
      <c r="BJ393" s="116"/>
      <c r="BK393" s="116"/>
      <c r="BL393" s="116"/>
      <c r="BM393" s="116"/>
      <c r="BN393" s="116"/>
      <c r="BO393" s="116"/>
      <c r="BP393" s="116"/>
      <c r="BQ393" s="116"/>
      <c r="BR393" s="116"/>
      <c r="BS393" s="116"/>
      <c r="BT393" s="116"/>
      <c r="BU393" s="116"/>
      <c r="BV393" s="116"/>
      <c r="BW393" s="116"/>
      <c r="BX393" s="116"/>
      <c r="BY393" s="116"/>
      <c r="BZ393" s="116"/>
      <c r="CA393" s="116"/>
      <c r="CB393" s="116"/>
      <c r="CC393" s="116"/>
      <c r="CD393" s="116"/>
      <c r="CE393" s="116"/>
      <c r="CF393" s="116"/>
      <c r="CG393" s="116"/>
      <c r="CH393" s="116"/>
      <c r="CI393" s="116"/>
      <c r="CJ393" s="116"/>
      <c r="CK393" s="116"/>
      <c r="CL393" s="192"/>
      <c r="CM393" s="192"/>
      <c r="CN393" s="192"/>
      <c r="CO393" s="192"/>
      <c r="CP393" s="192"/>
      <c r="CQ393" s="192"/>
      <c r="CR393" s="192"/>
      <c r="CS393" s="192"/>
      <c r="CT393" s="192"/>
      <c r="CU393" s="694"/>
      <c r="CV393" s="8"/>
      <c r="CW393" s="8"/>
      <c r="CX393" s="8"/>
      <c r="CY393" s="8"/>
      <c r="CZ393" s="8"/>
      <c r="DA393" s="8"/>
      <c r="DB393" s="7"/>
      <c r="DC393" s="7"/>
      <c r="DD393" s="7"/>
      <c r="DE393" s="7"/>
      <c r="DF393" s="14"/>
      <c r="DG393" s="14"/>
      <c r="DH393" s="14"/>
      <c r="DI393" s="14"/>
      <c r="DJ393" s="14"/>
      <c r="DK393" s="14"/>
      <c r="DL393" s="114"/>
      <c r="DM393" s="114"/>
      <c r="DN393" s="114"/>
      <c r="DO393" s="114"/>
      <c r="DP393" s="114"/>
      <c r="DQ393" s="114"/>
      <c r="DR393" s="114"/>
      <c r="DS393" s="168"/>
      <c r="DT393" s="168"/>
      <c r="DU393" s="168"/>
      <c r="DV393" s="168"/>
      <c r="DY393" s="168"/>
      <c r="DZ393" s="168"/>
    </row>
    <row r="394" spans="1:130" s="656" customFormat="1" ht="12">
      <c r="A394" s="761" t="s">
        <v>334</v>
      </c>
      <c r="B394" s="761"/>
      <c r="C394" s="761">
        <v>1.6</v>
      </c>
      <c r="D394" s="761">
        <v>0</v>
      </c>
      <c r="E394" s="761">
        <v>0</v>
      </c>
      <c r="F394" s="761">
        <v>4.7</v>
      </c>
      <c r="G394" s="761">
        <v>2</v>
      </c>
      <c r="H394" s="761">
        <v>2</v>
      </c>
      <c r="I394" s="761">
        <v>0.7</v>
      </c>
      <c r="J394" s="761">
        <v>4.0999999999999996</v>
      </c>
      <c r="K394" s="761">
        <v>3.6</v>
      </c>
      <c r="L394" s="761">
        <v>3.9</v>
      </c>
      <c r="M394" s="761">
        <v>3.2</v>
      </c>
      <c r="N394" s="761">
        <v>2.7</v>
      </c>
      <c r="O394" s="761">
        <v>1.3</v>
      </c>
      <c r="P394" s="761">
        <v>2.2000000000000002</v>
      </c>
      <c r="Q394" s="761">
        <v>3.4</v>
      </c>
      <c r="R394" s="761">
        <v>16.399999999999999</v>
      </c>
      <c r="S394" s="761">
        <v>0.6</v>
      </c>
      <c r="T394" s="761">
        <v>2</v>
      </c>
      <c r="U394" s="761">
        <v>3.5</v>
      </c>
      <c r="V394" s="761">
        <v>4.8</v>
      </c>
      <c r="W394" s="761">
        <v>0</v>
      </c>
      <c r="X394" s="761">
        <v>1.3</v>
      </c>
      <c r="Y394" s="761">
        <v>1.9</v>
      </c>
      <c r="Z394" s="761">
        <v>9</v>
      </c>
      <c r="AA394" s="761">
        <v>2.1</v>
      </c>
      <c r="AB394" s="761">
        <v>3.6</v>
      </c>
      <c r="AC394" s="761">
        <v>2.1</v>
      </c>
      <c r="AD394" s="761">
        <v>30</v>
      </c>
      <c r="AE394" s="761">
        <v>1.1000000000000001</v>
      </c>
      <c r="AF394" s="761">
        <v>4.0999999999999996</v>
      </c>
      <c r="AG394" s="761">
        <v>10.3</v>
      </c>
      <c r="AH394" s="761">
        <v>13.7</v>
      </c>
      <c r="AI394" s="761">
        <v>3.9</v>
      </c>
      <c r="AJ394" s="761">
        <v>20.3</v>
      </c>
      <c r="AK394" s="761">
        <v>15.2</v>
      </c>
      <c r="AL394" s="761">
        <v>14.4</v>
      </c>
      <c r="AM394" s="761">
        <v>2.2999999999999998</v>
      </c>
      <c r="AN394" s="761">
        <v>4.2</v>
      </c>
      <c r="AO394" s="761">
        <v>15.4</v>
      </c>
      <c r="AP394" s="761">
        <v>17.399999999999999</v>
      </c>
      <c r="AQ394" s="1286">
        <v>0.3</v>
      </c>
      <c r="AR394" s="1286">
        <v>37.1</v>
      </c>
      <c r="AS394" s="1286">
        <v>20.7</v>
      </c>
      <c r="AT394" s="1286">
        <v>24.9</v>
      </c>
      <c r="AU394" s="1286">
        <v>8.5</v>
      </c>
      <c r="AV394" s="1286">
        <v>35.200000000000003</v>
      </c>
      <c r="AW394" s="1286">
        <v>33.799999999999997</v>
      </c>
      <c r="AX394" s="1286">
        <v>38.799999999999997</v>
      </c>
      <c r="AY394" s="1286">
        <v>17.600000000000001</v>
      </c>
      <c r="AZ394" s="1286">
        <v>65.599999999999994</v>
      </c>
      <c r="BA394" s="1287">
        <v>31.3</v>
      </c>
      <c r="BB394" s="1286">
        <v>48.4</v>
      </c>
      <c r="BC394" s="1287">
        <v>14.452516736493882</v>
      </c>
      <c r="BD394" s="1286">
        <v>28.269203150016899</v>
      </c>
      <c r="BE394" s="1286">
        <v>26.656379601793429</v>
      </c>
      <c r="BF394" s="1286">
        <v>74.122910417710798</v>
      </c>
      <c r="BG394" s="1286">
        <v>34.960776890019389</v>
      </c>
      <c r="BH394" s="1286">
        <v>32.463577269271077</v>
      </c>
      <c r="BI394" s="1286">
        <v>34.479918620181401</v>
      </c>
      <c r="BJ394" s="1286">
        <v>82.116960186087766</v>
      </c>
      <c r="BK394" s="1286">
        <v>28.740068274750957</v>
      </c>
      <c r="BL394" s="1286">
        <v>64</v>
      </c>
      <c r="BM394" s="1286">
        <v>53.999188108729676</v>
      </c>
      <c r="BN394" s="1286">
        <v>100.3519846347922</v>
      </c>
      <c r="BO394" s="1286">
        <v>25.048918694539456</v>
      </c>
      <c r="BP394" s="1286">
        <v>103.5</v>
      </c>
      <c r="BQ394" s="1286">
        <v>71.100545178966172</v>
      </c>
      <c r="BR394" s="1286">
        <v>66.5</v>
      </c>
      <c r="BS394" s="1286">
        <v>20.20662802424</v>
      </c>
      <c r="BT394" s="1286">
        <v>83.754213946999997</v>
      </c>
      <c r="BU394" s="1286">
        <v>70.636558140000005</v>
      </c>
      <c r="BV394" s="1286">
        <v>174.83364681999998</v>
      </c>
      <c r="BW394" s="1286">
        <v>48.697504415031993</v>
      </c>
      <c r="BX394" s="1286">
        <v>77.556326052155981</v>
      </c>
      <c r="BY394" s="1286">
        <v>133.20542763117624</v>
      </c>
      <c r="BZ394" s="1286">
        <v>205.113</v>
      </c>
      <c r="CA394" s="1286">
        <v>36.845293970831996</v>
      </c>
      <c r="CB394" s="1286">
        <v>121.9633236734869</v>
      </c>
      <c r="CC394" s="1286">
        <v>98.355716384229424</v>
      </c>
      <c r="CD394" s="1286">
        <v>107.83139299920012</v>
      </c>
      <c r="CE394" s="1286">
        <v>31.503124370000002</v>
      </c>
      <c r="CF394" s="1286">
        <v>55.374612079625493</v>
      </c>
      <c r="CG394" s="1286">
        <v>57.357805762169441</v>
      </c>
      <c r="CH394" s="1286">
        <v>105.10125425665498</v>
      </c>
      <c r="CI394" s="1286">
        <v>24.348422559999999</v>
      </c>
      <c r="CJ394" s="1286">
        <v>77.507284161249999</v>
      </c>
      <c r="CK394" s="1286">
        <v>50.968967458745006</v>
      </c>
      <c r="CL394" s="1177">
        <f t="shared" ref="CL394:CP394" si="2860">+CL395*CL$26/1000</f>
        <v>86.900713064246972</v>
      </c>
      <c r="CM394" s="1177">
        <f t="shared" si="2860"/>
        <v>61.816209486988178</v>
      </c>
      <c r="CN394" s="1177">
        <f t="shared" si="2860"/>
        <v>78.408922217443703</v>
      </c>
      <c r="CO394" s="1177">
        <f t="shared" si="2860"/>
        <v>69.132757310810007</v>
      </c>
      <c r="CP394" s="1177">
        <f t="shared" si="2860"/>
        <v>94.503273651136695</v>
      </c>
      <c r="CQ394" s="1177"/>
      <c r="CR394" s="767"/>
      <c r="CS394" s="767"/>
      <c r="CT394" s="1177">
        <v>86.900713064246972</v>
      </c>
      <c r="CU394" s="1130"/>
      <c r="CV394" s="762">
        <v>6.3000000000000007</v>
      </c>
      <c r="CW394" s="762">
        <v>8.8000000000000007</v>
      </c>
      <c r="CX394" s="762">
        <v>13.399999999999999</v>
      </c>
      <c r="CY394" s="762">
        <v>23.299999999999997</v>
      </c>
      <c r="CZ394" s="762">
        <v>10.899999999999999</v>
      </c>
      <c r="DA394" s="762">
        <v>12.2</v>
      </c>
      <c r="DB394" s="763">
        <v>37.799999999999997</v>
      </c>
      <c r="DC394" s="762">
        <v>29.2</v>
      </c>
      <c r="DD394" s="763">
        <v>53.8</v>
      </c>
      <c r="DE394" s="763">
        <v>39.299999999999997</v>
      </c>
      <c r="DF394" s="765">
        <f>+SUM(AQ394:AT394)</f>
        <v>83</v>
      </c>
      <c r="DG394" s="765">
        <f>+SUM(AU394:AX394)</f>
        <v>116.3</v>
      </c>
      <c r="DH394" s="765">
        <f>+SUM(AY394:BB394)</f>
        <v>162.89999999999998</v>
      </c>
      <c r="DI394" s="765">
        <f>+SUM(BC394:BF394)</f>
        <v>143.50100990601501</v>
      </c>
      <c r="DJ394" s="765">
        <f>+SUM(BG394:BJ394)</f>
        <v>184.02123296555962</v>
      </c>
      <c r="DK394" s="765">
        <f>+SUM(BK394:BN394)</f>
        <v>247.09124101827285</v>
      </c>
      <c r="DL394" s="1261">
        <f>+SUM(BO394:BR394)</f>
        <v>266.14946387350562</v>
      </c>
      <c r="DM394" s="1261">
        <f>+SUM(BS394:BV394)</f>
        <v>349.43104693123996</v>
      </c>
      <c r="DN394" s="1261">
        <f>+SUM(BW394:BZ394)</f>
        <v>464.57225809836422</v>
      </c>
      <c r="DO394" s="1261">
        <f>+SUM(CA394:CD394)</f>
        <v>364.99572702774844</v>
      </c>
      <c r="DP394" s="1261">
        <f>+SUM(CE394:CH394)</f>
        <v>249.33679646844993</v>
      </c>
      <c r="DQ394" s="1261">
        <f>+SUM(CI394:CL394)</f>
        <v>239.72538724424197</v>
      </c>
      <c r="DR394" s="1261">
        <f>+SUM(CM394:CP394)</f>
        <v>303.86116266637856</v>
      </c>
      <c r="DS394" s="1178">
        <f>+DS395*DS$26/1000</f>
        <v>329.25374493863893</v>
      </c>
      <c r="DT394" s="1178">
        <f t="shared" ref="DT394:DV394" si="2861">+DT395*DT$26/1000</f>
        <v>351.72336943602841</v>
      </c>
      <c r="DU394" s="1178">
        <f t="shared" si="2861"/>
        <v>375.72697842780735</v>
      </c>
      <c r="DV394" s="1178">
        <f t="shared" si="2861"/>
        <v>401.3493403448083</v>
      </c>
      <c r="DY394" s="1178">
        <v>261.00555199244707</v>
      </c>
      <c r="DZ394" s="1178">
        <v>281.69078343854011</v>
      </c>
    </row>
    <row r="395" spans="1:130">
      <c r="A395" s="10" t="s">
        <v>335</v>
      </c>
      <c r="B395" s="8"/>
      <c r="C395" s="8"/>
      <c r="D395" s="8"/>
      <c r="E395" s="8"/>
      <c r="F395" s="8"/>
      <c r="G395" s="8">
        <v>9.514566801773516E-3</v>
      </c>
      <c r="H395" s="8">
        <v>6.7617366844500339E-3</v>
      </c>
      <c r="I395" s="8">
        <v>2.5747884075669352E-3</v>
      </c>
      <c r="J395" s="8">
        <v>9.6635436921807781E-3</v>
      </c>
      <c r="K395" s="8">
        <v>1.3495681381957775E-2</v>
      </c>
      <c r="L395" s="8">
        <v>1.0239983195925012E-2</v>
      </c>
      <c r="M395" s="8">
        <v>9.2275662005784544E-3</v>
      </c>
      <c r="N395" s="8">
        <v>5.0294408565696603E-3</v>
      </c>
      <c r="O395" s="8">
        <v>3.740415186085656E-3</v>
      </c>
      <c r="P395" s="8">
        <v>4.4818201078896339E-3</v>
      </c>
      <c r="Q395" s="8">
        <v>7.6574506995306423E-3</v>
      </c>
      <c r="R395" s="8">
        <v>2.5289128758673861E-2</v>
      </c>
      <c r="S395" s="8">
        <v>1.3895418448947076E-3</v>
      </c>
      <c r="T395" s="8">
        <v>3.531403891960229E-3</v>
      </c>
      <c r="U395" s="8">
        <v>6.8443592701957481E-3</v>
      </c>
      <c r="V395" s="8">
        <v>7.1270228495322148E-3</v>
      </c>
      <c r="W395" s="8">
        <v>0</v>
      </c>
      <c r="X395" s="8">
        <v>2.119286485147062E-3</v>
      </c>
      <c r="Y395" s="8">
        <v>3.4400908183976056E-3</v>
      </c>
      <c r="Z395" s="8">
        <v>1.1556700382269967E-2</v>
      </c>
      <c r="AA395" s="8">
        <v>4.1527007385874885E-3</v>
      </c>
      <c r="AB395" s="8">
        <v>5.1280736391374577E-3</v>
      </c>
      <c r="AC395" s="8">
        <v>3.261512751738309E-3</v>
      </c>
      <c r="AD395" s="8">
        <v>3.3342521050244954E-2</v>
      </c>
      <c r="AE395" s="8">
        <v>1.8371085914888432E-3</v>
      </c>
      <c r="AF395" s="8">
        <v>4.9018494319234733E-3</v>
      </c>
      <c r="AG395" s="8">
        <v>1.388286100156081E-2</v>
      </c>
      <c r="AH395" s="8">
        <v>1.2907067231688451E-2</v>
      </c>
      <c r="AI395" s="8">
        <v>5.4985647336156874E-3</v>
      </c>
      <c r="AJ395" s="8">
        <v>2.1246444098826315E-2</v>
      </c>
      <c r="AK395" s="8">
        <v>1.6794503777658447E-2</v>
      </c>
      <c r="AL395" s="8">
        <v>1.1139303174701404E-2</v>
      </c>
      <c r="AM395" s="8">
        <v>2.7582799366315165E-3</v>
      </c>
      <c r="AN395" s="8">
        <v>3.9607620506185394E-3</v>
      </c>
      <c r="AO395" s="8">
        <v>1.5076828187794622E-2</v>
      </c>
      <c r="AP395" s="8">
        <v>1.196129489953887E-2</v>
      </c>
      <c r="AQ395" s="116">
        <f t="shared" ref="AQ395:BF395" si="2862">+AQ394/AQ$26*1000</f>
        <v>3.1962020596326067E-4</v>
      </c>
      <c r="AR395" s="116">
        <f t="shared" si="2862"/>
        <v>2.9556383382142528E-2</v>
      </c>
      <c r="AS395" s="116">
        <f t="shared" si="2862"/>
        <v>1.7195504580068334E-2</v>
      </c>
      <c r="AT395" s="116">
        <f t="shared" si="2862"/>
        <v>1.3693364327631062E-2</v>
      </c>
      <c r="AU395" s="116">
        <f t="shared" si="2862"/>
        <v>7.2405313016686446E-3</v>
      </c>
      <c r="AV395" s="116">
        <f t="shared" si="2862"/>
        <v>2.2910685426526019E-2</v>
      </c>
      <c r="AW395" s="116">
        <f t="shared" si="2862"/>
        <v>2.3792679879347179E-2</v>
      </c>
      <c r="AX395" s="116">
        <f t="shared" si="2862"/>
        <v>1.9262800702000003E-2</v>
      </c>
      <c r="AY395" s="116">
        <f t="shared" si="2862"/>
        <v>1.4109698092545189E-2</v>
      </c>
      <c r="AZ395" s="116">
        <f t="shared" si="2862"/>
        <v>3.9815972517267741E-2</v>
      </c>
      <c r="BA395" s="116">
        <f t="shared" si="2862"/>
        <v>2.1648479868642836E-2</v>
      </c>
      <c r="BB395" s="116">
        <f t="shared" si="2862"/>
        <v>2.2929673176356666E-2</v>
      </c>
      <c r="BC395" s="116">
        <f t="shared" si="2862"/>
        <v>1.0211454576121002E-2</v>
      </c>
      <c r="BD395" s="116">
        <f t="shared" si="2862"/>
        <v>1.5438102305031478E-2</v>
      </c>
      <c r="BE395" s="116">
        <f t="shared" si="2862"/>
        <v>1.5263817378374447E-2</v>
      </c>
      <c r="BF395" s="116">
        <f t="shared" si="2862"/>
        <v>3.0236082817878727E-2</v>
      </c>
      <c r="BG395" s="116">
        <f t="shared" ref="BG395:BV395" si="2863">+BG394/BG$26*1000</f>
        <v>2.1470919949529346E-2</v>
      </c>
      <c r="BH395" s="116">
        <f t="shared" si="2863"/>
        <v>1.6070306163155072E-2</v>
      </c>
      <c r="BI395" s="116">
        <f t="shared" si="2863"/>
        <v>1.7743082147464194E-2</v>
      </c>
      <c r="BJ395" s="116">
        <f t="shared" si="2863"/>
        <v>2.8966736118182367E-2</v>
      </c>
      <c r="BK395" s="116">
        <f t="shared" si="2863"/>
        <v>1.5189371626992916E-2</v>
      </c>
      <c r="BL395" s="116">
        <f t="shared" si="2863"/>
        <v>2.7923162437761887E-2</v>
      </c>
      <c r="BM395" s="116">
        <f t="shared" si="2863"/>
        <v>2.4261065619859183E-2</v>
      </c>
      <c r="BN395" s="116">
        <f t="shared" si="2863"/>
        <v>3.1571514479285502E-2</v>
      </c>
      <c r="BO395" s="116">
        <f t="shared" si="2863"/>
        <v>1.3439984362018228E-2</v>
      </c>
      <c r="BP395" s="116">
        <f t="shared" si="2863"/>
        <v>0.1280138922902242</v>
      </c>
      <c r="BQ395" s="116">
        <f>+BQ394/BQ$26*1000</f>
        <v>3.9720109550108219E-2</v>
      </c>
      <c r="BR395" s="116">
        <f t="shared" si="2863"/>
        <v>2.1626902435677036E-2</v>
      </c>
      <c r="BS395" s="116">
        <f t="shared" si="2863"/>
        <v>1.2777731561040449E-2</v>
      </c>
      <c r="BT395" s="116">
        <f t="shared" si="2863"/>
        <v>3.3632272968281238E-2</v>
      </c>
      <c r="BU395" s="116">
        <f t="shared" si="2863"/>
        <v>2.6875487823667069E-2</v>
      </c>
      <c r="BV395" s="116">
        <f t="shared" si="2863"/>
        <v>4.5158218412056535E-2</v>
      </c>
      <c r="BW395" s="116">
        <f t="shared" ref="BW395:CK395" si="2864">+BW394/BW$26*1000</f>
        <v>1.863645508614999E-2</v>
      </c>
      <c r="BX395" s="116">
        <f t="shared" si="2864"/>
        <v>2.1386960465107348E-2</v>
      </c>
      <c r="BY395" s="116">
        <f t="shared" si="2864"/>
        <v>4.4142369789018754E-2</v>
      </c>
      <c r="BZ395" s="116">
        <f t="shared" si="2864"/>
        <v>5.1097568996030039E-2</v>
      </c>
      <c r="CA395" s="116">
        <f t="shared" si="2864"/>
        <v>1.3276186423205917E-2</v>
      </c>
      <c r="CB395" s="116">
        <f t="shared" si="2864"/>
        <v>3.4806060151396784E-2</v>
      </c>
      <c r="CC395" s="116">
        <f t="shared" si="2864"/>
        <v>3.1757399959261655E-2</v>
      </c>
      <c r="CD395" s="116">
        <f t="shared" si="2864"/>
        <v>2.5245106614118471E-2</v>
      </c>
      <c r="CE395" s="116">
        <f t="shared" si="2864"/>
        <v>1.0832333947333947E-2</v>
      </c>
      <c r="CF395" s="116">
        <f t="shared" si="2864"/>
        <v>1.5729676640925821E-2</v>
      </c>
      <c r="CG395" s="116">
        <f t="shared" si="2864"/>
        <v>1.6917166644350282E-2</v>
      </c>
      <c r="CH395" s="116">
        <f t="shared" si="2864"/>
        <v>2.2762901171128624E-2</v>
      </c>
      <c r="CI395" s="116">
        <f t="shared" si="2864"/>
        <v>7.4743989273005447E-3</v>
      </c>
      <c r="CJ395" s="116">
        <f t="shared" si="2864"/>
        <v>1.8597734063779674E-2</v>
      </c>
      <c r="CK395" s="116">
        <f t="shared" si="2864"/>
        <v>1.4303176076238287E-2</v>
      </c>
      <c r="CL395" s="373">
        <v>1.7999999999999999E-2</v>
      </c>
      <c r="CM395" s="373">
        <v>1.7999999999999999E-2</v>
      </c>
      <c r="CN395" s="373">
        <v>1.7999999999999999E-2</v>
      </c>
      <c r="CO395" s="373">
        <v>1.7999999999999999E-2</v>
      </c>
      <c r="CP395" s="373">
        <v>1.7999999999999999E-2</v>
      </c>
      <c r="CQ395" s="373"/>
      <c r="CR395" s="192"/>
      <c r="CS395" s="192"/>
      <c r="CT395" s="373">
        <v>1.7999999999999999E-2</v>
      </c>
      <c r="CU395" s="1131"/>
      <c r="CV395" s="13"/>
      <c r="CW395" s="13"/>
      <c r="CX395" s="13"/>
      <c r="CY395" s="13"/>
      <c r="CZ395" s="8">
        <v>4.9931127110449018E-3</v>
      </c>
      <c r="DA395" s="8">
        <v>5.1615567255084132E-3</v>
      </c>
      <c r="DB395" s="8">
        <v>1.3738770009355448E-2</v>
      </c>
      <c r="DC395" s="8">
        <v>9.0164030603895207E-3</v>
      </c>
      <c r="DD395" s="8">
        <v>1.3928773739756655E-2</v>
      </c>
      <c r="DE395" s="8">
        <v>8.9923489525629563E-3</v>
      </c>
      <c r="DF395" s="12">
        <f t="shared" ref="DF395:DM395" si="2865">+DF394/DF$26*1000</f>
        <v>1.5912442456390324E-2</v>
      </c>
      <c r="DG395" s="12">
        <f t="shared" si="2865"/>
        <v>1.8925346262235975E-2</v>
      </c>
      <c r="DH395" s="12">
        <f t="shared" si="2865"/>
        <v>2.5249628773106741E-2</v>
      </c>
      <c r="DI395" s="12">
        <f t="shared" si="2865"/>
        <v>1.927661613891626E-2</v>
      </c>
      <c r="DJ395" s="12">
        <f t="shared" si="2865"/>
        <v>2.1838288446654398E-2</v>
      </c>
      <c r="DK395" s="12">
        <f t="shared" si="2865"/>
        <v>2.5769710018251447E-2</v>
      </c>
      <c r="DL395" s="116">
        <f t="shared" si="2865"/>
        <v>3.5311544088572337E-2</v>
      </c>
      <c r="DM395" s="116">
        <f t="shared" si="2865"/>
        <v>3.3053889311406369E-2</v>
      </c>
      <c r="DN395" s="116">
        <f>+DN394/DN$26*1000</f>
        <v>3.5006213717661439E-2</v>
      </c>
      <c r="DO395" s="116">
        <f>+DO394/DO$26*1000</f>
        <v>2.6743828058747456E-2</v>
      </c>
      <c r="DP395" s="116">
        <f>+DP394/DP$26*1000</f>
        <v>1.7271437733599293E-2</v>
      </c>
      <c r="DQ395" s="116">
        <f>+DQ394/DQ$26*1000</f>
        <v>1.5156730446701874E-2</v>
      </c>
      <c r="DR395" s="116">
        <f>+DR394/DR$26*1000</f>
        <v>1.7999999999999999E-2</v>
      </c>
      <c r="DS395" s="373">
        <f>+DR395</f>
        <v>1.7999999999999999E-2</v>
      </c>
      <c r="DT395" s="373">
        <f t="shared" ref="DT395:DV395" si="2866">+DS395</f>
        <v>1.7999999999999999E-2</v>
      </c>
      <c r="DU395" s="373">
        <f t="shared" si="2866"/>
        <v>1.7999999999999999E-2</v>
      </c>
      <c r="DV395" s="373">
        <f t="shared" si="2866"/>
        <v>1.7999999999999999E-2</v>
      </c>
      <c r="DY395" s="373">
        <v>1.5196571849493143E-2</v>
      </c>
      <c r="DZ395" s="373">
        <v>1.5196571849493143E-2</v>
      </c>
    </row>
    <row r="396" spans="1:130">
      <c r="A396" s="8" t="s">
        <v>320</v>
      </c>
      <c r="B396" s="8"/>
      <c r="C396" s="8">
        <v>0.21621621621621626</v>
      </c>
      <c r="D396" s="8"/>
      <c r="E396" s="8"/>
      <c r="F396" s="8">
        <v>0.29192546583850931</v>
      </c>
      <c r="G396" s="8">
        <v>0.30303030303030304</v>
      </c>
      <c r="H396" s="8">
        <v>0.19607843137254904</v>
      </c>
      <c r="I396" s="8">
        <v>0.10447761194029849</v>
      </c>
      <c r="J396" s="8">
        <v>0.12654320987654322</v>
      </c>
      <c r="K396" s="8">
        <v>0.21428571428571427</v>
      </c>
      <c r="L396" s="8">
        <v>0.11890243902439025</v>
      </c>
      <c r="M396" s="8">
        <v>0.14611872146118721</v>
      </c>
      <c r="N396" s="8">
        <v>5.6842105263157888E-2</v>
      </c>
      <c r="O396" s="8">
        <v>0.11206896551724138</v>
      </c>
      <c r="P396" s="8">
        <v>9.0909090909090925E-2</v>
      </c>
      <c r="Q396" s="8">
        <v>0.20238095238095236</v>
      </c>
      <c r="R396" s="8">
        <v>0.29338103756708406</v>
      </c>
      <c r="S396" s="8">
        <v>3.3149171270718231E-2</v>
      </c>
      <c r="T396" s="8">
        <v>6.5789473684210523E-2</v>
      </c>
      <c r="U396" s="8">
        <v>9.5367847411444134E-2</v>
      </c>
      <c r="V396" s="8">
        <v>9.3023255813953501E-2</v>
      </c>
      <c r="W396" s="8">
        <v>0</v>
      </c>
      <c r="X396" s="8">
        <v>6.0465116279069767E-2</v>
      </c>
      <c r="Y396" s="8">
        <v>0.13380281690140844</v>
      </c>
      <c r="Z396" s="8">
        <v>0.33333333333333331</v>
      </c>
      <c r="AA396" s="8">
        <v>0.13207547169811323</v>
      </c>
      <c r="AB396" s="8">
        <v>0.17475728155339806</v>
      </c>
      <c r="AC396" s="8">
        <v>7.7490774907749083E-2</v>
      </c>
      <c r="AD396" s="8">
        <v>0.31023784901758011</v>
      </c>
      <c r="AE396" s="8">
        <v>4.5833333333333337E-2</v>
      </c>
      <c r="AF396" s="8">
        <v>6.376360808709175E-2</v>
      </c>
      <c r="AG396" s="8">
        <v>0.18491921005385997</v>
      </c>
      <c r="AH396" s="8">
        <v>8.9777195281782435E-2</v>
      </c>
      <c r="AI396" s="8">
        <v>5.5873925501432664E-2</v>
      </c>
      <c r="AJ396" s="8">
        <v>0.30253353204172878</v>
      </c>
      <c r="AK396" s="8">
        <v>0.17592592592592593</v>
      </c>
      <c r="AL396" s="8">
        <v>9.5872170439414123E-2</v>
      </c>
      <c r="AM396" s="8">
        <v>6.25E-2</v>
      </c>
      <c r="AN396" s="8">
        <v>6.3829787234042548E-2</v>
      </c>
      <c r="AO396" s="8">
        <v>0.12479740680713128</v>
      </c>
      <c r="AP396" s="8">
        <v>9.3447905477980667E-2</v>
      </c>
      <c r="AQ396" s="116">
        <f t="shared" ref="AQ396:BV396" si="2867">AQ394/AQ363</f>
        <v>3.8759689922480615E-3</v>
      </c>
      <c r="AR396" s="116">
        <f t="shared" si="2867"/>
        <v>0.31982758620689655</v>
      </c>
      <c r="AS396" s="116">
        <f t="shared" si="2867"/>
        <v>0.15729483282674772</v>
      </c>
      <c r="AT396" s="116">
        <f t="shared" si="2867"/>
        <v>0.14067796610169492</v>
      </c>
      <c r="AU396" s="116">
        <f t="shared" si="2867"/>
        <v>0.11904761904761907</v>
      </c>
      <c r="AV396" s="116">
        <f t="shared" si="2867"/>
        <v>0.24010914051841745</v>
      </c>
      <c r="AW396" s="116">
        <f t="shared" si="2867"/>
        <v>0.20263788968824936</v>
      </c>
      <c r="AX396" s="116">
        <f t="shared" si="2867"/>
        <v>0.20793140407288316</v>
      </c>
      <c r="AY396" s="116">
        <f t="shared" si="2867"/>
        <v>0.20091324200913244</v>
      </c>
      <c r="AZ396" s="116">
        <f t="shared" si="2867"/>
        <v>0.41545281823939206</v>
      </c>
      <c r="BA396" s="116">
        <f t="shared" si="2867"/>
        <v>0.29307116104868913</v>
      </c>
      <c r="BB396" s="116">
        <f t="shared" si="2867"/>
        <v>0.30212234706616731</v>
      </c>
      <c r="BC396" s="116">
        <f t="shared" si="2867"/>
        <v>0.21742241279945046</v>
      </c>
      <c r="BD396" s="116">
        <f t="shared" si="2867"/>
        <v>0.23805444291009667</v>
      </c>
      <c r="BE396" s="116">
        <f t="shared" si="2867"/>
        <v>0.19755417248535129</v>
      </c>
      <c r="BF396" s="116">
        <f t="shared" si="2867"/>
        <v>0.32193230697432662</v>
      </c>
      <c r="BG396" s="116">
        <f t="shared" si="2867"/>
        <v>0.37152791594069484</v>
      </c>
      <c r="BH396" s="116">
        <f t="shared" si="2867"/>
        <v>0.24195300164805292</v>
      </c>
      <c r="BI396" s="116">
        <f t="shared" si="2867"/>
        <v>0.21780032468149266</v>
      </c>
      <c r="BJ396" s="116">
        <f t="shared" si="2867"/>
        <v>0.3669569898015172</v>
      </c>
      <c r="BK396" s="116">
        <f t="shared" si="2867"/>
        <v>0.36434254043699388</v>
      </c>
      <c r="BL396" s="116">
        <f t="shared" si="2867"/>
        <v>0.38447587305339354</v>
      </c>
      <c r="BM396" s="116">
        <f t="shared" si="2867"/>
        <v>0.20984285984696485</v>
      </c>
      <c r="BN396" s="116">
        <f t="shared" si="2867"/>
        <v>0.40378183345030383</v>
      </c>
      <c r="BO396" s="116">
        <f t="shared" si="2867"/>
        <v>0.2800647280716711</v>
      </c>
      <c r="BP396" s="116">
        <f t="shared" si="2867"/>
        <v>0.73144876325088337</v>
      </c>
      <c r="BQ396" s="116">
        <f t="shared" si="2867"/>
        <v>0.3763753629365747</v>
      </c>
      <c r="BR396" s="116">
        <f t="shared" si="2867"/>
        <v>0.5328525641025641</v>
      </c>
      <c r="BS396" s="116">
        <f t="shared" si="2867"/>
        <v>7.6503281650026581E-2</v>
      </c>
      <c r="BT396" s="116">
        <f t="shared" si="2867"/>
        <v>0.32959309706076195</v>
      </c>
      <c r="BU396" s="116">
        <f t="shared" si="2867"/>
        <v>0.37859193414481801</v>
      </c>
      <c r="BV396" s="116">
        <f t="shared" si="2867"/>
        <v>0.45574489566213622</v>
      </c>
      <c r="BW396" s="116">
        <f t="shared" ref="BW396:CD396" si="2868">BW394/BW363</f>
        <v>0.42451182063161647</v>
      </c>
      <c r="BX396" s="116">
        <f t="shared" si="2868"/>
        <v>0.37286185717081483</v>
      </c>
      <c r="BY396" s="116">
        <f t="shared" si="2868"/>
        <v>0.50507193380390492</v>
      </c>
      <c r="BZ396" s="116">
        <f t="shared" si="2868"/>
        <v>0.50206319965574997</v>
      </c>
      <c r="CA396" s="116">
        <f t="shared" si="2868"/>
        <v>0.45245309636454295</v>
      </c>
      <c r="CB396" s="116">
        <f t="shared" si="2868"/>
        <v>0.51707683767202861</v>
      </c>
      <c r="CC396" s="116">
        <f t="shared" si="2868"/>
        <v>0.40298859505575135</v>
      </c>
      <c r="CD396" s="116">
        <f t="shared" si="2868"/>
        <v>0.32930988576873499</v>
      </c>
      <c r="CE396" s="116">
        <f t="shared" ref="CE396:CH396" si="2869">CE394/CE363</f>
        <v>0.45674035638756932</v>
      </c>
      <c r="CF396" s="116">
        <f t="shared" si="2869"/>
        <v>0.40381745938708447</v>
      </c>
      <c r="CG396" s="116">
        <f t="shared" si="2869"/>
        <v>0.33171598010034697</v>
      </c>
      <c r="CH396" s="116">
        <f t="shared" si="2869"/>
        <v>0.37099826475845904</v>
      </c>
      <c r="CI396" s="116">
        <f t="shared" ref="CI396:CL396" si="2870">CI394/CI363</f>
        <v>0.3953420003650055</v>
      </c>
      <c r="CJ396" s="116">
        <f t="shared" si="2870"/>
        <v>0.46729265067596493</v>
      </c>
      <c r="CK396" s="116">
        <f t="shared" si="2870"/>
        <v>0.2549441318945353</v>
      </c>
      <c r="CL396" s="192">
        <f t="shared" si="2870"/>
        <v>0.28652705616957197</v>
      </c>
      <c r="CM396" s="192">
        <f t="shared" ref="CM396:CP396" si="2871">CM394/CM363</f>
        <v>0.64680804266448555</v>
      </c>
      <c r="CN396" s="192">
        <f t="shared" si="2871"/>
        <v>0.50390097600217143</v>
      </c>
      <c r="CO396" s="192">
        <f t="shared" si="2871"/>
        <v>0.39660136991010608</v>
      </c>
      <c r="CP396" s="192">
        <f t="shared" si="2871"/>
        <v>0.34511004751421887</v>
      </c>
      <c r="CQ396" s="192"/>
      <c r="CR396" s="192"/>
      <c r="CS396" s="192"/>
      <c r="CT396" s="192">
        <v>0.28652705616957197</v>
      </c>
      <c r="CU396" s="694"/>
      <c r="CV396" s="8">
        <v>0.14583333333333334</v>
      </c>
      <c r="CW396" s="8">
        <v>0.15742397137745975</v>
      </c>
      <c r="CX396" s="8">
        <v>0.11260504201680671</v>
      </c>
      <c r="CY396" s="8">
        <v>0.21474654377880181</v>
      </c>
      <c r="CZ396" s="8">
        <v>7.9678362573099404E-2</v>
      </c>
      <c r="DA396" s="8">
        <v>0.17655571635311143</v>
      </c>
      <c r="DB396" s="8">
        <v>0.2358078602620087</v>
      </c>
      <c r="DC396" s="8">
        <v>9.8449089683074836E-2</v>
      </c>
      <c r="DD396" s="8">
        <v>0.14404283801874165</v>
      </c>
      <c r="DE396" s="8">
        <v>9.5342066957787477E-2</v>
      </c>
      <c r="DF396" s="12">
        <f t="shared" ref="DF396:DM396" si="2872">DF394/DF363</f>
        <v>0.16533864541832669</v>
      </c>
      <c r="DG396" s="12">
        <f t="shared" si="2872"/>
        <v>0.20353517675883795</v>
      </c>
      <c r="DH396" s="12">
        <f t="shared" si="2872"/>
        <v>0.31785365853658532</v>
      </c>
      <c r="DI396" s="12">
        <f t="shared" si="2872"/>
        <v>0.26072186000526765</v>
      </c>
      <c r="DJ396" s="12">
        <f t="shared" si="2872"/>
        <v>0.30149572702272931</v>
      </c>
      <c r="DK396" s="12">
        <f t="shared" si="2872"/>
        <v>0.32892688897384653</v>
      </c>
      <c r="DL396" s="116">
        <f t="shared" si="2872"/>
        <v>0.4886629361653666</v>
      </c>
      <c r="DM396" s="116">
        <f t="shared" si="2872"/>
        <v>0.32103830943130429</v>
      </c>
      <c r="DN396" s="116">
        <f t="shared" ref="DN396:DS396" si="2873">DN394/DN363</f>
        <v>0.46691020379592091</v>
      </c>
      <c r="DO396" s="116">
        <f t="shared" si="2873"/>
        <v>0.41065311530202114</v>
      </c>
      <c r="DP396" s="116">
        <f t="shared" si="2873"/>
        <v>0.37646701128182197</v>
      </c>
      <c r="DQ396" s="116">
        <f t="shared" si="2873"/>
        <v>0.32809222804366872</v>
      </c>
      <c r="DR396" s="116">
        <f t="shared" ref="DR396" si="2874">DR394/DR363</f>
        <v>0.43450751012239514</v>
      </c>
      <c r="DS396" s="192">
        <f t="shared" si="2873"/>
        <v>0.43567254147980405</v>
      </c>
      <c r="DT396" s="192">
        <f t="shared" ref="DT396:DV396" si="2875">DT394/DT363</f>
        <v>0.43503573652904309</v>
      </c>
      <c r="DU396" s="192">
        <f t="shared" si="2875"/>
        <v>0.43448591843519596</v>
      </c>
      <c r="DV396" s="192">
        <f t="shared" si="2875"/>
        <v>0.4340084294444333</v>
      </c>
      <c r="DY396" s="192">
        <v>0.33214672050594224</v>
      </c>
      <c r="DZ396" s="192">
        <v>0.33238201009881135</v>
      </c>
    </row>
    <row r="397" spans="1:130">
      <c r="A397" s="8" t="s">
        <v>169</v>
      </c>
      <c r="B397" s="8"/>
      <c r="C397" s="8"/>
      <c r="D397" s="8"/>
      <c r="E397" s="8"/>
      <c r="F397" s="8"/>
      <c r="G397" s="8">
        <v>0.25</v>
      </c>
      <c r="H397" s="8"/>
      <c r="I397" s="8"/>
      <c r="J397" s="8">
        <v>-0.12765957446808518</v>
      </c>
      <c r="K397" s="8">
        <v>0.8</v>
      </c>
      <c r="L397" s="8">
        <v>0.95</v>
      </c>
      <c r="M397" s="8">
        <v>3.5714285714285721</v>
      </c>
      <c r="N397" s="8">
        <v>-0.3414634146341462</v>
      </c>
      <c r="O397" s="8">
        <v>-0.63888888888888884</v>
      </c>
      <c r="P397" s="8">
        <v>-0.43589743589743579</v>
      </c>
      <c r="Q397" s="8">
        <v>6.25E-2</v>
      </c>
      <c r="R397" s="8">
        <v>5.0740740740740735</v>
      </c>
      <c r="S397" s="8">
        <v>-0.53846153846153855</v>
      </c>
      <c r="T397" s="8">
        <v>-9.0909090909090939E-2</v>
      </c>
      <c r="U397" s="8">
        <v>2.941176470588247E-2</v>
      </c>
      <c r="V397" s="8">
        <v>-0.70731707317073167</v>
      </c>
      <c r="W397" s="8">
        <v>-1</v>
      </c>
      <c r="X397" s="8">
        <v>-0.35</v>
      </c>
      <c r="Y397" s="8">
        <v>-0.45714285714285718</v>
      </c>
      <c r="Z397" s="8">
        <v>0.875</v>
      </c>
      <c r="AA397" s="8" t="e">
        <v>#DIV/0!</v>
      </c>
      <c r="AB397" s="8">
        <v>1.7692307692307692</v>
      </c>
      <c r="AC397" s="8">
        <v>0.10526315789473695</v>
      </c>
      <c r="AD397" s="8">
        <v>2.3333333333333335</v>
      </c>
      <c r="AE397" s="8">
        <v>-0.47619047619047616</v>
      </c>
      <c r="AF397" s="8">
        <v>0.13888888888888884</v>
      </c>
      <c r="AG397" s="8">
        <v>3.9047619047619051</v>
      </c>
      <c r="AH397" s="8">
        <v>-0.54333333333333333</v>
      </c>
      <c r="AI397" s="8">
        <v>2.545454545454545</v>
      </c>
      <c r="AJ397" s="8">
        <v>3.9512195121951228</v>
      </c>
      <c r="AK397" s="8">
        <v>0.47572815533980561</v>
      </c>
      <c r="AL397" s="8">
        <v>5.1094890510948954E-2</v>
      </c>
      <c r="AM397" s="8">
        <v>-0.41025641025641024</v>
      </c>
      <c r="AN397" s="8">
        <v>-0.7931034482758621</v>
      </c>
      <c r="AO397" s="8">
        <v>1.3157894736842257E-2</v>
      </c>
      <c r="AP397" s="8">
        <v>0.20833333333333326</v>
      </c>
      <c r="AQ397" s="116">
        <f t="shared" ref="AQ397:BG397" si="2876">AQ394/AM394-1</f>
        <v>-0.86956521739130432</v>
      </c>
      <c r="AR397" s="116">
        <f t="shared" si="2876"/>
        <v>7.8333333333333339</v>
      </c>
      <c r="AS397" s="116">
        <f t="shared" si="2876"/>
        <v>0.3441558441558441</v>
      </c>
      <c r="AT397" s="116">
        <f t="shared" si="2876"/>
        <v>0.43103448275862077</v>
      </c>
      <c r="AU397" s="116">
        <f t="shared" si="2876"/>
        <v>27.333333333333336</v>
      </c>
      <c r="AV397" s="116">
        <f t="shared" si="2876"/>
        <v>-5.121293800539084E-2</v>
      </c>
      <c r="AW397" s="116">
        <f t="shared" si="2876"/>
        <v>0.63285024154589364</v>
      </c>
      <c r="AX397" s="116">
        <f t="shared" si="2876"/>
        <v>0.55823293172690769</v>
      </c>
      <c r="AY397" s="116">
        <f t="shared" si="2876"/>
        <v>1.0705882352941178</v>
      </c>
      <c r="AZ397" s="116">
        <f t="shared" si="2876"/>
        <v>0.86363636363636331</v>
      </c>
      <c r="BA397" s="116">
        <f t="shared" si="2876"/>
        <v>-7.3964497041420052E-2</v>
      </c>
      <c r="BB397" s="116">
        <f t="shared" si="2876"/>
        <v>0.24742268041237114</v>
      </c>
      <c r="BC397" s="116">
        <f t="shared" si="2876"/>
        <v>-0.17883427633557492</v>
      </c>
      <c r="BD397" s="116">
        <f t="shared" si="2876"/>
        <v>-0.56906702515218144</v>
      </c>
      <c r="BE397" s="116">
        <f t="shared" si="2876"/>
        <v>-0.14835847917592881</v>
      </c>
      <c r="BF397" s="116">
        <f t="shared" si="2876"/>
        <v>0.53146509127501651</v>
      </c>
      <c r="BG397" s="116">
        <f t="shared" si="2876"/>
        <v>1.4190096110901114</v>
      </c>
      <c r="BH397" s="116">
        <f t="shared" ref="BH397:BX397" si="2877">BH394/BD394-1</f>
        <v>0.14837256278487176</v>
      </c>
      <c r="BI397" s="116">
        <f t="shared" si="2877"/>
        <v>0.29349593362864645</v>
      </c>
      <c r="BJ397" s="116">
        <f t="shared" si="2877"/>
        <v>0.10784856832155487</v>
      </c>
      <c r="BK397" s="116">
        <f t="shared" si="2877"/>
        <v>-0.17793393535955204</v>
      </c>
      <c r="BL397" s="116">
        <f t="shared" si="2877"/>
        <v>0.97144016105028053</v>
      </c>
      <c r="BM397" s="116">
        <f t="shared" si="2877"/>
        <v>0.56610543962025117</v>
      </c>
      <c r="BN397" s="116">
        <f t="shared" si="2877"/>
        <v>0.22206161074863817</v>
      </c>
      <c r="BO397" s="116">
        <f t="shared" si="2877"/>
        <v>-0.1284321785503304</v>
      </c>
      <c r="BP397" s="116">
        <f t="shared" si="2877"/>
        <v>0.6171875</v>
      </c>
      <c r="BQ397" s="116">
        <f t="shared" si="2877"/>
        <v>0.31669655913718886</v>
      </c>
      <c r="BR397" s="116">
        <f t="shared" si="2877"/>
        <v>-0.33733248782262415</v>
      </c>
      <c r="BS397" s="116">
        <f t="shared" si="2877"/>
        <v>-0.1933133613210638</v>
      </c>
      <c r="BT397" s="116">
        <f t="shared" si="2877"/>
        <v>-0.19078054157487923</v>
      </c>
      <c r="BU397" s="116">
        <f t="shared" si="2877"/>
        <v>-6.5257873592708959E-3</v>
      </c>
      <c r="BV397" s="116">
        <f t="shared" si="2877"/>
        <v>1.6290773957894733</v>
      </c>
      <c r="BW397" s="116">
        <f t="shared" si="2877"/>
        <v>1.4099767836877164</v>
      </c>
      <c r="BX397" s="116">
        <f t="shared" si="2877"/>
        <v>-7.4000908166436452E-2</v>
      </c>
      <c r="BY397" s="116">
        <f t="shared" ref="BY397:CD397" si="2878">BY394/BU394-1</f>
        <v>0.88578593208301837</v>
      </c>
      <c r="BZ397" s="116">
        <f t="shared" si="2878"/>
        <v>0.17318950745890538</v>
      </c>
      <c r="CA397" s="116">
        <f t="shared" si="2878"/>
        <v>-0.24338434970276313</v>
      </c>
      <c r="CB397" s="116">
        <f t="shared" si="2878"/>
        <v>0.5725773754608694</v>
      </c>
      <c r="CC397" s="116">
        <f t="shared" si="2878"/>
        <v>-0.26162380817874697</v>
      </c>
      <c r="CD397" s="116">
        <f t="shared" si="2878"/>
        <v>-0.47428299035555954</v>
      </c>
      <c r="CE397" s="116">
        <f t="shared" ref="CE397" si="2879">CE394/CA394-1</f>
        <v>-0.14498919740092286</v>
      </c>
      <c r="CF397" s="116">
        <f t="shared" ref="CF397" si="2880">CF394/CB394-1</f>
        <v>-0.54597324497427457</v>
      </c>
      <c r="CG397" s="116">
        <f t="shared" ref="CG397:CH397" si="2881">CG394/CC394-1</f>
        <v>-0.41683302332830829</v>
      </c>
      <c r="CH397" s="116">
        <f t="shared" si="2881"/>
        <v>-2.5318589203103259E-2</v>
      </c>
      <c r="CI397" s="116">
        <f t="shared" ref="CI397" si="2882">CI394/CE394-1</f>
        <v>-0.22711086449613638</v>
      </c>
      <c r="CJ397" s="116">
        <f t="shared" ref="CJ397" si="2883">CJ394/CF394-1</f>
        <v>0.39968988044194331</v>
      </c>
      <c r="CK397" s="116">
        <f t="shared" ref="CK397" si="2884">CK394/CG394-1</f>
        <v>-0.11138568183579678</v>
      </c>
      <c r="CL397" s="192">
        <f t="shared" ref="CL397" si="2885">CL394/CH394-1</f>
        <v>-0.17317149372892049</v>
      </c>
      <c r="CM397" s="192">
        <f t="shared" ref="CM397" si="2886">CM394/CI394-1</f>
        <v>1.5388178365419405</v>
      </c>
      <c r="CN397" s="192">
        <f t="shared" ref="CN397" si="2887">CN394/CJ394-1</f>
        <v>1.1632946063725891E-2</v>
      </c>
      <c r="CO397" s="192">
        <f t="shared" ref="CO397" si="2888">CO394/CK394-1</f>
        <v>0.35636958639130811</v>
      </c>
      <c r="CP397" s="192">
        <f t="shared" ref="CP397" si="2889">CP394/CL394-1</f>
        <v>8.7485594983196968E-2</v>
      </c>
      <c r="CQ397" s="192"/>
      <c r="CR397" s="192"/>
      <c r="CS397" s="192"/>
      <c r="CT397" s="192">
        <v>-0.17317149372892049</v>
      </c>
      <c r="CU397" s="694"/>
      <c r="CV397" s="8"/>
      <c r="CW397" s="8">
        <v>0.39682539682539675</v>
      </c>
      <c r="CX397" s="8">
        <v>0.52272727272727249</v>
      </c>
      <c r="CY397" s="8">
        <v>0.73880597014925375</v>
      </c>
      <c r="CZ397" s="8">
        <v>-0.53218884120171672</v>
      </c>
      <c r="DA397" s="8">
        <v>0.11926605504587173</v>
      </c>
      <c r="DB397" s="8">
        <v>2.098360655737705</v>
      </c>
      <c r="DC397" s="8">
        <v>-0.22751322751322745</v>
      </c>
      <c r="DD397" s="8">
        <v>0.84246575342465757</v>
      </c>
      <c r="DE397" s="8">
        <v>-0.26951672862453535</v>
      </c>
      <c r="DF397" s="12">
        <f t="shared" ref="DF397:DM397" si="2890">DF394/DE394-1</f>
        <v>1.111959287531807</v>
      </c>
      <c r="DG397" s="12">
        <f t="shared" si="2890"/>
        <v>0.40120481927710849</v>
      </c>
      <c r="DH397" s="12">
        <f t="shared" si="2890"/>
        <v>0.40068787618228696</v>
      </c>
      <c r="DI397" s="12">
        <f t="shared" si="2890"/>
        <v>-0.1190852676119396</v>
      </c>
      <c r="DJ397" s="12">
        <f t="shared" si="2890"/>
        <v>0.28236890518110669</v>
      </c>
      <c r="DK397" s="12">
        <f t="shared" si="2890"/>
        <v>0.34273223277727438</v>
      </c>
      <c r="DL397" s="116">
        <f t="shared" si="2890"/>
        <v>7.7130305294081047E-2</v>
      </c>
      <c r="DM397" s="116">
        <f t="shared" si="2890"/>
        <v>0.31291283418596727</v>
      </c>
      <c r="DN397" s="116">
        <f t="shared" ref="DN397:DS397" si="2891">DN394/DM394-1</f>
        <v>0.32951053484890092</v>
      </c>
      <c r="DO397" s="116">
        <f t="shared" si="2891"/>
        <v>-0.21434024381527395</v>
      </c>
      <c r="DP397" s="116">
        <f t="shared" si="2891"/>
        <v>-0.31687749196720227</v>
      </c>
      <c r="DQ397" s="116">
        <f t="shared" si="2891"/>
        <v>-3.8547897303333412E-2</v>
      </c>
      <c r="DR397" s="116">
        <f t="shared" si="2891"/>
        <v>0.26753852046880811</v>
      </c>
      <c r="DS397" s="192">
        <f t="shared" si="2891"/>
        <v>8.3566396078527116E-2</v>
      </c>
      <c r="DT397" s="192">
        <f t="shared" ref="DT397" si="2892">DT394/DS394-1</f>
        <v>6.8244096970186297E-2</v>
      </c>
      <c r="DU397" s="192">
        <f t="shared" ref="DU397" si="2893">DU394/DT394-1</f>
        <v>6.8245704089175518E-2</v>
      </c>
      <c r="DV397" s="192">
        <f t="shared" ref="DV397" si="2894">DV394/DU394-1</f>
        <v>6.8194096746034161E-2</v>
      </c>
      <c r="DY397" s="192">
        <v>7.0698049320800482E-2</v>
      </c>
      <c r="DZ397" s="192">
        <v>7.925207447959437E-2</v>
      </c>
    </row>
    <row r="398" spans="1:130">
      <c r="A398" s="8" t="s">
        <v>170</v>
      </c>
      <c r="B398" s="8"/>
      <c r="C398" s="8"/>
      <c r="D398" s="8"/>
      <c r="E398" s="8"/>
      <c r="F398" s="8"/>
      <c r="G398" s="8">
        <v>-0.57446808510638303</v>
      </c>
      <c r="H398" s="8">
        <v>0</v>
      </c>
      <c r="I398" s="8">
        <v>-0.65</v>
      </c>
      <c r="J398" s="8">
        <v>4.8571428571428568</v>
      </c>
      <c r="K398" s="8">
        <v>-0.12195121951219501</v>
      </c>
      <c r="L398" s="8">
        <v>8.3333333333333259E-2</v>
      </c>
      <c r="M398" s="8">
        <v>-0.1794871794871794</v>
      </c>
      <c r="N398" s="8">
        <v>-0.15625</v>
      </c>
      <c r="O398" s="8">
        <v>-0.5185185185185186</v>
      </c>
      <c r="P398" s="8">
        <v>0.69230769230769229</v>
      </c>
      <c r="Q398" s="8">
        <v>0.54545454545454519</v>
      </c>
      <c r="R398" s="8">
        <v>3.8235294117647056</v>
      </c>
      <c r="S398" s="8">
        <v>-0.96341463414634143</v>
      </c>
      <c r="T398" s="8">
        <v>2.3333333333333335</v>
      </c>
      <c r="U398" s="8">
        <v>0.75</v>
      </c>
      <c r="V398" s="8">
        <v>0.37142857142857144</v>
      </c>
      <c r="W398" s="8">
        <v>-1</v>
      </c>
      <c r="X398" s="8"/>
      <c r="Y398" s="8">
        <v>0.46153846153846145</v>
      </c>
      <c r="Z398" s="8">
        <v>3.7368421052631584</v>
      </c>
      <c r="AA398" s="8">
        <v>-0.76666666666666661</v>
      </c>
      <c r="AB398" s="8">
        <v>0.71428571428571419</v>
      </c>
      <c r="AC398" s="8">
        <v>-0.41666666666666663</v>
      </c>
      <c r="AD398" s="8">
        <v>13.285714285714285</v>
      </c>
      <c r="AE398" s="8">
        <v>-0.96333333333333337</v>
      </c>
      <c r="AF398" s="8">
        <v>2.7272727272727266</v>
      </c>
      <c r="AG398" s="8">
        <v>1.51219512195122</v>
      </c>
      <c r="AH398" s="8">
        <v>0.33009708737864063</v>
      </c>
      <c r="AI398" s="8">
        <v>-0.71532846715328469</v>
      </c>
      <c r="AJ398" s="8">
        <v>4.2051282051282053</v>
      </c>
      <c r="AK398" s="8">
        <v>-0.25123152709359609</v>
      </c>
      <c r="AL398" s="8">
        <v>-5.2631578947368363E-2</v>
      </c>
      <c r="AM398" s="8">
        <v>-0.84027777777777779</v>
      </c>
      <c r="AN398" s="8">
        <v>0.82608695652173925</v>
      </c>
      <c r="AO398" s="8">
        <v>2.6666666666666665</v>
      </c>
      <c r="AP398" s="8">
        <v>0.12987012987012969</v>
      </c>
      <c r="AQ398" s="116">
        <f t="shared" ref="AQ398:BG398" si="2895">AQ394/AP394-1</f>
        <v>-0.98275862068965514</v>
      </c>
      <c r="AR398" s="116">
        <f t="shared" si="2895"/>
        <v>122.66666666666667</v>
      </c>
      <c r="AS398" s="116">
        <f t="shared" si="2895"/>
        <v>-0.44204851752021568</v>
      </c>
      <c r="AT398" s="116">
        <f t="shared" si="2895"/>
        <v>0.20289855072463769</v>
      </c>
      <c r="AU398" s="116">
        <f t="shared" si="2895"/>
        <v>-0.65863453815261042</v>
      </c>
      <c r="AV398" s="116">
        <f t="shared" si="2895"/>
        <v>3.1411764705882357</v>
      </c>
      <c r="AW398" s="116">
        <f t="shared" si="2895"/>
        <v>-3.9772727272727404E-2</v>
      </c>
      <c r="AX398" s="116">
        <f t="shared" si="2895"/>
        <v>0.14792899408284033</v>
      </c>
      <c r="AY398" s="116">
        <f t="shared" si="2895"/>
        <v>-0.54639175257731953</v>
      </c>
      <c r="AZ398" s="116">
        <f t="shared" si="2895"/>
        <v>2.7272727272727266</v>
      </c>
      <c r="BA398" s="116">
        <f t="shared" si="2895"/>
        <v>-0.52286585365853655</v>
      </c>
      <c r="BB398" s="116">
        <f t="shared" si="2895"/>
        <v>0.54632587859424908</v>
      </c>
      <c r="BC398" s="116">
        <f t="shared" si="2895"/>
        <v>-0.70139428230384548</v>
      </c>
      <c r="BD398" s="116">
        <f t="shared" si="2895"/>
        <v>0.95600556397451952</v>
      </c>
      <c r="BE398" s="116">
        <f t="shared" si="2895"/>
        <v>-5.7052317310277822E-2</v>
      </c>
      <c r="BF398" s="116">
        <f t="shared" si="2895"/>
        <v>1.7806818302033727</v>
      </c>
      <c r="BG398" s="116">
        <f t="shared" si="2895"/>
        <v>-0.52834047269593021</v>
      </c>
      <c r="BH398" s="116">
        <f t="shared" ref="BH398:BX398" si="2896">BH394/BG394-1</f>
        <v>-7.1428607796791055E-2</v>
      </c>
      <c r="BI398" s="116">
        <f t="shared" si="2896"/>
        <v>6.2110879962046672E-2</v>
      </c>
      <c r="BJ398" s="116">
        <f t="shared" si="2896"/>
        <v>1.3815879930187536</v>
      </c>
      <c r="BK398" s="116">
        <f t="shared" si="2896"/>
        <v>-0.65001056773628485</v>
      </c>
      <c r="BL398" s="116">
        <f t="shared" si="2896"/>
        <v>1.2268562269292169</v>
      </c>
      <c r="BM398" s="116">
        <f t="shared" si="2896"/>
        <v>-0.15626268580109881</v>
      </c>
      <c r="BN398" s="116">
        <f t="shared" si="2896"/>
        <v>0.8583980268875373</v>
      </c>
      <c r="BO398" s="116">
        <f t="shared" si="2896"/>
        <v>-0.75038940399934106</v>
      </c>
      <c r="BP398" s="116">
        <f t="shared" si="2896"/>
        <v>3.1319148847156626</v>
      </c>
      <c r="BQ398" s="116">
        <f t="shared" si="2896"/>
        <v>-0.31303821083124472</v>
      </c>
      <c r="BR398" s="116">
        <f t="shared" si="2896"/>
        <v>-6.4704780636860137E-2</v>
      </c>
      <c r="BS398" s="116">
        <f t="shared" si="2896"/>
        <v>-0.69614093196631577</v>
      </c>
      <c r="BT398" s="116">
        <f t="shared" si="2896"/>
        <v>3.1448881944344151</v>
      </c>
      <c r="BU398" s="116">
        <f t="shared" si="2896"/>
        <v>-0.15662084555292821</v>
      </c>
      <c r="BV398" s="116">
        <f t="shared" si="2896"/>
        <v>1.4751155976977786</v>
      </c>
      <c r="BW398" s="116">
        <f t="shared" si="2896"/>
        <v>-0.72146377255878824</v>
      </c>
      <c r="BX398" s="116">
        <f t="shared" si="2896"/>
        <v>0.5926139744486747</v>
      </c>
      <c r="BY398" s="116">
        <f t="shared" ref="BY398:CD398" si="2897">BY394/BX394-1</f>
        <v>0.71753143053213608</v>
      </c>
      <c r="BZ398" s="116">
        <f t="shared" si="2897"/>
        <v>0.53982464264086838</v>
      </c>
      <c r="CA398" s="116">
        <f t="shared" si="2897"/>
        <v>-0.82036587651279058</v>
      </c>
      <c r="CB398" s="116">
        <f t="shared" si="2897"/>
        <v>2.3101465758432345</v>
      </c>
      <c r="CC398" s="116">
        <f t="shared" si="2897"/>
        <v>-0.1935631678295221</v>
      </c>
      <c r="CD398" s="116">
        <f t="shared" si="2897"/>
        <v>9.6340883512593178E-2</v>
      </c>
      <c r="CE398" s="116">
        <f t="shared" ref="CE398" si="2898">CE394/CD394-1</f>
        <v>-0.70784830378446761</v>
      </c>
      <c r="CF398" s="116">
        <f t="shared" ref="CF398" si="2899">CF394/CE394-1</f>
        <v>0.75774984821372149</v>
      </c>
      <c r="CG398" s="116">
        <f t="shared" ref="CG398:CH398" si="2900">CG394/CF394-1</f>
        <v>3.5814132290303613E-2</v>
      </c>
      <c r="CH398" s="116">
        <f t="shared" si="2900"/>
        <v>0.8323792700936079</v>
      </c>
      <c r="CI398" s="116">
        <f t="shared" ref="CI398" si="2901">CI394/CH394-1</f>
        <v>-0.76833366326398278</v>
      </c>
      <c r="CJ398" s="116">
        <f t="shared" ref="CJ398" si="2902">CJ394/CI394-1</f>
        <v>2.183256901766617</v>
      </c>
      <c r="CK398" s="116">
        <f t="shared" ref="CK398" si="2903">CK394/CJ394-1</f>
        <v>-0.34239771125631702</v>
      </c>
      <c r="CL398" s="192">
        <f t="shared" ref="CL398" si="2904">CL394/CK394-1</f>
        <v>0.70497299429472693</v>
      </c>
      <c r="CM398" s="192">
        <f t="shared" ref="CM398" si="2905">CM394/CL394-1</f>
        <v>-0.28865705116497087</v>
      </c>
      <c r="CN398" s="192">
        <f t="shared" ref="CN398" si="2906">CN394/CM394-1</f>
        <v>0.26842009350230644</v>
      </c>
      <c r="CO398" s="192">
        <f t="shared" ref="CO398" si="2907">CO394/CN394-1</f>
        <v>-0.11830496637753829</v>
      </c>
      <c r="CP398" s="192">
        <f t="shared" ref="CP398" si="2908">CP394/CO394-1</f>
        <v>0.36698256119403472</v>
      </c>
      <c r="CQ398" s="192"/>
      <c r="CR398" s="192"/>
      <c r="CS398" s="192"/>
      <c r="CT398" s="192">
        <v>0.70497299429472693</v>
      </c>
      <c r="CU398" s="694"/>
      <c r="CV398" s="8"/>
      <c r="CW398" s="8"/>
      <c r="CX398" s="8"/>
      <c r="CY398" s="8"/>
      <c r="CZ398" s="8"/>
      <c r="DA398" s="8"/>
      <c r="DB398" s="7"/>
      <c r="DC398" s="7"/>
      <c r="DD398" s="7"/>
      <c r="DE398" s="7"/>
      <c r="DF398" s="14"/>
      <c r="DG398" s="14"/>
      <c r="DH398" s="14"/>
      <c r="DI398" s="14"/>
      <c r="DJ398" s="14"/>
      <c r="DK398" s="14"/>
      <c r="DL398" s="114"/>
      <c r="DM398" s="114"/>
      <c r="DN398" s="114"/>
      <c r="DO398" s="114"/>
      <c r="DP398" s="114"/>
      <c r="DQ398" s="114"/>
      <c r="DR398" s="114"/>
      <c r="DS398" s="168"/>
      <c r="DT398" s="168"/>
      <c r="DU398" s="168"/>
      <c r="DV398" s="168"/>
      <c r="DY398" s="168"/>
      <c r="DZ398" s="168"/>
    </row>
    <row r="399" spans="1:130">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116"/>
      <c r="AR399" s="116"/>
      <c r="AS399" s="116"/>
      <c r="AT399" s="116"/>
      <c r="AU399" s="116"/>
      <c r="AV399" s="116"/>
      <c r="AW399" s="116"/>
      <c r="AX399" s="116"/>
      <c r="AY399" s="116"/>
      <c r="AZ399" s="116"/>
      <c r="BA399" s="116"/>
      <c r="BB399" s="116"/>
      <c r="BC399" s="116"/>
      <c r="BD399" s="116"/>
      <c r="BE399" s="116"/>
      <c r="BF399" s="116"/>
      <c r="BG399" s="116"/>
      <c r="BH399" s="116"/>
      <c r="BI399" s="116"/>
      <c r="BJ399" s="116"/>
      <c r="BK399" s="116"/>
      <c r="BL399" s="116"/>
      <c r="BM399" s="116"/>
      <c r="BN399" s="116"/>
      <c r="BO399" s="116"/>
      <c r="BP399" s="116"/>
      <c r="BQ399" s="116"/>
      <c r="BR399" s="116"/>
      <c r="BS399" s="116"/>
      <c r="BT399" s="116"/>
      <c r="BU399" s="116"/>
      <c r="BV399" s="116"/>
      <c r="BW399" s="116"/>
      <c r="BX399" s="116"/>
      <c r="BY399" s="116"/>
      <c r="BZ399" s="116"/>
      <c r="CA399" s="116"/>
      <c r="CB399" s="116"/>
      <c r="CC399" s="116"/>
      <c r="CD399" s="116"/>
      <c r="CE399" s="116"/>
      <c r="CF399" s="116"/>
      <c r="CG399" s="116"/>
      <c r="CH399" s="116"/>
      <c r="CI399" s="116"/>
      <c r="CJ399" s="116"/>
      <c r="CK399" s="116"/>
      <c r="CL399" s="192"/>
      <c r="CM399" s="192"/>
      <c r="CN399" s="192"/>
      <c r="CO399" s="192"/>
      <c r="CP399" s="192"/>
      <c r="CQ399" s="192"/>
      <c r="CR399" s="192"/>
      <c r="CS399" s="192"/>
      <c r="CT399" s="192"/>
      <c r="CU399" s="694"/>
      <c r="CV399" s="8"/>
      <c r="CW399" s="8"/>
      <c r="CX399" s="8"/>
      <c r="CY399" s="8"/>
      <c r="CZ399" s="8"/>
      <c r="DA399" s="8"/>
      <c r="DB399" s="7"/>
      <c r="DC399" s="7"/>
      <c r="DD399" s="7"/>
      <c r="DE399" s="7"/>
      <c r="DF399" s="14"/>
      <c r="DG399" s="14"/>
      <c r="DH399" s="14"/>
      <c r="DI399" s="14"/>
      <c r="DJ399" s="14"/>
      <c r="DK399" s="14"/>
      <c r="DL399" s="114"/>
      <c r="DM399" s="114"/>
      <c r="DN399" s="114"/>
      <c r="DO399" s="114"/>
      <c r="DP399" s="114"/>
      <c r="DQ399" s="114"/>
      <c r="DR399" s="114"/>
      <c r="DS399" s="168"/>
      <c r="DT399" s="168"/>
      <c r="DU399" s="168"/>
      <c r="DV399" s="168"/>
      <c r="DY399" s="168"/>
      <c r="DZ399" s="168"/>
    </row>
    <row r="400" spans="1:130" s="656" customFormat="1" ht="12">
      <c r="A400" s="761" t="s">
        <v>336</v>
      </c>
      <c r="B400" s="761"/>
      <c r="C400" s="761">
        <v>0.3</v>
      </c>
      <c r="D400" s="761">
        <v>0</v>
      </c>
      <c r="E400" s="761">
        <v>0</v>
      </c>
      <c r="F400" s="761">
        <v>1.8</v>
      </c>
      <c r="G400" s="761">
        <v>0.1</v>
      </c>
      <c r="H400" s="761">
        <v>0.2</v>
      </c>
      <c r="I400" s="761">
        <v>0.7</v>
      </c>
      <c r="J400" s="761">
        <v>5.0999999999999996</v>
      </c>
      <c r="K400" s="761">
        <v>0.2</v>
      </c>
      <c r="L400" s="761">
        <v>1.6</v>
      </c>
      <c r="M400" s="761">
        <v>1.6</v>
      </c>
      <c r="N400" s="761">
        <v>3.6</v>
      </c>
      <c r="O400" s="761">
        <v>1.2</v>
      </c>
      <c r="P400" s="761">
        <v>1.6</v>
      </c>
      <c r="Q400" s="761">
        <v>3.8</v>
      </c>
      <c r="R400" s="761">
        <v>7.3</v>
      </c>
      <c r="S400" s="761">
        <v>6.1</v>
      </c>
      <c r="T400" s="761">
        <v>1.5</v>
      </c>
      <c r="U400" s="761">
        <v>2.5</v>
      </c>
      <c r="V400" s="761">
        <v>7.7</v>
      </c>
      <c r="W400" s="761">
        <v>0</v>
      </c>
      <c r="X400" s="761">
        <v>3.1</v>
      </c>
      <c r="Y400" s="761">
        <v>0.7</v>
      </c>
      <c r="Z400" s="761">
        <v>0.7</v>
      </c>
      <c r="AA400" s="761">
        <v>4.5999999999999996</v>
      </c>
      <c r="AB400" s="761">
        <v>0.5</v>
      </c>
      <c r="AC400" s="761">
        <v>2.7</v>
      </c>
      <c r="AD400" s="761">
        <v>19</v>
      </c>
      <c r="AE400" s="761">
        <v>2.2000000000000002</v>
      </c>
      <c r="AF400" s="761">
        <v>10.9</v>
      </c>
      <c r="AG400" s="761">
        <v>8.4</v>
      </c>
      <c r="AH400" s="761">
        <v>18.600000000000001</v>
      </c>
      <c r="AI400" s="761">
        <v>20.2</v>
      </c>
      <c r="AJ400" s="761">
        <v>4.5</v>
      </c>
      <c r="AK400" s="761">
        <v>19.599999999999998</v>
      </c>
      <c r="AL400" s="761">
        <v>28.1</v>
      </c>
      <c r="AM400" s="761">
        <v>5.4</v>
      </c>
      <c r="AN400" s="761">
        <v>4.0999999999999996</v>
      </c>
      <c r="AO400" s="761">
        <v>24</v>
      </c>
      <c r="AP400" s="761">
        <v>31.799999999999997</v>
      </c>
      <c r="AQ400" s="1286">
        <f>21.5+1.5</f>
        <v>23</v>
      </c>
      <c r="AR400" s="1286">
        <f>4.9-5.8</f>
        <v>-0.89999999999999947</v>
      </c>
      <c r="AS400" s="1286">
        <f>14.5+6.4</f>
        <v>20.9</v>
      </c>
      <c r="AT400" s="1286">
        <f>27.4+8</f>
        <v>35.4</v>
      </c>
      <c r="AU400" s="1286">
        <f>4.3+0.5</f>
        <v>4.8</v>
      </c>
      <c r="AV400" s="1286">
        <f>15.8+0.9</f>
        <v>16.7</v>
      </c>
      <c r="AW400" s="1286">
        <f>21.2+1.8</f>
        <v>23</v>
      </c>
      <c r="AX400" s="1286">
        <f>9.1+22.4</f>
        <v>31.5</v>
      </c>
      <c r="AY400" s="1286">
        <f>3.7+3.3</f>
        <v>7</v>
      </c>
      <c r="AZ400" s="1286">
        <f>2.9+3.2</f>
        <v>6.1</v>
      </c>
      <c r="BA400" s="1287">
        <f>1.2+7.7</f>
        <v>8.9</v>
      </c>
      <c r="BB400" s="1286">
        <f>4.5+10.2</f>
        <v>14.7</v>
      </c>
      <c r="BC400" s="1287">
        <v>8.0883229603043993</v>
      </c>
      <c r="BD400" s="1286">
        <v>10.3380664476439</v>
      </c>
      <c r="BE400" s="1286">
        <v>12.506610397763131</v>
      </c>
      <c r="BF400" s="1286">
        <v>11.619678617110967</v>
      </c>
      <c r="BG400" s="1286">
        <v>2.5242036810084718</v>
      </c>
      <c r="BH400" s="1286">
        <v>8.3712257645347101</v>
      </c>
      <c r="BI400" s="1286">
        <v>9.4765360926466435</v>
      </c>
      <c r="BJ400" s="1286">
        <v>12.935422536741221</v>
      </c>
      <c r="BK400" s="1286">
        <v>4.8430432047410141</v>
      </c>
      <c r="BL400" s="1286">
        <v>8.8477695599533899</v>
      </c>
      <c r="BM400" s="1286">
        <v>109.60642188815238</v>
      </c>
      <c r="BN400" s="1286">
        <v>23.76401903648442</v>
      </c>
      <c r="BO400" s="1286">
        <v>3.1064843024635911</v>
      </c>
      <c r="BP400" s="1286">
        <f>18.9+0.4</f>
        <v>19.299999999999997</v>
      </c>
      <c r="BQ400" s="1286">
        <v>88.170447932773229</v>
      </c>
      <c r="BR400" s="1286">
        <f>25.1+0.9</f>
        <v>26</v>
      </c>
      <c r="BS400" s="1286">
        <v>159.30127352367998</v>
      </c>
      <c r="BT400" s="1286">
        <v>86.431400455162816</v>
      </c>
      <c r="BU400" s="1286">
        <v>71.153344720500002</v>
      </c>
      <c r="BV400" s="1286">
        <v>157.77190363479997</v>
      </c>
      <c r="BW400" s="1286">
        <v>19.032835500000001</v>
      </c>
      <c r="BX400" s="1286">
        <v>27.105086750000002</v>
      </c>
      <c r="BY400" s="1286">
        <v>19.47632157</v>
      </c>
      <c r="BZ400" s="1286">
        <f>63.67+0.0828</f>
        <v>63.752800000000001</v>
      </c>
      <c r="CA400" s="1286">
        <v>3.16415661</v>
      </c>
      <c r="CB400" s="1286">
        <v>4.9560099400000004</v>
      </c>
      <c r="CC400" s="1286">
        <v>7.3795579900000012</v>
      </c>
      <c r="CD400" s="1286">
        <v>22.400805469999998</v>
      </c>
      <c r="CE400" s="1286">
        <v>6.2127696600000002</v>
      </c>
      <c r="CF400" s="1286">
        <v>4.0137269553245067</v>
      </c>
      <c r="CG400" s="1286">
        <v>6.30422745</v>
      </c>
      <c r="CH400" s="1286">
        <v>13.413407996199998</v>
      </c>
      <c r="CI400" s="1286">
        <v>3.7519351038000002</v>
      </c>
      <c r="CJ400" s="1286">
        <v>3.99313436</v>
      </c>
      <c r="CK400" s="1286">
        <v>7.3347353599999998</v>
      </c>
      <c r="CL400" s="1177">
        <f t="shared" ref="CL400:CP400" si="2909">+CL401*CL$26/1000</f>
        <v>8.5371486197972182</v>
      </c>
      <c r="CM400" s="1177">
        <f t="shared" si="2909"/>
        <v>5.0968652462607045</v>
      </c>
      <c r="CN400" s="1177">
        <f t="shared" si="2909"/>
        <v>6.8269300264957211</v>
      </c>
      <c r="CO400" s="1177">
        <f t="shared" si="2909"/>
        <v>6.6040984825074887</v>
      </c>
      <c r="CP400" s="1177">
        <f t="shared" si="2909"/>
        <v>8.5829819065427255</v>
      </c>
      <c r="CQ400" s="1177"/>
      <c r="CR400" s="767"/>
      <c r="CS400" s="767"/>
      <c r="CT400" s="1177">
        <v>8.5371486197972182</v>
      </c>
      <c r="CU400" s="1132"/>
      <c r="CV400" s="762">
        <v>2.1</v>
      </c>
      <c r="CW400" s="762">
        <v>6.1</v>
      </c>
      <c r="CX400" s="762">
        <v>7</v>
      </c>
      <c r="CY400" s="762">
        <v>13.899999999999999</v>
      </c>
      <c r="CZ400" s="762">
        <v>17.8</v>
      </c>
      <c r="DA400" s="762">
        <v>4.5</v>
      </c>
      <c r="DB400" s="763">
        <v>26.8</v>
      </c>
      <c r="DC400" s="762">
        <v>40.1</v>
      </c>
      <c r="DD400" s="763">
        <v>72.400000000000006</v>
      </c>
      <c r="DE400" s="763">
        <v>65.3</v>
      </c>
      <c r="DF400" s="765">
        <f>+SUM(AQ400:AT400)</f>
        <v>78.400000000000006</v>
      </c>
      <c r="DG400" s="765">
        <f>+SUM(AU400:AX400)</f>
        <v>76</v>
      </c>
      <c r="DH400" s="765">
        <f>+SUM(AY400:BB400)</f>
        <v>36.700000000000003</v>
      </c>
      <c r="DI400" s="765">
        <f>+SUM(BC400:BF400)</f>
        <v>42.552678422822396</v>
      </c>
      <c r="DJ400" s="765">
        <f>+SUM(BG400:BJ400)</f>
        <v>33.307388074931048</v>
      </c>
      <c r="DK400" s="765">
        <f>+SUM(BK400:BN400)</f>
        <v>147.06125368933121</v>
      </c>
      <c r="DL400" s="1261">
        <f>+SUM(BO400:BR400)</f>
        <v>136.57693223523682</v>
      </c>
      <c r="DM400" s="1261">
        <f>+SUM(BS400:BV400)</f>
        <v>474.65792233414277</v>
      </c>
      <c r="DN400" s="1261">
        <f>+SUM(BW400:BZ400)</f>
        <v>129.36704381999999</v>
      </c>
      <c r="DO400" s="1261">
        <f>+SUM(CA400:CD400)</f>
        <v>37.900530009999997</v>
      </c>
      <c r="DP400" s="1261">
        <f>+SUM(CE400:CH400)</f>
        <v>29.944132061524506</v>
      </c>
      <c r="DQ400" s="1261">
        <f>+SUM(CI400:CL400)</f>
        <v>23.616953443597218</v>
      </c>
      <c r="DR400" s="1261">
        <f>+SUM(CM400:CP400)</f>
        <v>27.110875661806638</v>
      </c>
      <c r="DS400" s="768">
        <f>+DS401*DS$26/1000</f>
        <v>29.376433835396867</v>
      </c>
      <c r="DT400" s="768">
        <f t="shared" ref="DT400:DV400" si="2910">+DT401*DT$26/1000</f>
        <v>31.381202034697957</v>
      </c>
      <c r="DU400" s="768">
        <f t="shared" si="2910"/>
        <v>33.522834262720586</v>
      </c>
      <c r="DV400" s="768">
        <f t="shared" si="2910"/>
        <v>35.808893665633818</v>
      </c>
      <c r="DY400" s="768">
        <v>25.712207454145933</v>
      </c>
      <c r="DZ400" s="768">
        <v>27.749953234336683</v>
      </c>
    </row>
    <row r="401" spans="1:130">
      <c r="A401" s="10" t="s">
        <v>335</v>
      </c>
      <c r="B401" s="8"/>
      <c r="C401" s="8"/>
      <c r="D401" s="8"/>
      <c r="E401" s="8"/>
      <c r="F401" s="8"/>
      <c r="G401" s="8">
        <v>9.514566801773516E-3</v>
      </c>
      <c r="H401" s="8">
        <v>6.7617366844500339E-3</v>
      </c>
      <c r="I401" s="8">
        <v>2.5747884075669352E-3</v>
      </c>
      <c r="J401" s="8">
        <v>9.6635436921807781E-3</v>
      </c>
      <c r="K401" s="8">
        <v>1.3495681381957775E-2</v>
      </c>
      <c r="L401" s="8">
        <v>1.0239983195925012E-2</v>
      </c>
      <c r="M401" s="8">
        <v>9.2275662005784544E-3</v>
      </c>
      <c r="N401" s="8">
        <v>5.0294408565696603E-3</v>
      </c>
      <c r="O401" s="8">
        <v>3.740415186085656E-3</v>
      </c>
      <c r="P401" s="8">
        <v>4.4818201078896339E-3</v>
      </c>
      <c r="Q401" s="8">
        <v>7.6574506995306423E-3</v>
      </c>
      <c r="R401" s="8">
        <v>2.5289128758673861E-2</v>
      </c>
      <c r="S401" s="8">
        <v>1.3895418448947076E-3</v>
      </c>
      <c r="T401" s="8">
        <v>3.531403891960229E-3</v>
      </c>
      <c r="U401" s="8">
        <v>6.8443592701957481E-3</v>
      </c>
      <c r="V401" s="8">
        <v>7.1270228495322148E-3</v>
      </c>
      <c r="W401" s="8">
        <v>0</v>
      </c>
      <c r="X401" s="8">
        <v>2.119286485147062E-3</v>
      </c>
      <c r="Y401" s="8">
        <v>3.4400908183976056E-3</v>
      </c>
      <c r="Z401" s="8">
        <v>1.1556700382269967E-2</v>
      </c>
      <c r="AA401" s="8">
        <v>4.1527007385874885E-3</v>
      </c>
      <c r="AB401" s="8">
        <v>5.1280736391374577E-3</v>
      </c>
      <c r="AC401" s="8">
        <v>3.261512751738309E-3</v>
      </c>
      <c r="AD401" s="8">
        <v>3.3342521050244954E-2</v>
      </c>
      <c r="AE401" s="8">
        <v>1.8371085914888432E-3</v>
      </c>
      <c r="AF401" s="8">
        <v>4.9018494319234733E-3</v>
      </c>
      <c r="AG401" s="8">
        <v>1.388286100156081E-2</v>
      </c>
      <c r="AH401" s="8">
        <v>1.2907067231688451E-2</v>
      </c>
      <c r="AI401" s="8">
        <v>5.4985647336156874E-3</v>
      </c>
      <c r="AJ401" s="8">
        <v>2.1246444098826315E-2</v>
      </c>
      <c r="AK401" s="8">
        <v>1.6794503777658447E-2</v>
      </c>
      <c r="AL401" s="8">
        <v>1.1139303174701404E-2</v>
      </c>
      <c r="AM401" s="8">
        <v>2.7582799366315165E-3</v>
      </c>
      <c r="AN401" s="8">
        <v>3.9607620506185394E-3</v>
      </c>
      <c r="AO401" s="8">
        <v>1.5076828187794622E-2</v>
      </c>
      <c r="AP401" s="8">
        <v>1.196129489953887E-2</v>
      </c>
      <c r="AQ401" s="116">
        <f t="shared" ref="AQ401:BV401" si="2911">+AQ400/AQ$26*1000</f>
        <v>2.4504215790516655E-2</v>
      </c>
      <c r="AR401" s="116">
        <f t="shared" si="2911"/>
        <v>-7.1700121412205547E-4</v>
      </c>
      <c r="AS401" s="116">
        <f t="shared" si="2911"/>
        <v>1.7361644720938558E-2</v>
      </c>
      <c r="AT401" s="116">
        <f t="shared" si="2911"/>
        <v>1.9467674586270668E-2</v>
      </c>
      <c r="AU401" s="116">
        <f t="shared" si="2911"/>
        <v>4.0887706174128815E-3</v>
      </c>
      <c r="AV401" s="116">
        <f t="shared" si="2911"/>
        <v>1.0869558142698422E-2</v>
      </c>
      <c r="AW401" s="116">
        <f t="shared" si="2911"/>
        <v>1.6190285124999561E-2</v>
      </c>
      <c r="AX401" s="116">
        <f t="shared" si="2911"/>
        <v>1.5638613971984541E-2</v>
      </c>
      <c r="AY401" s="116">
        <f t="shared" si="2911"/>
        <v>5.6118117413532006E-3</v>
      </c>
      <c r="AZ401" s="116">
        <f t="shared" si="2911"/>
        <v>3.7023998834654461E-3</v>
      </c>
      <c r="BA401" s="116">
        <f t="shared" si="2911"/>
        <v>6.1556380457163332E-3</v>
      </c>
      <c r="BB401" s="116">
        <f t="shared" si="2911"/>
        <v>6.9641775969513011E-3</v>
      </c>
      <c r="BC401" s="116">
        <f t="shared" si="2911"/>
        <v>5.7148207479731849E-3</v>
      </c>
      <c r="BD401" s="116">
        <f t="shared" si="2911"/>
        <v>5.6457243102320852E-3</v>
      </c>
      <c r="BE401" s="116">
        <f t="shared" si="2911"/>
        <v>7.1614607829598824E-3</v>
      </c>
      <c r="BF401" s="116">
        <f t="shared" si="2911"/>
        <v>4.7398781699774534E-3</v>
      </c>
      <c r="BG401" s="116">
        <f t="shared" si="2911"/>
        <v>1.5502222774320662E-3</v>
      </c>
      <c r="BH401" s="116">
        <f t="shared" si="2911"/>
        <v>4.1439721778383466E-3</v>
      </c>
      <c r="BI401" s="116">
        <f t="shared" si="2911"/>
        <v>4.8765474251097332E-3</v>
      </c>
      <c r="BJ401" s="116">
        <f t="shared" si="2911"/>
        <v>4.5629668992843838E-3</v>
      </c>
      <c r="BK401" s="116">
        <f t="shared" si="2911"/>
        <v>2.559589710753095E-3</v>
      </c>
      <c r="BL401" s="116">
        <f t="shared" si="2911"/>
        <v>3.8602766661634926E-3</v>
      </c>
      <c r="BM401" s="116">
        <f t="shared" si="2911"/>
        <v>4.9244603241665137E-2</v>
      </c>
      <c r="BN401" s="116">
        <f t="shared" si="2911"/>
        <v>7.4763451248802274E-3</v>
      </c>
      <c r="BO401" s="116">
        <f t="shared" si="2911"/>
        <v>1.6667825447917361E-3</v>
      </c>
      <c r="BP401" s="116">
        <f t="shared" si="2911"/>
        <v>2.3871189576824412E-2</v>
      </c>
      <c r="BQ401" s="116">
        <f t="shared" si="2911"/>
        <v>4.9256160303084585E-2</v>
      </c>
      <c r="BR401" s="116">
        <f t="shared" si="2911"/>
        <v>8.4556310274827521E-3</v>
      </c>
      <c r="BS401" s="116">
        <f t="shared" si="2911"/>
        <v>0.10073471476664259</v>
      </c>
      <c r="BT401" s="116">
        <f t="shared" si="2911"/>
        <v>3.4707321771037712E-2</v>
      </c>
      <c r="BU401" s="116">
        <f t="shared" si="2911"/>
        <v>2.7072112515149554E-2</v>
      </c>
      <c r="BV401" s="116">
        <f t="shared" si="2911"/>
        <v>4.0751298238155882E-2</v>
      </c>
      <c r="BW401" s="116">
        <f t="shared" ref="BW401:CK401" si="2912">+BW400/BW$26*1000</f>
        <v>7.2838349360740667E-3</v>
      </c>
      <c r="BX401" s="116">
        <f t="shared" si="2912"/>
        <v>7.4745085054146931E-3</v>
      </c>
      <c r="BY401" s="116">
        <f t="shared" si="2912"/>
        <v>6.4541738588403093E-3</v>
      </c>
      <c r="BZ401" s="116">
        <f t="shared" si="2912"/>
        <v>1.588204110266099E-2</v>
      </c>
      <c r="CA401" s="116">
        <f t="shared" si="2912"/>
        <v>1.1401166471852332E-3</v>
      </c>
      <c r="CB401" s="116">
        <f t="shared" si="2912"/>
        <v>1.4143528963212345E-3</v>
      </c>
      <c r="CC401" s="116">
        <f t="shared" si="2912"/>
        <v>2.3827346617605657E-3</v>
      </c>
      <c r="CD401" s="116">
        <f t="shared" si="2912"/>
        <v>5.2443978196263586E-3</v>
      </c>
      <c r="CE401" s="116">
        <f t="shared" si="2912"/>
        <v>2.136257816988848E-3</v>
      </c>
      <c r="CF401" s="116">
        <f t="shared" si="2912"/>
        <v>1.1401366937151319E-3</v>
      </c>
      <c r="CG401" s="116">
        <f t="shared" si="2912"/>
        <v>1.859374934559973E-3</v>
      </c>
      <c r="CH401" s="116">
        <f t="shared" si="2912"/>
        <v>2.905085032000878E-3</v>
      </c>
      <c r="CI401" s="116">
        <f t="shared" si="2912"/>
        <v>1.1517567368497313E-3</v>
      </c>
      <c r="CJ401" s="116">
        <f t="shared" si="2912"/>
        <v>9.5814544028816832E-4</v>
      </c>
      <c r="CK401" s="116">
        <f t="shared" si="2912"/>
        <v>2.0583114894686979E-3</v>
      </c>
      <c r="CL401" s="373">
        <f t="shared" ref="CL401" si="2913">+AVERAGE(CH401:CK401)</f>
        <v>1.768324674651869E-3</v>
      </c>
      <c r="CM401" s="373">
        <f t="shared" ref="CM401" si="2914">+AVERAGE(CI401:CL401)</f>
        <v>1.4841345853146167E-3</v>
      </c>
      <c r="CN401" s="373">
        <f t="shared" ref="CN401" si="2915">+AVERAGE(CJ401:CM401)</f>
        <v>1.567229047430838E-3</v>
      </c>
      <c r="CO401" s="373">
        <f t="shared" ref="CO401" si="2916">+AVERAGE(CK401:CN401)</f>
        <v>1.7194999492165053E-3</v>
      </c>
      <c r="CP401" s="373">
        <f t="shared" ref="CP401" si="2917">+AVERAGE(CL401:CO401)</f>
        <v>1.6347970641534572E-3</v>
      </c>
      <c r="CQ401" s="373"/>
      <c r="CR401" s="192"/>
      <c r="CS401" s="192"/>
      <c r="CT401" s="373">
        <v>1.768324674651869E-3</v>
      </c>
      <c r="CU401" s="1131"/>
      <c r="CV401" s="13"/>
      <c r="CW401" s="13"/>
      <c r="CX401" s="13"/>
      <c r="CY401" s="13"/>
      <c r="CZ401" s="8">
        <v>4.9931127110449018E-3</v>
      </c>
      <c r="DA401" s="8">
        <v>5.1615567255084132E-3</v>
      </c>
      <c r="DB401" s="8">
        <v>1.3738770009355448E-2</v>
      </c>
      <c r="DC401" s="8">
        <v>9.0164030603895207E-3</v>
      </c>
      <c r="DD401" s="8">
        <v>1.3928773739756655E-2</v>
      </c>
      <c r="DE401" s="8">
        <v>8.9923489525629563E-3</v>
      </c>
      <c r="DF401" s="12">
        <f t="shared" ref="DF401:DM401" si="2918">+DF400/DF$26*1000</f>
        <v>1.5030548055192786E-2</v>
      </c>
      <c r="DG401" s="12">
        <f t="shared" si="2918"/>
        <v>1.2367380188563494E-2</v>
      </c>
      <c r="DH401" s="12">
        <f t="shared" si="2918"/>
        <v>5.6885290114979592E-3</v>
      </c>
      <c r="DI401" s="12">
        <f t="shared" si="2918"/>
        <v>5.7161385008838829E-3</v>
      </c>
      <c r="DJ401" s="12">
        <f t="shared" si="2918"/>
        <v>3.9526762018877084E-3</v>
      </c>
      <c r="DK401" s="12">
        <f t="shared" si="2918"/>
        <v>1.5337354116143353E-2</v>
      </c>
      <c r="DL401" s="116">
        <f t="shared" si="2918"/>
        <v>1.8120428626520375E-2</v>
      </c>
      <c r="DM401" s="116">
        <f t="shared" si="2918"/>
        <v>4.4899531863012064E-2</v>
      </c>
      <c r="DN401" s="116">
        <f>+DN400/DN$26*1000</f>
        <v>9.7480000259209127E-3</v>
      </c>
      <c r="DO401" s="116">
        <f>+DO400/DO$26*1000</f>
        <v>2.7770332167362053E-3</v>
      </c>
      <c r="DP401" s="116">
        <f>+DP400/DP$26*1000</f>
        <v>2.0742153573499386E-3</v>
      </c>
      <c r="DQ401" s="116">
        <f>+DQ400/DQ$26*1000</f>
        <v>1.4931910275827844E-3</v>
      </c>
      <c r="DR401" s="116">
        <f>+DR400/DR$26*1000</f>
        <v>1.6059826719228005E-3</v>
      </c>
      <c r="DS401" s="373">
        <f>+DR401</f>
        <v>1.6059826719228005E-3</v>
      </c>
      <c r="DT401" s="373">
        <f t="shared" ref="DT401:DV401" si="2919">+DS401</f>
        <v>1.6059826719228005E-3</v>
      </c>
      <c r="DU401" s="373">
        <f t="shared" si="2919"/>
        <v>1.6059826719228005E-3</v>
      </c>
      <c r="DV401" s="373">
        <f t="shared" si="2919"/>
        <v>1.6059826719228005E-3</v>
      </c>
      <c r="DY401" s="373">
        <v>1.4970463463448045E-3</v>
      </c>
      <c r="DZ401" s="373">
        <v>1.4970463463448045E-3</v>
      </c>
    </row>
    <row r="402" spans="1:130">
      <c r="A402" s="8" t="s">
        <v>320</v>
      </c>
      <c r="B402" s="8"/>
      <c r="C402" s="8">
        <v>0.21621621621621626</v>
      </c>
      <c r="D402" s="8"/>
      <c r="E402" s="8"/>
      <c r="F402" s="8">
        <v>0.29192546583850931</v>
      </c>
      <c r="G402" s="8">
        <v>0.30303030303030304</v>
      </c>
      <c r="H402" s="8">
        <v>0.19607843137254904</v>
      </c>
      <c r="I402" s="8">
        <v>0.10447761194029849</v>
      </c>
      <c r="J402" s="8">
        <v>0.12654320987654322</v>
      </c>
      <c r="K402" s="8">
        <v>0.21428571428571427</v>
      </c>
      <c r="L402" s="8">
        <v>0.11890243902439025</v>
      </c>
      <c r="M402" s="8">
        <v>0.14611872146118721</v>
      </c>
      <c r="N402" s="8">
        <v>5.6842105263157888E-2</v>
      </c>
      <c r="O402" s="8">
        <v>0.11206896551724138</v>
      </c>
      <c r="P402" s="8">
        <v>9.0909090909090925E-2</v>
      </c>
      <c r="Q402" s="8">
        <v>0.20238095238095236</v>
      </c>
      <c r="R402" s="8">
        <v>0.29338103756708406</v>
      </c>
      <c r="S402" s="8">
        <v>3.3149171270718231E-2</v>
      </c>
      <c r="T402" s="8">
        <v>6.5789473684210523E-2</v>
      </c>
      <c r="U402" s="8">
        <v>9.5367847411444134E-2</v>
      </c>
      <c r="V402" s="8">
        <v>9.3023255813953501E-2</v>
      </c>
      <c r="W402" s="8">
        <v>0</v>
      </c>
      <c r="X402" s="8">
        <v>6.0465116279069767E-2</v>
      </c>
      <c r="Y402" s="8">
        <v>0.13380281690140844</v>
      </c>
      <c r="Z402" s="8">
        <v>0.33333333333333331</v>
      </c>
      <c r="AA402" s="8">
        <v>0.13207547169811323</v>
      </c>
      <c r="AB402" s="8">
        <v>0.17475728155339806</v>
      </c>
      <c r="AC402" s="8">
        <v>7.7490774907749083E-2</v>
      </c>
      <c r="AD402" s="8">
        <v>0.31023784901758011</v>
      </c>
      <c r="AE402" s="8">
        <v>4.5833333333333337E-2</v>
      </c>
      <c r="AF402" s="8">
        <v>6.376360808709175E-2</v>
      </c>
      <c r="AG402" s="8">
        <v>0.18491921005385997</v>
      </c>
      <c r="AH402" s="8">
        <v>8.9777195281782435E-2</v>
      </c>
      <c r="AI402" s="8">
        <v>5.5873925501432664E-2</v>
      </c>
      <c r="AJ402" s="8">
        <v>0.30253353204172878</v>
      </c>
      <c r="AK402" s="8">
        <v>0.17592592592592593</v>
      </c>
      <c r="AL402" s="8">
        <v>9.5872170439414123E-2</v>
      </c>
      <c r="AM402" s="8">
        <v>6.25E-2</v>
      </c>
      <c r="AN402" s="8">
        <v>6.3829787234042548E-2</v>
      </c>
      <c r="AO402" s="8">
        <v>0.12479740680713128</v>
      </c>
      <c r="AP402" s="8">
        <v>9.3447905477980667E-2</v>
      </c>
      <c r="AQ402" s="116">
        <f t="shared" ref="AQ402:BV402" si="2920">AQ400/AQ369</f>
        <v>-265.91065466843503</v>
      </c>
      <c r="AR402" s="116">
        <f t="shared" si="2920"/>
        <v>-3.0421022727272675E-4</v>
      </c>
      <c r="AS402" s="116">
        <f t="shared" si="2920"/>
        <v>2.5443478260869564E-3</v>
      </c>
      <c r="AT402" s="116">
        <f t="shared" si="2920"/>
        <v>1.2068181818181848E-2</v>
      </c>
      <c r="AU402" s="116">
        <f t="shared" si="2920"/>
        <v>4.5365853658536085E-4</v>
      </c>
      <c r="AV402" s="116">
        <f t="shared" si="2920"/>
        <v>5.2728580000000113E-3</v>
      </c>
      <c r="AW402" s="116">
        <f t="shared" si="2920"/>
        <v>4.8014640198511555E-3</v>
      </c>
      <c r="AX402" s="116">
        <f t="shared" si="2920"/>
        <v>1.1535469480519419E-2</v>
      </c>
      <c r="AY402" s="116">
        <f t="shared" si="2920"/>
        <v>6.1654797979797415E-4</v>
      </c>
      <c r="AZ402" s="116">
        <f t="shared" si="2920"/>
        <v>1.9023753002070441E-3</v>
      </c>
      <c r="BA402" s="116">
        <f t="shared" si="2920"/>
        <v>1.9686926241134928E-3</v>
      </c>
      <c r="BB402" s="116">
        <f t="shared" si="2920"/>
        <v>6.8178422891566866E-3</v>
      </c>
      <c r="BC402" s="116">
        <f t="shared" si="2920"/>
        <v>1.2362065355257547E-3</v>
      </c>
      <c r="BD402" s="116">
        <f t="shared" si="2920"/>
        <v>2.9097486066682688E-3</v>
      </c>
      <c r="BE402" s="116">
        <f t="shared" si="2920"/>
        <v>6.9585379855100727E-3</v>
      </c>
      <c r="BF402" s="116">
        <f t="shared" si="2920"/>
        <v>2.6129140238649036E-3</v>
      </c>
      <c r="BG402" s="116">
        <f t="shared" si="2920"/>
        <v>-3.5842881493674541E-4</v>
      </c>
      <c r="BH402" s="116">
        <f t="shared" si="2920"/>
        <v>2.5205003200698354E-3</v>
      </c>
      <c r="BI402" s="116">
        <f t="shared" si="2920"/>
        <v>1.4270909623180822E-3</v>
      </c>
      <c r="BJ402" s="116">
        <f t="shared" si="2920"/>
        <v>3.171187851765421E-3</v>
      </c>
      <c r="BK402" s="116">
        <f t="shared" si="2920"/>
        <v>5.7872081243185152E-4</v>
      </c>
      <c r="BL402" s="116">
        <f t="shared" si="2920"/>
        <v>2.4928546049463774E-3</v>
      </c>
      <c r="BM402" s="116">
        <f t="shared" si="2920"/>
        <v>1.3148619771960197E-2</v>
      </c>
      <c r="BN402" s="116">
        <f t="shared" si="2920"/>
        <v>5.8637989820536683E-3</v>
      </c>
      <c r="BO402" s="116">
        <f t="shared" si="2920"/>
        <v>-1.1163224268316587E-4</v>
      </c>
      <c r="BP402" s="116" t="e">
        <f t="shared" si="2920"/>
        <v>#DIV/0!</v>
      </c>
      <c r="BQ402" s="116">
        <f t="shared" si="2920"/>
        <v>3.4833509325177307E-2</v>
      </c>
      <c r="BR402" s="116">
        <f t="shared" si="2920"/>
        <v>1.0712878378377059E-3</v>
      </c>
      <c r="BS402" s="116">
        <f t="shared" si="2920"/>
        <v>-2.2274318778094269E-3</v>
      </c>
      <c r="BT402" s="116">
        <f t="shared" si="2920"/>
        <v>3.2298086573143953E-2</v>
      </c>
      <c r="BU402" s="116">
        <f t="shared" si="2920"/>
        <v>3.7887133776017263E-3</v>
      </c>
      <c r="BV402" s="116">
        <f t="shared" si="2920"/>
        <v>1.2324908807514573E-2</v>
      </c>
      <c r="BW402" s="116">
        <f t="shared" ref="BW402:CD402" si="2921">BW400/BW369</f>
        <v>5.0387121968668445E-4</v>
      </c>
      <c r="BX402" s="116">
        <f t="shared" si="2921"/>
        <v>3.0910971054238013E-3</v>
      </c>
      <c r="BY402" s="116">
        <f t="shared" si="2921"/>
        <v>3.3769029227794598E-3</v>
      </c>
      <c r="BZ402" s="116">
        <f t="shared" si="2921"/>
        <v>6.4501141001739211E-3</v>
      </c>
      <c r="CA402" s="116">
        <f t="shared" si="2921"/>
        <v>-1.6185337312663844E-3</v>
      </c>
      <c r="CB402" s="116">
        <f t="shared" si="2921"/>
        <v>-2.843491330872053E-4</v>
      </c>
      <c r="CC402" s="116">
        <f t="shared" si="2921"/>
        <v>-3.0571196817150555E-4</v>
      </c>
      <c r="CD402" s="116">
        <f t="shared" si="2921"/>
        <v>2.0105832793412813E-3</v>
      </c>
      <c r="CE402" s="116">
        <f t="shared" ref="CE402:CH402" si="2922">CE400/CE369</f>
        <v>4.065840244039857E-4</v>
      </c>
      <c r="CF402" s="116">
        <f t="shared" si="2922"/>
        <v>9.6976585415468991E-5</v>
      </c>
      <c r="CG402" s="116">
        <f t="shared" si="2922"/>
        <v>-4.9657115265562047E-4</v>
      </c>
      <c r="CH402" s="116">
        <f t="shared" si="2922"/>
        <v>4.3222610600564276E-4</v>
      </c>
      <c r="CI402" s="116">
        <f t="shared" ref="CI402:CL402" si="2923">CI400/CI369</f>
        <v>5.1928153735092599E-3</v>
      </c>
      <c r="CJ402" s="116">
        <f t="shared" si="2923"/>
        <v>1.5284274326345462E-4</v>
      </c>
      <c r="CK402" s="116">
        <f t="shared" si="2923"/>
        <v>2.1257468913111636E-4</v>
      </c>
      <c r="CL402" s="192">
        <f t="shared" si="2923"/>
        <v>3.6837706387622873E-3</v>
      </c>
      <c r="CM402" s="192">
        <f t="shared" ref="CM402:CP402" si="2924">CM400/CM369</f>
        <v>2.0387460985042817E-3</v>
      </c>
      <c r="CN402" s="192">
        <f t="shared" si="2924"/>
        <v>2.7307720105982885E-3</v>
      </c>
      <c r="CO402" s="192">
        <f t="shared" si="2924"/>
        <v>2.6416393930029955E-3</v>
      </c>
      <c r="CP402" s="192">
        <f t="shared" si="2924"/>
        <v>3.4331927626170904E-3</v>
      </c>
      <c r="CQ402" s="192"/>
      <c r="CR402" s="192"/>
      <c r="CS402" s="192"/>
      <c r="CT402" s="192">
        <v>3.6837706387622873E-3</v>
      </c>
      <c r="CU402" s="694"/>
      <c r="CV402" s="8">
        <v>0.14583333333333334</v>
      </c>
      <c r="CW402" s="8">
        <v>0.15742397137745975</v>
      </c>
      <c r="CX402" s="8">
        <v>0.11260504201680671</v>
      </c>
      <c r="CY402" s="8">
        <v>0.21474654377880181</v>
      </c>
      <c r="CZ402" s="8">
        <v>7.9678362573099404E-2</v>
      </c>
      <c r="DA402" s="8">
        <v>0.17655571635311143</v>
      </c>
      <c r="DB402" s="8">
        <v>0.2358078602620087</v>
      </c>
      <c r="DC402" s="8">
        <v>9.8449089683074836E-2</v>
      </c>
      <c r="DD402" s="8">
        <v>0.14404283801874165</v>
      </c>
      <c r="DE402" s="8">
        <v>9.5342066957787477E-2</v>
      </c>
      <c r="DF402" s="12">
        <f t="shared" ref="DF402:DM402" si="2925">DF400/DF369</f>
        <v>-156.44583589743593</v>
      </c>
      <c r="DG402" s="12">
        <f t="shared" si="2925"/>
        <v>2.0197309152542357E-2</v>
      </c>
      <c r="DH402" s="12">
        <f t="shared" si="2925"/>
        <v>1.0399346661111173E-2</v>
      </c>
      <c r="DI402" s="12">
        <f t="shared" si="2925"/>
        <v>1.346693071015507E-2</v>
      </c>
      <c r="DJ402" s="12">
        <f t="shared" si="2925"/>
        <v>5.9062874565241775E-3</v>
      </c>
      <c r="DK402" s="12">
        <f t="shared" si="2925"/>
        <v>3.0353505628652532E-2</v>
      </c>
      <c r="DL402" s="116">
        <f t="shared" si="2925"/>
        <v>9.0672427491731485E-3</v>
      </c>
      <c r="DM402" s="116">
        <f t="shared" si="2925"/>
        <v>7.0543051223749362E-2</v>
      </c>
      <c r="DN402" s="116">
        <f t="shared" ref="DN402:DS402" si="2926">DN400/DN369</f>
        <v>1.4456796280837427E-2</v>
      </c>
      <c r="DO402" s="116">
        <f t="shared" si="2926"/>
        <v>-1.3839762279724784E-3</v>
      </c>
      <c r="DP402" s="116">
        <f t="shared" si="2926"/>
        <v>-3.247129745441198E-5</v>
      </c>
      <c r="DQ402" s="116">
        <f t="shared" si="2926"/>
        <v>6.0378342218071644E-3</v>
      </c>
      <c r="DR402" s="116">
        <f t="shared" ref="DR402" si="2927">DR400/DR369</f>
        <v>1.0844350264722654E-2</v>
      </c>
      <c r="DS402" s="192">
        <f t="shared" si="2926"/>
        <v>1.1298628398229564E-2</v>
      </c>
      <c r="DT402" s="192">
        <f t="shared" ref="DT402:DV402" si="2928">DT400/DT369</f>
        <v>1.1605474125258121E-2</v>
      </c>
      <c r="DU402" s="192">
        <f t="shared" si="2928"/>
        <v>1.1920671036754872E-2</v>
      </c>
      <c r="DV402" s="192">
        <f t="shared" si="2928"/>
        <v>1.2243836952608634E-2</v>
      </c>
      <c r="DY402" s="192">
        <v>6.3206731837303649E-3</v>
      </c>
      <c r="DZ402" s="192">
        <v>6.5592304285082082E-3</v>
      </c>
    </row>
    <row r="403" spans="1:130">
      <c r="A403" s="8" t="s">
        <v>169</v>
      </c>
      <c r="B403" s="8"/>
      <c r="C403" s="8"/>
      <c r="D403" s="8"/>
      <c r="E403" s="8"/>
      <c r="F403" s="8"/>
      <c r="G403" s="8">
        <v>0.25</v>
      </c>
      <c r="H403" s="8"/>
      <c r="I403" s="8"/>
      <c r="J403" s="8">
        <v>-0.12765957446808518</v>
      </c>
      <c r="K403" s="8">
        <v>0.8</v>
      </c>
      <c r="L403" s="8">
        <v>0.95</v>
      </c>
      <c r="M403" s="8">
        <v>3.5714285714285721</v>
      </c>
      <c r="N403" s="8">
        <v>-0.3414634146341462</v>
      </c>
      <c r="O403" s="8">
        <v>-0.63888888888888884</v>
      </c>
      <c r="P403" s="8">
        <v>-0.43589743589743579</v>
      </c>
      <c r="Q403" s="8">
        <v>6.25E-2</v>
      </c>
      <c r="R403" s="8">
        <v>5.0740740740740735</v>
      </c>
      <c r="S403" s="8">
        <v>-0.53846153846153855</v>
      </c>
      <c r="T403" s="8">
        <v>-9.0909090909090939E-2</v>
      </c>
      <c r="U403" s="8">
        <v>2.941176470588247E-2</v>
      </c>
      <c r="V403" s="8">
        <v>-0.70731707317073167</v>
      </c>
      <c r="W403" s="8">
        <v>-1</v>
      </c>
      <c r="X403" s="8">
        <v>-0.35</v>
      </c>
      <c r="Y403" s="8">
        <v>-0.45714285714285718</v>
      </c>
      <c r="Z403" s="8">
        <v>0.875</v>
      </c>
      <c r="AA403" s="8" t="e">
        <v>#DIV/0!</v>
      </c>
      <c r="AB403" s="8">
        <v>1.7692307692307692</v>
      </c>
      <c r="AC403" s="8">
        <v>0.10526315789473695</v>
      </c>
      <c r="AD403" s="8">
        <v>2.3333333333333335</v>
      </c>
      <c r="AE403" s="8">
        <v>-0.47619047619047616</v>
      </c>
      <c r="AF403" s="8">
        <v>0.13888888888888884</v>
      </c>
      <c r="AG403" s="8">
        <v>3.9047619047619051</v>
      </c>
      <c r="AH403" s="8">
        <v>-0.54333333333333333</v>
      </c>
      <c r="AI403" s="8">
        <v>2.545454545454545</v>
      </c>
      <c r="AJ403" s="8">
        <v>3.9512195121951228</v>
      </c>
      <c r="AK403" s="8">
        <v>0.47572815533980561</v>
      </c>
      <c r="AL403" s="8">
        <v>5.1094890510948954E-2</v>
      </c>
      <c r="AM403" s="8">
        <v>-0.41025641025641024</v>
      </c>
      <c r="AN403" s="8">
        <v>-0.7931034482758621</v>
      </c>
      <c r="AO403" s="8">
        <v>1.3157894736842257E-2</v>
      </c>
      <c r="AP403" s="8">
        <v>0.20833333333333326</v>
      </c>
      <c r="AQ403" s="116">
        <f t="shared" ref="AQ403:CD403" si="2929">AQ400/AM400-1</f>
        <v>3.2592592592592586</v>
      </c>
      <c r="AR403" s="116">
        <f t="shared" si="2929"/>
        <v>-1.2195121951219512</v>
      </c>
      <c r="AS403" s="116">
        <f t="shared" si="2929"/>
        <v>-0.12916666666666676</v>
      </c>
      <c r="AT403" s="116">
        <f t="shared" si="2929"/>
        <v>0.1132075471698113</v>
      </c>
      <c r="AU403" s="116">
        <f t="shared" si="2929"/>
        <v>-0.79130434782608694</v>
      </c>
      <c r="AV403" s="116">
        <f t="shared" si="2929"/>
        <v>-19.555555555555564</v>
      </c>
      <c r="AW403" s="116">
        <f t="shared" si="2929"/>
        <v>0.1004784688995215</v>
      </c>
      <c r="AX403" s="116">
        <f t="shared" si="2929"/>
        <v>-0.11016949152542366</v>
      </c>
      <c r="AY403" s="116">
        <f t="shared" si="2929"/>
        <v>0.45833333333333348</v>
      </c>
      <c r="AZ403" s="116">
        <f t="shared" si="2929"/>
        <v>-0.6347305389221557</v>
      </c>
      <c r="BA403" s="116">
        <f t="shared" si="2929"/>
        <v>-0.61304347826086958</v>
      </c>
      <c r="BB403" s="116">
        <f t="shared" si="2929"/>
        <v>-0.53333333333333344</v>
      </c>
      <c r="BC403" s="116">
        <f t="shared" si="2929"/>
        <v>0.15547470861491419</v>
      </c>
      <c r="BD403" s="116">
        <f t="shared" si="2929"/>
        <v>0.69476499141703285</v>
      </c>
      <c r="BE403" s="116">
        <f t="shared" si="2929"/>
        <v>0.40523712334417206</v>
      </c>
      <c r="BF403" s="116">
        <f t="shared" si="2929"/>
        <v>-0.20954567230537635</v>
      </c>
      <c r="BG403" s="116">
        <f t="shared" si="2929"/>
        <v>-0.68792001835279404</v>
      </c>
      <c r="BH403" s="116">
        <f t="shared" si="2929"/>
        <v>-0.19025227716131032</v>
      </c>
      <c r="BI403" s="116">
        <f t="shared" si="2929"/>
        <v>-0.24227782018846855</v>
      </c>
      <c r="BJ403" s="116">
        <f t="shared" si="2929"/>
        <v>0.11323410594960071</v>
      </c>
      <c r="BK403" s="116">
        <f t="shared" si="2929"/>
        <v>0.91864200229916371</v>
      </c>
      <c r="BL403" s="116">
        <f t="shared" si="2929"/>
        <v>5.692640586012998E-2</v>
      </c>
      <c r="BM403" s="116">
        <f t="shared" si="2929"/>
        <v>10.56608499314448</v>
      </c>
      <c r="BN403" s="116">
        <f t="shared" si="2929"/>
        <v>0.83712738945992027</v>
      </c>
      <c r="BO403" s="116">
        <f t="shared" si="2929"/>
        <v>-0.35856770812563643</v>
      </c>
      <c r="BP403" s="116">
        <f t="shared" si="2929"/>
        <v>1.1813407174792729</v>
      </c>
      <c r="BQ403" s="116">
        <f t="shared" si="2929"/>
        <v>-0.19557224463775891</v>
      </c>
      <c r="BR403" s="116">
        <f t="shared" si="2929"/>
        <v>9.4091027282999784E-2</v>
      </c>
      <c r="BS403" s="116">
        <f t="shared" si="2929"/>
        <v>50.280244164551689</v>
      </c>
      <c r="BT403" s="116">
        <f t="shared" si="2929"/>
        <v>3.4783109044125817</v>
      </c>
      <c r="BU403" s="116">
        <f t="shared" si="2929"/>
        <v>-0.19300234501755231</v>
      </c>
      <c r="BV403" s="116">
        <f t="shared" si="2929"/>
        <v>5.0681501397999984</v>
      </c>
      <c r="BW403" s="116">
        <f t="shared" si="2929"/>
        <v>-0.88052301730550331</v>
      </c>
      <c r="BX403" s="116">
        <f t="shared" si="2929"/>
        <v>-0.68639769103288972</v>
      </c>
      <c r="BY403" s="116">
        <f t="shared" si="2929"/>
        <v>-0.7262767949067519</v>
      </c>
      <c r="BZ403" s="116">
        <f t="shared" si="2929"/>
        <v>-0.59591791357496204</v>
      </c>
      <c r="CA403" s="116">
        <f t="shared" si="2929"/>
        <v>-0.83375274745583761</v>
      </c>
      <c r="CB403" s="116">
        <f t="shared" si="2929"/>
        <v>-0.81715572483825383</v>
      </c>
      <c r="CC403" s="116">
        <f t="shared" si="2929"/>
        <v>-0.6211010398715654</v>
      </c>
      <c r="CD403" s="116">
        <f t="shared" si="2929"/>
        <v>-0.64863024886750076</v>
      </c>
      <c r="CE403" s="116">
        <f t="shared" ref="CE403" si="2930">CE400/CA400-1</f>
        <v>0.96348361530689219</v>
      </c>
      <c r="CF403" s="116">
        <f t="shared" ref="CF403" si="2931">CF400/CB400-1</f>
        <v>-0.19012935730219571</v>
      </c>
      <c r="CG403" s="116">
        <f t="shared" ref="CG403:CH403" si="2932">CG400/CC400-1</f>
        <v>-0.14571747270733226</v>
      </c>
      <c r="CH403" s="116">
        <f t="shared" si="2932"/>
        <v>-0.40120867465396548</v>
      </c>
      <c r="CI403" s="116">
        <f t="shared" ref="CI403" si="2933">CI400/CE400-1</f>
        <v>-0.39609299730581027</v>
      </c>
      <c r="CJ403" s="116">
        <f t="shared" ref="CJ403" si="2934">CJ400/CF400-1</f>
        <v>-5.1305421504044268E-3</v>
      </c>
      <c r="CK403" s="116">
        <f t="shared" ref="CK403" si="2935">CK400/CG400-1</f>
        <v>0.16346299656431329</v>
      </c>
      <c r="CL403" s="192">
        <f t="shared" ref="CL403" si="2936">CL400/CH400-1</f>
        <v>-0.36353620032911982</v>
      </c>
      <c r="CM403" s="192">
        <f t="shared" ref="CM403" si="2937">CM400/CI400-1</f>
        <v>0.35846306112772175</v>
      </c>
      <c r="CN403" s="192">
        <f t="shared" ref="CN403" si="2938">CN400/CJ400-1</f>
        <v>0.70966699615279683</v>
      </c>
      <c r="CO403" s="192">
        <f t="shared" ref="CO403" si="2939">CO400/CK400-1</f>
        <v>-9.9613256870457967E-2</v>
      </c>
      <c r="CP403" s="192">
        <f t="shared" ref="CP403" si="2940">CP400/CL400-1</f>
        <v>5.3686879292720313E-3</v>
      </c>
      <c r="CQ403" s="192"/>
      <c r="CR403" s="192"/>
      <c r="CS403" s="192"/>
      <c r="CT403" s="192">
        <v>-0.36353620032911982</v>
      </c>
      <c r="CU403" s="694"/>
      <c r="CV403" s="8"/>
      <c r="CW403" s="8">
        <v>0.39682539682539675</v>
      </c>
      <c r="CX403" s="8">
        <v>0.52272727272727249</v>
      </c>
      <c r="CY403" s="8">
        <v>0.73880597014925375</v>
      </c>
      <c r="CZ403" s="8">
        <v>-0.53218884120171672</v>
      </c>
      <c r="DA403" s="8">
        <v>0.11926605504587173</v>
      </c>
      <c r="DB403" s="8">
        <v>2.098360655737705</v>
      </c>
      <c r="DC403" s="8">
        <v>-0.22751322751322745</v>
      </c>
      <c r="DD403" s="8">
        <v>0.84246575342465757</v>
      </c>
      <c r="DE403" s="8">
        <v>-0.26951672862453535</v>
      </c>
      <c r="DF403" s="12">
        <f t="shared" ref="DF403:DS403" si="2941">DF400/DE400-1</f>
        <v>0.20061255742725903</v>
      </c>
      <c r="DG403" s="12">
        <f t="shared" si="2941"/>
        <v>-3.0612244897959218E-2</v>
      </c>
      <c r="DH403" s="12">
        <f t="shared" si="2941"/>
        <v>-0.51710526315789473</v>
      </c>
      <c r="DI403" s="12">
        <f t="shared" si="2941"/>
        <v>0.15947352650742208</v>
      </c>
      <c r="DJ403" s="12">
        <f t="shared" si="2941"/>
        <v>-0.21726694277680991</v>
      </c>
      <c r="DK403" s="12">
        <f t="shared" si="2941"/>
        <v>3.4152742736383317</v>
      </c>
      <c r="DL403" s="116">
        <f t="shared" si="2941"/>
        <v>-7.1292207777873595E-2</v>
      </c>
      <c r="DM403" s="116">
        <f t="shared" si="2941"/>
        <v>2.4753886660494273</v>
      </c>
      <c r="DN403" s="116">
        <f t="shared" si="2941"/>
        <v>-0.72745204971227673</v>
      </c>
      <c r="DO403" s="116">
        <f t="shared" si="2941"/>
        <v>-0.70703102667527584</v>
      </c>
      <c r="DP403" s="116">
        <f t="shared" si="2941"/>
        <v>-0.20992840855724726</v>
      </c>
      <c r="DQ403" s="116">
        <f t="shared" si="2941"/>
        <v>-0.21129944941891099</v>
      </c>
      <c r="DR403" s="116">
        <f t="shared" si="2941"/>
        <v>0.14794127559906145</v>
      </c>
      <c r="DS403" s="192">
        <f t="shared" si="2941"/>
        <v>8.3566396078526894E-2</v>
      </c>
      <c r="DT403" s="192">
        <f t="shared" ref="DT403" si="2942">DT400/DS400-1</f>
        <v>6.8244096970186519E-2</v>
      </c>
      <c r="DU403" s="192">
        <f t="shared" ref="DU403" si="2943">DU400/DT400-1</f>
        <v>6.8245704089175518E-2</v>
      </c>
      <c r="DV403" s="192">
        <f t="shared" ref="DV403" si="2944">DV400/DU400-1</f>
        <v>6.8194096746033939E-2</v>
      </c>
      <c r="DY403" s="192">
        <v>7.0698049320800704E-2</v>
      </c>
      <c r="DZ403" s="192">
        <v>7.9252074479594148E-2</v>
      </c>
    </row>
    <row r="404" spans="1:130">
      <c r="A404" s="8" t="s">
        <v>170</v>
      </c>
      <c r="B404" s="8"/>
      <c r="C404" s="8"/>
      <c r="D404" s="8"/>
      <c r="E404" s="8"/>
      <c r="F404" s="8"/>
      <c r="G404" s="8">
        <v>-0.57446808510638303</v>
      </c>
      <c r="H404" s="8">
        <v>0</v>
      </c>
      <c r="I404" s="8">
        <v>-0.65</v>
      </c>
      <c r="J404" s="8">
        <v>4.8571428571428568</v>
      </c>
      <c r="K404" s="8">
        <v>-0.12195121951219501</v>
      </c>
      <c r="L404" s="8">
        <v>8.3333333333333259E-2</v>
      </c>
      <c r="M404" s="8">
        <v>-0.1794871794871794</v>
      </c>
      <c r="N404" s="8">
        <v>-0.15625</v>
      </c>
      <c r="O404" s="8">
        <v>-0.5185185185185186</v>
      </c>
      <c r="P404" s="8">
        <v>0.69230769230769229</v>
      </c>
      <c r="Q404" s="8">
        <v>0.54545454545454519</v>
      </c>
      <c r="R404" s="8">
        <v>3.8235294117647056</v>
      </c>
      <c r="S404" s="8">
        <v>-0.96341463414634143</v>
      </c>
      <c r="T404" s="8">
        <v>2.3333333333333335</v>
      </c>
      <c r="U404" s="8">
        <v>0.75</v>
      </c>
      <c r="V404" s="8">
        <v>0.37142857142857144</v>
      </c>
      <c r="W404" s="8">
        <v>-1</v>
      </c>
      <c r="X404" s="8"/>
      <c r="Y404" s="8">
        <v>0.46153846153846145</v>
      </c>
      <c r="Z404" s="8">
        <v>3.7368421052631584</v>
      </c>
      <c r="AA404" s="8">
        <v>-0.76666666666666661</v>
      </c>
      <c r="AB404" s="8">
        <v>0.71428571428571419</v>
      </c>
      <c r="AC404" s="8">
        <v>-0.41666666666666663</v>
      </c>
      <c r="AD404" s="8">
        <v>13.285714285714285</v>
      </c>
      <c r="AE404" s="8">
        <v>-0.96333333333333337</v>
      </c>
      <c r="AF404" s="8">
        <v>2.7272727272727266</v>
      </c>
      <c r="AG404" s="8">
        <v>1.51219512195122</v>
      </c>
      <c r="AH404" s="8">
        <v>0.33009708737864063</v>
      </c>
      <c r="AI404" s="8">
        <v>-0.71532846715328469</v>
      </c>
      <c r="AJ404" s="8">
        <v>4.2051282051282053</v>
      </c>
      <c r="AK404" s="8">
        <v>-0.25123152709359609</v>
      </c>
      <c r="AL404" s="8">
        <v>-5.2631578947368363E-2</v>
      </c>
      <c r="AM404" s="8">
        <v>-0.84027777777777779</v>
      </c>
      <c r="AN404" s="8">
        <v>0.82608695652173925</v>
      </c>
      <c r="AO404" s="8">
        <v>2.6666666666666665</v>
      </c>
      <c r="AP404" s="8">
        <v>0.12987012987012969</v>
      </c>
      <c r="AQ404" s="116">
        <f t="shared" ref="AQ404:CD404" si="2945">AQ400/AP400-1</f>
        <v>-0.27672955974842761</v>
      </c>
      <c r="AR404" s="116">
        <f t="shared" si="2945"/>
        <v>-1.0391304347826087</v>
      </c>
      <c r="AS404" s="116">
        <f t="shared" si="2945"/>
        <v>-24.222222222222236</v>
      </c>
      <c r="AT404" s="116">
        <f t="shared" si="2945"/>
        <v>0.69377990430622005</v>
      </c>
      <c r="AU404" s="116">
        <f t="shared" si="2945"/>
        <v>-0.86440677966101698</v>
      </c>
      <c r="AV404" s="116">
        <f t="shared" si="2945"/>
        <v>2.4791666666666665</v>
      </c>
      <c r="AW404" s="116">
        <f t="shared" si="2945"/>
        <v>0.3772455089820359</v>
      </c>
      <c r="AX404" s="116">
        <f t="shared" si="2945"/>
        <v>0.36956521739130443</v>
      </c>
      <c r="AY404" s="116">
        <f t="shared" si="2945"/>
        <v>-0.77777777777777779</v>
      </c>
      <c r="AZ404" s="116">
        <f t="shared" si="2945"/>
        <v>-0.12857142857142867</v>
      </c>
      <c r="BA404" s="116">
        <f t="shared" si="2945"/>
        <v>0.45901639344262302</v>
      </c>
      <c r="BB404" s="116">
        <f t="shared" si="2945"/>
        <v>0.65168539325842678</v>
      </c>
      <c r="BC404" s="116">
        <f t="shared" si="2945"/>
        <v>-0.44977394827861228</v>
      </c>
      <c r="BD404" s="116">
        <f t="shared" si="2945"/>
        <v>0.27814708912845298</v>
      </c>
      <c r="BE404" s="116">
        <f t="shared" si="2945"/>
        <v>0.20976301140078801</v>
      </c>
      <c r="BF404" s="116">
        <f t="shared" si="2945"/>
        <v>-7.0917039265155024E-2</v>
      </c>
      <c r="BG404" s="116">
        <f t="shared" si="2945"/>
        <v>-0.78276475932033374</v>
      </c>
      <c r="BH404" s="116">
        <f t="shared" si="2945"/>
        <v>2.3163828368993706</v>
      </c>
      <c r="BI404" s="116">
        <f t="shared" si="2945"/>
        <v>0.13203685567705725</v>
      </c>
      <c r="BJ404" s="116">
        <f t="shared" si="2945"/>
        <v>0.3649948050932359</v>
      </c>
      <c r="BK404" s="116">
        <f t="shared" si="2945"/>
        <v>-0.62559837601090795</v>
      </c>
      <c r="BL404" s="116">
        <f t="shared" si="2945"/>
        <v>0.82690287612797198</v>
      </c>
      <c r="BM404" s="116">
        <f t="shared" si="2945"/>
        <v>11.388028547245504</v>
      </c>
      <c r="BN404" s="116">
        <f t="shared" si="2945"/>
        <v>-0.78318771266218001</v>
      </c>
      <c r="BO404" s="116">
        <f t="shared" si="2945"/>
        <v>-0.86927782301073453</v>
      </c>
      <c r="BP404" s="116">
        <f t="shared" si="2945"/>
        <v>5.2128110496789475</v>
      </c>
      <c r="BQ404" s="116">
        <f t="shared" si="2945"/>
        <v>3.5684169913354014</v>
      </c>
      <c r="BR404" s="116">
        <f t="shared" si="2945"/>
        <v>-0.70511661662619596</v>
      </c>
      <c r="BS404" s="116">
        <f t="shared" si="2945"/>
        <v>5.1269720586030765</v>
      </c>
      <c r="BT404" s="116">
        <f t="shared" si="2945"/>
        <v>-0.45743434096077784</v>
      </c>
      <c r="BU404" s="116">
        <f t="shared" si="2945"/>
        <v>-0.17676510682698543</v>
      </c>
      <c r="BV404" s="116">
        <f t="shared" si="2945"/>
        <v>1.2173504879433206</v>
      </c>
      <c r="BW404" s="116">
        <f t="shared" si="2945"/>
        <v>-0.87936486116022305</v>
      </c>
      <c r="BX404" s="116">
        <f t="shared" si="2945"/>
        <v>0.42412236736875064</v>
      </c>
      <c r="BY404" s="116">
        <f t="shared" si="2945"/>
        <v>-0.28145142092194197</v>
      </c>
      <c r="BZ404" s="116">
        <f t="shared" si="2945"/>
        <v>2.2733491163033821</v>
      </c>
      <c r="CA404" s="116">
        <f t="shared" si="2945"/>
        <v>-0.95036835072341919</v>
      </c>
      <c r="CB404" s="116">
        <f t="shared" si="2945"/>
        <v>0.56629729525303119</v>
      </c>
      <c r="CC404" s="116">
        <f t="shared" si="2945"/>
        <v>0.48901194294214845</v>
      </c>
      <c r="CD404" s="116">
        <f t="shared" si="2945"/>
        <v>2.0355213009173729</v>
      </c>
      <c r="CE404" s="116">
        <f t="shared" ref="CE404" si="2946">CE400/CD400-1</f>
        <v>-0.72265418454169539</v>
      </c>
      <c r="CF404" s="116">
        <f t="shared" ref="CF404" si="2947">CF400/CE400-1</f>
        <v>-0.35395529289194561</v>
      </c>
      <c r="CG404" s="116">
        <f t="shared" ref="CG404:CH404" si="2948">CG400/CF400-1</f>
        <v>0.57066674444233789</v>
      </c>
      <c r="CH404" s="116">
        <f t="shared" si="2948"/>
        <v>1.1276846532876919</v>
      </c>
      <c r="CI404" s="116">
        <f t="shared" ref="CI404" si="2949">CI400/CH400-1</f>
        <v>-0.72028472518968201</v>
      </c>
      <c r="CJ404" s="116">
        <f t="shared" ref="CJ404" si="2950">CJ400/CI400-1</f>
        <v>6.428662797384499E-2</v>
      </c>
      <c r="CK404" s="116">
        <f t="shared" ref="CK404" si="2951">CK400/CJ400-1</f>
        <v>0.83683660471670174</v>
      </c>
      <c r="CL404" s="192">
        <f t="shared" ref="CL404" si="2952">CL400/CK400-1</f>
        <v>0.16393410270186193</v>
      </c>
      <c r="CM404" s="192">
        <f t="shared" ref="CM404" si="2953">CM400/CL400-1</f>
        <v>-0.40297803479239769</v>
      </c>
      <c r="CN404" s="192">
        <f t="shared" ref="CN404" si="2954">CN400/CM400-1</f>
        <v>0.33943702582764423</v>
      </c>
      <c r="CO404" s="192">
        <f t="shared" ref="CO404" si="2955">CO400/CN400-1</f>
        <v>-3.264008025912235E-2</v>
      </c>
      <c r="CP404" s="192">
        <f t="shared" ref="CP404" si="2956">CP400/CO400-1</f>
        <v>0.29964474776940042</v>
      </c>
      <c r="CQ404" s="192"/>
      <c r="CR404" s="192"/>
      <c r="CS404" s="192"/>
      <c r="CT404" s="192">
        <v>0.16393410270186193</v>
      </c>
      <c r="CU404" s="694"/>
      <c r="CV404" s="8"/>
      <c r="CW404" s="8"/>
      <c r="CX404" s="8"/>
      <c r="CY404" s="8"/>
      <c r="CZ404" s="8"/>
      <c r="DA404" s="8"/>
      <c r="DB404" s="7"/>
      <c r="DC404" s="7"/>
      <c r="DD404" s="7"/>
      <c r="DE404" s="7"/>
      <c r="DF404" s="14"/>
      <c r="DG404" s="14"/>
      <c r="DH404" s="14"/>
      <c r="DI404" s="14"/>
      <c r="DJ404" s="14"/>
      <c r="DK404" s="14"/>
      <c r="DL404" s="114"/>
      <c r="DM404" s="114"/>
      <c r="DN404" s="114"/>
      <c r="DO404" s="114"/>
      <c r="DP404" s="114"/>
      <c r="DQ404" s="114"/>
      <c r="DR404" s="114"/>
      <c r="DS404" s="168"/>
      <c r="DT404" s="168"/>
      <c r="DU404" s="168"/>
      <c r="DV404" s="168"/>
      <c r="DY404" s="168"/>
      <c r="DZ404" s="168"/>
    </row>
    <row r="405" spans="1:130">
      <c r="A405" s="8"/>
      <c r="B405" s="8"/>
      <c r="C405" s="8"/>
      <c r="D405" s="8"/>
      <c r="E405" s="8"/>
      <c r="F405" s="8"/>
      <c r="G405" s="8">
        <v>-0.66666666666666663</v>
      </c>
      <c r="H405" s="8"/>
      <c r="I405" s="8"/>
      <c r="J405" s="8">
        <v>1.833333333333333</v>
      </c>
      <c r="K405" s="8">
        <v>1</v>
      </c>
      <c r="L405" s="8">
        <v>7</v>
      </c>
      <c r="M405" s="8">
        <v>1.285714285714286</v>
      </c>
      <c r="N405" s="8">
        <v>-0.29411764705882348</v>
      </c>
      <c r="O405" s="8">
        <v>4.9999999999999991</v>
      </c>
      <c r="P405" s="8">
        <v>0</v>
      </c>
      <c r="Q405" s="8">
        <v>1.3749999999999996</v>
      </c>
      <c r="R405" s="8">
        <v>1.0277777777777777</v>
      </c>
      <c r="S405" s="8">
        <v>4.083333333333333</v>
      </c>
      <c r="T405" s="8">
        <v>-6.25E-2</v>
      </c>
      <c r="U405" s="8">
        <v>-0.34210526315789469</v>
      </c>
      <c r="V405" s="8">
        <v>5.4794520547945202E-2</v>
      </c>
      <c r="W405" s="8">
        <v>-1</v>
      </c>
      <c r="X405" s="8">
        <v>1.0666666666666669</v>
      </c>
      <c r="Y405" s="8">
        <v>-0.72</v>
      </c>
      <c r="Z405" s="8">
        <v>-0.90909090909090906</v>
      </c>
      <c r="AA405" s="8" t="e">
        <v>#DIV/0!</v>
      </c>
      <c r="AB405" s="8">
        <v>-0.83870967741935487</v>
      </c>
      <c r="AC405" s="8">
        <v>2.8571428571428577</v>
      </c>
      <c r="AD405" s="8">
        <v>26.142857142857146</v>
      </c>
      <c r="AE405" s="8">
        <v>-0.52173913043478248</v>
      </c>
      <c r="AF405" s="8">
        <v>20.8</v>
      </c>
      <c r="AG405" s="8">
        <v>2.1111111111111112</v>
      </c>
      <c r="AH405" s="8">
        <v>-2.1052631578947323E-2</v>
      </c>
      <c r="AI405" s="8">
        <v>8.1818181818181799</v>
      </c>
      <c r="AJ405" s="8">
        <v>-0.58715596330275233</v>
      </c>
      <c r="AK405" s="8">
        <v>1.333333333333333</v>
      </c>
      <c r="AL405" s="8">
        <v>0.510752688172043</v>
      </c>
      <c r="AM405" s="8">
        <v>-0.73267326732673266</v>
      </c>
      <c r="AN405" s="8">
        <v>-8.8888888888889017E-2</v>
      </c>
      <c r="AO405" s="8">
        <v>0.22448979591836737</v>
      </c>
      <c r="AP405" s="8">
        <v>0.13167259786476859</v>
      </c>
      <c r="AQ405" s="116">
        <f t="shared" ref="AQ405:AX405" si="2957">AQ400/AM400-1</f>
        <v>3.2592592592592586</v>
      </c>
      <c r="AR405" s="116">
        <f t="shared" si="2957"/>
        <v>-1.2195121951219512</v>
      </c>
      <c r="AS405" s="116">
        <f t="shared" si="2957"/>
        <v>-0.12916666666666676</v>
      </c>
      <c r="AT405" s="116">
        <f t="shared" si="2957"/>
        <v>0.1132075471698113</v>
      </c>
      <c r="AU405" s="116">
        <f t="shared" si="2957"/>
        <v>-0.79130434782608694</v>
      </c>
      <c r="AV405" s="116">
        <f t="shared" si="2957"/>
        <v>-19.555555555555564</v>
      </c>
      <c r="AW405" s="116">
        <f t="shared" si="2957"/>
        <v>0.1004784688995215</v>
      </c>
      <c r="AX405" s="116">
        <f t="shared" si="2957"/>
        <v>-0.11016949152542366</v>
      </c>
      <c r="AY405" s="116"/>
      <c r="AZ405" s="116"/>
      <c r="BA405" s="116"/>
      <c r="BB405" s="116"/>
      <c r="BC405" s="116"/>
      <c r="BD405" s="116"/>
      <c r="BE405" s="116"/>
      <c r="BF405" s="116"/>
      <c r="BG405" s="116"/>
      <c r="BH405" s="116"/>
      <c r="BI405" s="116"/>
      <c r="BJ405" s="116"/>
      <c r="BK405" s="116"/>
      <c r="BL405" s="116"/>
      <c r="BM405" s="116"/>
      <c r="BN405" s="116"/>
      <c r="BO405" s="116"/>
      <c r="BP405" s="116"/>
      <c r="BQ405" s="116"/>
      <c r="BR405" s="116"/>
      <c r="BS405" s="116"/>
      <c r="BT405" s="116"/>
      <c r="BU405" s="116"/>
      <c r="BV405" s="116"/>
      <c r="BW405" s="116"/>
      <c r="BX405" s="116"/>
      <c r="BY405" s="116"/>
      <c r="BZ405" s="116"/>
      <c r="CA405" s="116"/>
      <c r="CB405" s="116"/>
      <c r="CC405" s="116"/>
      <c r="CD405" s="116"/>
      <c r="CE405" s="116"/>
      <c r="CF405" s="116"/>
      <c r="CG405" s="116"/>
      <c r="CH405" s="116"/>
      <c r="CI405" s="116"/>
      <c r="CJ405" s="116"/>
      <c r="CK405" s="116"/>
      <c r="CL405" s="192"/>
      <c r="CM405" s="192"/>
      <c r="CN405" s="192"/>
      <c r="CO405" s="192"/>
      <c r="CP405" s="192"/>
      <c r="CQ405" s="192"/>
      <c r="CR405" s="192"/>
      <c r="CS405" s="192"/>
      <c r="CT405" s="192"/>
      <c r="CU405" s="694"/>
      <c r="CV405" s="8"/>
      <c r="CW405" s="8">
        <v>1.9047619047619047</v>
      </c>
      <c r="CX405" s="8">
        <v>0.14754098360655754</v>
      </c>
      <c r="CY405" s="8">
        <v>0.98571428571428554</v>
      </c>
      <c r="CZ405" s="8">
        <v>0.28057553956834558</v>
      </c>
      <c r="DA405" s="8">
        <v>-0.74719101123595499</v>
      </c>
      <c r="DB405" s="8">
        <v>4.9555555555555557</v>
      </c>
      <c r="DC405" s="8">
        <v>0.49626865671641784</v>
      </c>
      <c r="DD405" s="8">
        <v>0.80548628428927693</v>
      </c>
      <c r="DE405" s="8">
        <v>-9.8066298342541547E-2</v>
      </c>
      <c r="DF405" s="8">
        <f t="shared" ref="DF405:DM405" si="2958">DF400/DE400-1</f>
        <v>0.20061255742725903</v>
      </c>
      <c r="DG405" s="8">
        <f t="shared" si="2958"/>
        <v>-3.0612244897959218E-2</v>
      </c>
      <c r="DH405" s="8">
        <f t="shared" si="2958"/>
        <v>-0.51710526315789473</v>
      </c>
      <c r="DI405" s="8">
        <f t="shared" si="2958"/>
        <v>0.15947352650742208</v>
      </c>
      <c r="DJ405" s="8">
        <f t="shared" si="2958"/>
        <v>-0.21726694277680991</v>
      </c>
      <c r="DK405" s="8">
        <f t="shared" si="2958"/>
        <v>3.4152742736383317</v>
      </c>
      <c r="DL405" s="116">
        <f t="shared" si="2958"/>
        <v>-7.1292207777873595E-2</v>
      </c>
      <c r="DM405" s="116">
        <f t="shared" si="2958"/>
        <v>2.4753886660494273</v>
      </c>
      <c r="DN405" s="116">
        <f>DN400/DM400-1</f>
        <v>-0.72745204971227673</v>
      </c>
      <c r="DO405" s="116">
        <f>DO400/DN400-1</f>
        <v>-0.70703102667527584</v>
      </c>
      <c r="DP405" s="116">
        <f>DP400/DO400-1</f>
        <v>-0.20992840855724726</v>
      </c>
      <c r="DQ405" s="116">
        <f>DQ400/DP400-1</f>
        <v>-0.21129944941891099</v>
      </c>
      <c r="DR405" s="116">
        <f>DR400/DQ400-1</f>
        <v>0.14794127559906145</v>
      </c>
      <c r="DS405" s="169">
        <f>+DS2</f>
        <v>4.7500000000000001E-2</v>
      </c>
      <c r="DT405" s="169">
        <f t="shared" ref="DT405:DV405" si="2959">+DT2</f>
        <v>4.4999999999999998E-2</v>
      </c>
      <c r="DU405" s="169">
        <f t="shared" si="2959"/>
        <v>4.4999999999999998E-2</v>
      </c>
      <c r="DV405" s="169">
        <f t="shared" si="2959"/>
        <v>4.4999999999999998E-2</v>
      </c>
      <c r="DY405" s="169">
        <v>4.6799600990062862E-2</v>
      </c>
      <c r="DZ405" s="169">
        <v>4.7500000000000001E-2</v>
      </c>
    </row>
    <row r="406" spans="1:130">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82"/>
      <c r="AY406" s="682"/>
      <c r="AZ406" s="682"/>
      <c r="BA406" s="682"/>
      <c r="BB406" s="682"/>
      <c r="BC406" s="682"/>
      <c r="BD406" s="682"/>
      <c r="BE406" s="682"/>
      <c r="BF406" s="682"/>
      <c r="BG406" s="682"/>
      <c r="BH406" s="682"/>
      <c r="BI406" s="682"/>
      <c r="BJ406" s="682"/>
      <c r="BK406" s="682"/>
      <c r="BL406" s="682"/>
      <c r="BM406" s="682"/>
      <c r="BN406" s="682"/>
      <c r="BO406" s="682"/>
      <c r="BP406" s="682"/>
      <c r="BQ406" s="682"/>
      <c r="BR406" s="682"/>
      <c r="BS406" s="682"/>
      <c r="BT406" s="682"/>
      <c r="BU406" s="682"/>
      <c r="BV406" s="682"/>
      <c r="BW406" s="682"/>
      <c r="BX406" s="682"/>
      <c r="BY406" s="682"/>
      <c r="BZ406" s="682"/>
      <c r="CA406" s="682"/>
      <c r="CB406" s="682"/>
      <c r="CC406" s="682"/>
      <c r="CD406" s="682"/>
      <c r="CE406" s="682"/>
      <c r="CF406" s="682"/>
      <c r="CG406" s="682"/>
      <c r="CH406" s="682"/>
      <c r="CI406" s="682"/>
      <c r="CJ406" s="682"/>
      <c r="CK406" s="682"/>
      <c r="CL406" s="159"/>
      <c r="CM406" s="159"/>
      <c r="CN406" s="159"/>
      <c r="CO406" s="159"/>
      <c r="CP406" s="159"/>
      <c r="CQ406" s="159"/>
      <c r="CR406" s="159"/>
      <c r="CS406" s="159"/>
      <c r="CT406" s="159"/>
      <c r="CU406" s="702"/>
      <c r="CV406" s="6"/>
      <c r="CW406" s="6"/>
      <c r="CX406" s="6"/>
      <c r="CY406" s="6"/>
      <c r="CZ406" s="6"/>
      <c r="DA406" s="6"/>
      <c r="DB406" s="6"/>
      <c r="DC406" s="6"/>
      <c r="DD406" s="6"/>
      <c r="DE406" s="6"/>
      <c r="DF406" s="6"/>
      <c r="DG406" s="6"/>
      <c r="DH406" s="6"/>
      <c r="DI406" s="6"/>
      <c r="DJ406" s="6"/>
      <c r="DK406" s="6"/>
      <c r="DL406" s="682"/>
      <c r="DM406" s="682"/>
      <c r="DN406" s="682"/>
      <c r="DO406" s="682"/>
      <c r="DP406" s="682"/>
      <c r="DQ406" s="682"/>
      <c r="DR406" s="682"/>
      <c r="DS406" s="159"/>
      <c r="DT406" s="159"/>
      <c r="DU406" s="159"/>
      <c r="DV406" s="159"/>
      <c r="DY406" s="159"/>
      <c r="DZ406" s="159"/>
    </row>
    <row r="407" spans="1:130">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82"/>
      <c r="AY407" s="682"/>
      <c r="AZ407" s="682"/>
      <c r="BA407" s="682"/>
      <c r="BB407" s="682"/>
      <c r="BC407" s="682"/>
      <c r="BD407" s="682"/>
      <c r="BE407" s="682"/>
      <c r="BF407" s="682"/>
      <c r="BG407" s="682"/>
      <c r="BH407" s="682"/>
      <c r="BI407" s="682"/>
      <c r="BJ407" s="682"/>
      <c r="BK407" s="682"/>
      <c r="BL407" s="682"/>
      <c r="BM407" s="682"/>
      <c r="BN407" s="682"/>
      <c r="BO407" s="682"/>
      <c r="BP407" s="682"/>
      <c r="BQ407" s="682"/>
      <c r="BR407" s="682"/>
      <c r="BS407" s="682"/>
      <c r="BT407" s="682"/>
      <c r="BU407" s="682"/>
      <c r="BV407" s="682"/>
      <c r="BW407" s="682"/>
      <c r="BX407" s="682"/>
      <c r="BY407" s="682"/>
      <c r="BZ407" s="682"/>
      <c r="CA407" s="682"/>
      <c r="CB407" s="682"/>
      <c r="CC407" s="682"/>
      <c r="CD407" s="682"/>
      <c r="CE407" s="682"/>
      <c r="CF407" s="682"/>
      <c r="CG407" s="682"/>
      <c r="CH407" s="682"/>
      <c r="CI407" s="682"/>
      <c r="CJ407" s="682"/>
      <c r="CK407" s="682"/>
      <c r="CL407" s="159"/>
      <c r="CM407" s="159"/>
      <c r="CN407" s="159"/>
      <c r="CO407" s="159"/>
      <c r="CP407" s="159"/>
      <c r="CQ407" s="159"/>
      <c r="CR407" s="159"/>
      <c r="CS407" s="159"/>
      <c r="CT407" s="159"/>
      <c r="CU407" s="702"/>
      <c r="CV407" s="6"/>
      <c r="CW407" s="6"/>
      <c r="CX407" s="6"/>
      <c r="CY407" s="6"/>
      <c r="CZ407" s="6"/>
      <c r="DA407" s="6"/>
      <c r="DB407" s="6"/>
      <c r="DC407" s="6"/>
      <c r="DD407" s="6"/>
      <c r="DE407" s="6"/>
      <c r="DF407" s="6"/>
      <c r="DG407" s="6"/>
      <c r="DH407" s="6"/>
      <c r="DI407" s="6"/>
      <c r="DJ407" s="6"/>
      <c r="DK407" s="6"/>
      <c r="DL407" s="682"/>
      <c r="DM407" s="682"/>
      <c r="DN407" s="682"/>
      <c r="DO407" s="682"/>
      <c r="DP407" s="682"/>
      <c r="DQ407" s="682"/>
      <c r="DR407" s="682"/>
      <c r="DS407" s="159"/>
      <c r="DT407" s="159"/>
      <c r="DU407" s="159"/>
      <c r="DV407" s="159"/>
      <c r="DY407" s="159"/>
      <c r="DZ407" s="159"/>
    </row>
    <row r="408" spans="1:130">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82"/>
      <c r="AY408" s="682"/>
      <c r="AZ408" s="682"/>
      <c r="BA408" s="682"/>
      <c r="BB408" s="682"/>
      <c r="BC408" s="682"/>
      <c r="BD408" s="682"/>
      <c r="BE408" s="682"/>
      <c r="BF408" s="682"/>
      <c r="BG408" s="682"/>
      <c r="BH408" s="682"/>
      <c r="BI408" s="682"/>
      <c r="BJ408" s="682"/>
      <c r="BK408" s="682"/>
      <c r="BL408" s="682"/>
      <c r="BM408" s="682"/>
      <c r="BN408" s="682"/>
      <c r="BO408" s="682"/>
      <c r="BP408" s="682"/>
      <c r="BQ408" s="682"/>
      <c r="BR408" s="682"/>
      <c r="BS408" s="682"/>
      <c r="BT408" s="682"/>
      <c r="BU408" s="682"/>
      <c r="BV408" s="682"/>
      <c r="BW408" s="682"/>
      <c r="BX408" s="682"/>
      <c r="BY408" s="682"/>
      <c r="BZ408" s="682"/>
      <c r="CA408" s="682"/>
      <c r="CB408" s="682"/>
      <c r="CC408" s="682"/>
      <c r="CD408" s="682"/>
      <c r="CE408" s="682"/>
      <c r="CF408" s="682"/>
      <c r="CG408" s="682"/>
      <c r="CH408" s="682"/>
      <c r="CI408" s="682"/>
      <c r="CJ408" s="682"/>
      <c r="CK408" s="682"/>
      <c r="CL408" s="159"/>
      <c r="CM408" s="159"/>
      <c r="CN408" s="159"/>
      <c r="CO408" s="159"/>
      <c r="CP408" s="159"/>
      <c r="CQ408" s="159"/>
      <c r="CR408" s="159"/>
      <c r="CS408" s="159"/>
      <c r="CT408" s="159"/>
      <c r="CU408" s="702"/>
      <c r="CV408" s="6"/>
      <c r="CW408" s="6"/>
      <c r="CX408" s="6"/>
      <c r="CY408" s="6"/>
      <c r="CZ408" s="6"/>
      <c r="DA408" s="6"/>
      <c r="DB408" s="6"/>
      <c r="DC408" s="6"/>
      <c r="DD408" s="6"/>
      <c r="DE408" s="6"/>
      <c r="DF408" s="6"/>
      <c r="DG408" s="6"/>
      <c r="DH408" s="6"/>
      <c r="DI408" s="6"/>
      <c r="DJ408" s="6"/>
      <c r="DK408" s="6"/>
      <c r="DL408" s="682"/>
      <c r="DM408" s="682"/>
      <c r="DN408" s="682"/>
      <c r="DO408" s="682"/>
      <c r="DP408" s="682"/>
      <c r="DQ408" s="682"/>
      <c r="DR408" s="682"/>
      <c r="DS408" s="159"/>
      <c r="DT408" s="159"/>
      <c r="DU408" s="159"/>
      <c r="DV408" s="159"/>
      <c r="DY408" s="159"/>
      <c r="DZ408" s="159"/>
    </row>
    <row r="409" spans="1:130">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82"/>
      <c r="AY409" s="682"/>
      <c r="AZ409" s="682"/>
      <c r="BA409" s="682"/>
      <c r="BB409" s="682"/>
      <c r="BC409" s="682"/>
      <c r="BD409" s="682"/>
      <c r="BE409" s="682"/>
      <c r="BF409" s="682"/>
      <c r="BG409" s="682"/>
      <c r="BH409" s="682"/>
      <c r="BI409" s="682"/>
      <c r="BJ409" s="682"/>
      <c r="BK409" s="682"/>
      <c r="BL409" s="682"/>
      <c r="BM409" s="682"/>
      <c r="BN409" s="682"/>
      <c r="BO409" s="682"/>
      <c r="BP409" s="682"/>
      <c r="BQ409" s="682"/>
      <c r="BR409" s="682"/>
      <c r="BS409" s="682"/>
      <c r="BT409" s="682"/>
      <c r="BU409" s="682"/>
      <c r="BV409" s="682"/>
      <c r="BW409" s="682"/>
      <c r="BX409" s="682"/>
      <c r="BY409" s="682"/>
      <c r="BZ409" s="682"/>
      <c r="CA409" s="682"/>
      <c r="CB409" s="682"/>
      <c r="CC409" s="682"/>
      <c r="CD409" s="682"/>
      <c r="CE409" s="682"/>
      <c r="CF409" s="682"/>
      <c r="CG409" s="682"/>
      <c r="CH409" s="682"/>
      <c r="CI409" s="682"/>
      <c r="CJ409" s="682"/>
      <c r="CK409" s="682"/>
      <c r="CL409" s="159"/>
      <c r="CM409" s="159"/>
      <c r="CN409" s="159"/>
      <c r="CO409" s="159"/>
      <c r="CP409" s="159"/>
      <c r="CQ409" s="159"/>
      <c r="CR409" s="159"/>
      <c r="CS409" s="159"/>
      <c r="CT409" s="159"/>
      <c r="CU409" s="702"/>
      <c r="CV409" s="6"/>
      <c r="CW409" s="6"/>
      <c r="CX409" s="6"/>
      <c r="CY409" s="6"/>
      <c r="CZ409" s="6"/>
      <c r="DA409" s="6"/>
      <c r="DB409" s="6"/>
      <c r="DC409" s="6"/>
      <c r="DD409" s="6"/>
      <c r="DE409" s="6"/>
      <c r="DF409" s="6"/>
      <c r="DG409" s="6"/>
      <c r="DH409" s="6"/>
      <c r="DI409" s="6"/>
      <c r="DJ409" s="6"/>
      <c r="DK409" s="6"/>
      <c r="DL409" s="682"/>
      <c r="DM409" s="682"/>
      <c r="DN409" s="682"/>
      <c r="DO409" s="682"/>
      <c r="DP409" s="682"/>
      <c r="DQ409" s="682"/>
      <c r="DR409" s="682"/>
      <c r="DS409" s="159"/>
      <c r="DT409" s="159"/>
      <c r="DU409" s="159"/>
      <c r="DV409" s="159"/>
      <c r="DY409" s="159"/>
      <c r="DZ409" s="159"/>
    </row>
    <row r="410" spans="1:13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82"/>
      <c r="AY410" s="682"/>
      <c r="AZ410" s="682"/>
      <c r="BA410" s="682"/>
      <c r="BB410" s="682"/>
      <c r="BC410" s="682"/>
      <c r="BD410" s="682"/>
      <c r="BE410" s="682"/>
      <c r="BF410" s="682"/>
      <c r="BG410" s="682"/>
      <c r="BH410" s="682"/>
      <c r="BI410" s="682"/>
      <c r="BJ410" s="682"/>
      <c r="BK410" s="682"/>
      <c r="BL410" s="682"/>
      <c r="BM410" s="682"/>
      <c r="BN410" s="682"/>
      <c r="BO410" s="682"/>
      <c r="BP410" s="682"/>
      <c r="BQ410" s="682"/>
      <c r="BR410" s="682"/>
      <c r="BS410" s="682"/>
      <c r="BT410" s="682"/>
      <c r="BU410" s="682"/>
      <c r="BV410" s="682"/>
      <c r="BW410" s="682"/>
      <c r="BX410" s="682"/>
      <c r="BY410" s="682"/>
      <c r="BZ410" s="682"/>
      <c r="CA410" s="682"/>
      <c r="CB410" s="682"/>
      <c r="CC410" s="682"/>
      <c r="CD410" s="682"/>
      <c r="CE410" s="682"/>
      <c r="CF410" s="682"/>
      <c r="CG410" s="682"/>
      <c r="CH410" s="682"/>
      <c r="CI410" s="682"/>
      <c r="CJ410" s="682"/>
      <c r="CK410" s="682"/>
      <c r="CL410" s="159"/>
      <c r="CM410" s="159"/>
      <c r="CN410" s="159"/>
      <c r="CO410" s="159"/>
      <c r="CP410" s="159"/>
      <c r="CQ410" s="159"/>
      <c r="CR410" s="159"/>
      <c r="CS410" s="159"/>
      <c r="CT410" s="159"/>
      <c r="CU410" s="702"/>
      <c r="CV410" s="6"/>
      <c r="CW410" s="6"/>
      <c r="CX410" s="6"/>
      <c r="CY410" s="6"/>
      <c r="CZ410" s="6"/>
      <c r="DA410" s="6"/>
      <c r="DB410" s="6"/>
      <c r="DC410" s="6"/>
      <c r="DD410" s="6"/>
      <c r="DE410" s="6"/>
      <c r="DF410" s="6"/>
      <c r="DG410" s="6"/>
      <c r="DH410" s="6"/>
      <c r="DI410" s="6"/>
      <c r="DJ410" s="6"/>
      <c r="DK410" s="6"/>
      <c r="DL410" s="682"/>
      <c r="DM410" s="682"/>
      <c r="DN410" s="682"/>
      <c r="DO410" s="682"/>
      <c r="DP410" s="682"/>
      <c r="DQ410" s="682"/>
      <c r="DR410" s="682"/>
      <c r="DS410" s="159"/>
      <c r="DT410" s="159"/>
      <c r="DU410" s="159"/>
      <c r="DV410" s="159"/>
      <c r="DY410" s="159"/>
      <c r="DZ410" s="159"/>
    </row>
    <row r="411" spans="1:130">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82"/>
      <c r="AY411" s="682"/>
      <c r="AZ411" s="682"/>
      <c r="BA411" s="682"/>
      <c r="BB411" s="682"/>
      <c r="BC411" s="682"/>
      <c r="BD411" s="682"/>
      <c r="BE411" s="682"/>
      <c r="BF411" s="682"/>
      <c r="BG411" s="682"/>
      <c r="BH411" s="682"/>
      <c r="BI411" s="682"/>
      <c r="BJ411" s="682"/>
      <c r="BK411" s="682"/>
      <c r="BL411" s="682"/>
      <c r="BM411" s="682"/>
      <c r="BN411" s="682"/>
      <c r="BO411" s="682"/>
      <c r="BP411" s="682"/>
      <c r="BQ411" s="682"/>
      <c r="BR411" s="682"/>
      <c r="BS411" s="682"/>
      <c r="BT411" s="682"/>
      <c r="BU411" s="682"/>
      <c r="BV411" s="682"/>
      <c r="BW411" s="682"/>
      <c r="BX411" s="682"/>
      <c r="BY411" s="682"/>
      <c r="BZ411" s="682"/>
      <c r="CA411" s="682"/>
      <c r="CB411" s="682"/>
      <c r="CC411" s="682"/>
      <c r="CD411" s="682"/>
      <c r="CE411" s="682"/>
      <c r="CF411" s="682"/>
      <c r="CG411" s="682"/>
      <c r="CH411" s="682"/>
      <c r="CI411" s="682"/>
      <c r="CJ411" s="682"/>
      <c r="CK411" s="682"/>
      <c r="CL411" s="159"/>
      <c r="CM411" s="159"/>
      <c r="CN411" s="159"/>
      <c r="CO411" s="159"/>
      <c r="CP411" s="159"/>
      <c r="CQ411" s="159"/>
      <c r="CR411" s="159"/>
      <c r="CS411" s="159"/>
      <c r="CT411" s="159"/>
      <c r="CU411" s="702"/>
      <c r="CV411" s="6"/>
      <c r="CW411" s="6"/>
      <c r="CX411" s="6"/>
      <c r="CY411" s="6"/>
      <c r="CZ411" s="6"/>
      <c r="DA411" s="6"/>
      <c r="DB411" s="6"/>
      <c r="DC411" s="6"/>
      <c r="DD411" s="6"/>
      <c r="DE411" s="6"/>
      <c r="DF411" s="6"/>
      <c r="DG411" s="6"/>
      <c r="DH411" s="6"/>
      <c r="DI411" s="6"/>
      <c r="DJ411" s="6"/>
      <c r="DK411" s="6"/>
      <c r="DL411" s="682"/>
      <c r="DM411" s="682"/>
      <c r="DN411" s="682"/>
      <c r="DO411" s="682"/>
      <c r="DP411" s="682"/>
      <c r="DQ411" s="682"/>
      <c r="DR411" s="682"/>
      <c r="DS411" s="159"/>
      <c r="DT411" s="159"/>
      <c r="DU411" s="159"/>
      <c r="DV411" s="159"/>
      <c r="DY411" s="159"/>
      <c r="DZ411" s="159"/>
    </row>
    <row r="412" spans="1:130">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82"/>
      <c r="AY412" s="682"/>
      <c r="AZ412" s="682"/>
      <c r="BA412" s="682"/>
      <c r="BB412" s="682"/>
      <c r="BC412" s="682"/>
      <c r="BD412" s="682"/>
      <c r="BE412" s="682"/>
      <c r="BF412" s="682"/>
      <c r="BG412" s="682"/>
      <c r="BH412" s="682"/>
      <c r="BI412" s="682"/>
      <c r="BJ412" s="682"/>
      <c r="BK412" s="682"/>
      <c r="BL412" s="682"/>
      <c r="BM412" s="682"/>
      <c r="BN412" s="682"/>
      <c r="BO412" s="682"/>
      <c r="BP412" s="682"/>
      <c r="BQ412" s="682"/>
      <c r="BR412" s="682"/>
      <c r="BS412" s="682"/>
      <c r="BT412" s="682"/>
      <c r="BU412" s="682"/>
      <c r="BV412" s="682"/>
      <c r="BW412" s="682"/>
      <c r="BX412" s="682"/>
      <c r="BY412" s="682"/>
      <c r="BZ412" s="682"/>
      <c r="CA412" s="682"/>
      <c r="CB412" s="682"/>
      <c r="CC412" s="682"/>
      <c r="CD412" s="682"/>
      <c r="CE412" s="682"/>
      <c r="CF412" s="682"/>
      <c r="CG412" s="682"/>
      <c r="CH412" s="682"/>
      <c r="CI412" s="682"/>
      <c r="CJ412" s="682"/>
      <c r="CK412" s="682"/>
      <c r="CL412" s="159"/>
      <c r="CM412" s="159"/>
      <c r="CN412" s="159"/>
      <c r="CO412" s="159"/>
      <c r="CP412" s="159"/>
      <c r="CQ412" s="159"/>
      <c r="CR412" s="159"/>
      <c r="CS412" s="159"/>
      <c r="CT412" s="159"/>
      <c r="CU412" s="702"/>
      <c r="CV412" s="6"/>
      <c r="CW412" s="6"/>
      <c r="CX412" s="6"/>
      <c r="CY412" s="6"/>
      <c r="CZ412" s="6"/>
      <c r="DA412" s="6"/>
      <c r="DB412" s="6"/>
      <c r="DC412" s="6"/>
      <c r="DD412" s="6"/>
      <c r="DE412" s="6"/>
      <c r="DF412" s="6"/>
      <c r="DG412" s="6"/>
      <c r="DH412" s="6"/>
      <c r="DI412" s="6"/>
      <c r="DJ412" s="6"/>
      <c r="DK412" s="6"/>
      <c r="DL412" s="682"/>
      <c r="DM412" s="682"/>
      <c r="DN412" s="682"/>
      <c r="DO412" s="682"/>
      <c r="DP412" s="682"/>
      <c r="DQ412" s="682"/>
      <c r="DR412" s="682"/>
      <c r="DS412" s="159"/>
      <c r="DT412" s="159"/>
      <c r="DU412" s="159"/>
      <c r="DV412" s="159"/>
      <c r="DY412" s="159"/>
      <c r="DZ412" s="159"/>
    </row>
    <row r="413" spans="1:130">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82"/>
      <c r="AY413" s="682"/>
      <c r="AZ413" s="682"/>
      <c r="BA413" s="682"/>
      <c r="BB413" s="682"/>
      <c r="BC413" s="682"/>
      <c r="BD413" s="682"/>
      <c r="BE413" s="682"/>
      <c r="BF413" s="682"/>
      <c r="BG413" s="682"/>
      <c r="BH413" s="682"/>
      <c r="BI413" s="682"/>
      <c r="BJ413" s="682"/>
      <c r="BK413" s="682"/>
      <c r="BL413" s="682"/>
      <c r="BM413" s="682"/>
      <c r="BN413" s="682"/>
      <c r="BO413" s="682"/>
      <c r="BP413" s="682"/>
      <c r="BQ413" s="682"/>
      <c r="BR413" s="682"/>
      <c r="BS413" s="682"/>
      <c r="BT413" s="682"/>
      <c r="BU413" s="682"/>
      <c r="BV413" s="682"/>
      <c r="BW413" s="682"/>
      <c r="BX413" s="682"/>
      <c r="BY413" s="682"/>
      <c r="BZ413" s="682"/>
      <c r="CA413" s="682"/>
      <c r="CB413" s="682"/>
      <c r="CC413" s="682"/>
      <c r="CD413" s="682"/>
      <c r="CE413" s="682"/>
      <c r="CF413" s="682"/>
      <c r="CG413" s="682"/>
      <c r="CH413" s="682"/>
      <c r="CI413" s="682"/>
      <c r="CJ413" s="682"/>
      <c r="CK413" s="682"/>
      <c r="CL413" s="159"/>
      <c r="CM413" s="159"/>
      <c r="CN413" s="159"/>
      <c r="CO413" s="159"/>
      <c r="CP413" s="159"/>
      <c r="CQ413" s="159"/>
      <c r="CR413" s="159"/>
      <c r="CS413" s="159"/>
      <c r="CT413" s="159"/>
      <c r="CU413" s="702"/>
      <c r="CV413" s="6"/>
      <c r="CW413" s="6"/>
      <c r="CX413" s="6"/>
      <c r="CY413" s="6"/>
      <c r="CZ413" s="6"/>
      <c r="DA413" s="6"/>
      <c r="DB413" s="6"/>
      <c r="DC413" s="6"/>
      <c r="DD413" s="6"/>
      <c r="DE413" s="6"/>
      <c r="DF413" s="6"/>
      <c r="DG413" s="6"/>
      <c r="DH413" s="6"/>
      <c r="DI413" s="6"/>
      <c r="DJ413" s="6"/>
      <c r="DK413" s="6"/>
      <c r="DL413" s="682"/>
      <c r="DM413" s="682"/>
      <c r="DN413" s="682"/>
      <c r="DO413" s="682"/>
      <c r="DP413" s="682"/>
      <c r="DQ413" s="682"/>
      <c r="DR413" s="682"/>
      <c r="DS413" s="159"/>
      <c r="DT413" s="159"/>
      <c r="DU413" s="159"/>
      <c r="DV413" s="159"/>
      <c r="DY413" s="159"/>
      <c r="DZ413" s="159"/>
    </row>
    <row r="414" spans="1:130">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82"/>
      <c r="AY414" s="682"/>
      <c r="AZ414" s="682"/>
      <c r="BA414" s="682"/>
      <c r="BB414" s="682"/>
      <c r="BC414" s="682"/>
      <c r="BD414" s="682"/>
      <c r="BE414" s="682"/>
      <c r="BF414" s="682"/>
      <c r="BG414" s="682"/>
      <c r="BH414" s="682"/>
      <c r="BI414" s="682"/>
      <c r="BJ414" s="682"/>
      <c r="BK414" s="682"/>
      <c r="BL414" s="682"/>
      <c r="BM414" s="682"/>
      <c r="BN414" s="682"/>
      <c r="BO414" s="682"/>
      <c r="BP414" s="682"/>
      <c r="BQ414" s="682"/>
      <c r="BR414" s="682"/>
      <c r="BS414" s="682"/>
      <c r="BT414" s="682"/>
      <c r="BU414" s="682"/>
      <c r="BV414" s="682"/>
      <c r="BW414" s="682"/>
      <c r="BX414" s="682"/>
      <c r="BY414" s="682"/>
      <c r="BZ414" s="682"/>
      <c r="CA414" s="682"/>
      <c r="CB414" s="682"/>
      <c r="CC414" s="682"/>
      <c r="CD414" s="682"/>
      <c r="CE414" s="682"/>
      <c r="CF414" s="682"/>
      <c r="CG414" s="682"/>
      <c r="CH414" s="682"/>
      <c r="CI414" s="682"/>
      <c r="CJ414" s="682"/>
      <c r="CK414" s="682"/>
      <c r="CL414" s="159"/>
      <c r="CM414" s="159"/>
      <c r="CN414" s="159"/>
      <c r="CO414" s="159"/>
      <c r="CP414" s="159"/>
      <c r="CQ414" s="159"/>
      <c r="CR414" s="159"/>
      <c r="CS414" s="159"/>
      <c r="CT414" s="159"/>
      <c r="CU414" s="702"/>
      <c r="CV414" s="6"/>
      <c r="CW414" s="6"/>
      <c r="CX414" s="6"/>
      <c r="CY414" s="6"/>
      <c r="CZ414" s="6"/>
      <c r="DA414" s="6"/>
      <c r="DB414" s="6"/>
      <c r="DC414" s="6"/>
      <c r="DD414" s="6"/>
      <c r="DE414" s="6"/>
      <c r="DF414" s="6"/>
      <c r="DG414" s="6"/>
      <c r="DH414" s="6"/>
      <c r="DI414" s="6"/>
      <c r="DJ414" s="6"/>
      <c r="DK414" s="6"/>
      <c r="DL414" s="682"/>
      <c r="DM414" s="682"/>
      <c r="DN414" s="682"/>
      <c r="DO414" s="682"/>
      <c r="DP414" s="682"/>
      <c r="DQ414" s="682"/>
      <c r="DR414" s="682"/>
      <c r="DS414" s="159"/>
      <c r="DT414" s="159"/>
      <c r="DU414" s="159"/>
      <c r="DV414" s="159"/>
      <c r="DY414" s="159"/>
      <c r="DZ414" s="159"/>
    </row>
    <row r="415" spans="1:130">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82"/>
      <c r="AY415" s="682"/>
      <c r="AZ415" s="682"/>
      <c r="BA415" s="682"/>
      <c r="BB415" s="682"/>
      <c r="BC415" s="682"/>
      <c r="BD415" s="682"/>
      <c r="BE415" s="682"/>
      <c r="BF415" s="682"/>
      <c r="BG415" s="682"/>
      <c r="BH415" s="682"/>
      <c r="BI415" s="682"/>
      <c r="BJ415" s="682"/>
      <c r="BK415" s="682"/>
      <c r="BL415" s="682"/>
      <c r="BM415" s="682"/>
      <c r="BN415" s="682"/>
      <c r="BO415" s="682"/>
      <c r="BP415" s="682"/>
      <c r="BQ415" s="682"/>
      <c r="BR415" s="682"/>
      <c r="BS415" s="682"/>
      <c r="BT415" s="682"/>
      <c r="BU415" s="682"/>
      <c r="BV415" s="682"/>
      <c r="BW415" s="682"/>
      <c r="BX415" s="682"/>
      <c r="BY415" s="682"/>
      <c r="BZ415" s="682"/>
      <c r="CA415" s="682"/>
      <c r="CB415" s="682"/>
      <c r="CC415" s="682"/>
      <c r="CD415" s="682"/>
      <c r="CE415" s="682"/>
      <c r="CF415" s="682"/>
      <c r="CG415" s="682"/>
      <c r="CH415" s="682"/>
      <c r="CI415" s="682"/>
      <c r="CJ415" s="682"/>
      <c r="CK415" s="682"/>
      <c r="CL415" s="159"/>
      <c r="CM415" s="159"/>
      <c r="CN415" s="159"/>
      <c r="CO415" s="159"/>
      <c r="CP415" s="159"/>
      <c r="CQ415" s="159"/>
      <c r="CR415" s="159"/>
      <c r="CS415" s="159"/>
      <c r="CT415" s="159"/>
      <c r="CU415" s="702"/>
      <c r="CV415" s="6"/>
      <c r="CW415" s="6"/>
      <c r="CX415" s="6"/>
      <c r="CY415" s="6"/>
      <c r="CZ415" s="6"/>
      <c r="DA415" s="6"/>
      <c r="DB415" s="6"/>
      <c r="DC415" s="6"/>
      <c r="DD415" s="6"/>
      <c r="DE415" s="6"/>
      <c r="DF415" s="6"/>
      <c r="DG415" s="6"/>
      <c r="DH415" s="6"/>
      <c r="DI415" s="6"/>
      <c r="DJ415" s="6"/>
      <c r="DK415" s="6"/>
      <c r="DL415" s="682"/>
      <c r="DM415" s="682"/>
      <c r="DN415" s="682"/>
      <c r="DO415" s="682"/>
      <c r="DP415" s="682"/>
      <c r="DQ415" s="682"/>
      <c r="DR415" s="682"/>
      <c r="DS415" s="159"/>
      <c r="DT415" s="159"/>
      <c r="DU415" s="159"/>
      <c r="DV415" s="159"/>
      <c r="DY415" s="159"/>
      <c r="DZ415" s="159"/>
    </row>
  </sheetData>
  <pageMargins left="0.7" right="0.7" top="0.75" bottom="0.75" header="0.3" footer="0.3"/>
  <pageSetup paperSize="9" orientation="portrait" r:id="rId1"/>
  <ignoredErrors>
    <ignoredError sqref="AV376:BG377 AV378:BB378 BD378 AV371:BF374 AV379:BG382 BL376:BN377 BL379:BN382 BL371:BL374 CU376:DE382 A370:BO370 BP370:BP374 BP376:BP377 DI11:DL11 DF34:DK35 A300:BP300 DW370:DX370 CU370:DL375 A363:AP363 CU363:DL363 DF241 A89:BJ89 A73:BB73 CV73:DL73 A82:BB82 CU300:DF300 DF41:DL44 CU84:DL88 A80:BS80 A88:BR88 A83:BP87 BP363:BQ363 A375:BQ375 A74:BP78 BU86 BR83:BR84 BR74:BR75 BU77 BS375:BV375 BV363 DF368:DL369 DF376:DL405 DW300:DX300 DL34 DK196 CU80:DL80 CV74:DJ74 DL74 BU74:BU75 BU88:BV88 BU83:BU84 DW375:DX375 DW363:DX363 DW82:DX89 BU80:BV80 CV82:DL83 CV89:DL89 DI7:DL9 DF30:DL32 DH200:DK200 DK198:DK199 DK189:DO189 DG104:DL104 DG98:DL99 DG102:DJ103 DK192:DO192 DF239:DL239 DF105:DM121 DH241:DL241 DK190:DM190 DO190 DH300:DL300 EA370:XFD370 EA300:XFD300 EA375:XFD375 EA363:XFD363 EA82:XFD89 EA80:XFD80 DW80:DX80 DW73:DX78 EA73:XFD78 CU75:DL78 DG100:DH100" formulaRange="1"/>
    <ignoredError sqref="A234:BP234 A224:BO224 A243:BP243 A235:BO235 A253:BP253 A245:BO245 CU253:DL253 CV225:DL225 BR234:BV234 CV234:DL237 CU251:DE251 CU224:DL224 A241:AW241 A236:BM236 A251:AW251 A246:BN246 BR243:BV243 DW224:DX226 DW253:DX253 B229 B225:AP225 A226:AP226 B237:AP237 B247:AP247 B249:AP249 A248:AP248 B239:AP239 A238:AP238 DW234:DX236 CV245:DE249 DW248:DX249 DW229:DX229 CV229:DL229 CV226:DE226 CV238:DE239 AY241:BO241 AY251:BO251 DX245:DX247 DX237:DX239 BW174 EA224:XFD226 EA253:XFD253 EA229:XFD229 EA245:XFD249 EA234:XFD239 EA251:XFD251 DW251:DX251 EA241:XFD241 DX241 CV241:DE241 EA243:XFD243 DX243 CV243:DE243" formula="1"/>
    <ignoredError sqref="BP378 DF245:DL247 DK191:DO191 DF243:DL243" formula="1" formulaRange="1"/>
  </ignoredError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F352"/>
  <sheetViews>
    <sheetView zoomScaleNormal="100" workbookViewId="0">
      <pane xSplit="2" ySplit="2" topLeftCell="CH93" activePane="bottomRight" state="frozen"/>
      <selection pane="bottomRight" activeCell="CN12" sqref="CN11:CN12"/>
      <selection pane="bottomLeft" activeCell="A3" sqref="A3"/>
      <selection pane="topRight" activeCell="C1" sqref="C1"/>
    </sheetView>
  </sheetViews>
  <sheetFormatPr defaultColWidth="9.140625" defaultRowHeight="15"/>
  <cols>
    <col min="1" max="1" width="2.5703125" style="904" customWidth="1"/>
    <col min="2" max="2" width="46.140625" style="905" customWidth="1"/>
    <col min="3" max="46" width="9.140625" style="905" customWidth="1"/>
    <col min="47" max="54" width="10.7109375" style="905" bestFit="1" customWidth="1"/>
    <col min="55" max="55" width="12.42578125" style="905" bestFit="1" customWidth="1"/>
    <col min="56" max="62" width="10.7109375" style="905" bestFit="1" customWidth="1"/>
    <col min="63" max="71" width="10.5703125" style="905" customWidth="1"/>
    <col min="72" max="94" width="11.5703125" style="905" bestFit="1" customWidth="1"/>
    <col min="95" max="95" width="10.5703125" style="905" customWidth="1"/>
    <col min="96" max="96" width="11.5703125" style="905" bestFit="1" customWidth="1"/>
    <col min="98" max="98" width="9.140625" style="905"/>
    <col min="99" max="101" width="9.140625" style="905" hidden="1" customWidth="1"/>
    <col min="102" max="109" width="10.5703125" style="905" hidden="1" customWidth="1"/>
    <col min="110" max="115" width="10.85546875" style="905" hidden="1" customWidth="1"/>
    <col min="116" max="121" width="11.140625" style="905" customWidth="1"/>
    <col min="122" max="124" width="11.7109375" style="904" bestFit="1" customWidth="1"/>
    <col min="125" max="125" width="12.5703125" style="904" bestFit="1" customWidth="1"/>
    <col min="126" max="126" width="33.85546875" style="904" bestFit="1" customWidth="1"/>
    <col min="127" max="127" width="9.140625" style="904"/>
    <col min="128" max="129" width="11.140625" style="904" customWidth="1"/>
    <col min="130" max="136" width="9.140625" style="904"/>
    <col min="137" max="16384" width="9.140625" style="905"/>
  </cols>
  <sheetData>
    <row r="1" spans="1:129">
      <c r="A1" s="592"/>
      <c r="B1" s="935"/>
      <c r="C1" s="899"/>
      <c r="D1" s="899"/>
      <c r="E1" s="899"/>
      <c r="F1" s="899"/>
      <c r="G1" s="899"/>
      <c r="H1" s="899"/>
      <c r="I1" s="899"/>
      <c r="J1" s="899"/>
      <c r="K1" s="899"/>
      <c r="L1" s="899"/>
      <c r="M1" s="899"/>
      <c r="N1" s="899"/>
      <c r="O1" s="899"/>
      <c r="P1" s="899"/>
      <c r="Q1" s="899"/>
      <c r="R1" s="899"/>
      <c r="S1" s="899"/>
      <c r="T1" s="899"/>
      <c r="U1" s="899"/>
      <c r="V1" s="899"/>
      <c r="W1" s="899"/>
      <c r="X1" s="899"/>
      <c r="Y1" s="899"/>
      <c r="Z1" s="899"/>
      <c r="AA1" s="899"/>
      <c r="AB1" s="899"/>
      <c r="AC1" s="899"/>
      <c r="AD1" s="899"/>
      <c r="AE1" s="899"/>
      <c r="AF1" s="899"/>
      <c r="AG1" s="899"/>
      <c r="AH1" s="899"/>
      <c r="AI1" s="899"/>
      <c r="AJ1" s="899"/>
      <c r="AK1" s="899"/>
      <c r="AL1" s="899"/>
      <c r="AM1" s="899"/>
      <c r="AN1" s="900"/>
      <c r="AO1" s="900"/>
      <c r="AP1" s="900"/>
      <c r="AQ1" s="900"/>
      <c r="AR1" s="900"/>
      <c r="AS1" s="900"/>
      <c r="AT1" s="900"/>
      <c r="AU1" s="901"/>
      <c r="AV1" s="901"/>
      <c r="AW1" s="901"/>
      <c r="AX1" s="901"/>
      <c r="AY1" s="901"/>
      <c r="AZ1" s="902"/>
      <c r="BA1" s="901"/>
      <c r="BB1" s="901"/>
      <c r="BC1" s="901"/>
      <c r="BD1" s="901"/>
      <c r="BE1" s="901"/>
      <c r="BF1" s="901"/>
      <c r="BG1" s="901"/>
      <c r="BH1" s="901"/>
      <c r="BI1" s="901"/>
      <c r="BJ1" s="901"/>
      <c r="BK1" s="901"/>
      <c r="BL1" s="901"/>
      <c r="BM1" s="901"/>
      <c r="BN1" s="901"/>
      <c r="BO1" s="901"/>
      <c r="BP1" s="901"/>
      <c r="BQ1" s="901"/>
      <c r="BR1" s="901"/>
      <c r="BS1" s="901"/>
      <c r="BT1" s="901"/>
      <c r="BU1" s="901"/>
      <c r="BV1" s="901"/>
      <c r="BW1" s="901"/>
      <c r="BX1" s="901"/>
      <c r="BY1" s="901"/>
      <c r="BZ1" s="901"/>
      <c r="CA1" s="901"/>
      <c r="CB1" s="901"/>
      <c r="CC1" s="901"/>
      <c r="CD1" s="901"/>
      <c r="CE1" s="901"/>
      <c r="CF1" s="901"/>
      <c r="CG1" s="901"/>
      <c r="CH1" s="901"/>
      <c r="CI1" s="901"/>
      <c r="CJ1" s="901"/>
      <c r="CK1" s="901"/>
      <c r="CL1" s="901"/>
      <c r="CM1" s="901"/>
      <c r="CN1" s="901"/>
      <c r="CO1" s="901"/>
      <c r="CP1" s="901"/>
      <c r="CQ1" s="901"/>
      <c r="CR1" s="901"/>
      <c r="CT1" s="901"/>
      <c r="CU1" s="901"/>
      <c r="CV1" s="901"/>
      <c r="CW1" s="901"/>
      <c r="CX1" s="901"/>
      <c r="CY1" s="903"/>
      <c r="CZ1" s="903"/>
      <c r="DA1" s="903"/>
      <c r="DB1" s="903"/>
      <c r="DC1" s="903"/>
      <c r="DD1" s="903"/>
      <c r="DE1" s="903"/>
      <c r="DF1" s="903"/>
      <c r="DG1" s="903"/>
      <c r="DH1" s="903"/>
      <c r="DI1" s="903"/>
      <c r="DJ1" s="903"/>
      <c r="DK1" s="903"/>
      <c r="DL1" s="903"/>
      <c r="DM1" s="903"/>
      <c r="DN1" s="903"/>
      <c r="DO1" s="903"/>
      <c r="DP1" s="903"/>
      <c r="DQ1" s="903"/>
    </row>
    <row r="2" spans="1:129">
      <c r="A2" s="592"/>
      <c r="B2" s="936" t="s">
        <v>58</v>
      </c>
      <c r="C2" s="937">
        <v>38077</v>
      </c>
      <c r="D2" s="937">
        <v>38168</v>
      </c>
      <c r="E2" s="937">
        <v>38260</v>
      </c>
      <c r="F2" s="937">
        <v>38351</v>
      </c>
      <c r="G2" s="937">
        <v>38441</v>
      </c>
      <c r="H2" s="937">
        <v>38533</v>
      </c>
      <c r="I2" s="937">
        <v>38625</v>
      </c>
      <c r="J2" s="937">
        <v>38717</v>
      </c>
      <c r="K2" s="937">
        <v>38806</v>
      </c>
      <c r="L2" s="937">
        <v>38898</v>
      </c>
      <c r="M2" s="937">
        <v>38990</v>
      </c>
      <c r="N2" s="937">
        <v>39082</v>
      </c>
      <c r="O2" s="937">
        <v>39172</v>
      </c>
      <c r="P2" s="937">
        <v>39263</v>
      </c>
      <c r="Q2" s="937">
        <v>39355</v>
      </c>
      <c r="R2" s="937">
        <v>39447</v>
      </c>
      <c r="S2" s="937">
        <v>39538</v>
      </c>
      <c r="T2" s="937">
        <v>39629</v>
      </c>
      <c r="U2" s="937">
        <v>39721</v>
      </c>
      <c r="V2" s="937">
        <v>39813</v>
      </c>
      <c r="W2" s="937">
        <v>39903</v>
      </c>
      <c r="X2" s="937">
        <v>39994</v>
      </c>
      <c r="Y2" s="937">
        <v>40086</v>
      </c>
      <c r="Z2" s="937">
        <v>40178</v>
      </c>
      <c r="AA2" s="937">
        <v>40268</v>
      </c>
      <c r="AB2" s="937">
        <v>40359</v>
      </c>
      <c r="AC2" s="937">
        <v>40451</v>
      </c>
      <c r="AD2" s="937">
        <v>40543</v>
      </c>
      <c r="AE2" s="937">
        <v>40633</v>
      </c>
      <c r="AF2" s="937">
        <v>40724</v>
      </c>
      <c r="AG2" s="937">
        <v>40816</v>
      </c>
      <c r="AH2" s="937">
        <v>40908</v>
      </c>
      <c r="AI2" s="937">
        <v>40999</v>
      </c>
      <c r="AJ2" s="937">
        <v>41090</v>
      </c>
      <c r="AK2" s="937">
        <v>41182</v>
      </c>
      <c r="AL2" s="937">
        <v>41274</v>
      </c>
      <c r="AM2" s="937">
        <v>41364</v>
      </c>
      <c r="AN2" s="937">
        <v>41455</v>
      </c>
      <c r="AO2" s="937">
        <v>41547</v>
      </c>
      <c r="AP2" s="937">
        <v>41639</v>
      </c>
      <c r="AQ2" s="937">
        <v>41729</v>
      </c>
      <c r="AR2" s="937">
        <v>41820</v>
      </c>
      <c r="AS2" s="937">
        <v>41912</v>
      </c>
      <c r="AT2" s="937">
        <v>42004</v>
      </c>
      <c r="AU2" s="937">
        <v>42094</v>
      </c>
      <c r="AV2" s="937">
        <v>42185</v>
      </c>
      <c r="AW2" s="937">
        <v>42277</v>
      </c>
      <c r="AX2" s="937">
        <v>42369</v>
      </c>
      <c r="AY2" s="937">
        <v>42460</v>
      </c>
      <c r="AZ2" s="938">
        <v>42551</v>
      </c>
      <c r="BA2" s="937">
        <v>42643</v>
      </c>
      <c r="BB2" s="937">
        <v>42735</v>
      </c>
      <c r="BC2" s="937">
        <v>42825</v>
      </c>
      <c r="BD2" s="937">
        <v>42916</v>
      </c>
      <c r="BE2" s="937">
        <v>43008</v>
      </c>
      <c r="BF2" s="937">
        <v>43100</v>
      </c>
      <c r="BG2" s="937">
        <v>43190</v>
      </c>
      <c r="BH2" s="937">
        <v>43281</v>
      </c>
      <c r="BI2" s="937">
        <v>43373</v>
      </c>
      <c r="BJ2" s="937">
        <v>43465</v>
      </c>
      <c r="BK2" s="937">
        <v>43555</v>
      </c>
      <c r="BL2" s="937">
        <v>43646</v>
      </c>
      <c r="BM2" s="937">
        <v>43738</v>
      </c>
      <c r="BN2" s="937">
        <v>43830</v>
      </c>
      <c r="BO2" s="937">
        <v>43921</v>
      </c>
      <c r="BP2" s="937">
        <v>44012</v>
      </c>
      <c r="BQ2" s="937">
        <v>44104</v>
      </c>
      <c r="BR2" s="937">
        <v>44196</v>
      </c>
      <c r="BS2" s="937">
        <v>44286</v>
      </c>
      <c r="BT2" s="937">
        <v>44377</v>
      </c>
      <c r="BU2" s="937">
        <v>44469</v>
      </c>
      <c r="BV2" s="937">
        <v>44561</v>
      </c>
      <c r="BW2" s="937">
        <v>44651</v>
      </c>
      <c r="BX2" s="937">
        <v>44742</v>
      </c>
      <c r="BY2" s="937">
        <v>44834</v>
      </c>
      <c r="BZ2" s="937">
        <v>44926</v>
      </c>
      <c r="CA2" s="937">
        <v>45016</v>
      </c>
      <c r="CB2" s="937">
        <v>45107</v>
      </c>
      <c r="CC2" s="937">
        <v>45199</v>
      </c>
      <c r="CD2" s="937">
        <v>45291</v>
      </c>
      <c r="CE2" s="937">
        <v>45382</v>
      </c>
      <c r="CF2" s="937">
        <v>45473</v>
      </c>
      <c r="CG2" s="937">
        <v>45565</v>
      </c>
      <c r="CH2" s="937">
        <v>45657</v>
      </c>
      <c r="CI2" s="937">
        <f>+CH2+90</f>
        <v>45747</v>
      </c>
      <c r="CJ2" s="937">
        <f t="shared" ref="CJ2:CL2" si="0">+CI2+90</f>
        <v>45837</v>
      </c>
      <c r="CK2" s="937">
        <f t="shared" si="0"/>
        <v>45927</v>
      </c>
      <c r="CL2" s="937">
        <f t="shared" si="0"/>
        <v>46017</v>
      </c>
      <c r="CM2" s="937">
        <f t="shared" ref="CM2" si="1">+CL2+90</f>
        <v>46107</v>
      </c>
      <c r="CN2" s="937">
        <f t="shared" ref="CN2" si="2">+CM2+90</f>
        <v>46197</v>
      </c>
      <c r="CO2" s="937">
        <f t="shared" ref="CO2" si="3">+CN2+90</f>
        <v>46287</v>
      </c>
      <c r="CP2" s="937">
        <f t="shared" ref="CP2" si="4">+CO2+90</f>
        <v>46377</v>
      </c>
      <c r="CQ2" s="937"/>
      <c r="CR2" s="937">
        <v>46017</v>
      </c>
      <c r="CT2" s="937"/>
      <c r="CU2" s="937"/>
      <c r="CV2" s="937"/>
      <c r="CW2" s="937"/>
      <c r="CX2" s="937">
        <v>39447</v>
      </c>
      <c r="CY2" s="937">
        <v>39813</v>
      </c>
      <c r="CZ2" s="937">
        <v>40178</v>
      </c>
      <c r="DA2" s="937">
        <v>40543</v>
      </c>
      <c r="DB2" s="937">
        <v>40908</v>
      </c>
      <c r="DC2" s="937">
        <v>41274</v>
      </c>
      <c r="DD2" s="937">
        <v>41639</v>
      </c>
      <c r="DE2" s="1635">
        <v>2014</v>
      </c>
      <c r="DF2" s="1635">
        <f>+DE2+1</f>
        <v>2015</v>
      </c>
      <c r="DG2" s="1635">
        <f t="shared" ref="DG2:DR2" si="5">+DF2+1</f>
        <v>2016</v>
      </c>
      <c r="DH2" s="1635">
        <f t="shared" si="5"/>
        <v>2017</v>
      </c>
      <c r="DI2" s="1635">
        <f t="shared" si="5"/>
        <v>2018</v>
      </c>
      <c r="DJ2" s="1635">
        <f t="shared" si="5"/>
        <v>2019</v>
      </c>
      <c r="DK2" s="1635">
        <f t="shared" si="5"/>
        <v>2020</v>
      </c>
      <c r="DL2" s="1635">
        <f t="shared" si="5"/>
        <v>2021</v>
      </c>
      <c r="DM2" s="1635">
        <f t="shared" si="5"/>
        <v>2022</v>
      </c>
      <c r="DN2" s="1635">
        <f t="shared" si="5"/>
        <v>2023</v>
      </c>
      <c r="DO2" s="1635">
        <f t="shared" ref="DO2:DQ2" si="6">+DN2+1</f>
        <v>2024</v>
      </c>
      <c r="DP2" s="1635">
        <f t="shared" si="6"/>
        <v>2025</v>
      </c>
      <c r="DQ2" s="1635">
        <f t="shared" si="6"/>
        <v>2026</v>
      </c>
      <c r="DR2" s="1635">
        <f t="shared" si="5"/>
        <v>2027</v>
      </c>
      <c r="DS2" s="1635">
        <f t="shared" ref="DS2:DU2" si="7">+DR2+1</f>
        <v>2028</v>
      </c>
      <c r="DT2" s="1635">
        <f t="shared" si="7"/>
        <v>2029</v>
      </c>
      <c r="DU2" s="1635">
        <f t="shared" si="7"/>
        <v>2030</v>
      </c>
      <c r="DX2" s="1635">
        <v>2026</v>
      </c>
      <c r="DY2" s="1635">
        <v>2027</v>
      </c>
    </row>
    <row r="3" spans="1:129" s="590" customFormat="1">
      <c r="A3" s="943"/>
      <c r="B3" s="597" t="s">
        <v>168</v>
      </c>
      <c r="C3" s="943">
        <f>FAT!C3</f>
        <v>230277</v>
      </c>
      <c r="D3" s="943">
        <f>FAT!D3</f>
        <v>326148</v>
      </c>
      <c r="E3" s="943">
        <f>FAT!E3</f>
        <v>283436</v>
      </c>
      <c r="F3" s="943">
        <f>FAT!F3</f>
        <v>449394</v>
      </c>
      <c r="G3" s="943">
        <f>FAT!G3</f>
        <v>261957</v>
      </c>
      <c r="H3" s="943">
        <f>FAT!H3</f>
        <v>379185</v>
      </c>
      <c r="I3" s="943">
        <f>FAT!I3</f>
        <v>344395</v>
      </c>
      <c r="J3" s="943">
        <f>FAT!J3</f>
        <v>571973.40899566293</v>
      </c>
      <c r="K3" s="943">
        <f>FAT!K3</f>
        <v>347895.355099654</v>
      </c>
      <c r="L3" s="943">
        <f>FAT!L3</f>
        <v>508600.35202962818</v>
      </c>
      <c r="M3" s="943">
        <f>FAT!M3</f>
        <v>457408.36223056057</v>
      </c>
      <c r="N3" s="943">
        <f>FAT!N3</f>
        <v>723460</v>
      </c>
      <c r="O3" s="943">
        <f>FAT!O3</f>
        <v>450331</v>
      </c>
      <c r="P3" s="943">
        <f>FAT!P3</f>
        <v>651919</v>
      </c>
      <c r="Q3" s="943">
        <f>FAT!Q3</f>
        <v>583136</v>
      </c>
      <c r="R3" s="943">
        <f>FAT!R3</f>
        <v>872743</v>
      </c>
      <c r="S3" s="943">
        <f>FAT!S3</f>
        <v>557955</v>
      </c>
      <c r="T3" s="943">
        <f>FAT!T3</f>
        <v>747079</v>
      </c>
      <c r="U3" s="943">
        <f>FAT!U3</f>
        <v>660961</v>
      </c>
      <c r="V3" s="943">
        <f>FAT!V3</f>
        <v>890242</v>
      </c>
      <c r="W3" s="943">
        <f>FAT!W3</f>
        <v>537450</v>
      </c>
      <c r="X3" s="943">
        <f>FAT!X3</f>
        <v>803683</v>
      </c>
      <c r="Y3" s="943">
        <f>FAT!Y3</f>
        <v>715447</v>
      </c>
      <c r="Z3" s="943">
        <f>FAT!Z3</f>
        <v>1023895</v>
      </c>
      <c r="AA3" s="943">
        <f>FAT!AA3</f>
        <v>649073</v>
      </c>
      <c r="AB3" s="943">
        <f>FAT!AB3</f>
        <v>918672</v>
      </c>
      <c r="AC3" s="943">
        <f>FAT!AC3</f>
        <v>835227</v>
      </c>
      <c r="AD3" s="943">
        <f>FAT!AD3</f>
        <v>1176249.8686835519</v>
      </c>
      <c r="AE3" s="943">
        <f>FAT!AE3</f>
        <v>773464.62548783398</v>
      </c>
      <c r="AF3" s="943">
        <f>FAT!AF3</f>
        <v>1089692.6831359353</v>
      </c>
      <c r="AG3" s="943">
        <f>FAT!AG3</f>
        <v>963449.20080610912</v>
      </c>
      <c r="AH3" s="943">
        <f>FAT!AH3</f>
        <v>1387228.5361983494</v>
      </c>
      <c r="AI3" s="943">
        <f>FAT!AI3</f>
        <v>918699.64946443448</v>
      </c>
      <c r="AJ3" s="943">
        <f>FAT!AJ3</f>
        <v>1243546.6089249528</v>
      </c>
      <c r="AK3" s="943">
        <f>FAT!AK3</f>
        <v>1175907.7447946665</v>
      </c>
      <c r="AL3" s="943">
        <f>FAT!AL3</f>
        <v>1689611.4039919563</v>
      </c>
      <c r="AM3" s="943">
        <f>FAT!AM3</f>
        <v>1079840.4797581129</v>
      </c>
      <c r="AN3" s="943">
        <f>FAT!AN3</f>
        <v>1379462.688556043</v>
      </c>
      <c r="AO3" s="943">
        <f>FAT!AO3</f>
        <v>1327255.5181266945</v>
      </c>
      <c r="AP3" s="943">
        <f>FAT!AP3</f>
        <v>1901389.973808028</v>
      </c>
      <c r="AQ3" s="943">
        <f>FAT!AQ3</f>
        <v>1214566.2675160414</v>
      </c>
      <c r="AR3" s="943">
        <f>FAT!AR3</f>
        <v>1630176.7093056163</v>
      </c>
      <c r="AS3" s="943">
        <f>FAT!AS3</f>
        <v>1558376.2768352625</v>
      </c>
      <c r="AT3" s="943">
        <f>FAT!AT3</f>
        <v>2377750.6426156089</v>
      </c>
      <c r="AU3" s="943">
        <f>FAT!AU3</f>
        <v>1516973.8811564951</v>
      </c>
      <c r="AV3" s="943">
        <f>FAT!AV3</f>
        <v>1993749.2674848172</v>
      </c>
      <c r="AW3" s="943">
        <f>FAT!AW3</f>
        <v>1842459.9499985608</v>
      </c>
      <c r="AX3" s="943">
        <f>FAT!AX3</f>
        <v>2630530.293373948</v>
      </c>
      <c r="AY3" s="943">
        <f>FAT!AY3</f>
        <v>1612396.0359333081</v>
      </c>
      <c r="AZ3" s="945">
        <f>FAT!AZ3</f>
        <v>2141382.1957798055</v>
      </c>
      <c r="BA3" s="943">
        <f>FAT!BA3</f>
        <v>1872449.7535556373</v>
      </c>
      <c r="BB3" s="943">
        <f>FAT!BB3</f>
        <v>2755298.9192911386</v>
      </c>
      <c r="BC3" s="943">
        <v>1840704</v>
      </c>
      <c r="BD3" s="943">
        <v>2367643</v>
      </c>
      <c r="BE3" s="943">
        <f>FAT!BE3</f>
        <v>2231419</v>
      </c>
      <c r="BF3" s="943">
        <f>FAT!BF3</f>
        <v>3163512</v>
      </c>
      <c r="BG3" s="943">
        <f>FAT!BG3</f>
        <v>2067857</v>
      </c>
      <c r="BH3" s="943">
        <f>FAT!BH3</f>
        <v>2583715.5376799996</v>
      </c>
      <c r="BI3" s="943">
        <f>FAT!BI3</f>
        <v>2480005</v>
      </c>
      <c r="BJ3" s="943">
        <f>FAT!BJ3</f>
        <v>3873312</v>
      </c>
      <c r="BK3" s="943">
        <f>FAT!BK3</f>
        <v>2552363</v>
      </c>
      <c r="BL3" s="943">
        <f>FAT!BL3</f>
        <v>3097696</v>
      </c>
      <c r="BM3" s="943">
        <f>FAT!BM3</f>
        <v>2991101</v>
      </c>
      <c r="BN3" s="943">
        <f>FAT!BN3</f>
        <v>4315726</v>
      </c>
      <c r="BO3" s="943">
        <f>FAT!BO3</f>
        <v>2478859</v>
      </c>
      <c r="BP3" s="943">
        <f>FAT!BP3</f>
        <v>1031541</v>
      </c>
      <c r="BQ3" s="943">
        <f>FAT!BQ3</f>
        <v>2536668</v>
      </c>
      <c r="BR3" s="943">
        <f>FAT!BR3</f>
        <v>4294537</v>
      </c>
      <c r="BS3" s="943">
        <f>FAT!BS3</f>
        <v>2151767</v>
      </c>
      <c r="BT3" s="943">
        <f>FAT!BT3</f>
        <v>3399787</v>
      </c>
      <c r="BU3" s="943">
        <f>FAT!BU3</f>
        <v>3566944</v>
      </c>
      <c r="BV3" s="943">
        <f>FAT!BV3</f>
        <v>5272503</v>
      </c>
      <c r="BW3" s="943">
        <f>FAT!BW3</f>
        <v>3483965</v>
      </c>
      <c r="BX3" s="943">
        <f>FAT!BX3</f>
        <v>4887156</v>
      </c>
      <c r="BY3" s="943">
        <f>FAT!BY3</f>
        <v>4035196</v>
      </c>
      <c r="BZ3" s="943">
        <f>FAT!BZ3</f>
        <v>5417422</v>
      </c>
      <c r="CA3" s="943">
        <f>FAT!CA3</f>
        <v>3707381</v>
      </c>
      <c r="CB3" s="943">
        <f>FAT!CB3</f>
        <v>4742882</v>
      </c>
      <c r="CC3" s="943">
        <f>FAT!CC3</f>
        <v>4181816</v>
      </c>
      <c r="CD3" s="943">
        <f>FAT!CD3</f>
        <v>6306244</v>
      </c>
      <c r="CE3" s="943">
        <f>FAT!CE3</f>
        <v>3664852</v>
      </c>
      <c r="CF3" s="943">
        <f>FAT!CF3</f>
        <v>4491414</v>
      </c>
      <c r="CG3" s="943">
        <f>FAT!CG3</f>
        <v>4320214</v>
      </c>
      <c r="CH3" s="943">
        <v>5924561</v>
      </c>
      <c r="CI3" s="943">
        <f>FAT!CI3</f>
        <v>4128219</v>
      </c>
      <c r="CJ3" s="943">
        <f>FAT!CJ3</f>
        <v>5347166</v>
      </c>
      <c r="CK3" s="943">
        <f>FAT!CK3</f>
        <v>4549679</v>
      </c>
      <c r="CL3" s="946">
        <f>FAT!CL3</f>
        <v>6218948.9116749661</v>
      </c>
      <c r="CM3" s="946">
        <f>FAT!CM3</f>
        <v>4380421.4627182204</v>
      </c>
      <c r="CN3" s="946">
        <f>FAT!CN3</f>
        <v>5587574.3526503732</v>
      </c>
      <c r="CO3" s="946">
        <f>FAT!CO3</f>
        <v>4911049.8249388551</v>
      </c>
      <c r="CP3" s="946">
        <f>FAT!CP3</f>
        <v>6756780.5710140094</v>
      </c>
      <c r="CQ3" s="946"/>
      <c r="CR3" s="946">
        <v>6218948.9116749661</v>
      </c>
      <c r="CT3" s="1134">
        <f>+CH3/CR3-1</f>
        <v>-4.7337245546800633E-2</v>
      </c>
      <c r="CU3" s="943"/>
      <c r="CV3" s="943"/>
      <c r="CW3" s="943"/>
      <c r="CX3" s="947">
        <f>SUM(O3:R3)</f>
        <v>2558129</v>
      </c>
      <c r="CY3" s="947">
        <f>SUM(S3:V3)</f>
        <v>2856237</v>
      </c>
      <c r="CZ3" s="947">
        <f>SUM(W3:Z3)</f>
        <v>3080475</v>
      </c>
      <c r="DA3" s="947">
        <f>SUM(AA3:AD3)</f>
        <v>3579221.8686835519</v>
      </c>
      <c r="DB3" s="947">
        <f>SUM(AE3:AH3)</f>
        <v>4213835.0456282282</v>
      </c>
      <c r="DC3" s="943">
        <f>+SUM(AI3:AL3)</f>
        <v>5027765.4071760103</v>
      </c>
      <c r="DD3" s="943">
        <f>+SUM(AM3:AP3)</f>
        <v>5687948.6602488784</v>
      </c>
      <c r="DE3" s="943">
        <f>+SUM(AQ3:AT3)</f>
        <v>6780869.8962725289</v>
      </c>
      <c r="DF3" s="943">
        <f>+SUM(AU3:AX3)</f>
        <v>7983713.3920138218</v>
      </c>
      <c r="DG3" s="943">
        <f>FAT!DH3</f>
        <v>8381526.9045598898</v>
      </c>
      <c r="DH3" s="943">
        <f>FAT!DI3</f>
        <v>9603278</v>
      </c>
      <c r="DI3" s="943">
        <f>FAT!DJ3</f>
        <v>11004889.53768</v>
      </c>
      <c r="DJ3" s="943">
        <f>FAT!DK3</f>
        <v>12956886</v>
      </c>
      <c r="DK3" s="943">
        <f>FAT!DL3</f>
        <v>10341605</v>
      </c>
      <c r="DL3" s="943">
        <f>FAT!DM3</f>
        <v>14391001</v>
      </c>
      <c r="DM3" s="943">
        <f>FAT!DN3</f>
        <v>17823739</v>
      </c>
      <c r="DN3" s="943">
        <f>FAT!DO3</f>
        <v>18938323</v>
      </c>
      <c r="DO3" s="943">
        <f>FAT!DP3</f>
        <v>18401041</v>
      </c>
      <c r="DP3" s="943">
        <f>FAT!DQ3</f>
        <v>20244012.911674969</v>
      </c>
      <c r="DQ3" s="943">
        <f>FAT!DR3</f>
        <v>21635826.211321458</v>
      </c>
      <c r="DR3" s="814">
        <f>FAT!DS3</f>
        <v>23442986.870161004</v>
      </c>
      <c r="DS3" s="814">
        <f>FAT!DT3</f>
        <v>25078919.674068943</v>
      </c>
      <c r="DT3" s="814">
        <f>FAT!DU3</f>
        <v>26820545.665568225</v>
      </c>
      <c r="DU3" s="814">
        <f>FAT!DV3</f>
        <v>28682677.899701457</v>
      </c>
      <c r="DX3" s="814">
        <v>21984944.655630648</v>
      </c>
      <c r="DY3" s="814">
        <v>23787214.155697271</v>
      </c>
    </row>
    <row r="4" spans="1:129" s="904" customFormat="1">
      <c r="A4" s="939"/>
      <c r="B4" s="908" t="s">
        <v>337</v>
      </c>
      <c r="C4" s="939">
        <f>FAT!C15</f>
        <v>-53924</v>
      </c>
      <c r="D4" s="939">
        <f>FAT!D15</f>
        <v>-86679</v>
      </c>
      <c r="E4" s="939">
        <f>FAT!E15</f>
        <v>-73481</v>
      </c>
      <c r="F4" s="939">
        <f>FAT!F15</f>
        <v>-121367</v>
      </c>
      <c r="G4" s="939">
        <f>FAT!G15</f>
        <v>-51753</v>
      </c>
      <c r="H4" s="939">
        <f>FAT!H15</f>
        <v>-83403</v>
      </c>
      <c r="I4" s="939">
        <f>FAT!I15</f>
        <v>-72528</v>
      </c>
      <c r="J4" s="939">
        <f>FAT!J15</f>
        <v>-147698.40899566293</v>
      </c>
      <c r="K4" s="939">
        <f>FAT!K15</f>
        <v>-81143.355099654</v>
      </c>
      <c r="L4" s="939">
        <f>FAT!L15</f>
        <v>-127740.35202962818</v>
      </c>
      <c r="M4" s="939">
        <f>FAT!M15</f>
        <v>-110621.36223056057</v>
      </c>
      <c r="N4" s="939">
        <f>FAT!N15</f>
        <v>-186621</v>
      </c>
      <c r="O4" s="939">
        <f>FAT!O15</f>
        <v>-102776</v>
      </c>
      <c r="P4" s="939">
        <f>FAT!P15</f>
        <v>-161047</v>
      </c>
      <c r="Q4" s="939">
        <f>FAT!Q15</f>
        <v>-139124</v>
      </c>
      <c r="R4" s="939">
        <f>FAT!R15</f>
        <v>-224243</v>
      </c>
      <c r="S4" s="939">
        <f>FAT!S15</f>
        <v>-126158</v>
      </c>
      <c r="T4" s="939">
        <f>FAT!T15</f>
        <v>-180732</v>
      </c>
      <c r="U4" s="939">
        <f>FAT!U15</f>
        <v>-149591</v>
      </c>
      <c r="V4" s="939">
        <f>FAT!V15</f>
        <v>-216749</v>
      </c>
      <c r="W4" s="939">
        <f>FAT!W15</f>
        <v>-118316</v>
      </c>
      <c r="X4" s="939">
        <f>FAT!X15</f>
        <v>-190269</v>
      </c>
      <c r="Y4" s="939">
        <f>FAT!Y15</f>
        <v>-163136</v>
      </c>
      <c r="Z4" s="939">
        <f>FAT!Z15</f>
        <v>-245126</v>
      </c>
      <c r="AA4" s="939">
        <f>FAT!AA15</f>
        <v>-143378</v>
      </c>
      <c r="AB4" s="939">
        <f>FAT!AB15</f>
        <v>-216654</v>
      </c>
      <c r="AC4" s="939">
        <f>FAT!AC15</f>
        <v>-191354</v>
      </c>
      <c r="AD4" s="939">
        <f>FAT!AD15</f>
        <v>-276497.8686835519</v>
      </c>
      <c r="AE4" s="939">
        <f>FAT!AE15</f>
        <v>-174697.62548783392</v>
      </c>
      <c r="AF4" s="939">
        <f>FAT!AF15</f>
        <v>-253273.68313593522</v>
      </c>
      <c r="AG4" s="939">
        <f>FAT!AG15</f>
        <v>-221527.20080610912</v>
      </c>
      <c r="AH4" s="939">
        <f>FAT!AH15</f>
        <v>-325794.53619834944</v>
      </c>
      <c r="AI4" s="939">
        <f>FAT!AI15</f>
        <v>-209423.64946443448</v>
      </c>
      <c r="AJ4" s="939">
        <f>FAT!AJ15</f>
        <v>-288092.6089249528</v>
      </c>
      <c r="AK4" s="939">
        <f>FAT!AK15</f>
        <v>-270849.74479466642</v>
      </c>
      <c r="AL4" s="939">
        <f>FAT!AL15</f>
        <v>-396891.40399195632</v>
      </c>
      <c r="AM4" s="939">
        <f>FAT!AM15</f>
        <v>-245987.47975811281</v>
      </c>
      <c r="AN4" s="939">
        <f>FAT!AN15</f>
        <v>-319060.68855604297</v>
      </c>
      <c r="AO4" s="939">
        <f>FAT!AO15</f>
        <v>-305820.51812669449</v>
      </c>
      <c r="AP4" s="939">
        <f>FAT!AP15</f>
        <v>-446697.97380802804</v>
      </c>
      <c r="AQ4" s="939">
        <f>FAT!AQ15</f>
        <v>-275952.26751604135</v>
      </c>
      <c r="AR4" s="939">
        <f>FAT!AR15</f>
        <v>-374948.70930561644</v>
      </c>
      <c r="AS4" s="939">
        <f>FAT!AS15</f>
        <v>-354573.27683526254</v>
      </c>
      <c r="AT4" s="939">
        <f>FAT!AT15</f>
        <v>-559351.64261560864</v>
      </c>
      <c r="AU4" s="939">
        <f>FAT!AU15</f>
        <v>-343026.88115649507</v>
      </c>
      <c r="AV4" s="939">
        <f>FAT!AV15</f>
        <v>-457348.26748481707</v>
      </c>
      <c r="AW4" s="939">
        <f>FAT!AW15</f>
        <v>-421854.94999856089</v>
      </c>
      <c r="AX4" s="939">
        <f>FAT!AX15</f>
        <v>-616285.29337394796</v>
      </c>
      <c r="AY4" s="939">
        <f>FAT!AY15</f>
        <v>-365027.03593330807</v>
      </c>
      <c r="AZ4" s="940">
        <f>FAT!AZ15</f>
        <v>-493802.19577980548</v>
      </c>
      <c r="BA4" s="939">
        <f>FAT!BA15</f>
        <v>-426620.75355563732</v>
      </c>
      <c r="BB4" s="939">
        <f>FAT!BB15</f>
        <v>-644496.91929113888</v>
      </c>
      <c r="BC4" s="939">
        <v>-425380</v>
      </c>
      <c r="BD4" s="939">
        <f>+BD6-BD3</f>
        <v>-536511</v>
      </c>
      <c r="BE4" s="939">
        <f>FAT!BE15</f>
        <v>-485042</v>
      </c>
      <c r="BF4" s="939">
        <f>FAT!BF15</f>
        <v>-712040</v>
      </c>
      <c r="BG4" s="939">
        <f>FAT!BG15</f>
        <v>-439572</v>
      </c>
      <c r="BH4" s="939">
        <f>FAT!BH15</f>
        <v>-563618.5376799996</v>
      </c>
      <c r="BI4" s="939">
        <f>FAT!BI15</f>
        <v>-536717</v>
      </c>
      <c r="BJ4" s="939">
        <f>FAT!BJ15</f>
        <v>-1038441</v>
      </c>
      <c r="BK4" s="939">
        <f>FAT!BK15</f>
        <v>-660246</v>
      </c>
      <c r="BL4" s="939">
        <f>FAT!BL15</f>
        <v>-805692</v>
      </c>
      <c r="BM4" s="939">
        <f>FAT!BM15</f>
        <v>-765346</v>
      </c>
      <c r="BN4" s="939">
        <f>FAT!BN15</f>
        <v>-1137165</v>
      </c>
      <c r="BO4" s="939">
        <f>FAT!BO15</f>
        <v>-615098</v>
      </c>
      <c r="BP4" s="939">
        <f>FAT!BP15</f>
        <v>-223035</v>
      </c>
      <c r="BQ4" s="939">
        <f>FAT!BQ15</f>
        <v>-746629</v>
      </c>
      <c r="BR4" s="939">
        <f>FAT!BR15</f>
        <v>-1219663</v>
      </c>
      <c r="BS4" s="939">
        <f>FAT!BS15</f>
        <v>-570373</v>
      </c>
      <c r="BT4" s="939">
        <f>FAT!BT15</f>
        <v>-909494</v>
      </c>
      <c r="BU4" s="939">
        <f>FAT!BU15</f>
        <v>-938654.66052999755</v>
      </c>
      <c r="BV4" s="939">
        <f>FAT!BV15</f>
        <v>-1400923.1864500006</v>
      </c>
      <c r="BW4" s="939">
        <f>FAT!BW15</f>
        <v>-870941</v>
      </c>
      <c r="BX4" s="939">
        <f>FAT!BX15</f>
        <v>-1260819</v>
      </c>
      <c r="BY4" s="939">
        <f>FAT!BY15</f>
        <v>-1017564</v>
      </c>
      <c r="BZ4" s="939">
        <f>FAT!BZ15</f>
        <v>-1403278</v>
      </c>
      <c r="CA4" s="939">
        <f>FAT!CA15</f>
        <v>-932089</v>
      </c>
      <c r="CB4" s="939">
        <f>FAT!CB15</f>
        <v>-1238799</v>
      </c>
      <c r="CC4" s="939">
        <f>FAT!CC15</f>
        <v>-1084720</v>
      </c>
      <c r="CD4" s="939">
        <f>FAT!CD15</f>
        <v>-2034866</v>
      </c>
      <c r="CE4" s="939">
        <f>FAT!CE15</f>
        <v>-756603</v>
      </c>
      <c r="CF4" s="939">
        <f>FAT!CF15</f>
        <v>-971023</v>
      </c>
      <c r="CG4" s="939">
        <f>FAT!CG15</f>
        <v>-929705</v>
      </c>
      <c r="CH4" s="939">
        <v>-1307344</v>
      </c>
      <c r="CI4" s="939">
        <f>FAT!CI15</f>
        <v>-870643</v>
      </c>
      <c r="CJ4" s="939">
        <f>FAT!CJ15</f>
        <v>-1179600</v>
      </c>
      <c r="CK4" s="939">
        <f>FAT!CK15</f>
        <v>-986207</v>
      </c>
      <c r="CL4" s="941">
        <f>FAT!CL15</f>
        <v>-1391131.519216801</v>
      </c>
      <c r="CM4" s="941">
        <f>FAT!CM15</f>
        <v>-946187.6023299878</v>
      </c>
      <c r="CN4" s="941">
        <f>FAT!CN15</f>
        <v>-1231523.1183479449</v>
      </c>
      <c r="CO4" s="941">
        <f>FAT!CO15</f>
        <v>-1070341.0854494097</v>
      </c>
      <c r="CP4" s="941">
        <f>FAT!CP15</f>
        <v>-1506598.7015064145</v>
      </c>
      <c r="CQ4" s="941"/>
      <c r="CR4" s="941">
        <v>-1391131.519216801</v>
      </c>
      <c r="CT4" s="939"/>
      <c r="CU4" s="939"/>
      <c r="CV4" s="939"/>
      <c r="CW4" s="939"/>
      <c r="CX4" s="942">
        <f>SUM(O4:R4)</f>
        <v>-627190</v>
      </c>
      <c r="CY4" s="942">
        <f>SUM(S4:V4)</f>
        <v>-673230</v>
      </c>
      <c r="CZ4" s="942">
        <f>SUM(W4:Z4)</f>
        <v>-716847</v>
      </c>
      <c r="DA4" s="942">
        <f>SUM(AA4:AD4)</f>
        <v>-827883.8686835519</v>
      </c>
      <c r="DB4" s="942">
        <f>SUM(AE4:AH4)</f>
        <v>-975293.04562822776</v>
      </c>
      <c r="DC4" s="939">
        <f>+SUM(AI4:AL4)</f>
        <v>-1165257.4071760101</v>
      </c>
      <c r="DD4" s="939">
        <f>+SUM(AM4:AP4)</f>
        <v>-1317566.6602488784</v>
      </c>
      <c r="DE4" s="939">
        <f>+SUM(AQ4:AT4)</f>
        <v>-1564825.8962725289</v>
      </c>
      <c r="DF4" s="939">
        <f>+SUM(AU4:AX4)</f>
        <v>-1838515.3920138211</v>
      </c>
      <c r="DG4" s="939">
        <f>+SUM(AY4:BB4)</f>
        <v>-1929946.9045598898</v>
      </c>
      <c r="DH4" s="939">
        <f>+SUM(BC4:BF4)</f>
        <v>-2158973</v>
      </c>
      <c r="DI4" s="939">
        <f>FAT!DJ15</f>
        <v>-2578348.5376799996</v>
      </c>
      <c r="DJ4" s="939">
        <f>FAT!DK15</f>
        <v>-3368449</v>
      </c>
      <c r="DK4" s="939">
        <f>FAT!DL15</f>
        <v>-2804425</v>
      </c>
      <c r="DL4" s="939">
        <f>FAT!DM15</f>
        <v>-3819444.8469799981</v>
      </c>
      <c r="DM4" s="939">
        <f>FAT!DN15</f>
        <v>-4552602</v>
      </c>
      <c r="DN4" s="939">
        <f>FAT!DO15</f>
        <v>-5290474</v>
      </c>
      <c r="DO4" s="939">
        <f>FAT!DP15</f>
        <v>-3964675</v>
      </c>
      <c r="DP4" s="939">
        <f>FAT!DQ15</f>
        <v>-4427581.519216801</v>
      </c>
      <c r="DQ4" s="939">
        <f>FAT!DR15</f>
        <v>-4754650.5076337568</v>
      </c>
      <c r="DR4" s="813">
        <f>FAT!DS15</f>
        <v>-5151112.1513477294</v>
      </c>
      <c r="DS4" s="813">
        <f>FAT!DT15</f>
        <v>-5538732.4831784759</v>
      </c>
      <c r="DT4" s="813">
        <f>FAT!DU15</f>
        <v>-5946824.6418011505</v>
      </c>
      <c r="DU4" s="813">
        <f>FAT!DV15</f>
        <v>-6385492.324989887</v>
      </c>
      <c r="DX4" s="813">
        <v>-4809653.1111003244</v>
      </c>
      <c r="DY4" s="813">
        <v>-5250745.1264710883</v>
      </c>
    </row>
    <row r="5" spans="1:129" s="904" customFormat="1">
      <c r="A5" s="939"/>
      <c r="B5" s="908"/>
      <c r="C5" s="939"/>
      <c r="D5" s="939"/>
      <c r="E5" s="939"/>
      <c r="F5" s="939"/>
      <c r="G5" s="939"/>
      <c r="H5" s="939"/>
      <c r="I5" s="939"/>
      <c r="J5" s="939"/>
      <c r="K5" s="939"/>
      <c r="L5" s="939"/>
      <c r="M5" s="939"/>
      <c r="N5" s="939"/>
      <c r="O5" s="939"/>
      <c r="P5" s="939"/>
      <c r="Q5" s="939"/>
      <c r="R5" s="939"/>
      <c r="S5" s="939"/>
      <c r="T5" s="939"/>
      <c r="U5" s="939"/>
      <c r="V5" s="939"/>
      <c r="W5" s="939"/>
      <c r="X5" s="939"/>
      <c r="Y5" s="939"/>
      <c r="Z5" s="939"/>
      <c r="AA5" s="939"/>
      <c r="AB5" s="939"/>
      <c r="AC5" s="939"/>
      <c r="AD5" s="939"/>
      <c r="AE5" s="939"/>
      <c r="AF5" s="939"/>
      <c r="AG5" s="939"/>
      <c r="AH5" s="939"/>
      <c r="AI5" s="939"/>
      <c r="AJ5" s="939"/>
      <c r="AK5" s="939"/>
      <c r="AL5" s="939"/>
      <c r="AM5" s="939"/>
      <c r="AN5" s="939"/>
      <c r="AO5" s="939"/>
      <c r="AP5" s="939"/>
      <c r="AQ5" s="939"/>
      <c r="AR5" s="939"/>
      <c r="AS5" s="939"/>
      <c r="AT5" s="939"/>
      <c r="AU5" s="939"/>
      <c r="AV5" s="939"/>
      <c r="AW5" s="939"/>
      <c r="AX5" s="939"/>
      <c r="AY5" s="939"/>
      <c r="AZ5" s="940"/>
      <c r="BA5" s="939"/>
      <c r="BB5" s="939"/>
      <c r="BC5" s="939"/>
      <c r="BD5" s="939"/>
      <c r="BE5" s="939"/>
      <c r="BF5" s="939"/>
      <c r="BG5" s="939"/>
      <c r="BH5" s="939"/>
      <c r="BI5" s="939"/>
      <c r="BJ5" s="939"/>
      <c r="BK5" s="939"/>
      <c r="BL5" s="939"/>
      <c r="BM5" s="939"/>
      <c r="BN5" s="939"/>
      <c r="BO5" s="939"/>
      <c r="BP5" s="939"/>
      <c r="BQ5" s="939"/>
      <c r="BR5" s="939"/>
      <c r="BS5" s="939"/>
      <c r="BT5" s="939"/>
      <c r="BU5" s="939"/>
      <c r="BV5" s="939"/>
      <c r="BW5" s="939"/>
      <c r="BX5" s="939"/>
      <c r="BY5" s="939"/>
      <c r="BZ5" s="939"/>
      <c r="CA5" s="939"/>
      <c r="CB5" s="939"/>
      <c r="CC5" s="939"/>
      <c r="CD5" s="939"/>
      <c r="CE5" s="939"/>
      <c r="CF5" s="939"/>
      <c r="CG5" s="939"/>
      <c r="CH5" s="939"/>
      <c r="CI5" s="939"/>
      <c r="CJ5" s="939"/>
      <c r="CK5" s="939"/>
      <c r="CL5" s="941"/>
      <c r="CM5" s="941"/>
      <c r="CN5" s="941"/>
      <c r="CO5" s="941"/>
      <c r="CP5" s="941"/>
      <c r="CQ5" s="941"/>
      <c r="CR5" s="941"/>
      <c r="CT5" s="939"/>
      <c r="CU5" s="939"/>
      <c r="CV5" s="939"/>
      <c r="CW5" s="939"/>
      <c r="CX5" s="942"/>
      <c r="CY5" s="942"/>
      <c r="CZ5" s="942"/>
      <c r="DA5" s="942"/>
      <c r="DB5" s="942"/>
      <c r="DC5" s="939"/>
      <c r="DD5" s="939"/>
      <c r="DE5" s="939"/>
      <c r="DF5" s="939"/>
      <c r="DG5" s="939"/>
      <c r="DH5" s="939"/>
      <c r="DI5" s="939"/>
      <c r="DJ5" s="939"/>
      <c r="DK5" s="939"/>
      <c r="DL5" s="939"/>
      <c r="DM5" s="939"/>
      <c r="DN5" s="939"/>
      <c r="DO5" s="939"/>
      <c r="DP5" s="939"/>
      <c r="DQ5" s="939"/>
      <c r="DR5" s="813"/>
      <c r="DS5" s="813"/>
      <c r="DT5" s="813"/>
      <c r="DU5" s="813"/>
      <c r="DX5" s="813"/>
      <c r="DY5" s="813"/>
    </row>
    <row r="6" spans="1:129" s="590" customFormat="1">
      <c r="A6" s="943"/>
      <c r="B6" s="944" t="s">
        <v>90</v>
      </c>
      <c r="C6" s="943">
        <f t="shared" ref="C6:AH6" si="8">C3+C4</f>
        <v>176353</v>
      </c>
      <c r="D6" s="943">
        <f t="shared" si="8"/>
        <v>239469</v>
      </c>
      <c r="E6" s="943">
        <f t="shared" si="8"/>
        <v>209955</v>
      </c>
      <c r="F6" s="943">
        <f t="shared" si="8"/>
        <v>328027</v>
      </c>
      <c r="G6" s="943">
        <f t="shared" si="8"/>
        <v>210204</v>
      </c>
      <c r="H6" s="943">
        <f t="shared" si="8"/>
        <v>295782</v>
      </c>
      <c r="I6" s="943">
        <f t="shared" si="8"/>
        <v>271867</v>
      </c>
      <c r="J6" s="943">
        <f t="shared" si="8"/>
        <v>424275</v>
      </c>
      <c r="K6" s="943">
        <f t="shared" si="8"/>
        <v>266752</v>
      </c>
      <c r="L6" s="943">
        <f t="shared" si="8"/>
        <v>380860</v>
      </c>
      <c r="M6" s="943">
        <f t="shared" si="8"/>
        <v>346787</v>
      </c>
      <c r="N6" s="943">
        <f t="shared" si="8"/>
        <v>536839</v>
      </c>
      <c r="O6" s="943">
        <f t="shared" si="8"/>
        <v>347555</v>
      </c>
      <c r="P6" s="943">
        <f t="shared" si="8"/>
        <v>490872</v>
      </c>
      <c r="Q6" s="943">
        <f t="shared" si="8"/>
        <v>444012</v>
      </c>
      <c r="R6" s="943">
        <f t="shared" si="8"/>
        <v>648500</v>
      </c>
      <c r="S6" s="943">
        <f t="shared" si="8"/>
        <v>431797</v>
      </c>
      <c r="T6" s="943">
        <f t="shared" si="8"/>
        <v>566347</v>
      </c>
      <c r="U6" s="943">
        <f t="shared" si="8"/>
        <v>511370</v>
      </c>
      <c r="V6" s="943">
        <f t="shared" si="8"/>
        <v>673493</v>
      </c>
      <c r="W6" s="943">
        <f t="shared" si="8"/>
        <v>419134</v>
      </c>
      <c r="X6" s="943">
        <f t="shared" si="8"/>
        <v>613414</v>
      </c>
      <c r="Y6" s="943">
        <f t="shared" si="8"/>
        <v>552311</v>
      </c>
      <c r="Z6" s="943">
        <f t="shared" si="8"/>
        <v>778769</v>
      </c>
      <c r="AA6" s="943">
        <f t="shared" si="8"/>
        <v>505695</v>
      </c>
      <c r="AB6" s="943">
        <f t="shared" si="8"/>
        <v>702018</v>
      </c>
      <c r="AC6" s="943">
        <f t="shared" si="8"/>
        <v>643873</v>
      </c>
      <c r="AD6" s="943">
        <f t="shared" si="8"/>
        <v>899752</v>
      </c>
      <c r="AE6" s="943">
        <f t="shared" si="8"/>
        <v>598767</v>
      </c>
      <c r="AF6" s="943">
        <f t="shared" si="8"/>
        <v>836419.00000000012</v>
      </c>
      <c r="AG6" s="943">
        <f t="shared" si="8"/>
        <v>741922</v>
      </c>
      <c r="AH6" s="943">
        <f t="shared" si="8"/>
        <v>1061434</v>
      </c>
      <c r="AI6" s="943">
        <f t="shared" ref="AI6:BC6" si="9">AI3+AI4</f>
        <v>709276</v>
      </c>
      <c r="AJ6" s="943">
        <f t="shared" si="9"/>
        <v>955454</v>
      </c>
      <c r="AK6" s="943">
        <f t="shared" si="9"/>
        <v>905058.00000000012</v>
      </c>
      <c r="AL6" s="943">
        <f t="shared" si="9"/>
        <v>1292720</v>
      </c>
      <c r="AM6" s="943">
        <f t="shared" si="9"/>
        <v>833853.00000000012</v>
      </c>
      <c r="AN6" s="943">
        <f t="shared" si="9"/>
        <v>1060402</v>
      </c>
      <c r="AO6" s="943">
        <f t="shared" si="9"/>
        <v>1021435</v>
      </c>
      <c r="AP6" s="943">
        <f t="shared" si="9"/>
        <v>1454692</v>
      </c>
      <c r="AQ6" s="943">
        <f t="shared" si="9"/>
        <v>938614</v>
      </c>
      <c r="AR6" s="943">
        <f t="shared" si="9"/>
        <v>1255228</v>
      </c>
      <c r="AS6" s="943">
        <f t="shared" si="9"/>
        <v>1203803</v>
      </c>
      <c r="AT6" s="943">
        <f t="shared" si="9"/>
        <v>1818399.0000000002</v>
      </c>
      <c r="AU6" s="943">
        <f t="shared" si="9"/>
        <v>1173947</v>
      </c>
      <c r="AV6" s="943">
        <f t="shared" si="9"/>
        <v>1536401</v>
      </c>
      <c r="AW6" s="943">
        <f t="shared" si="9"/>
        <v>1420605</v>
      </c>
      <c r="AX6" s="943">
        <f t="shared" si="9"/>
        <v>2014245</v>
      </c>
      <c r="AY6" s="943">
        <f t="shared" si="9"/>
        <v>1247369</v>
      </c>
      <c r="AZ6" s="945">
        <f t="shared" si="9"/>
        <v>1647580</v>
      </c>
      <c r="BA6" s="943">
        <f t="shared" si="9"/>
        <v>1445829</v>
      </c>
      <c r="BB6" s="943">
        <f t="shared" si="9"/>
        <v>2110802</v>
      </c>
      <c r="BC6" s="943">
        <f t="shared" si="9"/>
        <v>1415324</v>
      </c>
      <c r="BD6" s="943">
        <f>+FAT!BD26</f>
        <v>1831132</v>
      </c>
      <c r="BE6" s="943">
        <f t="shared" ref="BE6:BV6" si="10">BE3+BE4</f>
        <v>1746377</v>
      </c>
      <c r="BF6" s="943">
        <f t="shared" si="10"/>
        <v>2451472</v>
      </c>
      <c r="BG6" s="943">
        <f t="shared" si="10"/>
        <v>1628285</v>
      </c>
      <c r="BH6" s="943">
        <f t="shared" si="10"/>
        <v>2020097</v>
      </c>
      <c r="BI6" s="943">
        <f t="shared" si="10"/>
        <v>1943288</v>
      </c>
      <c r="BJ6" s="943">
        <f t="shared" si="10"/>
        <v>2834871</v>
      </c>
      <c r="BK6" s="943">
        <f t="shared" si="10"/>
        <v>1892117</v>
      </c>
      <c r="BL6" s="943">
        <f t="shared" si="10"/>
        <v>2292004</v>
      </c>
      <c r="BM6" s="943">
        <f t="shared" si="10"/>
        <v>2225755</v>
      </c>
      <c r="BN6" s="943">
        <f t="shared" si="10"/>
        <v>3178561</v>
      </c>
      <c r="BO6" s="943">
        <f>BO3+BO4</f>
        <v>1863761</v>
      </c>
      <c r="BP6" s="943">
        <f>BP3+BP4</f>
        <v>808506</v>
      </c>
      <c r="BQ6" s="943">
        <f>BQ3+BQ4</f>
        <v>1790039</v>
      </c>
      <c r="BR6" s="943">
        <f>BR3+BR4</f>
        <v>3074874</v>
      </c>
      <c r="BS6" s="943">
        <f>BS3+BS4</f>
        <v>1581394</v>
      </c>
      <c r="BT6" s="943">
        <f t="shared" si="10"/>
        <v>2490293</v>
      </c>
      <c r="BU6" s="943">
        <f>BU3+BU4</f>
        <v>2628289.3394700023</v>
      </c>
      <c r="BV6" s="943">
        <f t="shared" si="10"/>
        <v>3871579.8135499991</v>
      </c>
      <c r="BW6" s="943">
        <f t="shared" ref="BW6:CD6" si="11">BW3+BW4</f>
        <v>2613024</v>
      </c>
      <c r="BX6" s="943">
        <f t="shared" si="11"/>
        <v>3626337</v>
      </c>
      <c r="BY6" s="943">
        <f t="shared" si="11"/>
        <v>3017632</v>
      </c>
      <c r="BZ6" s="943">
        <f t="shared" ref="BZ6" si="12">BZ3+BZ4</f>
        <v>4014144</v>
      </c>
      <c r="CA6" s="943">
        <f t="shared" si="11"/>
        <v>2775292</v>
      </c>
      <c r="CB6" s="943">
        <f t="shared" si="11"/>
        <v>3504083</v>
      </c>
      <c r="CC6" s="943">
        <f t="shared" si="11"/>
        <v>3097096</v>
      </c>
      <c r="CD6" s="943">
        <f t="shared" si="11"/>
        <v>4271378</v>
      </c>
      <c r="CE6" s="943">
        <f t="shared" ref="CE6:CH6" si="13">CE3+CE4</f>
        <v>2908249</v>
      </c>
      <c r="CF6" s="943">
        <f t="shared" si="13"/>
        <v>3520391</v>
      </c>
      <c r="CG6" s="943">
        <f t="shared" si="13"/>
        <v>3390509</v>
      </c>
      <c r="CH6" s="943">
        <f t="shared" si="13"/>
        <v>4617217</v>
      </c>
      <c r="CI6" s="943">
        <f t="shared" ref="CI6:CL6" si="14">CI3+CI4</f>
        <v>3257576</v>
      </c>
      <c r="CJ6" s="943">
        <f t="shared" si="14"/>
        <v>4167566</v>
      </c>
      <c r="CK6" s="943">
        <f t="shared" si="14"/>
        <v>3563472</v>
      </c>
      <c r="CL6" s="946">
        <f t="shared" si="14"/>
        <v>4827817.3924581651</v>
      </c>
      <c r="CM6" s="946">
        <f t="shared" ref="CM6:CP6" si="15">CM3+CM4</f>
        <v>3434233.8603882324</v>
      </c>
      <c r="CN6" s="946">
        <f t="shared" si="15"/>
        <v>4356051.2343024286</v>
      </c>
      <c r="CO6" s="946">
        <f t="shared" si="15"/>
        <v>3840708.7394894455</v>
      </c>
      <c r="CP6" s="946">
        <f t="shared" si="15"/>
        <v>5250181.869507595</v>
      </c>
      <c r="CQ6" s="946"/>
      <c r="CR6" s="946">
        <v>4827817.3924581651</v>
      </c>
      <c r="CT6" s="1134">
        <f>+CH6/CR6-1</f>
        <v>-4.3622278006445914E-2</v>
      </c>
      <c r="CU6" s="943"/>
      <c r="CV6" s="943"/>
      <c r="CW6" s="943"/>
      <c r="CX6" s="589">
        <f>+SUM(O6:R6)</f>
        <v>1930939</v>
      </c>
      <c r="CY6" s="947">
        <f>SUM(S6:V6)</f>
        <v>2183007</v>
      </c>
      <c r="CZ6" s="947">
        <f>SUM(W6:Z6)</f>
        <v>2363628</v>
      </c>
      <c r="DA6" s="947">
        <f>SUM(AA6:AD6)</f>
        <v>2751338</v>
      </c>
      <c r="DB6" s="947">
        <f>SUM(AE6:AH6)</f>
        <v>3238542</v>
      </c>
      <c r="DC6" s="943">
        <f>+SUM(AI6:AL6)</f>
        <v>3862508</v>
      </c>
      <c r="DD6" s="943">
        <f>+SUM(AM6:AP6)</f>
        <v>4370382</v>
      </c>
      <c r="DE6" s="943">
        <f>+SUM(AQ6:AT6)</f>
        <v>5216044</v>
      </c>
      <c r="DF6" s="943">
        <f>+SUM(AU6:AX6)</f>
        <v>6145198</v>
      </c>
      <c r="DG6" s="943">
        <f>+SUM(AY6:BB6)</f>
        <v>6451580</v>
      </c>
      <c r="DH6" s="943">
        <f>+SUM(BC6:BF6)</f>
        <v>7444305</v>
      </c>
      <c r="DI6" s="943">
        <f t="shared" ref="DI6:DL6" si="16">DI3+DI4</f>
        <v>8426541</v>
      </c>
      <c r="DJ6" s="943">
        <f t="shared" si="16"/>
        <v>9588437</v>
      </c>
      <c r="DK6" s="943">
        <f t="shared" si="16"/>
        <v>7537180</v>
      </c>
      <c r="DL6" s="943">
        <f t="shared" si="16"/>
        <v>10571556.153020002</v>
      </c>
      <c r="DM6" s="943">
        <f t="shared" ref="DM6:DR6" si="17">DM3+DM4</f>
        <v>13271137</v>
      </c>
      <c r="DN6" s="943">
        <f t="shared" si="17"/>
        <v>13647849</v>
      </c>
      <c r="DO6" s="943">
        <f t="shared" si="17"/>
        <v>14436366</v>
      </c>
      <c r="DP6" s="943">
        <f t="shared" si="17"/>
        <v>15816431.392458167</v>
      </c>
      <c r="DQ6" s="943">
        <f t="shared" ref="DQ6" si="18">DQ3+DQ4</f>
        <v>16881175.703687701</v>
      </c>
      <c r="DR6" s="814">
        <f t="shared" si="17"/>
        <v>18291874.718813274</v>
      </c>
      <c r="DS6" s="814">
        <f t="shared" ref="DS6:DU6" si="19">DS3+DS4</f>
        <v>19540187.190890469</v>
      </c>
      <c r="DT6" s="814">
        <f t="shared" si="19"/>
        <v>20873721.023767076</v>
      </c>
      <c r="DU6" s="814">
        <f t="shared" si="19"/>
        <v>22297185.574711569</v>
      </c>
      <c r="DX6" s="814">
        <v>17175291.544530325</v>
      </c>
      <c r="DY6" s="814">
        <v>18536469.029226184</v>
      </c>
    </row>
    <row r="7" spans="1:129" s="904" customFormat="1">
      <c r="A7" s="939"/>
      <c r="B7" s="908" t="s">
        <v>96</v>
      </c>
      <c r="C7" s="939">
        <f>FAT!C38</f>
        <v>-91627</v>
      </c>
      <c r="D7" s="939">
        <f>FAT!D38</f>
        <v>-129428</v>
      </c>
      <c r="E7" s="939">
        <f>FAT!E38</f>
        <v>-115478</v>
      </c>
      <c r="F7" s="939">
        <f>FAT!F38</f>
        <v>-181258</v>
      </c>
      <c r="G7" s="939">
        <f>FAT!G38</f>
        <v>-99565</v>
      </c>
      <c r="H7" s="939">
        <f>FAT!H38</f>
        <v>-142704</v>
      </c>
      <c r="I7" s="939">
        <f>FAT!I38</f>
        <v>-139259</v>
      </c>
      <c r="J7" s="939">
        <f>FAT!J38</f>
        <v>-212094</v>
      </c>
      <c r="K7" s="939">
        <f>FAT!K38</f>
        <v>-124610</v>
      </c>
      <c r="L7" s="939">
        <f>FAT!L38</f>
        <v>-188701</v>
      </c>
      <c r="M7" s="939">
        <f>FAT!M38</f>
        <v>-173772</v>
      </c>
      <c r="N7" s="939">
        <f>FAT!N38</f>
        <v>-264700</v>
      </c>
      <c r="O7" s="939">
        <f>FAT!O38</f>
        <v>-157849</v>
      </c>
      <c r="P7" s="939">
        <f>FAT!P38</f>
        <v>-232147</v>
      </c>
      <c r="Q7" s="939">
        <f>FAT!Q38</f>
        <v>-205376</v>
      </c>
      <c r="R7" s="939">
        <f>FAT!R38</f>
        <v>-311340</v>
      </c>
      <c r="S7" s="939">
        <f>FAT!S38</f>
        <v>-191412</v>
      </c>
      <c r="T7" s="939">
        <f>FAT!T38</f>
        <v>-261493</v>
      </c>
      <c r="U7" s="939">
        <f>FAT!U38</f>
        <v>-237809</v>
      </c>
      <c r="V7" s="939">
        <f>FAT!V38</f>
        <v>-331822</v>
      </c>
      <c r="W7" s="939">
        <f>FAT!W38</f>
        <v>-187018</v>
      </c>
      <c r="X7" s="939">
        <f>FAT!X38</f>
        <v>-287563</v>
      </c>
      <c r="Y7" s="939">
        <f>FAT!Y38</f>
        <v>-256866</v>
      </c>
      <c r="Z7" s="939">
        <f>FAT!Z38</f>
        <v>-353464</v>
      </c>
      <c r="AA7" s="939">
        <f>FAT!AA38</f>
        <v>-212790</v>
      </c>
      <c r="AB7" s="939">
        <f>FAT!AB38</f>
        <v>-296956</v>
      </c>
      <c r="AC7" s="939">
        <f>FAT!AC38</f>
        <v>-289980</v>
      </c>
      <c r="AD7" s="939">
        <f>FAT!AD38</f>
        <v>-409732</v>
      </c>
      <c r="AE7" s="939">
        <f>FAT!AE38</f>
        <v>-249547</v>
      </c>
      <c r="AF7" s="939">
        <f>FAT!AF38</f>
        <v>-351223</v>
      </c>
      <c r="AG7" s="939">
        <f>FAT!AG38</f>
        <v>-332789</v>
      </c>
      <c r="AH7" s="939">
        <f>FAT!AH38</f>
        <v>-462569</v>
      </c>
      <c r="AI7" s="939">
        <f>FAT!AI38</f>
        <v>-294842</v>
      </c>
      <c r="AJ7" s="939">
        <f>FAT!AJ38</f>
        <v>-393264</v>
      </c>
      <c r="AK7" s="939">
        <f>FAT!AK38</f>
        <v>-394603</v>
      </c>
      <c r="AL7" s="939">
        <f>FAT!AL38</f>
        <v>-551538</v>
      </c>
      <c r="AM7" s="939">
        <f>FAT!AM38</f>
        <v>-358005</v>
      </c>
      <c r="AN7" s="939">
        <f>FAT!AN38</f>
        <v>-444292</v>
      </c>
      <c r="AO7" s="939">
        <f>FAT!AO38</f>
        <v>-457550</v>
      </c>
      <c r="AP7" s="939">
        <f>FAT!AP38</f>
        <v>-607795</v>
      </c>
      <c r="AQ7" s="939">
        <f>FAT!AQ38</f>
        <v>-396256</v>
      </c>
      <c r="AR7" s="939">
        <f>FAT!AR38</f>
        <v>-512414</v>
      </c>
      <c r="AS7" s="939">
        <f>FAT!AS38</f>
        <v>-507111</v>
      </c>
      <c r="AT7" s="939">
        <f>FAT!AT38</f>
        <v>-748983</v>
      </c>
      <c r="AU7" s="939">
        <f>FAT!AU38</f>
        <v>-472175</v>
      </c>
      <c r="AV7" s="939">
        <f>FAT!AV38</f>
        <v>-618617</v>
      </c>
      <c r="AW7" s="939">
        <f>FAT!AW38</f>
        <v>-596697</v>
      </c>
      <c r="AX7" s="939">
        <f>FAT!AX38</f>
        <v>-823863</v>
      </c>
      <c r="AY7" s="939">
        <f>FAT!AY38</f>
        <v>-488424</v>
      </c>
      <c r="AZ7" s="940">
        <f>FAT!AZ38</f>
        <v>-637075</v>
      </c>
      <c r="BA7" s="939">
        <f>FAT!BA38</f>
        <v>-594216</v>
      </c>
      <c r="BB7" s="939">
        <f>FAT!BB38</f>
        <v>-855368</v>
      </c>
      <c r="BC7" s="939">
        <f>FAT!BC38</f>
        <v>-569556</v>
      </c>
      <c r="BD7" s="939">
        <f>FAT!BD38</f>
        <v>-712039</v>
      </c>
      <c r="BE7" s="939">
        <f>FAT!BE38</f>
        <v>-702553</v>
      </c>
      <c r="BF7" s="939">
        <f>FAT!BF38</f>
        <v>-960765</v>
      </c>
      <c r="BG7" s="939">
        <f>FAT!BG38</f>
        <v>-619422</v>
      </c>
      <c r="BH7" s="939">
        <f>FAT!BH38</f>
        <v>-765024</v>
      </c>
      <c r="BI7" s="939">
        <f>FAT!BI38</f>
        <v>-789181</v>
      </c>
      <c r="BJ7" s="939">
        <f>FAT!BJ38</f>
        <v>-1110890</v>
      </c>
      <c r="BK7" s="939">
        <f>FAT!BK38</f>
        <v>-744031</v>
      </c>
      <c r="BL7" s="939">
        <f>FAT!BL38</f>
        <v>-885492</v>
      </c>
      <c r="BM7" s="939">
        <f>FAT!BM38</f>
        <v>-889197</v>
      </c>
      <c r="BN7" s="939">
        <f>FAT!BN38</f>
        <v>-1211801</v>
      </c>
      <c r="BO7" s="939">
        <f>FAT!BO38</f>
        <v>-696674</v>
      </c>
      <c r="BP7" s="939">
        <f>FAT!BP38</f>
        <v>-304643</v>
      </c>
      <c r="BQ7" s="939">
        <f>FAT!BQ38</f>
        <v>-869361</v>
      </c>
      <c r="BR7" s="939">
        <f>FAT!BR38</f>
        <v>-1352892</v>
      </c>
      <c r="BS7" s="939">
        <f>FAT!BS38</f>
        <v>-657400</v>
      </c>
      <c r="BT7" s="939">
        <f>FAT!BT38</f>
        <v>-1020358</v>
      </c>
      <c r="BU7" s="939">
        <f>FAT!BU38</f>
        <v>-1110935</v>
      </c>
      <c r="BV7" s="939">
        <f>FAT!BV38</f>
        <v>-1610198</v>
      </c>
      <c r="BW7" s="939">
        <f>FAT!BW38</f>
        <v>-1018384</v>
      </c>
      <c r="BX7" s="939">
        <f>FAT!BX38</f>
        <v>-1421416</v>
      </c>
      <c r="BY7" s="939">
        <f>FAT!BY38</f>
        <v>-1241428</v>
      </c>
      <c r="BZ7" s="939">
        <f>FAT!BZ38</f>
        <v>-1605094</v>
      </c>
      <c r="CA7" s="939">
        <f>FAT!CA38</f>
        <v>-1072827</v>
      </c>
      <c r="CB7" s="939">
        <f>FAT!CB38</f>
        <v>-1406297</v>
      </c>
      <c r="CC7" s="939">
        <f>FAT!CC38</f>
        <v>-1249415</v>
      </c>
      <c r="CD7" s="939">
        <f>FAT!CD38</f>
        <v>-1698708</v>
      </c>
      <c r="CE7" s="939">
        <f>FAT!CE38</f>
        <v>-1138734</v>
      </c>
      <c r="CF7" s="939">
        <f>FAT!CF38</f>
        <v>-1362822</v>
      </c>
      <c r="CG7" s="939">
        <f>FAT!CG38</f>
        <v>-1347782</v>
      </c>
      <c r="CH7" s="939">
        <v>-1845079</v>
      </c>
      <c r="CI7" s="939">
        <f>FAT!CI38</f>
        <v>-1236106</v>
      </c>
      <c r="CJ7" s="939">
        <f>FAT!CJ38</f>
        <v>-1563766</v>
      </c>
      <c r="CK7" s="939">
        <f>FAT!CK38</f>
        <v>-1377382</v>
      </c>
      <c r="CL7" s="941">
        <f>FAT!CL38</f>
        <v>-1948240.3129123701</v>
      </c>
      <c r="CM7" s="941">
        <f>FAT!CM38</f>
        <v>-1310397.5782917903</v>
      </c>
      <c r="CN7" s="941">
        <f>FAT!CN38</f>
        <v>-1641276.2214287731</v>
      </c>
      <c r="CO7" s="941">
        <f>FAT!CO38</f>
        <v>-1487726.5529583755</v>
      </c>
      <c r="CP7" s="941">
        <f>FAT!CP38</f>
        <v>-2112547.5514985253</v>
      </c>
      <c r="CQ7" s="941"/>
      <c r="CR7" s="941">
        <v>-1948240.3129123701</v>
      </c>
      <c r="CT7" s="592"/>
      <c r="CU7" s="592"/>
      <c r="CV7" s="592"/>
      <c r="CW7" s="592"/>
      <c r="CX7" s="592">
        <f>+SUM(O7:R7)</f>
        <v>-906712</v>
      </c>
      <c r="CY7" s="942">
        <f>SUM(S7:V7)</f>
        <v>-1022536</v>
      </c>
      <c r="CZ7" s="942">
        <f>SUM(W7:Z7)</f>
        <v>-1084911</v>
      </c>
      <c r="DA7" s="942">
        <f>SUM(AA7:AD7)</f>
        <v>-1209458</v>
      </c>
      <c r="DB7" s="942">
        <f>SUM(AE7:AH7)</f>
        <v>-1396128</v>
      </c>
      <c r="DC7" s="939">
        <f>+SUM(AI7:AL7)</f>
        <v>-1634247</v>
      </c>
      <c r="DD7" s="939">
        <f>+SUM(AM7:AP7)</f>
        <v>-1867642</v>
      </c>
      <c r="DE7" s="939">
        <f>+SUM(AQ7:AT7)</f>
        <v>-2164764</v>
      </c>
      <c r="DF7" s="939">
        <f>+SUM(AU7:AX7)</f>
        <v>-2511352</v>
      </c>
      <c r="DG7" s="939">
        <f>+SUM(AY7:BB7)</f>
        <v>-2575083</v>
      </c>
      <c r="DH7" s="939">
        <f>+SUM(BC7:BF7)</f>
        <v>-2944913</v>
      </c>
      <c r="DI7" s="592">
        <f>FAT!DJ38</f>
        <v>-3284517</v>
      </c>
      <c r="DJ7" s="592">
        <f>FAT!DK38</f>
        <v>-3730521</v>
      </c>
      <c r="DK7" s="592">
        <f>FAT!DL38</f>
        <v>-3223570</v>
      </c>
      <c r="DL7" s="592">
        <f>FAT!DM38</f>
        <v>-4398891</v>
      </c>
      <c r="DM7" s="592">
        <f>FAT!DN38</f>
        <v>-5286322</v>
      </c>
      <c r="DN7" s="592">
        <f>FAT!DO38</f>
        <v>-5427247</v>
      </c>
      <c r="DO7" s="592">
        <f>FAT!DP38</f>
        <v>-5694417</v>
      </c>
      <c r="DP7" s="592">
        <f>FAT!DQ38</f>
        <v>-6125494.3129123701</v>
      </c>
      <c r="DQ7" s="592">
        <f>FAT!DR38</f>
        <v>-6551947.9041774645</v>
      </c>
      <c r="DR7" s="813">
        <f>FAT!DS38</f>
        <v>-7111569.458745393</v>
      </c>
      <c r="DS7" s="813">
        <f>FAT!DT38</f>
        <v>-7660768.3260159483</v>
      </c>
      <c r="DT7" s="813">
        <f>FAT!DU38</f>
        <v>-8247040.4743704069</v>
      </c>
      <c r="DU7" s="813">
        <f>FAT!DV38</f>
        <v>-8872728.5424253847</v>
      </c>
      <c r="DX7" s="813">
        <v>-6749709.0048144106</v>
      </c>
      <c r="DY7" s="813">
        <v>-7346401.0772390654</v>
      </c>
    </row>
    <row r="8" spans="1:129" s="590" customFormat="1">
      <c r="A8" s="943"/>
      <c r="B8" s="597" t="s">
        <v>97</v>
      </c>
      <c r="C8" s="943">
        <f t="shared" ref="C8:AH8" si="20">+C6+C7</f>
        <v>84726</v>
      </c>
      <c r="D8" s="943">
        <f t="shared" si="20"/>
        <v>110041</v>
      </c>
      <c r="E8" s="943">
        <f t="shared" si="20"/>
        <v>94477</v>
      </c>
      <c r="F8" s="943">
        <f t="shared" si="20"/>
        <v>146769</v>
      </c>
      <c r="G8" s="943">
        <f t="shared" si="20"/>
        <v>110639</v>
      </c>
      <c r="H8" s="943">
        <f t="shared" si="20"/>
        <v>153078</v>
      </c>
      <c r="I8" s="943">
        <f t="shared" si="20"/>
        <v>132608</v>
      </c>
      <c r="J8" s="943">
        <f t="shared" si="20"/>
        <v>212181</v>
      </c>
      <c r="K8" s="943">
        <f t="shared" si="20"/>
        <v>142142</v>
      </c>
      <c r="L8" s="943">
        <f t="shared" si="20"/>
        <v>192159</v>
      </c>
      <c r="M8" s="943">
        <f t="shared" si="20"/>
        <v>173015</v>
      </c>
      <c r="N8" s="943">
        <f t="shared" si="20"/>
        <v>272139</v>
      </c>
      <c r="O8" s="943">
        <f t="shared" si="20"/>
        <v>189706</v>
      </c>
      <c r="P8" s="943">
        <f t="shared" si="20"/>
        <v>258725</v>
      </c>
      <c r="Q8" s="943">
        <f t="shared" si="20"/>
        <v>238636</v>
      </c>
      <c r="R8" s="943">
        <f t="shared" si="20"/>
        <v>337160</v>
      </c>
      <c r="S8" s="943">
        <f t="shared" si="20"/>
        <v>240385</v>
      </c>
      <c r="T8" s="943">
        <f t="shared" si="20"/>
        <v>304854</v>
      </c>
      <c r="U8" s="943">
        <f t="shared" si="20"/>
        <v>273561</v>
      </c>
      <c r="V8" s="943">
        <f t="shared" si="20"/>
        <v>341671</v>
      </c>
      <c r="W8" s="943">
        <f t="shared" si="20"/>
        <v>232116</v>
      </c>
      <c r="X8" s="943">
        <f t="shared" si="20"/>
        <v>325851</v>
      </c>
      <c r="Y8" s="943">
        <f t="shared" si="20"/>
        <v>295445</v>
      </c>
      <c r="Z8" s="943">
        <f t="shared" si="20"/>
        <v>425305</v>
      </c>
      <c r="AA8" s="943">
        <f t="shared" si="20"/>
        <v>292905</v>
      </c>
      <c r="AB8" s="943">
        <f t="shared" si="20"/>
        <v>405062</v>
      </c>
      <c r="AC8" s="943">
        <f t="shared" si="20"/>
        <v>353893</v>
      </c>
      <c r="AD8" s="943">
        <f t="shared" si="20"/>
        <v>490020</v>
      </c>
      <c r="AE8" s="943">
        <f t="shared" si="20"/>
        <v>349220</v>
      </c>
      <c r="AF8" s="943">
        <f t="shared" si="20"/>
        <v>485196.00000000012</v>
      </c>
      <c r="AG8" s="943">
        <f t="shared" si="20"/>
        <v>409133</v>
      </c>
      <c r="AH8" s="943">
        <f t="shared" si="20"/>
        <v>598865</v>
      </c>
      <c r="AI8" s="943">
        <f t="shared" ref="AI8:BN8" si="21">+AI6+AI7</f>
        <v>414434</v>
      </c>
      <c r="AJ8" s="943">
        <f t="shared" si="21"/>
        <v>562190</v>
      </c>
      <c r="AK8" s="943">
        <f t="shared" si="21"/>
        <v>510455.00000000012</v>
      </c>
      <c r="AL8" s="943">
        <f t="shared" si="21"/>
        <v>741182</v>
      </c>
      <c r="AM8" s="943">
        <f t="shared" si="21"/>
        <v>475848.00000000012</v>
      </c>
      <c r="AN8" s="943">
        <f t="shared" si="21"/>
        <v>616110</v>
      </c>
      <c r="AO8" s="943">
        <f t="shared" si="21"/>
        <v>563885</v>
      </c>
      <c r="AP8" s="943">
        <f t="shared" si="21"/>
        <v>846897</v>
      </c>
      <c r="AQ8" s="943">
        <f t="shared" si="21"/>
        <v>542358</v>
      </c>
      <c r="AR8" s="943">
        <f t="shared" si="21"/>
        <v>742814</v>
      </c>
      <c r="AS8" s="943">
        <f t="shared" si="21"/>
        <v>696692</v>
      </c>
      <c r="AT8" s="943">
        <f t="shared" si="21"/>
        <v>1069416.0000000002</v>
      </c>
      <c r="AU8" s="943">
        <f t="shared" si="21"/>
        <v>701772</v>
      </c>
      <c r="AV8" s="943">
        <f t="shared" si="21"/>
        <v>917784</v>
      </c>
      <c r="AW8" s="943">
        <f t="shared" si="21"/>
        <v>823908</v>
      </c>
      <c r="AX8" s="943">
        <f t="shared" si="21"/>
        <v>1190382</v>
      </c>
      <c r="AY8" s="943">
        <f t="shared" si="21"/>
        <v>758945</v>
      </c>
      <c r="AZ8" s="943">
        <f t="shared" si="21"/>
        <v>1010505</v>
      </c>
      <c r="BA8" s="943">
        <f t="shared" si="21"/>
        <v>851613</v>
      </c>
      <c r="BB8" s="943">
        <f t="shared" si="21"/>
        <v>1255434</v>
      </c>
      <c r="BC8" s="943">
        <f t="shared" si="21"/>
        <v>845768</v>
      </c>
      <c r="BD8" s="943">
        <f t="shared" si="21"/>
        <v>1119093</v>
      </c>
      <c r="BE8" s="943">
        <f t="shared" si="21"/>
        <v>1043824</v>
      </c>
      <c r="BF8" s="943">
        <f t="shared" si="21"/>
        <v>1490707</v>
      </c>
      <c r="BG8" s="943">
        <f t="shared" si="21"/>
        <v>1008863</v>
      </c>
      <c r="BH8" s="943">
        <f t="shared" si="21"/>
        <v>1255073</v>
      </c>
      <c r="BI8" s="943">
        <f t="shared" si="21"/>
        <v>1154107</v>
      </c>
      <c r="BJ8" s="943">
        <f t="shared" si="21"/>
        <v>1723981</v>
      </c>
      <c r="BK8" s="943">
        <f t="shared" si="21"/>
        <v>1148086</v>
      </c>
      <c r="BL8" s="943">
        <f t="shared" si="21"/>
        <v>1406512</v>
      </c>
      <c r="BM8" s="943">
        <f t="shared" si="21"/>
        <v>1336558</v>
      </c>
      <c r="BN8" s="943">
        <f t="shared" si="21"/>
        <v>1966760</v>
      </c>
      <c r="BO8" s="943">
        <f t="shared" ref="BO8:CD8" si="22">+BO6+BO7</f>
        <v>1167087</v>
      </c>
      <c r="BP8" s="943">
        <f t="shared" si="22"/>
        <v>503863</v>
      </c>
      <c r="BQ8" s="943">
        <f t="shared" si="22"/>
        <v>920678</v>
      </c>
      <c r="BR8" s="943">
        <f t="shared" si="22"/>
        <v>1721982</v>
      </c>
      <c r="BS8" s="943">
        <f t="shared" si="22"/>
        <v>923994</v>
      </c>
      <c r="BT8" s="943">
        <f t="shared" si="22"/>
        <v>1469935</v>
      </c>
      <c r="BU8" s="943">
        <f t="shared" si="22"/>
        <v>1517354.3394700023</v>
      </c>
      <c r="BV8" s="943">
        <f t="shared" si="22"/>
        <v>2261381.8135499991</v>
      </c>
      <c r="BW8" s="943">
        <f t="shared" si="22"/>
        <v>1594640</v>
      </c>
      <c r="BX8" s="943">
        <f t="shared" si="22"/>
        <v>2204921</v>
      </c>
      <c r="BY8" s="943">
        <f t="shared" si="22"/>
        <v>1776204</v>
      </c>
      <c r="BZ8" s="943">
        <f t="shared" ref="BZ8" si="23">+BZ6+BZ7</f>
        <v>2409050</v>
      </c>
      <c r="CA8" s="943">
        <f t="shared" si="22"/>
        <v>1702465</v>
      </c>
      <c r="CB8" s="943">
        <f t="shared" si="22"/>
        <v>2097786</v>
      </c>
      <c r="CC8" s="943">
        <f t="shared" si="22"/>
        <v>1847681</v>
      </c>
      <c r="CD8" s="943">
        <f t="shared" si="22"/>
        <v>2572670</v>
      </c>
      <c r="CE8" s="943">
        <f t="shared" ref="CE8:CH8" si="24">+CE6+CE7</f>
        <v>1769515</v>
      </c>
      <c r="CF8" s="943">
        <f t="shared" si="24"/>
        <v>2157569</v>
      </c>
      <c r="CG8" s="943">
        <f t="shared" si="24"/>
        <v>2042727</v>
      </c>
      <c r="CH8" s="943">
        <f t="shared" si="24"/>
        <v>2772138</v>
      </c>
      <c r="CI8" s="943">
        <f t="shared" ref="CI8:CL8" si="25">+CI6+CI7</f>
        <v>2021470</v>
      </c>
      <c r="CJ8" s="943">
        <f t="shared" si="25"/>
        <v>2603800</v>
      </c>
      <c r="CK8" s="943">
        <f t="shared" si="25"/>
        <v>2186090</v>
      </c>
      <c r="CL8" s="946">
        <f t="shared" si="25"/>
        <v>2879577.079545795</v>
      </c>
      <c r="CM8" s="946">
        <f t="shared" ref="CM8:CP8" si="26">+CM6+CM7</f>
        <v>2123836.2820964418</v>
      </c>
      <c r="CN8" s="946">
        <f t="shared" si="26"/>
        <v>2714775.0128736552</v>
      </c>
      <c r="CO8" s="946">
        <f t="shared" si="26"/>
        <v>2352982.1865310697</v>
      </c>
      <c r="CP8" s="946">
        <f t="shared" si="26"/>
        <v>3137634.3180090697</v>
      </c>
      <c r="CQ8" s="946"/>
      <c r="CR8" s="946">
        <v>2879577.079545795</v>
      </c>
      <c r="CT8" s="1199"/>
      <c r="CU8" s="947"/>
      <c r="CV8" s="947"/>
      <c r="CW8" s="947"/>
      <c r="CX8" s="589">
        <f>+SUM(O8:R8)</f>
        <v>1024227</v>
      </c>
      <c r="CY8" s="947">
        <f>SUM(S8:V8)</f>
        <v>1160471</v>
      </c>
      <c r="CZ8" s="947">
        <f>SUM(W8:Z8)</f>
        <v>1278717</v>
      </c>
      <c r="DA8" s="947">
        <f>SUM(AA8:AD8)</f>
        <v>1541880</v>
      </c>
      <c r="DB8" s="947">
        <f>SUM(AE8:AH8)</f>
        <v>1842414</v>
      </c>
      <c r="DC8" s="943">
        <f>+SUM(AI8:AL8)</f>
        <v>2228261</v>
      </c>
      <c r="DD8" s="943">
        <f>+SUM(AM8:AP8)</f>
        <v>2502740</v>
      </c>
      <c r="DE8" s="943">
        <f>+SUM(AQ8:AT8)</f>
        <v>3051280</v>
      </c>
      <c r="DF8" s="943">
        <f>+SUM(AU8:AX8)</f>
        <v>3633846</v>
      </c>
      <c r="DG8" s="943">
        <f>+SUM(AY8:BB8)</f>
        <v>3876497</v>
      </c>
      <c r="DH8" s="943">
        <f>+SUM(BC8:BF8)</f>
        <v>4499392</v>
      </c>
      <c r="DI8" s="947">
        <f t="shared" ref="DI8:DR8" si="27">+DI6+DI7</f>
        <v>5142024</v>
      </c>
      <c r="DJ8" s="947">
        <f t="shared" si="27"/>
        <v>5857916</v>
      </c>
      <c r="DK8" s="947">
        <f t="shared" si="27"/>
        <v>4313610</v>
      </c>
      <c r="DL8" s="947">
        <f t="shared" si="27"/>
        <v>6172665.1530200019</v>
      </c>
      <c r="DM8" s="947">
        <f t="shared" si="27"/>
        <v>7984815</v>
      </c>
      <c r="DN8" s="947">
        <f t="shared" si="27"/>
        <v>8220602</v>
      </c>
      <c r="DO8" s="947">
        <f t="shared" ref="DO8:DP8" si="28">+DO6+DO7</f>
        <v>8741949</v>
      </c>
      <c r="DP8" s="947">
        <f t="shared" si="28"/>
        <v>9690937.0795457959</v>
      </c>
      <c r="DQ8" s="947">
        <f t="shared" ref="DQ8" si="29">+DQ6+DQ7</f>
        <v>10329227.799510237</v>
      </c>
      <c r="DR8" s="814">
        <f t="shared" si="27"/>
        <v>11180305.26006788</v>
      </c>
      <c r="DS8" s="814">
        <f t="shared" ref="DS8:DU8" si="30">+DS6+DS7</f>
        <v>11879418.864874519</v>
      </c>
      <c r="DT8" s="814">
        <f t="shared" si="30"/>
        <v>12626680.549396669</v>
      </c>
      <c r="DU8" s="814">
        <f t="shared" si="30"/>
        <v>13424457.032286184</v>
      </c>
      <c r="DX8" s="814">
        <v>10425582.539715914</v>
      </c>
      <c r="DY8" s="814">
        <v>11190067.951987118</v>
      </c>
    </row>
    <row r="9" spans="1:129" s="590" customFormat="1">
      <c r="A9" s="943"/>
      <c r="B9" s="597"/>
      <c r="C9" s="943"/>
      <c r="D9" s="943"/>
      <c r="E9" s="943"/>
      <c r="F9" s="943"/>
      <c r="G9" s="943"/>
      <c r="H9" s="943"/>
      <c r="I9" s="943"/>
      <c r="J9" s="943"/>
      <c r="K9" s="943"/>
      <c r="L9" s="943"/>
      <c r="M9" s="943"/>
      <c r="N9" s="943"/>
      <c r="O9" s="943"/>
      <c r="P9" s="943"/>
      <c r="Q9" s="943"/>
      <c r="R9" s="943"/>
      <c r="S9" s="943"/>
      <c r="T9" s="943"/>
      <c r="U9" s="943"/>
      <c r="V9" s="943"/>
      <c r="W9" s="943"/>
      <c r="X9" s="943"/>
      <c r="Y9" s="943"/>
      <c r="Z9" s="943"/>
      <c r="AA9" s="943"/>
      <c r="AB9" s="943"/>
      <c r="AC9" s="943"/>
      <c r="AD9" s="943"/>
      <c r="AE9" s="943"/>
      <c r="AF9" s="943"/>
      <c r="AG9" s="943"/>
      <c r="AH9" s="943"/>
      <c r="AI9" s="943"/>
      <c r="AJ9" s="943"/>
      <c r="AK9" s="943"/>
      <c r="AL9" s="943"/>
      <c r="AM9" s="943"/>
      <c r="AN9" s="943"/>
      <c r="AO9" s="943"/>
      <c r="AP9" s="943"/>
      <c r="AQ9" s="943"/>
      <c r="AR9" s="943"/>
      <c r="AS9" s="943"/>
      <c r="AT9" s="943"/>
      <c r="AU9" s="943"/>
      <c r="AV9" s="943"/>
      <c r="AW9" s="943"/>
      <c r="AX9" s="943"/>
      <c r="AY9" s="943"/>
      <c r="AZ9" s="943"/>
      <c r="BA9" s="943"/>
      <c r="BB9" s="943"/>
      <c r="BC9" s="943"/>
      <c r="BD9" s="943"/>
      <c r="BE9" s="943"/>
      <c r="BF9" s="943"/>
      <c r="BG9" s="943"/>
      <c r="BH9" s="943"/>
      <c r="BI9" s="943"/>
      <c r="BJ9" s="943"/>
      <c r="BK9" s="943"/>
      <c r="BL9" s="943"/>
      <c r="BM9" s="943"/>
      <c r="BN9" s="943"/>
      <c r="BO9" s="943"/>
      <c r="BP9" s="943"/>
      <c r="BQ9" s="943"/>
      <c r="BR9" s="943"/>
      <c r="BS9" s="943"/>
      <c r="BT9" s="943"/>
      <c r="BU9" s="943"/>
      <c r="BV9" s="943"/>
      <c r="BW9" s="943"/>
      <c r="BX9" s="943"/>
      <c r="BY9" s="943"/>
      <c r="BZ9" s="943"/>
      <c r="CA9" s="943"/>
      <c r="CB9" s="943"/>
      <c r="CC9" s="943"/>
      <c r="CD9" s="943"/>
      <c r="CE9" s="943"/>
      <c r="CF9" s="943"/>
      <c r="CG9" s="943"/>
      <c r="CH9" s="943"/>
      <c r="CI9" s="943"/>
      <c r="CJ9" s="943"/>
      <c r="CK9" s="943"/>
      <c r="CL9" s="946"/>
      <c r="CM9" s="946"/>
      <c r="CN9" s="946"/>
      <c r="CO9" s="946"/>
      <c r="CP9" s="946"/>
      <c r="CQ9" s="946"/>
      <c r="CR9" s="946"/>
      <c r="CT9" s="1199"/>
      <c r="CU9" s="947"/>
      <c r="CV9" s="947"/>
      <c r="CW9" s="947"/>
      <c r="CX9" s="589"/>
      <c r="CY9" s="947"/>
      <c r="CZ9" s="947"/>
      <c r="DA9" s="947"/>
      <c r="DB9" s="947"/>
      <c r="DC9" s="943"/>
      <c r="DD9" s="943"/>
      <c r="DE9" s="943"/>
      <c r="DF9" s="943"/>
      <c r="DG9" s="943"/>
      <c r="DH9" s="943"/>
      <c r="DI9" s="947"/>
      <c r="DJ9" s="947"/>
      <c r="DK9" s="947"/>
      <c r="DL9" s="947"/>
      <c r="DM9" s="947"/>
      <c r="DN9" s="947"/>
      <c r="DO9" s="947"/>
      <c r="DP9" s="947"/>
      <c r="DQ9" s="947"/>
      <c r="DR9" s="814"/>
      <c r="DS9" s="814"/>
      <c r="DT9" s="814"/>
      <c r="DU9" s="814"/>
      <c r="DX9" s="814"/>
      <c r="DY9" s="814"/>
    </row>
    <row r="10" spans="1:129" s="590" customFormat="1">
      <c r="A10" s="943"/>
      <c r="B10" s="597" t="s">
        <v>102</v>
      </c>
      <c r="C10" s="943" t="e">
        <f t="shared" ref="C10:AH10" si="31">SUM(C11:C15)</f>
        <v>#REF!</v>
      </c>
      <c r="D10" s="943">
        <f t="shared" si="31"/>
        <v>-86456</v>
      </c>
      <c r="E10" s="943">
        <f t="shared" si="31"/>
        <v>-89801</v>
      </c>
      <c r="F10" s="943">
        <f t="shared" si="31"/>
        <v>-129806</v>
      </c>
      <c r="G10" s="943">
        <f t="shared" si="31"/>
        <v>-92765</v>
      </c>
      <c r="H10" s="943">
        <f t="shared" si="31"/>
        <v>-117413</v>
      </c>
      <c r="I10" s="943">
        <f t="shared" si="31"/>
        <v>-111818</v>
      </c>
      <c r="J10" s="943">
        <f t="shared" si="31"/>
        <v>-162900</v>
      </c>
      <c r="K10" s="943">
        <f t="shared" si="31"/>
        <v>-117802</v>
      </c>
      <c r="L10" s="943">
        <f t="shared" si="31"/>
        <v>-151727</v>
      </c>
      <c r="M10" s="943">
        <f t="shared" si="31"/>
        <v>-141059</v>
      </c>
      <c r="N10" s="943">
        <f t="shared" si="31"/>
        <v>-208668</v>
      </c>
      <c r="O10" s="943">
        <f t="shared" si="31"/>
        <v>-164909</v>
      </c>
      <c r="P10" s="943">
        <f t="shared" si="31"/>
        <v>-201551</v>
      </c>
      <c r="Q10" s="943">
        <f t="shared" si="31"/>
        <v>-193465</v>
      </c>
      <c r="R10" s="943">
        <f t="shared" si="31"/>
        <v>-263324</v>
      </c>
      <c r="S10" s="943">
        <f t="shared" si="31"/>
        <v>-204130</v>
      </c>
      <c r="T10" s="943">
        <f t="shared" si="31"/>
        <v>-247727</v>
      </c>
      <c r="U10" s="943">
        <f t="shared" si="31"/>
        <v>-232710</v>
      </c>
      <c r="V10" s="943">
        <f t="shared" si="31"/>
        <v>-276144</v>
      </c>
      <c r="W10" s="943">
        <f t="shared" si="31"/>
        <v>-214414</v>
      </c>
      <c r="X10" s="943">
        <f t="shared" si="31"/>
        <v>-254160</v>
      </c>
      <c r="Y10" s="943">
        <f t="shared" si="31"/>
        <v>-249284</v>
      </c>
      <c r="Z10" s="943">
        <f t="shared" si="31"/>
        <v>-290240</v>
      </c>
      <c r="AA10" s="943">
        <f t="shared" si="31"/>
        <v>-242834</v>
      </c>
      <c r="AB10" s="943">
        <f t="shared" si="31"/>
        <v>-275480</v>
      </c>
      <c r="AC10" s="943">
        <f t="shared" si="31"/>
        <v>-275741</v>
      </c>
      <c r="AD10" s="943">
        <f t="shared" si="31"/>
        <v>-336298</v>
      </c>
      <c r="AE10" s="943">
        <f t="shared" si="31"/>
        <v>-290161</v>
      </c>
      <c r="AF10" s="943">
        <f t="shared" si="31"/>
        <v>-333704</v>
      </c>
      <c r="AG10" s="943">
        <f t="shared" si="31"/>
        <v>-332503</v>
      </c>
      <c r="AH10" s="943">
        <f t="shared" si="31"/>
        <v>-409791</v>
      </c>
      <c r="AI10" s="943">
        <f t="shared" ref="AI10:BN10" si="32">SUM(AI11:AI15)</f>
        <v>-365206</v>
      </c>
      <c r="AJ10" s="943">
        <f t="shared" si="32"/>
        <v>-407715</v>
      </c>
      <c r="AK10" s="943">
        <f t="shared" si="32"/>
        <v>-400138</v>
      </c>
      <c r="AL10" s="943">
        <f t="shared" si="32"/>
        <v>-495952</v>
      </c>
      <c r="AM10" s="943">
        <f t="shared" si="32"/>
        <v>-429671</v>
      </c>
      <c r="AN10" s="943">
        <f t="shared" si="32"/>
        <v>-458689</v>
      </c>
      <c r="AO10" s="943">
        <f t="shared" si="32"/>
        <v>-453196</v>
      </c>
      <c r="AP10" s="943">
        <f t="shared" si="32"/>
        <v>-510750</v>
      </c>
      <c r="AQ10" s="943">
        <f t="shared" si="32"/>
        <v>-429450.48</v>
      </c>
      <c r="AR10" s="943">
        <f t="shared" si="32"/>
        <v>-498988</v>
      </c>
      <c r="AS10" s="943">
        <f t="shared" si="32"/>
        <v>-502940</v>
      </c>
      <c r="AT10" s="943">
        <f t="shared" si="32"/>
        <v>-629019.73100000003</v>
      </c>
      <c r="AU10" s="943">
        <f t="shared" si="32"/>
        <v>-571198.72048999986</v>
      </c>
      <c r="AV10" s="943">
        <f t="shared" si="32"/>
        <v>-663910.35935999989</v>
      </c>
      <c r="AW10" s="943">
        <f t="shared" si="32"/>
        <v>-667252</v>
      </c>
      <c r="AX10" s="943">
        <f t="shared" si="32"/>
        <v>-798231.69659000007</v>
      </c>
      <c r="AY10" s="943">
        <f t="shared" si="32"/>
        <v>-653402</v>
      </c>
      <c r="AZ10" s="943">
        <f t="shared" si="32"/>
        <v>-738046</v>
      </c>
      <c r="BA10" s="943">
        <f t="shared" si="32"/>
        <v>-718719</v>
      </c>
      <c r="BB10" s="943">
        <f t="shared" si="32"/>
        <v>-790639</v>
      </c>
      <c r="BC10" s="943">
        <f t="shared" si="32"/>
        <v>-741732</v>
      </c>
      <c r="BD10" s="943">
        <f t="shared" si="32"/>
        <v>-824385</v>
      </c>
      <c r="BE10" s="943">
        <f t="shared" si="32"/>
        <v>-837896</v>
      </c>
      <c r="BF10" s="943">
        <f t="shared" si="32"/>
        <v>-1008140</v>
      </c>
      <c r="BG10" s="943">
        <f t="shared" si="32"/>
        <v>-838808</v>
      </c>
      <c r="BH10" s="943">
        <f t="shared" si="32"/>
        <v>-903099.03514000005</v>
      </c>
      <c r="BI10" s="943">
        <f t="shared" si="32"/>
        <v>-895618.56825000001</v>
      </c>
      <c r="BJ10" s="943">
        <f t="shared" si="32"/>
        <v>-1080676.7492</v>
      </c>
      <c r="BK10" s="943">
        <f t="shared" si="32"/>
        <v>-900210</v>
      </c>
      <c r="BL10" s="943">
        <f t="shared" si="32"/>
        <v>-1032648</v>
      </c>
      <c r="BM10" s="943">
        <f t="shared" si="32"/>
        <v>-1046514</v>
      </c>
      <c r="BN10" s="943">
        <f t="shared" si="32"/>
        <v>-1202165</v>
      </c>
      <c r="BO10" s="943">
        <f t="shared" ref="BO10:CD10" si="33">SUM(BO11:BO15)</f>
        <v>-1134752</v>
      </c>
      <c r="BP10" s="943">
        <f t="shared" si="33"/>
        <v>-83607</v>
      </c>
      <c r="BQ10" s="943">
        <f t="shared" si="33"/>
        <v>-1047291</v>
      </c>
      <c r="BR10" s="943">
        <f t="shared" si="33"/>
        <v>-1191081</v>
      </c>
      <c r="BS10" s="943">
        <f t="shared" si="33"/>
        <v>-1097357</v>
      </c>
      <c r="BT10" s="943">
        <f t="shared" si="33"/>
        <v>-1209341</v>
      </c>
      <c r="BU10" s="943">
        <f t="shared" si="33"/>
        <v>-1309314</v>
      </c>
      <c r="BV10" s="943">
        <f t="shared" si="33"/>
        <v>-1742422</v>
      </c>
      <c r="BW10" s="943">
        <f t="shared" si="33"/>
        <v>-1450798</v>
      </c>
      <c r="BX10" s="943">
        <f t="shared" si="33"/>
        <v>-1770282</v>
      </c>
      <c r="BY10" s="943">
        <f t="shared" si="33"/>
        <v>-1575209</v>
      </c>
      <c r="BZ10" s="943">
        <f t="shared" ref="BZ10" si="34">SUM(BZ11:BZ15)</f>
        <v>-1781126</v>
      </c>
      <c r="CA10" s="943">
        <f t="shared" si="33"/>
        <v>-1729126</v>
      </c>
      <c r="CB10" s="943">
        <f t="shared" si="33"/>
        <v>-1873356</v>
      </c>
      <c r="CC10" s="943">
        <f t="shared" si="33"/>
        <v>-1755853</v>
      </c>
      <c r="CD10" s="943">
        <f t="shared" si="33"/>
        <v>-1973190</v>
      </c>
      <c r="CE10" s="943">
        <f t="shared" ref="CE10:CH10" si="35">SUM(CE11:CE15)</f>
        <v>-1693305</v>
      </c>
      <c r="CF10" s="943">
        <f t="shared" si="35"/>
        <v>-1802851</v>
      </c>
      <c r="CG10" s="943">
        <f t="shared" si="35"/>
        <v>-1769774</v>
      </c>
      <c r="CH10" s="943">
        <f t="shared" si="35"/>
        <v>-2216676</v>
      </c>
      <c r="CI10" s="943">
        <f t="shared" ref="CI10:CL10" si="36">SUM(CI11:CI15)</f>
        <v>-1748464</v>
      </c>
      <c r="CJ10" s="943">
        <f t="shared" si="36"/>
        <v>-2045899</v>
      </c>
      <c r="CK10" s="943">
        <f t="shared" si="36"/>
        <v>-1907387</v>
      </c>
      <c r="CL10" s="946">
        <f t="shared" si="36"/>
        <v>-2233803.0928387139</v>
      </c>
      <c r="CM10" s="946">
        <f t="shared" ref="CM10:CP10" si="37">SUM(CM11:CM15)</f>
        <v>-1925932.4237410128</v>
      </c>
      <c r="CN10" s="946">
        <f t="shared" si="37"/>
        <v>-2228221.2582785059</v>
      </c>
      <c r="CO10" s="946">
        <f t="shared" si="37"/>
        <v>-2068335.1711191668</v>
      </c>
      <c r="CP10" s="946">
        <f t="shared" si="37"/>
        <v>-2398421.4284498105</v>
      </c>
      <c r="CQ10" s="946"/>
      <c r="CR10" s="946">
        <v>-2233803.0928387139</v>
      </c>
      <c r="CT10" s="943"/>
      <c r="CU10" s="943"/>
      <c r="CV10" s="943"/>
      <c r="CW10" s="943"/>
      <c r="CX10" s="589">
        <f>+SUM(O10:R10)</f>
        <v>-823249</v>
      </c>
      <c r="CY10" s="947">
        <f>SUM(S10:V10)</f>
        <v>-960711</v>
      </c>
      <c r="CZ10" s="947">
        <f>SUM(W10:Z10)</f>
        <v>-1008098</v>
      </c>
      <c r="DA10" s="947">
        <f>SUM(AA10:AD10)</f>
        <v>-1130353</v>
      </c>
      <c r="DB10" s="947">
        <f>SUM(AE10:AH10)</f>
        <v>-1366159</v>
      </c>
      <c r="DC10" s="943">
        <f>+SUM(AI10:AL10)</f>
        <v>-1669011</v>
      </c>
      <c r="DD10" s="943">
        <f>+SUM(AM10:AP10)</f>
        <v>-1852306</v>
      </c>
      <c r="DE10" s="943">
        <f>+SUM(AQ10:AT10)</f>
        <v>-2060398.2110000001</v>
      </c>
      <c r="DF10" s="943">
        <f>+SUM(AU10:AX10)</f>
        <v>-2700592.7764400002</v>
      </c>
      <c r="DG10" s="943">
        <f t="shared" ref="DG10:DR10" si="38">SUM(DG11:DG15)</f>
        <v>-2900806</v>
      </c>
      <c r="DH10" s="943">
        <f t="shared" si="38"/>
        <v>-3412153</v>
      </c>
      <c r="DI10" s="943">
        <f t="shared" si="38"/>
        <v>-3718202.3525900003</v>
      </c>
      <c r="DJ10" s="943">
        <f t="shared" si="38"/>
        <v>-4181537</v>
      </c>
      <c r="DK10" s="943">
        <f t="shared" si="38"/>
        <v>-3456731</v>
      </c>
      <c r="DL10" s="943">
        <f t="shared" si="38"/>
        <v>-5358434</v>
      </c>
      <c r="DM10" s="943">
        <f t="shared" si="38"/>
        <v>-6577415</v>
      </c>
      <c r="DN10" s="943">
        <f t="shared" si="38"/>
        <v>-7331525</v>
      </c>
      <c r="DO10" s="943">
        <f t="shared" ref="DO10:DP10" si="39">SUM(DO11:DO15)</f>
        <v>-7482606</v>
      </c>
      <c r="DP10" s="943">
        <f t="shared" si="39"/>
        <v>-7935553.0928387139</v>
      </c>
      <c r="DQ10" s="943">
        <f t="shared" ref="DQ10" si="40">SUM(DQ11:DQ15)</f>
        <v>-8620910.2815884948</v>
      </c>
      <c r="DR10" s="814">
        <f t="shared" si="38"/>
        <v>-8834921.5107636414</v>
      </c>
      <c r="DS10" s="814">
        <f t="shared" ref="DS10:DU10" si="41">SUM(DS11:DS15)</f>
        <v>-9249750.8705707639</v>
      </c>
      <c r="DT10" s="814">
        <f t="shared" si="41"/>
        <v>-9711825.3716966063</v>
      </c>
      <c r="DU10" s="814">
        <f t="shared" si="41"/>
        <v>-10214422.58274707</v>
      </c>
      <c r="DX10" s="814">
        <v>-8430181.8280610535</v>
      </c>
      <c r="DY10" s="814">
        <v>-8645911.8625866491</v>
      </c>
    </row>
    <row r="11" spans="1:129" s="904" customFormat="1">
      <c r="A11" s="939"/>
      <c r="B11" s="908" t="s">
        <v>338</v>
      </c>
      <c r="C11" s="939">
        <f>FAT!C73</f>
        <v>-51603</v>
      </c>
      <c r="D11" s="939">
        <f>FAT!D73</f>
        <v>-64147</v>
      </c>
      <c r="E11" s="939">
        <f>FAT!E73</f>
        <v>-58677</v>
      </c>
      <c r="F11" s="939">
        <f>FAT!F73</f>
        <v>-76991</v>
      </c>
      <c r="G11" s="939">
        <f>FAT!G73</f>
        <v>-59875</v>
      </c>
      <c r="H11" s="939">
        <f>FAT!H73</f>
        <v>-74554</v>
      </c>
      <c r="I11" s="939">
        <f>FAT!I73</f>
        <v>-71689</v>
      </c>
      <c r="J11" s="939">
        <f>FAT!J73</f>
        <v>-92534</v>
      </c>
      <c r="K11" s="939">
        <f>FAT!K73</f>
        <v>-75638</v>
      </c>
      <c r="L11" s="939">
        <f>FAT!L73</f>
        <v>-94012</v>
      </c>
      <c r="M11" s="939">
        <f>FAT!M73</f>
        <v>-89403</v>
      </c>
      <c r="N11" s="939">
        <f>FAT!N73</f>
        <v>-119546</v>
      </c>
      <c r="O11" s="939">
        <f>FAT!O73</f>
        <v>-91089</v>
      </c>
      <c r="P11" s="939">
        <f>FAT!P73</f>
        <v>-107330</v>
      </c>
      <c r="Q11" s="939">
        <f>FAT!Q73</f>
        <v>-104190</v>
      </c>
      <c r="R11" s="939">
        <f>FAT!R73</f>
        <v>-137318</v>
      </c>
      <c r="S11" s="939">
        <f>FAT!S73</f>
        <v>-113624</v>
      </c>
      <c r="T11" s="939">
        <f>FAT!T73</f>
        <v>-130237</v>
      </c>
      <c r="U11" s="939">
        <f>FAT!U73</f>
        <v>-121301</v>
      </c>
      <c r="V11" s="939">
        <f>FAT!V73</f>
        <v>-149932</v>
      </c>
      <c r="W11" s="939">
        <f>FAT!W73</f>
        <v>-120897</v>
      </c>
      <c r="X11" s="939">
        <f>FAT!X73</f>
        <v>-136055</v>
      </c>
      <c r="Y11" s="939">
        <f>FAT!Y73</f>
        <v>-137375</v>
      </c>
      <c r="Z11" s="939">
        <f>FAT!Z73</f>
        <v>-160143</v>
      </c>
      <c r="AA11" s="939">
        <f>FAT!AA73</f>
        <v>-137053</v>
      </c>
      <c r="AB11" s="939">
        <f>FAT!AB73</f>
        <v>-148731</v>
      </c>
      <c r="AC11" s="939">
        <f>FAT!AC73</f>
        <v>-159934</v>
      </c>
      <c r="AD11" s="939">
        <f>FAT!AD73</f>
        <v>-195985</v>
      </c>
      <c r="AE11" s="939">
        <f>FAT!AE73</f>
        <v>-167000</v>
      </c>
      <c r="AF11" s="939">
        <f>FAT!AF73</f>
        <v>-185211</v>
      </c>
      <c r="AG11" s="939">
        <f>FAT!AG73</f>
        <v>-189434</v>
      </c>
      <c r="AH11" s="939">
        <f>FAT!AH73</f>
        <v>-233896</v>
      </c>
      <c r="AI11" s="939">
        <f>FAT!AI73</f>
        <v>-208242</v>
      </c>
      <c r="AJ11" s="939">
        <f>FAT!AJ73</f>
        <v>-226085</v>
      </c>
      <c r="AK11" s="939">
        <f>FAT!AK73</f>
        <v>-217724</v>
      </c>
      <c r="AL11" s="939">
        <f>FAT!AL73</f>
        <v>-277504</v>
      </c>
      <c r="AM11" s="939">
        <f>FAT!AM73</f>
        <v>-240057</v>
      </c>
      <c r="AN11" s="939">
        <f>FAT!AN73</f>
        <v>-249580</v>
      </c>
      <c r="AO11" s="939">
        <f>FAT!AO73</f>
        <v>-249297</v>
      </c>
      <c r="AP11" s="939">
        <f>FAT!AP73</f>
        <v>-291122</v>
      </c>
      <c r="AQ11" s="939">
        <f>FAT!AQ73</f>
        <v>-256198</v>
      </c>
      <c r="AR11" s="939">
        <f>FAT!AR73</f>
        <v>-286169</v>
      </c>
      <c r="AS11" s="939">
        <f>FAT!AS73</f>
        <v>-287355</v>
      </c>
      <c r="AT11" s="939">
        <f>FAT!AT73</f>
        <v>-342031</v>
      </c>
      <c r="AU11" s="939">
        <f>FAT!AU73</f>
        <v>-307292</v>
      </c>
      <c r="AV11" s="939">
        <f>FAT!AV73</f>
        <v>-343999</v>
      </c>
      <c r="AW11" s="939">
        <f>FAT!AW73</f>
        <v>-339070</v>
      </c>
      <c r="AX11" s="939">
        <f>FAT!AX73</f>
        <v>-399367</v>
      </c>
      <c r="AY11" s="939">
        <f>FAT!AY73</f>
        <v>-353110</v>
      </c>
      <c r="AZ11" s="939">
        <f>FAT!AZ73</f>
        <v>-394357</v>
      </c>
      <c r="BA11" s="939">
        <f>FAT!BA73</f>
        <v>-375259</v>
      </c>
      <c r="BB11" s="939">
        <f>FAT!BB73</f>
        <v>-424735</v>
      </c>
      <c r="BC11" s="939">
        <f>FAT!BC73</f>
        <v>-418444.63346000004</v>
      </c>
      <c r="BD11" s="939">
        <f>FAT!BD73</f>
        <v>-463130.49000999995</v>
      </c>
      <c r="BE11" s="939">
        <f>FAT!BE73</f>
        <v>-455512.74192999996</v>
      </c>
      <c r="BF11" s="939">
        <f>FAT!BF73</f>
        <v>-528912.49598000001</v>
      </c>
      <c r="BG11" s="939">
        <f>FAT!BG73</f>
        <v>-478099</v>
      </c>
      <c r="BH11" s="939">
        <f>FAT!BH73</f>
        <v>-507826</v>
      </c>
      <c r="BI11" s="939">
        <f>FAT!BI73</f>
        <v>-504648</v>
      </c>
      <c r="BJ11" s="939">
        <f>FAT!BJ73</f>
        <v>-584814</v>
      </c>
      <c r="BK11" s="939">
        <f>FAT!BK73</f>
        <v>-439174</v>
      </c>
      <c r="BL11" s="939">
        <f>FAT!BL73</f>
        <v>-495829</v>
      </c>
      <c r="BM11" s="939">
        <f>FAT!BM73</f>
        <v>-481346</v>
      </c>
      <c r="BN11" s="939">
        <f>FAT!BN73</f>
        <v>-559371</v>
      </c>
      <c r="BO11" s="939">
        <f>FAT!BO73</f>
        <v>-475090</v>
      </c>
      <c r="BP11" s="939">
        <f>FAT!BP73</f>
        <v>-271005</v>
      </c>
      <c r="BQ11" s="939">
        <f>FAT!BQ73</f>
        <v>-478255</v>
      </c>
      <c r="BR11" s="939">
        <f>FAT!BR73</f>
        <v>-661278</v>
      </c>
      <c r="BS11" s="939">
        <f>FAT!BS73</f>
        <v>-538038</v>
      </c>
      <c r="BT11" s="939">
        <f>FAT!BT73</f>
        <v>-600683</v>
      </c>
      <c r="BU11" s="939">
        <f>FAT!BU73</f>
        <v>-629903</v>
      </c>
      <c r="BV11" s="939">
        <f>FAT!BV73</f>
        <v>-776488</v>
      </c>
      <c r="BW11" s="939">
        <f>FAT!BW73</f>
        <v>-629768</v>
      </c>
      <c r="BX11" s="939">
        <f>FAT!BX73</f>
        <v>-729685</v>
      </c>
      <c r="BY11" s="939">
        <f>FAT!BY73</f>
        <v>-675481</v>
      </c>
      <c r="BZ11" s="939">
        <f>FAT!BZ73</f>
        <v>-794501</v>
      </c>
      <c r="CA11" s="939">
        <f>FAT!CA73</f>
        <v>-673994</v>
      </c>
      <c r="CB11" s="939">
        <f>FAT!CB73</f>
        <v>-738945</v>
      </c>
      <c r="CC11" s="939">
        <f>FAT!CC73</f>
        <v>-690457</v>
      </c>
      <c r="CD11" s="939">
        <f>FAT!CD73</f>
        <v>-841203</v>
      </c>
      <c r="CE11" s="939">
        <f>FAT!CE73</f>
        <v>-697554</v>
      </c>
      <c r="CF11" s="939">
        <f>FAT!CF73</f>
        <v>-763573</v>
      </c>
      <c r="CG11" s="939">
        <f>FAT!CG73</f>
        <v>-745907</v>
      </c>
      <c r="CH11" s="939">
        <v>-912334</v>
      </c>
      <c r="CI11" s="939">
        <f>FAT!CI73</f>
        <v>-757318</v>
      </c>
      <c r="CJ11" s="939">
        <f>FAT!CJ73</f>
        <v>-861220</v>
      </c>
      <c r="CK11" s="939">
        <f>FAT!CK73</f>
        <v>-803045</v>
      </c>
      <c r="CL11" s="941">
        <f>FAT!CL73</f>
        <v>-953947.35680192802</v>
      </c>
      <c r="CM11" s="941">
        <f>FAT!CM73</f>
        <v>-798387.24213387363</v>
      </c>
      <c r="CN11" s="941">
        <f>FAT!CN73</f>
        <v>-900170.13383973704</v>
      </c>
      <c r="CO11" s="941">
        <f>FAT!CO73</f>
        <v>-865521.58953495394</v>
      </c>
      <c r="CP11" s="941">
        <f>FAT!CP73</f>
        <v>-1037404.0088943929</v>
      </c>
      <c r="CQ11" s="941"/>
      <c r="CR11" s="941">
        <v>-953947.35680192802</v>
      </c>
      <c r="CT11" s="939"/>
      <c r="CU11" s="939"/>
      <c r="CV11" s="939"/>
      <c r="CW11" s="939"/>
      <c r="CX11" s="592">
        <f>+SUM(O11:R11)</f>
        <v>-439927</v>
      </c>
      <c r="CY11" s="942">
        <f>SUM(S11:V11)</f>
        <v>-515094</v>
      </c>
      <c r="CZ11" s="942">
        <f>SUM(W11:Z11)</f>
        <v>-554470</v>
      </c>
      <c r="DA11" s="942">
        <f>SUM(AA11:AD11)</f>
        <v>-641703</v>
      </c>
      <c r="DB11" s="942">
        <f>SUM(AE11:AH11)</f>
        <v>-775541</v>
      </c>
      <c r="DC11" s="939">
        <f>+SUM(AI11:AL11)</f>
        <v>-929555</v>
      </c>
      <c r="DD11" s="939">
        <f>+SUM(AM11:AP11)</f>
        <v>-1030056</v>
      </c>
      <c r="DE11" s="939">
        <f>+SUM(AQ11:AT11)</f>
        <v>-1171753</v>
      </c>
      <c r="DF11" s="939">
        <f>+SUM(AU11:AX11)</f>
        <v>-1389728</v>
      </c>
      <c r="DG11" s="939">
        <f>+SUM(AY11:BB11)</f>
        <v>-1547461</v>
      </c>
      <c r="DH11" s="939">
        <f>+SUM(BC11:BF11)</f>
        <v>-1866000.3613800001</v>
      </c>
      <c r="DI11" s="939">
        <f>FAT!DJ73</f>
        <v>-2075387</v>
      </c>
      <c r="DJ11" s="939">
        <f>FAT!DK73</f>
        <v>-1975720</v>
      </c>
      <c r="DK11" s="939">
        <f>FAT!DL73</f>
        <v>-1885628</v>
      </c>
      <c r="DL11" s="939">
        <f>FAT!DM73</f>
        <v>-2545112</v>
      </c>
      <c r="DM11" s="939">
        <f>FAT!DN73</f>
        <v>-2829435</v>
      </c>
      <c r="DN11" s="939">
        <f>FAT!DO73</f>
        <v>-2944599</v>
      </c>
      <c r="DO11" s="939">
        <f>FAT!DP73</f>
        <v>-3119368</v>
      </c>
      <c r="DP11" s="939">
        <f>FAT!DQ73</f>
        <v>-3375530.356801928</v>
      </c>
      <c r="DQ11" s="939">
        <f>FAT!DR73</f>
        <v>-3601482.9744029571</v>
      </c>
      <c r="DR11" s="813">
        <f>FAT!DS73</f>
        <v>-3810986.55351792</v>
      </c>
      <c r="DS11" s="813">
        <f>FAT!DT73</f>
        <v>-4071063.8894282733</v>
      </c>
      <c r="DT11" s="813">
        <f>FAT!DU73</f>
        <v>-4348896.5109543232</v>
      </c>
      <c r="DU11" s="813">
        <f>FAT!DV73</f>
        <v>-4645465.5803608317</v>
      </c>
      <c r="DX11" s="813">
        <v>-3623986.5158958975</v>
      </c>
      <c r="DY11" s="813">
        <v>-3707293.8058452369</v>
      </c>
    </row>
    <row r="12" spans="1:129" s="904" customFormat="1">
      <c r="A12" s="939"/>
      <c r="B12" s="908" t="s">
        <v>339</v>
      </c>
      <c r="C12" s="939">
        <f>FAT!C82</f>
        <v>-15655</v>
      </c>
      <c r="D12" s="939">
        <f>FAT!D82</f>
        <v>-19373</v>
      </c>
      <c r="E12" s="939">
        <f>FAT!E82</f>
        <v>-19823</v>
      </c>
      <c r="F12" s="939">
        <f>FAT!F82</f>
        <v>-31015</v>
      </c>
      <c r="G12" s="939">
        <f>FAT!G82</f>
        <v>-17328</v>
      </c>
      <c r="H12" s="939">
        <f>FAT!H82</f>
        <v>-22856</v>
      </c>
      <c r="I12" s="939">
        <f>FAT!I82</f>
        <v>-22355</v>
      </c>
      <c r="J12" s="939">
        <f>FAT!J82</f>
        <v>-27692</v>
      </c>
      <c r="K12" s="939">
        <f>FAT!K82</f>
        <v>-23220</v>
      </c>
      <c r="L12" s="939">
        <f>FAT!L82</f>
        <v>-32309</v>
      </c>
      <c r="M12" s="939">
        <f>FAT!M82</f>
        <v>-31618</v>
      </c>
      <c r="N12" s="939">
        <f>FAT!N82</f>
        <v>-41292</v>
      </c>
      <c r="O12" s="939">
        <f>FAT!O82</f>
        <v>-32044</v>
      </c>
      <c r="P12" s="939">
        <f>FAT!P82</f>
        <v>-34024</v>
      </c>
      <c r="Q12" s="939">
        <f>FAT!Q82</f>
        <v>-36511</v>
      </c>
      <c r="R12" s="939">
        <f>FAT!R82</f>
        <v>-48809</v>
      </c>
      <c r="S12" s="939">
        <f>FAT!S82</f>
        <v>-36682</v>
      </c>
      <c r="T12" s="939">
        <f>FAT!T82</f>
        <v>-43903</v>
      </c>
      <c r="U12" s="939">
        <f>FAT!U82</f>
        <v>-46977</v>
      </c>
      <c r="V12" s="939">
        <f>FAT!V82</f>
        <v>-51406</v>
      </c>
      <c r="W12" s="939">
        <f>FAT!W82</f>
        <v>-38003</v>
      </c>
      <c r="X12" s="939">
        <f>FAT!X82</f>
        <v>-46198</v>
      </c>
      <c r="Y12" s="939">
        <f>FAT!Y82</f>
        <v>-43957</v>
      </c>
      <c r="Z12" s="939">
        <f>FAT!Z82</f>
        <v>-52188</v>
      </c>
      <c r="AA12" s="939">
        <f>FAT!AA82</f>
        <v>-40966</v>
      </c>
      <c r="AB12" s="939">
        <f>FAT!AB82</f>
        <v>-50098</v>
      </c>
      <c r="AC12" s="939">
        <f>FAT!AC82</f>
        <v>-56810</v>
      </c>
      <c r="AD12" s="939">
        <f>FAT!AD82</f>
        <v>-63890</v>
      </c>
      <c r="AE12" s="939">
        <f>FAT!AE82</f>
        <v>-51523</v>
      </c>
      <c r="AF12" s="939">
        <f>FAT!AF82</f>
        <v>-60560</v>
      </c>
      <c r="AG12" s="939">
        <f>FAT!AG82</f>
        <v>-63936</v>
      </c>
      <c r="AH12" s="939">
        <f>FAT!AH82</f>
        <v>-74662</v>
      </c>
      <c r="AI12" s="939">
        <f>FAT!AI82</f>
        <v>-64196</v>
      </c>
      <c r="AJ12" s="939">
        <f>FAT!AJ82</f>
        <v>-68973</v>
      </c>
      <c r="AK12" s="939">
        <f>FAT!AK82</f>
        <v>-74110</v>
      </c>
      <c r="AL12" s="939">
        <f>FAT!AL82</f>
        <v>-86652</v>
      </c>
      <c r="AM12" s="939">
        <f>FAT!AM82</f>
        <v>-78755</v>
      </c>
      <c r="AN12" s="939">
        <f>FAT!AN82</f>
        <v>-79154</v>
      </c>
      <c r="AO12" s="939">
        <f>FAT!AO82</f>
        <v>-86293</v>
      </c>
      <c r="AP12" s="939">
        <f>FAT!AP82</f>
        <v>-86053</v>
      </c>
      <c r="AQ12" s="939">
        <f>FAT!AQ82</f>
        <v>-81634</v>
      </c>
      <c r="AR12" s="939">
        <f>FAT!AR82</f>
        <v>-92299</v>
      </c>
      <c r="AS12" s="939">
        <f>FAT!AS82</f>
        <v>-98792</v>
      </c>
      <c r="AT12" s="939">
        <f>FAT!AT82</f>
        <v>-125275</v>
      </c>
      <c r="AU12" s="939">
        <f>FAT!AU82</f>
        <v>-100353</v>
      </c>
      <c r="AV12" s="939">
        <f>FAT!AV82</f>
        <v>-116651</v>
      </c>
      <c r="AW12" s="939">
        <f>FAT!AW82</f>
        <v>-122131</v>
      </c>
      <c r="AX12" s="939">
        <f>FAT!AX82</f>
        <v>-130254</v>
      </c>
      <c r="AY12" s="939">
        <f>FAT!AY82</f>
        <v>-120667</v>
      </c>
      <c r="AZ12" s="939">
        <f>FAT!AZ82</f>
        <v>-130629</v>
      </c>
      <c r="BA12" s="939">
        <f>FAT!BA82</f>
        <v>-134271</v>
      </c>
      <c r="BB12" s="939">
        <f>FAT!BB82</f>
        <v>-135497</v>
      </c>
      <c r="BC12" s="939">
        <f>FAT!BC82</f>
        <v>-129705.13443000001</v>
      </c>
      <c r="BD12" s="939">
        <f>FAT!BD82</f>
        <v>-135603.50086</v>
      </c>
      <c r="BE12" s="939">
        <f>FAT!BE82</f>
        <v>-150096.68736000001</v>
      </c>
      <c r="BF12" s="939">
        <f>FAT!BF82</f>
        <v>-169379.93951</v>
      </c>
      <c r="BG12" s="939">
        <f>FAT!BG82</f>
        <v>-149298</v>
      </c>
      <c r="BH12" s="939">
        <f>FAT!BH82</f>
        <v>-161412</v>
      </c>
      <c r="BI12" s="939">
        <f>FAT!BI82</f>
        <v>-176513</v>
      </c>
      <c r="BJ12" s="939">
        <f>FAT!BJ82</f>
        <v>-200229</v>
      </c>
      <c r="BK12" s="939">
        <f>FAT!BK82</f>
        <v>-170241</v>
      </c>
      <c r="BL12" s="939">
        <f>FAT!BL82</f>
        <v>-182454</v>
      </c>
      <c r="BM12" s="939">
        <f>FAT!BM82</f>
        <v>-196024</v>
      </c>
      <c r="BN12" s="939">
        <f>FAT!BN82</f>
        <v>-212317</v>
      </c>
      <c r="BO12" s="939">
        <f>FAT!BO82</f>
        <v>-190264</v>
      </c>
      <c r="BP12" s="939">
        <f>FAT!BP82</f>
        <v>-150478</v>
      </c>
      <c r="BQ12" s="939">
        <f>FAT!BQ82</f>
        <v>-175639</v>
      </c>
      <c r="BR12" s="939">
        <f>FAT!BR82</f>
        <v>-206902</v>
      </c>
      <c r="BS12" s="939">
        <f>FAT!BS82</f>
        <v>-211525</v>
      </c>
      <c r="BT12" s="939">
        <f>FAT!BT82</f>
        <v>-236832</v>
      </c>
      <c r="BU12" s="939">
        <f>FAT!BU82</f>
        <v>-236494</v>
      </c>
      <c r="BV12" s="939">
        <f>FAT!BV82</f>
        <v>-299809</v>
      </c>
      <c r="BW12" s="939">
        <f>FAT!BW82</f>
        <v>-298222</v>
      </c>
      <c r="BX12" s="939">
        <f>FAT!BX82</f>
        <v>-327798</v>
      </c>
      <c r="BY12" s="939">
        <f>FAT!BY82</f>
        <v>-332496</v>
      </c>
      <c r="BZ12" s="939">
        <f>FAT!BZ82</f>
        <v>-337320</v>
      </c>
      <c r="CA12" s="939">
        <f>FAT!CA82</f>
        <v>-335435</v>
      </c>
      <c r="CB12" s="939">
        <f>FAT!CB82</f>
        <v>-354084</v>
      </c>
      <c r="CC12" s="939">
        <f>FAT!CC82</f>
        <v>-346603</v>
      </c>
      <c r="CD12" s="939">
        <f>FAT!CD82</f>
        <v>-380173</v>
      </c>
      <c r="CE12" s="939">
        <f>FAT!CE82</f>
        <v>-338911</v>
      </c>
      <c r="CF12" s="939">
        <f>FAT!CF82</f>
        <v>-357670</v>
      </c>
      <c r="CG12" s="939">
        <f>FAT!CG82</f>
        <v>-357141</v>
      </c>
      <c r="CH12" s="939">
        <v>-393110</v>
      </c>
      <c r="CI12" s="939">
        <f>FAT!CI82</f>
        <v>-363661</v>
      </c>
      <c r="CJ12" s="939">
        <f>FAT!CJ82</f>
        <v>-414964</v>
      </c>
      <c r="CK12" s="939">
        <f>FAT!CK82</f>
        <v>-372974</v>
      </c>
      <c r="CL12" s="941">
        <f>FAT!CL82</f>
        <v>-412765.5</v>
      </c>
      <c r="CM12" s="941">
        <f>FAT!CM82</f>
        <v>-374570.83</v>
      </c>
      <c r="CN12" s="941">
        <f>FAT!CN82</f>
        <v>-427412.92</v>
      </c>
      <c r="CO12" s="941">
        <f>FAT!CO82</f>
        <v>-384163.22000000003</v>
      </c>
      <c r="CP12" s="941">
        <f>FAT!CP82</f>
        <v>-425148.46500000003</v>
      </c>
      <c r="CQ12" s="941"/>
      <c r="CR12" s="941">
        <v>-412765.5</v>
      </c>
      <c r="CT12" s="939"/>
      <c r="CU12" s="939"/>
      <c r="CV12" s="939"/>
      <c r="CW12" s="939"/>
      <c r="CX12" s="592">
        <f>+SUM(O12:R12)</f>
        <v>-151388</v>
      </c>
      <c r="CY12" s="942">
        <f>SUM(S12:V12)</f>
        <v>-178968</v>
      </c>
      <c r="CZ12" s="942">
        <f>SUM(W12:Z12)</f>
        <v>-180346</v>
      </c>
      <c r="DA12" s="942">
        <f>SUM(AA12:AD12)</f>
        <v>-211764</v>
      </c>
      <c r="DB12" s="942">
        <f>SUM(AE12:AH12)</f>
        <v>-250681</v>
      </c>
      <c r="DC12" s="939">
        <f>+SUM(AI12:AL12)</f>
        <v>-293931</v>
      </c>
      <c r="DD12" s="939">
        <f>+SUM(AM12:AP12)</f>
        <v>-330255</v>
      </c>
      <c r="DE12" s="939">
        <f>+SUM(AQ12:AT12)</f>
        <v>-398000</v>
      </c>
      <c r="DF12" s="939">
        <f>+SUM(AU12:AX12)</f>
        <v>-469389</v>
      </c>
      <c r="DG12" s="939">
        <f>+SUM(AY12:BB12)</f>
        <v>-521064</v>
      </c>
      <c r="DH12" s="939">
        <f>+SUM(BC12:BF12)</f>
        <v>-584785.26215999993</v>
      </c>
      <c r="DI12" s="939">
        <f>FAT!DJ82</f>
        <v>-687452</v>
      </c>
      <c r="DJ12" s="939">
        <f>FAT!DK82</f>
        <v>-761036</v>
      </c>
      <c r="DK12" s="939">
        <f>FAT!DL82</f>
        <v>-723283</v>
      </c>
      <c r="DL12" s="939">
        <f>FAT!DM82</f>
        <v>-984660</v>
      </c>
      <c r="DM12" s="939">
        <f>FAT!DN82</f>
        <v>-1295836</v>
      </c>
      <c r="DN12" s="939">
        <f>FAT!DO82</f>
        <v>-1416295</v>
      </c>
      <c r="DO12" s="939">
        <f>FAT!DP82</f>
        <v>-1446832</v>
      </c>
      <c r="DP12" s="939">
        <f>FAT!DQ82</f>
        <v>-1564364.5</v>
      </c>
      <c r="DQ12" s="939">
        <f>FAT!DR82</f>
        <v>-1611295.4350000001</v>
      </c>
      <c r="DR12" s="813">
        <f>FAT!DS82</f>
        <v>-1691860.2067500001</v>
      </c>
      <c r="DS12" s="813">
        <f>FAT!DT82</f>
        <v>-1776453.2170875003</v>
      </c>
      <c r="DT12" s="813">
        <f>FAT!DU82</f>
        <v>-1865275.8779418753</v>
      </c>
      <c r="DU12" s="813">
        <f>FAT!DV82</f>
        <v>-1958539.671838969</v>
      </c>
      <c r="DX12" s="813">
        <v>-1642582.7250000001</v>
      </c>
      <c r="DY12" s="813">
        <v>-1724711.8612500001</v>
      </c>
    </row>
    <row r="13" spans="1:129" s="904" customFormat="1">
      <c r="A13" s="939"/>
      <c r="B13" s="908" t="s">
        <v>340</v>
      </c>
      <c r="C13" s="939" t="e">
        <f>-C41*#REF!</f>
        <v>#REF!</v>
      </c>
      <c r="D13" s="939">
        <f>FAT!D89</f>
        <v>-6762</v>
      </c>
      <c r="E13" s="939">
        <f>FAT!E89</f>
        <v>-6894</v>
      </c>
      <c r="F13" s="939">
        <f>FAT!F89</f>
        <v>-7178</v>
      </c>
      <c r="G13" s="939">
        <f>FAT!G89</f>
        <v>-7112</v>
      </c>
      <c r="H13" s="939">
        <f>FAT!H89</f>
        <v>-7870</v>
      </c>
      <c r="I13" s="939">
        <f>FAT!I89</f>
        <v>-7917</v>
      </c>
      <c r="J13" s="939">
        <f>FAT!J89</f>
        <v>-8159</v>
      </c>
      <c r="K13" s="939">
        <f>FAT!K89</f>
        <v>-8540</v>
      </c>
      <c r="L13" s="939">
        <f>FAT!L89</f>
        <v>-9355</v>
      </c>
      <c r="M13" s="939">
        <f>FAT!M89</f>
        <v>-10043</v>
      </c>
      <c r="N13" s="939">
        <f>FAT!N89</f>
        <v>-10721</v>
      </c>
      <c r="O13" s="939">
        <f>FAT!O89</f>
        <v>-11703</v>
      </c>
      <c r="P13" s="939">
        <f>FAT!P89</f>
        <v>-12100</v>
      </c>
      <c r="Q13" s="939">
        <f>FAT!Q89</f>
        <v>-12625</v>
      </c>
      <c r="R13" s="939">
        <f>FAT!R89</f>
        <v>-13279</v>
      </c>
      <c r="S13" s="939">
        <f>FAT!S89</f>
        <v>-14580</v>
      </c>
      <c r="T13" s="939">
        <f>FAT!T89</f>
        <v>-15315</v>
      </c>
      <c r="U13" s="939">
        <f>FAT!U89</f>
        <v>-15975</v>
      </c>
      <c r="V13" s="939">
        <f>FAT!V89</f>
        <v>-16157</v>
      </c>
      <c r="W13" s="939">
        <f>FAT!W89</f>
        <v>-18139</v>
      </c>
      <c r="X13" s="939">
        <f>FAT!X89</f>
        <v>-18343</v>
      </c>
      <c r="Y13" s="939">
        <f>FAT!Y89</f>
        <v>-18799</v>
      </c>
      <c r="Z13" s="939">
        <f>FAT!Z89</f>
        <v>-18793</v>
      </c>
      <c r="AA13" s="939">
        <f>FAT!AA89</f>
        <v>-18795</v>
      </c>
      <c r="AB13" s="939">
        <f>FAT!AB89</f>
        <v>-17923</v>
      </c>
      <c r="AC13" s="939">
        <f>FAT!AC89</f>
        <v>-18294</v>
      </c>
      <c r="AD13" s="939">
        <f>FAT!AD89</f>
        <v>-20775</v>
      </c>
      <c r="AE13" s="939">
        <f>FAT!AE89</f>
        <v>-21515</v>
      </c>
      <c r="AF13" s="939">
        <f>FAT!AF89</f>
        <v>-22579</v>
      </c>
      <c r="AG13" s="939">
        <f>FAT!AG89</f>
        <v>-24173</v>
      </c>
      <c r="AH13" s="939">
        <f>FAT!AH89</f>
        <v>-29371</v>
      </c>
      <c r="AI13" s="939">
        <f>FAT!AI89</f>
        <v>-30147</v>
      </c>
      <c r="AJ13" s="939">
        <f>FAT!AJ89</f>
        <v>-31930</v>
      </c>
      <c r="AK13" s="939">
        <f>FAT!AK89</f>
        <v>-33749</v>
      </c>
      <c r="AL13" s="939">
        <f>FAT!AL89</f>
        <v>-37124</v>
      </c>
      <c r="AM13" s="939">
        <f>FAT!AM89</f>
        <v>-39291</v>
      </c>
      <c r="AN13" s="939">
        <f>FAT!AN89</f>
        <v>-40586</v>
      </c>
      <c r="AO13" s="939">
        <f>FAT!AO89</f>
        <v>-42276</v>
      </c>
      <c r="AP13" s="939">
        <f>FAT!AP89</f>
        <v>-45284</v>
      </c>
      <c r="AQ13" s="939">
        <f>FAT!AQ89</f>
        <v>-48304</v>
      </c>
      <c r="AR13" s="939">
        <f>FAT!AR89</f>
        <v>-51633</v>
      </c>
      <c r="AS13" s="939">
        <f>FAT!AS89</f>
        <v>-55024</v>
      </c>
      <c r="AT13" s="939">
        <f>FAT!AT89</f>
        <v>-57771</v>
      </c>
      <c r="AU13" s="939">
        <f>FAT!AU89</f>
        <v>-61385.209040000002</v>
      </c>
      <c r="AV13" s="939">
        <f>FAT!AV89</f>
        <v>-63684.935679999799</v>
      </c>
      <c r="AW13" s="939">
        <f>FAT!AW89</f>
        <v>-68235</v>
      </c>
      <c r="AX13" s="939">
        <f>FAT!AX89</f>
        <v>-71475</v>
      </c>
      <c r="AY13" s="939">
        <f>FAT!AY89</f>
        <v>-73366</v>
      </c>
      <c r="AZ13" s="939">
        <f>FAT!AZ89</f>
        <v>-76912</v>
      </c>
      <c r="BA13" s="939">
        <f>FAT!BA89</f>
        <v>-78601</v>
      </c>
      <c r="BB13" s="939">
        <f>FAT!BB89</f>
        <v>-82382</v>
      </c>
      <c r="BC13" s="939">
        <f>FAT!BC89</f>
        <v>-79114</v>
      </c>
      <c r="BD13" s="939">
        <f>FAT!BD89</f>
        <v>-79710</v>
      </c>
      <c r="BE13" s="939">
        <f>FAT!BE89</f>
        <v>-82769</v>
      </c>
      <c r="BF13" s="939">
        <f>FAT!BF89</f>
        <v>-87459</v>
      </c>
      <c r="BG13" s="939">
        <f>FAT!BG89</f>
        <v>-73848</v>
      </c>
      <c r="BH13" s="939">
        <f>FAT!BH89</f>
        <v>-76281</v>
      </c>
      <c r="BI13" s="939">
        <f>FAT!BI89</f>
        <v>-81285</v>
      </c>
      <c r="BJ13" s="939">
        <f>FAT!BJ89</f>
        <v>-83160</v>
      </c>
      <c r="BK13" s="939">
        <f>FAT!BK89</f>
        <v>-162480</v>
      </c>
      <c r="BL13" s="939">
        <f>FAT!BL89</f>
        <v>-164860</v>
      </c>
      <c r="BM13" s="939">
        <f>FAT!BM89</f>
        <v>-167149</v>
      </c>
      <c r="BN13" s="939">
        <f>FAT!BN89</f>
        <v>-167262</v>
      </c>
      <c r="BO13" s="939">
        <f>FAT!BO89</f>
        <v>-181578</v>
      </c>
      <c r="BP13" s="939">
        <f>FAT!BP89</f>
        <v>-183013</v>
      </c>
      <c r="BQ13" s="939">
        <f>FAT!BQ89</f>
        <v>-198282</v>
      </c>
      <c r="BR13" s="939">
        <f>FAT!BR89</f>
        <v>-196768</v>
      </c>
      <c r="BS13" s="939">
        <f>FAT!BS89</f>
        <v>-201478</v>
      </c>
      <c r="BT13" s="939">
        <f>FAT!BT89</f>
        <v>-212132</v>
      </c>
      <c r="BU13" s="939">
        <f>FAT!BU89</f>
        <v>-226399</v>
      </c>
      <c r="BV13" s="939">
        <f>FAT!BV89</f>
        <v>-237007</v>
      </c>
      <c r="BW13" s="939">
        <f>FAT!BW89</f>
        <v>-235030</v>
      </c>
      <c r="BX13" s="939">
        <f>FAT!BX89</f>
        <v>-251053</v>
      </c>
      <c r="BY13" s="939">
        <f>FAT!BY89</f>
        <v>-251178</v>
      </c>
      <c r="BZ13" s="939">
        <f>FAT!BZ89</f>
        <v>-256589</v>
      </c>
      <c r="CA13" s="939">
        <f>FAT!CA89</f>
        <v>-256590</v>
      </c>
      <c r="CB13" s="939">
        <f>FAT!CB89</f>
        <v>-247648</v>
      </c>
      <c r="CC13" s="939">
        <f>FAT!CC89</f>
        <v>-264253</v>
      </c>
      <c r="CD13" s="939">
        <f>FAT!CD89</f>
        <v>-281753</v>
      </c>
      <c r="CE13" s="939">
        <f>FAT!CE89</f>
        <v>-295856</v>
      </c>
      <c r="CF13" s="939">
        <f>FAT!CF89</f>
        <v>-299295</v>
      </c>
      <c r="CG13" s="939">
        <f>FAT!CG89</f>
        <v>-296223</v>
      </c>
      <c r="CH13" s="939">
        <v>-306470</v>
      </c>
      <c r="CI13" s="939">
        <f>FAT!CI89</f>
        <v>-304951</v>
      </c>
      <c r="CJ13" s="939">
        <f>FAT!CJ89</f>
        <v>-323073</v>
      </c>
      <c r="CK13" s="939">
        <f>FAT!CK89</f>
        <v>-307242</v>
      </c>
      <c r="CL13" s="941">
        <f>FAT!CL89</f>
        <v>-307689.11308162496</v>
      </c>
      <c r="CM13" s="941">
        <f>FAT!CM89</f>
        <v>-340391.79030566674</v>
      </c>
      <c r="CN13" s="941">
        <f>FAT!CN89</f>
        <v>-329862.65835028631</v>
      </c>
      <c r="CO13" s="941">
        <f>FAT!CO89</f>
        <v>-321580.08214348613</v>
      </c>
      <c r="CP13" s="941">
        <f>FAT!CP89</f>
        <v>-321171.78237139306</v>
      </c>
      <c r="CQ13" s="941"/>
      <c r="CR13" s="941">
        <v>-307689.11308162496</v>
      </c>
      <c r="CT13" s="939"/>
      <c r="CU13" s="939"/>
      <c r="CV13" s="939"/>
      <c r="CW13" s="939"/>
      <c r="CX13" s="592">
        <f>+SUM(O13:R13)</f>
        <v>-49707</v>
      </c>
      <c r="CY13" s="942">
        <f>SUM(S13:V13)</f>
        <v>-62027</v>
      </c>
      <c r="CZ13" s="942">
        <f>SUM(W13:Z13)</f>
        <v>-74074</v>
      </c>
      <c r="DA13" s="942">
        <f>SUM(AA13:AD13)</f>
        <v>-75787</v>
      </c>
      <c r="DB13" s="942">
        <f>SUM(AE13:AH13)</f>
        <v>-97638</v>
      </c>
      <c r="DC13" s="939">
        <f>+SUM(AI13:AL13)</f>
        <v>-132950</v>
      </c>
      <c r="DD13" s="939">
        <f>+SUM(AM13:AP13)</f>
        <v>-167437</v>
      </c>
      <c r="DE13" s="939">
        <f>+SUM(AQ13:AT13)</f>
        <v>-212732</v>
      </c>
      <c r="DF13" s="939">
        <f>+SUM(AU13:AX13)</f>
        <v>-264780.14471999981</v>
      </c>
      <c r="DG13" s="939">
        <f>+SUM(AY13:BB13)</f>
        <v>-311261</v>
      </c>
      <c r="DH13" s="939">
        <f>+SUM(BC13:BF13)</f>
        <v>-329052</v>
      </c>
      <c r="DI13" s="939">
        <f>FAT!DJ89</f>
        <v>-314574</v>
      </c>
      <c r="DJ13" s="939">
        <f>FAT!DK89</f>
        <v>-661751</v>
      </c>
      <c r="DK13" s="939">
        <f>FAT!DL89</f>
        <v>-759641</v>
      </c>
      <c r="DL13" s="939">
        <f>FAT!DM89</f>
        <v>-877016</v>
      </c>
      <c r="DM13" s="939">
        <f>FAT!DN89</f>
        <v>-993850</v>
      </c>
      <c r="DN13" s="939">
        <f>FAT!DO89</f>
        <v>-1050244</v>
      </c>
      <c r="DO13" s="939">
        <f>FAT!DP89</f>
        <v>-1197844</v>
      </c>
      <c r="DP13" s="939">
        <f>FAT!DQ89</f>
        <v>-1242955.113081625</v>
      </c>
      <c r="DQ13" s="939">
        <f>FAT!DR89</f>
        <v>-1313006.3131708321</v>
      </c>
      <c r="DR13" s="813">
        <f>FAT!DS89</f>
        <v>-1363267.3431589883</v>
      </c>
      <c r="DS13" s="813">
        <f>FAT!DT89</f>
        <v>-1432873.7523466065</v>
      </c>
      <c r="DT13" s="813">
        <f>FAT!DU89</f>
        <v>-1517234.6640351291</v>
      </c>
      <c r="DU13" s="813">
        <f>FAT!DV89</f>
        <v>-1614729.752238086</v>
      </c>
      <c r="DX13" s="813">
        <v>-1301368.9558081548</v>
      </c>
      <c r="DY13" s="813">
        <v>-1372549.8951953696</v>
      </c>
    </row>
    <row r="14" spans="1:129" s="904" customFormat="1">
      <c r="A14" s="939"/>
      <c r="B14" s="908" t="s">
        <v>341</v>
      </c>
      <c r="C14" s="939"/>
      <c r="D14" s="939"/>
      <c r="E14" s="939"/>
      <c r="F14" s="939"/>
      <c r="G14" s="939"/>
      <c r="H14" s="939"/>
      <c r="I14" s="939"/>
      <c r="J14" s="939"/>
      <c r="K14" s="939"/>
      <c r="L14" s="939"/>
      <c r="M14" s="939"/>
      <c r="N14" s="939"/>
      <c r="O14" s="939"/>
      <c r="P14" s="939"/>
      <c r="Q14" s="939"/>
      <c r="R14" s="939"/>
      <c r="S14" s="939"/>
      <c r="T14" s="939"/>
      <c r="U14" s="939"/>
      <c r="V14" s="939"/>
      <c r="W14" s="939"/>
      <c r="X14" s="939"/>
      <c r="Y14" s="939"/>
      <c r="Z14" s="939"/>
      <c r="AA14" s="939"/>
      <c r="AB14" s="939"/>
      <c r="AC14" s="939"/>
      <c r="AD14" s="939"/>
      <c r="AE14" s="939"/>
      <c r="AF14" s="939"/>
      <c r="AG14" s="939"/>
      <c r="AH14" s="939"/>
      <c r="AI14" s="939"/>
      <c r="AJ14" s="939"/>
      <c r="AK14" s="939"/>
      <c r="AL14" s="939"/>
      <c r="AM14" s="939"/>
      <c r="AN14" s="939"/>
      <c r="AO14" s="939"/>
      <c r="AP14" s="939"/>
      <c r="AQ14" s="939"/>
      <c r="AR14" s="939"/>
      <c r="AS14" s="939"/>
      <c r="AT14" s="939"/>
      <c r="AU14" s="939">
        <f>+FAT!AU94</f>
        <v>-45737</v>
      </c>
      <c r="AV14" s="939">
        <f>+FAT!AV94</f>
        <v>-74136</v>
      </c>
      <c r="AW14" s="939">
        <f>+FAT!AW94</f>
        <v>-76307</v>
      </c>
      <c r="AX14" s="939">
        <f>+FAT!AX94</f>
        <v>-84962</v>
      </c>
      <c r="AY14" s="939">
        <f>+FAT!AY94</f>
        <v>-50177</v>
      </c>
      <c r="AZ14" s="939">
        <f>+FAT!AZ94</f>
        <v>-77523</v>
      </c>
      <c r="BA14" s="939">
        <f>+FAT!BA94</f>
        <v>-68812</v>
      </c>
      <c r="BB14" s="939">
        <f>+FAT!BB94</f>
        <v>-65692</v>
      </c>
      <c r="BC14" s="939">
        <f>+FAT!BC94</f>
        <v>-46366</v>
      </c>
      <c r="BD14" s="939">
        <f>+FAT!BD94</f>
        <v>-59277</v>
      </c>
      <c r="BE14" s="939">
        <f>+FAT!BE94</f>
        <v>-71408</v>
      </c>
      <c r="BF14" s="939">
        <f>+FAT!BF94</f>
        <v>-78784</v>
      </c>
      <c r="BG14" s="939">
        <f>+FAT!BG94</f>
        <v>-57423</v>
      </c>
      <c r="BH14" s="939">
        <f>+FAT!BH94</f>
        <v>-79119</v>
      </c>
      <c r="BI14" s="939">
        <f>+FAT!BI94</f>
        <v>-68260</v>
      </c>
      <c r="BJ14" s="939">
        <f>+FAT!BJ94</f>
        <v>-75871</v>
      </c>
      <c r="BK14" s="939">
        <f>+FAT!BK94</f>
        <v>-72516</v>
      </c>
      <c r="BL14" s="939">
        <f>+FAT!BL94</f>
        <v>-98456</v>
      </c>
      <c r="BM14" s="939">
        <f>+FAT!BM94</f>
        <v>-101371</v>
      </c>
      <c r="BN14" s="939">
        <f>+FAT!BN94</f>
        <v>-108707</v>
      </c>
      <c r="BO14" s="939">
        <f>+FAT!BO94</f>
        <v>-199325</v>
      </c>
      <c r="BP14" s="939">
        <f>+FAT!BP94</f>
        <v>-133866</v>
      </c>
      <c r="BQ14" s="939">
        <f>+FAT!BQ94</f>
        <v>-91399</v>
      </c>
      <c r="BR14" s="939">
        <f>+FAT!BR94</f>
        <v>11954</v>
      </c>
      <c r="BS14" s="939">
        <f>+FAT!BS94</f>
        <v>-52105</v>
      </c>
      <c r="BT14" s="939">
        <f>+FAT!BT94</f>
        <v>-77434</v>
      </c>
      <c r="BU14" s="939">
        <f>+FAT!BU94</f>
        <v>-74765</v>
      </c>
      <c r="BV14" s="939">
        <f>+FAT!BV94</f>
        <v>-135497</v>
      </c>
      <c r="BW14" s="939">
        <f>+FAT!BW94</f>
        <v>-167454</v>
      </c>
      <c r="BX14" s="939">
        <f>+FAT!BX94</f>
        <v>-281521</v>
      </c>
      <c r="BY14" s="939">
        <f>+FAT!BY94</f>
        <v>-236888</v>
      </c>
      <c r="BZ14" s="939">
        <f>+FAT!BZ94</f>
        <v>-305880</v>
      </c>
      <c r="CA14" s="939">
        <f>+FAT!CA94</f>
        <v>-346812</v>
      </c>
      <c r="CB14" s="939">
        <f>+FAT!CB94</f>
        <v>-396108</v>
      </c>
      <c r="CC14" s="939">
        <f>+FAT!CC94</f>
        <v>-329561</v>
      </c>
      <c r="CD14" s="939">
        <f>+FAT!CD94</f>
        <v>-270796</v>
      </c>
      <c r="CE14" s="939">
        <f>+FAT!CE94</f>
        <v>-264539</v>
      </c>
      <c r="CF14" s="939">
        <f>+FAT!CF94</f>
        <v>-253546</v>
      </c>
      <c r="CG14" s="939">
        <f>+FAT!CG94</f>
        <v>-224796</v>
      </c>
      <c r="CH14" s="939">
        <v>-214399</v>
      </c>
      <c r="CI14" s="939">
        <f>+FAT!CI94</f>
        <v>-177141</v>
      </c>
      <c r="CJ14" s="939">
        <f>+FAT!CJ94</f>
        <v>-255735</v>
      </c>
      <c r="CK14" s="939">
        <f>+FAT!CK94</f>
        <v>-263131</v>
      </c>
      <c r="CL14" s="941">
        <f>+FAT!CL94</f>
        <v>-214314.69854770394</v>
      </c>
      <c r="CM14" s="941">
        <f>+FAT!CM94</f>
        <v>-259626.26866214589</v>
      </c>
      <c r="CN14" s="941">
        <f>+FAT!CN94</f>
        <v>-386239.61370677722</v>
      </c>
      <c r="CO14" s="941">
        <f>+FAT!CO94</f>
        <v>-321963.18277390726</v>
      </c>
      <c r="CP14" s="941">
        <f>+FAT!CP94</f>
        <v>-251004.8815766667</v>
      </c>
      <c r="CQ14" s="941"/>
      <c r="CR14" s="941">
        <v>-214314.69854770394</v>
      </c>
      <c r="CT14" s="939"/>
      <c r="CU14" s="939"/>
      <c r="CV14" s="939"/>
      <c r="CW14" s="939"/>
      <c r="CX14" s="592"/>
      <c r="CY14" s="942"/>
      <c r="CZ14" s="942"/>
      <c r="DA14" s="942"/>
      <c r="DB14" s="942"/>
      <c r="DC14" s="939"/>
      <c r="DD14" s="939"/>
      <c r="DE14" s="939">
        <f>+FAT!DF94</f>
        <v>-188458</v>
      </c>
      <c r="DF14" s="939">
        <f>+FAT!DG94</f>
        <v>-281142</v>
      </c>
      <c r="DG14" s="939">
        <f>+FAT!DH94</f>
        <v>-262204</v>
      </c>
      <c r="DH14" s="939">
        <f>+FAT!DI94</f>
        <v>-255835</v>
      </c>
      <c r="DI14" s="939">
        <f>+FAT!DJ94</f>
        <v>-280673</v>
      </c>
      <c r="DJ14" s="939">
        <f>+FAT!DK94</f>
        <v>-381050</v>
      </c>
      <c r="DK14" s="939">
        <f>+FAT!DL94</f>
        <v>-412636</v>
      </c>
      <c r="DL14" s="939">
        <f>+FAT!DM94</f>
        <v>-339801</v>
      </c>
      <c r="DM14" s="939">
        <f>+FAT!DN94</f>
        <v>-991743</v>
      </c>
      <c r="DN14" s="939">
        <f>+FAT!DO94</f>
        <v>-1343277</v>
      </c>
      <c r="DO14" s="939">
        <f>+FAT!DP94</f>
        <v>-957280</v>
      </c>
      <c r="DP14" s="939">
        <f>+FAT!DQ94</f>
        <v>-910321.69854770391</v>
      </c>
      <c r="DQ14" s="939">
        <f>+FAT!DR94</f>
        <v>-1218833.946719497</v>
      </c>
      <c r="DR14" s="941">
        <f>+FAT!DS94</f>
        <v>-1052085.0341828673</v>
      </c>
      <c r="DS14" s="941">
        <f>+FAT!DT94</f>
        <v>-1014195.4281480772</v>
      </c>
      <c r="DT14" s="941">
        <f>+FAT!DU94</f>
        <v>-984911.14014153974</v>
      </c>
      <c r="DU14" s="941">
        <f>+FAT!DV94</f>
        <v>-957846.74154102441</v>
      </c>
      <c r="DX14" s="941">
        <v>-1028288.1310937016</v>
      </c>
      <c r="DY14" s="941">
        <v>-971759.93264977948</v>
      </c>
    </row>
    <row r="15" spans="1:129" s="904" customFormat="1">
      <c r="A15" s="939"/>
      <c r="B15" s="908" t="s">
        <v>342</v>
      </c>
      <c r="C15" s="939">
        <f>+FAT!C96</f>
        <v>-5655</v>
      </c>
      <c r="D15" s="939">
        <f>+FAT!D96</f>
        <v>3826</v>
      </c>
      <c r="E15" s="939">
        <f>+FAT!E96</f>
        <v>-4407</v>
      </c>
      <c r="F15" s="939">
        <f>+FAT!F96</f>
        <v>-14622</v>
      </c>
      <c r="G15" s="939">
        <f>+FAT!G96</f>
        <v>-8450</v>
      </c>
      <c r="H15" s="939">
        <f>+FAT!H96</f>
        <v>-12133</v>
      </c>
      <c r="I15" s="939">
        <f>+FAT!I96</f>
        <v>-9857</v>
      </c>
      <c r="J15" s="939">
        <f>+FAT!J96</f>
        <v>-34515</v>
      </c>
      <c r="K15" s="939">
        <f>+FAT!K96</f>
        <v>-10404</v>
      </c>
      <c r="L15" s="939">
        <f>+FAT!L96</f>
        <v>-16051</v>
      </c>
      <c r="M15" s="939">
        <f>+FAT!M96</f>
        <v>-9995</v>
      </c>
      <c r="N15" s="939">
        <f>+FAT!N96</f>
        <v>-37109</v>
      </c>
      <c r="O15" s="939">
        <f>+FAT!O96</f>
        <v>-30073.000000000004</v>
      </c>
      <c r="P15" s="939">
        <f>+FAT!P96</f>
        <v>-48097</v>
      </c>
      <c r="Q15" s="939">
        <f>+FAT!Q96</f>
        <v>-40139</v>
      </c>
      <c r="R15" s="939">
        <f>+FAT!R96</f>
        <v>-63918</v>
      </c>
      <c r="S15" s="939">
        <f>+FAT!S96</f>
        <v>-39244</v>
      </c>
      <c r="T15" s="939">
        <f>+FAT!T96</f>
        <v>-58272</v>
      </c>
      <c r="U15" s="939">
        <f>+FAT!U96</f>
        <v>-48457</v>
      </c>
      <c r="V15" s="939">
        <f>+FAT!V96</f>
        <v>-58649.000000000007</v>
      </c>
      <c r="W15" s="939">
        <f>+FAT!W96</f>
        <v>-37375</v>
      </c>
      <c r="X15" s="939">
        <f>+FAT!X96</f>
        <v>-53564</v>
      </c>
      <c r="Y15" s="939">
        <f>+FAT!Y96</f>
        <v>-49153</v>
      </c>
      <c r="Z15" s="939">
        <f>+FAT!Z96</f>
        <v>-59116</v>
      </c>
      <c r="AA15" s="939">
        <f>+FAT!AA96</f>
        <v>-46020</v>
      </c>
      <c r="AB15" s="939">
        <f>+FAT!AB96</f>
        <v>-58728</v>
      </c>
      <c r="AC15" s="939">
        <f>+FAT!AC96</f>
        <v>-40703</v>
      </c>
      <c r="AD15" s="939">
        <f>+FAT!AD96</f>
        <v>-55648</v>
      </c>
      <c r="AE15" s="939">
        <f>+FAT!AE96</f>
        <v>-50123</v>
      </c>
      <c r="AF15" s="939">
        <f>+FAT!AF96</f>
        <v>-65354</v>
      </c>
      <c r="AG15" s="939">
        <f>+FAT!AG96</f>
        <v>-54960</v>
      </c>
      <c r="AH15" s="939">
        <f>+FAT!AH96</f>
        <v>-71862</v>
      </c>
      <c r="AI15" s="939">
        <f>+FAT!AI96</f>
        <v>-62621</v>
      </c>
      <c r="AJ15" s="939">
        <f>+FAT!AJ96</f>
        <v>-80727</v>
      </c>
      <c r="AK15" s="939">
        <f>+FAT!AK96</f>
        <v>-74555</v>
      </c>
      <c r="AL15" s="939">
        <f>+FAT!AL96</f>
        <v>-94672</v>
      </c>
      <c r="AM15" s="939">
        <f>+FAT!AM96</f>
        <v>-71568</v>
      </c>
      <c r="AN15" s="939">
        <f>+FAT!AN96</f>
        <v>-89369</v>
      </c>
      <c r="AO15" s="939">
        <f>+FAT!AO96</f>
        <v>-75330</v>
      </c>
      <c r="AP15" s="939">
        <f>+FAT!AP96</f>
        <v>-88291</v>
      </c>
      <c r="AQ15" s="939">
        <f>+FAT!AQ96</f>
        <v>-43314.48</v>
      </c>
      <c r="AR15" s="939">
        <f>+FAT!AR96</f>
        <v>-68887</v>
      </c>
      <c r="AS15" s="939">
        <f>+FAT!AS96</f>
        <v>-61769</v>
      </c>
      <c r="AT15" s="939">
        <f>+FAT!AT96</f>
        <v>-103942.731</v>
      </c>
      <c r="AU15" s="939">
        <f>+FAT!AU96</f>
        <v>-56431.511449999896</v>
      </c>
      <c r="AV15" s="939">
        <f>+FAT!AV96</f>
        <v>-65439.423680000094</v>
      </c>
      <c r="AW15" s="939">
        <f>+FAT!AW96</f>
        <v>-61509</v>
      </c>
      <c r="AX15" s="939">
        <f>+FAT!AX96</f>
        <v>-112173.69659000001</v>
      </c>
      <c r="AY15" s="939">
        <f>+FAT!AY96</f>
        <v>-56082</v>
      </c>
      <c r="AZ15" s="939">
        <f>+FAT!AZ96</f>
        <v>-58625</v>
      </c>
      <c r="BA15" s="939">
        <f>+FAT!BA96</f>
        <v>-61776</v>
      </c>
      <c r="BB15" s="939">
        <f>+FAT!BB96</f>
        <v>-82333</v>
      </c>
      <c r="BC15" s="939">
        <f>+FAT!BC96</f>
        <v>-68102.232110000041</v>
      </c>
      <c r="BD15" s="939">
        <f>+FAT!BD96</f>
        <v>-86664.009129999962</v>
      </c>
      <c r="BE15" s="939">
        <f>+FAT!BE96</f>
        <v>-78109.57071</v>
      </c>
      <c r="BF15" s="939">
        <f>+FAT!BF96</f>
        <v>-143604.56450999988</v>
      </c>
      <c r="BG15" s="939">
        <f>+FAT!BG96</f>
        <v>-80140</v>
      </c>
      <c r="BH15" s="939">
        <f>+FAT!BH96</f>
        <v>-78461.035139999993</v>
      </c>
      <c r="BI15" s="939">
        <f>+FAT!BI96</f>
        <v>-64912.568249999997</v>
      </c>
      <c r="BJ15" s="939">
        <f>+FAT!BJ96</f>
        <v>-136602.74919999999</v>
      </c>
      <c r="BK15" s="939">
        <f>+FAT!BK96</f>
        <v>-55799</v>
      </c>
      <c r="BL15" s="939">
        <f>+FAT!BL96</f>
        <v>-91049</v>
      </c>
      <c r="BM15" s="939">
        <f>+FAT!BM96</f>
        <v>-100624</v>
      </c>
      <c r="BN15" s="939">
        <f>+FAT!BN96</f>
        <v>-154508</v>
      </c>
      <c r="BO15" s="939">
        <f>+FAT!BO96</f>
        <v>-88495</v>
      </c>
      <c r="BP15" s="939">
        <f>+FAT!BP96</f>
        <v>654755</v>
      </c>
      <c r="BQ15" s="939">
        <f>+FAT!BQ96</f>
        <v>-103716</v>
      </c>
      <c r="BR15" s="939">
        <f>+FAT!BR96</f>
        <v>-138087</v>
      </c>
      <c r="BS15" s="939">
        <f>+FAT!BS96</f>
        <v>-94211</v>
      </c>
      <c r="BT15" s="939">
        <f>+FAT!BT96</f>
        <v>-82260</v>
      </c>
      <c r="BU15" s="939">
        <f>+FAT!BU96</f>
        <v>-141753</v>
      </c>
      <c r="BV15" s="939">
        <f>+FAT!BV96</f>
        <v>-293621</v>
      </c>
      <c r="BW15" s="939">
        <f>+FAT!BW96</f>
        <v>-120324</v>
      </c>
      <c r="BX15" s="939">
        <f>+FAT!BX96</f>
        <v>-180225</v>
      </c>
      <c r="BY15" s="939">
        <f>+FAT!BY96</f>
        <v>-79166</v>
      </c>
      <c r="BZ15" s="939">
        <f>+FAT!BZ96</f>
        <v>-86836</v>
      </c>
      <c r="CA15" s="939">
        <f>+FAT!CA96</f>
        <v>-116295</v>
      </c>
      <c r="CB15" s="939">
        <f>+FAT!CB96</f>
        <v>-136571</v>
      </c>
      <c r="CC15" s="939">
        <f>+FAT!CC96</f>
        <v>-124979</v>
      </c>
      <c r="CD15" s="939">
        <f>+FAT!CD96</f>
        <v>-199265</v>
      </c>
      <c r="CE15" s="939">
        <f>+FAT!CE96</f>
        <v>-96445</v>
      </c>
      <c r="CF15" s="939">
        <f>+FAT!CF96</f>
        <v>-128767</v>
      </c>
      <c r="CG15" s="939">
        <f>+FAT!CG96</f>
        <v>-145707</v>
      </c>
      <c r="CH15" s="939">
        <v>-390363</v>
      </c>
      <c r="CI15" s="939">
        <f>+FAT!CI96</f>
        <v>-145393</v>
      </c>
      <c r="CJ15" s="939">
        <f>+FAT!CJ96</f>
        <v>-190907</v>
      </c>
      <c r="CK15" s="939">
        <f>+FAT!CK96</f>
        <v>-160995</v>
      </c>
      <c r="CL15" s="941">
        <f>+FAT!CL96</f>
        <v>-345086.42440745718</v>
      </c>
      <c r="CM15" s="941">
        <f>+FAT!CM96</f>
        <v>-152956.29263932674</v>
      </c>
      <c r="CN15" s="941">
        <f>+FAT!CN96</f>
        <v>-184535.93238170526</v>
      </c>
      <c r="CO15" s="941">
        <f>+FAT!CO96</f>
        <v>-175107.09666681956</v>
      </c>
      <c r="CP15" s="941">
        <f>+FAT!CP96</f>
        <v>-363692.29060735786</v>
      </c>
      <c r="CQ15" s="941"/>
      <c r="CR15" s="941">
        <v>-345086.42440745718</v>
      </c>
      <c r="CT15" s="939"/>
      <c r="CU15" s="939"/>
      <c r="CV15" s="939"/>
      <c r="CW15" s="939"/>
      <c r="CX15" s="592">
        <f>+SUM(O15:R15)</f>
        <v>-182227</v>
      </c>
      <c r="CY15" s="942">
        <f>SUM(S15:V15)</f>
        <v>-204622</v>
      </c>
      <c r="CZ15" s="942">
        <f>SUM(W15:Z15)</f>
        <v>-199208</v>
      </c>
      <c r="DA15" s="942">
        <f>SUM(AA15:AD15)</f>
        <v>-201099</v>
      </c>
      <c r="DB15" s="942">
        <f>SUM(AE15:AH15)</f>
        <v>-242299</v>
      </c>
      <c r="DC15" s="939">
        <f>+SUM(AI15:AL15)</f>
        <v>-312575</v>
      </c>
      <c r="DD15" s="939">
        <f>+SUM(AM15:AP15)</f>
        <v>-324558</v>
      </c>
      <c r="DE15" s="939">
        <f>+SUM(AQ15:AT15)</f>
        <v>-277913.21100000001</v>
      </c>
      <c r="DF15" s="939">
        <f>+SUM(AU15:AX15)</f>
        <v>-295553.63172</v>
      </c>
      <c r="DG15" s="939">
        <f>+SUM(AY15:BB15)</f>
        <v>-258816</v>
      </c>
      <c r="DH15" s="939">
        <f>+SUM(BC15:BF15)</f>
        <v>-376480.37645999988</v>
      </c>
      <c r="DI15" s="939">
        <f>+FAT!DJ96</f>
        <v>-360116.35259000002</v>
      </c>
      <c r="DJ15" s="939">
        <f>+FAT!DK96</f>
        <v>-401980</v>
      </c>
      <c r="DK15" s="939">
        <f>+FAT!DL96</f>
        <v>324457</v>
      </c>
      <c r="DL15" s="939">
        <f>+FAT!DM96</f>
        <v>-611845</v>
      </c>
      <c r="DM15" s="939">
        <f>+FAT!DN96</f>
        <v>-466551</v>
      </c>
      <c r="DN15" s="939">
        <f>+FAT!DO96</f>
        <v>-577110</v>
      </c>
      <c r="DO15" s="939">
        <f>+FAT!DP96</f>
        <v>-761282</v>
      </c>
      <c r="DP15" s="939">
        <f>+FAT!DQ96</f>
        <v>-842381.42440745723</v>
      </c>
      <c r="DQ15" s="939">
        <f>+FAT!DR96</f>
        <v>-876291.61229520943</v>
      </c>
      <c r="DR15" s="813">
        <f>+FAT!DS96</f>
        <v>-916722.37315386534</v>
      </c>
      <c r="DS15" s="813">
        <f>+FAT!DT96</f>
        <v>-955164.58356030844</v>
      </c>
      <c r="DT15" s="813">
        <f>+FAT!DU96</f>
        <v>-995507.17862373753</v>
      </c>
      <c r="DU15" s="813">
        <f>+FAT!DV96</f>
        <v>-1037840.8367681603</v>
      </c>
      <c r="DX15" s="813">
        <v>-833955.50026329979</v>
      </c>
      <c r="DY15" s="813">
        <v>-869596.36764626473</v>
      </c>
    </row>
    <row r="16" spans="1:129" s="904" customFormat="1">
      <c r="A16" s="939"/>
      <c r="B16" s="908"/>
      <c r="C16" s="939"/>
      <c r="D16" s="939"/>
      <c r="E16" s="939"/>
      <c r="F16" s="939"/>
      <c r="G16" s="939"/>
      <c r="H16" s="939"/>
      <c r="I16" s="939"/>
      <c r="J16" s="939"/>
      <c r="K16" s="939"/>
      <c r="L16" s="939"/>
      <c r="M16" s="939"/>
      <c r="N16" s="939"/>
      <c r="O16" s="939"/>
      <c r="P16" s="939"/>
      <c r="Q16" s="939"/>
      <c r="R16" s="939"/>
      <c r="S16" s="939"/>
      <c r="T16" s="939"/>
      <c r="U16" s="939"/>
      <c r="V16" s="939"/>
      <c r="W16" s="939"/>
      <c r="X16" s="939"/>
      <c r="Y16" s="939"/>
      <c r="Z16" s="939"/>
      <c r="AA16" s="939"/>
      <c r="AB16" s="939"/>
      <c r="AC16" s="939"/>
      <c r="AD16" s="939"/>
      <c r="AE16" s="939"/>
      <c r="AF16" s="939"/>
      <c r="AG16" s="939"/>
      <c r="AH16" s="939"/>
      <c r="AI16" s="939"/>
      <c r="AJ16" s="939"/>
      <c r="AK16" s="939"/>
      <c r="AL16" s="939"/>
      <c r="AM16" s="939"/>
      <c r="AN16" s="939"/>
      <c r="AO16" s="939"/>
      <c r="AP16" s="939"/>
      <c r="AQ16" s="939"/>
      <c r="AR16" s="939"/>
      <c r="AS16" s="939"/>
      <c r="AT16" s="939"/>
      <c r="AU16" s="939"/>
      <c r="AV16" s="939"/>
      <c r="AW16" s="939"/>
      <c r="AX16" s="939"/>
      <c r="AY16" s="939"/>
      <c r="AZ16" s="939"/>
      <c r="BA16" s="939"/>
      <c r="BB16" s="939"/>
      <c r="BC16" s="939"/>
      <c r="BD16" s="939"/>
      <c r="BE16" s="939"/>
      <c r="BF16" s="939"/>
      <c r="BG16" s="939"/>
      <c r="BH16" s="939"/>
      <c r="BI16" s="939"/>
      <c r="BJ16" s="939"/>
      <c r="BK16" s="939"/>
      <c r="BL16" s="939"/>
      <c r="BM16" s="939"/>
      <c r="BN16" s="939"/>
      <c r="BO16" s="939"/>
      <c r="BP16" s="939"/>
      <c r="BQ16" s="939"/>
      <c r="BR16" s="939"/>
      <c r="BS16" s="939"/>
      <c r="BT16" s="939"/>
      <c r="BU16" s="939"/>
      <c r="BV16" s="939"/>
      <c r="BW16" s="939"/>
      <c r="BX16" s="939"/>
      <c r="BY16" s="939"/>
      <c r="BZ16" s="939"/>
      <c r="CA16" s="939"/>
      <c r="CB16" s="939"/>
      <c r="CC16" s="939"/>
      <c r="CD16" s="939"/>
      <c r="CE16" s="939"/>
      <c r="CF16" s="939"/>
      <c r="CG16" s="939"/>
      <c r="CH16" s="939"/>
      <c r="CI16" s="939"/>
      <c r="CJ16" s="939"/>
      <c r="CK16" s="939"/>
      <c r="CL16" s="941"/>
      <c r="CM16" s="941"/>
      <c r="CN16" s="941"/>
      <c r="CO16" s="941"/>
      <c r="CP16" s="941"/>
      <c r="CQ16" s="941"/>
      <c r="CR16" s="941"/>
      <c r="CT16" s="939"/>
      <c r="CU16" s="939"/>
      <c r="CV16" s="939"/>
      <c r="CW16" s="939"/>
      <c r="CX16" s="592"/>
      <c r="CY16" s="942"/>
      <c r="CZ16" s="942"/>
      <c r="DA16" s="942"/>
      <c r="DB16" s="942"/>
      <c r="DC16" s="939"/>
      <c r="DD16" s="939"/>
      <c r="DE16" s="939"/>
      <c r="DF16" s="939"/>
      <c r="DG16" s="939"/>
      <c r="DH16" s="939"/>
      <c r="DI16" s="939"/>
      <c r="DJ16" s="939"/>
      <c r="DK16" s="939"/>
      <c r="DL16" s="939"/>
      <c r="DM16" s="939"/>
      <c r="DN16" s="939"/>
      <c r="DO16" s="939"/>
      <c r="DP16" s="939"/>
      <c r="DQ16" s="939"/>
      <c r="DR16" s="813"/>
      <c r="DS16" s="813"/>
      <c r="DT16" s="813"/>
      <c r="DU16" s="813"/>
      <c r="DX16" s="813"/>
      <c r="DY16" s="813"/>
    </row>
    <row r="17" spans="1:129" s="590" customFormat="1">
      <c r="A17" s="943"/>
      <c r="B17" s="597" t="s">
        <v>104</v>
      </c>
      <c r="C17" s="943" t="e">
        <f t="shared" ref="C17:AH17" si="42">+C8+C10</f>
        <v>#REF!</v>
      </c>
      <c r="D17" s="943">
        <f t="shared" si="42"/>
        <v>23585</v>
      </c>
      <c r="E17" s="943">
        <f t="shared" si="42"/>
        <v>4676</v>
      </c>
      <c r="F17" s="943">
        <f t="shared" si="42"/>
        <v>16963</v>
      </c>
      <c r="G17" s="943">
        <f t="shared" si="42"/>
        <v>17874</v>
      </c>
      <c r="H17" s="943">
        <f t="shared" si="42"/>
        <v>35665</v>
      </c>
      <c r="I17" s="943">
        <f t="shared" si="42"/>
        <v>20790</v>
      </c>
      <c r="J17" s="943">
        <f t="shared" si="42"/>
        <v>49281</v>
      </c>
      <c r="K17" s="943">
        <f t="shared" si="42"/>
        <v>24340</v>
      </c>
      <c r="L17" s="943">
        <f t="shared" si="42"/>
        <v>40432</v>
      </c>
      <c r="M17" s="943">
        <f t="shared" si="42"/>
        <v>31956</v>
      </c>
      <c r="N17" s="943">
        <f t="shared" si="42"/>
        <v>63471</v>
      </c>
      <c r="O17" s="943">
        <f t="shared" si="42"/>
        <v>24797</v>
      </c>
      <c r="P17" s="943">
        <f t="shared" si="42"/>
        <v>57174</v>
      </c>
      <c r="Q17" s="943">
        <f t="shared" si="42"/>
        <v>45171</v>
      </c>
      <c r="R17" s="943">
        <f t="shared" si="42"/>
        <v>73836</v>
      </c>
      <c r="S17" s="943">
        <f t="shared" si="42"/>
        <v>36255</v>
      </c>
      <c r="T17" s="943">
        <f t="shared" si="42"/>
        <v>57127</v>
      </c>
      <c r="U17" s="943">
        <f t="shared" si="42"/>
        <v>40851</v>
      </c>
      <c r="V17" s="943">
        <f t="shared" si="42"/>
        <v>65527</v>
      </c>
      <c r="W17" s="943">
        <f t="shared" si="42"/>
        <v>17702</v>
      </c>
      <c r="X17" s="943">
        <f t="shared" si="42"/>
        <v>71691</v>
      </c>
      <c r="Y17" s="943">
        <f t="shared" si="42"/>
        <v>46161</v>
      </c>
      <c r="Z17" s="943">
        <f t="shared" si="42"/>
        <v>135065</v>
      </c>
      <c r="AA17" s="943">
        <f t="shared" si="42"/>
        <v>50071</v>
      </c>
      <c r="AB17" s="943">
        <f t="shared" si="42"/>
        <v>129582</v>
      </c>
      <c r="AC17" s="943">
        <f t="shared" si="42"/>
        <v>78152</v>
      </c>
      <c r="AD17" s="943">
        <f t="shared" si="42"/>
        <v>153722</v>
      </c>
      <c r="AE17" s="943">
        <f t="shared" si="42"/>
        <v>59059</v>
      </c>
      <c r="AF17" s="943">
        <f t="shared" si="42"/>
        <v>151492.00000000012</v>
      </c>
      <c r="AG17" s="943">
        <f t="shared" si="42"/>
        <v>76630</v>
      </c>
      <c r="AH17" s="943">
        <f t="shared" si="42"/>
        <v>189074</v>
      </c>
      <c r="AI17" s="943">
        <f t="shared" ref="AI17:BN17" si="43">+AI8+AI10</f>
        <v>49228</v>
      </c>
      <c r="AJ17" s="943">
        <f t="shared" si="43"/>
        <v>154475</v>
      </c>
      <c r="AK17" s="943">
        <f t="shared" si="43"/>
        <v>110317.00000000012</v>
      </c>
      <c r="AL17" s="943">
        <f t="shared" si="43"/>
        <v>245230</v>
      </c>
      <c r="AM17" s="943">
        <f t="shared" si="43"/>
        <v>46177.000000000116</v>
      </c>
      <c r="AN17" s="943">
        <f t="shared" si="43"/>
        <v>157421</v>
      </c>
      <c r="AO17" s="943">
        <f t="shared" si="43"/>
        <v>110689</v>
      </c>
      <c r="AP17" s="943">
        <f t="shared" si="43"/>
        <v>336147</v>
      </c>
      <c r="AQ17" s="943">
        <f t="shared" si="43"/>
        <v>112907.52000000002</v>
      </c>
      <c r="AR17" s="943">
        <f t="shared" si="43"/>
        <v>243826</v>
      </c>
      <c r="AS17" s="943">
        <f t="shared" si="43"/>
        <v>193752</v>
      </c>
      <c r="AT17" s="943">
        <f t="shared" si="43"/>
        <v>440396.2690000002</v>
      </c>
      <c r="AU17" s="943">
        <f t="shared" si="43"/>
        <v>130573.27951000014</v>
      </c>
      <c r="AV17" s="943">
        <f t="shared" si="43"/>
        <v>253873.64064000011</v>
      </c>
      <c r="AW17" s="943">
        <f t="shared" si="43"/>
        <v>156656</v>
      </c>
      <c r="AX17" s="943">
        <f t="shared" si="43"/>
        <v>392150.30340999993</v>
      </c>
      <c r="AY17" s="943">
        <f t="shared" si="43"/>
        <v>105543</v>
      </c>
      <c r="AZ17" s="943">
        <f t="shared" si="43"/>
        <v>272459</v>
      </c>
      <c r="BA17" s="943">
        <f t="shared" si="43"/>
        <v>132894</v>
      </c>
      <c r="BB17" s="943">
        <f t="shared" si="43"/>
        <v>464795</v>
      </c>
      <c r="BC17" s="943">
        <f t="shared" si="43"/>
        <v>104036</v>
      </c>
      <c r="BD17" s="943">
        <f t="shared" si="43"/>
        <v>294708</v>
      </c>
      <c r="BE17" s="943">
        <f t="shared" si="43"/>
        <v>205928</v>
      </c>
      <c r="BF17" s="943">
        <f t="shared" si="43"/>
        <v>482567</v>
      </c>
      <c r="BG17" s="943">
        <f t="shared" si="43"/>
        <v>170055</v>
      </c>
      <c r="BH17" s="943">
        <f t="shared" si="43"/>
        <v>351973.96485999995</v>
      </c>
      <c r="BI17" s="943">
        <f t="shared" si="43"/>
        <v>258488.43174999999</v>
      </c>
      <c r="BJ17" s="943">
        <f t="shared" si="43"/>
        <v>643304.25080000004</v>
      </c>
      <c r="BK17" s="943">
        <f t="shared" si="43"/>
        <v>247876</v>
      </c>
      <c r="BL17" s="943">
        <f t="shared" si="43"/>
        <v>373864</v>
      </c>
      <c r="BM17" s="943">
        <f t="shared" si="43"/>
        <v>290044</v>
      </c>
      <c r="BN17" s="943">
        <f t="shared" si="43"/>
        <v>764595</v>
      </c>
      <c r="BO17" s="943">
        <f t="shared" ref="BO17:CD17" si="44">+BO8+BO10</f>
        <v>32335</v>
      </c>
      <c r="BP17" s="943">
        <f t="shared" si="44"/>
        <v>420256</v>
      </c>
      <c r="BQ17" s="943">
        <f t="shared" si="44"/>
        <v>-126613</v>
      </c>
      <c r="BR17" s="943">
        <f t="shared" si="44"/>
        <v>530901</v>
      </c>
      <c r="BS17" s="943">
        <f t="shared" si="44"/>
        <v>-173363</v>
      </c>
      <c r="BT17" s="943">
        <f t="shared" si="44"/>
        <v>260594</v>
      </c>
      <c r="BU17" s="943">
        <f t="shared" si="44"/>
        <v>208040.33947000233</v>
      </c>
      <c r="BV17" s="943">
        <f t="shared" si="44"/>
        <v>518959.81354999915</v>
      </c>
      <c r="BW17" s="943">
        <f t="shared" si="44"/>
        <v>143842</v>
      </c>
      <c r="BX17" s="943">
        <f t="shared" si="44"/>
        <v>434639</v>
      </c>
      <c r="BY17" s="943">
        <f t="shared" si="44"/>
        <v>200995</v>
      </c>
      <c r="BZ17" s="943">
        <f t="shared" ref="BZ17" si="45">+BZ8+BZ10</f>
        <v>627924</v>
      </c>
      <c r="CA17" s="943">
        <f t="shared" si="44"/>
        <v>-26661</v>
      </c>
      <c r="CB17" s="943">
        <f t="shared" si="44"/>
        <v>224430</v>
      </c>
      <c r="CC17" s="943">
        <f t="shared" si="44"/>
        <v>91828</v>
      </c>
      <c r="CD17" s="943">
        <f t="shared" si="44"/>
        <v>599480</v>
      </c>
      <c r="CE17" s="943">
        <f t="shared" ref="CE17:CH17" si="46">+CE8+CE10</f>
        <v>76210</v>
      </c>
      <c r="CF17" s="943">
        <f t="shared" si="46"/>
        <v>354718</v>
      </c>
      <c r="CG17" s="943">
        <f t="shared" si="46"/>
        <v>272953</v>
      </c>
      <c r="CH17" s="943">
        <f t="shared" si="46"/>
        <v>555462</v>
      </c>
      <c r="CI17" s="943">
        <f t="shared" ref="CI17:CL17" si="47">+CI8+CI10</f>
        <v>273006</v>
      </c>
      <c r="CJ17" s="943">
        <f t="shared" si="47"/>
        <v>557901</v>
      </c>
      <c r="CK17" s="943">
        <f t="shared" si="47"/>
        <v>278703</v>
      </c>
      <c r="CL17" s="946">
        <f t="shared" si="47"/>
        <v>645773.98670708109</v>
      </c>
      <c r="CM17" s="946">
        <f t="shared" ref="CM17:CP17" si="48">+CM8+CM10</f>
        <v>197903.85835542902</v>
      </c>
      <c r="CN17" s="946">
        <f t="shared" si="48"/>
        <v>486553.75459514931</v>
      </c>
      <c r="CO17" s="946">
        <f t="shared" si="48"/>
        <v>284647.01541190292</v>
      </c>
      <c r="CP17" s="946">
        <f t="shared" si="48"/>
        <v>739212.88955925917</v>
      </c>
      <c r="CQ17" s="946">
        <f>128-243</f>
        <v>-115</v>
      </c>
      <c r="CR17" s="946">
        <v>645773.98670708109</v>
      </c>
      <c r="CT17" s="1134">
        <f>+CH17/CR17-1</f>
        <v>-0.13985076600498936</v>
      </c>
      <c r="CU17" s="589"/>
      <c r="CV17" s="589"/>
      <c r="CW17" s="589"/>
      <c r="CX17" s="589">
        <f>+SUM(O17:R17)</f>
        <v>200978</v>
      </c>
      <c r="CY17" s="947">
        <f>SUM(S17:V17)</f>
        <v>199760</v>
      </c>
      <c r="CZ17" s="947">
        <f>SUM(W17:Z17)</f>
        <v>270619</v>
      </c>
      <c r="DA17" s="947">
        <f>SUM(AA17:AD17)</f>
        <v>411527</v>
      </c>
      <c r="DB17" s="947">
        <f>SUM(AE17:AH17)</f>
        <v>476255.00000000012</v>
      </c>
      <c r="DC17" s="943">
        <f>+SUM(AI17:AL17)</f>
        <v>559250.00000000012</v>
      </c>
      <c r="DD17" s="943">
        <f>+SUM(AM17:AP17)</f>
        <v>650434.00000000012</v>
      </c>
      <c r="DE17" s="943">
        <f>+SUM(AQ17:AT17)</f>
        <v>990881.78900000022</v>
      </c>
      <c r="DF17" s="943">
        <f>+SUM(AU17:AX17)</f>
        <v>933253.22356000019</v>
      </c>
      <c r="DG17" s="943">
        <f>+SUM(AY17:BB17)</f>
        <v>975691</v>
      </c>
      <c r="DH17" s="943">
        <f>+SUM(BC17:BF17)</f>
        <v>1087239</v>
      </c>
      <c r="DI17" s="947">
        <f t="shared" ref="DI17:DR17" si="49">+DI8+DI10</f>
        <v>1423821.6474099997</v>
      </c>
      <c r="DJ17" s="947">
        <f t="shared" si="49"/>
        <v>1676379</v>
      </c>
      <c r="DK17" s="947">
        <f t="shared" si="49"/>
        <v>856879</v>
      </c>
      <c r="DL17" s="947">
        <f t="shared" si="49"/>
        <v>814231.15302000195</v>
      </c>
      <c r="DM17" s="947">
        <f t="shared" si="49"/>
        <v>1407400</v>
      </c>
      <c r="DN17" s="947">
        <f t="shared" si="49"/>
        <v>889077</v>
      </c>
      <c r="DO17" s="947">
        <f t="shared" ref="DO17:DP17" si="50">+DO8+DO10</f>
        <v>1259343</v>
      </c>
      <c r="DP17" s="947">
        <f t="shared" si="50"/>
        <v>1755383.986707082</v>
      </c>
      <c r="DQ17" s="947">
        <f t="shared" ref="DQ17" si="51">+DQ8+DQ10</f>
        <v>1708317.5179217421</v>
      </c>
      <c r="DR17" s="814">
        <f t="shared" si="49"/>
        <v>2345383.7493042387</v>
      </c>
      <c r="DS17" s="814">
        <f t="shared" ref="DS17:DU17" si="52">+DS8+DS10</f>
        <v>2629667.9943037555</v>
      </c>
      <c r="DT17" s="814">
        <f t="shared" si="52"/>
        <v>2914855.1777000632</v>
      </c>
      <c r="DU17" s="814">
        <f t="shared" si="52"/>
        <v>3210034.4495391138</v>
      </c>
      <c r="DX17" s="814">
        <v>1995400.7116548605</v>
      </c>
      <c r="DY17" s="814">
        <v>2544156.0894004684</v>
      </c>
    </row>
    <row r="18" spans="1:129" s="590" customFormat="1">
      <c r="A18" s="943"/>
      <c r="B18" s="597" t="s">
        <v>106</v>
      </c>
      <c r="C18" s="950">
        <f>-26821-D18</f>
        <v>-9092</v>
      </c>
      <c r="D18" s="950">
        <v>-17729</v>
      </c>
      <c r="E18" s="950">
        <v>13614</v>
      </c>
      <c r="F18" s="950">
        <v>11913</v>
      </c>
      <c r="G18" s="950">
        <f>15675-H18</f>
        <v>-8169</v>
      </c>
      <c r="H18" s="950">
        <v>23844</v>
      </c>
      <c r="I18" s="950">
        <v>-1800</v>
      </c>
      <c r="J18" s="950">
        <v>6800</v>
      </c>
      <c r="K18" s="950">
        <v>1700</v>
      </c>
      <c r="L18" s="950">
        <v>-5200</v>
      </c>
      <c r="M18" s="950">
        <v>-3700</v>
      </c>
      <c r="N18" s="950">
        <v>300</v>
      </c>
      <c r="O18" s="950">
        <f t="shared" ref="O18:BF18" si="53">O19+O20</f>
        <v>-3100</v>
      </c>
      <c r="P18" s="950">
        <f t="shared" si="53"/>
        <v>-4200</v>
      </c>
      <c r="Q18" s="950">
        <f t="shared" si="53"/>
        <v>-3000</v>
      </c>
      <c r="R18" s="950">
        <f t="shared" si="53"/>
        <v>-3700</v>
      </c>
      <c r="S18" s="950">
        <f t="shared" si="53"/>
        <v>-1500</v>
      </c>
      <c r="T18" s="950">
        <f t="shared" si="53"/>
        <v>-800</v>
      </c>
      <c r="U18" s="950">
        <f t="shared" si="53"/>
        <v>-3900</v>
      </c>
      <c r="V18" s="950">
        <f t="shared" si="53"/>
        <v>0</v>
      </c>
      <c r="W18" s="943">
        <f t="shared" si="53"/>
        <v>-4400.0000000000018</v>
      </c>
      <c r="X18" s="943">
        <f t="shared" si="53"/>
        <v>-3700</v>
      </c>
      <c r="Y18" s="943">
        <f t="shared" si="53"/>
        <v>-4200</v>
      </c>
      <c r="Z18" s="943">
        <f t="shared" si="53"/>
        <v>500</v>
      </c>
      <c r="AA18" s="943">
        <f t="shared" si="53"/>
        <v>1938</v>
      </c>
      <c r="AB18" s="943">
        <f t="shared" si="53"/>
        <v>3600</v>
      </c>
      <c r="AC18" s="943">
        <f t="shared" si="53"/>
        <v>4800</v>
      </c>
      <c r="AD18" s="943">
        <f t="shared" si="53"/>
        <v>6200</v>
      </c>
      <c r="AE18" s="943">
        <f t="shared" si="53"/>
        <v>5770</v>
      </c>
      <c r="AF18" s="943">
        <f t="shared" si="53"/>
        <v>1365.0000000000005</v>
      </c>
      <c r="AG18" s="943">
        <f t="shared" si="53"/>
        <v>1667</v>
      </c>
      <c r="AH18" s="943">
        <f t="shared" si="53"/>
        <v>-2888.9999999999964</v>
      </c>
      <c r="AI18" s="943">
        <f t="shared" si="53"/>
        <v>-4007</v>
      </c>
      <c r="AJ18" s="943">
        <f t="shared" si="53"/>
        <v>-6518</v>
      </c>
      <c r="AK18" s="943">
        <f t="shared" si="53"/>
        <v>-14867</v>
      </c>
      <c r="AL18" s="943">
        <f t="shared" si="53"/>
        <v>-25038</v>
      </c>
      <c r="AM18" s="943">
        <f t="shared" si="53"/>
        <v>-17730</v>
      </c>
      <c r="AN18" s="943">
        <f t="shared" si="53"/>
        <v>-19425.999999999996</v>
      </c>
      <c r="AO18" s="943">
        <f t="shared" si="53"/>
        <v>-9933</v>
      </c>
      <c r="AP18" s="943">
        <f t="shared" si="53"/>
        <v>-20635</v>
      </c>
      <c r="AQ18" s="943">
        <f t="shared" si="53"/>
        <v>-15246</v>
      </c>
      <c r="AR18" s="943">
        <f t="shared" si="53"/>
        <v>-21291</v>
      </c>
      <c r="AS18" s="943">
        <f t="shared" si="53"/>
        <v>-22374</v>
      </c>
      <c r="AT18" s="943">
        <f t="shared" si="53"/>
        <v>-34963</v>
      </c>
      <c r="AU18" s="943">
        <f t="shared" si="53"/>
        <v>-27985</v>
      </c>
      <c r="AV18" s="943">
        <f t="shared" si="53"/>
        <v>-25785</v>
      </c>
      <c r="AW18" s="943">
        <f t="shared" si="53"/>
        <v>-26923</v>
      </c>
      <c r="AX18" s="943">
        <f t="shared" si="53"/>
        <v>-23893</v>
      </c>
      <c r="AY18" s="943">
        <f t="shared" si="53"/>
        <v>-24080</v>
      </c>
      <c r="AZ18" s="943">
        <f t="shared" si="53"/>
        <v>-27109</v>
      </c>
      <c r="BA18" s="943">
        <f t="shared" si="53"/>
        <v>-26239</v>
      </c>
      <c r="BB18" s="943">
        <f t="shared" si="53"/>
        <v>-25882</v>
      </c>
      <c r="BC18" s="943">
        <f t="shared" si="53"/>
        <v>-24934</v>
      </c>
      <c r="BD18" s="943">
        <f t="shared" si="53"/>
        <v>-22443</v>
      </c>
      <c r="BE18" s="943">
        <f t="shared" si="53"/>
        <v>-21305.000000000004</v>
      </c>
      <c r="BF18" s="943">
        <f t="shared" si="53"/>
        <v>-14418.999999999993</v>
      </c>
      <c r="BG18" s="943">
        <f>BG19+BG20</f>
        <v>-13881</v>
      </c>
      <c r="BH18" s="943">
        <f>BH19+BH20</f>
        <v>-13318</v>
      </c>
      <c r="BI18" s="943">
        <f>BI19+BI20</f>
        <v>-17462</v>
      </c>
      <c r="BJ18" s="943">
        <f>BJ19+BJ20</f>
        <v>-8967.0000000000036</v>
      </c>
      <c r="BK18" s="951">
        <v>-45121</v>
      </c>
      <c r="BL18" s="951">
        <v>-53581</v>
      </c>
      <c r="BM18" s="951">
        <v>-40636</v>
      </c>
      <c r="BN18" s="951">
        <v>-45057</v>
      </c>
      <c r="BO18" s="951">
        <v>-49767</v>
      </c>
      <c r="BP18" s="951">
        <v>493605</v>
      </c>
      <c r="BQ18" s="951">
        <v>-57386</v>
      </c>
      <c r="BR18" s="951">
        <f>BR19+BR20</f>
        <v>-42600</v>
      </c>
      <c r="BS18" s="951">
        <v>-78216</v>
      </c>
      <c r="BT18" s="951">
        <v>-51250</v>
      </c>
      <c r="BU18" s="951">
        <v>-18470</v>
      </c>
      <c r="BV18" s="951">
        <v>-26155</v>
      </c>
      <c r="BW18" s="951">
        <v>16985</v>
      </c>
      <c r="BX18" s="951">
        <v>-3473</v>
      </c>
      <c r="BY18" s="951">
        <v>-130</v>
      </c>
      <c r="BZ18" s="951">
        <v>-36498</v>
      </c>
      <c r="CA18" s="951">
        <v>-15034</v>
      </c>
      <c r="CB18" s="951">
        <v>-28662</v>
      </c>
      <c r="CC18" s="951">
        <v>-15452</v>
      </c>
      <c r="CD18" s="951">
        <v>10738</v>
      </c>
      <c r="CE18" s="951">
        <v>35626</v>
      </c>
      <c r="CF18" s="951">
        <v>29584</v>
      </c>
      <c r="CG18" s="951">
        <v>6647</v>
      </c>
      <c r="CH18" s="951">
        <v>-10203</v>
      </c>
      <c r="CI18" s="951">
        <v>-18484</v>
      </c>
      <c r="CJ18" s="951">
        <f>+CJ19+CJ20</f>
        <v>-45840</v>
      </c>
      <c r="CK18" s="951">
        <v>-19104</v>
      </c>
      <c r="CL18" s="946">
        <f t="shared" ref="CL18:CP18" si="54">+CL19+CL20</f>
        <v>-34708.618158119527</v>
      </c>
      <c r="CM18" s="946">
        <f t="shared" si="54"/>
        <v>-34908.604333526353</v>
      </c>
      <c r="CN18" s="946">
        <f t="shared" si="54"/>
        <v>-31620.373183196403</v>
      </c>
      <c r="CO18" s="946">
        <f t="shared" si="54"/>
        <v>-34079.861690355108</v>
      </c>
      <c r="CP18" s="946">
        <f t="shared" si="54"/>
        <v>-41612.136648905798</v>
      </c>
      <c r="CQ18" s="946"/>
      <c r="CR18" s="946">
        <v>-34708.618158119527</v>
      </c>
      <c r="CT18" s="1199"/>
      <c r="CU18" s="943"/>
      <c r="CV18" s="943"/>
      <c r="CW18" s="943"/>
      <c r="CX18" s="589">
        <f>+SUM(O18:R18)</f>
        <v>-14000</v>
      </c>
      <c r="CY18" s="947">
        <f>SUM(S18:V18)</f>
        <v>-6200</v>
      </c>
      <c r="CZ18" s="947">
        <f>SUM(W18:Z18)</f>
        <v>-11800.000000000002</v>
      </c>
      <c r="DA18" s="947">
        <f>SUM(AA18:AD18)</f>
        <v>16538</v>
      </c>
      <c r="DB18" s="947">
        <f>SUM(AE18:AH18)</f>
        <v>5913.0000000000036</v>
      </c>
      <c r="DC18" s="943">
        <f>+SUM(AI18:AL18)</f>
        <v>-50430</v>
      </c>
      <c r="DD18" s="943">
        <f>+SUM(AM18:AP18)</f>
        <v>-67724</v>
      </c>
      <c r="DE18" s="943">
        <f>+SUM(AQ18:AT18)</f>
        <v>-93874</v>
      </c>
      <c r="DF18" s="943">
        <f>+SUM(AU18:AX18)</f>
        <v>-104586</v>
      </c>
      <c r="DG18" s="943">
        <f>+SUM(AY18:BB18)</f>
        <v>-103310</v>
      </c>
      <c r="DH18" s="943">
        <f>+SUM(BC18:BF18)</f>
        <v>-83101</v>
      </c>
      <c r="DI18" s="947">
        <f>+SUM(BG18:BJ18)</f>
        <v>-53628</v>
      </c>
      <c r="DJ18" s="947">
        <f>+SUM(BK18:BN18)</f>
        <v>-184395</v>
      </c>
      <c r="DK18" s="947">
        <f>+SUM(BO18:BR18)</f>
        <v>343852</v>
      </c>
      <c r="DL18" s="947">
        <f>+SUM(BS18:BV18)</f>
        <v>-174091</v>
      </c>
      <c r="DM18" s="947">
        <f>+SUM(BW18:BZ18)</f>
        <v>-23116</v>
      </c>
      <c r="DN18" s="947">
        <f>+SUM(CA18:CD18)</f>
        <v>-48410</v>
      </c>
      <c r="DO18" s="947">
        <f>+SUM(CE18:CH18)</f>
        <v>61654</v>
      </c>
      <c r="DP18" s="947">
        <f>+SUM(CI18:CL18)</f>
        <v>-118136.61815811953</v>
      </c>
      <c r="DQ18" s="947">
        <f>+SUM(CM18:CP18)</f>
        <v>-142220.97585598368</v>
      </c>
      <c r="DR18" s="946">
        <f t="shared" ref="DR18" si="55">+DR19+DR20</f>
        <v>-97684.773259753856</v>
      </c>
      <c r="DS18" s="946">
        <f t="shared" ref="DS18" si="56">+DS19+DS20</f>
        <v>-17676.055809772573</v>
      </c>
      <c r="DT18" s="946">
        <f t="shared" ref="DT18" si="57">+DT19+DT20</f>
        <v>-1470.030773931765</v>
      </c>
      <c r="DU18" s="946">
        <f t="shared" ref="DU18" si="58">+DU19+DU20</f>
        <v>3980.9084698291845</v>
      </c>
      <c r="DX18" s="814">
        <v>-143321.67990478151</v>
      </c>
      <c r="DY18" s="814">
        <v>-110345.71056647215</v>
      </c>
    </row>
    <row r="19" spans="1:129" s="904" customFormat="1">
      <c r="A19" s="939"/>
      <c r="B19" s="949" t="s">
        <v>343</v>
      </c>
      <c r="C19" s="939">
        <f>+Cartao!C284*1000</f>
        <v>0</v>
      </c>
      <c r="D19" s="939">
        <f>+Cartao!D284*1000</f>
        <v>0</v>
      </c>
      <c r="E19" s="939">
        <f>+Cartao!E284*1000</f>
        <v>0</v>
      </c>
      <c r="F19" s="939">
        <f>+Cartao!F284*1000</f>
        <v>0</v>
      </c>
      <c r="G19" s="939">
        <f>+Cartao!G284*1000</f>
        <v>0</v>
      </c>
      <c r="H19" s="939">
        <f>+Cartao!H284*1000</f>
        <v>0</v>
      </c>
      <c r="I19" s="939">
        <f>+Cartao!I284*1000</f>
        <v>7700</v>
      </c>
      <c r="J19" s="939">
        <f>+Cartao!J284*1000</f>
        <v>9600</v>
      </c>
      <c r="K19" s="939">
        <f>+Cartao!K284*1000</f>
        <v>7100</v>
      </c>
      <c r="L19" s="939">
        <f>+Cartao!L284*1000</f>
        <v>5700</v>
      </c>
      <c r="M19" s="939">
        <f>+Cartao!M284*1000</f>
        <v>5800</v>
      </c>
      <c r="N19" s="939">
        <f>+Cartao!N284*1000</f>
        <v>6600</v>
      </c>
      <c r="O19" s="939">
        <f>+Cartao!O284*1000</f>
        <v>4800</v>
      </c>
      <c r="P19" s="939">
        <f>+Cartao!P284*1000</f>
        <v>3300</v>
      </c>
      <c r="Q19" s="939">
        <f>+Cartao!Q284*1000</f>
        <v>4600</v>
      </c>
      <c r="R19" s="939">
        <f>+Cartao!R284*1000</f>
        <v>6100</v>
      </c>
      <c r="S19" s="939">
        <f>+Cartao!S284*1000</f>
        <v>4300</v>
      </c>
      <c r="T19" s="939">
        <f>+Cartao!T284*1000</f>
        <v>6600</v>
      </c>
      <c r="U19" s="939">
        <f>+Cartao!U284*1000</f>
        <v>5200</v>
      </c>
      <c r="V19" s="939">
        <f>+Cartao!V284*1000</f>
        <v>11400</v>
      </c>
      <c r="W19" s="939">
        <f>+Cartao!W284*1000</f>
        <v>4800</v>
      </c>
      <c r="X19" s="939">
        <f>+Cartao!X284*1000</f>
        <v>5700</v>
      </c>
      <c r="Y19" s="939">
        <f>+Cartao!Y284*1000</f>
        <v>7200</v>
      </c>
      <c r="Z19" s="939">
        <f>+Cartao!Z284*1000</f>
        <v>13200</v>
      </c>
      <c r="AA19" s="939">
        <f>+Cartao!AA284*1000</f>
        <v>10403</v>
      </c>
      <c r="AB19" s="939">
        <f>+Cartao!AB284*1000</f>
        <v>11800</v>
      </c>
      <c r="AC19" s="939">
        <f>+Cartao!AC284*1000</f>
        <v>13900</v>
      </c>
      <c r="AD19" s="939">
        <f>+Cartao!AD284*1000</f>
        <v>9600</v>
      </c>
      <c r="AE19" s="939">
        <f>+Cartao!AE284*1000</f>
        <v>9375</v>
      </c>
      <c r="AF19" s="939">
        <f>+Cartao!AF284*1000</f>
        <v>4340</v>
      </c>
      <c r="AG19" s="939">
        <f>+Cartao!AG284*1000</f>
        <v>13330</v>
      </c>
      <c r="AH19" s="939">
        <f>+Cartao!AH284*1000</f>
        <v>13898.000000000004</v>
      </c>
      <c r="AI19" s="939">
        <f>+Cartao!AI284*1000</f>
        <v>6923</v>
      </c>
      <c r="AJ19" s="939">
        <v>4764</v>
      </c>
      <c r="AK19" s="939">
        <v>11088</v>
      </c>
      <c r="AL19" s="939">
        <v>3156</v>
      </c>
      <c r="AM19" s="939">
        <v>9803</v>
      </c>
      <c r="AN19" s="939">
        <f>+Cartao!AN284*1000</f>
        <v>4866</v>
      </c>
      <c r="AO19" s="939">
        <v>17971</v>
      </c>
      <c r="AP19" s="939">
        <f>52345-AO19-AN19-AM19</f>
        <v>19705</v>
      </c>
      <c r="AQ19" s="939">
        <v>19520</v>
      </c>
      <c r="AR19" s="939">
        <v>17297</v>
      </c>
      <c r="AS19" s="939">
        <v>32001</v>
      </c>
      <c r="AT19" s="939">
        <v>24270</v>
      </c>
      <c r="AU19" s="939">
        <v>31735</v>
      </c>
      <c r="AV19" s="939">
        <v>28035</v>
      </c>
      <c r="AW19" s="939">
        <v>24063</v>
      </c>
      <c r="AX19" s="939">
        <f>93853-AW19-AV19-AU19</f>
        <v>10020</v>
      </c>
      <c r="AY19" s="939">
        <v>30503</v>
      </c>
      <c r="AZ19" s="939">
        <v>20105</v>
      </c>
      <c r="BA19" s="939">
        <v>19708</v>
      </c>
      <c r="BB19" s="939">
        <f>87472-BA19-AZ19-AY19</f>
        <v>17156</v>
      </c>
      <c r="BC19" s="939">
        <v>19324</v>
      </c>
      <c r="BD19" s="939">
        <f>+Cartao!BD284*1000</f>
        <v>14578.999999999998</v>
      </c>
      <c r="BE19" s="939">
        <f>+Cartao!BE284*1000</f>
        <v>11242</v>
      </c>
      <c r="BF19" s="939">
        <f>+Cartao!BF284*1000</f>
        <v>9646.0000000000036</v>
      </c>
      <c r="BG19" s="939">
        <f>+Cartao!BG284*1000</f>
        <v>10206</v>
      </c>
      <c r="BH19" s="939">
        <f>+Cartao!BH284*1000</f>
        <v>7896</v>
      </c>
      <c r="BI19" s="939">
        <f>+Cartao!BI284*1000</f>
        <v>7011</v>
      </c>
      <c r="BJ19" s="939">
        <f>+Cartao!BJ284*1000</f>
        <v>6178.0000000000009</v>
      </c>
      <c r="BK19" s="939">
        <f>+Cartao!BK284*1000</f>
        <v>7600</v>
      </c>
      <c r="BL19" s="939">
        <f>+Cartao!BL284*1000</f>
        <v>10100</v>
      </c>
      <c r="BM19" s="939">
        <f>+Cartao!BM284*1000</f>
        <v>11200</v>
      </c>
      <c r="BN19" s="939">
        <f>+Cartao!BN284*1000</f>
        <v>6900</v>
      </c>
      <c r="BO19" s="939">
        <f>+Cartao!BO284*1000</f>
        <v>10300</v>
      </c>
      <c r="BP19" s="943">
        <f>+Cartao!BP284*1000</f>
        <v>564800</v>
      </c>
      <c r="BQ19" s="939">
        <f>+Cartao!BQ284*1000</f>
        <v>12100</v>
      </c>
      <c r="BR19" s="939">
        <f>+Cartao!BR284*1000</f>
        <v>11400</v>
      </c>
      <c r="BS19" s="939">
        <f>+Cartao!BS284*1000</f>
        <v>12400</v>
      </c>
      <c r="BT19" s="939">
        <f>+Cartao!BT284*1000</f>
        <v>36300</v>
      </c>
      <c r="BU19" s="939">
        <f>+Cartao!BU284*1000</f>
        <v>75400</v>
      </c>
      <c r="BV19" s="939">
        <f>+Cartao!BV284*1000</f>
        <v>105100</v>
      </c>
      <c r="BW19" s="939">
        <f>+Cartao!BW284*1000</f>
        <v>191215</v>
      </c>
      <c r="BX19" s="939">
        <f>+Cartao!BX284*1000</f>
        <v>144900</v>
      </c>
      <c r="BY19" s="939">
        <f>+Cartao!BY284*1000</f>
        <v>240500</v>
      </c>
      <c r="BZ19" s="939">
        <f>+Cartao!BZ284*1000</f>
        <v>127323.99999999999</v>
      </c>
      <c r="CA19" s="939">
        <f>+Cartao!CA284*1000</f>
        <v>88600</v>
      </c>
      <c r="CB19" s="939">
        <f>+Cartao!CB284*1000</f>
        <v>75800</v>
      </c>
      <c r="CC19" s="939">
        <f>+Cartao!CC284*1000</f>
        <v>106700</v>
      </c>
      <c r="CD19" s="939">
        <f>+Cartao!CD284*1000</f>
        <v>138800.00000000003</v>
      </c>
      <c r="CE19" s="939">
        <f>+Cartao!CE284*1000</f>
        <v>158080</v>
      </c>
      <c r="CF19" s="939">
        <f>+Cartao!CF284*1000</f>
        <v>95300</v>
      </c>
      <c r="CG19" s="939">
        <f>+Cartao!CG284*1000</f>
        <v>115201</v>
      </c>
      <c r="CH19" s="939">
        <v>78978.296399999992</v>
      </c>
      <c r="CI19" s="939">
        <f>+Cartao!CI284*1000</f>
        <v>88171</v>
      </c>
      <c r="CJ19" s="939">
        <f>+Cartao!CJ284*1000</f>
        <v>27500</v>
      </c>
      <c r="CK19" s="939">
        <f>+Cartao!CK284*1000</f>
        <v>68892</v>
      </c>
      <c r="CL19" s="941">
        <f>+Cartao!CL284*1000</f>
        <v>63347</v>
      </c>
      <c r="CM19" s="941">
        <f>+Cartao!CM284*1000</f>
        <v>58951.759225780464</v>
      </c>
      <c r="CN19" s="941">
        <f>+Cartao!CN284*1000</f>
        <v>57046.328391964162</v>
      </c>
      <c r="CO19" s="941">
        <f>+Cartao!CO284*1000</f>
        <v>55608.975646439743</v>
      </c>
      <c r="CP19" s="941">
        <f>+Cartao!CP284*1000</f>
        <v>54646.751876051494</v>
      </c>
      <c r="CQ19" s="941"/>
      <c r="CR19" s="941">
        <v>63347</v>
      </c>
      <c r="CT19" s="939"/>
      <c r="CU19" s="939"/>
      <c r="CV19" s="939"/>
      <c r="CW19" s="939"/>
      <c r="CX19" s="592">
        <f>+SUM(O19:R19)</f>
        <v>18800</v>
      </c>
      <c r="CY19" s="942">
        <f>SUM(S19:V19)</f>
        <v>27500</v>
      </c>
      <c r="CZ19" s="942">
        <f>SUM(W19:Z19)</f>
        <v>30900</v>
      </c>
      <c r="DA19" s="942">
        <f>SUM(AA19:AD19)</f>
        <v>45703</v>
      </c>
      <c r="DB19" s="942">
        <f>SUM(AE19:AH19)</f>
        <v>40943</v>
      </c>
      <c r="DC19" s="939">
        <f>+SUM(AI19:AL19)</f>
        <v>25931</v>
      </c>
      <c r="DD19" s="939">
        <f>+SUM(AM19:AP19)</f>
        <v>52345</v>
      </c>
      <c r="DE19" s="939">
        <f>+SUM(AQ19:AT19)</f>
        <v>93088</v>
      </c>
      <c r="DF19" s="939">
        <f>+SUM(AU19:AX19)</f>
        <v>93853</v>
      </c>
      <c r="DG19" s="939">
        <f>+SUM(AY19:BB19)</f>
        <v>87472</v>
      </c>
      <c r="DH19" s="939">
        <f>+SUM(BC19:BF19)</f>
        <v>54791</v>
      </c>
      <c r="DI19" s="939">
        <f>+Cartao!DI284*1000</f>
        <v>31291</v>
      </c>
      <c r="DJ19" s="939">
        <f>+Cartao!DJ284*1000</f>
        <v>35800</v>
      </c>
      <c r="DK19" s="939">
        <f>+Cartao!DK284*1000</f>
        <v>598599.99999999988</v>
      </c>
      <c r="DL19" s="939">
        <f>+Cartao!DL284*1000</f>
        <v>229200</v>
      </c>
      <c r="DM19" s="939">
        <f>+Cartao!DM284*1000</f>
        <v>703939</v>
      </c>
      <c r="DN19" s="939">
        <f>+Cartao!DN284*1000</f>
        <v>409900</v>
      </c>
      <c r="DO19" s="939">
        <f>+Cartao!DO284*1000</f>
        <v>547367</v>
      </c>
      <c r="DP19" s="939">
        <f>+Cartao!DP284*1000</f>
        <v>247910</v>
      </c>
      <c r="DQ19" s="939">
        <f>+Cartao!DQ284*1000</f>
        <v>226253.81514023588</v>
      </c>
      <c r="DR19" s="941">
        <f>+Cartao!DR284*1000</f>
        <v>254181.15267520348</v>
      </c>
      <c r="DS19" s="941">
        <f>+Cartao!DS284*1000</f>
        <v>322077.76479958725</v>
      </c>
      <c r="DT19" s="941">
        <f>+Cartao!DT284*1000</f>
        <v>365825.37732169894</v>
      </c>
      <c r="DU19" s="941">
        <f>+Cartao!DU284*1000</f>
        <v>397313.95371114661</v>
      </c>
      <c r="DX19" s="813">
        <v>248779.42958873714</v>
      </c>
      <c r="DY19" s="813">
        <v>265730.75131326297</v>
      </c>
    </row>
    <row r="20" spans="1:129" s="904" customFormat="1">
      <c r="A20" s="939"/>
      <c r="B20" s="949" t="s">
        <v>344</v>
      </c>
      <c r="C20" s="939">
        <f>+Cartao!C297+Cartao!C312</f>
        <v>0</v>
      </c>
      <c r="D20" s="939">
        <f>+Cartao!D297+Cartao!D312</f>
        <v>0</v>
      </c>
      <c r="E20" s="939">
        <f>+Cartao!E297+Cartao!E312</f>
        <v>0</v>
      </c>
      <c r="F20" s="939">
        <f>+Cartao!F297+Cartao!F312</f>
        <v>0</v>
      </c>
      <c r="G20" s="939">
        <f>+Cartao!G297+Cartao!G312</f>
        <v>0</v>
      </c>
      <c r="H20" s="939">
        <f>+Cartao!H297+Cartao!H312</f>
        <v>0</v>
      </c>
      <c r="I20" s="939">
        <f>1000*(Cartao!I297+Cartao!I312)</f>
        <v>-2600</v>
      </c>
      <c r="J20" s="939">
        <f>1000*(Cartao!J297+Cartao!J312)</f>
        <v>-1700</v>
      </c>
      <c r="K20" s="939">
        <f>1000*(Cartao!K297+Cartao!K312)</f>
        <v>-2000</v>
      </c>
      <c r="L20" s="939">
        <f>1000*(Cartao!L297+Cartao!L312)</f>
        <v>-2200</v>
      </c>
      <c r="M20" s="939">
        <f>1000*(Cartao!M297+Cartao!M312)</f>
        <v>-1800</v>
      </c>
      <c r="N20" s="939">
        <f>1000*(Cartao!N297+Cartao!N312)</f>
        <v>-2500</v>
      </c>
      <c r="O20" s="939">
        <f>1000*(Cartao!O297+Cartao!O312)</f>
        <v>-7900</v>
      </c>
      <c r="P20" s="939">
        <f>1000*(Cartao!P297+Cartao!P312)</f>
        <v>-7500</v>
      </c>
      <c r="Q20" s="939">
        <f>1000*(Cartao!Q297+Cartao!Q312)</f>
        <v>-7600</v>
      </c>
      <c r="R20" s="939">
        <f>1000*(Cartao!R297+Cartao!R312)</f>
        <v>-9800</v>
      </c>
      <c r="S20" s="939">
        <f>1000*(Cartao!S297+Cartao!S312)</f>
        <v>-5800</v>
      </c>
      <c r="T20" s="939">
        <f>1000*(Cartao!T297+Cartao!T312)</f>
        <v>-7400</v>
      </c>
      <c r="U20" s="939">
        <f>1000*(Cartao!U297+Cartao!U312)</f>
        <v>-9100</v>
      </c>
      <c r="V20" s="939">
        <f>1000*(Cartao!V297+Cartao!V312)</f>
        <v>-11400</v>
      </c>
      <c r="W20" s="939">
        <f>1000*(Cartao!W297+Cartao!W312)</f>
        <v>-9200.0000000000018</v>
      </c>
      <c r="X20" s="939">
        <f>1000*(Cartao!X297+Cartao!X312)</f>
        <v>-9400</v>
      </c>
      <c r="Y20" s="939">
        <f>1000*(Cartao!Y297+Cartao!Y312)</f>
        <v>-11400</v>
      </c>
      <c r="Z20" s="939">
        <f>1000*(Cartao!Z297+Cartao!Z312)</f>
        <v>-12700</v>
      </c>
      <c r="AA20" s="939">
        <f>1000*(Cartao!AA297+Cartao!AA312)</f>
        <v>-8465</v>
      </c>
      <c r="AB20" s="939">
        <f>1000*(Cartao!AB297+Cartao!AB312)</f>
        <v>-8200</v>
      </c>
      <c r="AC20" s="939">
        <f>1000*(Cartao!AC297+Cartao!AC312)</f>
        <v>-9100</v>
      </c>
      <c r="AD20" s="939">
        <f>1000*(Cartao!AD297+Cartao!AD312)</f>
        <v>-3400.0000000000005</v>
      </c>
      <c r="AE20" s="939">
        <f>1000*(Cartao!AE297+Cartao!AE312)</f>
        <v>-3605</v>
      </c>
      <c r="AF20" s="939">
        <f>1000*(Cartao!AF297+Cartao!AF312)</f>
        <v>-2974.9999999999995</v>
      </c>
      <c r="AG20" s="939">
        <f>1000*(Cartao!AG297+Cartao!AG312)</f>
        <v>-11663</v>
      </c>
      <c r="AH20" s="939">
        <f>1000*(Cartao!AH297+Cartao!AH312)</f>
        <v>-16787</v>
      </c>
      <c r="AI20" s="939">
        <f>1000*(Cartao!AI297+Cartao!AI312)</f>
        <v>-10930</v>
      </c>
      <c r="AJ20" s="939">
        <f>-11200-82</f>
        <v>-11282</v>
      </c>
      <c r="AK20" s="939">
        <v>-25955</v>
      </c>
      <c r="AL20" s="939">
        <v>-28194</v>
      </c>
      <c r="AM20" s="939">
        <v>-27533</v>
      </c>
      <c r="AN20" s="939">
        <f>+(Cartao!AN297+Cartao!AN312)*1000</f>
        <v>-24291.999999999996</v>
      </c>
      <c r="AO20" s="939">
        <v>-27904</v>
      </c>
      <c r="AP20" s="939">
        <f>-120069-AO20-AN20-AM20</f>
        <v>-40340</v>
      </c>
      <c r="AQ20" s="939">
        <v>-34766</v>
      </c>
      <c r="AR20" s="939">
        <v>-38588</v>
      </c>
      <c r="AS20" s="939">
        <v>-54375</v>
      </c>
      <c r="AT20" s="939">
        <v>-59233</v>
      </c>
      <c r="AU20" s="939">
        <v>-59720</v>
      </c>
      <c r="AV20" s="939">
        <v>-53820</v>
      </c>
      <c r="AW20" s="939">
        <v>-50986</v>
      </c>
      <c r="AX20" s="939">
        <f>-198439-AW20-AV20-AU20</f>
        <v>-33913</v>
      </c>
      <c r="AY20" s="939">
        <v>-54583</v>
      </c>
      <c r="AZ20" s="939">
        <v>-47214</v>
      </c>
      <c r="BA20" s="939">
        <v>-45947</v>
      </c>
      <c r="BB20" s="939">
        <f>-190782-BA20-AZ20-AY20</f>
        <v>-43038</v>
      </c>
      <c r="BC20" s="939">
        <v>-44258</v>
      </c>
      <c r="BD20" s="939">
        <f>+(Cartao!BD297+Cartao!BD312)*1000</f>
        <v>-37022</v>
      </c>
      <c r="BE20" s="939">
        <f>+(Cartao!BE297+Cartao!BE312)*1000</f>
        <v>-32547.000000000004</v>
      </c>
      <c r="BF20" s="939">
        <f>+(Cartao!BF297+Cartao!BF312)*1000</f>
        <v>-24064.999999999996</v>
      </c>
      <c r="BG20" s="939">
        <f>+(Cartao!BG297+Cartao!BG312)*1000</f>
        <v>-24087</v>
      </c>
      <c r="BH20" s="939">
        <f>+(Cartao!BH297+Cartao!BH312)*1000</f>
        <v>-21214</v>
      </c>
      <c r="BI20" s="939">
        <f>+(Cartao!BI297+Cartao!BI312)*1000</f>
        <v>-24473</v>
      </c>
      <c r="BJ20" s="939">
        <f>+(Cartao!BJ297+Cartao!BJ312)*1000</f>
        <v>-15145.000000000005</v>
      </c>
      <c r="BK20" s="939">
        <f>+(Cartao!BK297+Cartao!BK312)*1000</f>
        <v>-52781</v>
      </c>
      <c r="BL20" s="939">
        <f>+(Cartao!BL297+Cartao!BL312)*1000</f>
        <v>-63670</v>
      </c>
      <c r="BM20" s="939">
        <f>+(Cartao!BM297+Cartao!BM312)*1000</f>
        <v>-34000</v>
      </c>
      <c r="BN20" s="939">
        <f>+(Cartao!BN297+Cartao!BN312)*1000</f>
        <v>-52900</v>
      </c>
      <c r="BO20" s="939">
        <f>+(Cartao!BO297+Cartao!BO312)*1000</f>
        <v>-46599.999999999993</v>
      </c>
      <c r="BP20" s="939">
        <f>+(Cartao!BP297+Cartao!BP312)*1000</f>
        <v>-71200</v>
      </c>
      <c r="BQ20" s="939">
        <f>+(Cartao!BQ297+Cartao!BQ312)*1000</f>
        <v>-69500</v>
      </c>
      <c r="BR20" s="939">
        <f>+(Cartao!BR297+Cartao!BR312)*1000</f>
        <v>-54000</v>
      </c>
      <c r="BS20" s="939">
        <f>+(Cartao!BS297+Cartao!BS312)*1000</f>
        <v>-90600</v>
      </c>
      <c r="BT20" s="939">
        <f>+(Cartao!BT297+Cartao!BT312)*1000</f>
        <v>-87600</v>
      </c>
      <c r="BU20" s="939">
        <f>+(Cartao!BU297+Cartao!BU312)*1000</f>
        <v>-93899.999999999985</v>
      </c>
      <c r="BV20" s="939">
        <f>+(Cartao!BV297+Cartao!BV312)*1000</f>
        <v>-131200</v>
      </c>
      <c r="BW20" s="939">
        <f>+(Cartao!BW297+Cartao!BW312)*1000</f>
        <v>-174230.00000000003</v>
      </c>
      <c r="BX20" s="939">
        <f>+(Cartao!BX297+Cartao!BX312)*1000</f>
        <v>-148299.99999999997</v>
      </c>
      <c r="BY20" s="939">
        <f>+(Cartao!BY297+Cartao!BY312)*1000</f>
        <v>-240600</v>
      </c>
      <c r="BZ20" s="939">
        <f>+(Cartao!BZ297+Cartao!BZ312)*1000</f>
        <v>-163924.99999999991</v>
      </c>
      <c r="CA20" s="939">
        <f>+(Cartao!CA297+Cartao!CA312)*1000</f>
        <v>-103600</v>
      </c>
      <c r="CB20" s="939">
        <f>+(Cartao!CB297+Cartao!CB312)*1000</f>
        <v>-104500</v>
      </c>
      <c r="CC20" s="939">
        <f>+(Cartao!CC297+Cartao!CC312)*1000</f>
        <v>-122100</v>
      </c>
      <c r="CD20" s="939">
        <f>+(Cartao!CD297+Cartao!CD312)*1000</f>
        <v>-127500.00000000001</v>
      </c>
      <c r="CE20" s="939">
        <f>+(Cartao!CE297+Cartao!CE312)*1000</f>
        <v>-122454</v>
      </c>
      <c r="CF20" s="939">
        <f>+(Cartao!CF297+Cartao!CF312)*1000</f>
        <v>-65700</v>
      </c>
      <c r="CG20" s="939">
        <f>+(Cartao!CG297+Cartao!CG312)*1000</f>
        <v>-108554</v>
      </c>
      <c r="CH20" s="939">
        <v>-77121.16245198567</v>
      </c>
      <c r="CI20" s="939">
        <f>+(Cartao!CI297+Cartao!CI312)*1000</f>
        <v>-106655</v>
      </c>
      <c r="CJ20" s="939">
        <f>+(Cartao!CJ297+Cartao!CJ312)*1000</f>
        <v>-73340</v>
      </c>
      <c r="CK20" s="939">
        <f>+(Cartao!CK297+Cartao!CK312)*1000</f>
        <v>-87996.000000000015</v>
      </c>
      <c r="CL20" s="941">
        <f>+(Cartao!CL297+Cartao!CL312)*1000</f>
        <v>-98055.618158119527</v>
      </c>
      <c r="CM20" s="941">
        <f>+(Cartao!CM297+Cartao!CM312)*1000</f>
        <v>-93860.363559306817</v>
      </c>
      <c r="CN20" s="941">
        <f>+(Cartao!CN297+Cartao!CN312)*1000</f>
        <v>-88666.701575160565</v>
      </c>
      <c r="CO20" s="941">
        <f>+(Cartao!CO297+Cartao!CO312)*1000</f>
        <v>-89688.837336794852</v>
      </c>
      <c r="CP20" s="941">
        <f>+(Cartao!CP297+Cartao!CP312)*1000</f>
        <v>-96258.888524957292</v>
      </c>
      <c r="CQ20" s="941"/>
      <c r="CR20" s="941">
        <v>-98055.618158119527</v>
      </c>
      <c r="CT20" s="939"/>
      <c r="CU20" s="939"/>
      <c r="CV20" s="939"/>
      <c r="CW20" s="939"/>
      <c r="CX20" s="592">
        <f>+SUM(O20:R20)</f>
        <v>-32800</v>
      </c>
      <c r="CY20" s="942">
        <f>SUM(S20:V20)</f>
        <v>-33700</v>
      </c>
      <c r="CZ20" s="942">
        <f>SUM(W20:Z20)</f>
        <v>-42700</v>
      </c>
      <c r="DA20" s="942">
        <f>SUM(AA20:AD20)</f>
        <v>-29165</v>
      </c>
      <c r="DB20" s="942">
        <f>SUM(AE20:AH20)</f>
        <v>-35030</v>
      </c>
      <c r="DC20" s="939">
        <f>+SUM(AI20:AL20)</f>
        <v>-76361</v>
      </c>
      <c r="DD20" s="939">
        <f>+SUM(AM20:AP20)</f>
        <v>-120069</v>
      </c>
      <c r="DE20" s="939">
        <f>+SUM(AQ20:AT20)</f>
        <v>-186962</v>
      </c>
      <c r="DF20" s="939">
        <f>+SUM(AU20:AX20)</f>
        <v>-198439</v>
      </c>
      <c r="DG20" s="939">
        <f>+SUM(AY20:BB20)</f>
        <v>-190782</v>
      </c>
      <c r="DH20" s="939">
        <f>+SUM(BC20:BF20)</f>
        <v>-137892</v>
      </c>
      <c r="DI20" s="939">
        <f>+(Cartao!DI297+Cartao!DI312)*1000</f>
        <v>-84919.000000000015</v>
      </c>
      <c r="DJ20" s="939">
        <f>+(Cartao!DJ297+Cartao!DJ312)*1000</f>
        <v>-203351</v>
      </c>
      <c r="DK20" s="939">
        <f>+(Cartao!DK297+Cartao!DK312)*1000</f>
        <v>-241299.99999999997</v>
      </c>
      <c r="DL20" s="939">
        <f>+(Cartao!DL297+Cartao!DL312)*1000</f>
        <v>-403299.99999999994</v>
      </c>
      <c r="DM20" s="939">
        <f>+(Cartao!DM297+Cartao!DM312)*1000</f>
        <v>-727055</v>
      </c>
      <c r="DN20" s="939">
        <f>+(Cartao!DN297+Cartao!DN312)*1000</f>
        <v>-457700</v>
      </c>
      <c r="DO20" s="939">
        <f>+(Cartao!DO297+Cartao!DO312)*1000</f>
        <v>-485712.99999999994</v>
      </c>
      <c r="DP20" s="939">
        <f>+(Cartao!DP297+Cartao!DP312)*1000</f>
        <v>-366046.6181581195</v>
      </c>
      <c r="DQ20" s="939">
        <f>+(Cartao!DQ297+Cartao!DQ312)*1000</f>
        <v>-368474.7909962195</v>
      </c>
      <c r="DR20" s="813">
        <f>+(Cartao!DR297+Cartao!DR312)*1000</f>
        <v>-351865.92593495734</v>
      </c>
      <c r="DS20" s="813">
        <f>+(Cartao!DS297+Cartao!DS312)*1000</f>
        <v>-339753.82060935983</v>
      </c>
      <c r="DT20" s="813">
        <f>+(Cartao!DT297+Cartao!DT312)*1000</f>
        <v>-367295.4080956307</v>
      </c>
      <c r="DU20" s="813">
        <f>+(Cartao!DU297+Cartao!DU312)*1000</f>
        <v>-393333.04524131742</v>
      </c>
      <c r="DX20" s="813">
        <v>-392101.10949351866</v>
      </c>
      <c r="DY20" s="813">
        <v>-376076.46187973511</v>
      </c>
    </row>
    <row r="21" spans="1:129" s="904" customFormat="1">
      <c r="A21" s="939"/>
      <c r="B21" s="949"/>
      <c r="C21" s="939"/>
      <c r="D21" s="939"/>
      <c r="E21" s="939"/>
      <c r="F21" s="939"/>
      <c r="G21" s="939"/>
      <c r="H21" s="939"/>
      <c r="I21" s="939"/>
      <c r="J21" s="939"/>
      <c r="K21" s="939"/>
      <c r="L21" s="939"/>
      <c r="M21" s="939"/>
      <c r="N21" s="939"/>
      <c r="O21" s="939"/>
      <c r="P21" s="939"/>
      <c r="Q21" s="939"/>
      <c r="R21" s="939"/>
      <c r="S21" s="939"/>
      <c r="T21" s="939"/>
      <c r="U21" s="939"/>
      <c r="V21" s="939"/>
      <c r="W21" s="939"/>
      <c r="X21" s="939"/>
      <c r="Y21" s="939"/>
      <c r="Z21" s="939"/>
      <c r="AA21" s="939"/>
      <c r="AB21" s="939"/>
      <c r="AC21" s="939"/>
      <c r="AD21" s="939"/>
      <c r="AE21" s="939"/>
      <c r="AF21" s="939"/>
      <c r="AG21" s="939"/>
      <c r="AH21" s="939"/>
      <c r="AI21" s="939"/>
      <c r="AJ21" s="939"/>
      <c r="AK21" s="939"/>
      <c r="AL21" s="939"/>
      <c r="AM21" s="939"/>
      <c r="AN21" s="939"/>
      <c r="AO21" s="939"/>
      <c r="AP21" s="939"/>
      <c r="AQ21" s="939"/>
      <c r="AR21" s="939"/>
      <c r="AS21" s="939"/>
      <c r="AT21" s="939"/>
      <c r="AU21" s="939"/>
      <c r="AV21" s="939"/>
      <c r="AW21" s="939"/>
      <c r="AX21" s="939"/>
      <c r="AY21" s="939"/>
      <c r="AZ21" s="939"/>
      <c r="BA21" s="939"/>
      <c r="BB21" s="939"/>
      <c r="BC21" s="939"/>
      <c r="BD21" s="939"/>
      <c r="BE21" s="939"/>
      <c r="BF21" s="939"/>
      <c r="BG21" s="939"/>
      <c r="BH21" s="939"/>
      <c r="BI21" s="939"/>
      <c r="BJ21" s="939"/>
      <c r="BK21" s="939"/>
      <c r="BL21" s="939"/>
      <c r="BM21" s="939"/>
      <c r="BN21" s="939"/>
      <c r="BO21" s="939"/>
      <c r="BP21" s="939"/>
      <c r="BQ21" s="939"/>
      <c r="BR21" s="939"/>
      <c r="BS21" s="939"/>
      <c r="BT21" s="939"/>
      <c r="BU21" s="939"/>
      <c r="BV21" s="939"/>
      <c r="BW21" s="939"/>
      <c r="BX21" s="939"/>
      <c r="BY21" s="939"/>
      <c r="BZ21" s="939"/>
      <c r="CA21" s="939"/>
      <c r="CB21" s="939"/>
      <c r="CC21" s="939"/>
      <c r="CD21" s="939"/>
      <c r="CE21" s="939"/>
      <c r="CF21" s="939"/>
      <c r="CG21" s="939"/>
      <c r="CH21" s="939"/>
      <c r="CI21" s="939"/>
      <c r="CJ21" s="939"/>
      <c r="CK21" s="939"/>
      <c r="CL21" s="941"/>
      <c r="CM21" s="941"/>
      <c r="CN21" s="941"/>
      <c r="CO21" s="941"/>
      <c r="CP21" s="941"/>
      <c r="CQ21" s="941"/>
      <c r="CR21" s="941"/>
      <c r="CT21" s="939"/>
      <c r="CU21" s="939"/>
      <c r="CV21" s="939"/>
      <c r="CW21" s="939"/>
      <c r="CX21" s="592"/>
      <c r="CY21" s="942"/>
      <c r="CZ21" s="942"/>
      <c r="DA21" s="942"/>
      <c r="DB21" s="942"/>
      <c r="DC21" s="939"/>
      <c r="DD21" s="939"/>
      <c r="DE21" s="939"/>
      <c r="DF21" s="939"/>
      <c r="DG21" s="939"/>
      <c r="DH21" s="939"/>
      <c r="DI21" s="939"/>
      <c r="DJ21" s="939"/>
      <c r="DK21" s="939"/>
      <c r="DL21" s="939"/>
      <c r="DM21" s="939"/>
      <c r="DN21" s="939"/>
      <c r="DO21" s="939"/>
      <c r="DP21" s="939"/>
      <c r="DQ21" s="939"/>
      <c r="DR21" s="813"/>
      <c r="DS21" s="813"/>
      <c r="DT21" s="813"/>
      <c r="DU21" s="813"/>
      <c r="DX21" s="813"/>
      <c r="DY21" s="813"/>
    </row>
    <row r="22" spans="1:129" s="590" customFormat="1">
      <c r="A22" s="943"/>
      <c r="B22" s="597" t="s">
        <v>345</v>
      </c>
      <c r="C22" s="589" t="e">
        <f t="shared" ref="C22:AH22" si="59">+C17+C18</f>
        <v>#REF!</v>
      </c>
      <c r="D22" s="589">
        <f t="shared" si="59"/>
        <v>5856</v>
      </c>
      <c r="E22" s="589">
        <f t="shared" si="59"/>
        <v>18290</v>
      </c>
      <c r="F22" s="589">
        <f t="shared" si="59"/>
        <v>28876</v>
      </c>
      <c r="G22" s="589">
        <f t="shared" si="59"/>
        <v>9705</v>
      </c>
      <c r="H22" s="947">
        <f t="shared" si="59"/>
        <v>59509</v>
      </c>
      <c r="I22" s="947">
        <f t="shared" si="59"/>
        <v>18990</v>
      </c>
      <c r="J22" s="947">
        <f t="shared" si="59"/>
        <v>56081</v>
      </c>
      <c r="K22" s="947">
        <f t="shared" si="59"/>
        <v>26040</v>
      </c>
      <c r="L22" s="947">
        <f t="shared" si="59"/>
        <v>35232</v>
      </c>
      <c r="M22" s="947">
        <f t="shared" si="59"/>
        <v>28256</v>
      </c>
      <c r="N22" s="947">
        <f t="shared" si="59"/>
        <v>63771</v>
      </c>
      <c r="O22" s="947">
        <f t="shared" si="59"/>
        <v>21697</v>
      </c>
      <c r="P22" s="947">
        <f t="shared" si="59"/>
        <v>52974</v>
      </c>
      <c r="Q22" s="947">
        <f t="shared" si="59"/>
        <v>42171</v>
      </c>
      <c r="R22" s="947">
        <f t="shared" si="59"/>
        <v>70136</v>
      </c>
      <c r="S22" s="947">
        <f t="shared" si="59"/>
        <v>34755</v>
      </c>
      <c r="T22" s="947">
        <f t="shared" si="59"/>
        <v>56327</v>
      </c>
      <c r="U22" s="947">
        <f t="shared" si="59"/>
        <v>36951</v>
      </c>
      <c r="V22" s="947">
        <f t="shared" si="59"/>
        <v>65527</v>
      </c>
      <c r="W22" s="947">
        <f t="shared" si="59"/>
        <v>13301.999999999998</v>
      </c>
      <c r="X22" s="947">
        <f t="shared" si="59"/>
        <v>67991</v>
      </c>
      <c r="Y22" s="947">
        <f t="shared" si="59"/>
        <v>41961</v>
      </c>
      <c r="Z22" s="947">
        <f t="shared" si="59"/>
        <v>135565</v>
      </c>
      <c r="AA22" s="947">
        <f t="shared" si="59"/>
        <v>52009</v>
      </c>
      <c r="AB22" s="947">
        <f t="shared" si="59"/>
        <v>133182</v>
      </c>
      <c r="AC22" s="947">
        <f t="shared" si="59"/>
        <v>82952</v>
      </c>
      <c r="AD22" s="947">
        <f t="shared" si="59"/>
        <v>159922</v>
      </c>
      <c r="AE22" s="947">
        <f t="shared" si="59"/>
        <v>64829</v>
      </c>
      <c r="AF22" s="947">
        <f t="shared" si="59"/>
        <v>152857.00000000012</v>
      </c>
      <c r="AG22" s="947">
        <f t="shared" si="59"/>
        <v>78297</v>
      </c>
      <c r="AH22" s="947">
        <f t="shared" si="59"/>
        <v>186185</v>
      </c>
      <c r="AI22" s="947">
        <f t="shared" ref="AI22:BD22" si="60">+AI17+AI18</f>
        <v>45221</v>
      </c>
      <c r="AJ22" s="947">
        <f t="shared" si="60"/>
        <v>147957</v>
      </c>
      <c r="AK22" s="947">
        <f t="shared" si="60"/>
        <v>95450.000000000116</v>
      </c>
      <c r="AL22" s="947">
        <f t="shared" si="60"/>
        <v>220192</v>
      </c>
      <c r="AM22" s="947">
        <f t="shared" si="60"/>
        <v>28447.000000000116</v>
      </c>
      <c r="AN22" s="947">
        <f t="shared" si="60"/>
        <v>137995</v>
      </c>
      <c r="AO22" s="947">
        <f t="shared" si="60"/>
        <v>100756</v>
      </c>
      <c r="AP22" s="947">
        <f t="shared" si="60"/>
        <v>315512</v>
      </c>
      <c r="AQ22" s="947">
        <f t="shared" si="60"/>
        <v>97661.520000000019</v>
      </c>
      <c r="AR22" s="947">
        <f t="shared" si="60"/>
        <v>222535</v>
      </c>
      <c r="AS22" s="947">
        <f t="shared" si="60"/>
        <v>171378</v>
      </c>
      <c r="AT22" s="947">
        <f t="shared" si="60"/>
        <v>405433.2690000002</v>
      </c>
      <c r="AU22" s="947">
        <f t="shared" si="60"/>
        <v>102588.27951000014</v>
      </c>
      <c r="AV22" s="947">
        <f t="shared" si="60"/>
        <v>228088.64064000011</v>
      </c>
      <c r="AW22" s="947">
        <f t="shared" si="60"/>
        <v>129733</v>
      </c>
      <c r="AX22" s="947">
        <f t="shared" si="60"/>
        <v>368257.30340999993</v>
      </c>
      <c r="AY22" s="947">
        <f t="shared" si="60"/>
        <v>81463</v>
      </c>
      <c r="AZ22" s="947">
        <f t="shared" si="60"/>
        <v>245350</v>
      </c>
      <c r="BA22" s="947">
        <f t="shared" si="60"/>
        <v>106655</v>
      </c>
      <c r="BB22" s="943">
        <f t="shared" si="60"/>
        <v>438913</v>
      </c>
      <c r="BC22" s="943">
        <f t="shared" si="60"/>
        <v>79102</v>
      </c>
      <c r="BD22" s="943">
        <f t="shared" si="60"/>
        <v>272265</v>
      </c>
      <c r="BE22" s="943">
        <f t="shared" ref="BE22:BJ22" si="61">+BE17+BE18</f>
        <v>184623</v>
      </c>
      <c r="BF22" s="943">
        <f t="shared" si="61"/>
        <v>468148</v>
      </c>
      <c r="BG22" s="943">
        <f t="shared" si="61"/>
        <v>156174</v>
      </c>
      <c r="BH22" s="943">
        <f t="shared" si="61"/>
        <v>338655.96485999995</v>
      </c>
      <c r="BI22" s="943">
        <f t="shared" si="61"/>
        <v>241026.43174999999</v>
      </c>
      <c r="BJ22" s="943">
        <f t="shared" si="61"/>
        <v>634337.25080000004</v>
      </c>
      <c r="BK22" s="943">
        <f t="shared" ref="BK22:BV22" si="62">+BK17+BK18</f>
        <v>202755</v>
      </c>
      <c r="BL22" s="943">
        <f t="shared" si="62"/>
        <v>320283</v>
      </c>
      <c r="BM22" s="943">
        <f t="shared" si="62"/>
        <v>249408</v>
      </c>
      <c r="BN22" s="943">
        <f t="shared" si="62"/>
        <v>719538</v>
      </c>
      <c r="BO22" s="943">
        <f>+BO17+BO18</f>
        <v>-17432</v>
      </c>
      <c r="BP22" s="943">
        <f>+BP17+BP18</f>
        <v>913861</v>
      </c>
      <c r="BQ22" s="943">
        <f>+BQ17+BQ18</f>
        <v>-183999</v>
      </c>
      <c r="BR22" s="943">
        <f t="shared" si="62"/>
        <v>488301</v>
      </c>
      <c r="BS22" s="943">
        <f>+BS17+BS18</f>
        <v>-251579</v>
      </c>
      <c r="BT22" s="943">
        <f>+BT17+BT18</f>
        <v>209344</v>
      </c>
      <c r="BU22" s="943">
        <f>+BU17+BU18</f>
        <v>189570.33947000233</v>
      </c>
      <c r="BV22" s="943">
        <f t="shared" si="62"/>
        <v>492804.81354999915</v>
      </c>
      <c r="BW22" s="943">
        <f t="shared" ref="BW22:CD22" si="63">+BW17+BW18</f>
        <v>160827</v>
      </c>
      <c r="BX22" s="943">
        <f t="shared" si="63"/>
        <v>431166</v>
      </c>
      <c r="BY22" s="943">
        <f t="shared" si="63"/>
        <v>200865</v>
      </c>
      <c r="BZ22" s="943">
        <f t="shared" ref="BZ22" si="64">+BZ17+BZ18</f>
        <v>591426</v>
      </c>
      <c r="CA22" s="943">
        <f t="shared" si="63"/>
        <v>-41695</v>
      </c>
      <c r="CB22" s="943">
        <f t="shared" si="63"/>
        <v>195768</v>
      </c>
      <c r="CC22" s="943">
        <f t="shared" si="63"/>
        <v>76376</v>
      </c>
      <c r="CD22" s="943">
        <f t="shared" si="63"/>
        <v>610218</v>
      </c>
      <c r="CE22" s="943">
        <f t="shared" ref="CE22:CH22" si="65">+CE17+CE18</f>
        <v>111836</v>
      </c>
      <c r="CF22" s="943">
        <f t="shared" si="65"/>
        <v>384302</v>
      </c>
      <c r="CG22" s="943">
        <f t="shared" si="65"/>
        <v>279600</v>
      </c>
      <c r="CH22" s="943">
        <f t="shared" si="65"/>
        <v>545259</v>
      </c>
      <c r="CI22" s="943">
        <f t="shared" ref="CI22:CL22" si="66">+CI17+CI18</f>
        <v>254522</v>
      </c>
      <c r="CJ22" s="943">
        <f t="shared" si="66"/>
        <v>512061</v>
      </c>
      <c r="CK22" s="943">
        <f t="shared" si="66"/>
        <v>259599</v>
      </c>
      <c r="CL22" s="946">
        <f t="shared" si="66"/>
        <v>611065.36854896159</v>
      </c>
      <c r="CM22" s="946">
        <f t="shared" ref="CM22:CP22" si="67">+CM17+CM18</f>
        <v>162995.25402190269</v>
      </c>
      <c r="CN22" s="946">
        <f t="shared" si="67"/>
        <v>454933.3814119529</v>
      </c>
      <c r="CO22" s="946">
        <f t="shared" si="67"/>
        <v>250567.1537215478</v>
      </c>
      <c r="CP22" s="946">
        <f t="shared" si="67"/>
        <v>697600.75291035336</v>
      </c>
      <c r="CQ22" s="946"/>
      <c r="CR22" s="946">
        <v>611065.36854896159</v>
      </c>
      <c r="CT22" s="1134">
        <f>+CH22/CR22-1</f>
        <v>-0.10769120937949028</v>
      </c>
      <c r="CU22" s="947"/>
      <c r="CV22" s="947"/>
      <c r="CW22" s="947"/>
      <c r="CX22" s="589">
        <f>+SUM(O22:R22)</f>
        <v>186978</v>
      </c>
      <c r="CY22" s="947">
        <f>SUM(S22:V22)</f>
        <v>193560</v>
      </c>
      <c r="CZ22" s="947">
        <f>SUM(W22:Z22)</f>
        <v>258819</v>
      </c>
      <c r="DA22" s="947">
        <f>SUM(AA22:AD22)</f>
        <v>428065</v>
      </c>
      <c r="DB22" s="947">
        <f>SUM(AE22:AH22)</f>
        <v>482168.00000000012</v>
      </c>
      <c r="DC22" s="943">
        <f>+SUM(AI22:AL22)</f>
        <v>508820.00000000012</v>
      </c>
      <c r="DD22" s="943">
        <f>+SUM(AM22:AP22)</f>
        <v>582710.00000000012</v>
      </c>
      <c r="DE22" s="943">
        <f>+SUM(AQ22:AT22)</f>
        <v>897007.78900000022</v>
      </c>
      <c r="DF22" s="943">
        <f>+SUM(AU22:AX22)</f>
        <v>828667.22356000019</v>
      </c>
      <c r="DG22" s="943">
        <f>+SUM(AY22:BB22)</f>
        <v>872381</v>
      </c>
      <c r="DH22" s="943">
        <f>+SUM(BC22:BF22)</f>
        <v>1004138</v>
      </c>
      <c r="DI22" s="589">
        <f t="shared" ref="DI22:DL22" si="68">+DI17+DI18</f>
        <v>1370193.6474099997</v>
      </c>
      <c r="DJ22" s="589">
        <f t="shared" si="68"/>
        <v>1491984</v>
      </c>
      <c r="DK22" s="589">
        <f t="shared" si="68"/>
        <v>1200731</v>
      </c>
      <c r="DL22" s="589">
        <f t="shared" si="68"/>
        <v>640140.15302000195</v>
      </c>
      <c r="DM22" s="589">
        <f t="shared" ref="DM22:DR22" si="69">+DM17+DM18</f>
        <v>1384284</v>
      </c>
      <c r="DN22" s="589">
        <f t="shared" si="69"/>
        <v>840667</v>
      </c>
      <c r="DO22" s="589">
        <f t="shared" si="69"/>
        <v>1320997</v>
      </c>
      <c r="DP22" s="589">
        <f t="shared" si="69"/>
        <v>1637247.3685489625</v>
      </c>
      <c r="DQ22" s="589">
        <f t="shared" ref="DQ22" si="70">+DQ17+DQ18</f>
        <v>1566096.5420657583</v>
      </c>
      <c r="DR22" s="814">
        <f t="shared" si="69"/>
        <v>2247698.9760444849</v>
      </c>
      <c r="DS22" s="814">
        <f t="shared" ref="DS22:DU22" si="71">+DS17+DS18</f>
        <v>2611991.9384939829</v>
      </c>
      <c r="DT22" s="814">
        <f t="shared" si="71"/>
        <v>2913385.1469261316</v>
      </c>
      <c r="DU22" s="814">
        <f t="shared" si="71"/>
        <v>3214015.358008943</v>
      </c>
      <c r="DX22" s="814">
        <v>1852079.031750079</v>
      </c>
      <c r="DY22" s="814">
        <v>2433810.3788339961</v>
      </c>
    </row>
    <row r="23" spans="1:129" s="904" customFormat="1">
      <c r="A23" s="939"/>
      <c r="B23" s="949" t="s">
        <v>108</v>
      </c>
      <c r="C23" s="939"/>
      <c r="D23" s="939">
        <v>897</v>
      </c>
      <c r="E23" s="939">
        <v>-240</v>
      </c>
      <c r="F23" s="939">
        <v>2251</v>
      </c>
      <c r="G23" s="939">
        <v>-1400</v>
      </c>
      <c r="H23" s="939">
        <v>-16554</v>
      </c>
      <c r="I23" s="939">
        <v>-237</v>
      </c>
      <c r="J23" s="939">
        <v>-7598</v>
      </c>
      <c r="K23" s="939">
        <v>-6871</v>
      </c>
      <c r="L23" s="939">
        <v>-11335</v>
      </c>
      <c r="M23" s="939">
        <v>-32</v>
      </c>
      <c r="N23" s="939">
        <v>-12214</v>
      </c>
      <c r="O23" s="939">
        <v>-7342</v>
      </c>
      <c r="P23" s="939">
        <v>-18414</v>
      </c>
      <c r="Q23" s="939">
        <v>-16454</v>
      </c>
      <c r="R23" s="939">
        <v>-14845</v>
      </c>
      <c r="S23" s="939">
        <v>-12117</v>
      </c>
      <c r="T23" s="939">
        <v>-21387</v>
      </c>
      <c r="U23" s="939">
        <v>-14213</v>
      </c>
      <c r="V23" s="939">
        <v>-15033</v>
      </c>
      <c r="W23" s="939">
        <v>-5568</v>
      </c>
      <c r="X23" s="939">
        <v>-24650</v>
      </c>
      <c r="Y23" s="939">
        <v>-15866</v>
      </c>
      <c r="Z23" s="939">
        <f>-30187-6007</f>
        <v>-36194</v>
      </c>
      <c r="AA23" s="939">
        <v>-18660</v>
      </c>
      <c r="AB23" s="939">
        <v>-45663</v>
      </c>
      <c r="AC23" s="939">
        <v>-29740</v>
      </c>
      <c r="AD23" s="939">
        <v>-29680</v>
      </c>
      <c r="AE23" s="939">
        <v>-17242</v>
      </c>
      <c r="AF23" s="939">
        <v>-39328</v>
      </c>
      <c r="AG23" s="939">
        <v>-21601</v>
      </c>
      <c r="AH23" s="939">
        <v>-60315</v>
      </c>
      <c r="AI23" s="939">
        <v>-9490</v>
      </c>
      <c r="AJ23" s="939">
        <v>-44485</v>
      </c>
      <c r="AK23" s="939">
        <v>-26927</v>
      </c>
      <c r="AL23" s="939">
        <v>-72518</v>
      </c>
      <c r="AM23" s="939">
        <v>-6841</v>
      </c>
      <c r="AN23" s="939">
        <v>-39995</v>
      </c>
      <c r="AO23" s="939">
        <v>-29114</v>
      </c>
      <c r="AP23" s="939">
        <v>-99360</v>
      </c>
      <c r="AQ23" s="939">
        <v>-17583</v>
      </c>
      <c r="AR23" s="939">
        <v>-49639</v>
      </c>
      <c r="AS23" s="939">
        <v>-36137</v>
      </c>
      <c r="AT23" s="939">
        <v>-133396</v>
      </c>
      <c r="AU23" s="952">
        <v>-29399.782200000001</v>
      </c>
      <c r="AV23" s="952">
        <v>-69920</v>
      </c>
      <c r="AW23" s="952">
        <v>-33767</v>
      </c>
      <c r="AX23" s="952">
        <v>-116742</v>
      </c>
      <c r="AY23" s="952">
        <v>-15948</v>
      </c>
      <c r="AZ23" s="952">
        <v>-70542</v>
      </c>
      <c r="BA23" s="952">
        <v>-21752</v>
      </c>
      <c r="BB23" s="952">
        <v>-139079</v>
      </c>
      <c r="BC23" s="952">
        <v>-12126</v>
      </c>
      <c r="BD23" s="952">
        <v>-78682</v>
      </c>
      <c r="BE23" s="952">
        <v>-44304</v>
      </c>
      <c r="BF23" s="952">
        <v>-136346</v>
      </c>
      <c r="BG23" s="952">
        <v>-44732</v>
      </c>
      <c r="BH23" s="952">
        <v>-63946.505109999998</v>
      </c>
      <c r="BI23" s="952">
        <v>-46815.47496</v>
      </c>
      <c r="BJ23" s="952">
        <v>-194563</v>
      </c>
      <c r="BK23" s="952">
        <v>-46776</v>
      </c>
      <c r="BL23" s="952">
        <v>-89547</v>
      </c>
      <c r="BM23" s="952">
        <v>-62674</v>
      </c>
      <c r="BN23" s="952">
        <v>-206784</v>
      </c>
      <c r="BO23" s="952">
        <v>24569</v>
      </c>
      <c r="BP23" s="952">
        <v>-95810</v>
      </c>
      <c r="BQ23" s="952">
        <v>101126</v>
      </c>
      <c r="BR23" s="952">
        <v>-134377</v>
      </c>
      <c r="BS23" s="952">
        <v>103876</v>
      </c>
      <c r="BT23" s="952">
        <v>-16271</v>
      </c>
      <c r="BU23" s="952">
        <v>-17327</v>
      </c>
      <c r="BV23" s="952">
        <v>-77019</v>
      </c>
      <c r="BW23" s="952">
        <v>30803</v>
      </c>
      <c r="BX23" s="952">
        <v>-70778</v>
      </c>
      <c r="BY23" s="952">
        <v>56997</v>
      </c>
      <c r="BZ23" s="952">
        <v>-109603</v>
      </c>
      <c r="CA23" s="952">
        <v>88461</v>
      </c>
      <c r="CB23" s="952">
        <v>33932</v>
      </c>
      <c r="CC23" s="952">
        <v>96526</v>
      </c>
      <c r="CD23" s="952">
        <v>-83327</v>
      </c>
      <c r="CE23" s="952">
        <v>27414</v>
      </c>
      <c r="CF23" s="952">
        <v>-69318</v>
      </c>
      <c r="CG23" s="952">
        <v>-24334</v>
      </c>
      <c r="CH23" s="952">
        <v>-58091</v>
      </c>
      <c r="CI23" s="952">
        <v>-33489</v>
      </c>
      <c r="CJ23" s="952">
        <v>-107600</v>
      </c>
      <c r="CK23" s="952">
        <v>19796</v>
      </c>
      <c r="CL23" s="941">
        <f t="shared" ref="CL23:CP23" si="72">CL225</f>
        <v>-129136.44812287683</v>
      </c>
      <c r="CM23" s="941">
        <f t="shared" si="72"/>
        <v>21325.837575435828</v>
      </c>
      <c r="CN23" s="941">
        <f t="shared" si="72"/>
        <v>-81525.157503992479</v>
      </c>
      <c r="CO23" s="941">
        <f t="shared" si="72"/>
        <v>-13923.975112680389</v>
      </c>
      <c r="CP23" s="941">
        <f t="shared" si="72"/>
        <v>-157509.30464417601</v>
      </c>
      <c r="CQ23" s="941"/>
      <c r="CR23" s="941">
        <v>-129136.44812287683</v>
      </c>
      <c r="CT23" s="1199"/>
      <c r="CU23" s="939"/>
      <c r="CV23" s="939"/>
      <c r="CW23" s="939"/>
      <c r="CX23" s="592">
        <f>+SUM(O23:R23)</f>
        <v>-57055</v>
      </c>
      <c r="CY23" s="942">
        <f>SUM(S23:V23)</f>
        <v>-62750</v>
      </c>
      <c r="CZ23" s="942">
        <f>SUM(W23:Z23)</f>
        <v>-82278</v>
      </c>
      <c r="DA23" s="942">
        <f>SUM(AA23:AD23)</f>
        <v>-123743</v>
      </c>
      <c r="DB23" s="942">
        <f>SUM(AE23:AH23)</f>
        <v>-138486</v>
      </c>
      <c r="DC23" s="939">
        <f>+SUM(AI23:AL23)</f>
        <v>-153420</v>
      </c>
      <c r="DD23" s="939">
        <f>+SUM(AM23:AP23)</f>
        <v>-175310</v>
      </c>
      <c r="DE23" s="939">
        <f>+SUM(AQ23:AT23)</f>
        <v>-236755</v>
      </c>
      <c r="DF23" s="939">
        <f>+SUM(AU23:AX23)</f>
        <v>-249828.78220000002</v>
      </c>
      <c r="DG23" s="939">
        <f>+SUM(AY23:BB23)</f>
        <v>-247321</v>
      </c>
      <c r="DH23" s="939">
        <f>+SUM(BC23:BF23)</f>
        <v>-271458</v>
      </c>
      <c r="DI23" s="939">
        <f>+SUM(BG23:BJ23)</f>
        <v>-350056.98006999999</v>
      </c>
      <c r="DJ23" s="939">
        <f>+SUM(BK23:BN23)</f>
        <v>-405781</v>
      </c>
      <c r="DK23" s="939">
        <f>+SUM(BO23:BR23)</f>
        <v>-104492</v>
      </c>
      <c r="DL23" s="939">
        <f>+SUM(BS23:BV23)</f>
        <v>-6741</v>
      </c>
      <c r="DM23" s="939">
        <f>+SUM(BW23:BZ23)</f>
        <v>-92581</v>
      </c>
      <c r="DN23" s="939">
        <f>+SUM(CA23:CD23)</f>
        <v>135592</v>
      </c>
      <c r="DO23" s="939">
        <f>+SUM(CE23:CH23)</f>
        <v>-124329</v>
      </c>
      <c r="DP23" s="939">
        <f>+SUM(CI23:CL23)</f>
        <v>-250429.44812287681</v>
      </c>
      <c r="DQ23" s="939">
        <f>+SUM(CM23:CP23)</f>
        <v>-231632.59968541306</v>
      </c>
      <c r="DR23" s="941">
        <f>DR225</f>
        <v>-452941.69117659039</v>
      </c>
      <c r="DS23" s="941">
        <f t="shared" ref="DS23:DU23" si="73">DS225</f>
        <v>-551932.81385679112</v>
      </c>
      <c r="DT23" s="941">
        <f t="shared" si="73"/>
        <v>-626902.86797785026</v>
      </c>
      <c r="DU23" s="941">
        <f t="shared" si="73"/>
        <v>-698593.57212518039</v>
      </c>
      <c r="DX23" s="941">
        <v>-331990.9533511044</v>
      </c>
      <c r="DY23" s="941">
        <v>-506162.96188666421</v>
      </c>
    </row>
    <row r="24" spans="1:129" s="904" customFormat="1">
      <c r="A24" s="939"/>
      <c r="B24" s="949"/>
      <c r="C24" s="939"/>
      <c r="D24" s="939"/>
      <c r="E24" s="939"/>
      <c r="F24" s="939"/>
      <c r="G24" s="939"/>
      <c r="H24" s="939"/>
      <c r="I24" s="939"/>
      <c r="J24" s="939"/>
      <c r="K24" s="939"/>
      <c r="L24" s="939"/>
      <c r="M24" s="939"/>
      <c r="N24" s="939"/>
      <c r="O24" s="939"/>
      <c r="P24" s="939"/>
      <c r="Q24" s="939"/>
      <c r="R24" s="939"/>
      <c r="S24" s="939"/>
      <c r="T24" s="939"/>
      <c r="U24" s="939"/>
      <c r="V24" s="939"/>
      <c r="W24" s="939"/>
      <c r="X24" s="939"/>
      <c r="Y24" s="939"/>
      <c r="Z24" s="939"/>
      <c r="AA24" s="939"/>
      <c r="AB24" s="939"/>
      <c r="AC24" s="939"/>
      <c r="AD24" s="939"/>
      <c r="AE24" s="939"/>
      <c r="AF24" s="939"/>
      <c r="AG24" s="939"/>
      <c r="AH24" s="939"/>
      <c r="AI24" s="939"/>
      <c r="AJ24" s="939"/>
      <c r="AK24" s="939"/>
      <c r="AL24" s="939"/>
      <c r="AM24" s="939"/>
      <c r="AN24" s="939"/>
      <c r="AO24" s="939"/>
      <c r="AP24" s="939"/>
      <c r="AQ24" s="939"/>
      <c r="AR24" s="939"/>
      <c r="AS24" s="939"/>
      <c r="AT24" s="939"/>
      <c r="AU24" s="952"/>
      <c r="AV24" s="952"/>
      <c r="AW24" s="952"/>
      <c r="AX24" s="952"/>
      <c r="AY24" s="952"/>
      <c r="AZ24" s="952"/>
      <c r="BA24" s="952"/>
      <c r="BB24" s="952"/>
      <c r="BC24" s="952"/>
      <c r="BD24" s="952"/>
      <c r="BE24" s="952"/>
      <c r="BF24" s="952"/>
      <c r="BG24" s="952"/>
      <c r="BH24" s="952"/>
      <c r="BI24" s="952"/>
      <c r="BJ24" s="952"/>
      <c r="BK24" s="952"/>
      <c r="BL24" s="952"/>
      <c r="BM24" s="952"/>
      <c r="BN24" s="952"/>
      <c r="BO24" s="952"/>
      <c r="BP24" s="952"/>
      <c r="BQ24" s="952"/>
      <c r="BR24" s="952"/>
      <c r="BS24" s="952"/>
      <c r="BT24" s="952"/>
      <c r="BU24" s="952"/>
      <c r="BV24" s="952"/>
      <c r="BW24" s="952"/>
      <c r="BX24" s="952"/>
      <c r="BY24" s="952"/>
      <c r="BZ24" s="952"/>
      <c r="CA24" s="952"/>
      <c r="CB24" s="952"/>
      <c r="CC24" s="952"/>
      <c r="CD24" s="952"/>
      <c r="CE24" s="952"/>
      <c r="CF24" s="952"/>
      <c r="CG24" s="952"/>
      <c r="CH24" s="952"/>
      <c r="CI24" s="952"/>
      <c r="CJ24" s="952"/>
      <c r="CK24" s="952"/>
      <c r="CL24" s="941"/>
      <c r="CM24" s="941"/>
      <c r="CN24" s="941"/>
      <c r="CO24" s="941"/>
      <c r="CP24" s="941"/>
      <c r="CQ24" s="941"/>
      <c r="CR24" s="941"/>
      <c r="CT24" s="1199"/>
      <c r="CU24" s="939"/>
      <c r="CV24" s="939"/>
      <c r="CW24" s="939"/>
      <c r="CX24" s="592"/>
      <c r="CY24" s="942"/>
      <c r="CZ24" s="942"/>
      <c r="DA24" s="942"/>
      <c r="DB24" s="942"/>
      <c r="DC24" s="939"/>
      <c r="DD24" s="939"/>
      <c r="DE24" s="1566">
        <f>+DE23/DE22</f>
        <v>-0.26393862227655635</v>
      </c>
      <c r="DF24" s="1566">
        <f t="shared" ref="DF24:DN24" si="74">+DF23/DF22</f>
        <v>-0.30148263995132057</v>
      </c>
      <c r="DG24" s="1566">
        <f t="shared" si="74"/>
        <v>-0.28350113081325706</v>
      </c>
      <c r="DH24" s="1566">
        <f t="shared" si="74"/>
        <v>-0.2703393358283423</v>
      </c>
      <c r="DI24" s="1566">
        <f t="shared" si="74"/>
        <v>-0.25547993214805298</v>
      </c>
      <c r="DJ24" s="1566">
        <f t="shared" si="74"/>
        <v>-0.27197409623695695</v>
      </c>
      <c r="DK24" s="1566">
        <f t="shared" si="74"/>
        <v>-8.7023654756977209E-2</v>
      </c>
      <c r="DL24" s="1566">
        <f t="shared" si="74"/>
        <v>-1.0530506433939272E-2</v>
      </c>
      <c r="DM24" s="1566">
        <f t="shared" si="74"/>
        <v>-6.6880062183771544E-2</v>
      </c>
      <c r="DN24" s="1566">
        <f t="shared" si="74"/>
        <v>0.16129097490445088</v>
      </c>
      <c r="DO24" s="1566">
        <f t="shared" ref="DO24:DU24" si="75">+DO23/DO22</f>
        <v>-9.4117549093601274E-2</v>
      </c>
      <c r="DP24" s="1566">
        <f t="shared" ref="DP24:DQ24" si="76">+DP23/DP22</f>
        <v>-0.15295761222986362</v>
      </c>
      <c r="DQ24" s="1566">
        <f t="shared" si="76"/>
        <v>-0.14790441934050777</v>
      </c>
      <c r="DR24" s="1566">
        <f t="shared" si="75"/>
        <v>-0.20151350158715653</v>
      </c>
      <c r="DS24" s="1566">
        <f t="shared" si="75"/>
        <v>-0.21130724246225027</v>
      </c>
      <c r="DT24" s="1566">
        <f t="shared" si="75"/>
        <v>-0.21518022381602581</v>
      </c>
      <c r="DU24" s="1566">
        <f t="shared" si="75"/>
        <v>-0.21735850464571319</v>
      </c>
      <c r="DX24" s="1566">
        <v>-0.17925312454803685</v>
      </c>
      <c r="DY24" s="1566">
        <v>-0.20797140413591286</v>
      </c>
    </row>
    <row r="25" spans="1:129" s="590" customFormat="1">
      <c r="A25" s="943"/>
      <c r="B25" s="944" t="s">
        <v>110</v>
      </c>
      <c r="C25" s="943" t="e">
        <f t="shared" ref="C25:AT25" si="77">+C22+C23</f>
        <v>#REF!</v>
      </c>
      <c r="D25" s="943">
        <f t="shared" si="77"/>
        <v>6753</v>
      </c>
      <c r="E25" s="943">
        <f t="shared" si="77"/>
        <v>18050</v>
      </c>
      <c r="F25" s="943">
        <f t="shared" si="77"/>
        <v>31127</v>
      </c>
      <c r="G25" s="943">
        <f t="shared" si="77"/>
        <v>8305</v>
      </c>
      <c r="H25" s="943">
        <f t="shared" si="77"/>
        <v>42955</v>
      </c>
      <c r="I25" s="943">
        <f t="shared" si="77"/>
        <v>18753</v>
      </c>
      <c r="J25" s="943">
        <f t="shared" si="77"/>
        <v>48483</v>
      </c>
      <c r="K25" s="943">
        <f t="shared" si="77"/>
        <v>19169</v>
      </c>
      <c r="L25" s="943">
        <f t="shared" si="77"/>
        <v>23897</v>
      </c>
      <c r="M25" s="943">
        <f t="shared" si="77"/>
        <v>28224</v>
      </c>
      <c r="N25" s="943">
        <f t="shared" si="77"/>
        <v>51557</v>
      </c>
      <c r="O25" s="943">
        <f t="shared" si="77"/>
        <v>14355</v>
      </c>
      <c r="P25" s="943">
        <f t="shared" si="77"/>
        <v>34560</v>
      </c>
      <c r="Q25" s="943">
        <f t="shared" si="77"/>
        <v>25717</v>
      </c>
      <c r="R25" s="943">
        <f t="shared" si="77"/>
        <v>55291</v>
      </c>
      <c r="S25" s="943">
        <f t="shared" si="77"/>
        <v>22638</v>
      </c>
      <c r="T25" s="943">
        <f t="shared" si="77"/>
        <v>34940</v>
      </c>
      <c r="U25" s="943">
        <f t="shared" si="77"/>
        <v>22738</v>
      </c>
      <c r="V25" s="943">
        <f t="shared" si="77"/>
        <v>50494</v>
      </c>
      <c r="W25" s="943">
        <f t="shared" si="77"/>
        <v>7733.9999999999982</v>
      </c>
      <c r="X25" s="943">
        <f t="shared" si="77"/>
        <v>43341</v>
      </c>
      <c r="Y25" s="943">
        <f t="shared" si="77"/>
        <v>26095</v>
      </c>
      <c r="Z25" s="943">
        <f t="shared" si="77"/>
        <v>99371</v>
      </c>
      <c r="AA25" s="943">
        <f t="shared" si="77"/>
        <v>33349</v>
      </c>
      <c r="AB25" s="943">
        <f t="shared" si="77"/>
        <v>87519</v>
      </c>
      <c r="AC25" s="943">
        <f t="shared" si="77"/>
        <v>53212</v>
      </c>
      <c r="AD25" s="943">
        <f t="shared" si="77"/>
        <v>130242</v>
      </c>
      <c r="AE25" s="943">
        <f t="shared" si="77"/>
        <v>47587</v>
      </c>
      <c r="AF25" s="943">
        <f t="shared" si="77"/>
        <v>113529.00000000012</v>
      </c>
      <c r="AG25" s="943">
        <f t="shared" si="77"/>
        <v>56696</v>
      </c>
      <c r="AH25" s="943">
        <f t="shared" si="77"/>
        <v>125870</v>
      </c>
      <c r="AI25" s="943">
        <f t="shared" si="77"/>
        <v>35731</v>
      </c>
      <c r="AJ25" s="943">
        <f t="shared" si="77"/>
        <v>103472</v>
      </c>
      <c r="AK25" s="943">
        <f t="shared" si="77"/>
        <v>68523.000000000116</v>
      </c>
      <c r="AL25" s="943">
        <f t="shared" si="77"/>
        <v>147674</v>
      </c>
      <c r="AM25" s="943">
        <f t="shared" si="77"/>
        <v>21606.000000000116</v>
      </c>
      <c r="AN25" s="943">
        <f t="shared" si="77"/>
        <v>98000</v>
      </c>
      <c r="AO25" s="943">
        <f t="shared" si="77"/>
        <v>71642</v>
      </c>
      <c r="AP25" s="943">
        <f t="shared" si="77"/>
        <v>216152</v>
      </c>
      <c r="AQ25" s="943">
        <f t="shared" si="77"/>
        <v>80078.520000000019</v>
      </c>
      <c r="AR25" s="943">
        <f t="shared" si="77"/>
        <v>172896</v>
      </c>
      <c r="AS25" s="943">
        <f t="shared" si="77"/>
        <v>135241</v>
      </c>
      <c r="AT25" s="943">
        <f t="shared" si="77"/>
        <v>272037.2690000002</v>
      </c>
      <c r="AU25" s="943">
        <f t="shared" ref="AU25:CD25" si="78">+AU22+AU23</f>
        <v>73188.497310000137</v>
      </c>
      <c r="AV25" s="943">
        <f t="shared" si="78"/>
        <v>158168.64064000011</v>
      </c>
      <c r="AW25" s="943">
        <f t="shared" si="78"/>
        <v>95966</v>
      </c>
      <c r="AX25" s="943">
        <f t="shared" si="78"/>
        <v>251515.30340999993</v>
      </c>
      <c r="AY25" s="943">
        <f t="shared" si="78"/>
        <v>65515</v>
      </c>
      <c r="AZ25" s="943">
        <f t="shared" si="78"/>
        <v>174808</v>
      </c>
      <c r="BA25" s="943">
        <f t="shared" si="78"/>
        <v>84903</v>
      </c>
      <c r="BB25" s="943">
        <f t="shared" si="78"/>
        <v>299834</v>
      </c>
      <c r="BC25" s="943">
        <f t="shared" si="78"/>
        <v>66976</v>
      </c>
      <c r="BD25" s="943">
        <f t="shared" si="78"/>
        <v>193583</v>
      </c>
      <c r="BE25" s="943">
        <f t="shared" si="78"/>
        <v>140319</v>
      </c>
      <c r="BF25" s="943">
        <f t="shared" si="78"/>
        <v>331802</v>
      </c>
      <c r="BG25" s="943">
        <f t="shared" si="78"/>
        <v>111442</v>
      </c>
      <c r="BH25" s="943">
        <f t="shared" si="78"/>
        <v>274709.45974999992</v>
      </c>
      <c r="BI25" s="943">
        <f t="shared" si="78"/>
        <v>194210.95679</v>
      </c>
      <c r="BJ25" s="943">
        <f t="shared" si="78"/>
        <v>439774.25080000004</v>
      </c>
      <c r="BK25" s="943">
        <f t="shared" si="78"/>
        <v>155979</v>
      </c>
      <c r="BL25" s="943">
        <f t="shared" si="78"/>
        <v>230736</v>
      </c>
      <c r="BM25" s="943">
        <f t="shared" si="78"/>
        <v>186734</v>
      </c>
      <c r="BN25" s="943">
        <f t="shared" si="78"/>
        <v>512754</v>
      </c>
      <c r="BO25" s="943">
        <f t="shared" si="78"/>
        <v>7137</v>
      </c>
      <c r="BP25" s="943">
        <f t="shared" si="78"/>
        <v>818051</v>
      </c>
      <c r="BQ25" s="943">
        <f t="shared" si="78"/>
        <v>-82873</v>
      </c>
      <c r="BR25" s="943">
        <f t="shared" si="78"/>
        <v>353924</v>
      </c>
      <c r="BS25" s="943">
        <f t="shared" si="78"/>
        <v>-147703</v>
      </c>
      <c r="BT25" s="943">
        <f t="shared" si="78"/>
        <v>193073</v>
      </c>
      <c r="BU25" s="943">
        <f t="shared" si="78"/>
        <v>172243.33947000233</v>
      </c>
      <c r="BV25" s="943">
        <f t="shared" si="78"/>
        <v>415785.81354999915</v>
      </c>
      <c r="BW25" s="943">
        <f t="shared" si="78"/>
        <v>191630</v>
      </c>
      <c r="BX25" s="943">
        <f t="shared" si="78"/>
        <v>360388</v>
      </c>
      <c r="BY25" s="943">
        <f t="shared" si="78"/>
        <v>257862</v>
      </c>
      <c r="BZ25" s="943">
        <f t="shared" ref="BZ25" si="79">+BZ22+BZ23</f>
        <v>481823</v>
      </c>
      <c r="CA25" s="943">
        <f t="shared" si="78"/>
        <v>46766</v>
      </c>
      <c r="CB25" s="943">
        <f t="shared" si="78"/>
        <v>229700</v>
      </c>
      <c r="CC25" s="943">
        <f t="shared" si="78"/>
        <v>172902</v>
      </c>
      <c r="CD25" s="943">
        <f t="shared" si="78"/>
        <v>526891</v>
      </c>
      <c r="CE25" s="943">
        <f t="shared" ref="CE25:CH25" si="80">+CE22+CE23</f>
        <v>139250</v>
      </c>
      <c r="CF25" s="943">
        <f t="shared" si="80"/>
        <v>314984</v>
      </c>
      <c r="CG25" s="943">
        <f t="shared" si="80"/>
        <v>255266</v>
      </c>
      <c r="CH25" s="943">
        <f t="shared" si="80"/>
        <v>487168</v>
      </c>
      <c r="CI25" s="943">
        <f t="shared" ref="CI25:CL25" si="81">+CI22+CI23</f>
        <v>221033</v>
      </c>
      <c r="CJ25" s="943">
        <f t="shared" si="81"/>
        <v>404461</v>
      </c>
      <c r="CK25" s="943">
        <f t="shared" si="81"/>
        <v>279395</v>
      </c>
      <c r="CL25" s="946">
        <f t="shared" si="81"/>
        <v>481928.92042608478</v>
      </c>
      <c r="CM25" s="946">
        <f t="shared" ref="CM25:CP25" si="82">+CM22+CM23</f>
        <v>184321.0915973385</v>
      </c>
      <c r="CN25" s="946">
        <f t="shared" si="82"/>
        <v>373408.2239079604</v>
      </c>
      <c r="CO25" s="946">
        <f t="shared" si="82"/>
        <v>236643.1786088674</v>
      </c>
      <c r="CP25" s="946">
        <f t="shared" si="82"/>
        <v>540091.44826617732</v>
      </c>
      <c r="CQ25" s="946"/>
      <c r="CR25" s="946">
        <v>481928.92042608478</v>
      </c>
      <c r="CT25" s="1134">
        <f>+CH25/CR25-1</f>
        <v>1.0871062830765998E-2</v>
      </c>
      <c r="CU25" s="943"/>
      <c r="CV25" s="943"/>
      <c r="CW25" s="943"/>
      <c r="CX25" s="589">
        <f>+SUM(O25:R25)</f>
        <v>129923</v>
      </c>
      <c r="CY25" s="947">
        <f>SUM(S25:V25)</f>
        <v>130810</v>
      </c>
      <c r="CZ25" s="947">
        <f>SUM(W25:Z25)</f>
        <v>176541</v>
      </c>
      <c r="DA25" s="947">
        <f>SUM(AA25:AD25)</f>
        <v>304322</v>
      </c>
      <c r="DB25" s="947">
        <f>SUM(AE25:AH25)</f>
        <v>343682.00000000012</v>
      </c>
      <c r="DC25" s="943">
        <f>+SUM(AI25:AL25)</f>
        <v>355400.00000000012</v>
      </c>
      <c r="DD25" s="943">
        <f>+SUM(AM25:AP25)</f>
        <v>407400.00000000012</v>
      </c>
      <c r="DE25" s="943">
        <f t="shared" ref="DE25:DR25" si="83">+DE22+DE23</f>
        <v>660252.78900000022</v>
      </c>
      <c r="DF25" s="943">
        <f t="shared" si="83"/>
        <v>578838.44136000017</v>
      </c>
      <c r="DG25" s="943">
        <f t="shared" si="83"/>
        <v>625060</v>
      </c>
      <c r="DH25" s="943">
        <f t="shared" si="83"/>
        <v>732680</v>
      </c>
      <c r="DI25" s="943">
        <f t="shared" si="83"/>
        <v>1020136.6673399997</v>
      </c>
      <c r="DJ25" s="943">
        <f t="shared" si="83"/>
        <v>1086203</v>
      </c>
      <c r="DK25" s="943">
        <f t="shared" si="83"/>
        <v>1096239</v>
      </c>
      <c r="DL25" s="943">
        <f t="shared" si="83"/>
        <v>633399.15302000195</v>
      </c>
      <c r="DM25" s="943">
        <f t="shared" si="83"/>
        <v>1291703</v>
      </c>
      <c r="DN25" s="943">
        <f t="shared" si="83"/>
        <v>976259</v>
      </c>
      <c r="DO25" s="943">
        <f t="shared" ref="DO25:DP25" si="84">+DO22+DO23</f>
        <v>1196668</v>
      </c>
      <c r="DP25" s="943">
        <f t="shared" si="84"/>
        <v>1386817.9204260856</v>
      </c>
      <c r="DQ25" s="943">
        <f t="shared" ref="DQ25" si="85">+DQ22+DQ23</f>
        <v>1334463.9423803452</v>
      </c>
      <c r="DR25" s="814">
        <f t="shared" si="83"/>
        <v>1794757.2848678944</v>
      </c>
      <c r="DS25" s="814">
        <f t="shared" ref="DS25:DU25" si="86">+DS22+DS23</f>
        <v>2060059.1246371916</v>
      </c>
      <c r="DT25" s="814">
        <f t="shared" si="86"/>
        <v>2286482.2789482814</v>
      </c>
      <c r="DU25" s="814">
        <f t="shared" si="86"/>
        <v>2515421.7858837629</v>
      </c>
      <c r="DX25" s="814">
        <v>1520088.0783989746</v>
      </c>
      <c r="DY25" s="814">
        <v>1927647.416947332</v>
      </c>
    </row>
    <row r="26" spans="1:129" s="904" customFormat="1">
      <c r="A26" s="953"/>
      <c r="B26" s="594" t="s">
        <v>120</v>
      </c>
      <c r="C26" s="594"/>
      <c r="D26" s="594"/>
      <c r="E26" s="594"/>
      <c r="F26" s="594"/>
      <c r="G26" s="594" t="e">
        <f t="shared" ref="G26:AL26" si="87">G25/C25-1</f>
        <v>#REF!</v>
      </c>
      <c r="H26" s="594">
        <f t="shared" si="87"/>
        <v>5.3608766474159637</v>
      </c>
      <c r="I26" s="594">
        <f t="shared" si="87"/>
        <v>3.8947368421052619E-2</v>
      </c>
      <c r="J26" s="594">
        <f t="shared" si="87"/>
        <v>0.55758666109808197</v>
      </c>
      <c r="K26" s="594">
        <f t="shared" si="87"/>
        <v>1.3081276339554484</v>
      </c>
      <c r="L26" s="594">
        <f t="shared" si="87"/>
        <v>-0.44367361191945054</v>
      </c>
      <c r="M26" s="594">
        <f t="shared" si="87"/>
        <v>0.5050391937290033</v>
      </c>
      <c r="N26" s="594">
        <f t="shared" si="87"/>
        <v>6.340366726481439E-2</v>
      </c>
      <c r="O26" s="594">
        <f t="shared" si="87"/>
        <v>-0.25113464447806355</v>
      </c>
      <c r="P26" s="594">
        <f t="shared" si="87"/>
        <v>0.44620663681633688</v>
      </c>
      <c r="Q26" s="594">
        <f t="shared" si="87"/>
        <v>-8.8825113378684817E-2</v>
      </c>
      <c r="R26" s="594">
        <f t="shared" si="87"/>
        <v>7.2424694997769379E-2</v>
      </c>
      <c r="S26" s="594">
        <f t="shared" si="87"/>
        <v>0.57701149425287346</v>
      </c>
      <c r="T26" s="594">
        <f t="shared" si="87"/>
        <v>1.0995370370370461E-2</v>
      </c>
      <c r="U26" s="594">
        <f t="shared" si="87"/>
        <v>-0.11583777267955053</v>
      </c>
      <c r="V26" s="594">
        <f t="shared" si="87"/>
        <v>-8.6759147058291575E-2</v>
      </c>
      <c r="W26" s="594">
        <f t="shared" si="87"/>
        <v>-0.65836204611714821</v>
      </c>
      <c r="X26" s="594">
        <f t="shared" si="87"/>
        <v>0.24044075558099598</v>
      </c>
      <c r="Y26" s="594">
        <f t="shared" si="87"/>
        <v>0.1476383147154543</v>
      </c>
      <c r="Z26" s="594">
        <f t="shared" si="87"/>
        <v>0.96797639323483975</v>
      </c>
      <c r="AA26" s="594">
        <f t="shared" si="87"/>
        <v>3.3119989656064144</v>
      </c>
      <c r="AB26" s="594">
        <f t="shared" si="87"/>
        <v>1.0193119678826053</v>
      </c>
      <c r="AC26" s="594">
        <f t="shared" si="87"/>
        <v>1.0391645909178004</v>
      </c>
      <c r="AD26" s="594">
        <f t="shared" si="87"/>
        <v>0.31066407704461052</v>
      </c>
      <c r="AE26" s="594">
        <f t="shared" si="87"/>
        <v>0.42693933851089994</v>
      </c>
      <c r="AF26" s="594">
        <f t="shared" si="87"/>
        <v>0.29719260960477278</v>
      </c>
      <c r="AG26" s="594">
        <f t="shared" si="87"/>
        <v>6.5473953243629257E-2</v>
      </c>
      <c r="AH26" s="594">
        <f t="shared" si="87"/>
        <v>-3.3568280585371868E-2</v>
      </c>
      <c r="AI26" s="594">
        <f t="shared" si="87"/>
        <v>-0.24914367369239498</v>
      </c>
      <c r="AJ26" s="594">
        <f t="shared" si="87"/>
        <v>-8.8585295387082597E-2</v>
      </c>
      <c r="AK26" s="594">
        <f t="shared" si="87"/>
        <v>0.20860378157189419</v>
      </c>
      <c r="AL26" s="594">
        <f t="shared" si="87"/>
        <v>0.17322634464129649</v>
      </c>
      <c r="AM26" s="594">
        <f t="shared" ref="AM26:BL26" si="88">AM25/AI25-1</f>
        <v>-0.39531499258346769</v>
      </c>
      <c r="AN26" s="594">
        <f t="shared" si="88"/>
        <v>-5.2883871965362594E-2</v>
      </c>
      <c r="AO26" s="594">
        <f t="shared" si="88"/>
        <v>4.5517563445848452E-2</v>
      </c>
      <c r="AP26" s="594">
        <f t="shared" si="88"/>
        <v>0.46371060579384316</v>
      </c>
      <c r="AQ26" s="594">
        <f t="shared" si="88"/>
        <v>2.7063093585115054</v>
      </c>
      <c r="AR26" s="594">
        <f t="shared" si="88"/>
        <v>0.7642448979591836</v>
      </c>
      <c r="AS26" s="594">
        <f t="shared" si="88"/>
        <v>0.88773345244409696</v>
      </c>
      <c r="AT26" s="594">
        <f t="shared" si="88"/>
        <v>0.2585461573337291</v>
      </c>
      <c r="AU26" s="594"/>
      <c r="AV26" s="594"/>
      <c r="AW26" s="594"/>
      <c r="AX26" s="594"/>
      <c r="AY26" s="594">
        <f t="shared" si="88"/>
        <v>-0.10484567373337317</v>
      </c>
      <c r="AZ26" s="594">
        <f t="shared" si="88"/>
        <v>0.10520011610817281</v>
      </c>
      <c r="BA26" s="594">
        <f t="shared" si="88"/>
        <v>-0.11528041181251691</v>
      </c>
      <c r="BB26" s="594">
        <f t="shared" si="88"/>
        <v>0.19211036439892015</v>
      </c>
      <c r="BC26" s="594">
        <f t="shared" si="88"/>
        <v>2.2300236587041056E-2</v>
      </c>
      <c r="BD26" s="594">
        <f t="shared" si="88"/>
        <v>0.10740355132488211</v>
      </c>
      <c r="BE26" s="594">
        <f t="shared" si="88"/>
        <v>0.65269778453058191</v>
      </c>
      <c r="BF26" s="594">
        <f t="shared" si="88"/>
        <v>0.10661899584436729</v>
      </c>
      <c r="BG26" s="594">
        <f t="shared" si="88"/>
        <v>0.66390946010511231</v>
      </c>
      <c r="BH26" s="594">
        <f>BH25/BD25-1</f>
        <v>0.41907843018240198</v>
      </c>
      <c r="BI26" s="594">
        <f>BI25/BE25-1</f>
        <v>0.38406742344229938</v>
      </c>
      <c r="BJ26" s="594">
        <f t="shared" si="88"/>
        <v>0.32541169372095413</v>
      </c>
      <c r="BK26" s="594">
        <f t="shared" si="88"/>
        <v>0.39964286355234102</v>
      </c>
      <c r="BL26" s="594">
        <f t="shared" si="88"/>
        <v>-0.16007260831140679</v>
      </c>
      <c r="BM26" s="594">
        <f t="shared" ref="BM26:BV26" si="89">BM25/BI25-1</f>
        <v>-3.8499150169394536E-2</v>
      </c>
      <c r="BN26" s="594">
        <f t="shared" si="89"/>
        <v>0.16594820880768113</v>
      </c>
      <c r="BO26" s="594">
        <f t="shared" si="89"/>
        <v>-0.95424384051699263</v>
      </c>
      <c r="BP26" s="594">
        <f t="shared" si="89"/>
        <v>2.5453982040080438</v>
      </c>
      <c r="BQ26" s="594">
        <f t="shared" si="89"/>
        <v>-1.4438024141291892</v>
      </c>
      <c r="BR26" s="594">
        <f t="shared" si="89"/>
        <v>-0.3097586757002383</v>
      </c>
      <c r="BS26" s="594">
        <f t="shared" si="89"/>
        <v>-21.695390219980386</v>
      </c>
      <c r="BT26" s="594">
        <f t="shared" si="89"/>
        <v>-0.76398415257728436</v>
      </c>
      <c r="BU26" s="594">
        <f t="shared" si="89"/>
        <v>-3.0784011616570215</v>
      </c>
      <c r="BV26" s="594">
        <f t="shared" si="89"/>
        <v>0.17478841093002773</v>
      </c>
      <c r="BW26" s="594">
        <f t="shared" ref="BW26:CD26" si="90">BW25/BS25-1</f>
        <v>-2.2974008652498594</v>
      </c>
      <c r="BX26" s="594">
        <f t="shared" si="90"/>
        <v>0.86658932113760079</v>
      </c>
      <c r="BY26" s="594">
        <f t="shared" si="90"/>
        <v>0.49707965947158672</v>
      </c>
      <c r="BZ26" s="594">
        <f t="shared" si="90"/>
        <v>0.15882501109446756</v>
      </c>
      <c r="CA26" s="594">
        <f t="shared" si="90"/>
        <v>-0.75595679173407082</v>
      </c>
      <c r="CB26" s="594">
        <f t="shared" si="90"/>
        <v>-0.36263138617268054</v>
      </c>
      <c r="CC26" s="594">
        <f t="shared" si="90"/>
        <v>-0.32947855829862482</v>
      </c>
      <c r="CD26" s="594">
        <f t="shared" si="90"/>
        <v>9.35364231263347E-2</v>
      </c>
      <c r="CE26" s="594">
        <f t="shared" ref="CE26" si="91">CE25/CA25-1</f>
        <v>1.9775905572424413</v>
      </c>
      <c r="CF26" s="594">
        <f t="shared" ref="CF26" si="92">CF25/CB25-1</f>
        <v>0.37128428384849799</v>
      </c>
      <c r="CG26" s="594">
        <f t="shared" ref="CG26:CH26" si="93">CG25/CC25-1</f>
        <v>0.47636233241952097</v>
      </c>
      <c r="CH26" s="594">
        <f t="shared" si="93"/>
        <v>-7.5391304842937101E-2</v>
      </c>
      <c r="CI26" s="594">
        <f t="shared" ref="CI26" si="94">CI25/CE25-1</f>
        <v>0.58731059245960493</v>
      </c>
      <c r="CJ26" s="594">
        <f t="shared" ref="CJ26" si="95">CJ25/CF25-1</f>
        <v>0.28406839712493337</v>
      </c>
      <c r="CK26" s="594">
        <f t="shared" ref="CK26" si="96">CK25/CG25-1</f>
        <v>9.4524926938957865E-2</v>
      </c>
      <c r="CL26" s="594">
        <f t="shared" ref="CL26" si="97">CL25/CH25-1</f>
        <v>-1.0754153749661821E-2</v>
      </c>
      <c r="CM26" s="594">
        <f t="shared" ref="CM26" si="98">CM25/CI25-1</f>
        <v>-0.16609243145892927</v>
      </c>
      <c r="CN26" s="594">
        <f t="shared" ref="CN26" si="99">CN25/CJ25-1</f>
        <v>-7.6775699244277185E-2</v>
      </c>
      <c r="CO26" s="594">
        <f t="shared" ref="CO26" si="100">CO25/CK25-1</f>
        <v>-0.15301569960497718</v>
      </c>
      <c r="CP26" s="594">
        <f t="shared" ref="CP26" si="101">CP25/CL25-1</f>
        <v>0.1206869423579513</v>
      </c>
      <c r="CQ26" s="594"/>
      <c r="CR26" s="594">
        <v>-1.0754153749661821E-2</v>
      </c>
      <c r="CT26" s="594"/>
      <c r="CU26" s="594"/>
      <c r="CV26" s="594"/>
      <c r="CW26" s="594"/>
      <c r="CX26" s="594">
        <f>CX25/AO25-1</f>
        <v>0.81350325228218079</v>
      </c>
      <c r="CY26" s="594">
        <f t="shared" ref="CY26:DL26" si="102">CY25/CX25-1</f>
        <v>6.8271206791714611E-3</v>
      </c>
      <c r="CZ26" s="594">
        <f t="shared" si="102"/>
        <v>0.34959865453711481</v>
      </c>
      <c r="DA26" s="594">
        <f t="shared" si="102"/>
        <v>0.72380353572258005</v>
      </c>
      <c r="DB26" s="594">
        <f t="shared" si="102"/>
        <v>0.1293366894276462</v>
      </c>
      <c r="DC26" s="594">
        <f t="shared" si="102"/>
        <v>3.4095471977001912E-2</v>
      </c>
      <c r="DD26" s="594">
        <f t="shared" si="102"/>
        <v>0.1463140123804163</v>
      </c>
      <c r="DE26" s="594"/>
      <c r="DF26" s="594">
        <f t="shared" si="102"/>
        <v>-0.12330784359625024</v>
      </c>
      <c r="DG26" s="594">
        <f t="shared" si="102"/>
        <v>7.985226159375447E-2</v>
      </c>
      <c r="DH26" s="594">
        <f t="shared" si="102"/>
        <v>0.17217547115476917</v>
      </c>
      <c r="DI26" s="594">
        <f t="shared" si="102"/>
        <v>0.39233590017470066</v>
      </c>
      <c r="DJ26" s="594">
        <f t="shared" si="102"/>
        <v>6.4762237036600112E-2</v>
      </c>
      <c r="DK26" s="594">
        <f t="shared" si="102"/>
        <v>9.2395252084556123E-3</v>
      </c>
      <c r="DL26" s="594">
        <f t="shared" si="102"/>
        <v>-0.42220706158054777</v>
      </c>
      <c r="DM26" s="594">
        <f t="shared" ref="DM26:DR26" si="103">DM25/DL25-1</f>
        <v>1.0393191147181873</v>
      </c>
      <c r="DN26" s="594">
        <f t="shared" si="103"/>
        <v>-0.24420784034720056</v>
      </c>
      <c r="DO26" s="594">
        <f t="shared" si="103"/>
        <v>0.22576898138711132</v>
      </c>
      <c r="DP26" s="594">
        <f t="shared" si="103"/>
        <v>0.15889947790538872</v>
      </c>
      <c r="DQ26" s="594">
        <f t="shared" si="103"/>
        <v>-3.7751154837727507E-2</v>
      </c>
      <c r="DR26" s="594">
        <f t="shared" si="103"/>
        <v>0.34492752323191489</v>
      </c>
      <c r="DS26" s="594">
        <f t="shared" ref="DS26" si="104">DS25/DR25-1</f>
        <v>0.14782045572743008</v>
      </c>
      <c r="DT26" s="594">
        <f t="shared" ref="DT26" si="105">DT25/DS25-1</f>
        <v>0.10991099799184956</v>
      </c>
      <c r="DU26" s="594">
        <f t="shared" ref="DU26" si="106">DU25/DT25-1</f>
        <v>0.10012739177702579</v>
      </c>
      <c r="DX26" s="594">
        <v>1.5535854396720339E-2</v>
      </c>
      <c r="DY26" s="594">
        <v>0.26811560747033636</v>
      </c>
    </row>
    <row r="27" spans="1:129" s="904" customFormat="1">
      <c r="A27" s="953"/>
      <c r="B27" s="594"/>
      <c r="C27" s="594"/>
      <c r="D27" s="594"/>
      <c r="E27" s="594"/>
      <c r="F27" s="594"/>
      <c r="G27" s="594"/>
      <c r="H27" s="594"/>
      <c r="I27" s="594"/>
      <c r="J27" s="594"/>
      <c r="K27" s="594"/>
      <c r="L27" s="594"/>
      <c r="M27" s="594"/>
      <c r="N27" s="594"/>
      <c r="O27" s="594"/>
      <c r="P27" s="594"/>
      <c r="Q27" s="594"/>
      <c r="R27" s="594"/>
      <c r="S27" s="594"/>
      <c r="T27" s="594"/>
      <c r="U27" s="594"/>
      <c r="V27" s="594"/>
      <c r="W27" s="594"/>
      <c r="X27" s="594"/>
      <c r="Y27" s="594"/>
      <c r="Z27" s="594"/>
      <c r="AA27" s="594"/>
      <c r="AB27" s="594"/>
      <c r="AC27" s="594"/>
      <c r="AD27" s="594"/>
      <c r="AE27" s="594"/>
      <c r="AF27" s="594"/>
      <c r="AG27" s="594"/>
      <c r="AH27" s="594"/>
      <c r="AI27" s="594"/>
      <c r="AJ27" s="594"/>
      <c r="AK27" s="594"/>
      <c r="AL27" s="594"/>
      <c r="AM27" s="594"/>
      <c r="AN27" s="594"/>
      <c r="AO27" s="594"/>
      <c r="AP27" s="594"/>
      <c r="AQ27" s="594"/>
      <c r="AR27" s="594"/>
      <c r="AS27" s="594"/>
      <c r="AT27" s="594"/>
      <c r="AU27" s="594"/>
      <c r="AV27" s="594"/>
      <c r="AW27" s="594"/>
      <c r="AX27" s="594"/>
      <c r="AY27" s="594"/>
      <c r="AZ27" s="594"/>
      <c r="BA27" s="594"/>
      <c r="BB27" s="594"/>
      <c r="BC27" s="594"/>
      <c r="BD27" s="594"/>
      <c r="BE27" s="594"/>
      <c r="BF27" s="594"/>
      <c r="BG27" s="594"/>
      <c r="BH27" s="594"/>
      <c r="BI27" s="594"/>
      <c r="BJ27" s="594"/>
      <c r="BK27" s="594"/>
      <c r="BL27" s="594"/>
      <c r="BM27" s="594"/>
      <c r="BN27" s="594"/>
      <c r="BO27" s="594"/>
      <c r="BP27" s="594"/>
      <c r="BQ27" s="594"/>
      <c r="BR27" s="594"/>
      <c r="BS27" s="594"/>
      <c r="BT27" s="594"/>
      <c r="BU27" s="594"/>
      <c r="BV27" s="594"/>
      <c r="BW27" s="594"/>
      <c r="BX27" s="594"/>
      <c r="BY27" s="594"/>
      <c r="BZ27" s="594"/>
      <c r="CA27" s="594"/>
      <c r="CB27" s="594"/>
      <c r="CC27" s="594"/>
      <c r="CD27" s="594"/>
      <c r="CE27" s="594"/>
      <c r="CF27" s="594"/>
      <c r="CG27" s="594"/>
      <c r="CH27" s="594"/>
      <c r="CI27" s="594"/>
      <c r="CJ27" s="594"/>
      <c r="CK27" s="594"/>
      <c r="CL27" s="594"/>
      <c r="CM27" s="594"/>
      <c r="CN27" s="594"/>
      <c r="CO27" s="594"/>
      <c r="CP27" s="594"/>
      <c r="CQ27" s="594"/>
      <c r="CR27" s="594"/>
      <c r="CT27" s="594"/>
      <c r="CU27" s="594"/>
      <c r="CV27" s="594"/>
      <c r="CW27" s="594"/>
      <c r="CX27" s="594"/>
      <c r="CY27" s="594"/>
      <c r="CZ27" s="594"/>
      <c r="DA27" s="594"/>
      <c r="DB27" s="594"/>
      <c r="DC27" s="594"/>
      <c r="DD27" s="594"/>
      <c r="DE27" s="594"/>
      <c r="DF27" s="594"/>
      <c r="DG27" s="594"/>
      <c r="DH27" s="594"/>
      <c r="DI27" s="594"/>
      <c r="DJ27" s="594"/>
      <c r="DK27" s="594"/>
      <c r="DL27" s="594"/>
      <c r="DM27" s="594"/>
      <c r="DN27" s="594"/>
      <c r="DO27" s="594"/>
      <c r="DP27" s="594"/>
      <c r="DQ27" s="594"/>
      <c r="DR27" s="594"/>
      <c r="DS27" s="594"/>
      <c r="DT27" s="594"/>
      <c r="DU27" s="594"/>
      <c r="DX27" s="594"/>
      <c r="DY27" s="594"/>
    </row>
    <row r="28" spans="1:129" s="904" customFormat="1">
      <c r="A28" s="953"/>
      <c r="B28" s="594"/>
      <c r="C28" s="594"/>
      <c r="D28" s="594"/>
      <c r="E28" s="594"/>
      <c r="F28" s="594"/>
      <c r="G28" s="594"/>
      <c r="H28" s="594"/>
      <c r="I28" s="594"/>
      <c r="J28" s="594"/>
      <c r="K28" s="594"/>
      <c r="L28" s="594"/>
      <c r="M28" s="594"/>
      <c r="N28" s="594"/>
      <c r="O28" s="594"/>
      <c r="P28" s="594"/>
      <c r="Q28" s="594"/>
      <c r="R28" s="594"/>
      <c r="S28" s="594"/>
      <c r="T28" s="594"/>
      <c r="U28" s="594"/>
      <c r="V28" s="594"/>
      <c r="W28" s="594"/>
      <c r="X28" s="594"/>
      <c r="Y28" s="594"/>
      <c r="Z28" s="594"/>
      <c r="AA28" s="594"/>
      <c r="AB28" s="594"/>
      <c r="AC28" s="594"/>
      <c r="AD28" s="594"/>
      <c r="AE28" s="594"/>
      <c r="AF28" s="594"/>
      <c r="AG28" s="594"/>
      <c r="AH28" s="594"/>
      <c r="AI28" s="594"/>
      <c r="AJ28" s="594"/>
      <c r="AK28" s="594"/>
      <c r="AL28" s="594"/>
      <c r="AM28" s="594"/>
      <c r="AN28" s="594"/>
      <c r="AO28" s="594"/>
      <c r="AP28" s="594"/>
      <c r="AQ28" s="594"/>
      <c r="AR28" s="594"/>
      <c r="AS28" s="594"/>
      <c r="AT28" s="594"/>
      <c r="AU28" s="594"/>
      <c r="AV28" s="594"/>
      <c r="AW28" s="594"/>
      <c r="AX28" s="594"/>
      <c r="AY28" s="594"/>
      <c r="AZ28" s="594"/>
      <c r="BA28" s="594"/>
      <c r="BB28" s="594"/>
      <c r="BC28" s="594"/>
      <c r="BD28" s="594"/>
      <c r="BE28" s="594"/>
      <c r="BF28" s="594"/>
      <c r="BG28" s="594"/>
      <c r="BH28" s="594"/>
      <c r="BI28" s="594"/>
      <c r="BJ28" s="594"/>
      <c r="BK28" s="594"/>
      <c r="BL28" s="594"/>
      <c r="BM28" s="594"/>
      <c r="BN28" s="594"/>
      <c r="BO28" s="594"/>
      <c r="BP28" s="594"/>
      <c r="BQ28" s="594"/>
      <c r="BR28" s="594"/>
      <c r="BS28" s="594"/>
      <c r="BT28" s="594"/>
      <c r="BU28" s="594"/>
      <c r="BV28" s="594"/>
      <c r="BW28" s="594"/>
      <c r="BX28" s="594"/>
      <c r="BY28" s="594"/>
      <c r="BZ28" s="594"/>
      <c r="CA28" s="594"/>
      <c r="CB28" s="594"/>
      <c r="CC28" s="594"/>
      <c r="CD28" s="594"/>
      <c r="CE28" s="594"/>
      <c r="CF28" s="594"/>
      <c r="CG28" s="594"/>
      <c r="CH28" s="594"/>
      <c r="CI28" s="594"/>
      <c r="CJ28" s="594"/>
      <c r="CK28" s="594"/>
      <c r="CL28" s="594"/>
      <c r="CM28" s="594"/>
      <c r="CN28" s="594"/>
      <c r="CO28" s="594"/>
      <c r="CP28" s="594"/>
      <c r="CQ28" s="594"/>
      <c r="CR28" s="594"/>
      <c r="CT28" s="594"/>
      <c r="CU28" s="594"/>
      <c r="CV28" s="594"/>
      <c r="CW28" s="594"/>
      <c r="CX28" s="594"/>
      <c r="CY28" s="594"/>
      <c r="CZ28" s="594"/>
      <c r="DA28" s="594"/>
      <c r="DB28" s="594"/>
      <c r="DC28" s="594"/>
      <c r="DD28" s="594"/>
      <c r="DE28" s="594"/>
      <c r="DF28" s="594"/>
      <c r="DG28" s="594"/>
      <c r="DH28" s="594"/>
      <c r="DI28" s="594"/>
      <c r="DJ28" s="594"/>
      <c r="DK28" s="1949">
        <f>+FAT!DL108</f>
        <v>-22526</v>
      </c>
      <c r="DL28" s="1949">
        <f>+FAT!DM108</f>
        <v>-217333</v>
      </c>
      <c r="DM28" s="1949">
        <f>+FAT!DN108</f>
        <v>-13644</v>
      </c>
      <c r="DN28" s="1949">
        <f>+FAT!DO108</f>
        <v>-25692</v>
      </c>
      <c r="DO28" s="1949">
        <f>+FAT!DP108</f>
        <v>-150702</v>
      </c>
      <c r="DP28" s="1949">
        <f>+FAT!DQ108</f>
        <v>-163888.62610195615</v>
      </c>
      <c r="DQ28" s="1949">
        <f>+FAT!DR108</f>
        <v>-175227.46379980969</v>
      </c>
      <c r="DR28" s="1949">
        <f>+FAT!DS108</f>
        <v>-189870.59144354032</v>
      </c>
      <c r="DS28" s="1949">
        <f>+FAT!DT108</f>
        <v>-202828.13849779996</v>
      </c>
      <c r="DT28" s="1949">
        <f>+FAT!DU108</f>
        <v>-216670.28761867911</v>
      </c>
      <c r="DU28" s="1949">
        <f>+FAT!DV108</f>
        <v>-231445.92217453831</v>
      </c>
      <c r="DX28" s="594">
        <v>-178603.93324354867</v>
      </c>
      <c r="DY28" s="594">
        <v>-192758.66546331486</v>
      </c>
    </row>
    <row r="29" spans="1:129" s="904" customFormat="1">
      <c r="A29" s="953"/>
      <c r="B29" s="594"/>
      <c r="C29" s="594"/>
      <c r="D29" s="594"/>
      <c r="E29" s="594"/>
      <c r="F29" s="594"/>
      <c r="G29" s="594"/>
      <c r="H29" s="594"/>
      <c r="I29" s="594"/>
      <c r="J29" s="594"/>
      <c r="K29" s="594"/>
      <c r="L29" s="594"/>
      <c r="M29" s="594"/>
      <c r="N29" s="594"/>
      <c r="O29" s="594"/>
      <c r="P29" s="594"/>
      <c r="Q29" s="594"/>
      <c r="R29" s="594"/>
      <c r="S29" s="594"/>
      <c r="T29" s="594"/>
      <c r="U29" s="594"/>
      <c r="V29" s="594"/>
      <c r="W29" s="594"/>
      <c r="X29" s="594"/>
      <c r="Y29" s="594"/>
      <c r="Z29" s="594"/>
      <c r="AA29" s="594"/>
      <c r="AB29" s="594"/>
      <c r="AC29" s="594"/>
      <c r="AD29" s="594"/>
      <c r="AE29" s="594"/>
      <c r="AF29" s="594"/>
      <c r="AG29" s="594"/>
      <c r="AH29" s="594"/>
      <c r="AI29" s="594"/>
      <c r="AJ29" s="594"/>
      <c r="AK29" s="594"/>
      <c r="AL29" s="594"/>
      <c r="AM29" s="594"/>
      <c r="AN29" s="594"/>
      <c r="AO29" s="594"/>
      <c r="AP29" s="594"/>
      <c r="AQ29" s="594"/>
      <c r="AR29" s="594"/>
      <c r="AS29" s="594"/>
      <c r="AT29" s="594"/>
      <c r="AU29" s="594"/>
      <c r="AV29" s="594"/>
      <c r="AW29" s="594"/>
      <c r="AX29" s="594"/>
      <c r="AY29" s="594"/>
      <c r="AZ29" s="594"/>
      <c r="BA29" s="594"/>
      <c r="BB29" s="594"/>
      <c r="BC29" s="594"/>
      <c r="BD29" s="594"/>
      <c r="BE29" s="594"/>
      <c r="BF29" s="594"/>
      <c r="BG29" s="594"/>
      <c r="BH29" s="594"/>
      <c r="BI29" s="594"/>
      <c r="BJ29" s="594"/>
      <c r="BK29" s="594"/>
      <c r="BL29" s="594"/>
      <c r="BM29" s="594"/>
      <c r="BN29" s="594"/>
      <c r="BO29" s="594"/>
      <c r="BP29" s="594"/>
      <c r="BQ29" s="594"/>
      <c r="BR29" s="594"/>
      <c r="BS29" s="594"/>
      <c r="BT29" s="594"/>
      <c r="BU29" s="594"/>
      <c r="BV29" s="594"/>
      <c r="BW29" s="594"/>
      <c r="BX29" s="594"/>
      <c r="BY29" s="594"/>
      <c r="BZ29" s="594"/>
      <c r="CA29" s="594"/>
      <c r="CB29" s="594"/>
      <c r="CC29" s="594"/>
      <c r="CD29" s="594"/>
      <c r="CE29" s="594"/>
      <c r="CF29" s="594"/>
      <c r="CG29" s="594"/>
      <c r="CH29" s="594"/>
      <c r="CI29" s="594"/>
      <c r="CJ29" s="594"/>
      <c r="CK29" s="594"/>
      <c r="CL29" s="594"/>
      <c r="CM29" s="594"/>
      <c r="CN29" s="594"/>
      <c r="CO29" s="594"/>
      <c r="CP29" s="594"/>
      <c r="CQ29" s="594"/>
      <c r="CR29" s="594"/>
      <c r="CT29" s="594"/>
      <c r="CU29" s="594"/>
      <c r="CV29" s="594"/>
      <c r="CW29" s="594"/>
      <c r="CX29" s="594"/>
      <c r="CY29" s="594"/>
      <c r="CZ29" s="594"/>
      <c r="DA29" s="594"/>
      <c r="DB29" s="594"/>
      <c r="DC29" s="594"/>
      <c r="DD29" s="594"/>
      <c r="DE29" s="594"/>
      <c r="DF29" s="594"/>
      <c r="DG29" s="594"/>
      <c r="DH29" s="594"/>
      <c r="DI29" s="594"/>
      <c r="DJ29" s="594"/>
      <c r="DK29" s="594">
        <f t="shared" ref="DK29:DP29" si="107">+DK28/DK25</f>
        <v>-2.0548438798473692E-2</v>
      </c>
      <c r="DL29" s="594">
        <f t="shared" si="107"/>
        <v>-0.34312170921570034</v>
      </c>
      <c r="DM29" s="594">
        <f t="shared" si="107"/>
        <v>-1.0562799652861377E-2</v>
      </c>
      <c r="DN29" s="594">
        <f t="shared" si="107"/>
        <v>-2.6316786836280127E-2</v>
      </c>
      <c r="DO29" s="594">
        <f t="shared" si="107"/>
        <v>-0.12593467862431351</v>
      </c>
      <c r="DP29" s="594">
        <f t="shared" si="107"/>
        <v>-0.1181760227410409</v>
      </c>
      <c r="DQ29" s="594">
        <f t="shared" ref="DQ29" si="108">+DQ28/DQ25</f>
        <v>-0.13130925327757326</v>
      </c>
      <c r="DR29" s="594">
        <f t="shared" ref="DR29:DU29" si="109">+DR28/DR25</f>
        <v>-0.1057917931546471</v>
      </c>
      <c r="DS29" s="594">
        <f t="shared" si="109"/>
        <v>-9.8457435552254419E-2</v>
      </c>
      <c r="DT29" s="594">
        <f t="shared" si="109"/>
        <v>-9.4761411279488006E-2</v>
      </c>
      <c r="DU29" s="594">
        <f t="shared" si="109"/>
        <v>-9.201078064656365E-2</v>
      </c>
      <c r="DX29" s="594">
        <v>-0.11749577921278245</v>
      </c>
      <c r="DY29" s="594">
        <v>-9.9996847851238288E-2</v>
      </c>
    </row>
    <row r="30" spans="1:129" s="904" customFormat="1">
      <c r="A30" s="953"/>
      <c r="B30" s="594"/>
      <c r="C30" s="594"/>
      <c r="D30" s="594"/>
      <c r="E30" s="594"/>
      <c r="F30" s="594"/>
      <c r="G30" s="594"/>
      <c r="H30" s="594"/>
      <c r="I30" s="594"/>
      <c r="J30" s="594"/>
      <c r="K30" s="594"/>
      <c r="L30" s="594"/>
      <c r="M30" s="594"/>
      <c r="N30" s="594"/>
      <c r="O30" s="594"/>
      <c r="P30" s="594"/>
      <c r="Q30" s="594"/>
      <c r="R30" s="594"/>
      <c r="S30" s="594"/>
      <c r="T30" s="594"/>
      <c r="U30" s="594"/>
      <c r="V30" s="594"/>
      <c r="W30" s="594"/>
      <c r="X30" s="594"/>
      <c r="Y30" s="594"/>
      <c r="Z30" s="594"/>
      <c r="AA30" s="594"/>
      <c r="AB30" s="594"/>
      <c r="AC30" s="594"/>
      <c r="AD30" s="594"/>
      <c r="AE30" s="594"/>
      <c r="AF30" s="594"/>
      <c r="AG30" s="594"/>
      <c r="AH30" s="594"/>
      <c r="AI30" s="594"/>
      <c r="AJ30" s="594"/>
      <c r="AK30" s="594"/>
      <c r="AL30" s="594"/>
      <c r="AM30" s="594"/>
      <c r="AN30" s="594"/>
      <c r="AO30" s="594"/>
      <c r="AP30" s="594"/>
      <c r="AQ30" s="594"/>
      <c r="AR30" s="594"/>
      <c r="AS30" s="594"/>
      <c r="AT30" s="594"/>
      <c r="AU30" s="594"/>
      <c r="AV30" s="594"/>
      <c r="AW30" s="594"/>
      <c r="AX30" s="594"/>
      <c r="AY30" s="594"/>
      <c r="AZ30" s="594"/>
      <c r="BA30" s="594"/>
      <c r="BB30" s="594"/>
      <c r="BC30" s="594"/>
      <c r="BD30" s="594"/>
      <c r="BE30" s="594"/>
      <c r="BF30" s="594"/>
      <c r="BG30" s="594"/>
      <c r="BH30" s="594"/>
      <c r="BI30" s="594"/>
      <c r="BJ30" s="594"/>
      <c r="BK30" s="594"/>
      <c r="BL30" s="594"/>
      <c r="BM30" s="594"/>
      <c r="BN30" s="594"/>
      <c r="BO30" s="594"/>
      <c r="BP30" s="594"/>
      <c r="BQ30" s="594"/>
      <c r="BR30" s="594"/>
      <c r="BS30" s="594"/>
      <c r="BT30" s="594"/>
      <c r="BU30" s="594"/>
      <c r="BV30" s="594"/>
      <c r="BW30" s="594"/>
      <c r="BX30" s="594"/>
      <c r="BY30" s="594"/>
      <c r="BZ30" s="594"/>
      <c r="CA30" s="594"/>
      <c r="CB30" s="594"/>
      <c r="CC30" s="594"/>
      <c r="CD30" s="594"/>
      <c r="CE30" s="594"/>
      <c r="CF30" s="594"/>
      <c r="CG30" s="594"/>
      <c r="CH30" s="594"/>
      <c r="CI30" s="594"/>
      <c r="CJ30" s="594"/>
      <c r="CK30" s="594"/>
      <c r="CL30" s="594"/>
      <c r="CM30" s="594"/>
      <c r="CN30" s="594"/>
      <c r="CO30" s="594"/>
      <c r="CP30" s="594"/>
      <c r="CQ30" s="594"/>
      <c r="CR30" s="594"/>
      <c r="CT30" s="594"/>
      <c r="CU30" s="594"/>
      <c r="CV30" s="594"/>
      <c r="CW30" s="594"/>
      <c r="CX30" s="594"/>
      <c r="CY30" s="594"/>
      <c r="CZ30" s="594"/>
      <c r="DA30" s="594"/>
      <c r="DB30" s="594"/>
      <c r="DC30" s="594"/>
      <c r="DD30" s="594"/>
      <c r="DE30" s="594"/>
      <c r="DF30" s="594"/>
      <c r="DG30" s="594"/>
      <c r="DH30" s="594"/>
      <c r="DI30" s="594"/>
      <c r="DJ30" s="594"/>
      <c r="DK30" s="594"/>
      <c r="DL30" s="594"/>
      <c r="DM30" s="594"/>
      <c r="DN30" s="594"/>
      <c r="DO30" s="594"/>
      <c r="DP30" s="594"/>
      <c r="DQ30" s="594"/>
      <c r="DR30" s="594"/>
      <c r="DS30" s="594"/>
      <c r="DT30" s="594"/>
      <c r="DU30" s="594"/>
      <c r="DX30" s="594"/>
      <c r="DY30" s="594"/>
    </row>
    <row r="31" spans="1:129" s="904" customFormat="1">
      <c r="A31" s="939"/>
      <c r="B31" s="949" t="s">
        <v>346</v>
      </c>
      <c r="C31" s="952">
        <v>0</v>
      </c>
      <c r="D31" s="952">
        <v>0</v>
      </c>
      <c r="E31" s="952">
        <v>0</v>
      </c>
      <c r="F31" s="952">
        <v>0</v>
      </c>
      <c r="G31" s="952">
        <v>0</v>
      </c>
      <c r="H31" s="952">
        <v>0</v>
      </c>
      <c r="I31" s="952">
        <v>0</v>
      </c>
      <c r="J31" s="952">
        <v>0</v>
      </c>
      <c r="K31" s="952">
        <v>0</v>
      </c>
      <c r="L31" s="952">
        <v>-1748</v>
      </c>
      <c r="M31" s="952">
        <v>0</v>
      </c>
      <c r="N31" s="952">
        <v>-2332</v>
      </c>
      <c r="O31" s="952">
        <v>0</v>
      </c>
      <c r="P31" s="952">
        <v>0</v>
      </c>
      <c r="Q31" s="952">
        <v>0</v>
      </c>
      <c r="R31" s="952">
        <v>0</v>
      </c>
      <c r="S31" s="952">
        <v>0</v>
      </c>
      <c r="T31" s="952">
        <v>0</v>
      </c>
      <c r="U31" s="952">
        <v>0</v>
      </c>
      <c r="V31" s="952">
        <v>0</v>
      </c>
      <c r="W31" s="952">
        <v>0</v>
      </c>
      <c r="X31" s="952">
        <v>0</v>
      </c>
      <c r="Y31" s="952">
        <v>0</v>
      </c>
      <c r="Z31" s="952">
        <v>0</v>
      </c>
      <c r="AA31" s="952">
        <v>0</v>
      </c>
      <c r="AB31" s="952">
        <v>0</v>
      </c>
      <c r="AC31" s="952">
        <v>0</v>
      </c>
      <c r="AD31" s="952">
        <v>0</v>
      </c>
      <c r="AE31" s="952">
        <v>0</v>
      </c>
      <c r="AF31" s="952">
        <v>0</v>
      </c>
      <c r="AG31" s="952">
        <v>0</v>
      </c>
      <c r="AH31" s="952">
        <v>0</v>
      </c>
      <c r="AI31" s="952">
        <v>0</v>
      </c>
      <c r="AJ31" s="952">
        <v>0</v>
      </c>
      <c r="AK31" s="952">
        <v>0</v>
      </c>
      <c r="AL31" s="952">
        <v>0</v>
      </c>
      <c r="AM31" s="952">
        <v>0</v>
      </c>
      <c r="AN31" s="952">
        <v>0</v>
      </c>
      <c r="AO31" s="952">
        <v>0</v>
      </c>
      <c r="AP31" s="952">
        <v>0</v>
      </c>
      <c r="AQ31" s="952">
        <v>0</v>
      </c>
      <c r="AR31" s="952">
        <v>0</v>
      </c>
      <c r="AS31" s="952">
        <v>0</v>
      </c>
      <c r="AT31" s="952">
        <v>0</v>
      </c>
      <c r="AU31" s="952">
        <v>-378.03440999999998</v>
      </c>
      <c r="AV31" s="952">
        <v>-1057</v>
      </c>
      <c r="AW31" s="952">
        <v>-144</v>
      </c>
      <c r="AX31" s="952">
        <v>-11179.14905</v>
      </c>
      <c r="AY31" s="952">
        <v>-154</v>
      </c>
      <c r="AZ31" s="952">
        <v>-962</v>
      </c>
      <c r="BA31" s="952">
        <v>-12228</v>
      </c>
      <c r="BB31" s="952">
        <v>-8035</v>
      </c>
      <c r="BC31" s="952">
        <v>-431</v>
      </c>
      <c r="BD31" s="952">
        <v>-725</v>
      </c>
      <c r="BE31" s="952">
        <v>-3411</v>
      </c>
      <c r="BF31" s="952">
        <v>-16783</v>
      </c>
      <c r="BG31" s="952">
        <v>-523</v>
      </c>
      <c r="BH31" s="952">
        <v>-1220.03514</v>
      </c>
      <c r="BI31" s="952">
        <v>-1268.56825</v>
      </c>
      <c r="BJ31" s="952">
        <v>-3119</v>
      </c>
      <c r="BK31" s="952">
        <v>-500</v>
      </c>
      <c r="BL31" s="952">
        <v>-289</v>
      </c>
      <c r="BM31" s="952">
        <v>-1926</v>
      </c>
      <c r="BN31" s="952">
        <v>-21053</v>
      </c>
      <c r="BO31" s="952">
        <v>168</v>
      </c>
      <c r="BP31" s="952">
        <v>-9905</v>
      </c>
      <c r="BQ31" s="952">
        <v>-10240</v>
      </c>
      <c r="BR31" s="952">
        <v>0</v>
      </c>
      <c r="BS31" s="952">
        <v>67</v>
      </c>
      <c r="BT31" s="952">
        <v>-228</v>
      </c>
      <c r="BU31" s="952">
        <v>84</v>
      </c>
      <c r="BV31" s="952">
        <v>-8917</v>
      </c>
      <c r="BW31" s="952"/>
      <c r="BX31" s="952"/>
      <c r="BY31" s="952"/>
      <c r="BZ31" s="952"/>
      <c r="CA31" s="952"/>
      <c r="CB31" s="952"/>
      <c r="CC31" s="952"/>
      <c r="CD31" s="952"/>
      <c r="CE31" s="952"/>
      <c r="CF31" s="952"/>
      <c r="CG31" s="952"/>
      <c r="CH31" s="952"/>
      <c r="CI31" s="952"/>
      <c r="CJ31" s="952"/>
      <c r="CK31" s="952"/>
      <c r="CL31" s="595"/>
      <c r="CM31" s="595"/>
      <c r="CN31" s="595"/>
      <c r="CO31" s="595"/>
      <c r="CP31" s="595"/>
      <c r="CQ31" s="595"/>
      <c r="CR31" s="595"/>
      <c r="CT31" s="948"/>
      <c r="CU31" s="948"/>
      <c r="CV31" s="948"/>
      <c r="CW31" s="948"/>
      <c r="CX31" s="592">
        <f>+SUM(O31:R31)</f>
        <v>0</v>
      </c>
      <c r="CY31" s="942">
        <f>SUM(S31:V31)</f>
        <v>0</v>
      </c>
      <c r="CZ31" s="942">
        <f>SUM(W31:Z31)</f>
        <v>0</v>
      </c>
      <c r="DA31" s="942">
        <f>SUM(AA31:AD31)</f>
        <v>0</v>
      </c>
      <c r="DB31" s="942">
        <f>SUM(AE31:AH31)</f>
        <v>0</v>
      </c>
      <c r="DC31" s="939">
        <f>+SUM(AI31:AL31)</f>
        <v>0</v>
      </c>
      <c r="DD31" s="939">
        <f>+SUM(AM31:AP31)</f>
        <v>0</v>
      </c>
      <c r="DE31" s="939">
        <f>+SUM(AQ31:AT31)</f>
        <v>0</v>
      </c>
      <c r="DF31" s="939">
        <f>+SUM(AU31:AX31)</f>
        <v>-12758.18346</v>
      </c>
      <c r="DG31" s="939">
        <f>+SUM(AY31:BB31)</f>
        <v>-21379</v>
      </c>
      <c r="DH31" s="939">
        <f>+SUM(BC31:BF31)</f>
        <v>-21350</v>
      </c>
      <c r="DI31" s="939">
        <f>+SUM(BG31:BJ31)</f>
        <v>-6130.6033900000002</v>
      </c>
      <c r="DJ31" s="939">
        <f>+SUM(BK31:BN31)</f>
        <v>-23768</v>
      </c>
      <c r="DK31" s="939">
        <f>+SUM(BO31:BR31)</f>
        <v>-19977</v>
      </c>
      <c r="DL31" s="939">
        <f>+SUM(BS31:BV31)</f>
        <v>-8994</v>
      </c>
      <c r="DM31" s="939">
        <f>+SUM(BW31:BZ31)</f>
        <v>0</v>
      </c>
      <c r="DN31" s="939">
        <f>+SUM(CA31:CD31)</f>
        <v>0</v>
      </c>
      <c r="DO31" s="939">
        <f>+SUM(CE31:CH31)</f>
        <v>0</v>
      </c>
      <c r="DP31" s="939">
        <f>+SUM(CI31:CL31)</f>
        <v>0</v>
      </c>
      <c r="DQ31" s="939">
        <f>+SUM(CM31:CP31)</f>
        <v>0</v>
      </c>
      <c r="DR31" s="595">
        <f>DQ31*1.04</f>
        <v>0</v>
      </c>
      <c r="DS31" s="595">
        <f t="shared" ref="DS31:DU31" si="110">DR31*1.04</f>
        <v>0</v>
      </c>
      <c r="DT31" s="595">
        <f t="shared" si="110"/>
        <v>0</v>
      </c>
      <c r="DU31" s="595">
        <f t="shared" si="110"/>
        <v>0</v>
      </c>
      <c r="DX31" s="595">
        <v>0</v>
      </c>
      <c r="DY31" s="595">
        <v>0</v>
      </c>
    </row>
    <row r="32" spans="1:129" s="904" customFormat="1">
      <c r="A32" s="939"/>
      <c r="B32" s="949" t="s">
        <v>347</v>
      </c>
      <c r="C32" s="952"/>
      <c r="D32" s="952"/>
      <c r="E32" s="952">
        <v>0</v>
      </c>
      <c r="F32" s="952">
        <v>0</v>
      </c>
      <c r="G32" s="952">
        <v>0</v>
      </c>
      <c r="H32" s="952">
        <v>908</v>
      </c>
      <c r="I32" s="952">
        <v>504</v>
      </c>
      <c r="J32" s="952">
        <v>-3078</v>
      </c>
      <c r="K32" s="952">
        <v>0</v>
      </c>
      <c r="L32" s="952">
        <v>0</v>
      </c>
      <c r="M32" s="952">
        <v>0</v>
      </c>
      <c r="N32" s="952">
        <v>-4329</v>
      </c>
      <c r="O32" s="952">
        <v>0</v>
      </c>
      <c r="P32" s="952">
        <v>0</v>
      </c>
      <c r="Q32" s="952">
        <v>0</v>
      </c>
      <c r="R32" s="952">
        <v>-5368</v>
      </c>
      <c r="S32" s="952">
        <v>0</v>
      </c>
      <c r="T32" s="952">
        <v>0</v>
      </c>
      <c r="U32" s="952">
        <v>0</v>
      </c>
      <c r="V32" s="952">
        <v>-2735</v>
      </c>
      <c r="W32" s="952">
        <v>0</v>
      </c>
      <c r="X32" s="952">
        <v>0</v>
      </c>
      <c r="Y32" s="952">
        <v>0</v>
      </c>
      <c r="Z32" s="952">
        <v>0</v>
      </c>
      <c r="AA32" s="952">
        <v>0</v>
      </c>
      <c r="AB32" s="952">
        <v>0</v>
      </c>
      <c r="AC32" s="952">
        <v>0</v>
      </c>
      <c r="AD32" s="952">
        <v>0</v>
      </c>
      <c r="AE32" s="952">
        <v>0</v>
      </c>
      <c r="AF32" s="952">
        <v>0</v>
      </c>
      <c r="AG32" s="952">
        <v>0</v>
      </c>
      <c r="AH32" s="952">
        <v>0</v>
      </c>
      <c r="AI32" s="952">
        <v>0</v>
      </c>
      <c r="AJ32" s="952">
        <v>0</v>
      </c>
      <c r="AK32" s="952">
        <v>0</v>
      </c>
      <c r="AL32" s="952">
        <v>0</v>
      </c>
      <c r="AM32" s="952">
        <v>0</v>
      </c>
      <c r="AN32" s="952">
        <v>0</v>
      </c>
      <c r="AO32" s="952">
        <v>0</v>
      </c>
      <c r="AP32" s="952">
        <v>0</v>
      </c>
      <c r="AQ32" s="952">
        <v>0</v>
      </c>
      <c r="AR32" s="952">
        <v>0</v>
      </c>
      <c r="AS32" s="952">
        <v>0</v>
      </c>
      <c r="AT32" s="952"/>
      <c r="AU32" s="952"/>
      <c r="AV32" s="952"/>
      <c r="AW32" s="952"/>
      <c r="AX32" s="952"/>
      <c r="AY32" s="952"/>
      <c r="AZ32" s="952"/>
      <c r="BA32" s="952"/>
      <c r="BB32" s="952"/>
      <c r="BC32" s="952"/>
      <c r="BD32" s="952"/>
      <c r="BE32" s="952"/>
      <c r="BF32" s="952">
        <v>-10551</v>
      </c>
      <c r="BG32" s="952"/>
      <c r="BH32" s="952"/>
      <c r="BI32" s="952"/>
      <c r="BJ32" s="952"/>
      <c r="BK32" s="952"/>
      <c r="BL32" s="952"/>
      <c r="BM32" s="952"/>
      <c r="BN32" s="952">
        <v>-5855</v>
      </c>
      <c r="BO32" s="952">
        <v>0</v>
      </c>
      <c r="BP32" s="952">
        <v>517</v>
      </c>
      <c r="BQ32" s="952">
        <v>0</v>
      </c>
      <c r="BR32" s="952"/>
      <c r="BS32" s="952"/>
      <c r="BT32" s="952"/>
      <c r="BU32" s="952"/>
      <c r="BV32" s="952">
        <v>-6754</v>
      </c>
      <c r="BW32" s="952"/>
      <c r="BX32" s="952"/>
      <c r="BY32" s="952"/>
      <c r="BZ32" s="952"/>
      <c r="CA32" s="952"/>
      <c r="CB32" s="952"/>
      <c r="CC32" s="952"/>
      <c r="CD32" s="952"/>
      <c r="CE32" s="952"/>
      <c r="CF32" s="952"/>
      <c r="CG32" s="952"/>
      <c r="CH32" s="952"/>
      <c r="CI32" s="952"/>
      <c r="CJ32" s="952"/>
      <c r="CK32" s="952"/>
      <c r="CL32" s="595"/>
      <c r="CM32" s="595"/>
      <c r="CN32" s="595"/>
      <c r="CO32" s="595"/>
      <c r="CP32" s="595"/>
      <c r="CQ32" s="595"/>
      <c r="CR32" s="595"/>
      <c r="CT32" s="948"/>
      <c r="CU32" s="948"/>
      <c r="CV32" s="948"/>
      <c r="CW32" s="948"/>
      <c r="CX32" s="592">
        <f>+SUM(O32:R32)</f>
        <v>-5368</v>
      </c>
      <c r="CY32" s="942">
        <f>SUM(S32:V32)</f>
        <v>-2735</v>
      </c>
      <c r="CZ32" s="942">
        <f>SUM(W32:Z32)</f>
        <v>0</v>
      </c>
      <c r="DA32" s="942">
        <f>SUM(AA32:AD32)</f>
        <v>0</v>
      </c>
      <c r="DB32" s="942">
        <f>SUM(AE32:AH32)</f>
        <v>0</v>
      </c>
      <c r="DC32" s="939">
        <f>+SUM(AI32:AL32)</f>
        <v>0</v>
      </c>
      <c r="DD32" s="939">
        <f>+SUM(AM32:AP32)</f>
        <v>0</v>
      </c>
      <c r="DE32" s="939"/>
      <c r="DF32" s="939">
        <f>+SUM(AU32:AX32)</f>
        <v>0</v>
      </c>
      <c r="DG32" s="939">
        <f>+SUM(AY32:BB32)</f>
        <v>0</v>
      </c>
      <c r="DH32" s="939">
        <f>+SUM(BC32:BF32)</f>
        <v>-10551</v>
      </c>
      <c r="DI32" s="939">
        <f>+SUM(BG32:BJ32)</f>
        <v>0</v>
      </c>
      <c r="DJ32" s="939">
        <f>+SUM(BK32:BN32)</f>
        <v>-5855</v>
      </c>
      <c r="DK32" s="939">
        <f>+SUM(BO32:BR32)</f>
        <v>517</v>
      </c>
      <c r="DL32" s="939">
        <f>+SUM(BS32:BV32)</f>
        <v>-6754</v>
      </c>
      <c r="DM32" s="939">
        <f>+SUM(BW32:BZ32)</f>
        <v>0</v>
      </c>
      <c r="DN32" s="939">
        <f>+SUM(CA32:CD32)</f>
        <v>0</v>
      </c>
      <c r="DO32" s="939">
        <f>+SUM(CE32:CH32)</f>
        <v>0</v>
      </c>
      <c r="DP32" s="939">
        <f>+SUM(CI32:CL32)</f>
        <v>0</v>
      </c>
      <c r="DQ32" s="939">
        <f>+SUM(CM32:CP32)</f>
        <v>0</v>
      </c>
      <c r="DR32" s="813">
        <v>0</v>
      </c>
      <c r="DS32" s="813">
        <v>0</v>
      </c>
      <c r="DT32" s="813">
        <v>0</v>
      </c>
      <c r="DU32" s="813">
        <v>0</v>
      </c>
      <c r="DX32" s="813">
        <v>0</v>
      </c>
      <c r="DY32" s="813">
        <v>0</v>
      </c>
    </row>
    <row r="33" spans="1:129" s="904" customFormat="1">
      <c r="A33" s="939"/>
      <c r="B33" s="949" t="s">
        <v>348</v>
      </c>
      <c r="C33" s="952">
        <v>0</v>
      </c>
      <c r="D33" s="952">
        <v>0</v>
      </c>
      <c r="E33" s="952">
        <v>0</v>
      </c>
      <c r="F33" s="952">
        <v>0</v>
      </c>
      <c r="G33" s="952">
        <v>0</v>
      </c>
      <c r="H33" s="952">
        <v>0</v>
      </c>
      <c r="I33" s="952">
        <v>0</v>
      </c>
      <c r="J33" s="952">
        <v>0</v>
      </c>
      <c r="K33" s="952">
        <v>0</v>
      </c>
      <c r="L33" s="952">
        <v>0</v>
      </c>
      <c r="M33" s="952">
        <v>0</v>
      </c>
      <c r="N33" s="952">
        <v>0</v>
      </c>
      <c r="O33" s="952">
        <v>0</v>
      </c>
      <c r="P33" s="952">
        <v>0</v>
      </c>
      <c r="Q33" s="952">
        <v>0</v>
      </c>
      <c r="R33" s="952">
        <v>0</v>
      </c>
      <c r="S33" s="952" t="e">
        <v>#REF!</v>
      </c>
      <c r="T33" s="952" t="e">
        <v>#REF!</v>
      </c>
      <c r="U33" s="952">
        <v>0</v>
      </c>
      <c r="V33" s="952">
        <v>0</v>
      </c>
      <c r="W33" s="952">
        <v>0</v>
      </c>
      <c r="X33" s="952">
        <v>0</v>
      </c>
      <c r="Y33" s="952">
        <v>0</v>
      </c>
      <c r="Z33" s="952">
        <v>0</v>
      </c>
      <c r="AA33" s="952">
        <v>0</v>
      </c>
      <c r="AB33" s="952">
        <v>0</v>
      </c>
      <c r="AC33" s="952">
        <v>0</v>
      </c>
      <c r="AD33" s="952">
        <v>0</v>
      </c>
      <c r="AE33" s="952">
        <v>0</v>
      </c>
      <c r="AF33" s="952">
        <v>0</v>
      </c>
      <c r="AG33" s="952">
        <v>0</v>
      </c>
      <c r="AH33" s="952">
        <v>0</v>
      </c>
      <c r="AI33" s="952">
        <v>0</v>
      </c>
      <c r="AJ33" s="952">
        <v>0</v>
      </c>
      <c r="AK33" s="952">
        <v>0</v>
      </c>
      <c r="AL33" s="952">
        <v>0</v>
      </c>
      <c r="AM33" s="952">
        <v>0</v>
      </c>
      <c r="AN33" s="952">
        <v>0</v>
      </c>
      <c r="AO33" s="952">
        <v>0</v>
      </c>
      <c r="AP33" s="952">
        <v>0</v>
      </c>
      <c r="AQ33" s="952">
        <v>0</v>
      </c>
      <c r="AR33" s="952">
        <v>0</v>
      </c>
      <c r="AS33" s="952">
        <v>0</v>
      </c>
      <c r="AT33" s="952"/>
      <c r="AU33" s="939"/>
      <c r="AV33" s="939"/>
      <c r="AW33" s="939"/>
      <c r="AX33" s="952">
        <v>-9944</v>
      </c>
      <c r="AY33" s="939"/>
      <c r="AZ33" s="939"/>
      <c r="BA33" s="939"/>
      <c r="BB33" s="939"/>
      <c r="BC33" s="595"/>
      <c r="BD33" s="939"/>
      <c r="BE33" s="939"/>
      <c r="BF33" s="939"/>
      <c r="BG33" s="595"/>
      <c r="BH33" s="595"/>
      <c r="BI33" s="595"/>
      <c r="BJ33" s="595"/>
      <c r="BK33" s="595"/>
      <c r="BL33" s="595"/>
      <c r="BM33" s="595"/>
      <c r="BN33" s="595"/>
      <c r="BO33" s="595"/>
      <c r="BP33" s="595"/>
      <c r="BQ33" s="595"/>
      <c r="BR33" s="595"/>
      <c r="BS33" s="595"/>
      <c r="BT33" s="595"/>
      <c r="BU33" s="595"/>
      <c r="BV33" s="595"/>
      <c r="BW33" s="595"/>
      <c r="BX33" s="595"/>
      <c r="BY33" s="595"/>
      <c r="BZ33" s="595"/>
      <c r="CA33" s="595"/>
      <c r="CB33" s="595"/>
      <c r="CC33" s="595"/>
      <c r="CD33" s="595"/>
      <c r="CE33" s="595"/>
      <c r="CF33" s="595"/>
      <c r="CG33" s="595"/>
      <c r="CH33" s="595"/>
      <c r="CI33" s="595"/>
      <c r="CJ33" s="595"/>
      <c r="CK33" s="595"/>
      <c r="CL33" s="595"/>
      <c r="CM33" s="595"/>
      <c r="CN33" s="595"/>
      <c r="CO33" s="595"/>
      <c r="CP33" s="595"/>
      <c r="CQ33" s="595"/>
      <c r="CR33" s="595"/>
      <c r="CT33" s="948"/>
      <c r="CU33" s="948"/>
      <c r="CV33" s="948"/>
      <c r="CW33" s="948"/>
      <c r="CX33" s="592">
        <f>+SUM(O33:R33)</f>
        <v>0</v>
      </c>
      <c r="CY33" s="942" t="e">
        <f>SUM(S33:V33)</f>
        <v>#REF!</v>
      </c>
      <c r="CZ33" s="942">
        <f>SUM(W33:Z33)</f>
        <v>0</v>
      </c>
      <c r="DA33" s="942">
        <f>SUM(AA33:AD33)</f>
        <v>0</v>
      </c>
      <c r="DB33" s="942">
        <f>SUM(AE33:AH33)</f>
        <v>0</v>
      </c>
      <c r="DC33" s="939">
        <f>+SUM(AI33:AL33)</f>
        <v>0</v>
      </c>
      <c r="DD33" s="939">
        <f>+SUM(AM33:AP33)</f>
        <v>0</v>
      </c>
      <c r="DE33" s="939"/>
      <c r="DF33" s="939">
        <f>+SUM(AU33:AX33)</f>
        <v>-9944</v>
      </c>
      <c r="DG33" s="939">
        <f>+SUM(AY33:BB33)</f>
        <v>0</v>
      </c>
      <c r="DH33" s="939">
        <f>+SUM(BC33:BF33)</f>
        <v>0</v>
      </c>
      <c r="DI33" s="939">
        <f>+SUM(BG33:BJ33)</f>
        <v>0</v>
      </c>
      <c r="DJ33" s="939">
        <f>+SUM(BK33:BN33)</f>
        <v>0</v>
      </c>
      <c r="DK33" s="939">
        <f>+SUM(BO33:BR33)</f>
        <v>0</v>
      </c>
      <c r="DL33" s="939">
        <f>+SUM(BS33:BV33)</f>
        <v>0</v>
      </c>
      <c r="DM33" s="939">
        <f>+SUM(BA33:BW33)</f>
        <v>0</v>
      </c>
      <c r="DN33" s="939">
        <f>+SUM(BX33:CD33)</f>
        <v>0</v>
      </c>
      <c r="DO33" s="939">
        <f>+SUM(BY33:CE33)</f>
        <v>0</v>
      </c>
      <c r="DP33" s="939">
        <f>+SUM(BZ33:CI33)</f>
        <v>0</v>
      </c>
      <c r="DQ33" s="939">
        <f>+SUM(CA33:CM33)</f>
        <v>0</v>
      </c>
      <c r="DR33" s="813">
        <v>0</v>
      </c>
      <c r="DS33" s="813">
        <v>0</v>
      </c>
      <c r="DT33" s="813">
        <v>0</v>
      </c>
      <c r="DU33" s="813">
        <v>0</v>
      </c>
      <c r="DX33" s="813">
        <v>0</v>
      </c>
      <c r="DY33" s="813">
        <v>0</v>
      </c>
    </row>
    <row r="34" spans="1:129" s="904" customFormat="1">
      <c r="A34" s="939"/>
      <c r="B34" s="940"/>
      <c r="C34" s="939"/>
      <c r="D34" s="939"/>
      <c r="E34" s="939"/>
      <c r="F34" s="939"/>
      <c r="G34" s="939"/>
      <c r="H34" s="939"/>
      <c r="I34" s="939"/>
      <c r="J34" s="939"/>
      <c r="K34" s="939"/>
      <c r="L34" s="939"/>
      <c r="M34" s="939"/>
      <c r="N34" s="939"/>
      <c r="O34" s="939"/>
      <c r="P34" s="939"/>
      <c r="Q34" s="939"/>
      <c r="R34" s="939"/>
      <c r="S34" s="939"/>
      <c r="T34" s="939"/>
      <c r="U34" s="939"/>
      <c r="V34" s="939"/>
      <c r="W34" s="939"/>
      <c r="X34" s="939"/>
      <c r="Y34" s="939"/>
      <c r="Z34" s="939"/>
      <c r="AA34" s="939"/>
      <c r="AB34" s="939"/>
      <c r="AC34" s="939"/>
      <c r="AD34" s="939"/>
      <c r="AE34" s="939"/>
      <c r="AF34" s="939"/>
      <c r="AG34" s="939"/>
      <c r="AH34" s="939"/>
      <c r="AI34" s="939"/>
      <c r="AJ34" s="939"/>
      <c r="AK34" s="939"/>
      <c r="AL34" s="939"/>
      <c r="AM34" s="939"/>
      <c r="AN34" s="939"/>
      <c r="AO34" s="939"/>
      <c r="AP34" s="939"/>
      <c r="AQ34" s="939"/>
      <c r="AR34" s="939"/>
      <c r="AS34" s="939"/>
      <c r="AT34" s="939"/>
      <c r="AU34" s="939"/>
      <c r="AV34" s="939"/>
      <c r="AW34" s="939"/>
      <c r="AX34" s="952"/>
      <c r="AY34" s="939"/>
      <c r="AZ34" s="939"/>
      <c r="BA34" s="939"/>
      <c r="BB34" s="939"/>
      <c r="BC34" s="595"/>
      <c r="BD34" s="939"/>
      <c r="BE34" s="939"/>
      <c r="BF34" s="939"/>
      <c r="BG34" s="595"/>
      <c r="BH34" s="595"/>
      <c r="BI34" s="595"/>
      <c r="BJ34" s="595"/>
      <c r="BK34" s="595"/>
      <c r="BL34" s="595"/>
      <c r="BM34" s="595"/>
      <c r="BN34" s="595"/>
      <c r="BO34" s="595"/>
      <c r="BP34" s="595"/>
      <c r="BQ34" s="595"/>
      <c r="BR34" s="595"/>
      <c r="BS34" s="595"/>
      <c r="BT34" s="595"/>
      <c r="BU34" s="595"/>
      <c r="BV34" s="595"/>
      <c r="BW34" s="595"/>
      <c r="BX34" s="595"/>
      <c r="BY34" s="595"/>
      <c r="BZ34" s="595"/>
      <c r="CA34" s="595"/>
      <c r="CB34" s="595"/>
      <c r="CC34" s="595"/>
      <c r="CD34" s="595"/>
      <c r="CE34" s="595"/>
      <c r="CF34" s="595"/>
      <c r="CG34" s="595"/>
      <c r="CH34" s="595"/>
      <c r="CI34" s="595"/>
      <c r="CJ34" s="595"/>
      <c r="CK34" s="595"/>
      <c r="CL34" s="595"/>
      <c r="CM34" s="595"/>
      <c r="CN34" s="595"/>
      <c r="CO34" s="595"/>
      <c r="CP34" s="595"/>
      <c r="CQ34" s="595"/>
      <c r="CR34" s="595"/>
      <c r="CT34" s="948"/>
      <c r="CU34" s="948"/>
      <c r="CV34" s="948"/>
      <c r="CW34" s="948"/>
      <c r="CX34" s="592"/>
      <c r="CY34" s="942"/>
      <c r="CZ34" s="942"/>
      <c r="DA34" s="942"/>
      <c r="DB34" s="942"/>
      <c r="DC34" s="939"/>
      <c r="DD34" s="939"/>
      <c r="DE34" s="939"/>
      <c r="DF34" s="939"/>
      <c r="DG34" s="939"/>
      <c r="DH34" s="939"/>
      <c r="DI34" s="939"/>
      <c r="DJ34" s="939"/>
      <c r="DK34" s="939"/>
      <c r="DL34" s="939"/>
      <c r="DM34" s="939"/>
      <c r="DN34" s="939"/>
      <c r="DO34" s="939"/>
      <c r="DP34" s="939"/>
      <c r="DQ34" s="939"/>
      <c r="DR34" s="813"/>
      <c r="DS34" s="813"/>
      <c r="DT34" s="813"/>
      <c r="DU34" s="813"/>
      <c r="DX34" s="813"/>
      <c r="DY34" s="813"/>
    </row>
    <row r="35" spans="1:129" s="590" customFormat="1">
      <c r="A35" s="943"/>
      <c r="B35" s="944" t="s">
        <v>349</v>
      </c>
      <c r="C35" s="943" t="e">
        <f t="shared" ref="C35:AT35" si="111">+C25+C31+C32+C33</f>
        <v>#REF!</v>
      </c>
      <c r="D35" s="943">
        <f t="shared" si="111"/>
        <v>6753</v>
      </c>
      <c r="E35" s="943">
        <f t="shared" si="111"/>
        <v>18050</v>
      </c>
      <c r="F35" s="943">
        <f t="shared" si="111"/>
        <v>31127</v>
      </c>
      <c r="G35" s="943">
        <f t="shared" si="111"/>
        <v>8305</v>
      </c>
      <c r="H35" s="943">
        <f t="shared" si="111"/>
        <v>43863</v>
      </c>
      <c r="I35" s="943">
        <f t="shared" si="111"/>
        <v>19257</v>
      </c>
      <c r="J35" s="943">
        <f t="shared" si="111"/>
        <v>45405</v>
      </c>
      <c r="K35" s="943">
        <f t="shared" si="111"/>
        <v>19169</v>
      </c>
      <c r="L35" s="943">
        <f t="shared" si="111"/>
        <v>22149</v>
      </c>
      <c r="M35" s="943">
        <f t="shared" si="111"/>
        <v>28224</v>
      </c>
      <c r="N35" s="943">
        <f t="shared" si="111"/>
        <v>44896</v>
      </c>
      <c r="O35" s="943">
        <f t="shared" si="111"/>
        <v>14355</v>
      </c>
      <c r="P35" s="943">
        <f t="shared" si="111"/>
        <v>34560</v>
      </c>
      <c r="Q35" s="943">
        <f t="shared" si="111"/>
        <v>25717</v>
      </c>
      <c r="R35" s="943">
        <f t="shared" si="111"/>
        <v>49923</v>
      </c>
      <c r="S35" s="943" t="e">
        <f t="shared" si="111"/>
        <v>#REF!</v>
      </c>
      <c r="T35" s="943" t="e">
        <f t="shared" si="111"/>
        <v>#REF!</v>
      </c>
      <c r="U35" s="943">
        <f t="shared" si="111"/>
        <v>22738</v>
      </c>
      <c r="V35" s="943">
        <f t="shared" si="111"/>
        <v>47759</v>
      </c>
      <c r="W35" s="943">
        <f t="shared" si="111"/>
        <v>7733.9999999999982</v>
      </c>
      <c r="X35" s="943">
        <f t="shared" si="111"/>
        <v>43341</v>
      </c>
      <c r="Y35" s="943">
        <f t="shared" si="111"/>
        <v>26095</v>
      </c>
      <c r="Z35" s="943">
        <f t="shared" si="111"/>
        <v>99371</v>
      </c>
      <c r="AA35" s="943">
        <f t="shared" si="111"/>
        <v>33349</v>
      </c>
      <c r="AB35" s="943">
        <f t="shared" si="111"/>
        <v>87519</v>
      </c>
      <c r="AC35" s="943">
        <f t="shared" si="111"/>
        <v>53212</v>
      </c>
      <c r="AD35" s="943">
        <f t="shared" si="111"/>
        <v>130242</v>
      </c>
      <c r="AE35" s="943">
        <f t="shared" si="111"/>
        <v>47587</v>
      </c>
      <c r="AF35" s="943">
        <f t="shared" si="111"/>
        <v>113529.00000000012</v>
      </c>
      <c r="AG35" s="943">
        <f t="shared" si="111"/>
        <v>56696</v>
      </c>
      <c r="AH35" s="943">
        <f t="shared" si="111"/>
        <v>125870</v>
      </c>
      <c r="AI35" s="943">
        <f t="shared" si="111"/>
        <v>35731</v>
      </c>
      <c r="AJ35" s="943">
        <f t="shared" si="111"/>
        <v>103472</v>
      </c>
      <c r="AK35" s="943">
        <f t="shared" si="111"/>
        <v>68523.000000000116</v>
      </c>
      <c r="AL35" s="943">
        <f t="shared" si="111"/>
        <v>147674</v>
      </c>
      <c r="AM35" s="943">
        <f t="shared" si="111"/>
        <v>21606.000000000116</v>
      </c>
      <c r="AN35" s="943">
        <f t="shared" si="111"/>
        <v>98000</v>
      </c>
      <c r="AO35" s="943">
        <f t="shared" si="111"/>
        <v>71642</v>
      </c>
      <c r="AP35" s="943">
        <f t="shared" si="111"/>
        <v>216152</v>
      </c>
      <c r="AQ35" s="943">
        <f t="shared" si="111"/>
        <v>80078.520000000019</v>
      </c>
      <c r="AR35" s="943">
        <f t="shared" si="111"/>
        <v>172896</v>
      </c>
      <c r="AS35" s="943">
        <f t="shared" si="111"/>
        <v>135241</v>
      </c>
      <c r="AT35" s="943">
        <f t="shared" si="111"/>
        <v>272037.2690000002</v>
      </c>
      <c r="AU35" s="943">
        <f>+AU25+AU31+AU32+AU33</f>
        <v>72810.462900000144</v>
      </c>
      <c r="AV35" s="943">
        <f t="shared" ref="AV35:CD35" si="112">+AV25+AV31+AV32+AV33</f>
        <v>157111.64064000011</v>
      </c>
      <c r="AW35" s="943">
        <f t="shared" si="112"/>
        <v>95822</v>
      </c>
      <c r="AX35" s="943">
        <f t="shared" si="112"/>
        <v>230392.15435999993</v>
      </c>
      <c r="AY35" s="943">
        <f t="shared" si="112"/>
        <v>65361</v>
      </c>
      <c r="AZ35" s="943">
        <f t="shared" si="112"/>
        <v>173846</v>
      </c>
      <c r="BA35" s="943">
        <f t="shared" si="112"/>
        <v>72675</v>
      </c>
      <c r="BB35" s="943">
        <f t="shared" si="112"/>
        <v>291799</v>
      </c>
      <c r="BC35" s="943">
        <f t="shared" si="112"/>
        <v>66545</v>
      </c>
      <c r="BD35" s="943">
        <f t="shared" si="112"/>
        <v>192858</v>
      </c>
      <c r="BE35" s="943">
        <f t="shared" si="112"/>
        <v>136908</v>
      </c>
      <c r="BF35" s="943">
        <f t="shared" si="112"/>
        <v>304468</v>
      </c>
      <c r="BG35" s="943">
        <f t="shared" si="112"/>
        <v>110919</v>
      </c>
      <c r="BH35" s="943">
        <f t="shared" si="112"/>
        <v>273489.42460999993</v>
      </c>
      <c r="BI35" s="943">
        <f t="shared" si="112"/>
        <v>192942.38853999999</v>
      </c>
      <c r="BJ35" s="943">
        <f t="shared" si="112"/>
        <v>436655.25080000004</v>
      </c>
      <c r="BK35" s="943">
        <f t="shared" si="112"/>
        <v>155479</v>
      </c>
      <c r="BL35" s="943">
        <f t="shared" si="112"/>
        <v>230447</v>
      </c>
      <c r="BM35" s="943">
        <f t="shared" si="112"/>
        <v>184808</v>
      </c>
      <c r="BN35" s="943">
        <f t="shared" si="112"/>
        <v>485846</v>
      </c>
      <c r="BO35" s="943">
        <f t="shared" si="112"/>
        <v>7305</v>
      </c>
      <c r="BP35" s="943">
        <f t="shared" si="112"/>
        <v>808663</v>
      </c>
      <c r="BQ35" s="943">
        <f t="shared" si="112"/>
        <v>-93113</v>
      </c>
      <c r="BR35" s="943">
        <f t="shared" si="112"/>
        <v>353924</v>
      </c>
      <c r="BS35" s="943">
        <f t="shared" si="112"/>
        <v>-147636</v>
      </c>
      <c r="BT35" s="943">
        <f t="shared" si="112"/>
        <v>192845</v>
      </c>
      <c r="BU35" s="943">
        <f t="shared" si="112"/>
        <v>172327.33947000233</v>
      </c>
      <c r="BV35" s="943">
        <f t="shared" si="112"/>
        <v>400114.81354999915</v>
      </c>
      <c r="BW35" s="943">
        <f t="shared" si="112"/>
        <v>191630</v>
      </c>
      <c r="BX35" s="943">
        <f t="shared" si="112"/>
        <v>360388</v>
      </c>
      <c r="BY35" s="943">
        <f t="shared" ref="BY35:BZ35" si="113">+BY25+BY31+BY32+BY33</f>
        <v>257862</v>
      </c>
      <c r="BZ35" s="943">
        <f t="shared" si="113"/>
        <v>481823</v>
      </c>
      <c r="CA35" s="943">
        <f t="shared" si="112"/>
        <v>46766</v>
      </c>
      <c r="CB35" s="943">
        <f t="shared" si="112"/>
        <v>229700</v>
      </c>
      <c r="CC35" s="943">
        <f t="shared" si="112"/>
        <v>172902</v>
      </c>
      <c r="CD35" s="943">
        <f t="shared" si="112"/>
        <v>526891</v>
      </c>
      <c r="CE35" s="943">
        <f t="shared" ref="CE35:CH35" si="114">+CE25+CE31+CE32+CE33</f>
        <v>139250</v>
      </c>
      <c r="CF35" s="943">
        <f t="shared" si="114"/>
        <v>314984</v>
      </c>
      <c r="CG35" s="943">
        <f t="shared" si="114"/>
        <v>255266</v>
      </c>
      <c r="CH35" s="943">
        <f t="shared" si="114"/>
        <v>487168</v>
      </c>
      <c r="CI35" s="943">
        <f t="shared" ref="CI35:CL35" si="115">+CI25+CI31+CI32+CI33</f>
        <v>221033</v>
      </c>
      <c r="CJ35" s="943">
        <f t="shared" si="115"/>
        <v>404461</v>
      </c>
      <c r="CK35" s="943">
        <f t="shared" si="115"/>
        <v>279395</v>
      </c>
      <c r="CL35" s="946">
        <f t="shared" si="115"/>
        <v>481928.92042608478</v>
      </c>
      <c r="CM35" s="946">
        <f t="shared" ref="CM35:CP35" si="116">+CM25+CM31+CM32+CM33</f>
        <v>184321.0915973385</v>
      </c>
      <c r="CN35" s="946">
        <f t="shared" si="116"/>
        <v>373408.2239079604</v>
      </c>
      <c r="CO35" s="946">
        <f t="shared" si="116"/>
        <v>236643.1786088674</v>
      </c>
      <c r="CP35" s="946">
        <f t="shared" si="116"/>
        <v>540091.44826617732</v>
      </c>
      <c r="CQ35" s="946"/>
      <c r="CR35" s="946">
        <v>481928.92042608478</v>
      </c>
      <c r="CT35" s="1199"/>
      <c r="CU35" s="943"/>
      <c r="CV35" s="943"/>
      <c r="CW35" s="943"/>
      <c r="CX35" s="589">
        <f>+SUM(O35:R35)</f>
        <v>124555</v>
      </c>
      <c r="CY35" s="947"/>
      <c r="CZ35" s="947">
        <f>SUM(W35:Z35)</f>
        <v>176541</v>
      </c>
      <c r="DA35" s="947">
        <f>SUM(AA35:AD35)</f>
        <v>304322</v>
      </c>
      <c r="DB35" s="947">
        <f>SUM(AE35:AH35)</f>
        <v>343682.00000000012</v>
      </c>
      <c r="DC35" s="943">
        <f>+SUM(AI35:AL35)</f>
        <v>355400.00000000012</v>
      </c>
      <c r="DD35" s="943">
        <f>+SUM(AM35:AP35)</f>
        <v>407400.00000000012</v>
      </c>
      <c r="DE35" s="943">
        <f t="shared" ref="DE35:DR35" si="117">+DE25+DE31+DE32+DE33</f>
        <v>660252.78900000022</v>
      </c>
      <c r="DF35" s="943">
        <f t="shared" si="117"/>
        <v>556136.2579000002</v>
      </c>
      <c r="DG35" s="943">
        <f t="shared" si="117"/>
        <v>603681</v>
      </c>
      <c r="DH35" s="943">
        <f t="shared" si="117"/>
        <v>700779</v>
      </c>
      <c r="DI35" s="943">
        <f t="shared" si="117"/>
        <v>1014006.0639499997</v>
      </c>
      <c r="DJ35" s="943">
        <f t="shared" si="117"/>
        <v>1056580</v>
      </c>
      <c r="DK35" s="943">
        <f t="shared" si="117"/>
        <v>1076779</v>
      </c>
      <c r="DL35" s="943">
        <f t="shared" si="117"/>
        <v>617651.15302000195</v>
      </c>
      <c r="DM35" s="943">
        <f t="shared" si="117"/>
        <v>1291703</v>
      </c>
      <c r="DN35" s="943">
        <f t="shared" si="117"/>
        <v>976259</v>
      </c>
      <c r="DO35" s="943">
        <f t="shared" ref="DO35:DP35" si="118">+DO25+DO31+DO32+DO33</f>
        <v>1196668</v>
      </c>
      <c r="DP35" s="943">
        <f t="shared" si="118"/>
        <v>1386817.9204260856</v>
      </c>
      <c r="DQ35" s="943">
        <f t="shared" ref="DQ35" si="119">+DQ25+DQ31+DQ32+DQ33</f>
        <v>1334463.9423803452</v>
      </c>
      <c r="DR35" s="814">
        <f t="shared" si="117"/>
        <v>1794757.2848678944</v>
      </c>
      <c r="DS35" s="814">
        <f t="shared" ref="DS35:DU35" si="120">+DS25+DS31+DS32+DS33</f>
        <v>2060059.1246371916</v>
      </c>
      <c r="DT35" s="814">
        <f t="shared" si="120"/>
        <v>2286482.2789482814</v>
      </c>
      <c r="DU35" s="814">
        <f t="shared" si="120"/>
        <v>2515421.7858837629</v>
      </c>
      <c r="DX35" s="814">
        <v>1520088.0783989746</v>
      </c>
      <c r="DY35" s="814">
        <v>1927647.416947332</v>
      </c>
    </row>
    <row r="36" spans="1:129" s="904" customFormat="1">
      <c r="A36" s="594"/>
      <c r="B36" s="594"/>
      <c r="C36" s="594"/>
      <c r="D36" s="594"/>
      <c r="E36" s="594"/>
      <c r="F36" s="594"/>
      <c r="G36" s="594"/>
      <c r="H36" s="594"/>
      <c r="I36" s="594"/>
      <c r="J36" s="594"/>
      <c r="K36" s="594"/>
      <c r="L36" s="594"/>
      <c r="M36" s="594"/>
      <c r="N36" s="594"/>
      <c r="O36" s="594"/>
      <c r="P36" s="594"/>
      <c r="Q36" s="594"/>
      <c r="R36" s="594"/>
      <c r="S36" s="594"/>
      <c r="T36" s="594"/>
      <c r="U36" s="594"/>
      <c r="V36" s="594"/>
      <c r="W36" s="594"/>
      <c r="X36" s="594"/>
      <c r="Y36" s="594"/>
      <c r="Z36" s="594"/>
      <c r="AA36" s="594"/>
      <c r="AB36" s="594"/>
      <c r="AC36" s="594"/>
      <c r="AD36" s="594"/>
      <c r="AE36" s="594"/>
      <c r="AF36" s="594"/>
      <c r="AG36" s="594"/>
      <c r="AH36" s="594"/>
      <c r="AI36" s="954"/>
      <c r="AJ36" s="594"/>
      <c r="AK36" s="594"/>
      <c r="AL36" s="594"/>
      <c r="AM36" s="594"/>
      <c r="AN36" s="594"/>
      <c r="AO36" s="594"/>
      <c r="AP36" s="594"/>
      <c r="AQ36" s="594"/>
      <c r="AR36" s="594"/>
      <c r="AS36" s="594"/>
      <c r="AT36" s="594"/>
      <c r="AU36" s="594"/>
      <c r="AV36" s="594"/>
      <c r="AW36" s="594"/>
      <c r="AX36" s="594"/>
      <c r="AY36" s="594"/>
      <c r="AZ36" s="955"/>
      <c r="BA36" s="594"/>
      <c r="BB36" s="594"/>
      <c r="BC36" s="594"/>
      <c r="BD36" s="594"/>
      <c r="BE36" s="594"/>
      <c r="BF36" s="594"/>
      <c r="BG36" s="594"/>
      <c r="BH36" s="594"/>
      <c r="BI36" s="594"/>
      <c r="BJ36" s="594"/>
      <c r="BK36" s="594"/>
      <c r="BL36" s="594"/>
      <c r="BM36" s="594"/>
      <c r="BN36" s="594"/>
      <c r="BO36" s="594"/>
      <c r="BP36" s="594"/>
      <c r="BQ36" s="594"/>
      <c r="BR36" s="594"/>
      <c r="BS36" s="594"/>
      <c r="BT36" s="594"/>
      <c r="BU36" s="594"/>
      <c r="BV36" s="594"/>
      <c r="BW36" s="594"/>
      <c r="BX36" s="594"/>
      <c r="BY36" s="594"/>
      <c r="BZ36" s="594"/>
      <c r="CA36" s="594"/>
      <c r="CB36" s="594"/>
      <c r="CC36" s="594"/>
      <c r="CD36" s="594"/>
      <c r="CE36" s="594"/>
      <c r="CF36" s="594"/>
      <c r="CG36" s="594"/>
      <c r="CH36" s="594"/>
      <c r="CI36" s="594"/>
      <c r="CJ36" s="594"/>
      <c r="CK36" s="594"/>
      <c r="CL36" s="594"/>
      <c r="CM36" s="594"/>
      <c r="CN36" s="594"/>
      <c r="CO36" s="594"/>
      <c r="CP36" s="594"/>
      <c r="CQ36" s="594"/>
      <c r="CR36" s="594"/>
      <c r="CT36" s="594"/>
      <c r="CU36" s="594"/>
      <c r="CV36" s="594"/>
      <c r="CW36" s="594"/>
      <c r="CX36" s="954"/>
      <c r="CY36" s="594"/>
      <c r="CZ36" s="1566"/>
      <c r="DR36" s="957"/>
      <c r="DS36" s="957"/>
      <c r="DT36" s="957"/>
      <c r="DU36" s="957"/>
      <c r="DX36" s="957"/>
      <c r="DY36" s="957"/>
    </row>
    <row r="37" spans="1:129" s="1597" customFormat="1">
      <c r="A37" s="1593"/>
      <c r="B37" s="1593" t="s">
        <v>350</v>
      </c>
      <c r="C37" s="1593"/>
      <c r="D37" s="1593"/>
      <c r="E37" s="1593"/>
      <c r="F37" s="1593"/>
      <c r="G37" s="1593"/>
      <c r="H37" s="1593"/>
      <c r="I37" s="1593"/>
      <c r="J37" s="1593"/>
      <c r="K37" s="1593"/>
      <c r="L37" s="1593"/>
      <c r="M37" s="1593"/>
      <c r="N37" s="1593"/>
      <c r="O37" s="1593"/>
      <c r="P37" s="1593"/>
      <c r="Q37" s="1593"/>
      <c r="R37" s="1593"/>
      <c r="S37" s="1593"/>
      <c r="T37" s="1593"/>
      <c r="U37" s="1593"/>
      <c r="V37" s="1593"/>
      <c r="W37" s="1593"/>
      <c r="X37" s="1593"/>
      <c r="Y37" s="1593"/>
      <c r="Z37" s="1593"/>
      <c r="AA37" s="1593"/>
      <c r="AB37" s="1593"/>
      <c r="AC37" s="1593"/>
      <c r="AD37" s="1593"/>
      <c r="AE37" s="1593"/>
      <c r="AF37" s="1593"/>
      <c r="AG37" s="1593"/>
      <c r="AH37" s="1593"/>
      <c r="AI37" s="1594"/>
      <c r="AJ37" s="1593"/>
      <c r="AK37" s="1593"/>
      <c r="AL37" s="1593"/>
      <c r="AM37" s="1593"/>
      <c r="AN37" s="1593"/>
      <c r="AO37" s="1593"/>
      <c r="AP37" s="1593"/>
      <c r="AQ37" s="1593"/>
      <c r="AR37" s="1593"/>
      <c r="AS37" s="1593"/>
      <c r="AT37" s="1593"/>
      <c r="AU37" s="1593"/>
      <c r="AV37" s="1593"/>
      <c r="AW37" s="1593"/>
      <c r="AX37" s="1593"/>
      <c r="AY37" s="1593"/>
      <c r="AZ37" s="1593"/>
      <c r="BA37" s="1593"/>
      <c r="BB37" s="1593"/>
      <c r="BC37" s="1593"/>
      <c r="BD37" s="1593"/>
      <c r="BE37" s="1593"/>
      <c r="BF37" s="1593"/>
      <c r="BG37" s="1593"/>
      <c r="BH37" s="1593"/>
      <c r="BI37" s="1593"/>
      <c r="BJ37" s="1593"/>
      <c r="BK37" s="1593"/>
      <c r="BL37" s="1593"/>
      <c r="BM37" s="1593"/>
      <c r="BN37" s="1593"/>
      <c r="BO37" s="1593"/>
      <c r="BP37" s="1593"/>
      <c r="BQ37" s="1593"/>
      <c r="BR37" s="1593"/>
      <c r="BS37" s="1593"/>
      <c r="BT37" s="1593"/>
      <c r="BU37" s="1593"/>
      <c r="BV37" s="1593"/>
      <c r="BW37" s="1593"/>
      <c r="BX37" s="1593"/>
      <c r="BY37" s="1593"/>
      <c r="BZ37" s="1593"/>
      <c r="CA37" s="1593"/>
      <c r="CB37" s="1593"/>
      <c r="CC37" s="1593"/>
      <c r="CD37" s="1593"/>
      <c r="CE37" s="1593"/>
      <c r="CF37" s="1593"/>
      <c r="CG37" s="1593"/>
      <c r="CH37" s="1593"/>
      <c r="CI37" s="1593"/>
      <c r="CJ37" s="1593"/>
      <c r="CK37" s="1593"/>
      <c r="CL37" s="1593"/>
      <c r="CM37" s="1593"/>
      <c r="CN37" s="1593"/>
      <c r="CO37" s="1593"/>
      <c r="CP37" s="1593"/>
      <c r="CQ37" s="1593"/>
      <c r="CR37" s="1593"/>
      <c r="CT37" s="1593"/>
      <c r="CU37" s="1593"/>
      <c r="CV37" s="1593"/>
      <c r="CW37" s="1593"/>
      <c r="CX37" s="1593"/>
      <c r="CY37" s="1593"/>
      <c r="CZ37" s="1593"/>
      <c r="DA37" s="1595">
        <f t="shared" ref="DA37:DQ37" si="121">+DA35/CZ35-1</f>
        <v>0.72380353572258005</v>
      </c>
      <c r="DB37" s="1595">
        <f t="shared" si="121"/>
        <v>0.1293366894276462</v>
      </c>
      <c r="DC37" s="1595">
        <f t="shared" si="121"/>
        <v>3.4095471977001912E-2</v>
      </c>
      <c r="DD37" s="1595">
        <f t="shared" si="121"/>
        <v>0.1463140123804163</v>
      </c>
      <c r="DE37" s="1595">
        <f t="shared" si="121"/>
        <v>0.62064994845360832</v>
      </c>
      <c r="DF37" s="1595">
        <f t="shared" si="121"/>
        <v>-0.15769192169213231</v>
      </c>
      <c r="DG37" s="1595">
        <f t="shared" si="121"/>
        <v>8.549117491373659E-2</v>
      </c>
      <c r="DH37" s="1595">
        <f t="shared" si="121"/>
        <v>0.16084322680356022</v>
      </c>
      <c r="DI37" s="1595">
        <f t="shared" si="121"/>
        <v>0.44696982065672586</v>
      </c>
      <c r="DJ37" s="1595">
        <f t="shared" si="121"/>
        <v>4.1985879141744009E-2</v>
      </c>
      <c r="DK37" s="1595">
        <f t="shared" si="121"/>
        <v>1.9117340854454934E-2</v>
      </c>
      <c r="DL37" s="1595">
        <f t="shared" si="121"/>
        <v>-0.42639004566396455</v>
      </c>
      <c r="DM37" s="1595">
        <f t="shared" si="121"/>
        <v>1.0913148039702105</v>
      </c>
      <c r="DN37" s="1595">
        <f t="shared" si="121"/>
        <v>-0.24420784034720056</v>
      </c>
      <c r="DO37" s="1595">
        <f t="shared" si="121"/>
        <v>0.22576898138711132</v>
      </c>
      <c r="DP37" s="1595">
        <f t="shared" si="121"/>
        <v>0.15889947790538872</v>
      </c>
      <c r="DQ37" s="1595">
        <f t="shared" si="121"/>
        <v>-3.7751154837727507E-2</v>
      </c>
      <c r="DR37" s="1596">
        <f>+(DR35/DI35)^(0.1)-1</f>
        <v>5.8757542586700406E-2</v>
      </c>
      <c r="DS37" s="1596">
        <f t="shared" ref="DS37:DU37" si="122">+(DS35/DJ35)^(0.1)-1</f>
        <v>6.904929126299475E-2</v>
      </c>
      <c r="DT37" s="1596">
        <f t="shared" si="122"/>
        <v>7.821191373875469E-2</v>
      </c>
      <c r="DU37" s="1596">
        <f t="shared" si="122"/>
        <v>0.15076529571630015</v>
      </c>
      <c r="DX37" s="1016"/>
      <c r="DY37" s="1016">
        <v>6.6347376616385789E-2</v>
      </c>
    </row>
    <row r="38" spans="1:129">
      <c r="A38" s="592"/>
      <c r="B38" s="958" t="s">
        <v>117</v>
      </c>
      <c r="C38" s="958"/>
      <c r="D38" s="958"/>
      <c r="E38" s="958"/>
      <c r="F38" s="958"/>
      <c r="G38" s="958"/>
      <c r="H38" s="958"/>
      <c r="I38" s="958"/>
      <c r="J38" s="958"/>
      <c r="K38" s="958"/>
      <c r="L38" s="958"/>
      <c r="M38" s="958"/>
      <c r="N38" s="958"/>
      <c r="O38" s="958"/>
      <c r="P38" s="958"/>
      <c r="Q38" s="958"/>
      <c r="R38" s="958"/>
      <c r="S38" s="958"/>
      <c r="T38" s="958"/>
      <c r="U38" s="958"/>
      <c r="V38" s="958"/>
      <c r="W38" s="958"/>
      <c r="X38" s="958"/>
      <c r="Y38" s="958"/>
      <c r="Z38" s="958"/>
      <c r="AA38" s="958"/>
      <c r="AB38" s="958"/>
      <c r="AC38" s="958"/>
      <c r="AD38" s="958"/>
      <c r="AE38" s="958"/>
      <c r="AF38" s="958"/>
      <c r="AG38" s="958"/>
      <c r="AH38" s="958"/>
      <c r="AI38" s="958"/>
      <c r="AJ38" s="958"/>
      <c r="AK38" s="958"/>
      <c r="AL38" s="958"/>
      <c r="AM38" s="958"/>
      <c r="AN38" s="958"/>
      <c r="AO38" s="958"/>
      <c r="AP38" s="958"/>
      <c r="AQ38" s="958"/>
      <c r="AR38" s="958"/>
      <c r="AS38" s="958"/>
      <c r="AT38" s="958"/>
      <c r="AU38" s="958"/>
      <c r="AV38" s="958"/>
      <c r="AW38" s="958"/>
      <c r="AX38" s="958"/>
      <c r="AY38" s="958"/>
      <c r="AZ38" s="959"/>
      <c r="BA38" s="958"/>
      <c r="BB38" s="958"/>
      <c r="BC38" s="958"/>
      <c r="BD38" s="958"/>
      <c r="BE38" s="958"/>
      <c r="BF38" s="958"/>
      <c r="BG38" s="958"/>
      <c r="BH38" s="958"/>
      <c r="BI38" s="958"/>
      <c r="BJ38" s="958"/>
      <c r="BK38" s="958"/>
      <c r="BL38" s="958"/>
      <c r="BM38" s="958"/>
      <c r="BN38" s="958"/>
      <c r="BO38" s="958"/>
      <c r="BP38" s="958"/>
      <c r="BQ38" s="958"/>
      <c r="BR38" s="958"/>
      <c r="BS38" s="958"/>
      <c r="BT38" s="958"/>
      <c r="BU38" s="958"/>
      <c r="BV38" s="958"/>
      <c r="BW38" s="958"/>
      <c r="BX38" s="958"/>
      <c r="BY38" s="958"/>
      <c r="BZ38" s="958"/>
      <c r="CA38" s="958"/>
      <c r="CB38" s="958"/>
      <c r="CC38" s="958"/>
      <c r="CD38" s="958"/>
      <c r="CE38" s="958"/>
      <c r="CF38" s="958"/>
      <c r="CG38" s="958"/>
      <c r="CH38" s="958"/>
      <c r="CI38" s="958"/>
      <c r="CJ38" s="958"/>
      <c r="CK38" s="958"/>
      <c r="CL38" s="958"/>
      <c r="CM38" s="958"/>
      <c r="CN38" s="958"/>
      <c r="CO38" s="958"/>
      <c r="CP38" s="958"/>
      <c r="CQ38" s="958"/>
      <c r="CR38" s="958"/>
      <c r="CT38" s="958"/>
      <c r="CU38" s="958"/>
      <c r="CV38" s="958"/>
      <c r="CW38" s="958"/>
      <c r="CX38" s="960"/>
      <c r="CY38" s="958"/>
      <c r="CZ38" s="960"/>
      <c r="DA38" s="958"/>
      <c r="DB38" s="958"/>
      <c r="DC38" s="958"/>
      <c r="DD38" s="958"/>
      <c r="DE38" s="958"/>
      <c r="DF38" s="958"/>
      <c r="DG38" s="958"/>
      <c r="DH38" s="958"/>
      <c r="DI38" s="958"/>
      <c r="DJ38" s="958"/>
      <c r="DK38" s="958"/>
      <c r="DL38" s="958"/>
      <c r="DM38" s="958"/>
      <c r="DN38" s="958"/>
      <c r="DO38" s="958"/>
      <c r="DP38" s="958"/>
      <c r="DQ38" s="958"/>
      <c r="DR38" s="958"/>
      <c r="DS38" s="958"/>
      <c r="DT38" s="958"/>
      <c r="DU38" s="958"/>
      <c r="DX38" s="958"/>
      <c r="DY38" s="958"/>
    </row>
    <row r="39" spans="1:129" s="590" customFormat="1">
      <c r="A39" s="943"/>
      <c r="B39" s="944" t="s">
        <v>119</v>
      </c>
      <c r="C39" s="943" t="e">
        <f t="shared" ref="C39:BN39" si="123">+C40+C43</f>
        <v>#REF!</v>
      </c>
      <c r="D39" s="943">
        <f t="shared" si="123"/>
        <v>23585</v>
      </c>
      <c r="E39" s="943">
        <f t="shared" si="123"/>
        <v>4676</v>
      </c>
      <c r="F39" s="943">
        <f t="shared" si="123"/>
        <v>16963</v>
      </c>
      <c r="G39" s="943">
        <f t="shared" si="123"/>
        <v>17874</v>
      </c>
      <c r="H39" s="943">
        <f t="shared" si="123"/>
        <v>35665</v>
      </c>
      <c r="I39" s="943">
        <f t="shared" si="123"/>
        <v>20790</v>
      </c>
      <c r="J39" s="943">
        <f t="shared" si="123"/>
        <v>49281</v>
      </c>
      <c r="K39" s="943">
        <f t="shared" si="123"/>
        <v>24340</v>
      </c>
      <c r="L39" s="943">
        <f t="shared" si="123"/>
        <v>40432</v>
      </c>
      <c r="M39" s="943">
        <f t="shared" si="123"/>
        <v>31956</v>
      </c>
      <c r="N39" s="943">
        <f t="shared" si="123"/>
        <v>63471</v>
      </c>
      <c r="O39" s="943">
        <f t="shared" si="123"/>
        <v>24797</v>
      </c>
      <c r="P39" s="943">
        <f t="shared" si="123"/>
        <v>57174</v>
      </c>
      <c r="Q39" s="943">
        <f t="shared" si="123"/>
        <v>45171</v>
      </c>
      <c r="R39" s="943">
        <f t="shared" si="123"/>
        <v>73836</v>
      </c>
      <c r="S39" s="943">
        <f t="shared" si="123"/>
        <v>36255</v>
      </c>
      <c r="T39" s="943">
        <f t="shared" si="123"/>
        <v>57127</v>
      </c>
      <c r="U39" s="943">
        <f t="shared" si="123"/>
        <v>40851</v>
      </c>
      <c r="V39" s="943">
        <f t="shared" si="123"/>
        <v>65527</v>
      </c>
      <c r="W39" s="943">
        <f t="shared" si="123"/>
        <v>17702</v>
      </c>
      <c r="X39" s="943">
        <f t="shared" si="123"/>
        <v>71691</v>
      </c>
      <c r="Y39" s="943">
        <f t="shared" si="123"/>
        <v>46161</v>
      </c>
      <c r="Z39" s="943">
        <f t="shared" si="123"/>
        <v>135065</v>
      </c>
      <c r="AA39" s="943">
        <f t="shared" si="123"/>
        <v>50071</v>
      </c>
      <c r="AB39" s="943">
        <f t="shared" si="123"/>
        <v>129582</v>
      </c>
      <c r="AC39" s="943">
        <f t="shared" si="123"/>
        <v>78152</v>
      </c>
      <c r="AD39" s="943">
        <f t="shared" si="123"/>
        <v>153722</v>
      </c>
      <c r="AE39" s="943">
        <f t="shared" si="123"/>
        <v>59059</v>
      </c>
      <c r="AF39" s="943">
        <f t="shared" si="123"/>
        <v>151492.00000000012</v>
      </c>
      <c r="AG39" s="943">
        <f t="shared" si="123"/>
        <v>76630</v>
      </c>
      <c r="AH39" s="943">
        <f t="shared" si="123"/>
        <v>189074</v>
      </c>
      <c r="AI39" s="943">
        <f t="shared" si="123"/>
        <v>49228</v>
      </c>
      <c r="AJ39" s="943">
        <f t="shared" si="123"/>
        <v>154475</v>
      </c>
      <c r="AK39" s="943">
        <f t="shared" si="123"/>
        <v>110317.00000000012</v>
      </c>
      <c r="AL39" s="943">
        <f t="shared" si="123"/>
        <v>245230</v>
      </c>
      <c r="AM39" s="943">
        <f t="shared" si="123"/>
        <v>46177.000000000116</v>
      </c>
      <c r="AN39" s="943">
        <f t="shared" si="123"/>
        <v>157421</v>
      </c>
      <c r="AO39" s="943">
        <f t="shared" si="123"/>
        <v>110689</v>
      </c>
      <c r="AP39" s="943">
        <f t="shared" si="123"/>
        <v>336147</v>
      </c>
      <c r="AQ39" s="943">
        <f t="shared" si="123"/>
        <v>161211.52000000002</v>
      </c>
      <c r="AR39" s="943">
        <f t="shared" si="123"/>
        <v>295459</v>
      </c>
      <c r="AS39" s="943">
        <f t="shared" si="123"/>
        <v>248776</v>
      </c>
      <c r="AT39" s="943">
        <f t="shared" si="123"/>
        <v>498167.2690000002</v>
      </c>
      <c r="AU39" s="943">
        <f t="shared" si="123"/>
        <v>191958.48855000013</v>
      </c>
      <c r="AV39" s="943">
        <f t="shared" si="123"/>
        <v>317558.57631999993</v>
      </c>
      <c r="AW39" s="943">
        <f t="shared" si="123"/>
        <v>224891</v>
      </c>
      <c r="AX39" s="943">
        <f t="shared" si="123"/>
        <v>463625.30340999993</v>
      </c>
      <c r="AY39" s="943">
        <f t="shared" si="123"/>
        <v>178909</v>
      </c>
      <c r="AZ39" s="943">
        <f t="shared" si="123"/>
        <v>349371</v>
      </c>
      <c r="BA39" s="943">
        <f t="shared" si="123"/>
        <v>211495</v>
      </c>
      <c r="BB39" s="943">
        <f t="shared" si="123"/>
        <v>547177</v>
      </c>
      <c r="BC39" s="943">
        <f t="shared" si="123"/>
        <v>183150</v>
      </c>
      <c r="BD39" s="943">
        <f t="shared" si="123"/>
        <v>374418</v>
      </c>
      <c r="BE39" s="943">
        <f t="shared" si="123"/>
        <v>288697</v>
      </c>
      <c r="BF39" s="943">
        <f t="shared" si="123"/>
        <v>570026</v>
      </c>
      <c r="BG39" s="943">
        <f t="shared" si="123"/>
        <v>243903</v>
      </c>
      <c r="BH39" s="943">
        <f t="shared" si="123"/>
        <v>428254.96485999995</v>
      </c>
      <c r="BI39" s="943">
        <f t="shared" si="123"/>
        <v>339773.43174999999</v>
      </c>
      <c r="BJ39" s="943">
        <f t="shared" si="123"/>
        <v>726464.25080000004</v>
      </c>
      <c r="BK39" s="943">
        <f t="shared" si="123"/>
        <v>410356</v>
      </c>
      <c r="BL39" s="943">
        <f t="shared" si="123"/>
        <v>538724</v>
      </c>
      <c r="BM39" s="943">
        <f t="shared" si="123"/>
        <v>457193</v>
      </c>
      <c r="BN39" s="943">
        <f t="shared" si="123"/>
        <v>931857</v>
      </c>
      <c r="BO39" s="943">
        <f t="shared" ref="BO39:CH39" si="124">+BO40+BO43</f>
        <v>213913</v>
      </c>
      <c r="BP39" s="943">
        <f t="shared" si="124"/>
        <v>603269</v>
      </c>
      <c r="BQ39" s="943">
        <f t="shared" si="124"/>
        <v>71669</v>
      </c>
      <c r="BR39" s="943">
        <f t="shared" si="124"/>
        <v>727669</v>
      </c>
      <c r="BS39" s="943">
        <f t="shared" si="124"/>
        <v>28115</v>
      </c>
      <c r="BT39" s="943">
        <f t="shared" si="124"/>
        <v>472726</v>
      </c>
      <c r="BU39" s="943">
        <f t="shared" si="124"/>
        <v>434439.33947000233</v>
      </c>
      <c r="BV39" s="943">
        <f t="shared" si="124"/>
        <v>755966.81354999915</v>
      </c>
      <c r="BW39" s="943">
        <f t="shared" si="124"/>
        <v>378872</v>
      </c>
      <c r="BX39" s="943">
        <f t="shared" si="124"/>
        <v>685692</v>
      </c>
      <c r="BY39" s="943">
        <f t="shared" si="124"/>
        <v>452173</v>
      </c>
      <c r="BZ39" s="943">
        <f t="shared" si="124"/>
        <v>884513</v>
      </c>
      <c r="CA39" s="943">
        <f t="shared" si="124"/>
        <v>229929</v>
      </c>
      <c r="CB39" s="943">
        <f t="shared" si="124"/>
        <v>472078</v>
      </c>
      <c r="CC39" s="943">
        <f t="shared" si="124"/>
        <v>356081</v>
      </c>
      <c r="CD39" s="943">
        <f t="shared" si="124"/>
        <v>881233</v>
      </c>
      <c r="CE39" s="943">
        <f t="shared" si="124"/>
        <v>372066</v>
      </c>
      <c r="CF39" s="943">
        <f t="shared" si="124"/>
        <v>654013</v>
      </c>
      <c r="CG39" s="943">
        <f t="shared" si="124"/>
        <v>569176</v>
      </c>
      <c r="CH39" s="943">
        <f t="shared" si="124"/>
        <v>861932</v>
      </c>
      <c r="CI39" s="943">
        <f t="shared" ref="CI39:CL39" si="125">+CI40+CI43</f>
        <v>577957</v>
      </c>
      <c r="CJ39" s="943">
        <f t="shared" ref="CJ39:CK39" si="126">+CJ40+CJ43</f>
        <v>880974</v>
      </c>
      <c r="CK39" s="943">
        <f t="shared" si="126"/>
        <v>585945</v>
      </c>
      <c r="CL39" s="946">
        <f t="shared" si="125"/>
        <v>953463.09978870605</v>
      </c>
      <c r="CM39" s="946">
        <f t="shared" ref="CM39:CP39" si="127">+CM40+CM43</f>
        <v>538295.64866109577</v>
      </c>
      <c r="CN39" s="946">
        <f t="shared" si="127"/>
        <v>816416.41294543562</v>
      </c>
      <c r="CO39" s="946">
        <f t="shared" si="127"/>
        <v>606227.09755538905</v>
      </c>
      <c r="CP39" s="946">
        <f t="shared" si="127"/>
        <v>1060384.6719306521</v>
      </c>
      <c r="CQ39" s="946"/>
      <c r="CR39" s="946">
        <v>953463.09978870605</v>
      </c>
      <c r="CT39" s="943"/>
      <c r="CU39" s="943"/>
      <c r="CV39" s="943"/>
      <c r="CW39" s="943"/>
      <c r="CX39" s="943">
        <f>+SUM(O39:R39)</f>
        <v>200978</v>
      </c>
      <c r="CY39" s="947">
        <f>SUM(S39:V39)</f>
        <v>199760</v>
      </c>
      <c r="CZ39" s="947">
        <f>SUM(W39:Z39)</f>
        <v>270619</v>
      </c>
      <c r="DA39" s="947">
        <f>SUM(AA39:AD39)</f>
        <v>411527</v>
      </c>
      <c r="DB39" s="947">
        <f>SUM(AE39:AH39)</f>
        <v>476255.00000000012</v>
      </c>
      <c r="DC39" s="943">
        <f>+SUM(AI39:AL39)</f>
        <v>559250.00000000012</v>
      </c>
      <c r="DD39" s="943">
        <f>+SUM(AM39:AP39)</f>
        <v>650434.00000000012</v>
      </c>
      <c r="DE39" s="943">
        <f t="shared" ref="DE39:DN39" si="128">+DE40+DE43</f>
        <v>1203613.7890000003</v>
      </c>
      <c r="DF39" s="943">
        <f t="shared" si="128"/>
        <v>1198033.3682800001</v>
      </c>
      <c r="DG39" s="943">
        <f t="shared" si="128"/>
        <v>1286952</v>
      </c>
      <c r="DH39" s="943">
        <f t="shared" si="128"/>
        <v>1416291</v>
      </c>
      <c r="DI39" s="943">
        <f t="shared" si="128"/>
        <v>1738395.6474099997</v>
      </c>
      <c r="DJ39" s="943">
        <f t="shared" si="128"/>
        <v>2338130</v>
      </c>
      <c r="DK39" s="943">
        <f t="shared" si="128"/>
        <v>1616520</v>
      </c>
      <c r="DL39" s="943">
        <f t="shared" si="128"/>
        <v>1691247.1530200019</v>
      </c>
      <c r="DM39" s="943">
        <f t="shared" si="128"/>
        <v>2401250</v>
      </c>
      <c r="DN39" s="943">
        <f t="shared" si="128"/>
        <v>1939321</v>
      </c>
      <c r="DO39" s="943">
        <f t="shared" ref="DO39:DU39" si="129">+DO40+DO43</f>
        <v>2457187</v>
      </c>
      <c r="DP39" s="943">
        <f t="shared" ref="DP39:DQ39" si="130">+DP40+DP43</f>
        <v>2998339.0997887067</v>
      </c>
      <c r="DQ39" s="943">
        <f t="shared" si="130"/>
        <v>3021323.8310925742</v>
      </c>
      <c r="DR39" s="943">
        <f t="shared" si="129"/>
        <v>3708651.092463227</v>
      </c>
      <c r="DS39" s="943">
        <f t="shared" si="129"/>
        <v>4062541.7466503619</v>
      </c>
      <c r="DT39" s="943">
        <f t="shared" si="129"/>
        <v>4432089.8417351926</v>
      </c>
      <c r="DU39" s="943">
        <f t="shared" si="129"/>
        <v>4824764.2017771993</v>
      </c>
      <c r="DX39" s="943">
        <v>3296769.6674630153</v>
      </c>
      <c r="DY39" s="943">
        <v>3916705.984595838</v>
      </c>
    </row>
    <row r="40" spans="1:129" s="904" customFormat="1">
      <c r="A40" s="939"/>
      <c r="B40" s="949" t="s">
        <v>351</v>
      </c>
      <c r="C40" s="939">
        <f t="shared" ref="C40:BN40" si="131">+C42+C41</f>
        <v>0</v>
      </c>
      <c r="D40" s="939">
        <f t="shared" si="131"/>
        <v>0</v>
      </c>
      <c r="E40" s="939">
        <f t="shared" si="131"/>
        <v>0</v>
      </c>
      <c r="F40" s="939">
        <f t="shared" si="131"/>
        <v>0</v>
      </c>
      <c r="G40" s="939">
        <f t="shared" si="131"/>
        <v>0</v>
      </c>
      <c r="H40" s="939">
        <f t="shared" si="131"/>
        <v>0</v>
      </c>
      <c r="I40" s="939">
        <f t="shared" si="131"/>
        <v>0</v>
      </c>
      <c r="J40" s="939">
        <f t="shared" si="131"/>
        <v>0</v>
      </c>
      <c r="K40" s="939">
        <f t="shared" si="131"/>
        <v>0</v>
      </c>
      <c r="L40" s="939">
        <f t="shared" si="131"/>
        <v>0</v>
      </c>
      <c r="M40" s="939">
        <f t="shared" si="131"/>
        <v>0</v>
      </c>
      <c r="N40" s="939">
        <f t="shared" si="131"/>
        <v>0</v>
      </c>
      <c r="O40" s="939">
        <f t="shared" si="131"/>
        <v>0</v>
      </c>
      <c r="P40" s="939">
        <f t="shared" si="131"/>
        <v>0</v>
      </c>
      <c r="Q40" s="939">
        <f t="shared" si="131"/>
        <v>0</v>
      </c>
      <c r="R40" s="939">
        <f t="shared" si="131"/>
        <v>0</v>
      </c>
      <c r="S40" s="939">
        <f t="shared" si="131"/>
        <v>0</v>
      </c>
      <c r="T40" s="939">
        <f t="shared" si="131"/>
        <v>0</v>
      </c>
      <c r="U40" s="939">
        <f t="shared" si="131"/>
        <v>0</v>
      </c>
      <c r="V40" s="939">
        <f t="shared" si="131"/>
        <v>0</v>
      </c>
      <c r="W40" s="939">
        <f t="shared" si="131"/>
        <v>0</v>
      </c>
      <c r="X40" s="939">
        <f t="shared" si="131"/>
        <v>0</v>
      </c>
      <c r="Y40" s="939">
        <f t="shared" si="131"/>
        <v>0</v>
      </c>
      <c r="Z40" s="939">
        <f t="shared" si="131"/>
        <v>0</v>
      </c>
      <c r="AA40" s="939">
        <f t="shared" si="131"/>
        <v>0</v>
      </c>
      <c r="AB40" s="939">
        <f t="shared" si="131"/>
        <v>0</v>
      </c>
      <c r="AC40" s="939">
        <f t="shared" si="131"/>
        <v>0</v>
      </c>
      <c r="AD40" s="939">
        <f t="shared" si="131"/>
        <v>0</v>
      </c>
      <c r="AE40" s="939">
        <f t="shared" si="131"/>
        <v>0</v>
      </c>
      <c r="AF40" s="939">
        <f t="shared" si="131"/>
        <v>0</v>
      </c>
      <c r="AG40" s="939">
        <f t="shared" si="131"/>
        <v>0</v>
      </c>
      <c r="AH40" s="939">
        <f t="shared" si="131"/>
        <v>0</v>
      </c>
      <c r="AI40" s="939">
        <f t="shared" si="131"/>
        <v>0</v>
      </c>
      <c r="AJ40" s="939">
        <f t="shared" si="131"/>
        <v>0</v>
      </c>
      <c r="AK40" s="939">
        <f t="shared" si="131"/>
        <v>0</v>
      </c>
      <c r="AL40" s="939">
        <f t="shared" si="131"/>
        <v>0</v>
      </c>
      <c r="AM40" s="939">
        <f t="shared" si="131"/>
        <v>0</v>
      </c>
      <c r="AN40" s="939">
        <f t="shared" si="131"/>
        <v>0</v>
      </c>
      <c r="AO40" s="939">
        <f t="shared" si="131"/>
        <v>0</v>
      </c>
      <c r="AP40" s="939">
        <f t="shared" si="131"/>
        <v>0</v>
      </c>
      <c r="AQ40" s="939">
        <f t="shared" si="131"/>
        <v>48304</v>
      </c>
      <c r="AR40" s="939">
        <f t="shared" si="131"/>
        <v>51633</v>
      </c>
      <c r="AS40" s="939">
        <f t="shared" si="131"/>
        <v>55024</v>
      </c>
      <c r="AT40" s="939">
        <f t="shared" si="131"/>
        <v>57771</v>
      </c>
      <c r="AU40" s="939">
        <f t="shared" si="131"/>
        <v>61385.209040000002</v>
      </c>
      <c r="AV40" s="939">
        <f t="shared" si="131"/>
        <v>63684.935679999799</v>
      </c>
      <c r="AW40" s="939">
        <f t="shared" si="131"/>
        <v>68235</v>
      </c>
      <c r="AX40" s="939">
        <f t="shared" si="131"/>
        <v>71475</v>
      </c>
      <c r="AY40" s="939">
        <f t="shared" si="131"/>
        <v>73366</v>
      </c>
      <c r="AZ40" s="939">
        <f t="shared" si="131"/>
        <v>76912</v>
      </c>
      <c r="BA40" s="939">
        <f t="shared" si="131"/>
        <v>78601</v>
      </c>
      <c r="BB40" s="939">
        <f t="shared" si="131"/>
        <v>82382</v>
      </c>
      <c r="BC40" s="939">
        <f t="shared" si="131"/>
        <v>79114</v>
      </c>
      <c r="BD40" s="939">
        <f t="shared" si="131"/>
        <v>79710</v>
      </c>
      <c r="BE40" s="939">
        <f t="shared" si="131"/>
        <v>82769</v>
      </c>
      <c r="BF40" s="939">
        <f t="shared" si="131"/>
        <v>87459</v>
      </c>
      <c r="BG40" s="939">
        <f t="shared" si="131"/>
        <v>73848</v>
      </c>
      <c r="BH40" s="939">
        <f t="shared" si="131"/>
        <v>76281</v>
      </c>
      <c r="BI40" s="939">
        <f t="shared" si="131"/>
        <v>81285</v>
      </c>
      <c r="BJ40" s="939">
        <f t="shared" si="131"/>
        <v>83160</v>
      </c>
      <c r="BK40" s="939">
        <f t="shared" si="131"/>
        <v>162480</v>
      </c>
      <c r="BL40" s="939">
        <f t="shared" si="131"/>
        <v>164860</v>
      </c>
      <c r="BM40" s="939">
        <f t="shared" si="131"/>
        <v>167149</v>
      </c>
      <c r="BN40" s="939">
        <f t="shared" si="131"/>
        <v>167262</v>
      </c>
      <c r="BO40" s="939">
        <f t="shared" ref="BO40:CH40" si="132">+BO42+BO41</f>
        <v>181578</v>
      </c>
      <c r="BP40" s="939">
        <f t="shared" si="132"/>
        <v>183013</v>
      </c>
      <c r="BQ40" s="939">
        <f t="shared" si="132"/>
        <v>198282</v>
      </c>
      <c r="BR40" s="939">
        <f t="shared" si="132"/>
        <v>196768</v>
      </c>
      <c r="BS40" s="939">
        <f t="shared" si="132"/>
        <v>201478</v>
      </c>
      <c r="BT40" s="939">
        <f t="shared" si="132"/>
        <v>212132</v>
      </c>
      <c r="BU40" s="939">
        <f t="shared" si="132"/>
        <v>226399</v>
      </c>
      <c r="BV40" s="939">
        <f t="shared" si="132"/>
        <v>237007</v>
      </c>
      <c r="BW40" s="939">
        <f t="shared" si="132"/>
        <v>235030</v>
      </c>
      <c r="BX40" s="939">
        <f t="shared" si="132"/>
        <v>251053</v>
      </c>
      <c r="BY40" s="939">
        <f t="shared" si="132"/>
        <v>251178</v>
      </c>
      <c r="BZ40" s="939">
        <f t="shared" si="132"/>
        <v>256589</v>
      </c>
      <c r="CA40" s="939">
        <f t="shared" si="132"/>
        <v>256590</v>
      </c>
      <c r="CB40" s="939">
        <f t="shared" si="132"/>
        <v>247648</v>
      </c>
      <c r="CC40" s="939">
        <f t="shared" si="132"/>
        <v>264253</v>
      </c>
      <c r="CD40" s="939">
        <f t="shared" si="132"/>
        <v>281753</v>
      </c>
      <c r="CE40" s="939">
        <f t="shared" si="132"/>
        <v>295856</v>
      </c>
      <c r="CF40" s="939">
        <f t="shared" si="132"/>
        <v>299295</v>
      </c>
      <c r="CG40" s="939">
        <f t="shared" si="132"/>
        <v>296223</v>
      </c>
      <c r="CH40" s="939">
        <f t="shared" si="132"/>
        <v>306470</v>
      </c>
      <c r="CI40" s="939">
        <f t="shared" ref="CI40:CL40" si="133">+CI42+CI41</f>
        <v>304951</v>
      </c>
      <c r="CJ40" s="939">
        <f t="shared" ref="CJ40:CK40" si="134">+CJ42+CJ41</f>
        <v>323073</v>
      </c>
      <c r="CK40" s="939">
        <f t="shared" si="134"/>
        <v>307242</v>
      </c>
      <c r="CL40" s="941">
        <f t="shared" si="133"/>
        <v>307689.11308162496</v>
      </c>
      <c r="CM40" s="941">
        <f t="shared" ref="CM40:CP40" si="135">+CM42+CM41</f>
        <v>340391.79030566674</v>
      </c>
      <c r="CN40" s="941">
        <f t="shared" si="135"/>
        <v>329862.65835028631</v>
      </c>
      <c r="CO40" s="941">
        <f t="shared" si="135"/>
        <v>321580.08214348613</v>
      </c>
      <c r="CP40" s="941">
        <f t="shared" si="135"/>
        <v>321171.78237139306</v>
      </c>
      <c r="CQ40" s="941"/>
      <c r="CR40" s="941">
        <v>307689.11308162496</v>
      </c>
      <c r="CT40" s="942"/>
      <c r="CU40" s="942"/>
      <c r="CV40" s="942"/>
      <c r="CW40" s="942"/>
      <c r="CX40" s="592">
        <f>+SUM(O40:R40)</f>
        <v>0</v>
      </c>
      <c r="CY40" s="942">
        <f>SUM(S40:V40)</f>
        <v>0</v>
      </c>
      <c r="CZ40" s="942">
        <f>SUM(W40:Z40)</f>
        <v>0</v>
      </c>
      <c r="DA40" s="942">
        <f>SUM(AA40:AD40)</f>
        <v>0</v>
      </c>
      <c r="DB40" s="942">
        <f>SUM(AE40:AH40)</f>
        <v>0</v>
      </c>
      <c r="DC40" s="939">
        <f>+SUM(AI40:AL40)</f>
        <v>0</v>
      </c>
      <c r="DD40" s="939">
        <f>+SUM(AM40:AP40)</f>
        <v>0</v>
      </c>
      <c r="DE40" s="939">
        <f t="shared" ref="DE40:DR40" si="136">+DE42+DE41</f>
        <v>212732</v>
      </c>
      <c r="DF40" s="939">
        <f t="shared" si="136"/>
        <v>264780.14471999981</v>
      </c>
      <c r="DG40" s="939">
        <f t="shared" si="136"/>
        <v>311261</v>
      </c>
      <c r="DH40" s="939">
        <f t="shared" si="136"/>
        <v>329052</v>
      </c>
      <c r="DI40" s="939">
        <f t="shared" si="136"/>
        <v>314574</v>
      </c>
      <c r="DJ40" s="939">
        <f t="shared" si="136"/>
        <v>661751</v>
      </c>
      <c r="DK40" s="939">
        <f t="shared" si="136"/>
        <v>759641</v>
      </c>
      <c r="DL40" s="939">
        <f t="shared" si="136"/>
        <v>877016</v>
      </c>
      <c r="DM40" s="939">
        <f t="shared" si="136"/>
        <v>993850</v>
      </c>
      <c r="DN40" s="939">
        <f t="shared" si="136"/>
        <v>1050244</v>
      </c>
      <c r="DO40" s="939">
        <f t="shared" ref="DO40:DP40" si="137">+DO42+DO41</f>
        <v>1197844</v>
      </c>
      <c r="DP40" s="939">
        <f t="shared" si="137"/>
        <v>1242955.1130816247</v>
      </c>
      <c r="DQ40" s="939">
        <f t="shared" ref="DQ40" si="138">+DQ42+DQ41</f>
        <v>1313006.3131708321</v>
      </c>
      <c r="DR40" s="813">
        <f t="shared" si="136"/>
        <v>1363267.3431589883</v>
      </c>
      <c r="DS40" s="813">
        <f t="shared" ref="DS40:DU40" si="139">+DS42+DS41</f>
        <v>1432873.7523466065</v>
      </c>
      <c r="DT40" s="813">
        <f t="shared" si="139"/>
        <v>1517234.6640351291</v>
      </c>
      <c r="DU40" s="813">
        <f t="shared" si="139"/>
        <v>1614729.752238086</v>
      </c>
      <c r="DX40" s="813">
        <v>1301368.9558081548</v>
      </c>
      <c r="DY40" s="813">
        <v>1372549.8951953696</v>
      </c>
    </row>
    <row r="41" spans="1:129" s="904" customFormat="1">
      <c r="A41" s="939"/>
      <c r="B41" s="949" t="s">
        <v>352</v>
      </c>
      <c r="C41" s="939">
        <f>+FAT!C132</f>
        <v>0</v>
      </c>
      <c r="D41" s="939">
        <f>+FAT!D132</f>
        <v>0</v>
      </c>
      <c r="E41" s="939">
        <f>+FAT!E132</f>
        <v>0</v>
      </c>
      <c r="F41" s="939">
        <f>+FAT!F132</f>
        <v>0</v>
      </c>
      <c r="G41" s="939">
        <f>+FAT!G132</f>
        <v>0</v>
      </c>
      <c r="H41" s="939">
        <f>+FAT!H132</f>
        <v>0</v>
      </c>
      <c r="I41" s="939">
        <f>+FAT!I132</f>
        <v>0</v>
      </c>
      <c r="J41" s="939">
        <f>+FAT!J132</f>
        <v>0</v>
      </c>
      <c r="K41" s="939">
        <f>+FAT!K132</f>
        <v>0</v>
      </c>
      <c r="L41" s="939">
        <f>+FAT!L132</f>
        <v>0</v>
      </c>
      <c r="M41" s="939">
        <f>+FAT!M132</f>
        <v>0</v>
      </c>
      <c r="N41" s="939">
        <f>+FAT!N132</f>
        <v>0</v>
      </c>
      <c r="O41" s="939">
        <f>+FAT!O132</f>
        <v>0</v>
      </c>
      <c r="P41" s="939">
        <f>+FAT!P132</f>
        <v>0</v>
      </c>
      <c r="Q41" s="939">
        <f>+FAT!Q132</f>
        <v>0</v>
      </c>
      <c r="R41" s="939">
        <f>+FAT!R132</f>
        <v>0</v>
      </c>
      <c r="S41" s="939">
        <f>+FAT!S132</f>
        <v>0</v>
      </c>
      <c r="T41" s="939">
        <f>+FAT!T132</f>
        <v>0</v>
      </c>
      <c r="U41" s="939">
        <f>+FAT!U132</f>
        <v>0</v>
      </c>
      <c r="V41" s="939">
        <f>+FAT!V132</f>
        <v>0</v>
      </c>
      <c r="W41" s="939">
        <f>+FAT!W132</f>
        <v>0</v>
      </c>
      <c r="X41" s="939">
        <f>+FAT!X132</f>
        <v>0</v>
      </c>
      <c r="Y41" s="939">
        <f>+FAT!Y132</f>
        <v>0</v>
      </c>
      <c r="Z41" s="939">
        <f>+FAT!Z132</f>
        <v>0</v>
      </c>
      <c r="AA41" s="939">
        <f>+FAT!AA132</f>
        <v>0</v>
      </c>
      <c r="AB41" s="939">
        <f>+FAT!AB132</f>
        <v>0</v>
      </c>
      <c r="AC41" s="939">
        <f>+FAT!AC132</f>
        <v>0</v>
      </c>
      <c r="AD41" s="939">
        <f>+FAT!AD132</f>
        <v>0</v>
      </c>
      <c r="AE41" s="939">
        <f>+FAT!AE132</f>
        <v>0</v>
      </c>
      <c r="AF41" s="939">
        <f>+FAT!AF132</f>
        <v>0</v>
      </c>
      <c r="AG41" s="939">
        <f>+FAT!AG132</f>
        <v>0</v>
      </c>
      <c r="AH41" s="939">
        <f>+FAT!AH132</f>
        <v>0</v>
      </c>
      <c r="AI41" s="939">
        <f>+FAT!AI132</f>
        <v>0</v>
      </c>
      <c r="AJ41" s="939">
        <f>+FAT!AJ132</f>
        <v>0</v>
      </c>
      <c r="AK41" s="939">
        <f>+FAT!AK132</f>
        <v>0</v>
      </c>
      <c r="AL41" s="939">
        <f>+FAT!AL132</f>
        <v>0</v>
      </c>
      <c r="AM41" s="939">
        <f>+FAT!AM132</f>
        <v>0</v>
      </c>
      <c r="AN41" s="939">
        <f>+FAT!AN132</f>
        <v>0</v>
      </c>
      <c r="AO41" s="939">
        <f>+FAT!AO132</f>
        <v>0</v>
      </c>
      <c r="AP41" s="939">
        <f>+FAT!AP132</f>
        <v>0</v>
      </c>
      <c r="AQ41" s="939">
        <f>+FAT!AQ132</f>
        <v>48304</v>
      </c>
      <c r="AR41" s="939">
        <f>+FAT!AR132</f>
        <v>51633</v>
      </c>
      <c r="AS41" s="939">
        <f>+FAT!AS132</f>
        <v>55024</v>
      </c>
      <c r="AT41" s="939">
        <f>+FAT!AT132</f>
        <v>57771</v>
      </c>
      <c r="AU41" s="939">
        <f>+FAT!AU132</f>
        <v>61385.209040000002</v>
      </c>
      <c r="AV41" s="939">
        <f>+FAT!AV132</f>
        <v>63684.935679999799</v>
      </c>
      <c r="AW41" s="939">
        <f>+FAT!AW132</f>
        <v>68235</v>
      </c>
      <c r="AX41" s="939">
        <f>+FAT!AX132</f>
        <v>71475</v>
      </c>
      <c r="AY41" s="939">
        <f>+FAT!AY132</f>
        <v>73366</v>
      </c>
      <c r="AZ41" s="939">
        <f>+FAT!AZ132</f>
        <v>76912</v>
      </c>
      <c r="BA41" s="939">
        <f>+FAT!BA132</f>
        <v>78601</v>
      </c>
      <c r="BB41" s="939">
        <f>+FAT!BB132</f>
        <v>82382</v>
      </c>
      <c r="BC41" s="939">
        <f>+FAT!BC132</f>
        <v>79114</v>
      </c>
      <c r="BD41" s="939">
        <f>+FAT!BD132</f>
        <v>79710</v>
      </c>
      <c r="BE41" s="939">
        <f>+FAT!BE132</f>
        <v>82769</v>
      </c>
      <c r="BF41" s="939">
        <f>+FAT!BF132</f>
        <v>87459</v>
      </c>
      <c r="BG41" s="939">
        <f>+FAT!BG132</f>
        <v>73848</v>
      </c>
      <c r="BH41" s="939">
        <f>+FAT!BH132</f>
        <v>76281</v>
      </c>
      <c r="BI41" s="939">
        <f>+FAT!BI132</f>
        <v>81285</v>
      </c>
      <c r="BJ41" s="939">
        <f>+FAT!BJ132</f>
        <v>83160</v>
      </c>
      <c r="BK41" s="939">
        <f>+FAT!BK132</f>
        <v>86880</v>
      </c>
      <c r="BL41" s="939">
        <f>+FAT!BL132</f>
        <v>90760</v>
      </c>
      <c r="BM41" s="939">
        <f>+FAT!BM132</f>
        <v>68749</v>
      </c>
      <c r="BN41" s="939">
        <f>+FAT!BN132</f>
        <v>46862</v>
      </c>
      <c r="BO41" s="939">
        <f>+FAT!BO132</f>
        <v>99778</v>
      </c>
      <c r="BP41" s="939">
        <f>+FAT!BP132</f>
        <v>104813</v>
      </c>
      <c r="BQ41" s="939">
        <f>+FAT!BQ132</f>
        <v>109782</v>
      </c>
      <c r="BR41" s="939">
        <f>+FAT!BR132</f>
        <v>79479</v>
      </c>
      <c r="BS41" s="939">
        <f>+FAT!BS132</f>
        <v>101794</v>
      </c>
      <c r="BT41" s="939">
        <f>+FAT!BT132</f>
        <v>103994</v>
      </c>
      <c r="BU41" s="939">
        <f>+FAT!BU132</f>
        <v>106387</v>
      </c>
      <c r="BV41" s="939">
        <f>+FAT!BV132</f>
        <v>106341</v>
      </c>
      <c r="BW41" s="939">
        <f>+FAT!BW132</f>
        <v>114486.85</v>
      </c>
      <c r="BX41" s="939">
        <f>+FAT!BX132</f>
        <v>124004.98</v>
      </c>
      <c r="BY41" s="939">
        <f>+FAT!BY132</f>
        <v>126775</v>
      </c>
      <c r="BZ41" s="939">
        <f>+FAT!BZ132</f>
        <v>87420.170000000013</v>
      </c>
      <c r="CA41" s="939">
        <f>+FAT!CA132</f>
        <v>137368</v>
      </c>
      <c r="CB41" s="939">
        <f>+FAT!CB132</f>
        <v>142486</v>
      </c>
      <c r="CC41" s="939">
        <f>+FAT!CC132</f>
        <v>146137</v>
      </c>
      <c r="CD41" s="939">
        <f>+FAT!CD132</f>
        <v>159261</v>
      </c>
      <c r="CE41" s="939">
        <f>+FAT!CE132</f>
        <v>168860</v>
      </c>
      <c r="CF41" s="939">
        <f>+FAT!CF132</f>
        <v>173096</v>
      </c>
      <c r="CG41" s="939">
        <f>+FAT!CG132</f>
        <v>173905</v>
      </c>
      <c r="CH41" s="939">
        <v>435324</v>
      </c>
      <c r="CI41" s="939">
        <f>+FAT!CI132</f>
        <v>175868</v>
      </c>
      <c r="CJ41" s="939">
        <f>+FAT!CJ132</f>
        <v>181969</v>
      </c>
      <c r="CK41" s="939">
        <f>+FAT!CK132</f>
        <v>177599</v>
      </c>
      <c r="CL41" s="941">
        <f>+FAT!CL132</f>
        <v>179307.52635400003</v>
      </c>
      <c r="CM41" s="941">
        <f>+FAT!CM132</f>
        <v>187201.79310530573</v>
      </c>
      <c r="CN41" s="941">
        <f>+FAT!CN132</f>
        <v>181367.43567025062</v>
      </c>
      <c r="CO41" s="941">
        <f>+FAT!CO132</f>
        <v>179727.00046475968</v>
      </c>
      <c r="CP41" s="941">
        <f>+FAT!CP132</f>
        <v>179382.27430944791</v>
      </c>
      <c r="CQ41" s="941"/>
      <c r="CR41" s="941">
        <v>179307.52635400003</v>
      </c>
      <c r="CT41" s="939"/>
      <c r="CU41" s="939"/>
      <c r="CV41" s="939"/>
      <c r="CW41" s="939"/>
      <c r="CX41" s="592">
        <f>+SUM(O41:R41)</f>
        <v>0</v>
      </c>
      <c r="CY41" s="942">
        <f>SUM(S41:V41)</f>
        <v>0</v>
      </c>
      <c r="CZ41" s="942">
        <f>SUM(W41:Z41)</f>
        <v>0</v>
      </c>
      <c r="DA41" s="942">
        <f>SUM(AA41:AD41)</f>
        <v>0</v>
      </c>
      <c r="DB41" s="942">
        <f>SUM(AE41:AH41)</f>
        <v>0</v>
      </c>
      <c r="DC41" s="939">
        <f>+SUM(AI41:AL41)</f>
        <v>0</v>
      </c>
      <c r="DD41" s="939">
        <f>+SUM(AP41:AS41)</f>
        <v>154961</v>
      </c>
      <c r="DE41" s="939">
        <f>+FAT!DF132</f>
        <v>212732</v>
      </c>
      <c r="DF41" s="939">
        <f>+FAT!DG132</f>
        <v>264780.14471999981</v>
      </c>
      <c r="DG41" s="939">
        <f>+FAT!DH132</f>
        <v>311261</v>
      </c>
      <c r="DH41" s="939">
        <f>+FAT!DI132</f>
        <v>329052</v>
      </c>
      <c r="DI41" s="939">
        <f>+FAT!DJ132</f>
        <v>314574</v>
      </c>
      <c r="DJ41" s="939">
        <f>+FAT!DK132</f>
        <v>293251</v>
      </c>
      <c r="DK41" s="939">
        <f>+FAT!DL132</f>
        <v>393852</v>
      </c>
      <c r="DL41" s="939">
        <f>+FAT!DM132</f>
        <v>418516</v>
      </c>
      <c r="DM41" s="939">
        <f>+FAT!DN132</f>
        <v>452687</v>
      </c>
      <c r="DN41" s="939">
        <f>+FAT!DO132</f>
        <v>585252</v>
      </c>
      <c r="DO41" s="939">
        <f>+FAT!DP132</f>
        <v>693477</v>
      </c>
      <c r="DP41" s="939">
        <f>+FAT!DQ132</f>
        <v>714743.52635399997</v>
      </c>
      <c r="DQ41" s="939">
        <f>+FAT!DR132</f>
        <v>727678.50354976393</v>
      </c>
      <c r="DR41" s="813">
        <f>+FAT!DS132</f>
        <v>720660.44496359664</v>
      </c>
      <c r="DS41" s="813">
        <f>+FAT!DT132</f>
        <v>729341.96298633947</v>
      </c>
      <c r="DT41" s="813">
        <f>+FAT!DU132</f>
        <v>748932.16325390956</v>
      </c>
      <c r="DU41" s="813">
        <f>+FAT!DV132</f>
        <v>777600.53398521373</v>
      </c>
      <c r="DX41" s="813">
        <v>725602.9265203285</v>
      </c>
      <c r="DY41" s="813">
        <v>740440.47533634526</v>
      </c>
    </row>
    <row r="42" spans="1:129" s="904" customFormat="1">
      <c r="A42" s="939"/>
      <c r="B42" s="949" t="s">
        <v>353</v>
      </c>
      <c r="C42" s="939">
        <f>+FAT!C136</f>
        <v>0</v>
      </c>
      <c r="D42" s="939">
        <f>+FAT!D136</f>
        <v>0</v>
      </c>
      <c r="E42" s="939">
        <f>+FAT!E136</f>
        <v>0</v>
      </c>
      <c r="F42" s="939">
        <f>+FAT!F136</f>
        <v>0</v>
      </c>
      <c r="G42" s="939">
        <f>+FAT!G136</f>
        <v>0</v>
      </c>
      <c r="H42" s="939">
        <f>+FAT!H136</f>
        <v>0</v>
      </c>
      <c r="I42" s="939">
        <f>+FAT!I136</f>
        <v>0</v>
      </c>
      <c r="J42" s="939">
        <f>+FAT!J136</f>
        <v>0</v>
      </c>
      <c r="K42" s="939">
        <f>+FAT!K136</f>
        <v>0</v>
      </c>
      <c r="L42" s="939">
        <f>+FAT!L136</f>
        <v>0</v>
      </c>
      <c r="M42" s="939">
        <f>+FAT!M136</f>
        <v>0</v>
      </c>
      <c r="N42" s="939">
        <f>+FAT!N136</f>
        <v>0</v>
      </c>
      <c r="O42" s="939">
        <f>+FAT!O136</f>
        <v>0</v>
      </c>
      <c r="P42" s="939">
        <f>+FAT!P136</f>
        <v>0</v>
      </c>
      <c r="Q42" s="939">
        <f>+FAT!Q136</f>
        <v>0</v>
      </c>
      <c r="R42" s="939">
        <f>+FAT!R136</f>
        <v>0</v>
      </c>
      <c r="S42" s="939">
        <f>+FAT!S136</f>
        <v>0</v>
      </c>
      <c r="T42" s="939">
        <f>+FAT!T136</f>
        <v>0</v>
      </c>
      <c r="U42" s="939">
        <f>+FAT!U136</f>
        <v>0</v>
      </c>
      <c r="V42" s="939">
        <f>+FAT!V136</f>
        <v>0</v>
      </c>
      <c r="W42" s="939">
        <f>+FAT!W136</f>
        <v>0</v>
      </c>
      <c r="X42" s="939">
        <f>+FAT!X136</f>
        <v>0</v>
      </c>
      <c r="Y42" s="939">
        <f>+FAT!Y136</f>
        <v>0</v>
      </c>
      <c r="Z42" s="939">
        <f>+FAT!Z136</f>
        <v>0</v>
      </c>
      <c r="AA42" s="939">
        <f>+FAT!AA136</f>
        <v>0</v>
      </c>
      <c r="AB42" s="939">
        <f>+FAT!AB136</f>
        <v>0</v>
      </c>
      <c r="AC42" s="939">
        <f>+FAT!AC136</f>
        <v>0</v>
      </c>
      <c r="AD42" s="939">
        <f>+FAT!AD136</f>
        <v>0</v>
      </c>
      <c r="AE42" s="939">
        <f>+FAT!AE136</f>
        <v>0</v>
      </c>
      <c r="AF42" s="939">
        <f>+FAT!AF136</f>
        <v>0</v>
      </c>
      <c r="AG42" s="939">
        <f>+FAT!AG136</f>
        <v>0</v>
      </c>
      <c r="AH42" s="939">
        <f>+FAT!AH136</f>
        <v>0</v>
      </c>
      <c r="AI42" s="939">
        <f>+FAT!AI136</f>
        <v>0</v>
      </c>
      <c r="AJ42" s="939">
        <f>+FAT!AJ136</f>
        <v>0</v>
      </c>
      <c r="AK42" s="939">
        <f>+FAT!AK136</f>
        <v>0</v>
      </c>
      <c r="AL42" s="939">
        <f>+FAT!AL136</f>
        <v>0</v>
      </c>
      <c r="AM42" s="939">
        <f>+FAT!AM136</f>
        <v>0</v>
      </c>
      <c r="AN42" s="939">
        <f>+FAT!AN136</f>
        <v>0</v>
      </c>
      <c r="AO42" s="939">
        <f>+FAT!AO136</f>
        <v>0</v>
      </c>
      <c r="AP42" s="939">
        <f>+FAT!AP136</f>
        <v>0</v>
      </c>
      <c r="AQ42" s="939">
        <f>+FAT!AQ136</f>
        <v>0</v>
      </c>
      <c r="AR42" s="939">
        <f>+FAT!AR136</f>
        <v>0</v>
      </c>
      <c r="AS42" s="939">
        <f>+FAT!AS136</f>
        <v>0</v>
      </c>
      <c r="AT42" s="939">
        <f>+FAT!AT136</f>
        <v>0</v>
      </c>
      <c r="AU42" s="939">
        <f>+FAT!AU136</f>
        <v>0</v>
      </c>
      <c r="AV42" s="939">
        <f>+FAT!AV136</f>
        <v>0</v>
      </c>
      <c r="AW42" s="939">
        <f>+FAT!AW136</f>
        <v>0</v>
      </c>
      <c r="AX42" s="939">
        <f>+FAT!AX136</f>
        <v>0</v>
      </c>
      <c r="AY42" s="939">
        <f>+FAT!AY136</f>
        <v>0</v>
      </c>
      <c r="AZ42" s="939">
        <f>+FAT!AZ136</f>
        <v>0</v>
      </c>
      <c r="BA42" s="939">
        <f>+FAT!BA136</f>
        <v>0</v>
      </c>
      <c r="BB42" s="939">
        <f>+FAT!BB136</f>
        <v>0</v>
      </c>
      <c r="BC42" s="939">
        <f>+FAT!BC136</f>
        <v>0</v>
      </c>
      <c r="BD42" s="939">
        <f>+FAT!BD136</f>
        <v>0</v>
      </c>
      <c r="BE42" s="939">
        <f>+FAT!BE136</f>
        <v>0</v>
      </c>
      <c r="BF42" s="939">
        <f>+FAT!BF136</f>
        <v>0</v>
      </c>
      <c r="BG42" s="939">
        <f>+FAT!BG136</f>
        <v>0</v>
      </c>
      <c r="BH42" s="939">
        <f>+FAT!BH136</f>
        <v>0</v>
      </c>
      <c r="BI42" s="939">
        <f>+FAT!BI136</f>
        <v>0</v>
      </c>
      <c r="BJ42" s="939">
        <f>+FAT!BJ136</f>
        <v>0</v>
      </c>
      <c r="BK42" s="939">
        <f>+FAT!BK136</f>
        <v>75600</v>
      </c>
      <c r="BL42" s="939">
        <f>+FAT!BL136</f>
        <v>74100</v>
      </c>
      <c r="BM42" s="939">
        <f>+FAT!BM136</f>
        <v>98400</v>
      </c>
      <c r="BN42" s="939">
        <f>+FAT!BN136</f>
        <v>120400</v>
      </c>
      <c r="BO42" s="939">
        <f>+FAT!BO136</f>
        <v>81800</v>
      </c>
      <c r="BP42" s="939">
        <f>+FAT!BP136</f>
        <v>78200</v>
      </c>
      <c r="BQ42" s="939">
        <f>+FAT!BQ136</f>
        <v>88500</v>
      </c>
      <c r="BR42" s="939">
        <f>+FAT!BR136</f>
        <v>117289</v>
      </c>
      <c r="BS42" s="939">
        <f>+FAT!BS136</f>
        <v>99684</v>
      </c>
      <c r="BT42" s="939">
        <f>+FAT!BT136</f>
        <v>108138</v>
      </c>
      <c r="BU42" s="939">
        <f>+FAT!BU136</f>
        <v>120012</v>
      </c>
      <c r="BV42" s="939">
        <f>+FAT!BV136</f>
        <v>130666</v>
      </c>
      <c r="BW42" s="939">
        <f>+FAT!BW136</f>
        <v>120543.15</v>
      </c>
      <c r="BX42" s="939">
        <f>+FAT!BX136</f>
        <v>127048.02</v>
      </c>
      <c r="BY42" s="939">
        <f>+FAT!BY136</f>
        <v>124403</v>
      </c>
      <c r="BZ42" s="939">
        <f>+FAT!BZ136</f>
        <v>169168.83</v>
      </c>
      <c r="CA42" s="939">
        <f>+FAT!CA136</f>
        <v>119222</v>
      </c>
      <c r="CB42" s="939">
        <f>+FAT!CB136</f>
        <v>105162</v>
      </c>
      <c r="CC42" s="939">
        <f>+FAT!CC136</f>
        <v>118116</v>
      </c>
      <c r="CD42" s="939">
        <f>+FAT!CD136</f>
        <v>122492</v>
      </c>
      <c r="CE42" s="939">
        <f>+FAT!CE136</f>
        <v>126996</v>
      </c>
      <c r="CF42" s="939">
        <f>+FAT!CF136</f>
        <v>126199</v>
      </c>
      <c r="CG42" s="939">
        <f>+FAT!CG136</f>
        <v>122318</v>
      </c>
      <c r="CH42" s="939">
        <v>-128854</v>
      </c>
      <c r="CI42" s="939">
        <f>+FAT!CI136</f>
        <v>129083</v>
      </c>
      <c r="CJ42" s="939">
        <f>+FAT!CJ136</f>
        <v>141104</v>
      </c>
      <c r="CK42" s="939">
        <f>+FAT!CK136</f>
        <v>129643</v>
      </c>
      <c r="CL42" s="941">
        <f>+FAT!CL136</f>
        <v>128381.58672762492</v>
      </c>
      <c r="CM42" s="941">
        <f>+FAT!CM136</f>
        <v>153189.99720036102</v>
      </c>
      <c r="CN42" s="941">
        <f>+FAT!CN136</f>
        <v>148495.22268003566</v>
      </c>
      <c r="CO42" s="941">
        <f>+FAT!CO136</f>
        <v>141853.08167872648</v>
      </c>
      <c r="CP42" s="941">
        <f>+FAT!CP136</f>
        <v>141789.50806194518</v>
      </c>
      <c r="CQ42" s="941"/>
      <c r="CR42" s="941">
        <v>128381.58672762492</v>
      </c>
      <c r="CT42" s="961"/>
      <c r="CU42" s="961"/>
      <c r="CV42" s="961"/>
      <c r="CW42" s="961"/>
      <c r="CX42" s="592">
        <f>+SUM(O42:R42)</f>
        <v>0</v>
      </c>
      <c r="CY42" s="942">
        <f>SUM(S42:V42)</f>
        <v>0</v>
      </c>
      <c r="CZ42" s="942">
        <f>SUM(W42:Z42)</f>
        <v>0</v>
      </c>
      <c r="DA42" s="942">
        <f>SUM(AA42:AD42)</f>
        <v>0</v>
      </c>
      <c r="DB42" s="942">
        <f>SUM(AE42:AH42)</f>
        <v>0</v>
      </c>
      <c r="DC42" s="939">
        <f>+SUM(AI42:AL42)</f>
        <v>0</v>
      </c>
      <c r="DD42" s="939">
        <f>+SUM(AM42:AP42)</f>
        <v>0</v>
      </c>
      <c r="DE42" s="939">
        <f>+FAT!DF136</f>
        <v>0</v>
      </c>
      <c r="DF42" s="939">
        <f>+FAT!DG136</f>
        <v>0</v>
      </c>
      <c r="DG42" s="939">
        <f>+FAT!DH136</f>
        <v>0</v>
      </c>
      <c r="DH42" s="939">
        <f>+FAT!DI136</f>
        <v>0</v>
      </c>
      <c r="DI42" s="939">
        <f>+FAT!DJ136</f>
        <v>0</v>
      </c>
      <c r="DJ42" s="939">
        <f>+FAT!DK136</f>
        <v>368500</v>
      </c>
      <c r="DK42" s="939">
        <f>+FAT!DL136</f>
        <v>365789</v>
      </c>
      <c r="DL42" s="939">
        <f>+FAT!DM136</f>
        <v>458500</v>
      </c>
      <c r="DM42" s="939">
        <f>+FAT!DN136</f>
        <v>541163</v>
      </c>
      <c r="DN42" s="939">
        <f>+FAT!DO136</f>
        <v>464992</v>
      </c>
      <c r="DO42" s="939">
        <f>+FAT!DP136</f>
        <v>504367</v>
      </c>
      <c r="DP42" s="939">
        <f>+FAT!DQ136</f>
        <v>528211.58672762488</v>
      </c>
      <c r="DQ42" s="939">
        <f>+FAT!DR136</f>
        <v>585327.8096210683</v>
      </c>
      <c r="DR42" s="813">
        <f>+FAT!DS136</f>
        <v>642606.89819539152</v>
      </c>
      <c r="DS42" s="813">
        <f>+FAT!DT136</f>
        <v>703531.78936026688</v>
      </c>
      <c r="DT42" s="813">
        <f>+FAT!DU136</f>
        <v>768302.50078121957</v>
      </c>
      <c r="DU42" s="813">
        <f>+FAT!DV136</f>
        <v>837129.21825287212</v>
      </c>
      <c r="DX42" s="813">
        <v>575766.02928782627</v>
      </c>
      <c r="DY42" s="813">
        <v>632109.41985902435</v>
      </c>
    </row>
    <row r="43" spans="1:129" s="590" customFormat="1">
      <c r="A43" s="943"/>
      <c r="B43" s="944" t="s">
        <v>354</v>
      </c>
      <c r="C43" s="943" t="e">
        <f t="shared" ref="C43:BN43" si="140">+C17</f>
        <v>#REF!</v>
      </c>
      <c r="D43" s="943">
        <f t="shared" si="140"/>
        <v>23585</v>
      </c>
      <c r="E43" s="943">
        <f t="shared" si="140"/>
        <v>4676</v>
      </c>
      <c r="F43" s="943">
        <f t="shared" si="140"/>
        <v>16963</v>
      </c>
      <c r="G43" s="943">
        <f t="shared" si="140"/>
        <v>17874</v>
      </c>
      <c r="H43" s="943">
        <f t="shared" si="140"/>
        <v>35665</v>
      </c>
      <c r="I43" s="943">
        <f t="shared" si="140"/>
        <v>20790</v>
      </c>
      <c r="J43" s="943">
        <f t="shared" si="140"/>
        <v>49281</v>
      </c>
      <c r="K43" s="943">
        <f t="shared" si="140"/>
        <v>24340</v>
      </c>
      <c r="L43" s="943">
        <f t="shared" si="140"/>
        <v>40432</v>
      </c>
      <c r="M43" s="943">
        <f t="shared" si="140"/>
        <v>31956</v>
      </c>
      <c r="N43" s="943">
        <f t="shared" si="140"/>
        <v>63471</v>
      </c>
      <c r="O43" s="943">
        <f t="shared" si="140"/>
        <v>24797</v>
      </c>
      <c r="P43" s="943">
        <f t="shared" si="140"/>
        <v>57174</v>
      </c>
      <c r="Q43" s="943">
        <f t="shared" si="140"/>
        <v>45171</v>
      </c>
      <c r="R43" s="943">
        <f t="shared" si="140"/>
        <v>73836</v>
      </c>
      <c r="S43" s="943">
        <f t="shared" si="140"/>
        <v>36255</v>
      </c>
      <c r="T43" s="943">
        <f t="shared" si="140"/>
        <v>57127</v>
      </c>
      <c r="U43" s="943">
        <f t="shared" si="140"/>
        <v>40851</v>
      </c>
      <c r="V43" s="943">
        <f t="shared" si="140"/>
        <v>65527</v>
      </c>
      <c r="W43" s="943">
        <f t="shared" si="140"/>
        <v>17702</v>
      </c>
      <c r="X43" s="943">
        <f t="shared" si="140"/>
        <v>71691</v>
      </c>
      <c r="Y43" s="943">
        <f t="shared" si="140"/>
        <v>46161</v>
      </c>
      <c r="Z43" s="943">
        <f t="shared" si="140"/>
        <v>135065</v>
      </c>
      <c r="AA43" s="943">
        <f t="shared" si="140"/>
        <v>50071</v>
      </c>
      <c r="AB43" s="943">
        <f t="shared" si="140"/>
        <v>129582</v>
      </c>
      <c r="AC43" s="943">
        <f t="shared" si="140"/>
        <v>78152</v>
      </c>
      <c r="AD43" s="943">
        <f t="shared" si="140"/>
        <v>153722</v>
      </c>
      <c r="AE43" s="943">
        <f t="shared" si="140"/>
        <v>59059</v>
      </c>
      <c r="AF43" s="943">
        <f t="shared" si="140"/>
        <v>151492.00000000012</v>
      </c>
      <c r="AG43" s="943">
        <f t="shared" si="140"/>
        <v>76630</v>
      </c>
      <c r="AH43" s="943">
        <f t="shared" si="140"/>
        <v>189074</v>
      </c>
      <c r="AI43" s="943">
        <f t="shared" si="140"/>
        <v>49228</v>
      </c>
      <c r="AJ43" s="943">
        <f t="shared" si="140"/>
        <v>154475</v>
      </c>
      <c r="AK43" s="943">
        <f t="shared" si="140"/>
        <v>110317.00000000012</v>
      </c>
      <c r="AL43" s="943">
        <f t="shared" si="140"/>
        <v>245230</v>
      </c>
      <c r="AM43" s="943">
        <f t="shared" si="140"/>
        <v>46177.000000000116</v>
      </c>
      <c r="AN43" s="943">
        <f t="shared" si="140"/>
        <v>157421</v>
      </c>
      <c r="AO43" s="943">
        <f t="shared" si="140"/>
        <v>110689</v>
      </c>
      <c r="AP43" s="943">
        <f t="shared" si="140"/>
        <v>336147</v>
      </c>
      <c r="AQ43" s="943">
        <f t="shared" si="140"/>
        <v>112907.52000000002</v>
      </c>
      <c r="AR43" s="943">
        <f t="shared" si="140"/>
        <v>243826</v>
      </c>
      <c r="AS43" s="943">
        <f t="shared" si="140"/>
        <v>193752</v>
      </c>
      <c r="AT43" s="943">
        <f t="shared" si="140"/>
        <v>440396.2690000002</v>
      </c>
      <c r="AU43" s="943">
        <f t="shared" si="140"/>
        <v>130573.27951000014</v>
      </c>
      <c r="AV43" s="943">
        <f t="shared" si="140"/>
        <v>253873.64064000011</v>
      </c>
      <c r="AW43" s="943">
        <f t="shared" si="140"/>
        <v>156656</v>
      </c>
      <c r="AX43" s="943">
        <f t="shared" si="140"/>
        <v>392150.30340999993</v>
      </c>
      <c r="AY43" s="943">
        <f t="shared" si="140"/>
        <v>105543</v>
      </c>
      <c r="AZ43" s="943">
        <f t="shared" si="140"/>
        <v>272459</v>
      </c>
      <c r="BA43" s="943">
        <f t="shared" si="140"/>
        <v>132894</v>
      </c>
      <c r="BB43" s="943">
        <f t="shared" si="140"/>
        <v>464795</v>
      </c>
      <c r="BC43" s="943">
        <f t="shared" si="140"/>
        <v>104036</v>
      </c>
      <c r="BD43" s="943">
        <f t="shared" si="140"/>
        <v>294708</v>
      </c>
      <c r="BE43" s="943">
        <f t="shared" si="140"/>
        <v>205928</v>
      </c>
      <c r="BF43" s="943">
        <f t="shared" si="140"/>
        <v>482567</v>
      </c>
      <c r="BG43" s="943">
        <f t="shared" si="140"/>
        <v>170055</v>
      </c>
      <c r="BH43" s="943">
        <f t="shared" si="140"/>
        <v>351973.96485999995</v>
      </c>
      <c r="BI43" s="943">
        <f t="shared" si="140"/>
        <v>258488.43174999999</v>
      </c>
      <c r="BJ43" s="943">
        <f t="shared" si="140"/>
        <v>643304.25080000004</v>
      </c>
      <c r="BK43" s="943">
        <f t="shared" si="140"/>
        <v>247876</v>
      </c>
      <c r="BL43" s="943">
        <f t="shared" si="140"/>
        <v>373864</v>
      </c>
      <c r="BM43" s="943">
        <f t="shared" si="140"/>
        <v>290044</v>
      </c>
      <c r="BN43" s="943">
        <f t="shared" si="140"/>
        <v>764595</v>
      </c>
      <c r="BO43" s="943">
        <f t="shared" ref="BO43:CH43" si="141">+BO17</f>
        <v>32335</v>
      </c>
      <c r="BP43" s="943">
        <f t="shared" si="141"/>
        <v>420256</v>
      </c>
      <c r="BQ43" s="943">
        <f t="shared" si="141"/>
        <v>-126613</v>
      </c>
      <c r="BR43" s="943">
        <f t="shared" si="141"/>
        <v>530901</v>
      </c>
      <c r="BS43" s="943">
        <f t="shared" si="141"/>
        <v>-173363</v>
      </c>
      <c r="BT43" s="943">
        <f t="shared" si="141"/>
        <v>260594</v>
      </c>
      <c r="BU43" s="943">
        <f t="shared" si="141"/>
        <v>208040.33947000233</v>
      </c>
      <c r="BV43" s="943">
        <f t="shared" si="141"/>
        <v>518959.81354999915</v>
      </c>
      <c r="BW43" s="943">
        <f t="shared" si="141"/>
        <v>143842</v>
      </c>
      <c r="BX43" s="943">
        <f t="shared" si="141"/>
        <v>434639</v>
      </c>
      <c r="BY43" s="943">
        <f t="shared" si="141"/>
        <v>200995</v>
      </c>
      <c r="BZ43" s="943">
        <f t="shared" si="141"/>
        <v>627924</v>
      </c>
      <c r="CA43" s="943">
        <f t="shared" si="141"/>
        <v>-26661</v>
      </c>
      <c r="CB43" s="943">
        <f t="shared" si="141"/>
        <v>224430</v>
      </c>
      <c r="CC43" s="943">
        <f t="shared" si="141"/>
        <v>91828</v>
      </c>
      <c r="CD43" s="943">
        <f t="shared" si="141"/>
        <v>599480</v>
      </c>
      <c r="CE43" s="943">
        <f t="shared" si="141"/>
        <v>76210</v>
      </c>
      <c r="CF43" s="943">
        <f t="shared" si="141"/>
        <v>354718</v>
      </c>
      <c r="CG43" s="943">
        <f t="shared" si="141"/>
        <v>272953</v>
      </c>
      <c r="CH43" s="943">
        <f t="shared" si="141"/>
        <v>555462</v>
      </c>
      <c r="CI43" s="943">
        <f t="shared" ref="CI43:CL43" si="142">+CI17</f>
        <v>273006</v>
      </c>
      <c r="CJ43" s="943">
        <f t="shared" ref="CJ43:CK43" si="143">+CJ17</f>
        <v>557901</v>
      </c>
      <c r="CK43" s="943">
        <f t="shared" si="143"/>
        <v>278703</v>
      </c>
      <c r="CL43" s="946">
        <f t="shared" si="142"/>
        <v>645773.98670708109</v>
      </c>
      <c r="CM43" s="946">
        <f t="shared" ref="CM43:CP43" si="144">+CM17</f>
        <v>197903.85835542902</v>
      </c>
      <c r="CN43" s="946">
        <f t="shared" si="144"/>
        <v>486553.75459514931</v>
      </c>
      <c r="CO43" s="946">
        <f t="shared" si="144"/>
        <v>284647.01541190292</v>
      </c>
      <c r="CP43" s="946">
        <f t="shared" si="144"/>
        <v>739212.88955925917</v>
      </c>
      <c r="CQ43" s="946"/>
      <c r="CR43" s="946">
        <v>645773.98670708109</v>
      </c>
      <c r="CT43" s="943"/>
      <c r="CU43" s="943"/>
      <c r="CV43" s="943"/>
      <c r="CW43" s="943"/>
      <c r="CX43" s="943">
        <f>+SUM(O43:R43)</f>
        <v>200978</v>
      </c>
      <c r="CY43" s="947">
        <f>SUM(S43:V43)</f>
        <v>199760</v>
      </c>
      <c r="CZ43" s="947">
        <f>SUM(W43:Z43)</f>
        <v>270619</v>
      </c>
      <c r="DA43" s="947">
        <f>SUM(AA43:AD43)</f>
        <v>411527</v>
      </c>
      <c r="DB43" s="947">
        <f>SUM(AE43:AH43)</f>
        <v>476255.00000000012</v>
      </c>
      <c r="DC43" s="943">
        <f>+SUM(AI43:AL43)</f>
        <v>559250.00000000012</v>
      </c>
      <c r="DD43" s="943">
        <f>+SUM(AM43:AP43)</f>
        <v>650434.00000000012</v>
      </c>
      <c r="DE43" s="943">
        <f t="shared" ref="DE43:DN43" si="145">+DE17</f>
        <v>990881.78900000022</v>
      </c>
      <c r="DF43" s="943">
        <f t="shared" si="145"/>
        <v>933253.22356000019</v>
      </c>
      <c r="DG43" s="943">
        <f t="shared" si="145"/>
        <v>975691</v>
      </c>
      <c r="DH43" s="943">
        <f t="shared" si="145"/>
        <v>1087239</v>
      </c>
      <c r="DI43" s="943">
        <f t="shared" si="145"/>
        <v>1423821.6474099997</v>
      </c>
      <c r="DJ43" s="943">
        <f t="shared" si="145"/>
        <v>1676379</v>
      </c>
      <c r="DK43" s="943">
        <f t="shared" si="145"/>
        <v>856879</v>
      </c>
      <c r="DL43" s="943">
        <f t="shared" si="145"/>
        <v>814231.15302000195</v>
      </c>
      <c r="DM43" s="943">
        <f t="shared" si="145"/>
        <v>1407400</v>
      </c>
      <c r="DN43" s="943">
        <f t="shared" si="145"/>
        <v>889077</v>
      </c>
      <c r="DO43" s="943">
        <f t="shared" ref="DO43:DU43" si="146">+DO17</f>
        <v>1259343</v>
      </c>
      <c r="DP43" s="943">
        <f t="shared" ref="DP43:DQ43" si="147">+DP17</f>
        <v>1755383.986707082</v>
      </c>
      <c r="DQ43" s="943">
        <f t="shared" si="147"/>
        <v>1708317.5179217421</v>
      </c>
      <c r="DR43" s="943">
        <f t="shared" si="146"/>
        <v>2345383.7493042387</v>
      </c>
      <c r="DS43" s="943">
        <f t="shared" si="146"/>
        <v>2629667.9943037555</v>
      </c>
      <c r="DT43" s="943">
        <f t="shared" si="146"/>
        <v>2914855.1777000632</v>
      </c>
      <c r="DU43" s="943">
        <f t="shared" si="146"/>
        <v>3210034.4495391138</v>
      </c>
      <c r="DX43" s="943">
        <v>1995400.7116548605</v>
      </c>
      <c r="DY43" s="943">
        <v>2544156.0894004684</v>
      </c>
    </row>
    <row r="44" spans="1:129" s="302" customFormat="1">
      <c r="A44" s="939"/>
      <c r="B44" s="949" t="s">
        <v>355</v>
      </c>
      <c r="C44" s="939">
        <f>Cartao!C307*1000</f>
        <v>0</v>
      </c>
      <c r="D44" s="939">
        <f>Cartao!D307*1000</f>
        <v>0</v>
      </c>
      <c r="E44" s="939">
        <f>Cartao!E307*1000</f>
        <v>0</v>
      </c>
      <c r="F44" s="939">
        <f>Cartao!F307*1000</f>
        <v>0</v>
      </c>
      <c r="G44" s="939">
        <f>Cartao!G307*1000</f>
        <v>0</v>
      </c>
      <c r="H44" s="939">
        <f>Cartao!H307*1000</f>
        <v>0</v>
      </c>
      <c r="I44" s="939">
        <f>Cartao!I307*1000</f>
        <v>0</v>
      </c>
      <c r="J44" s="939">
        <f>Cartao!J307*1000</f>
        <v>0</v>
      </c>
      <c r="K44" s="939">
        <f>Cartao!K307*1000</f>
        <v>0</v>
      </c>
      <c r="L44" s="939">
        <f>Cartao!L307*1000</f>
        <v>0</v>
      </c>
      <c r="M44" s="939">
        <f>Cartao!M307*1000</f>
        <v>0</v>
      </c>
      <c r="N44" s="939">
        <f>Cartao!N307*1000</f>
        <v>0</v>
      </c>
      <c r="O44" s="939">
        <f>Cartao!O307*1000</f>
        <v>0</v>
      </c>
      <c r="P44" s="939">
        <f>Cartao!P307*1000</f>
        <v>0</v>
      </c>
      <c r="Q44" s="939">
        <f>Cartao!Q307*1000</f>
        <v>0</v>
      </c>
      <c r="R44" s="939">
        <f>Cartao!R307*1000</f>
        <v>0</v>
      </c>
      <c r="S44" s="939">
        <f>Cartao!S307*1000</f>
        <v>0</v>
      </c>
      <c r="T44" s="939">
        <f>Cartao!T307*1000</f>
        <v>0</v>
      </c>
      <c r="U44" s="939">
        <f>Cartao!U307*1000</f>
        <v>0</v>
      </c>
      <c r="V44" s="939">
        <f>Cartao!V307*1000</f>
        <v>0</v>
      </c>
      <c r="W44" s="939">
        <f>Cartao!W307*1000</f>
        <v>0</v>
      </c>
      <c r="X44" s="939">
        <f>Cartao!X307*1000</f>
        <v>0</v>
      </c>
      <c r="Y44" s="939">
        <f>Cartao!Y307*1000</f>
        <v>0</v>
      </c>
      <c r="Z44" s="939">
        <f>Cartao!Z307*1000</f>
        <v>0</v>
      </c>
      <c r="AA44" s="939">
        <f>Cartao!AA307*1000</f>
        <v>0</v>
      </c>
      <c r="AB44" s="939">
        <f>Cartao!AB307*1000</f>
        <v>0</v>
      </c>
      <c r="AC44" s="939">
        <f>Cartao!AC307*1000</f>
        <v>0</v>
      </c>
      <c r="AD44" s="939">
        <f>Cartao!AD307*1000</f>
        <v>0</v>
      </c>
      <c r="AE44" s="939">
        <f>Cartao!AE307*1000</f>
        <v>0</v>
      </c>
      <c r="AF44" s="939">
        <f>Cartao!AF307*1000</f>
        <v>0</v>
      </c>
      <c r="AG44" s="939">
        <f>Cartao!AG307*1000</f>
        <v>0</v>
      </c>
      <c r="AH44" s="939">
        <f>Cartao!AH307*1000</f>
        <v>0</v>
      </c>
      <c r="AI44" s="939">
        <f>Cartao!AI307*1000</f>
        <v>0</v>
      </c>
      <c r="AJ44" s="939">
        <f>Cartao!AJ307*1000</f>
        <v>0</v>
      </c>
      <c r="AK44" s="939">
        <f>Cartao!AK307*1000</f>
        <v>0</v>
      </c>
      <c r="AL44" s="939">
        <f>Cartao!AL307*1000</f>
        <v>0</v>
      </c>
      <c r="AM44" s="939">
        <f>Cartao!AM307*1000</f>
        <v>0</v>
      </c>
      <c r="AN44" s="939">
        <f>Cartao!AN307*1000</f>
        <v>0</v>
      </c>
      <c r="AO44" s="939">
        <f>Cartao!AO307*1000</f>
        <v>0</v>
      </c>
      <c r="AP44" s="939">
        <f>Cartao!AP307*1000</f>
        <v>0</v>
      </c>
      <c r="AQ44" s="939">
        <f>Cartao!AQ307*1000</f>
        <v>0</v>
      </c>
      <c r="AR44" s="939">
        <f>Cartao!AR307*1000</f>
        <v>0</v>
      </c>
      <c r="AS44" s="939">
        <f>Cartao!AS307*1000</f>
        <v>0</v>
      </c>
      <c r="AT44" s="939">
        <f>Cartao!AT307*1000</f>
        <v>0</v>
      </c>
      <c r="AU44" s="939">
        <f>Cartao!AU307*1000</f>
        <v>0</v>
      </c>
      <c r="AV44" s="939">
        <f>Cartao!AV307*1000</f>
        <v>0</v>
      </c>
      <c r="AW44" s="939">
        <f>Cartao!AW307*1000</f>
        <v>0</v>
      </c>
      <c r="AX44" s="939">
        <f>Cartao!AX307*1000</f>
        <v>0</v>
      </c>
      <c r="AY44" s="939">
        <f>Cartao!AY307*1000</f>
        <v>0</v>
      </c>
      <c r="AZ44" s="939">
        <f>Cartao!AZ307*1000</f>
        <v>0</v>
      </c>
      <c r="BA44" s="939">
        <f>Cartao!BA307*1000</f>
        <v>0</v>
      </c>
      <c r="BB44" s="939">
        <f>Cartao!BB307*1000</f>
        <v>0</v>
      </c>
      <c r="BC44" s="939">
        <f>Cartao!BC307*1000</f>
        <v>0</v>
      </c>
      <c r="BD44" s="939">
        <f>Cartao!BD307*1000</f>
        <v>0</v>
      </c>
      <c r="BE44" s="939">
        <f>Cartao!BE307*1000</f>
        <v>0</v>
      </c>
      <c r="BF44" s="939">
        <f>Cartao!BF307*1000</f>
        <v>0</v>
      </c>
      <c r="BG44" s="939">
        <f>Cartao!BG307*1000</f>
        <v>0</v>
      </c>
      <c r="BH44" s="939">
        <f>Cartao!BH307*1000</f>
        <v>0</v>
      </c>
      <c r="BI44" s="939">
        <f>Cartao!BI307*1000</f>
        <v>0</v>
      </c>
      <c r="BJ44" s="939">
        <f>Cartao!BJ307*1000</f>
        <v>0</v>
      </c>
      <c r="BK44" s="939">
        <f>Cartao!BK307*1000</f>
        <v>-34781</v>
      </c>
      <c r="BL44" s="939">
        <f>Cartao!BL307*1000</f>
        <v>-34070</v>
      </c>
      <c r="BM44" s="939">
        <f>Cartao!BM307*1000</f>
        <v>-14700</v>
      </c>
      <c r="BN44" s="939">
        <f>Cartao!BN307*1000</f>
        <v>-33200</v>
      </c>
      <c r="BO44" s="939">
        <f>Cartao!BO307*1000</f>
        <v>-18300</v>
      </c>
      <c r="BP44" s="939">
        <f>Cartao!BP307*1000</f>
        <v>-32700.000000000004</v>
      </c>
      <c r="BQ44" s="939">
        <f>Cartao!BQ307*1000</f>
        <v>-37100</v>
      </c>
      <c r="BR44" s="939">
        <f>Cartao!BR307*1000</f>
        <v>-34200</v>
      </c>
      <c r="BS44" s="939">
        <f>Cartao!BS307*1000</f>
        <v>-42900</v>
      </c>
      <c r="BT44" s="939">
        <f>Cartao!BT307*1000</f>
        <v>-49800</v>
      </c>
      <c r="BU44" s="939">
        <f>Cartao!BU307*1000</f>
        <v>-52600</v>
      </c>
      <c r="BV44" s="939">
        <f>Cartao!BV307*1000</f>
        <v>-56500</v>
      </c>
      <c r="BW44" s="939">
        <f>Cartao!BW307*1000</f>
        <v>-50142</v>
      </c>
      <c r="BX44" s="939">
        <f>Cartao!BX307*1000</f>
        <v>-58400</v>
      </c>
      <c r="BY44" s="939">
        <f>Cartao!BY307*1000</f>
        <v>-56700</v>
      </c>
      <c r="BZ44" s="939">
        <f>Cartao!BZ307*1000</f>
        <v>-61862.999999999964</v>
      </c>
      <c r="CA44" s="939">
        <f>Cartao!CA307*1000</f>
        <v>-52200</v>
      </c>
      <c r="CB44" s="939">
        <f>Cartao!CB307*1000</f>
        <v>-59900</v>
      </c>
      <c r="CC44" s="939">
        <f>Cartao!CC307*1000</f>
        <v>-59100</v>
      </c>
      <c r="CD44" s="939">
        <f>Cartao!CD307*1000</f>
        <v>-68200</v>
      </c>
      <c r="CE44" s="939">
        <f>Cartao!CE307*1000</f>
        <v>-61638</v>
      </c>
      <c r="CF44" s="939">
        <f>Cartao!CF307*1000</f>
        <v>-61000</v>
      </c>
      <c r="CG44" s="939">
        <f>Cartao!CG307*1000</f>
        <v>-58024</v>
      </c>
      <c r="CH44" s="939">
        <v>-60141.837741177551</v>
      </c>
      <c r="CI44" s="939">
        <f>Cartao!CI307*1000</f>
        <v>-63091</v>
      </c>
      <c r="CJ44" s="939">
        <f>Cartao!CJ307*1000</f>
        <v>-62000</v>
      </c>
      <c r="CK44" s="939">
        <f>Cartao!CK307*1000</f>
        <v>-58195</v>
      </c>
      <c r="CL44" s="941">
        <f>Cartao!CL307*1000</f>
        <v>-65943.287856458235</v>
      </c>
      <c r="CM44" s="941">
        <f>Cartao!CM307*1000</f>
        <v>-70397.447036978279</v>
      </c>
      <c r="CN44" s="941">
        <f>Cartao!CN307*1000</f>
        <v>-67565.694979619147</v>
      </c>
      <c r="CO44" s="941">
        <f>Cartao!CO307*1000</f>
        <v>-65676.822103119688</v>
      </c>
      <c r="CP44" s="941">
        <f>Cartao!CP307*1000</f>
        <v>-72207.453572327344</v>
      </c>
      <c r="CQ44" s="941"/>
      <c r="CR44" s="941">
        <v>-65943.287856458235</v>
      </c>
      <c r="CT44" s="939"/>
      <c r="CU44" s="939"/>
      <c r="CV44" s="939"/>
      <c r="CW44" s="939"/>
      <c r="CX44" s="939"/>
      <c r="CY44" s="942"/>
      <c r="CZ44" s="942"/>
      <c r="DA44" s="942"/>
      <c r="DB44" s="942"/>
      <c r="DC44" s="939"/>
      <c r="DD44" s="939"/>
      <c r="DE44" s="939"/>
      <c r="DG44" s="939"/>
      <c r="DH44" s="939"/>
      <c r="DI44" s="939"/>
      <c r="DJ44" s="939">
        <f>Cartao!DJ307*1000</f>
        <v>-116751</v>
      </c>
      <c r="DK44" s="939">
        <f>Cartao!DK307*1000</f>
        <v>-122300</v>
      </c>
      <c r="DL44" s="939">
        <f>Cartao!DL307*1000</f>
        <v>-201799.99999999997</v>
      </c>
      <c r="DM44" s="939">
        <f>Cartao!DM307*1000</f>
        <v>-227105</v>
      </c>
      <c r="DN44" s="939">
        <f>Cartao!DN307*1000</f>
        <v>-239399.99999999997</v>
      </c>
      <c r="DO44" s="939">
        <f>Cartao!DO307*1000</f>
        <v>-244083</v>
      </c>
      <c r="DP44" s="939">
        <f>Cartao!DP307*1000</f>
        <v>-249229.28785645825</v>
      </c>
      <c r="DQ44" s="939">
        <f>Cartao!DQ307*1000</f>
        <v>-275847.41769204446</v>
      </c>
      <c r="DR44" s="813">
        <f>Cartao!DR307*1000</f>
        <v>-260565.32061187748</v>
      </c>
      <c r="DS44" s="813">
        <f>Cartao!DS307*1000</f>
        <v>-247697.95187443262</v>
      </c>
      <c r="DT44" s="813">
        <f>Cartao!DT307*1000</f>
        <v>-275847.41769204446</v>
      </c>
      <c r="DU44" s="813">
        <f>Cartao!DU307*1000</f>
        <v>-302401.16062676598</v>
      </c>
      <c r="DX44" s="813">
        <v>-254155.15772616956</v>
      </c>
      <c r="DY44" s="813">
        <v>-238778.58257316193</v>
      </c>
    </row>
    <row r="45" spans="1:129" s="590" customFormat="1">
      <c r="A45" s="943"/>
      <c r="B45" s="944" t="s">
        <v>356</v>
      </c>
      <c r="C45" s="943" t="e">
        <f t="shared" ref="C45" si="148">+C43+C44</f>
        <v>#REF!</v>
      </c>
      <c r="D45" s="943">
        <f t="shared" ref="D45" si="149">+D43+D44</f>
        <v>23585</v>
      </c>
      <c r="E45" s="943">
        <f t="shared" ref="E45" si="150">+E43+E44</f>
        <v>4676</v>
      </c>
      <c r="F45" s="943">
        <f t="shared" ref="F45" si="151">+F43+F44</f>
        <v>16963</v>
      </c>
      <c r="G45" s="943">
        <f t="shared" ref="G45" si="152">+G43+G44</f>
        <v>17874</v>
      </c>
      <c r="H45" s="943">
        <f t="shared" ref="H45" si="153">+H43+H44</f>
        <v>35665</v>
      </c>
      <c r="I45" s="943">
        <f t="shared" ref="I45" si="154">+I43+I44</f>
        <v>20790</v>
      </c>
      <c r="J45" s="943">
        <f t="shared" ref="J45" si="155">+J43+J44</f>
        <v>49281</v>
      </c>
      <c r="K45" s="943">
        <f t="shared" ref="K45" si="156">+K43+K44</f>
        <v>24340</v>
      </c>
      <c r="L45" s="943">
        <f t="shared" ref="L45" si="157">+L43+L44</f>
        <v>40432</v>
      </c>
      <c r="M45" s="943">
        <f t="shared" ref="M45" si="158">+M43+M44</f>
        <v>31956</v>
      </c>
      <c r="N45" s="943">
        <f t="shared" ref="N45" si="159">+N43+N44</f>
        <v>63471</v>
      </c>
      <c r="O45" s="943">
        <f t="shared" ref="O45" si="160">+O43+O44</f>
        <v>24797</v>
      </c>
      <c r="P45" s="943">
        <f t="shared" ref="P45" si="161">+P43+P44</f>
        <v>57174</v>
      </c>
      <c r="Q45" s="943">
        <f t="shared" ref="Q45" si="162">+Q43+Q44</f>
        <v>45171</v>
      </c>
      <c r="R45" s="943">
        <f t="shared" ref="R45" si="163">+R43+R44</f>
        <v>73836</v>
      </c>
      <c r="S45" s="943">
        <f t="shared" ref="S45" si="164">+S43+S44</f>
        <v>36255</v>
      </c>
      <c r="T45" s="943">
        <f t="shared" ref="T45" si="165">+T43+T44</f>
        <v>57127</v>
      </c>
      <c r="U45" s="943">
        <f t="shared" ref="U45" si="166">+U43+U44</f>
        <v>40851</v>
      </c>
      <c r="V45" s="943">
        <f t="shared" ref="V45" si="167">+V43+V44</f>
        <v>65527</v>
      </c>
      <c r="W45" s="943">
        <f t="shared" ref="W45" si="168">+W43+W44</f>
        <v>17702</v>
      </c>
      <c r="X45" s="943">
        <f t="shared" ref="X45" si="169">+X43+X44</f>
        <v>71691</v>
      </c>
      <c r="Y45" s="943">
        <f t="shared" ref="Y45" si="170">+Y43+Y44</f>
        <v>46161</v>
      </c>
      <c r="Z45" s="943">
        <f t="shared" ref="Z45" si="171">+Z43+Z44</f>
        <v>135065</v>
      </c>
      <c r="AA45" s="943">
        <f t="shared" ref="AA45" si="172">+AA43+AA44</f>
        <v>50071</v>
      </c>
      <c r="AB45" s="943">
        <f t="shared" ref="AB45" si="173">+AB43+AB44</f>
        <v>129582</v>
      </c>
      <c r="AC45" s="943">
        <f t="shared" ref="AC45" si="174">+AC43+AC44</f>
        <v>78152</v>
      </c>
      <c r="AD45" s="943">
        <f t="shared" ref="AD45" si="175">+AD43+AD44</f>
        <v>153722</v>
      </c>
      <c r="AE45" s="943">
        <f t="shared" ref="AE45" si="176">+AE43+AE44</f>
        <v>59059</v>
      </c>
      <c r="AF45" s="943">
        <f t="shared" ref="AF45" si="177">+AF43+AF44</f>
        <v>151492.00000000012</v>
      </c>
      <c r="AG45" s="943">
        <f t="shared" ref="AG45" si="178">+AG43+AG44</f>
        <v>76630</v>
      </c>
      <c r="AH45" s="943">
        <f t="shared" ref="AH45" si="179">+AH43+AH44</f>
        <v>189074</v>
      </c>
      <c r="AI45" s="943">
        <f t="shared" ref="AI45" si="180">+AI43+AI44</f>
        <v>49228</v>
      </c>
      <c r="AJ45" s="943">
        <f t="shared" ref="AJ45" si="181">+AJ43+AJ44</f>
        <v>154475</v>
      </c>
      <c r="AK45" s="943">
        <f t="shared" ref="AK45" si="182">+AK43+AK44</f>
        <v>110317.00000000012</v>
      </c>
      <c r="AL45" s="943">
        <f t="shared" ref="AL45" si="183">+AL43+AL44</f>
        <v>245230</v>
      </c>
      <c r="AM45" s="943">
        <f t="shared" ref="AM45" si="184">+AM43+AM44</f>
        <v>46177.000000000116</v>
      </c>
      <c r="AN45" s="943">
        <f t="shared" ref="AN45" si="185">+AN43+AN44</f>
        <v>157421</v>
      </c>
      <c r="AO45" s="943">
        <f t="shared" ref="AO45" si="186">+AO43+AO44</f>
        <v>110689</v>
      </c>
      <c r="AP45" s="943">
        <f t="shared" ref="AP45" si="187">+AP43+AP44</f>
        <v>336147</v>
      </c>
      <c r="AQ45" s="943">
        <f t="shared" ref="AQ45" si="188">+AQ43+AQ44</f>
        <v>112907.52000000002</v>
      </c>
      <c r="AR45" s="943">
        <f t="shared" ref="AR45" si="189">+AR43+AR44</f>
        <v>243826</v>
      </c>
      <c r="AS45" s="943">
        <f t="shared" ref="AS45" si="190">+AS43+AS44</f>
        <v>193752</v>
      </c>
      <c r="AT45" s="943">
        <f t="shared" ref="AT45" si="191">+AT43+AT44</f>
        <v>440396.2690000002</v>
      </c>
      <c r="AU45" s="943">
        <f t="shared" ref="AU45" si="192">+AU43+AU44</f>
        <v>130573.27951000014</v>
      </c>
      <c r="AV45" s="943">
        <f t="shared" ref="AV45" si="193">+AV43+AV44</f>
        <v>253873.64064000011</v>
      </c>
      <c r="AW45" s="943">
        <f t="shared" ref="AW45" si="194">+AW43+AW44</f>
        <v>156656</v>
      </c>
      <c r="AX45" s="943">
        <f t="shared" ref="AX45" si="195">+AX43+AX44</f>
        <v>392150.30340999993</v>
      </c>
      <c r="AY45" s="943">
        <f t="shared" ref="AY45" si="196">+AY43+AY44</f>
        <v>105543</v>
      </c>
      <c r="AZ45" s="943">
        <f t="shared" ref="AZ45" si="197">+AZ43+AZ44</f>
        <v>272459</v>
      </c>
      <c r="BA45" s="943">
        <f t="shared" ref="BA45" si="198">+BA43+BA44</f>
        <v>132894</v>
      </c>
      <c r="BB45" s="943">
        <f t="shared" ref="BB45" si="199">+BB43+BB44</f>
        <v>464795</v>
      </c>
      <c r="BC45" s="943">
        <f t="shared" ref="BC45" si="200">+BC43+BC44</f>
        <v>104036</v>
      </c>
      <c r="BD45" s="943">
        <f t="shared" ref="BD45" si="201">+BD43+BD44</f>
        <v>294708</v>
      </c>
      <c r="BE45" s="943">
        <f t="shared" ref="BE45" si="202">+BE43+BE44</f>
        <v>205928</v>
      </c>
      <c r="BF45" s="943">
        <f t="shared" ref="BF45" si="203">+BF43+BF44</f>
        <v>482567</v>
      </c>
      <c r="BG45" s="943">
        <f t="shared" ref="BG45" si="204">+BG43+BG44</f>
        <v>170055</v>
      </c>
      <c r="BH45" s="943">
        <f t="shared" ref="BH45" si="205">+BH43+BH44</f>
        <v>351973.96485999995</v>
      </c>
      <c r="BI45" s="943">
        <f t="shared" ref="BI45" si="206">+BI43+BI44</f>
        <v>258488.43174999999</v>
      </c>
      <c r="BJ45" s="943">
        <f t="shared" ref="BJ45" si="207">+BJ43+BJ44</f>
        <v>643304.25080000004</v>
      </c>
      <c r="BK45" s="943">
        <f t="shared" ref="BK45" si="208">+BK43+BK44</f>
        <v>213095</v>
      </c>
      <c r="BL45" s="943">
        <f t="shared" ref="BL45" si="209">+BL43+BL44</f>
        <v>339794</v>
      </c>
      <c r="BM45" s="943">
        <f t="shared" ref="BM45" si="210">+BM43+BM44</f>
        <v>275344</v>
      </c>
      <c r="BN45" s="943">
        <f t="shared" ref="BN45" si="211">+BN43+BN44</f>
        <v>731395</v>
      </c>
      <c r="BO45" s="943">
        <f t="shared" ref="BO45" si="212">+BO43+BO44</f>
        <v>14035</v>
      </c>
      <c r="BP45" s="943">
        <f t="shared" ref="BP45" si="213">+BP43+BP44</f>
        <v>387556</v>
      </c>
      <c r="BQ45" s="943">
        <f t="shared" ref="BQ45" si="214">+BQ43+BQ44</f>
        <v>-163713</v>
      </c>
      <c r="BR45" s="943">
        <f t="shared" ref="BR45" si="215">+BR43+BR44</f>
        <v>496701</v>
      </c>
      <c r="BS45" s="943">
        <f t="shared" ref="BS45" si="216">+BS43+BS44</f>
        <v>-216263</v>
      </c>
      <c r="BT45" s="943">
        <f t="shared" ref="BT45" si="217">+BT43+BT44</f>
        <v>210794</v>
      </c>
      <c r="BU45" s="943">
        <f t="shared" ref="BU45" si="218">+BU43+BU44</f>
        <v>155440.33947000233</v>
      </c>
      <c r="BV45" s="943">
        <f t="shared" ref="BV45" si="219">+BV43+BV44</f>
        <v>462459.81354999915</v>
      </c>
      <c r="BW45" s="943">
        <f t="shared" ref="BW45" si="220">+BW43+BW44</f>
        <v>93700</v>
      </c>
      <c r="BX45" s="943">
        <f t="shared" ref="BX45" si="221">+BX43+BX44</f>
        <v>376239</v>
      </c>
      <c r="BY45" s="943">
        <f t="shared" ref="BY45" si="222">+BY43+BY44</f>
        <v>144295</v>
      </c>
      <c r="BZ45" s="943">
        <f t="shared" ref="BZ45" si="223">+BZ43+BZ44</f>
        <v>566061</v>
      </c>
      <c r="CA45" s="943">
        <f t="shared" ref="CA45" si="224">+CA43+CA44</f>
        <v>-78861</v>
      </c>
      <c r="CB45" s="943">
        <f t="shared" ref="CB45" si="225">+CB43+CB44</f>
        <v>164530</v>
      </c>
      <c r="CC45" s="943">
        <f t="shared" ref="CC45" si="226">+CC43+CC44</f>
        <v>32728</v>
      </c>
      <c r="CD45" s="943">
        <f t="shared" ref="CD45" si="227">+CD43+CD44</f>
        <v>531280</v>
      </c>
      <c r="CE45" s="943">
        <f t="shared" ref="CE45" si="228">+CE43+CE44</f>
        <v>14572</v>
      </c>
      <c r="CF45" s="943">
        <f t="shared" ref="CF45" si="229">+CF43+CF44</f>
        <v>293718</v>
      </c>
      <c r="CG45" s="943">
        <f t="shared" ref="CG45:CH45" si="230">+CG43+CG44</f>
        <v>214929</v>
      </c>
      <c r="CH45" s="943">
        <f t="shared" si="230"/>
        <v>495320.16225882247</v>
      </c>
      <c r="CI45" s="943">
        <f t="shared" ref="CI45:CL45" si="231">+CI43+CI44</f>
        <v>209915</v>
      </c>
      <c r="CJ45" s="943">
        <f t="shared" ref="CJ45:CK45" si="232">+CJ43+CJ44</f>
        <v>495901</v>
      </c>
      <c r="CK45" s="943">
        <f t="shared" si="232"/>
        <v>220508</v>
      </c>
      <c r="CL45" s="946">
        <f t="shared" si="231"/>
        <v>579830.69885062287</v>
      </c>
      <c r="CM45" s="946">
        <f t="shared" ref="CM45:CP45" si="233">+CM43+CM44</f>
        <v>127506.41131845074</v>
      </c>
      <c r="CN45" s="946">
        <f t="shared" si="233"/>
        <v>418988.05961553019</v>
      </c>
      <c r="CO45" s="946">
        <f t="shared" si="233"/>
        <v>218970.19330878323</v>
      </c>
      <c r="CP45" s="946">
        <f t="shared" si="233"/>
        <v>667005.43598693179</v>
      </c>
      <c r="CQ45" s="946"/>
      <c r="CR45" s="946">
        <v>579830.69885062287</v>
      </c>
      <c r="CT45" s="943"/>
      <c r="CU45" s="943"/>
      <c r="CV45" s="943"/>
      <c r="CW45" s="943"/>
      <c r="CX45" s="943"/>
      <c r="CY45" s="947"/>
      <c r="CZ45" s="947"/>
      <c r="DA45" s="947"/>
      <c r="DB45" s="947"/>
      <c r="DC45" s="943"/>
      <c r="DD45" s="943"/>
      <c r="DE45" s="943"/>
      <c r="DF45" s="943">
        <f t="shared" ref="DF45:DI45" si="234">+DF43+DF44</f>
        <v>933253.22356000019</v>
      </c>
      <c r="DG45" s="943">
        <f t="shared" si="234"/>
        <v>975691</v>
      </c>
      <c r="DH45" s="943">
        <f t="shared" si="234"/>
        <v>1087239</v>
      </c>
      <c r="DI45" s="943">
        <f t="shared" si="234"/>
        <v>1423821.6474099997</v>
      </c>
      <c r="DJ45" s="943">
        <f>+DJ43+DJ44</f>
        <v>1559628</v>
      </c>
      <c r="DK45" s="943">
        <f t="shared" ref="DK45:DU45" si="235">+DK43+DK44</f>
        <v>734579</v>
      </c>
      <c r="DL45" s="943">
        <f t="shared" si="235"/>
        <v>612431.15302000195</v>
      </c>
      <c r="DM45" s="943">
        <f t="shared" si="235"/>
        <v>1180295</v>
      </c>
      <c r="DN45" s="943">
        <f t="shared" si="235"/>
        <v>649677</v>
      </c>
      <c r="DO45" s="943">
        <f t="shared" si="235"/>
        <v>1015260</v>
      </c>
      <c r="DP45" s="943">
        <f t="shared" ref="DP45:DQ45" si="236">+DP43+DP44</f>
        <v>1506154.6988506238</v>
      </c>
      <c r="DQ45" s="943">
        <f t="shared" si="236"/>
        <v>1432470.1002296975</v>
      </c>
      <c r="DR45" s="943">
        <f t="shared" si="235"/>
        <v>2084818.4286923613</v>
      </c>
      <c r="DS45" s="943">
        <f t="shared" si="235"/>
        <v>2381970.0424293228</v>
      </c>
      <c r="DT45" s="943">
        <f t="shared" si="235"/>
        <v>2639007.7600080189</v>
      </c>
      <c r="DU45" s="943">
        <f t="shared" si="235"/>
        <v>2907633.288912348</v>
      </c>
      <c r="DV45" s="1907" t="s">
        <v>357</v>
      </c>
      <c r="DW45" s="590">
        <v>2745224.6662395541</v>
      </c>
      <c r="DX45" s="943">
        <v>1741245.553928691</v>
      </c>
      <c r="DY45" s="943">
        <v>2305377.5068273065</v>
      </c>
    </row>
    <row r="46" spans="1:129" s="904" customFormat="1">
      <c r="A46" s="939"/>
      <c r="B46" s="949" t="s">
        <v>358</v>
      </c>
      <c r="C46" s="592" t="e">
        <f t="shared" ref="C46:BN46" si="237">+C45*C226-C235</f>
        <v>#REF!</v>
      </c>
      <c r="D46" s="592">
        <f t="shared" si="237"/>
        <v>0</v>
      </c>
      <c r="E46" s="592">
        <f t="shared" si="237"/>
        <v>0</v>
      </c>
      <c r="F46" s="592">
        <f t="shared" si="237"/>
        <v>0</v>
      </c>
      <c r="G46" s="592">
        <f t="shared" si="237"/>
        <v>0</v>
      </c>
      <c r="H46" s="592">
        <f t="shared" si="237"/>
        <v>0</v>
      </c>
      <c r="I46" s="592">
        <f t="shared" si="237"/>
        <v>0</v>
      </c>
      <c r="J46" s="592">
        <f t="shared" si="237"/>
        <v>0</v>
      </c>
      <c r="K46" s="592">
        <f t="shared" si="237"/>
        <v>0</v>
      </c>
      <c r="L46" s="592">
        <f t="shared" si="237"/>
        <v>0</v>
      </c>
      <c r="M46" s="592">
        <f t="shared" si="237"/>
        <v>0</v>
      </c>
      <c r="N46" s="592">
        <f t="shared" si="237"/>
        <v>0</v>
      </c>
      <c r="O46" s="592">
        <f t="shared" si="237"/>
        <v>0</v>
      </c>
      <c r="P46" s="592">
        <f t="shared" si="237"/>
        <v>0</v>
      </c>
      <c r="Q46" s="592">
        <f t="shared" si="237"/>
        <v>0</v>
      </c>
      <c r="R46" s="592">
        <f t="shared" si="237"/>
        <v>0</v>
      </c>
      <c r="S46" s="592">
        <f t="shared" si="237"/>
        <v>0</v>
      </c>
      <c r="T46" s="592">
        <f t="shared" si="237"/>
        <v>0</v>
      </c>
      <c r="U46" s="592">
        <f t="shared" si="237"/>
        <v>0</v>
      </c>
      <c r="V46" s="592">
        <f t="shared" si="237"/>
        <v>0</v>
      </c>
      <c r="W46" s="592">
        <f t="shared" si="237"/>
        <v>0</v>
      </c>
      <c r="X46" s="592">
        <f t="shared" si="237"/>
        <v>0</v>
      </c>
      <c r="Y46" s="592">
        <f t="shared" si="237"/>
        <v>0</v>
      </c>
      <c r="Z46" s="592">
        <f t="shared" si="237"/>
        <v>0</v>
      </c>
      <c r="AA46" s="592">
        <f t="shared" si="237"/>
        <v>0</v>
      </c>
      <c r="AB46" s="592">
        <f t="shared" si="237"/>
        <v>0</v>
      </c>
      <c r="AC46" s="592">
        <f t="shared" si="237"/>
        <v>0</v>
      </c>
      <c r="AD46" s="592">
        <f t="shared" si="237"/>
        <v>0</v>
      </c>
      <c r="AE46" s="592">
        <f t="shared" si="237"/>
        <v>0</v>
      </c>
      <c r="AF46" s="592">
        <f t="shared" si="237"/>
        <v>0</v>
      </c>
      <c r="AG46" s="592">
        <f t="shared" si="237"/>
        <v>0</v>
      </c>
      <c r="AH46" s="592">
        <f t="shared" si="237"/>
        <v>0</v>
      </c>
      <c r="AI46" s="592">
        <f t="shared" si="237"/>
        <v>0</v>
      </c>
      <c r="AJ46" s="592">
        <f t="shared" si="237"/>
        <v>0</v>
      </c>
      <c r="AK46" s="592">
        <f t="shared" si="237"/>
        <v>0</v>
      </c>
      <c r="AL46" s="592">
        <f t="shared" si="237"/>
        <v>0</v>
      </c>
      <c r="AM46" s="592">
        <f t="shared" si="237"/>
        <v>0</v>
      </c>
      <c r="AN46" s="592">
        <f t="shared" si="237"/>
        <v>0</v>
      </c>
      <c r="AO46" s="592">
        <f t="shared" si="237"/>
        <v>0</v>
      </c>
      <c r="AP46" s="592">
        <f t="shared" si="237"/>
        <v>0</v>
      </c>
      <c r="AQ46" s="592">
        <f t="shared" si="237"/>
        <v>0</v>
      </c>
      <c r="AR46" s="592">
        <f t="shared" si="237"/>
        <v>0</v>
      </c>
      <c r="AS46" s="592">
        <f t="shared" si="237"/>
        <v>0</v>
      </c>
      <c r="AT46" s="592">
        <f t="shared" si="237"/>
        <v>0</v>
      </c>
      <c r="AU46" s="592">
        <f t="shared" si="237"/>
        <v>0</v>
      </c>
      <c r="AV46" s="592">
        <f t="shared" si="237"/>
        <v>0</v>
      </c>
      <c r="AW46" s="592">
        <f t="shared" si="237"/>
        <v>0</v>
      </c>
      <c r="AX46" s="592">
        <f t="shared" si="237"/>
        <v>0</v>
      </c>
      <c r="AY46" s="592">
        <f t="shared" si="237"/>
        <v>0</v>
      </c>
      <c r="AZ46" s="592">
        <f t="shared" si="237"/>
        <v>0</v>
      </c>
      <c r="BA46" s="592">
        <f t="shared" si="237"/>
        <v>0</v>
      </c>
      <c r="BB46" s="592">
        <f t="shared" si="237"/>
        <v>0</v>
      </c>
      <c r="BC46" s="592">
        <f t="shared" si="237"/>
        <v>0</v>
      </c>
      <c r="BD46" s="592">
        <f t="shared" si="237"/>
        <v>0</v>
      </c>
      <c r="BE46" s="592">
        <f t="shared" si="237"/>
        <v>0</v>
      </c>
      <c r="BF46" s="592">
        <f t="shared" si="237"/>
        <v>0</v>
      </c>
      <c r="BG46" s="592">
        <f t="shared" si="237"/>
        <v>0</v>
      </c>
      <c r="BH46" s="592">
        <f t="shared" si="237"/>
        <v>0</v>
      </c>
      <c r="BI46" s="592">
        <f t="shared" si="237"/>
        <v>0</v>
      </c>
      <c r="BJ46" s="592">
        <f t="shared" si="237"/>
        <v>0</v>
      </c>
      <c r="BK46" s="592">
        <f t="shared" si="237"/>
        <v>-48969.86990561452</v>
      </c>
      <c r="BL46" s="592">
        <f t="shared" si="237"/>
        <v>-94697.78210183479</v>
      </c>
      <c r="BM46" s="592">
        <f t="shared" si="237"/>
        <v>-69630.570467767015</v>
      </c>
      <c r="BN46" s="592">
        <f t="shared" si="237"/>
        <v>-209004.21371606877</v>
      </c>
      <c r="BO46" s="592">
        <f t="shared" ref="BO46:CH46" si="238">+BO45*BO226-BO235</f>
        <v>-20017.819649481593</v>
      </c>
      <c r="BP46" s="592">
        <f t="shared" si="238"/>
        <v>-40631.629394655254</v>
      </c>
      <c r="BQ46" s="592">
        <f t="shared" si="238"/>
        <v>89976.484323930243</v>
      </c>
      <c r="BR46" s="592">
        <f t="shared" si="238"/>
        <v>-136976.84470712376</v>
      </c>
      <c r="BS46" s="592">
        <f t="shared" si="238"/>
        <v>89294.028581596212</v>
      </c>
      <c r="BT46" s="592">
        <f t="shared" si="238"/>
        <v>-16383.667511431042</v>
      </c>
      <c r="BU46" s="592">
        <f t="shared" si="238"/>
        <v>-14287.762557424154</v>
      </c>
      <c r="BV46" s="592">
        <f t="shared" si="238"/>
        <v>-72276.189685354271</v>
      </c>
      <c r="BW46" s="592">
        <f t="shared" si="238"/>
        <v>17946.097018793305</v>
      </c>
      <c r="BX46" s="592">
        <f t="shared" si="238"/>
        <v>-61760.995492606897</v>
      </c>
      <c r="BY46" s="592">
        <f t="shared" si="238"/>
        <v>40944.72061114294</v>
      </c>
      <c r="BZ46" s="592">
        <f t="shared" si="238"/>
        <v>-104902.23125763572</v>
      </c>
      <c r="CA46" s="592">
        <f t="shared" si="238"/>
        <v>167313.70571096239</v>
      </c>
      <c r="CB46" s="592">
        <f t="shared" si="238"/>
        <v>28579.642218027151</v>
      </c>
      <c r="CC46" s="592">
        <f t="shared" si="238"/>
        <v>41362.554792191491</v>
      </c>
      <c r="CD46" s="592">
        <f t="shared" si="238"/>
        <v>-72612.346505198657</v>
      </c>
      <c r="CE46" s="592">
        <f t="shared" si="238"/>
        <v>3571.9176357764436</v>
      </c>
      <c r="CF46" s="592">
        <f t="shared" si="238"/>
        <v>-52978.816596024815</v>
      </c>
      <c r="CG46" s="592">
        <f t="shared" si="238"/>
        <v>-18705.626365049178</v>
      </c>
      <c r="CH46" s="592">
        <f t="shared" si="238"/>
        <v>-52287.411836279745</v>
      </c>
      <c r="CI46" s="592">
        <f t="shared" ref="CI46:CL46" si="239">+CI45*CI226-CI235</f>
        <v>-27620.223078966315</v>
      </c>
      <c r="CJ46" s="592">
        <f t="shared" ref="CJ46:CK46" si="240">+CJ45*CJ226-CJ235</f>
        <v>-104160.47105630641</v>
      </c>
      <c r="CK46" s="592">
        <f t="shared" si="240"/>
        <v>16815.342963871713</v>
      </c>
      <c r="CL46" s="941">
        <f t="shared" si="239"/>
        <v>-122535.65993930951</v>
      </c>
      <c r="CM46" s="941">
        <f t="shared" ref="CM46:CP46" si="241">+CM45*CM226-CM235</f>
        <v>16682.537699038738</v>
      </c>
      <c r="CN46" s="941">
        <f t="shared" si="241"/>
        <v>-75083.692415258221</v>
      </c>
      <c r="CO46" s="941">
        <f t="shared" si="241"/>
        <v>-12168.157003754302</v>
      </c>
      <c r="CP46" s="941">
        <f t="shared" si="241"/>
        <v>-150601.30916524469</v>
      </c>
      <c r="CQ46" s="941"/>
      <c r="CR46" s="941">
        <v>-122535.65993930951</v>
      </c>
      <c r="CT46" s="592"/>
      <c r="CU46" s="592"/>
      <c r="CV46" s="592"/>
      <c r="CW46" s="592"/>
      <c r="CX46" s="592">
        <f>+SUM(O46:R46)</f>
        <v>0</v>
      </c>
      <c r="CY46" s="942">
        <f t="shared" ref="CY46:CY60" si="242">SUM(S46:V46)</f>
        <v>0</v>
      </c>
      <c r="CZ46" s="942">
        <f t="shared" ref="CZ46:CZ60" si="243">SUM(W46:Z46)</f>
        <v>0</v>
      </c>
      <c r="DA46" s="942">
        <f t="shared" ref="DA46:DA60" si="244">SUM(AA46:AD46)</f>
        <v>0</v>
      </c>
      <c r="DB46" s="942">
        <f t="shared" ref="DB46:DB60" si="245">SUM(AE46:AH46)</f>
        <v>0</v>
      </c>
      <c r="DC46" s="939">
        <f t="shared" ref="DC46:DC60" si="246">+SUM(AI46:AL46)</f>
        <v>0</v>
      </c>
      <c r="DD46" s="939">
        <f t="shared" ref="DD46:DD60" si="247">+SUM(AM46:AP46)</f>
        <v>0</v>
      </c>
      <c r="DE46" s="939">
        <f>+DE43*DE181-DE235</f>
        <v>263269.33271000831</v>
      </c>
      <c r="DF46" s="592">
        <f t="shared" ref="DF46:DM46" si="248">+DF45*DF24</f>
        <v>-281359.6455819488</v>
      </c>
      <c r="DG46" s="592">
        <f t="shared" si="248"/>
        <v>-276609.50182431762</v>
      </c>
      <c r="DH46" s="592">
        <f t="shared" si="248"/>
        <v>-293923.46914667106</v>
      </c>
      <c r="DI46" s="592">
        <f t="shared" si="248"/>
        <v>-363757.85787123576</v>
      </c>
      <c r="DJ46" s="592">
        <f t="shared" si="248"/>
        <v>-424178.41576585273</v>
      </c>
      <c r="DK46" s="592">
        <f t="shared" si="248"/>
        <v>-63925.749287725564</v>
      </c>
      <c r="DL46" s="592">
        <f t="shared" si="248"/>
        <v>-6449.2101972219771</v>
      </c>
      <c r="DM46" s="592">
        <f t="shared" si="248"/>
        <v>-78938.202995194632</v>
      </c>
      <c r="DN46" s="592">
        <f>+DN45*DN24</f>
        <v>104787.03670299893</v>
      </c>
      <c r="DO46" s="592">
        <f t="shared" ref="DO46:DU46" si="249">+DO45*DO24</f>
        <v>-95553.782892769625</v>
      </c>
      <c r="DP46" s="592">
        <f t="shared" ref="DP46:DQ46" si="250">+DP45*DP24</f>
        <v>-230377.82638498073</v>
      </c>
      <c r="DQ46" s="592">
        <f t="shared" si="250"/>
        <v>-211868.65839711239</v>
      </c>
      <c r="DR46" s="813">
        <f t="shared" si="249"/>
        <v>-420119.06173923134</v>
      </c>
      <c r="DS46" s="813">
        <f t="shared" si="249"/>
        <v>-503327.52129342948</v>
      </c>
      <c r="DT46" s="813">
        <f t="shared" si="249"/>
        <v>-567862.28045075445</v>
      </c>
      <c r="DU46" s="813">
        <f t="shared" si="249"/>
        <v>-631998.82373608486</v>
      </c>
      <c r="DV46" s="904" t="s">
        <v>359</v>
      </c>
      <c r="DW46" s="904">
        <v>-933376.3865214485</v>
      </c>
      <c r="DX46" s="813">
        <v>-312123.70614709507</v>
      </c>
      <c r="DY46" s="813">
        <v>-479452.59715822496</v>
      </c>
    </row>
    <row r="47" spans="1:129" s="904" customFormat="1">
      <c r="A47" s="939"/>
      <c r="B47" s="908" t="s">
        <v>360</v>
      </c>
      <c r="C47" s="948"/>
      <c r="D47" s="948"/>
      <c r="E47" s="948"/>
      <c r="F47" s="948"/>
      <c r="G47" s="948"/>
      <c r="H47" s="948"/>
      <c r="I47" s="948"/>
      <c r="J47" s="948"/>
      <c r="K47" s="948"/>
      <c r="L47" s="948"/>
      <c r="M47" s="948"/>
      <c r="N47" s="948"/>
      <c r="O47" s="948"/>
      <c r="P47" s="948"/>
      <c r="Q47" s="948"/>
      <c r="R47" s="948"/>
      <c r="S47" s="948"/>
      <c r="T47" s="948"/>
      <c r="U47" s="948"/>
      <c r="V47" s="948"/>
      <c r="W47" s="948"/>
      <c r="X47" s="948"/>
      <c r="Y47" s="948"/>
      <c r="Z47" s="948"/>
      <c r="AA47" s="948"/>
      <c r="AB47" s="948"/>
      <c r="AC47" s="948"/>
      <c r="AD47" s="948"/>
      <c r="AE47" s="948"/>
      <c r="AF47" s="948"/>
      <c r="AG47" s="948"/>
      <c r="AH47" s="948"/>
      <c r="AI47" s="948"/>
      <c r="AJ47" s="948"/>
      <c r="AK47" s="948"/>
      <c r="AL47" s="948"/>
      <c r="AM47" s="948"/>
      <c r="AN47" s="948"/>
      <c r="AO47" s="948"/>
      <c r="AP47" s="948"/>
      <c r="AQ47" s="948"/>
      <c r="AR47" s="948"/>
      <c r="AS47" s="948"/>
      <c r="AT47" s="948"/>
      <c r="AU47" s="948"/>
      <c r="AV47" s="948"/>
      <c r="AW47" s="948"/>
      <c r="AX47" s="948"/>
      <c r="AY47" s="948"/>
      <c r="AZ47" s="948"/>
      <c r="BA47" s="948"/>
      <c r="BB47" s="948"/>
      <c r="BC47" s="948"/>
      <c r="BD47" s="948"/>
      <c r="BE47" s="948"/>
      <c r="BF47" s="948"/>
      <c r="BG47" s="948"/>
      <c r="BH47" s="941"/>
      <c r="BI47" s="941"/>
      <c r="BJ47" s="941"/>
      <c r="BK47" s="941"/>
      <c r="BL47" s="941"/>
      <c r="BM47" s="941"/>
      <c r="BN47" s="941"/>
      <c r="BO47" s="941"/>
      <c r="BP47" s="941"/>
      <c r="BQ47" s="941"/>
      <c r="BR47" s="941"/>
      <c r="BS47" s="941"/>
      <c r="BT47" s="941"/>
      <c r="BU47" s="941"/>
      <c r="BV47" s="941"/>
      <c r="BW47" s="941"/>
      <c r="BX47" s="941"/>
      <c r="BY47" s="941"/>
      <c r="BZ47" s="941"/>
      <c r="CA47" s="941"/>
      <c r="CB47" s="941"/>
      <c r="CC47" s="941"/>
      <c r="CD47" s="941"/>
      <c r="CE47" s="941"/>
      <c r="CF47" s="941"/>
      <c r="CG47" s="941"/>
      <c r="CH47" s="941"/>
      <c r="CI47" s="941"/>
      <c r="CJ47" s="941"/>
      <c r="CK47" s="941"/>
      <c r="CL47" s="941"/>
      <c r="CM47" s="941"/>
      <c r="CN47" s="941"/>
      <c r="CO47" s="941"/>
      <c r="CP47" s="941"/>
      <c r="CQ47" s="941"/>
      <c r="CR47" s="941"/>
      <c r="CT47" s="948"/>
      <c r="CU47" s="948"/>
      <c r="CV47" s="948"/>
      <c r="CW47" s="948"/>
      <c r="CX47" s="592">
        <f>+SUM(O47:R47)</f>
        <v>0</v>
      </c>
      <c r="CY47" s="942">
        <f t="shared" si="242"/>
        <v>0</v>
      </c>
      <c r="CZ47" s="942">
        <f t="shared" si="243"/>
        <v>0</v>
      </c>
      <c r="DA47" s="942">
        <f t="shared" si="244"/>
        <v>0</v>
      </c>
      <c r="DB47" s="942">
        <f t="shared" si="245"/>
        <v>0</v>
      </c>
      <c r="DC47" s="939">
        <f t="shared" si="246"/>
        <v>0</v>
      </c>
      <c r="DD47" s="939">
        <f t="shared" si="247"/>
        <v>0</v>
      </c>
      <c r="DE47" s="939"/>
      <c r="DF47" s="939"/>
      <c r="DG47" s="939"/>
      <c r="DH47" s="939"/>
      <c r="DI47" s="939"/>
      <c r="DJ47" s="939"/>
      <c r="DK47" s="939"/>
      <c r="DL47" s="939"/>
      <c r="DM47" s="939"/>
      <c r="DN47" s="939"/>
      <c r="DO47" s="939"/>
      <c r="DP47" s="939"/>
      <c r="DQ47" s="939"/>
      <c r="DR47" s="813"/>
      <c r="DS47" s="813"/>
      <c r="DT47" s="813"/>
      <c r="DU47" s="813"/>
      <c r="DV47" s="904" t="s">
        <v>361</v>
      </c>
      <c r="DW47" s="904">
        <v>280895.32930083142</v>
      </c>
      <c r="DX47" s="813"/>
      <c r="DY47" s="813"/>
    </row>
    <row r="48" spans="1:129" s="904" customFormat="1">
      <c r="A48" s="939"/>
      <c r="B48" s="908" t="s">
        <v>362</v>
      </c>
      <c r="C48" s="592">
        <f t="shared" ref="C48:BN48" si="251">-C32</f>
        <v>0</v>
      </c>
      <c r="D48" s="592">
        <f t="shared" si="251"/>
        <v>0</v>
      </c>
      <c r="E48" s="592">
        <f t="shared" si="251"/>
        <v>0</v>
      </c>
      <c r="F48" s="592">
        <f t="shared" si="251"/>
        <v>0</v>
      </c>
      <c r="G48" s="592">
        <f t="shared" si="251"/>
        <v>0</v>
      </c>
      <c r="H48" s="592">
        <f t="shared" si="251"/>
        <v>-908</v>
      </c>
      <c r="I48" s="592">
        <f t="shared" si="251"/>
        <v>-504</v>
      </c>
      <c r="J48" s="592">
        <f t="shared" si="251"/>
        <v>3078</v>
      </c>
      <c r="K48" s="592">
        <f t="shared" si="251"/>
        <v>0</v>
      </c>
      <c r="L48" s="592">
        <f t="shared" si="251"/>
        <v>0</v>
      </c>
      <c r="M48" s="592">
        <f t="shared" si="251"/>
        <v>0</v>
      </c>
      <c r="N48" s="592">
        <f t="shared" si="251"/>
        <v>4329</v>
      </c>
      <c r="O48" s="592">
        <f t="shared" si="251"/>
        <v>0</v>
      </c>
      <c r="P48" s="592">
        <f t="shared" si="251"/>
        <v>0</v>
      </c>
      <c r="Q48" s="592">
        <f t="shared" si="251"/>
        <v>0</v>
      </c>
      <c r="R48" s="592">
        <f t="shared" si="251"/>
        <v>5368</v>
      </c>
      <c r="S48" s="592">
        <f t="shared" si="251"/>
        <v>0</v>
      </c>
      <c r="T48" s="592">
        <f t="shared" si="251"/>
        <v>0</v>
      </c>
      <c r="U48" s="592">
        <f t="shared" si="251"/>
        <v>0</v>
      </c>
      <c r="V48" s="592">
        <f t="shared" si="251"/>
        <v>2735</v>
      </c>
      <c r="W48" s="592">
        <f t="shared" si="251"/>
        <v>0</v>
      </c>
      <c r="X48" s="592">
        <f t="shared" si="251"/>
        <v>0</v>
      </c>
      <c r="Y48" s="592">
        <f t="shared" si="251"/>
        <v>0</v>
      </c>
      <c r="Z48" s="592">
        <f t="shared" si="251"/>
        <v>0</v>
      </c>
      <c r="AA48" s="592">
        <f t="shared" si="251"/>
        <v>0</v>
      </c>
      <c r="AB48" s="592">
        <f t="shared" si="251"/>
        <v>0</v>
      </c>
      <c r="AC48" s="592">
        <f t="shared" si="251"/>
        <v>0</v>
      </c>
      <c r="AD48" s="592">
        <f t="shared" si="251"/>
        <v>0</v>
      </c>
      <c r="AE48" s="592">
        <f t="shared" si="251"/>
        <v>0</v>
      </c>
      <c r="AF48" s="592">
        <f t="shared" si="251"/>
        <v>0</v>
      </c>
      <c r="AG48" s="592">
        <f t="shared" si="251"/>
        <v>0</v>
      </c>
      <c r="AH48" s="592">
        <f t="shared" si="251"/>
        <v>0</v>
      </c>
      <c r="AI48" s="592">
        <f t="shared" si="251"/>
        <v>0</v>
      </c>
      <c r="AJ48" s="592">
        <f t="shared" si="251"/>
        <v>0</v>
      </c>
      <c r="AK48" s="592">
        <f t="shared" si="251"/>
        <v>0</v>
      </c>
      <c r="AL48" s="592">
        <f t="shared" si="251"/>
        <v>0</v>
      </c>
      <c r="AM48" s="592">
        <f t="shared" si="251"/>
        <v>0</v>
      </c>
      <c r="AN48" s="592">
        <f t="shared" si="251"/>
        <v>0</v>
      </c>
      <c r="AO48" s="592">
        <f t="shared" si="251"/>
        <v>0</v>
      </c>
      <c r="AP48" s="592">
        <f t="shared" si="251"/>
        <v>0</v>
      </c>
      <c r="AQ48" s="592">
        <f t="shared" si="251"/>
        <v>0</v>
      </c>
      <c r="AR48" s="592">
        <f t="shared" si="251"/>
        <v>0</v>
      </c>
      <c r="AS48" s="592">
        <f t="shared" si="251"/>
        <v>0</v>
      </c>
      <c r="AT48" s="592">
        <f t="shared" si="251"/>
        <v>0</v>
      </c>
      <c r="AU48" s="592">
        <f t="shared" si="251"/>
        <v>0</v>
      </c>
      <c r="AV48" s="592">
        <f t="shared" si="251"/>
        <v>0</v>
      </c>
      <c r="AW48" s="592">
        <f t="shared" si="251"/>
        <v>0</v>
      </c>
      <c r="AX48" s="592">
        <f t="shared" si="251"/>
        <v>0</v>
      </c>
      <c r="AY48" s="592">
        <f t="shared" si="251"/>
        <v>0</v>
      </c>
      <c r="AZ48" s="592">
        <f t="shared" si="251"/>
        <v>0</v>
      </c>
      <c r="BA48" s="592">
        <f t="shared" si="251"/>
        <v>0</v>
      </c>
      <c r="BB48" s="592">
        <f t="shared" si="251"/>
        <v>0</v>
      </c>
      <c r="BC48" s="592">
        <f t="shared" si="251"/>
        <v>0</v>
      </c>
      <c r="BD48" s="592">
        <f t="shared" si="251"/>
        <v>0</v>
      </c>
      <c r="BE48" s="592">
        <f t="shared" si="251"/>
        <v>0</v>
      </c>
      <c r="BF48" s="592">
        <f t="shared" si="251"/>
        <v>10551</v>
      </c>
      <c r="BG48" s="592">
        <f t="shared" si="251"/>
        <v>0</v>
      </c>
      <c r="BH48" s="592">
        <f t="shared" si="251"/>
        <v>0</v>
      </c>
      <c r="BI48" s="592">
        <f t="shared" si="251"/>
        <v>0</v>
      </c>
      <c r="BJ48" s="592">
        <f t="shared" si="251"/>
        <v>0</v>
      </c>
      <c r="BK48" s="592">
        <f t="shared" si="251"/>
        <v>0</v>
      </c>
      <c r="BL48" s="592">
        <f t="shared" si="251"/>
        <v>0</v>
      </c>
      <c r="BM48" s="592">
        <f t="shared" si="251"/>
        <v>0</v>
      </c>
      <c r="BN48" s="592">
        <f t="shared" si="251"/>
        <v>5855</v>
      </c>
      <c r="BO48" s="592">
        <f t="shared" ref="BO48:CH48" si="252">-BO32</f>
        <v>0</v>
      </c>
      <c r="BP48" s="592">
        <f t="shared" si="252"/>
        <v>-517</v>
      </c>
      <c r="BQ48" s="592">
        <f t="shared" si="252"/>
        <v>0</v>
      </c>
      <c r="BR48" s="592">
        <f t="shared" si="252"/>
        <v>0</v>
      </c>
      <c r="BS48" s="592">
        <f t="shared" si="252"/>
        <v>0</v>
      </c>
      <c r="BT48" s="592">
        <f t="shared" si="252"/>
        <v>0</v>
      </c>
      <c r="BU48" s="592">
        <f t="shared" si="252"/>
        <v>0</v>
      </c>
      <c r="BV48" s="592">
        <f t="shared" si="252"/>
        <v>6754</v>
      </c>
      <c r="BW48" s="592">
        <f t="shared" si="252"/>
        <v>0</v>
      </c>
      <c r="BX48" s="592">
        <f t="shared" si="252"/>
        <v>0</v>
      </c>
      <c r="BY48" s="592">
        <f t="shared" si="252"/>
        <v>0</v>
      </c>
      <c r="BZ48" s="592">
        <f t="shared" si="252"/>
        <v>0</v>
      </c>
      <c r="CA48" s="592">
        <f t="shared" si="252"/>
        <v>0</v>
      </c>
      <c r="CB48" s="592">
        <f t="shared" si="252"/>
        <v>0</v>
      </c>
      <c r="CC48" s="592">
        <f t="shared" si="252"/>
        <v>0</v>
      </c>
      <c r="CD48" s="592">
        <f t="shared" si="252"/>
        <v>0</v>
      </c>
      <c r="CE48" s="592">
        <f t="shared" si="252"/>
        <v>0</v>
      </c>
      <c r="CF48" s="592">
        <f t="shared" si="252"/>
        <v>0</v>
      </c>
      <c r="CG48" s="592">
        <f t="shared" si="252"/>
        <v>0</v>
      </c>
      <c r="CH48" s="592">
        <f t="shared" si="252"/>
        <v>0</v>
      </c>
      <c r="CI48" s="592">
        <f t="shared" ref="CI48:CL48" si="253">-CI32</f>
        <v>0</v>
      </c>
      <c r="CJ48" s="592">
        <f t="shared" ref="CJ48:CK48" si="254">-CJ32</f>
        <v>0</v>
      </c>
      <c r="CK48" s="592">
        <f t="shared" si="254"/>
        <v>0</v>
      </c>
      <c r="CL48" s="941">
        <f t="shared" si="253"/>
        <v>0</v>
      </c>
      <c r="CM48" s="941">
        <f t="shared" ref="CM48:CP48" si="255">-CM32</f>
        <v>0</v>
      </c>
      <c r="CN48" s="941">
        <f t="shared" si="255"/>
        <v>0</v>
      </c>
      <c r="CO48" s="941">
        <f t="shared" si="255"/>
        <v>0</v>
      </c>
      <c r="CP48" s="941">
        <f t="shared" si="255"/>
        <v>0</v>
      </c>
      <c r="CQ48" s="941"/>
      <c r="CR48" s="941">
        <v>0</v>
      </c>
      <c r="CT48" s="592"/>
      <c r="CU48" s="592"/>
      <c r="CV48" s="592"/>
      <c r="CW48" s="592"/>
      <c r="CX48" s="592">
        <f>+SUM(O48:R48)</f>
        <v>5368</v>
      </c>
      <c r="CY48" s="942">
        <f t="shared" si="242"/>
        <v>2735</v>
      </c>
      <c r="CZ48" s="942">
        <f t="shared" si="243"/>
        <v>0</v>
      </c>
      <c r="DA48" s="942">
        <f t="shared" si="244"/>
        <v>0</v>
      </c>
      <c r="DB48" s="942">
        <f t="shared" si="245"/>
        <v>0</v>
      </c>
      <c r="DC48" s="939">
        <f t="shared" si="246"/>
        <v>0</v>
      </c>
      <c r="DD48" s="939">
        <f t="shared" si="247"/>
        <v>0</v>
      </c>
      <c r="DE48" s="939">
        <f t="shared" ref="DE48:DR48" si="256">-DE32</f>
        <v>0</v>
      </c>
      <c r="DF48" s="939">
        <f t="shared" si="256"/>
        <v>0</v>
      </c>
      <c r="DG48" s="939">
        <f t="shared" si="256"/>
        <v>0</v>
      </c>
      <c r="DH48" s="939">
        <f t="shared" si="256"/>
        <v>10551</v>
      </c>
      <c r="DI48" s="939">
        <f t="shared" si="256"/>
        <v>0</v>
      </c>
      <c r="DJ48" s="939">
        <f t="shared" si="256"/>
        <v>5855</v>
      </c>
      <c r="DK48" s="939">
        <f t="shared" si="256"/>
        <v>-517</v>
      </c>
      <c r="DL48" s="939">
        <f t="shared" si="256"/>
        <v>6754</v>
      </c>
      <c r="DM48" s="939">
        <f t="shared" si="256"/>
        <v>0</v>
      </c>
      <c r="DN48" s="939">
        <f t="shared" si="256"/>
        <v>0</v>
      </c>
      <c r="DO48" s="939">
        <f t="shared" ref="DO48:DP48" si="257">-DO32</f>
        <v>0</v>
      </c>
      <c r="DP48" s="939">
        <f t="shared" si="257"/>
        <v>0</v>
      </c>
      <c r="DQ48" s="939">
        <f t="shared" ref="DQ48" si="258">-DQ32</f>
        <v>0</v>
      </c>
      <c r="DR48" s="813">
        <f t="shared" si="256"/>
        <v>0</v>
      </c>
      <c r="DS48" s="813">
        <f t="shared" ref="DS48:DU48" si="259">-DS32</f>
        <v>0</v>
      </c>
      <c r="DT48" s="813">
        <f t="shared" si="259"/>
        <v>0</v>
      </c>
      <c r="DU48" s="813">
        <f t="shared" si="259"/>
        <v>0</v>
      </c>
      <c r="DV48" s="904" t="s">
        <v>363</v>
      </c>
      <c r="DW48" s="904">
        <v>998107.97563139978</v>
      </c>
      <c r="DX48" s="813">
        <v>0</v>
      </c>
      <c r="DY48" s="813">
        <v>0</v>
      </c>
    </row>
    <row r="49" spans="1:129" s="904" customFormat="1">
      <c r="A49" s="939"/>
      <c r="B49" s="949" t="s">
        <v>364</v>
      </c>
      <c r="C49" s="592">
        <f>+Cartao!C318*1000*(1-34%)</f>
        <v>0</v>
      </c>
      <c r="D49" s="592">
        <f>+Cartao!D318*1000*(1-34%)</f>
        <v>0</v>
      </c>
      <c r="E49" s="592">
        <f>+Cartao!E318*1000*(1-34%)</f>
        <v>0</v>
      </c>
      <c r="F49" s="592">
        <f>+Cartao!F318*1000*(1-34%)</f>
        <v>0</v>
      </c>
      <c r="G49" s="592">
        <f>+Cartao!G318*1000*(1-34%)</f>
        <v>0</v>
      </c>
      <c r="H49" s="592">
        <f>+Cartao!H318*1000*(1-34%)</f>
        <v>0</v>
      </c>
      <c r="I49" s="592">
        <f>+Cartao!I318*1000*(1-34%)</f>
        <v>0</v>
      </c>
      <c r="J49" s="592">
        <f>+Cartao!J318*1000*(1-34%)</f>
        <v>0</v>
      </c>
      <c r="K49" s="592">
        <f>+Cartao!K318*1000*(1-34%)</f>
        <v>0</v>
      </c>
      <c r="L49" s="592">
        <f>+Cartao!L318*1000*(1-34%)</f>
        <v>0</v>
      </c>
      <c r="M49" s="592">
        <f>+Cartao!M318*1000*(1-34%)</f>
        <v>0</v>
      </c>
      <c r="N49" s="592">
        <f>+Cartao!N318*1000*(1-34%)</f>
        <v>0</v>
      </c>
      <c r="O49" s="592">
        <f>+Cartao!O318*1000*(1-34%)</f>
        <v>0</v>
      </c>
      <c r="P49" s="592">
        <f>+Cartao!P318*1000*(1-34%)</f>
        <v>0</v>
      </c>
      <c r="Q49" s="592">
        <f>+Cartao!Q318*1000*(1-34%)</f>
        <v>0</v>
      </c>
      <c r="R49" s="592">
        <f>+Cartao!R318*1000*(1-34%)</f>
        <v>0</v>
      </c>
      <c r="S49" s="592">
        <f>+Cartao!S318*1000*(1-34%)</f>
        <v>0</v>
      </c>
      <c r="T49" s="592">
        <f>+Cartao!T318*1000*(1-34%)</f>
        <v>1979.9999999999998</v>
      </c>
      <c r="U49" s="592">
        <f>+Cartao!U318*1000*(1-34%)</f>
        <v>461.99999999999994</v>
      </c>
      <c r="V49" s="592">
        <f>+Cartao!V318*1000*(1-34%)</f>
        <v>131.99999999999997</v>
      </c>
      <c r="W49" s="592">
        <f>+Cartao!W318*1000*(1-34%)</f>
        <v>-329.99999999999994</v>
      </c>
      <c r="X49" s="592">
        <f>+Cartao!X318*1000*(1-34%)</f>
        <v>-461.99999999999994</v>
      </c>
      <c r="Y49" s="592">
        <f>+Cartao!Y318*1000*(1-34%)</f>
        <v>0</v>
      </c>
      <c r="Z49" s="592">
        <f>+Cartao!Z318*1000*(1-34%)</f>
        <v>461.99999999999994</v>
      </c>
      <c r="AA49" s="592">
        <f>+Cartao!AA318*1000*(1-34%)</f>
        <v>197.99999999999997</v>
      </c>
      <c r="AB49" s="592">
        <f>+Cartao!AB318*1000*(1-34%)</f>
        <v>527.99999999999989</v>
      </c>
      <c r="AC49" s="592">
        <f>+Cartao!AC318*1000*(1-34%)</f>
        <v>461.99999999999994</v>
      </c>
      <c r="AD49" s="592">
        <f>+Cartao!AD318*1000*(1-34%)</f>
        <v>593.99999999999989</v>
      </c>
      <c r="AE49" s="592">
        <f>+Cartao!AE318*1000*(1-34%)</f>
        <v>706.8599999999999</v>
      </c>
      <c r="AF49" s="592">
        <f>+Cartao!AF318*1000*(1-34%)</f>
        <v>-258.05999999999989</v>
      </c>
      <c r="AG49" s="592">
        <f>+Cartao!AG318*1000*(1-34%)</f>
        <v>145.19999999999996</v>
      </c>
      <c r="AH49" s="592">
        <f>+Cartao!AH318*1000*(1-34%)</f>
        <v>9.8999999999999346</v>
      </c>
      <c r="AI49" s="592">
        <f>+Cartao!AI318*1000*(1-34%)</f>
        <v>260.7</v>
      </c>
      <c r="AJ49" s="592">
        <f>+Cartao!AJ318*1000*(1-34%)</f>
        <v>-251.45999999999998</v>
      </c>
      <c r="AK49" s="592">
        <f>+Cartao!AK318*1000*(1-34%)</f>
        <v>-1158.9599999999998</v>
      </c>
      <c r="AL49" s="592">
        <f>+Cartao!AL318*1000*(1-34%)</f>
        <v>-3426.0600000000004</v>
      </c>
      <c r="AM49" s="592">
        <f>+Cartao!AM318*1000*(1-34%)</f>
        <v>0</v>
      </c>
      <c r="AN49" s="592">
        <f>+Cartao!AN318*1000*(1-34%)</f>
        <v>0</v>
      </c>
      <c r="AO49" s="592">
        <f>+Cartao!AO318*1000*(1-34%)</f>
        <v>0</v>
      </c>
      <c r="AP49" s="592">
        <f>+Cartao!AP318*1000*(1-34%)</f>
        <v>3790.3799999999997</v>
      </c>
      <c r="AQ49" s="592">
        <f>+Cartao!AQ318*1000*(1-34%)</f>
        <v>0</v>
      </c>
      <c r="AR49" s="592">
        <f>+Cartao!AR318*1000*(1-34%)</f>
        <v>0</v>
      </c>
      <c r="AS49" s="592">
        <f>+Cartao!AS318*1000*(1-34%)</f>
        <v>0</v>
      </c>
      <c r="AT49" s="592">
        <f>+Cartao!AT318*1000*(1-34%)</f>
        <v>0</v>
      </c>
      <c r="AU49" s="592">
        <f>+Cartao!AU318*1000*(1-34%)</f>
        <v>0</v>
      </c>
      <c r="AV49" s="592">
        <f>+Cartao!AV318*1000*(1-34%)</f>
        <v>0</v>
      </c>
      <c r="AW49" s="592">
        <f>+Cartao!AW318*1000*(1-34%)</f>
        <v>0</v>
      </c>
      <c r="AX49" s="592">
        <f>+Cartao!AX318*1000*(1-34%)</f>
        <v>0</v>
      </c>
      <c r="AY49" s="592">
        <f>+Cartao!AY318*1000*(1-34%)</f>
        <v>0</v>
      </c>
      <c r="AZ49" s="592">
        <f>+Cartao!AZ318*1000*(1-34%)</f>
        <v>0</v>
      </c>
      <c r="BA49" s="592">
        <f>+Cartao!BA318*1000*(1-34%)</f>
        <v>0</v>
      </c>
      <c r="BB49" s="592">
        <f>+Cartao!BB318*1000*(1-34%)</f>
        <v>0</v>
      </c>
      <c r="BC49" s="592">
        <f>+Cartao!BC318*1000*(1-34%)</f>
        <v>0</v>
      </c>
      <c r="BD49" s="592">
        <f>+Cartao!BD318*1000*(1-34%)</f>
        <v>0</v>
      </c>
      <c r="BE49" s="592">
        <f>+Cartao!BE318*1000*(1-34%)</f>
        <v>0</v>
      </c>
      <c r="BF49" s="592">
        <f>+Cartao!BF318*1000*(1-34%)</f>
        <v>0</v>
      </c>
      <c r="BG49" s="592">
        <f>+Cartao!BG318*1000*(1-34%)</f>
        <v>0</v>
      </c>
      <c r="BH49" s="592">
        <f>+Cartao!BH318*1000*(1-34%)</f>
        <v>0</v>
      </c>
      <c r="BI49" s="592">
        <f>+Cartao!BI318*1000*(1-34%)</f>
        <v>0</v>
      </c>
      <c r="BJ49" s="592">
        <f>+Cartao!BJ318*1000*(1-34%)</f>
        <v>0</v>
      </c>
      <c r="BK49" s="592">
        <f>+Cartao!BK318*1000*(1-34%)</f>
        <v>0</v>
      </c>
      <c r="BL49" s="592">
        <f>+Cartao!BL318*1000*(1-34%)</f>
        <v>0</v>
      </c>
      <c r="BM49" s="592">
        <f>+Cartao!BM318*1000*(1-34%)</f>
        <v>0</v>
      </c>
      <c r="BN49" s="592">
        <f>+Cartao!BN318*1000*(1-34%)</f>
        <v>0</v>
      </c>
      <c r="BO49" s="592">
        <f>+Cartao!BO318*1000*(1-34%)</f>
        <v>0</v>
      </c>
      <c r="BP49" s="592">
        <f>+Cartao!BP318*1000*(1-34%)</f>
        <v>0</v>
      </c>
      <c r="BQ49" s="592">
        <f>+Cartao!BQ318*1000*(1-34%)</f>
        <v>0</v>
      </c>
      <c r="BR49" s="592">
        <f>+Cartao!BR318*1000*(1-34%)</f>
        <v>0</v>
      </c>
      <c r="BS49" s="592">
        <f>+Cartao!BS318*1000*(1-34%)</f>
        <v>0</v>
      </c>
      <c r="BT49" s="592">
        <f>+Cartao!BT318*1000*(1-34%)</f>
        <v>0</v>
      </c>
      <c r="BU49" s="592">
        <f>+Cartao!BU318*1000*(1-34%)</f>
        <v>0</v>
      </c>
      <c r="BV49" s="592">
        <f>+Cartao!BV318*1000*(1-34%)</f>
        <v>0</v>
      </c>
      <c r="BW49" s="592">
        <f>+Cartao!BW318*1000*(1-34%)</f>
        <v>0</v>
      </c>
      <c r="BX49" s="592">
        <f>+Cartao!BX318*1000*(1-34%)</f>
        <v>0</v>
      </c>
      <c r="BY49" s="592">
        <f>+Cartao!BY318*1000*(1-34%)</f>
        <v>0</v>
      </c>
      <c r="BZ49" s="592">
        <f>+Cartao!BZ318*1000*(1-34%)</f>
        <v>0</v>
      </c>
      <c r="CA49" s="592">
        <f>+Cartao!CA318*1000*(1-34%)</f>
        <v>0</v>
      </c>
      <c r="CB49" s="592">
        <f>+Cartao!CB318*1000*(1-34%)</f>
        <v>0</v>
      </c>
      <c r="CC49" s="592">
        <f>+Cartao!CC318*1000*(1-34%)</f>
        <v>0</v>
      </c>
      <c r="CD49" s="592">
        <f>+Cartao!CD318*1000*(1-34%)</f>
        <v>0</v>
      </c>
      <c r="CE49" s="592">
        <f>+Cartao!CE318*1000*(1-34%)</f>
        <v>0</v>
      </c>
      <c r="CF49" s="592">
        <f>+Cartao!CF318*1000*(1-34%)</f>
        <v>0</v>
      </c>
      <c r="CG49" s="592">
        <f>+Cartao!CG318*1000*(1-34%)</f>
        <v>0</v>
      </c>
      <c r="CH49" s="592">
        <v>0</v>
      </c>
      <c r="CI49" s="592">
        <f>+Cartao!CI318*1000*(1-34%)</f>
        <v>0</v>
      </c>
      <c r="CJ49" s="592">
        <f>+Cartao!CJ318*1000*(1-34%)</f>
        <v>0</v>
      </c>
      <c r="CK49" s="592">
        <f>+Cartao!CK318*1000*(1-34%)</f>
        <v>0</v>
      </c>
      <c r="CL49" s="941">
        <f>+Cartao!CL318*1000*(1-34%)</f>
        <v>0</v>
      </c>
      <c r="CM49" s="941">
        <f>+Cartao!CM318*1000*(1-34%)</f>
        <v>0</v>
      </c>
      <c r="CN49" s="941">
        <f>+Cartao!CN318*1000*(1-34%)</f>
        <v>0</v>
      </c>
      <c r="CO49" s="941">
        <f>+Cartao!CO318*1000*(1-34%)</f>
        <v>0</v>
      </c>
      <c r="CP49" s="941">
        <f>+Cartao!CP318*1000*(1-34%)</f>
        <v>0</v>
      </c>
      <c r="CQ49" s="941"/>
      <c r="CR49" s="941">
        <v>0</v>
      </c>
      <c r="CT49" s="592"/>
      <c r="CU49" s="592"/>
      <c r="CV49" s="592"/>
      <c r="CW49" s="592"/>
      <c r="CX49" s="592"/>
      <c r="CY49" s="942">
        <f t="shared" si="242"/>
        <v>2573.9999999999995</v>
      </c>
      <c r="CZ49" s="942">
        <f t="shared" si="243"/>
        <v>-329.99999999999994</v>
      </c>
      <c r="DA49" s="942">
        <f t="shared" si="244"/>
        <v>1781.9999999999995</v>
      </c>
      <c r="DB49" s="942">
        <f t="shared" si="245"/>
        <v>603.9</v>
      </c>
      <c r="DC49" s="939">
        <f t="shared" si="246"/>
        <v>-4575.7800000000007</v>
      </c>
      <c r="DD49" s="939">
        <f t="shared" si="247"/>
        <v>3790.3799999999997</v>
      </c>
      <c r="DE49" s="939">
        <f>+Cartao!DE318*1000*(1-34%)</f>
        <v>0</v>
      </c>
      <c r="DF49" s="939">
        <f>+Cartao!DF318*1000*(1-34%)</f>
        <v>0</v>
      </c>
      <c r="DG49" s="939">
        <f>+Cartao!DG318*1000*(1-34%)</f>
        <v>0</v>
      </c>
      <c r="DH49" s="939">
        <f>+Cartao!DH318*1000*(1-34%)</f>
        <v>0</v>
      </c>
      <c r="DI49" s="939">
        <f>+Cartao!DI318*1000*(1-34%)</f>
        <v>0</v>
      </c>
      <c r="DJ49" s="939">
        <f>+Cartao!DJ318*1000*(1-34%)</f>
        <v>0</v>
      </c>
      <c r="DK49" s="939">
        <f>+Cartao!DK318*1000*(1-34%)</f>
        <v>0</v>
      </c>
      <c r="DL49" s="939">
        <f>+Cartao!DL318*1000*(1-34%)</f>
        <v>0</v>
      </c>
      <c r="DM49" s="939">
        <f>+Cartao!DM318*1000*(1-34%)</f>
        <v>0</v>
      </c>
      <c r="DN49" s="939">
        <f>+Cartao!DN318*1000*(1-34%)</f>
        <v>0</v>
      </c>
      <c r="DO49" s="939">
        <f>+Cartao!DO318*1000*(1-34%)</f>
        <v>0</v>
      </c>
      <c r="DP49" s="939">
        <f>+Cartao!DP318*1000*(1-34%)</f>
        <v>0</v>
      </c>
      <c r="DQ49" s="939">
        <f>+Cartao!DQ318*1000*(1-34%)</f>
        <v>0</v>
      </c>
      <c r="DR49" s="813">
        <f>+Cartao!DR318*1000*(1-34%)</f>
        <v>0</v>
      </c>
      <c r="DS49" s="813">
        <f>+Cartao!DS318*1000*(1-34%)</f>
        <v>0</v>
      </c>
      <c r="DT49" s="813">
        <f>+Cartao!DT318*1000*(1-34%)</f>
        <v>0</v>
      </c>
      <c r="DU49" s="813">
        <f>+Cartao!DU318*1000*(1-34%)</f>
        <v>0</v>
      </c>
      <c r="DV49" s="904" t="s">
        <v>365</v>
      </c>
      <c r="DW49" s="904">
        <v>-211924.74428501539</v>
      </c>
      <c r="DX49" s="813">
        <v>0</v>
      </c>
      <c r="DY49" s="813">
        <v>0</v>
      </c>
    </row>
    <row r="50" spans="1:129" s="590" customFormat="1">
      <c r="A50" s="943"/>
      <c r="B50" s="944" t="s">
        <v>366</v>
      </c>
      <c r="C50" s="943" t="e">
        <f t="shared" ref="C50" si="260">+C45+C46+C47-C48+C49</f>
        <v>#REF!</v>
      </c>
      <c r="D50" s="943">
        <f t="shared" ref="D50" si="261">+D45+D46+D47-D48+D49</f>
        <v>23585</v>
      </c>
      <c r="E50" s="943">
        <f t="shared" ref="E50" si="262">+E45+E46+E47-E48+E49</f>
        <v>4676</v>
      </c>
      <c r="F50" s="943">
        <f t="shared" ref="F50" si="263">+F45+F46+F47-F48+F49</f>
        <v>16963</v>
      </c>
      <c r="G50" s="943">
        <f t="shared" ref="G50" si="264">+G45+G46+G47-G48+G49</f>
        <v>17874</v>
      </c>
      <c r="H50" s="943">
        <f t="shared" ref="H50" si="265">+H45+H46+H47-H48+H49</f>
        <v>36573</v>
      </c>
      <c r="I50" s="943">
        <f t="shared" ref="I50" si="266">+I45+I46+I47-I48+I49</f>
        <v>21294</v>
      </c>
      <c r="J50" s="943">
        <f t="shared" ref="J50" si="267">+J45+J46+J47-J48+J49</f>
        <v>46203</v>
      </c>
      <c r="K50" s="943">
        <f t="shared" ref="K50" si="268">+K45+K46+K47-K48+K49</f>
        <v>24340</v>
      </c>
      <c r="L50" s="943">
        <f t="shared" ref="L50" si="269">+L45+L46+L47-L48+L49</f>
        <v>40432</v>
      </c>
      <c r="M50" s="943">
        <f t="shared" ref="M50" si="270">+M45+M46+M47-M48+M49</f>
        <v>31956</v>
      </c>
      <c r="N50" s="943">
        <f t="shared" ref="N50" si="271">+N45+N46+N47-N48+N49</f>
        <v>59142</v>
      </c>
      <c r="O50" s="943">
        <f t="shared" ref="O50" si="272">+O45+O46+O47-O48+O49</f>
        <v>24797</v>
      </c>
      <c r="P50" s="943">
        <f t="shared" ref="P50" si="273">+P45+P46+P47-P48+P49</f>
        <v>57174</v>
      </c>
      <c r="Q50" s="943">
        <f t="shared" ref="Q50" si="274">+Q45+Q46+Q47-Q48+Q49</f>
        <v>45171</v>
      </c>
      <c r="R50" s="943">
        <f t="shared" ref="R50" si="275">+R45+R46+R47-R48+R49</f>
        <v>68468</v>
      </c>
      <c r="S50" s="943">
        <f t="shared" ref="S50" si="276">+S45+S46+S47-S48+S49</f>
        <v>36255</v>
      </c>
      <c r="T50" s="943">
        <f t="shared" ref="T50" si="277">+T45+T46+T47-T48+T49</f>
        <v>59107</v>
      </c>
      <c r="U50" s="943">
        <f t="shared" ref="U50" si="278">+U45+U46+U47-U48+U49</f>
        <v>41313</v>
      </c>
      <c r="V50" s="943">
        <f t="shared" ref="V50" si="279">+V45+V46+V47-V48+V49</f>
        <v>62924</v>
      </c>
      <c r="W50" s="943">
        <f t="shared" ref="W50" si="280">+W45+W46+W47-W48+W49</f>
        <v>17372</v>
      </c>
      <c r="X50" s="943">
        <f t="shared" ref="X50" si="281">+X45+X46+X47-X48+X49</f>
        <v>71229</v>
      </c>
      <c r="Y50" s="943">
        <f t="shared" ref="Y50" si="282">+Y45+Y46+Y47-Y48+Y49</f>
        <v>46161</v>
      </c>
      <c r="Z50" s="943">
        <f t="shared" ref="Z50" si="283">+Z45+Z46+Z47-Z48+Z49</f>
        <v>135527</v>
      </c>
      <c r="AA50" s="943">
        <f t="shared" ref="AA50" si="284">+AA45+AA46+AA47-AA48+AA49</f>
        <v>50269</v>
      </c>
      <c r="AB50" s="943">
        <f t="shared" ref="AB50" si="285">+AB45+AB46+AB47-AB48+AB49</f>
        <v>130110</v>
      </c>
      <c r="AC50" s="943">
        <f t="shared" ref="AC50" si="286">+AC45+AC46+AC47-AC48+AC49</f>
        <v>78614</v>
      </c>
      <c r="AD50" s="943">
        <f t="shared" ref="AD50" si="287">+AD45+AD46+AD47-AD48+AD49</f>
        <v>154316</v>
      </c>
      <c r="AE50" s="943">
        <f t="shared" ref="AE50" si="288">+AE45+AE46+AE47-AE48+AE49</f>
        <v>59765.86</v>
      </c>
      <c r="AF50" s="943">
        <f t="shared" ref="AF50" si="289">+AF45+AF46+AF47-AF48+AF49</f>
        <v>151233.94000000012</v>
      </c>
      <c r="AG50" s="943">
        <f t="shared" ref="AG50" si="290">+AG45+AG46+AG47-AG48+AG49</f>
        <v>76775.199999999997</v>
      </c>
      <c r="AH50" s="943">
        <f t="shared" ref="AH50" si="291">+AH45+AH46+AH47-AH48+AH49</f>
        <v>189083.9</v>
      </c>
      <c r="AI50" s="943">
        <f t="shared" ref="AI50" si="292">+AI45+AI46+AI47-AI48+AI49</f>
        <v>49488.7</v>
      </c>
      <c r="AJ50" s="943">
        <f t="shared" ref="AJ50" si="293">+AJ45+AJ46+AJ47-AJ48+AJ49</f>
        <v>154223.54</v>
      </c>
      <c r="AK50" s="943">
        <f t="shared" ref="AK50" si="294">+AK45+AK46+AK47-AK48+AK49</f>
        <v>109158.04000000011</v>
      </c>
      <c r="AL50" s="943">
        <f t="shared" ref="AL50" si="295">+AL45+AL46+AL47-AL48+AL49</f>
        <v>241803.94</v>
      </c>
      <c r="AM50" s="943">
        <f t="shared" ref="AM50" si="296">+AM45+AM46+AM47-AM48+AM49</f>
        <v>46177.000000000116</v>
      </c>
      <c r="AN50" s="943">
        <f t="shared" ref="AN50" si="297">+AN45+AN46+AN47-AN48+AN49</f>
        <v>157421</v>
      </c>
      <c r="AO50" s="943">
        <f t="shared" ref="AO50" si="298">+AO45+AO46+AO47-AO48+AO49</f>
        <v>110689</v>
      </c>
      <c r="AP50" s="943">
        <f t="shared" ref="AP50" si="299">+AP45+AP46+AP47-AP48+AP49</f>
        <v>339937.38</v>
      </c>
      <c r="AQ50" s="943">
        <f t="shared" ref="AQ50" si="300">+AQ45+AQ46+AQ47-AQ48+AQ49</f>
        <v>112907.52000000002</v>
      </c>
      <c r="AR50" s="943">
        <f t="shared" ref="AR50" si="301">+AR45+AR46+AR47-AR48+AR49</f>
        <v>243826</v>
      </c>
      <c r="AS50" s="943">
        <f t="shared" ref="AS50" si="302">+AS45+AS46+AS47-AS48+AS49</f>
        <v>193752</v>
      </c>
      <c r="AT50" s="943">
        <f t="shared" ref="AT50" si="303">+AT45+AT46+AT47-AT48+AT49</f>
        <v>440396.2690000002</v>
      </c>
      <c r="AU50" s="943">
        <f t="shared" ref="AU50" si="304">+AU45+AU46+AU47-AU48+AU49</f>
        <v>130573.27951000014</v>
      </c>
      <c r="AV50" s="943">
        <f t="shared" ref="AV50" si="305">+AV45+AV46+AV47-AV48+AV49</f>
        <v>253873.64064000011</v>
      </c>
      <c r="AW50" s="943">
        <f t="shared" ref="AW50" si="306">+AW45+AW46+AW47-AW48+AW49</f>
        <v>156656</v>
      </c>
      <c r="AX50" s="943">
        <f t="shared" ref="AX50" si="307">+AX45+AX46+AX47-AX48+AX49</f>
        <v>392150.30340999993</v>
      </c>
      <c r="AY50" s="943">
        <f t="shared" ref="AY50" si="308">+AY45+AY46+AY47-AY48+AY49</f>
        <v>105543</v>
      </c>
      <c r="AZ50" s="943">
        <f t="shared" ref="AZ50" si="309">+AZ45+AZ46+AZ47-AZ48+AZ49</f>
        <v>272459</v>
      </c>
      <c r="BA50" s="943">
        <f t="shared" ref="BA50" si="310">+BA45+BA46+BA47-BA48+BA49</f>
        <v>132894</v>
      </c>
      <c r="BB50" s="943">
        <f t="shared" ref="BB50" si="311">+BB45+BB46+BB47-BB48+BB49</f>
        <v>464795</v>
      </c>
      <c r="BC50" s="943">
        <f t="shared" ref="BC50" si="312">+BC45+BC46+BC47-BC48+BC49</f>
        <v>104036</v>
      </c>
      <c r="BD50" s="943">
        <f t="shared" ref="BD50" si="313">+BD45+BD46+BD47-BD48+BD49</f>
        <v>294708</v>
      </c>
      <c r="BE50" s="943">
        <f t="shared" ref="BE50" si="314">+BE45+BE46+BE47-BE48+BE49</f>
        <v>205928</v>
      </c>
      <c r="BF50" s="943">
        <f t="shared" ref="BF50" si="315">+BF45+BF46+BF47-BF48+BF49</f>
        <v>472016</v>
      </c>
      <c r="BG50" s="943">
        <f t="shared" ref="BG50" si="316">+BG45+BG46+BG47-BG48+BG49</f>
        <v>170055</v>
      </c>
      <c r="BH50" s="943">
        <f t="shared" ref="BH50" si="317">+BH45+BH46+BH47-BH48+BH49</f>
        <v>351973.96485999995</v>
      </c>
      <c r="BI50" s="943">
        <f t="shared" ref="BI50" si="318">+BI45+BI46+BI47-BI48+BI49</f>
        <v>258488.43174999999</v>
      </c>
      <c r="BJ50" s="943">
        <f t="shared" ref="BJ50" si="319">+BJ45+BJ46+BJ47-BJ48+BJ49</f>
        <v>643304.25080000004</v>
      </c>
      <c r="BK50" s="943">
        <f t="shared" ref="BK50" si="320">+BK45+BK46+BK47-BK48+BK49</f>
        <v>164125.13009438547</v>
      </c>
      <c r="BL50" s="943">
        <f t="shared" ref="BL50" si="321">+BL45+BL46+BL47-BL48+BL49</f>
        <v>245096.21789816523</v>
      </c>
      <c r="BM50" s="943">
        <f t="shared" ref="BM50" si="322">+BM45+BM46+BM47-BM48+BM49</f>
        <v>205713.42953223299</v>
      </c>
      <c r="BN50" s="943">
        <f t="shared" ref="BN50" si="323">+BN45+BN46+BN47-BN48+BN49</f>
        <v>516535.78628393123</v>
      </c>
      <c r="BO50" s="943">
        <f t="shared" ref="BO50" si="324">+BO45+BO46+BO47-BO48+BO49</f>
        <v>-5982.8196494815929</v>
      </c>
      <c r="BP50" s="943">
        <f t="shared" ref="BP50" si="325">+BP45+BP46+BP47-BP48+BP49</f>
        <v>347441.37060534477</v>
      </c>
      <c r="BQ50" s="943">
        <f t="shared" ref="BQ50" si="326">+BQ45+BQ46+BQ47-BQ48+BQ49</f>
        <v>-73736.515676069757</v>
      </c>
      <c r="BR50" s="943">
        <f t="shared" ref="BR50" si="327">+BR45+BR46+BR47-BR48+BR49</f>
        <v>359724.15529287624</v>
      </c>
      <c r="BS50" s="943">
        <f t="shared" ref="BS50" si="328">+BS45+BS46+BS47-BS48+BS49</f>
        <v>-126968.97141840379</v>
      </c>
      <c r="BT50" s="943">
        <f t="shared" ref="BT50" si="329">+BT45+BT46+BT47-BT48+BT49</f>
        <v>194410.33248856897</v>
      </c>
      <c r="BU50" s="943">
        <f t="shared" ref="BU50" si="330">+BU45+BU46+BU47-BU48+BU49</f>
        <v>141152.5769125782</v>
      </c>
      <c r="BV50" s="943">
        <f t="shared" ref="BV50" si="331">+BV45+BV46+BV47-BV48+BV49</f>
        <v>383429.62386464491</v>
      </c>
      <c r="BW50" s="943">
        <f t="shared" ref="BW50" si="332">+BW45+BW46+BW47-BW48+BW49</f>
        <v>111646.09701879331</v>
      </c>
      <c r="BX50" s="943">
        <f t="shared" ref="BX50" si="333">+BX45+BX46+BX47-BX48+BX49</f>
        <v>314478.00450739311</v>
      </c>
      <c r="BY50" s="943">
        <f t="shared" ref="BY50" si="334">+BY45+BY46+BY47-BY48+BY49</f>
        <v>185239.72061114293</v>
      </c>
      <c r="BZ50" s="943">
        <f t="shared" ref="BZ50" si="335">+BZ45+BZ46+BZ47-BZ48+BZ49</f>
        <v>461158.76874236425</v>
      </c>
      <c r="CA50" s="943">
        <f t="shared" ref="CA50" si="336">+CA45+CA46+CA47-CA48+CA49</f>
        <v>88452.705710962386</v>
      </c>
      <c r="CB50" s="943">
        <f t="shared" ref="CB50" si="337">+CB45+CB46+CB47-CB48+CB49</f>
        <v>193109.64221802715</v>
      </c>
      <c r="CC50" s="943">
        <f t="shared" ref="CC50" si="338">+CC45+CC46+CC47-CC48+CC49</f>
        <v>74090.554792191484</v>
      </c>
      <c r="CD50" s="943">
        <f t="shared" ref="CD50" si="339">+CD45+CD46+CD47-CD48+CD49</f>
        <v>458667.65349480137</v>
      </c>
      <c r="CE50" s="943">
        <f t="shared" ref="CE50" si="340">+CE45+CE46+CE47-CE48+CE49</f>
        <v>18143.917635776445</v>
      </c>
      <c r="CF50" s="943">
        <f t="shared" ref="CF50" si="341">+CF45+CF46+CF47-CF48+CF49</f>
        <v>240739.18340397518</v>
      </c>
      <c r="CG50" s="943">
        <f t="shared" ref="CG50:CH50" si="342">+CG45+CG46+CG47-CG48+CG49</f>
        <v>196223.37363495081</v>
      </c>
      <c r="CH50" s="943">
        <f t="shared" si="342"/>
        <v>443032.75042254274</v>
      </c>
      <c r="CI50" s="943">
        <f t="shared" ref="CI50:CL50" si="343">+CI45+CI46+CI47-CI48+CI49</f>
        <v>182294.77692103368</v>
      </c>
      <c r="CJ50" s="943">
        <f t="shared" ref="CJ50:CK50" si="344">+CJ45+CJ46+CJ47-CJ48+CJ49</f>
        <v>391740.52894369361</v>
      </c>
      <c r="CK50" s="943">
        <f t="shared" si="344"/>
        <v>237323.34296387172</v>
      </c>
      <c r="CL50" s="946">
        <f t="shared" si="343"/>
        <v>457295.03891131334</v>
      </c>
      <c r="CM50" s="946">
        <f t="shared" ref="CM50:CP50" si="345">+CM45+CM46+CM47-CM48+CM49</f>
        <v>144188.94901748947</v>
      </c>
      <c r="CN50" s="946">
        <f t="shared" si="345"/>
        <v>343904.36720027198</v>
      </c>
      <c r="CO50" s="946">
        <f t="shared" si="345"/>
        <v>206802.03630502892</v>
      </c>
      <c r="CP50" s="946">
        <f t="shared" si="345"/>
        <v>516404.1268216871</v>
      </c>
      <c r="CQ50" s="946"/>
      <c r="CR50" s="946">
        <v>457295.03891131334</v>
      </c>
      <c r="CT50" s="943"/>
      <c r="CU50" s="943"/>
      <c r="CV50" s="943"/>
      <c r="CW50" s="943"/>
      <c r="CX50" s="943">
        <f t="shared" ref="CX50:CX60" si="346">+SUM(O50:R50)</f>
        <v>195610</v>
      </c>
      <c r="CY50" s="947">
        <f t="shared" si="242"/>
        <v>199599</v>
      </c>
      <c r="CZ50" s="947">
        <f t="shared" si="243"/>
        <v>270289</v>
      </c>
      <c r="DA50" s="947">
        <f t="shared" si="244"/>
        <v>413309</v>
      </c>
      <c r="DB50" s="947">
        <f t="shared" si="245"/>
        <v>476858.90000000014</v>
      </c>
      <c r="DC50" s="943">
        <f t="shared" si="246"/>
        <v>554674.22000000009</v>
      </c>
      <c r="DD50" s="943">
        <f t="shared" si="247"/>
        <v>654224.38000000012</v>
      </c>
      <c r="DE50" s="943">
        <f t="shared" ref="DE50" si="347">+DE43-DE46+DE47-DE48+DE49</f>
        <v>727612.45628999197</v>
      </c>
      <c r="DF50" s="943">
        <f t="shared" ref="DF50:DN50" si="348">+DF45+DF46+DF47-DF48+DF49</f>
        <v>651893.57797805138</v>
      </c>
      <c r="DG50" s="943">
        <f t="shared" si="348"/>
        <v>699081.49817568238</v>
      </c>
      <c r="DH50" s="943">
        <f t="shared" si="348"/>
        <v>782764.53085332899</v>
      </c>
      <c r="DI50" s="943">
        <f t="shared" si="348"/>
        <v>1060063.7895387639</v>
      </c>
      <c r="DJ50" s="943">
        <f t="shared" si="348"/>
        <v>1129594.5842341473</v>
      </c>
      <c r="DK50" s="943">
        <f t="shared" si="348"/>
        <v>671170.25071227446</v>
      </c>
      <c r="DL50" s="943">
        <f t="shared" si="348"/>
        <v>599227.94282277999</v>
      </c>
      <c r="DM50" s="943">
        <f t="shared" si="348"/>
        <v>1101356.7970048054</v>
      </c>
      <c r="DN50" s="943">
        <f t="shared" si="348"/>
        <v>754464.03670299891</v>
      </c>
      <c r="DO50" s="943">
        <f>+DO45+DO46+DO47-DO48+DO49</f>
        <v>919706.21710723033</v>
      </c>
      <c r="DP50" s="943">
        <f>+DP45+DP46+DP47-DP48+DP49</f>
        <v>1275776.8724656431</v>
      </c>
      <c r="DQ50" s="943">
        <f>+DQ45+DQ46+DQ47-DQ48+DQ49</f>
        <v>1220601.4418325853</v>
      </c>
      <c r="DR50" s="943">
        <f t="shared" ref="DR50:DU50" si="349">+DR45+DR46+DR47-DR48+DR49</f>
        <v>1664699.3669531299</v>
      </c>
      <c r="DS50" s="943">
        <f t="shared" si="349"/>
        <v>1878642.5211358934</v>
      </c>
      <c r="DT50" s="943">
        <f t="shared" si="349"/>
        <v>2071145.4795572646</v>
      </c>
      <c r="DU50" s="943">
        <f t="shared" si="349"/>
        <v>2275634.4651762629</v>
      </c>
      <c r="DV50" s="590" t="s">
        <v>367</v>
      </c>
      <c r="DW50" s="590">
        <v>-1001904.3189526498</v>
      </c>
      <c r="DX50" s="943">
        <v>1429121.8477815958</v>
      </c>
      <c r="DY50" s="943">
        <v>1825924.9096690814</v>
      </c>
    </row>
    <row r="51" spans="1:129" s="904" customFormat="1">
      <c r="A51" s="939"/>
      <c r="B51" s="949" t="s">
        <v>368</v>
      </c>
      <c r="C51" s="592">
        <f t="shared" ref="C51:BN51" si="350">+C41</f>
        <v>0</v>
      </c>
      <c r="D51" s="592">
        <f t="shared" si="350"/>
        <v>0</v>
      </c>
      <c r="E51" s="592">
        <f t="shared" si="350"/>
        <v>0</v>
      </c>
      <c r="F51" s="592">
        <f t="shared" si="350"/>
        <v>0</v>
      </c>
      <c r="G51" s="592">
        <f t="shared" si="350"/>
        <v>0</v>
      </c>
      <c r="H51" s="592">
        <f t="shared" si="350"/>
        <v>0</v>
      </c>
      <c r="I51" s="592">
        <f t="shared" si="350"/>
        <v>0</v>
      </c>
      <c r="J51" s="592">
        <f t="shared" si="350"/>
        <v>0</v>
      </c>
      <c r="K51" s="592">
        <f t="shared" si="350"/>
        <v>0</v>
      </c>
      <c r="L51" s="592">
        <f t="shared" si="350"/>
        <v>0</v>
      </c>
      <c r="M51" s="592">
        <f t="shared" si="350"/>
        <v>0</v>
      </c>
      <c r="N51" s="592">
        <f t="shared" si="350"/>
        <v>0</v>
      </c>
      <c r="O51" s="592">
        <f t="shared" si="350"/>
        <v>0</v>
      </c>
      <c r="P51" s="592">
        <f t="shared" si="350"/>
        <v>0</v>
      </c>
      <c r="Q51" s="592">
        <f t="shared" si="350"/>
        <v>0</v>
      </c>
      <c r="R51" s="592">
        <f t="shared" si="350"/>
        <v>0</v>
      </c>
      <c r="S51" s="592">
        <f t="shared" si="350"/>
        <v>0</v>
      </c>
      <c r="T51" s="592">
        <f t="shared" si="350"/>
        <v>0</v>
      </c>
      <c r="U51" s="592">
        <f t="shared" si="350"/>
        <v>0</v>
      </c>
      <c r="V51" s="592">
        <f t="shared" si="350"/>
        <v>0</v>
      </c>
      <c r="W51" s="592">
        <f t="shared" si="350"/>
        <v>0</v>
      </c>
      <c r="X51" s="592">
        <f t="shared" si="350"/>
        <v>0</v>
      </c>
      <c r="Y51" s="592">
        <f t="shared" si="350"/>
        <v>0</v>
      </c>
      <c r="Z51" s="592">
        <f t="shared" si="350"/>
        <v>0</v>
      </c>
      <c r="AA51" s="592">
        <f t="shared" si="350"/>
        <v>0</v>
      </c>
      <c r="AB51" s="592">
        <f t="shared" si="350"/>
        <v>0</v>
      </c>
      <c r="AC51" s="592">
        <f t="shared" si="350"/>
        <v>0</v>
      </c>
      <c r="AD51" s="592">
        <f t="shared" si="350"/>
        <v>0</v>
      </c>
      <c r="AE51" s="592">
        <f t="shared" si="350"/>
        <v>0</v>
      </c>
      <c r="AF51" s="592">
        <f t="shared" si="350"/>
        <v>0</v>
      </c>
      <c r="AG51" s="592">
        <f t="shared" si="350"/>
        <v>0</v>
      </c>
      <c r="AH51" s="592">
        <f t="shared" si="350"/>
        <v>0</v>
      </c>
      <c r="AI51" s="592">
        <f t="shared" si="350"/>
        <v>0</v>
      </c>
      <c r="AJ51" s="592">
        <f t="shared" si="350"/>
        <v>0</v>
      </c>
      <c r="AK51" s="592">
        <f t="shared" si="350"/>
        <v>0</v>
      </c>
      <c r="AL51" s="592">
        <f t="shared" si="350"/>
        <v>0</v>
      </c>
      <c r="AM51" s="592">
        <f t="shared" si="350"/>
        <v>0</v>
      </c>
      <c r="AN51" s="592">
        <f t="shared" si="350"/>
        <v>0</v>
      </c>
      <c r="AO51" s="592">
        <f t="shared" si="350"/>
        <v>0</v>
      </c>
      <c r="AP51" s="592">
        <f t="shared" si="350"/>
        <v>0</v>
      </c>
      <c r="AQ51" s="592">
        <f t="shared" si="350"/>
        <v>48304</v>
      </c>
      <c r="AR51" s="592">
        <f t="shared" si="350"/>
        <v>51633</v>
      </c>
      <c r="AS51" s="592">
        <f t="shared" si="350"/>
        <v>55024</v>
      </c>
      <c r="AT51" s="592">
        <f t="shared" si="350"/>
        <v>57771</v>
      </c>
      <c r="AU51" s="592">
        <f t="shared" si="350"/>
        <v>61385.209040000002</v>
      </c>
      <c r="AV51" s="592">
        <f t="shared" si="350"/>
        <v>63684.935679999799</v>
      </c>
      <c r="AW51" s="592">
        <f t="shared" si="350"/>
        <v>68235</v>
      </c>
      <c r="AX51" s="592">
        <f t="shared" si="350"/>
        <v>71475</v>
      </c>
      <c r="AY51" s="592">
        <f t="shared" si="350"/>
        <v>73366</v>
      </c>
      <c r="AZ51" s="592">
        <f t="shared" si="350"/>
        <v>76912</v>
      </c>
      <c r="BA51" s="592">
        <f t="shared" si="350"/>
        <v>78601</v>
      </c>
      <c r="BB51" s="592">
        <f t="shared" si="350"/>
        <v>82382</v>
      </c>
      <c r="BC51" s="592">
        <f t="shared" si="350"/>
        <v>79114</v>
      </c>
      <c r="BD51" s="592">
        <f t="shared" si="350"/>
        <v>79710</v>
      </c>
      <c r="BE51" s="592">
        <f t="shared" si="350"/>
        <v>82769</v>
      </c>
      <c r="BF51" s="592">
        <f t="shared" si="350"/>
        <v>87459</v>
      </c>
      <c r="BG51" s="592">
        <f t="shared" si="350"/>
        <v>73848</v>
      </c>
      <c r="BH51" s="592">
        <f t="shared" si="350"/>
        <v>76281</v>
      </c>
      <c r="BI51" s="592">
        <f t="shared" si="350"/>
        <v>81285</v>
      </c>
      <c r="BJ51" s="592">
        <f t="shared" si="350"/>
        <v>83160</v>
      </c>
      <c r="BK51" s="592">
        <f t="shared" si="350"/>
        <v>86880</v>
      </c>
      <c r="BL51" s="592">
        <f t="shared" si="350"/>
        <v>90760</v>
      </c>
      <c r="BM51" s="592">
        <f t="shared" si="350"/>
        <v>68749</v>
      </c>
      <c r="BN51" s="592">
        <f t="shared" si="350"/>
        <v>46862</v>
      </c>
      <c r="BO51" s="592">
        <f t="shared" ref="BO51:CH51" si="351">+BO41</f>
        <v>99778</v>
      </c>
      <c r="BP51" s="592">
        <f t="shared" si="351"/>
        <v>104813</v>
      </c>
      <c r="BQ51" s="592">
        <f t="shared" si="351"/>
        <v>109782</v>
      </c>
      <c r="BR51" s="592">
        <f t="shared" si="351"/>
        <v>79479</v>
      </c>
      <c r="BS51" s="592">
        <f t="shared" si="351"/>
        <v>101794</v>
      </c>
      <c r="BT51" s="592">
        <f t="shared" si="351"/>
        <v>103994</v>
      </c>
      <c r="BU51" s="592">
        <f t="shared" si="351"/>
        <v>106387</v>
      </c>
      <c r="BV51" s="592">
        <f t="shared" si="351"/>
        <v>106341</v>
      </c>
      <c r="BW51" s="592">
        <f t="shared" si="351"/>
        <v>114486.85</v>
      </c>
      <c r="BX51" s="592">
        <f t="shared" si="351"/>
        <v>124004.98</v>
      </c>
      <c r="BY51" s="592">
        <f t="shared" si="351"/>
        <v>126775</v>
      </c>
      <c r="BZ51" s="592">
        <f t="shared" si="351"/>
        <v>87420.170000000013</v>
      </c>
      <c r="CA51" s="592">
        <f t="shared" si="351"/>
        <v>137368</v>
      </c>
      <c r="CB51" s="592">
        <f t="shared" si="351"/>
        <v>142486</v>
      </c>
      <c r="CC51" s="592">
        <f t="shared" si="351"/>
        <v>146137</v>
      </c>
      <c r="CD51" s="592">
        <f t="shared" si="351"/>
        <v>159261</v>
      </c>
      <c r="CE51" s="592">
        <f t="shared" si="351"/>
        <v>168860</v>
      </c>
      <c r="CF51" s="592">
        <f t="shared" si="351"/>
        <v>173096</v>
      </c>
      <c r="CG51" s="592">
        <f t="shared" si="351"/>
        <v>173905</v>
      </c>
      <c r="CH51" s="592">
        <f t="shared" si="351"/>
        <v>435324</v>
      </c>
      <c r="CI51" s="592">
        <f t="shared" ref="CI51:CL51" si="352">+CI41</f>
        <v>175868</v>
      </c>
      <c r="CJ51" s="592">
        <f t="shared" ref="CJ51:CK51" si="353">+CJ41</f>
        <v>181969</v>
      </c>
      <c r="CK51" s="592">
        <f t="shared" si="353"/>
        <v>177599</v>
      </c>
      <c r="CL51" s="941">
        <f t="shared" si="352"/>
        <v>179307.52635400003</v>
      </c>
      <c r="CM51" s="941">
        <f t="shared" ref="CM51:CP51" si="354">+CM41</f>
        <v>187201.79310530573</v>
      </c>
      <c r="CN51" s="941">
        <f t="shared" si="354"/>
        <v>181367.43567025062</v>
      </c>
      <c r="CO51" s="941">
        <f t="shared" si="354"/>
        <v>179727.00046475968</v>
      </c>
      <c r="CP51" s="941">
        <f t="shared" si="354"/>
        <v>179382.27430944791</v>
      </c>
      <c r="CQ51" s="941"/>
      <c r="CR51" s="941">
        <v>179307.52635400003</v>
      </c>
      <c r="CT51" s="592"/>
      <c r="CU51" s="592"/>
      <c r="CV51" s="592"/>
      <c r="CW51" s="592"/>
      <c r="CX51" s="592">
        <f t="shared" si="346"/>
        <v>0</v>
      </c>
      <c r="CY51" s="942">
        <f t="shared" si="242"/>
        <v>0</v>
      </c>
      <c r="CZ51" s="942">
        <f t="shared" si="243"/>
        <v>0</v>
      </c>
      <c r="DA51" s="942">
        <f t="shared" si="244"/>
        <v>0</v>
      </c>
      <c r="DB51" s="942">
        <f t="shared" si="245"/>
        <v>0</v>
      </c>
      <c r="DC51" s="939">
        <f t="shared" si="246"/>
        <v>0</v>
      </c>
      <c r="DD51" s="939">
        <f t="shared" si="247"/>
        <v>0</v>
      </c>
      <c r="DE51" s="939">
        <f t="shared" ref="DE51" si="355">+DE40</f>
        <v>212732</v>
      </c>
      <c r="DF51" s="939">
        <f t="shared" ref="DF51:DI51" si="356">+DF41</f>
        <v>264780.14471999981</v>
      </c>
      <c r="DG51" s="939">
        <f t="shared" si="356"/>
        <v>311261</v>
      </c>
      <c r="DH51" s="939">
        <f t="shared" si="356"/>
        <v>329052</v>
      </c>
      <c r="DI51" s="939">
        <f t="shared" si="356"/>
        <v>314574</v>
      </c>
      <c r="DJ51" s="939">
        <f>+DJ41</f>
        <v>293251</v>
      </c>
      <c r="DK51" s="939">
        <f t="shared" ref="DK51:DU51" si="357">+DK41</f>
        <v>393852</v>
      </c>
      <c r="DL51" s="939">
        <f t="shared" si="357"/>
        <v>418516</v>
      </c>
      <c r="DM51" s="939">
        <f t="shared" si="357"/>
        <v>452687</v>
      </c>
      <c r="DN51" s="939">
        <f t="shared" si="357"/>
        <v>585252</v>
      </c>
      <c r="DO51" s="939">
        <f t="shared" si="357"/>
        <v>693477</v>
      </c>
      <c r="DP51" s="939">
        <f t="shared" ref="DP51:DQ51" si="358">+DP41</f>
        <v>714743.52635399997</v>
      </c>
      <c r="DQ51" s="939">
        <f t="shared" si="358"/>
        <v>727678.50354976393</v>
      </c>
      <c r="DR51" s="813">
        <f t="shared" si="357"/>
        <v>720660.44496359664</v>
      </c>
      <c r="DS51" s="813">
        <f t="shared" si="357"/>
        <v>729341.96298633947</v>
      </c>
      <c r="DT51" s="813">
        <f t="shared" si="357"/>
        <v>748932.16325390956</v>
      </c>
      <c r="DU51" s="813">
        <f t="shared" si="357"/>
        <v>777600.53398521373</v>
      </c>
      <c r="DV51" s="904" t="s">
        <v>70</v>
      </c>
      <c r="DW51" s="904">
        <v>1877022.5214126715</v>
      </c>
      <c r="DX51" s="813">
        <v>725602.9265203285</v>
      </c>
      <c r="DY51" s="813">
        <v>740440.47533634526</v>
      </c>
    </row>
    <row r="52" spans="1:129" s="904" customFormat="1">
      <c r="A52" s="939"/>
      <c r="B52" s="949" t="s">
        <v>369</v>
      </c>
      <c r="C52" s="592" t="e">
        <f t="shared" ref="C52" si="359">(C146-B146)</f>
        <v>#VALUE!</v>
      </c>
      <c r="D52" s="592">
        <f t="shared" ref="D52" si="360">(D146-C146)</f>
        <v>-89</v>
      </c>
      <c r="E52" s="592">
        <f t="shared" ref="E52" si="361">(E146-D146)</f>
        <v>-160</v>
      </c>
      <c r="F52" s="592">
        <f t="shared" ref="F52" si="362">(F146-E146)</f>
        <v>-439</v>
      </c>
      <c r="G52" s="592">
        <f t="shared" ref="G52" si="363">(G146-F146)</f>
        <v>-640</v>
      </c>
      <c r="H52" s="592">
        <f t="shared" ref="H52" si="364">(H146-G146)</f>
        <v>-569</v>
      </c>
      <c r="I52" s="592">
        <f t="shared" ref="I52" si="365">(I146-H146)</f>
        <v>-2434</v>
      </c>
      <c r="J52" s="592">
        <f t="shared" ref="J52" si="366">(J146-I146)</f>
        <v>-1891</v>
      </c>
      <c r="K52" s="592">
        <f t="shared" ref="K52" si="367">(K146-J146)</f>
        <v>-726</v>
      </c>
      <c r="L52" s="592">
        <f t="shared" ref="L52" si="368">(L146-K146)</f>
        <v>-911</v>
      </c>
      <c r="M52" s="592">
        <f t="shared" ref="M52" si="369">(M146-L146)</f>
        <v>-617</v>
      </c>
      <c r="N52" s="592">
        <f t="shared" ref="N52" si="370">(N146-M146)</f>
        <v>-1291</v>
      </c>
      <c r="O52" s="592">
        <f t="shared" ref="O52" si="371">(O146-N146)</f>
        <v>-7861</v>
      </c>
      <c r="P52" s="592">
        <f t="shared" ref="P52" si="372">(P146-O146)</f>
        <v>-1021</v>
      </c>
      <c r="Q52" s="592">
        <f t="shared" ref="Q52" si="373">(Q146-P146)</f>
        <v>9809</v>
      </c>
      <c r="R52" s="592">
        <f t="shared" ref="R52" si="374">(R146-Q146)</f>
        <v>9175</v>
      </c>
      <c r="S52" s="592">
        <f t="shared" ref="S52" si="375">(S146-R146)</f>
        <v>2760</v>
      </c>
      <c r="T52" s="592">
        <f t="shared" ref="T52" si="376">(T146-S146)</f>
        <v>2339</v>
      </c>
      <c r="U52" s="592">
        <f t="shared" ref="U52" si="377">(U146-T146)</f>
        <v>4042</v>
      </c>
      <c r="V52" s="592">
        <f t="shared" ref="V52" si="378">(V146-U146)</f>
        <v>-2976</v>
      </c>
      <c r="W52" s="592">
        <f t="shared" ref="W52" si="379">(W146-V146)</f>
        <v>-3400</v>
      </c>
      <c r="X52" s="592">
        <f t="shared" ref="X52" si="380">(X146-W146)</f>
        <v>-4965</v>
      </c>
      <c r="Y52" s="592">
        <f t="shared" ref="Y52" si="381">(Y146-X146)</f>
        <v>-1408</v>
      </c>
      <c r="Z52" s="592">
        <f t="shared" ref="Z52" si="382">(Z146-Y146)</f>
        <v>3256</v>
      </c>
      <c r="AA52" s="592">
        <f t="shared" ref="AA52" si="383">(AA146-Z146)</f>
        <v>-40621</v>
      </c>
      <c r="AB52" s="592">
        <f t="shared" ref="AB52" si="384">(AB146-AA146)</f>
        <v>-1180</v>
      </c>
      <c r="AC52" s="592">
        <f t="shared" ref="AC52" si="385">(AC146-AB146)</f>
        <v>2922</v>
      </c>
      <c r="AD52" s="592">
        <f t="shared" ref="AD52" si="386">(AD146-AC146)</f>
        <v>-7597</v>
      </c>
      <c r="AE52" s="592">
        <f t="shared" ref="AE52" si="387">(AE146-AD146)</f>
        <v>16742</v>
      </c>
      <c r="AF52" s="592">
        <f t="shared" ref="AF52" si="388">(AF146-AE146)</f>
        <v>-10483</v>
      </c>
      <c r="AG52" s="592">
        <f t="shared" ref="AG52" si="389">(AG146-AF146)</f>
        <v>9947</v>
      </c>
      <c r="AH52" s="592">
        <f t="shared" ref="AH52" si="390">(AH146-AG146)</f>
        <v>-61847</v>
      </c>
      <c r="AI52" s="592">
        <f t="shared" ref="AI52" si="391">(AI146-AH146)</f>
        <v>8375</v>
      </c>
      <c r="AJ52" s="592">
        <f t="shared" ref="AJ52" si="392">(AJ146-AI146)</f>
        <v>-7471</v>
      </c>
      <c r="AK52" s="592">
        <f t="shared" ref="AK52" si="393">(AK146-AJ146)</f>
        <v>-7943</v>
      </c>
      <c r="AL52" s="592">
        <f t="shared" ref="AL52" si="394">(AL146-AK146)</f>
        <v>-33473</v>
      </c>
      <c r="AM52" s="592">
        <f t="shared" ref="AM52" si="395">(AM146-AL146)</f>
        <v>5758</v>
      </c>
      <c r="AN52" s="592">
        <f t="shared" ref="AN52" si="396">(AN146-AM146)</f>
        <v>16638</v>
      </c>
      <c r="AO52" s="592">
        <f t="shared" ref="AO52" si="397">(AO146-AN146)</f>
        <v>35929</v>
      </c>
      <c r="AP52" s="592">
        <f t="shared" ref="AP52" si="398">(AP146-AO146)</f>
        <v>-10172</v>
      </c>
      <c r="AQ52" s="592">
        <f t="shared" ref="AQ52" si="399">(AQ146-AP146)</f>
        <v>-1085</v>
      </c>
      <c r="AR52" s="592">
        <f t="shared" ref="AR52" si="400">(AR146-AQ146)</f>
        <v>-14206</v>
      </c>
      <c r="AS52" s="592">
        <f t="shared" ref="AS52" si="401">(AS146-AR146)</f>
        <v>4810</v>
      </c>
      <c r="AT52" s="592">
        <f t="shared" ref="AT52" si="402">(AT146-AS146)</f>
        <v>-396</v>
      </c>
      <c r="AU52" s="592">
        <f t="shared" ref="AU52" si="403">(AU146-AT146)</f>
        <v>27607</v>
      </c>
      <c r="AV52" s="592">
        <f t="shared" ref="AV52" si="404">(AV146-AU146)</f>
        <v>-26150</v>
      </c>
      <c r="AW52" s="592">
        <f t="shared" ref="AW52" si="405">(AW146-AV146)</f>
        <v>37476</v>
      </c>
      <c r="AX52" s="592">
        <f t="shared" ref="AX52" si="406">(AX146-AW146)</f>
        <v>-41293</v>
      </c>
      <c r="AY52" s="592">
        <f t="shared" ref="AY52" si="407">(AY146-AX146)</f>
        <v>-32719</v>
      </c>
      <c r="AZ52" s="592">
        <f t="shared" ref="AZ52" si="408">(AZ146-AY146)</f>
        <v>-27289</v>
      </c>
      <c r="BA52" s="592">
        <f t="shared" ref="BA52" si="409">(BA146-AZ146)</f>
        <v>1917</v>
      </c>
      <c r="BB52" s="592">
        <f t="shared" ref="BB52" si="410">(BB146-BA146)</f>
        <v>-743</v>
      </c>
      <c r="BC52" s="592">
        <f t="shared" ref="BC52" si="411">(BC146-BB146)</f>
        <v>13848</v>
      </c>
      <c r="BD52" s="592">
        <f t="shared" ref="BD52" si="412">(BD146-BC146)</f>
        <v>14296</v>
      </c>
      <c r="BE52" s="592">
        <f t="shared" ref="BE52" si="413">(BE146-BD146)</f>
        <v>-35321</v>
      </c>
      <c r="BF52" s="592">
        <f t="shared" ref="BF52" si="414">(BF146-BE146)</f>
        <v>-35459</v>
      </c>
      <c r="BG52" s="592">
        <f t="shared" ref="BG52" si="415">(BG146-BF146)</f>
        <v>-7990</v>
      </c>
      <c r="BH52" s="592">
        <f t="shared" ref="BH52" si="416">(BH146-BG146)</f>
        <v>33633</v>
      </c>
      <c r="BI52" s="592">
        <f t="shared" ref="BI52" si="417">(BI146-BH146)</f>
        <v>10802</v>
      </c>
      <c r="BJ52" s="592">
        <f t="shared" ref="BJ52" si="418">(BJ146-BI146)</f>
        <v>9297</v>
      </c>
      <c r="BK52" s="592">
        <f t="shared" ref="BK52" si="419">(BK146-BJ146)</f>
        <v>23733</v>
      </c>
      <c r="BL52" s="592">
        <f t="shared" ref="BL52" si="420">(BL146-BK146)</f>
        <v>-23041</v>
      </c>
      <c r="BM52" s="592">
        <f t="shared" ref="BM52" si="421">(BM146-BL146)</f>
        <v>-14332</v>
      </c>
      <c r="BN52" s="592">
        <f t="shared" ref="BN52" si="422">(BN146-BM146)</f>
        <v>-35682</v>
      </c>
      <c r="BO52" s="592">
        <f t="shared" ref="BO52" si="423">(BO146-BN146)</f>
        <v>-24618</v>
      </c>
      <c r="BP52" s="592">
        <f t="shared" ref="BP52" si="424">(BP146-BO146)</f>
        <v>-12333</v>
      </c>
      <c r="BQ52" s="592">
        <f t="shared" ref="BQ52" si="425">(BQ146-BP146)</f>
        <v>-44722</v>
      </c>
      <c r="BR52" s="592">
        <f t="shared" ref="BR52" si="426">(BR146-BQ146)</f>
        <v>7528</v>
      </c>
      <c r="BS52" s="592">
        <f t="shared" ref="BS52" si="427">(BS146-BR146)</f>
        <v>-122245</v>
      </c>
      <c r="BT52" s="592">
        <f t="shared" ref="BT52" si="428">(BT146-BS146)</f>
        <v>-64599</v>
      </c>
      <c r="BU52" s="592">
        <f t="shared" ref="BU52" si="429">(BU146-BT146)</f>
        <v>33739</v>
      </c>
      <c r="BV52" s="592">
        <f t="shared" ref="BV52" si="430">(BV146-BU146)</f>
        <v>-24115</v>
      </c>
      <c r="BW52" s="592">
        <f t="shared" ref="BW52" si="431">(BW146-BV146)</f>
        <v>-122151</v>
      </c>
      <c r="BX52" s="592">
        <f t="shared" ref="BX52" si="432">(BX146-BW146)</f>
        <v>46106</v>
      </c>
      <c r="BY52" s="592">
        <f t="shared" ref="BY52" si="433">(BY146-BX146)</f>
        <v>49792</v>
      </c>
      <c r="BZ52" s="592">
        <f t="shared" ref="BZ52" si="434">(BZ146-BY146)</f>
        <v>-71579</v>
      </c>
      <c r="CA52" s="592">
        <f t="shared" ref="CA52" si="435">(CA146-BZ146)</f>
        <v>-101334</v>
      </c>
      <c r="CB52" s="592">
        <f t="shared" ref="CB52" si="436">(CB146-CA146)</f>
        <v>-40752</v>
      </c>
      <c r="CC52" s="592">
        <f t="shared" ref="CC52" si="437">(CC146-CB146)</f>
        <v>-34618</v>
      </c>
      <c r="CD52" s="592">
        <f t="shared" ref="CD52" si="438">(CD146-CC146)</f>
        <v>-70929</v>
      </c>
      <c r="CE52" s="592">
        <f t="shared" ref="CE52" si="439">(CE146-CD146)</f>
        <v>-32130</v>
      </c>
      <c r="CF52" s="592">
        <f t="shared" ref="CF52" si="440">(CF146-CE146)</f>
        <v>65696</v>
      </c>
      <c r="CG52" s="592">
        <f t="shared" ref="CG52:CH52" si="441">(CG146-CF146)</f>
        <v>-8416</v>
      </c>
      <c r="CH52" s="592">
        <f t="shared" si="441"/>
        <v>-10109</v>
      </c>
      <c r="CI52" s="592">
        <f t="shared" ref="CI52:CK52" si="442">(CI146-CH146)</f>
        <v>-56335</v>
      </c>
      <c r="CJ52" s="592">
        <f t="shared" si="442"/>
        <v>22265</v>
      </c>
      <c r="CK52" s="592">
        <f t="shared" si="442"/>
        <v>10004</v>
      </c>
      <c r="CL52" s="941">
        <f t="shared" ref="CL52" si="443">(CL146-CK146)</f>
        <v>521.362615799997</v>
      </c>
      <c r="CM52" s="941">
        <f t="shared" ref="CM52" si="444">(CM146-CL146)</f>
        <v>-574.22677621163893</v>
      </c>
      <c r="CN52" s="941">
        <f t="shared" ref="CN52" si="445">(CN146-CM146)</f>
        <v>377.02973255771212</v>
      </c>
      <c r="CO52" s="941">
        <f t="shared" ref="CO52" si="446">(CO146-CN146)</f>
        <v>-211.2987210478168</v>
      </c>
      <c r="CP52" s="941">
        <f t="shared" ref="CP52" si="447">(CP146-CO146)</f>
        <v>576.47658003412653</v>
      </c>
      <c r="CQ52" s="941"/>
      <c r="CR52" s="941">
        <v>521.362615799997</v>
      </c>
      <c r="CT52" s="592"/>
      <c r="CU52" s="592"/>
      <c r="CV52" s="592"/>
      <c r="CW52" s="592"/>
      <c r="CX52" s="592">
        <f t="shared" si="346"/>
        <v>10102</v>
      </c>
      <c r="CY52" s="942">
        <f t="shared" si="242"/>
        <v>6165</v>
      </c>
      <c r="CZ52" s="942">
        <f t="shared" si="243"/>
        <v>-6517</v>
      </c>
      <c r="DA52" s="942">
        <f t="shared" si="244"/>
        <v>-46476</v>
      </c>
      <c r="DB52" s="942">
        <f t="shared" si="245"/>
        <v>-45641</v>
      </c>
      <c r="DC52" s="939">
        <f t="shared" si="246"/>
        <v>-40512</v>
      </c>
      <c r="DD52" s="939">
        <f t="shared" si="247"/>
        <v>48153</v>
      </c>
      <c r="DE52" s="939">
        <f t="shared" ref="DE52:DR52" si="448">(DE146-DD146)</f>
        <v>-10877</v>
      </c>
      <c r="DF52" s="939">
        <f t="shared" si="448"/>
        <v>-2360</v>
      </c>
      <c r="DG52" s="939">
        <f t="shared" si="448"/>
        <v>-58834</v>
      </c>
      <c r="DH52" s="939">
        <f t="shared" si="448"/>
        <v>-42636</v>
      </c>
      <c r="DI52" s="939">
        <f t="shared" si="448"/>
        <v>45742</v>
      </c>
      <c r="DJ52" s="939">
        <f t="shared" si="448"/>
        <v>-49322</v>
      </c>
      <c r="DK52" s="939">
        <f t="shared" si="448"/>
        <v>-74145</v>
      </c>
      <c r="DL52" s="939">
        <f t="shared" si="448"/>
        <v>-177220</v>
      </c>
      <c r="DM52" s="939">
        <f t="shared" si="448"/>
        <v>-97832</v>
      </c>
      <c r="DN52" s="939">
        <f t="shared" si="448"/>
        <v>-247633</v>
      </c>
      <c r="DO52" s="939">
        <f t="shared" si="448"/>
        <v>15041</v>
      </c>
      <c r="DP52" s="939">
        <f t="shared" si="448"/>
        <v>-23544.637384200003</v>
      </c>
      <c r="DQ52" s="939">
        <f t="shared" si="448"/>
        <v>167.98081533238292</v>
      </c>
      <c r="DR52" s="813">
        <f t="shared" si="448"/>
        <v>176.26919296418782</v>
      </c>
      <c r="DS52" s="813">
        <f t="shared" ref="DS52" si="449">(DS146-DR146)</f>
        <v>159.56774716067594</v>
      </c>
      <c r="DT52" s="813">
        <f t="shared" ref="DT52" si="450">(DT146-DS146)</f>
        <v>169.87698712083511</v>
      </c>
      <c r="DU52" s="813">
        <f t="shared" ref="DU52" si="451">(DU146-DT146)</f>
        <v>181.63108216074761</v>
      </c>
      <c r="DX52" s="813">
        <v>144.27651239442639</v>
      </c>
      <c r="DY52" s="813">
        <v>178.29033866827376</v>
      </c>
    </row>
    <row r="53" spans="1:129" s="904" customFormat="1">
      <c r="A53" s="939"/>
      <c r="B53" s="949" t="s">
        <v>370</v>
      </c>
      <c r="C53" s="592" t="e">
        <f t="shared" ref="C53" si="452">+C132-B132</f>
        <v>#VALUE!</v>
      </c>
      <c r="D53" s="592">
        <f t="shared" ref="D53" si="453">+D132-C132</f>
        <v>95448</v>
      </c>
      <c r="E53" s="592">
        <f t="shared" ref="E53" si="454">+E132-D132</f>
        <v>-3997</v>
      </c>
      <c r="F53" s="592">
        <f t="shared" ref="F53" si="455">+F132-E132</f>
        <v>34015</v>
      </c>
      <c r="G53" s="592">
        <f t="shared" ref="G53" si="456">+G132-F132</f>
        <v>67720</v>
      </c>
      <c r="H53" s="592">
        <f t="shared" ref="H53" si="457">+H132-G132</f>
        <v>-45892</v>
      </c>
      <c r="I53" s="592">
        <f t="shared" ref="I53" si="458">+I132-H132</f>
        <v>1386</v>
      </c>
      <c r="J53" s="592">
        <f t="shared" ref="J53" si="459">+J132-I132</f>
        <v>-38370</v>
      </c>
      <c r="K53" s="592">
        <f t="shared" ref="K53" si="460">+K132-J132</f>
        <v>100929</v>
      </c>
      <c r="L53" s="592">
        <f t="shared" ref="L53" si="461">+L132-K132</f>
        <v>-45293</v>
      </c>
      <c r="M53" s="592">
        <f t="shared" ref="M53" si="462">+M132-L132</f>
        <v>-9276</v>
      </c>
      <c r="N53" s="592">
        <f t="shared" ref="N53" si="463">+N132-M132</f>
        <v>-62383</v>
      </c>
      <c r="O53" s="592">
        <f t="shared" ref="O53" si="464">+O132-N132</f>
        <v>134927</v>
      </c>
      <c r="P53" s="592">
        <f t="shared" ref="P53" si="465">+P132-O132</f>
        <v>-63789</v>
      </c>
      <c r="Q53" s="592">
        <f t="shared" ref="Q53" si="466">+Q132-P132</f>
        <v>9882</v>
      </c>
      <c r="R53" s="592">
        <f t="shared" ref="R53" si="467">+R132-Q132</f>
        <v>130857</v>
      </c>
      <c r="S53" s="592">
        <f t="shared" ref="S53" si="468">+S132-R132</f>
        <v>-61887</v>
      </c>
      <c r="T53" s="592">
        <f t="shared" ref="T53" si="469">+T132-S132</f>
        <v>34322</v>
      </c>
      <c r="U53" s="592">
        <f t="shared" ref="U53" si="470">+U132-T132</f>
        <v>39030</v>
      </c>
      <c r="V53" s="592">
        <f t="shared" ref="V53" si="471">+V132-U132</f>
        <v>161966</v>
      </c>
      <c r="W53" s="592">
        <f t="shared" ref="W53" si="472">+W132-V132</f>
        <v>51837</v>
      </c>
      <c r="X53" s="592">
        <f t="shared" ref="X53" si="473">+X132-W132</f>
        <v>-74581</v>
      </c>
      <c r="Y53" s="592">
        <f t="shared" ref="Y53" si="474">+Y132-X132</f>
        <v>-61209</v>
      </c>
      <c r="Z53" s="592">
        <f t="shared" ref="Z53" si="475">+Z132-Y132</f>
        <v>80039</v>
      </c>
      <c r="AA53" s="592">
        <f t="shared" ref="AA53" si="476">+AA132-Z132</f>
        <v>18812</v>
      </c>
      <c r="AB53" s="592">
        <f t="shared" ref="AB53" si="477">+AB132-AA132</f>
        <v>63808</v>
      </c>
      <c r="AC53" s="592">
        <f t="shared" ref="AC53" si="478">+AC132-AB132</f>
        <v>2847</v>
      </c>
      <c r="AD53" s="592">
        <f t="shared" ref="AD53" si="479">+AD132-AC132</f>
        <v>13440</v>
      </c>
      <c r="AE53" s="592">
        <f t="shared" ref="AE53" si="480">+AE132-AD132</f>
        <v>95387</v>
      </c>
      <c r="AF53" s="592">
        <f t="shared" ref="AF53" si="481">+AF132-AE132</f>
        <v>-48752</v>
      </c>
      <c r="AG53" s="592">
        <f t="shared" ref="AG53" si="482">+AG132-AF132</f>
        <v>25007</v>
      </c>
      <c r="AH53" s="592">
        <f t="shared" ref="AH53" si="483">+AH132-AG132</f>
        <v>4426</v>
      </c>
      <c r="AI53" s="592">
        <f t="shared" ref="AI53" si="484">+AI132-AH132</f>
        <v>168342</v>
      </c>
      <c r="AJ53" s="592">
        <f t="shared" ref="AJ53" si="485">+AJ132-AI132</f>
        <v>-7135</v>
      </c>
      <c r="AK53" s="592">
        <f t="shared" ref="AK53" si="486">+AK132-AJ132</f>
        <v>63320</v>
      </c>
      <c r="AL53" s="592">
        <f t="shared" ref="AL53" si="487">+AL132-AK132</f>
        <v>-22415</v>
      </c>
      <c r="AM53" s="592">
        <f t="shared" ref="AM53" si="488">+AM132-AL132</f>
        <v>178894</v>
      </c>
      <c r="AN53" s="592">
        <f t="shared" ref="AN53" si="489">+AN132-AM132</f>
        <v>35887</v>
      </c>
      <c r="AO53" s="592">
        <f t="shared" ref="AO53" si="490">+AO132-AN132</f>
        <v>36849</v>
      </c>
      <c r="AP53" s="592">
        <f t="shared" ref="AP53" si="491">+AP132-AO132</f>
        <v>-1801</v>
      </c>
      <c r="AQ53" s="592">
        <f t="shared" ref="AQ53" si="492">+AQ132-AP132</f>
        <v>80135</v>
      </c>
      <c r="AR53" s="592">
        <f t="shared" ref="AR53" si="493">+AR132-AQ132</f>
        <v>7042</v>
      </c>
      <c r="AS53" s="592">
        <f t="shared" ref="AS53" si="494">+AS132-AR132</f>
        <v>61014</v>
      </c>
      <c r="AT53" s="592">
        <f t="shared" ref="AT53" si="495">+AT132-AS132</f>
        <v>57305</v>
      </c>
      <c r="AU53" s="592">
        <f t="shared" ref="AU53" si="496">+AU132-AT132</f>
        <v>256568</v>
      </c>
      <c r="AV53" s="592">
        <f t="shared" ref="AV53" si="497">+AV132-AU132</f>
        <v>-50997</v>
      </c>
      <c r="AW53" s="592">
        <f t="shared" ref="AW53" si="498">+AW132-AV132</f>
        <v>137683</v>
      </c>
      <c r="AX53" s="592">
        <f t="shared" ref="AX53" si="499">+AX132-AW132</f>
        <v>-137679</v>
      </c>
      <c r="AY53" s="592">
        <f t="shared" ref="AY53" si="500">+AY132-AX132</f>
        <v>-43282</v>
      </c>
      <c r="AZ53" s="592">
        <f t="shared" ref="AZ53" si="501">+AZ132-AY132</f>
        <v>-74902</v>
      </c>
      <c r="BA53" s="592">
        <f t="shared" ref="BA53" si="502">+BA132-AZ132</f>
        <v>-31837</v>
      </c>
      <c r="BB53" s="592">
        <f t="shared" ref="BB53" si="503">+BB132-BA132</f>
        <v>55484</v>
      </c>
      <c r="BC53" s="592">
        <f t="shared" ref="BC53" si="504">+BC132-BB132</f>
        <v>289304</v>
      </c>
      <c r="BD53" s="592">
        <f t="shared" ref="BD53" si="505">+BD132-BC132</f>
        <v>99</v>
      </c>
      <c r="BE53" s="592">
        <f t="shared" ref="BE53" si="506">+BE132-BD132</f>
        <v>-212135</v>
      </c>
      <c r="BF53" s="592">
        <f t="shared" ref="BF53" si="507">+BF132-BE132</f>
        <v>20103</v>
      </c>
      <c r="BG53" s="592">
        <f t="shared" ref="BG53" si="508">+BG132-BF132</f>
        <v>324603</v>
      </c>
      <c r="BH53" s="592">
        <f t="shared" ref="BH53" si="509">+BH132-BG132</f>
        <v>87321</v>
      </c>
      <c r="BI53" s="592">
        <f t="shared" ref="BI53" si="510">+BI132-BH132</f>
        <v>-103452</v>
      </c>
      <c r="BJ53" s="592">
        <f t="shared" ref="BJ53" si="511">+BJ132-BI132</f>
        <v>52612</v>
      </c>
      <c r="BK53" s="592">
        <f t="shared" ref="BK53" si="512">+BK132-BJ132</f>
        <v>520667</v>
      </c>
      <c r="BL53" s="592">
        <f t="shared" ref="BL53" si="513">+BL132-BK132</f>
        <v>-66683</v>
      </c>
      <c r="BM53" s="592">
        <f t="shared" ref="BM53" si="514">+BM132-BL132</f>
        <v>-153394</v>
      </c>
      <c r="BN53" s="592">
        <f t="shared" ref="BN53" si="515">+BN132-BM132</f>
        <v>-3752</v>
      </c>
      <c r="BO53" s="592">
        <f t="shared" ref="BO53" si="516">+BO132-BN132</f>
        <v>385174</v>
      </c>
      <c r="BP53" s="592">
        <f t="shared" ref="BP53" si="517">+BP132-BO132</f>
        <v>288623</v>
      </c>
      <c r="BQ53" s="592">
        <f t="shared" ref="BQ53" si="518">+BQ132-BP132</f>
        <v>-91433</v>
      </c>
      <c r="BR53" s="592">
        <f t="shared" ref="BR53" si="519">+BR132-BQ132</f>
        <v>24938</v>
      </c>
      <c r="BS53" s="592">
        <f t="shared" ref="BS53" si="520">+BS132-BR132</f>
        <v>-244853</v>
      </c>
      <c r="BT53" s="592">
        <f t="shared" ref="BT53" si="521">+BT132-BS132</f>
        <v>699609</v>
      </c>
      <c r="BU53" s="592">
        <f t="shared" ref="BU53" si="522">+BU132-BT132</f>
        <v>-272027</v>
      </c>
      <c r="BV53" s="592">
        <f t="shared" ref="BV53" si="523">+BV132-BU132</f>
        <v>125799</v>
      </c>
      <c r="BW53" s="592">
        <f t="shared" ref="BW53" si="524">+BW132-BV132</f>
        <v>712256</v>
      </c>
      <c r="BX53" s="592">
        <f t="shared" ref="BX53" si="525">+BX132-BW132</f>
        <v>217752</v>
      </c>
      <c r="BY53" s="592">
        <f t="shared" ref="BY53" si="526">+BY132-BX132</f>
        <v>106609</v>
      </c>
      <c r="BZ53" s="592">
        <f t="shared" ref="BZ53" si="527">+BZ132-BY132</f>
        <v>-89833</v>
      </c>
      <c r="CA53" s="592">
        <f t="shared" ref="CA53" si="528">+CA132-BZ132</f>
        <v>287203</v>
      </c>
      <c r="CB53" s="592">
        <f t="shared" ref="CB53" si="529">+CB132-CA132</f>
        <v>-70291</v>
      </c>
      <c r="CC53" s="592">
        <f t="shared" ref="CC53" si="530">+CC132-CB132</f>
        <v>-607245</v>
      </c>
      <c r="CD53" s="592">
        <f t="shared" ref="CD53" si="531">+CD132-CC132</f>
        <v>55975</v>
      </c>
      <c r="CE53" s="592">
        <f t="shared" ref="CE53" si="532">+CE132-CD132</f>
        <v>17261</v>
      </c>
      <c r="CF53" s="592">
        <f t="shared" ref="CF53" si="533">+CF132-CE132</f>
        <v>148784</v>
      </c>
      <c r="CG53" s="592">
        <f t="shared" ref="CG53:CH53" si="534">+CG132-CF132</f>
        <v>-49717</v>
      </c>
      <c r="CH53" s="592">
        <f t="shared" si="534"/>
        <v>-79293</v>
      </c>
      <c r="CI53" s="592">
        <f t="shared" ref="CI53:CK53" si="535">+CI132-CH132</f>
        <v>218221</v>
      </c>
      <c r="CJ53" s="592">
        <f t="shared" si="535"/>
        <v>217327</v>
      </c>
      <c r="CK53" s="592">
        <f t="shared" si="535"/>
        <v>-3691</v>
      </c>
      <c r="CL53" s="941">
        <f t="shared" ref="CL53" si="536">+CL132-CK132</f>
        <v>374451.41216868162</v>
      </c>
      <c r="CM53" s="941">
        <f t="shared" ref="CM53" si="537">+CM132-CL132</f>
        <v>-12378.77176002413</v>
      </c>
      <c r="CN53" s="941">
        <f t="shared" ref="CN53" si="538">+CN132-CM132</f>
        <v>-6470.781652295962</v>
      </c>
      <c r="CO53" s="941">
        <f t="shared" ref="CO53" si="539">+CO132-CN132</f>
        <v>-261440.93699733727</v>
      </c>
      <c r="CP53" s="941">
        <f t="shared" ref="CP53" si="540">+CP132-CO132</f>
        <v>578942.93841065653</v>
      </c>
      <c r="CQ53" s="941"/>
      <c r="CR53" s="941">
        <v>374451.41216868162</v>
      </c>
      <c r="CT53" s="592"/>
      <c r="CU53" s="592"/>
      <c r="CV53" s="592"/>
      <c r="CW53" s="592"/>
      <c r="CX53" s="592">
        <f t="shared" si="346"/>
        <v>211877</v>
      </c>
      <c r="CY53" s="942">
        <f t="shared" si="242"/>
        <v>173431</v>
      </c>
      <c r="CZ53" s="942">
        <f t="shared" si="243"/>
        <v>-3914</v>
      </c>
      <c r="DA53" s="942">
        <f t="shared" si="244"/>
        <v>98907</v>
      </c>
      <c r="DB53" s="942">
        <f t="shared" si="245"/>
        <v>76068</v>
      </c>
      <c r="DC53" s="939">
        <f t="shared" si="246"/>
        <v>202112</v>
      </c>
      <c r="DD53" s="939">
        <f t="shared" si="247"/>
        <v>249829</v>
      </c>
      <c r="DE53" s="939">
        <f t="shared" ref="DE53:DR53" si="541">+DE132-DD132</f>
        <v>205496</v>
      </c>
      <c r="DF53" s="939">
        <f t="shared" si="541"/>
        <v>205575</v>
      </c>
      <c r="DG53" s="939">
        <f t="shared" si="541"/>
        <v>-94537</v>
      </c>
      <c r="DH53" s="939">
        <f t="shared" si="541"/>
        <v>97371</v>
      </c>
      <c r="DI53" s="939">
        <f t="shared" si="541"/>
        <v>361084</v>
      </c>
      <c r="DJ53" s="939">
        <f t="shared" si="541"/>
        <v>296838</v>
      </c>
      <c r="DK53" s="939">
        <f t="shared" si="541"/>
        <v>607302</v>
      </c>
      <c r="DL53" s="939">
        <f t="shared" si="541"/>
        <v>308528</v>
      </c>
      <c r="DM53" s="939">
        <f t="shared" si="541"/>
        <v>946784</v>
      </c>
      <c r="DN53" s="939">
        <f t="shared" si="541"/>
        <v>-334358</v>
      </c>
      <c r="DO53" s="939">
        <f t="shared" si="541"/>
        <v>37035</v>
      </c>
      <c r="DP53" s="939">
        <f t="shared" si="541"/>
        <v>806308.41216868162</v>
      </c>
      <c r="DQ53" s="939">
        <f t="shared" si="541"/>
        <v>298652.44800099917</v>
      </c>
      <c r="DR53" s="813">
        <f t="shared" si="541"/>
        <v>448097.46332983952</v>
      </c>
      <c r="DS53" s="813">
        <f t="shared" ref="DS53" si="542">+DS132-DR132</f>
        <v>397679.13597328961</v>
      </c>
      <c r="DT53" s="813">
        <f t="shared" ref="DT53" si="543">+DT132-DS132</f>
        <v>424819.34904423263</v>
      </c>
      <c r="DU53" s="813">
        <f t="shared" ref="DU53" si="544">+DU132-DT132</f>
        <v>453465.66688416339</v>
      </c>
      <c r="DX53" s="813">
        <v>366046.67098374665</v>
      </c>
      <c r="DY53" s="813">
        <v>437000.08218138106</v>
      </c>
    </row>
    <row r="54" spans="1:129" s="904" customFormat="1">
      <c r="A54" s="939"/>
      <c r="B54" s="949" t="s">
        <v>371</v>
      </c>
      <c r="C54" s="592">
        <f t="shared" ref="C54:BN54" si="545">+C173</f>
        <v>7400</v>
      </c>
      <c r="D54" s="592">
        <f t="shared" si="545"/>
        <v>0</v>
      </c>
      <c r="E54" s="592">
        <f t="shared" si="545"/>
        <v>0</v>
      </c>
      <c r="F54" s="592">
        <f t="shared" si="545"/>
        <v>16100.000000000002</v>
      </c>
      <c r="G54" s="592">
        <f t="shared" si="545"/>
        <v>6600</v>
      </c>
      <c r="H54" s="592">
        <f t="shared" si="545"/>
        <v>10200</v>
      </c>
      <c r="I54" s="592">
        <f t="shared" si="545"/>
        <v>6700.0000000000009</v>
      </c>
      <c r="J54" s="592">
        <f t="shared" si="545"/>
        <v>32400</v>
      </c>
      <c r="K54" s="592">
        <f t="shared" si="545"/>
        <v>16800</v>
      </c>
      <c r="L54" s="592">
        <f t="shared" si="545"/>
        <v>32800</v>
      </c>
      <c r="M54" s="592">
        <f t="shared" si="545"/>
        <v>21900</v>
      </c>
      <c r="N54" s="592">
        <f t="shared" si="545"/>
        <v>47500</v>
      </c>
      <c r="O54" s="592">
        <f t="shared" si="545"/>
        <v>11600</v>
      </c>
      <c r="P54" s="592">
        <f t="shared" si="545"/>
        <v>24200</v>
      </c>
      <c r="Q54" s="592">
        <f t="shared" si="545"/>
        <v>16800</v>
      </c>
      <c r="R54" s="592">
        <f t="shared" si="545"/>
        <v>55900</v>
      </c>
      <c r="S54" s="592">
        <f t="shared" si="545"/>
        <v>18100</v>
      </c>
      <c r="T54" s="592">
        <f t="shared" si="545"/>
        <v>30400</v>
      </c>
      <c r="U54" s="592">
        <f t="shared" si="545"/>
        <v>36700</v>
      </c>
      <c r="V54" s="592">
        <f t="shared" si="545"/>
        <v>51600</v>
      </c>
      <c r="W54" s="592">
        <f t="shared" si="545"/>
        <v>6400</v>
      </c>
      <c r="X54" s="592">
        <f t="shared" si="545"/>
        <v>21500</v>
      </c>
      <c r="Y54" s="592">
        <f t="shared" si="545"/>
        <v>14200</v>
      </c>
      <c r="Z54" s="592">
        <f t="shared" si="545"/>
        <v>27000</v>
      </c>
      <c r="AA54" s="592">
        <f t="shared" si="545"/>
        <v>15900</v>
      </c>
      <c r="AB54" s="592">
        <f t="shared" si="545"/>
        <v>20600</v>
      </c>
      <c r="AC54" s="592">
        <f t="shared" si="545"/>
        <v>27100</v>
      </c>
      <c r="AD54" s="592">
        <f t="shared" si="545"/>
        <v>96700</v>
      </c>
      <c r="AE54" s="592">
        <f t="shared" si="545"/>
        <v>24000</v>
      </c>
      <c r="AF54" s="592">
        <f t="shared" si="545"/>
        <v>64300</v>
      </c>
      <c r="AG54" s="592">
        <f t="shared" si="545"/>
        <v>55700</v>
      </c>
      <c r="AH54" s="592">
        <f t="shared" si="545"/>
        <v>152600</v>
      </c>
      <c r="AI54" s="592">
        <f t="shared" si="545"/>
        <v>69800</v>
      </c>
      <c r="AJ54" s="592">
        <f t="shared" si="545"/>
        <v>67100</v>
      </c>
      <c r="AK54" s="592">
        <f t="shared" si="545"/>
        <v>86400</v>
      </c>
      <c r="AL54" s="592">
        <f t="shared" si="545"/>
        <v>150200</v>
      </c>
      <c r="AM54" s="592">
        <f t="shared" si="545"/>
        <v>36800</v>
      </c>
      <c r="AN54" s="592">
        <f t="shared" si="545"/>
        <v>65800</v>
      </c>
      <c r="AO54" s="592">
        <f t="shared" si="545"/>
        <v>123400</v>
      </c>
      <c r="AP54" s="592">
        <f t="shared" si="545"/>
        <v>186200</v>
      </c>
      <c r="AQ54" s="592">
        <f t="shared" si="545"/>
        <v>77400</v>
      </c>
      <c r="AR54" s="592">
        <f t="shared" si="545"/>
        <v>116000</v>
      </c>
      <c r="AS54" s="592">
        <f t="shared" si="545"/>
        <v>131600</v>
      </c>
      <c r="AT54" s="592">
        <f t="shared" si="545"/>
        <v>177000</v>
      </c>
      <c r="AU54" s="592">
        <f t="shared" si="545"/>
        <v>71400</v>
      </c>
      <c r="AV54" s="592">
        <f t="shared" si="545"/>
        <v>146600</v>
      </c>
      <c r="AW54" s="592">
        <f t="shared" si="545"/>
        <v>166800</v>
      </c>
      <c r="AX54" s="592">
        <f t="shared" si="545"/>
        <v>186600</v>
      </c>
      <c r="AY54" s="592">
        <f t="shared" si="545"/>
        <v>87600</v>
      </c>
      <c r="AZ54" s="592">
        <f t="shared" si="545"/>
        <v>157900</v>
      </c>
      <c r="BA54" s="592">
        <f t="shared" si="545"/>
        <v>106800</v>
      </c>
      <c r="BB54" s="592">
        <f t="shared" si="545"/>
        <v>160200</v>
      </c>
      <c r="BC54" s="592">
        <f t="shared" si="545"/>
        <v>66472.064909999986</v>
      </c>
      <c r="BD54" s="592">
        <f t="shared" si="545"/>
        <v>118751.00000000006</v>
      </c>
      <c r="BE54" s="592">
        <f t="shared" si="545"/>
        <v>134932.00000000006</v>
      </c>
      <c r="BF54" s="592">
        <f t="shared" si="545"/>
        <v>230243.77737777628</v>
      </c>
      <c r="BG54" s="592">
        <f t="shared" si="545"/>
        <v>94100.000000000015</v>
      </c>
      <c r="BH54" s="592">
        <f t="shared" si="545"/>
        <v>134173.07100199937</v>
      </c>
      <c r="BI54" s="592">
        <f t="shared" si="545"/>
        <v>158309.76684999999</v>
      </c>
      <c r="BJ54" s="592">
        <f t="shared" si="545"/>
        <v>223778.16057000001</v>
      </c>
      <c r="BK54" s="592">
        <f t="shared" si="545"/>
        <v>78882.000000000015</v>
      </c>
      <c r="BL54" s="592">
        <f t="shared" si="545"/>
        <v>166460.38018388761</v>
      </c>
      <c r="BM54" s="592">
        <f t="shared" si="545"/>
        <v>257331.54870320793</v>
      </c>
      <c r="BN54" s="592">
        <f t="shared" si="545"/>
        <v>248530.21191490331</v>
      </c>
      <c r="BO54" s="592">
        <f t="shared" ref="BO54:CH54" si="546">+BO173</f>
        <v>89439.747971866018</v>
      </c>
      <c r="BP54" s="592">
        <f t="shared" si="546"/>
        <v>141500</v>
      </c>
      <c r="BQ54" s="592">
        <f t="shared" si="546"/>
        <v>188908.60608999999</v>
      </c>
      <c r="BR54" s="592">
        <f t="shared" si="546"/>
        <v>124800</v>
      </c>
      <c r="BS54" s="592">
        <f t="shared" si="546"/>
        <v>264127.59803791996</v>
      </c>
      <c r="BT54" s="592">
        <f t="shared" si="546"/>
        <v>254113.98082636279</v>
      </c>
      <c r="BU54" s="592">
        <f t="shared" si="546"/>
        <v>186577.02864050001</v>
      </c>
      <c r="BV54" s="592">
        <f t="shared" si="546"/>
        <v>383621.7333075999</v>
      </c>
      <c r="BW54" s="592">
        <f t="shared" si="546"/>
        <v>114714.13055725199</v>
      </c>
      <c r="BX54" s="592">
        <f t="shared" si="546"/>
        <v>208002.842233943</v>
      </c>
      <c r="BY54" s="592">
        <f t="shared" si="546"/>
        <v>263735.55669179885</v>
      </c>
      <c r="BZ54" s="592">
        <f t="shared" si="546"/>
        <v>408540.19999999995</v>
      </c>
      <c r="CA54" s="592">
        <f t="shared" si="546"/>
        <v>81434.505072202272</v>
      </c>
      <c r="CB54" s="592">
        <f t="shared" si="546"/>
        <v>235870.79286433975</v>
      </c>
      <c r="CC54" s="592">
        <f t="shared" si="546"/>
        <v>244065.75667637054</v>
      </c>
      <c r="CD54" s="592">
        <f t="shared" si="546"/>
        <v>327446.57132743066</v>
      </c>
      <c r="CE54" s="592">
        <f t="shared" si="546"/>
        <v>68973.813961094056</v>
      </c>
      <c r="CF54" s="592">
        <f t="shared" si="546"/>
        <v>137127.8303906752</v>
      </c>
      <c r="CG54" s="592">
        <f t="shared" si="546"/>
        <v>172912.39856704586</v>
      </c>
      <c r="CH54" s="592">
        <f t="shared" si="546"/>
        <v>283293.11546802486</v>
      </c>
      <c r="CI54" s="592">
        <f t="shared" ref="CI54:CL54" si="547">+CI173</f>
        <v>61588.251532900504</v>
      </c>
      <c r="CJ54" s="592">
        <f t="shared" ref="CJ54:CK54" si="548">+CJ173</f>
        <v>165864.54772856232</v>
      </c>
      <c r="CK54" s="592">
        <f t="shared" si="548"/>
        <v>199922.104815614</v>
      </c>
      <c r="CL54" s="941">
        <f t="shared" si="547"/>
        <v>303289.72846744896</v>
      </c>
      <c r="CM54" s="941">
        <f t="shared" ref="CM54:CP54" si="549">+CM173</f>
        <v>95571.182498504728</v>
      </c>
      <c r="CN54" s="941">
        <f t="shared" si="549"/>
        <v>155603.83081517552</v>
      </c>
      <c r="CO54" s="941">
        <f t="shared" si="549"/>
        <v>174312.95642392684</v>
      </c>
      <c r="CP54" s="941">
        <f t="shared" si="549"/>
        <v>273835.18483982439</v>
      </c>
      <c r="CQ54" s="941"/>
      <c r="CR54" s="941">
        <v>303289.72846744896</v>
      </c>
      <c r="CT54" s="592"/>
      <c r="CU54" s="592"/>
      <c r="CV54" s="592"/>
      <c r="CW54" s="592"/>
      <c r="CX54" s="592">
        <f t="shared" si="346"/>
        <v>108500</v>
      </c>
      <c r="CY54" s="942">
        <f t="shared" si="242"/>
        <v>136800</v>
      </c>
      <c r="CZ54" s="942">
        <f t="shared" si="243"/>
        <v>69100</v>
      </c>
      <c r="DA54" s="942">
        <f t="shared" si="244"/>
        <v>160300</v>
      </c>
      <c r="DB54" s="942">
        <f t="shared" si="245"/>
        <v>296600</v>
      </c>
      <c r="DC54" s="939">
        <f t="shared" si="246"/>
        <v>373500</v>
      </c>
      <c r="DD54" s="939">
        <f t="shared" si="247"/>
        <v>412200</v>
      </c>
      <c r="DE54" s="939">
        <f t="shared" ref="DE54:DL54" si="550">+DE173</f>
        <v>502000</v>
      </c>
      <c r="DF54" s="939">
        <f t="shared" si="550"/>
        <v>571400</v>
      </c>
      <c r="DG54" s="939">
        <f t="shared" si="550"/>
        <v>512500</v>
      </c>
      <c r="DH54" s="939">
        <f t="shared" si="550"/>
        <v>550398.84228777641</v>
      </c>
      <c r="DI54" s="939">
        <f t="shared" si="550"/>
        <v>610360.99842199939</v>
      </c>
      <c r="DJ54" s="939">
        <f t="shared" si="550"/>
        <v>751204.14080199879</v>
      </c>
      <c r="DK54" s="939">
        <f t="shared" si="550"/>
        <v>544648.35406186595</v>
      </c>
      <c r="DL54" s="939">
        <f t="shared" si="550"/>
        <v>1088440.3408123828</v>
      </c>
      <c r="DM54" s="939">
        <f t="shared" ref="DM54:DR54" si="551">+DM173</f>
        <v>994992.72948299383</v>
      </c>
      <c r="DN54" s="939">
        <f t="shared" si="551"/>
        <v>888817.62594034325</v>
      </c>
      <c r="DO54" s="939">
        <f t="shared" si="551"/>
        <v>662307.15838684002</v>
      </c>
      <c r="DP54" s="939">
        <f t="shared" si="551"/>
        <v>730664.63254452567</v>
      </c>
      <c r="DQ54" s="939">
        <f t="shared" ref="DQ54" si="552">+DQ173</f>
        <v>699323.1545774315</v>
      </c>
      <c r="DR54" s="813">
        <f t="shared" si="551"/>
        <v>755736.73709225887</v>
      </c>
      <c r="DS54" s="813">
        <f t="shared" ref="DS54:DU54" si="553">+DS173</f>
        <v>808493.04988659767</v>
      </c>
      <c r="DT54" s="813">
        <f t="shared" si="553"/>
        <v>864762.15335353254</v>
      </c>
      <c r="DU54" s="813">
        <f t="shared" si="553"/>
        <v>924750.1041824664</v>
      </c>
      <c r="DX54" s="813">
        <v>785814.02699045336</v>
      </c>
      <c r="DY54" s="813">
        <v>847491.06413670944</v>
      </c>
    </row>
    <row r="55" spans="1:129" s="904" customFormat="1">
      <c r="A55" s="939"/>
      <c r="B55" s="908" t="s">
        <v>372</v>
      </c>
      <c r="C55" s="961"/>
      <c r="D55" s="961"/>
      <c r="E55" s="961"/>
      <c r="F55" s="961"/>
      <c r="G55" s="961"/>
      <c r="H55" s="961"/>
      <c r="I55" s="961"/>
      <c r="J55" s="961"/>
      <c r="K55" s="961"/>
      <c r="L55" s="961"/>
      <c r="M55" s="961"/>
      <c r="N55" s="961"/>
      <c r="O55" s="961"/>
      <c r="P55" s="961"/>
      <c r="Q55" s="961"/>
      <c r="R55" s="961"/>
      <c r="S55" s="961"/>
      <c r="T55" s="961"/>
      <c r="U55" s="961"/>
      <c r="V55" s="961"/>
      <c r="W55" s="961"/>
      <c r="X55" s="961"/>
      <c r="Y55" s="961"/>
      <c r="Z55" s="961"/>
      <c r="AA55" s="961"/>
      <c r="AB55" s="961"/>
      <c r="AC55" s="961"/>
      <c r="AD55" s="961"/>
      <c r="AE55" s="961"/>
      <c r="AF55" s="961"/>
      <c r="AG55" s="961"/>
      <c r="AH55" s="961"/>
      <c r="AI55" s="961"/>
      <c r="AJ55" s="961"/>
      <c r="AK55" s="961"/>
      <c r="AL55" s="961"/>
      <c r="AM55" s="961"/>
      <c r="AN55" s="961"/>
      <c r="AO55" s="961"/>
      <c r="AP55" s="961"/>
      <c r="AQ55" s="961"/>
      <c r="AR55" s="961"/>
      <c r="AS55" s="961"/>
      <c r="AT55" s="961"/>
      <c r="AU55" s="961"/>
      <c r="AV55" s="961"/>
      <c r="AW55" s="961"/>
      <c r="AX55" s="961"/>
      <c r="AY55" s="961"/>
      <c r="AZ55" s="961"/>
      <c r="BA55" s="961"/>
      <c r="BB55" s="961"/>
      <c r="BC55" s="961"/>
      <c r="BD55" s="961"/>
      <c r="BE55" s="961"/>
      <c r="BF55" s="961"/>
      <c r="BG55" s="961"/>
      <c r="BH55" s="961"/>
      <c r="BI55" s="961"/>
      <c r="BJ55" s="961"/>
      <c r="BK55" s="961"/>
      <c r="BL55" s="961"/>
      <c r="BM55" s="961"/>
      <c r="BN55" s="961"/>
      <c r="BO55" s="961"/>
      <c r="BP55" s="961"/>
      <c r="BQ55" s="961"/>
      <c r="BR55" s="961"/>
      <c r="BS55" s="961"/>
      <c r="BT55" s="961"/>
      <c r="BU55" s="961"/>
      <c r="BV55" s="961"/>
      <c r="BW55" s="961"/>
      <c r="BX55" s="961"/>
      <c r="BY55" s="961"/>
      <c r="BZ55" s="961"/>
      <c r="CA55" s="961"/>
      <c r="CB55" s="961"/>
      <c r="CC55" s="961"/>
      <c r="CD55" s="961"/>
      <c r="CE55" s="961"/>
      <c r="CF55" s="961"/>
      <c r="CG55" s="961"/>
      <c r="CH55" s="961"/>
      <c r="CI55" s="961"/>
      <c r="CJ55" s="961"/>
      <c r="CK55" s="961"/>
      <c r="CL55" s="941"/>
      <c r="CM55" s="941"/>
      <c r="CN55" s="941"/>
      <c r="CO55" s="941"/>
      <c r="CP55" s="941"/>
      <c r="CQ55" s="941"/>
      <c r="CR55" s="941"/>
      <c r="CT55" s="961"/>
      <c r="CU55" s="961"/>
      <c r="CV55" s="961"/>
      <c r="CW55" s="961"/>
      <c r="CX55" s="592">
        <f t="shared" si="346"/>
        <v>0</v>
      </c>
      <c r="CY55" s="942">
        <f t="shared" si="242"/>
        <v>0</v>
      </c>
      <c r="CZ55" s="942">
        <f t="shared" si="243"/>
        <v>0</v>
      </c>
      <c r="DA55" s="942">
        <f t="shared" si="244"/>
        <v>0</v>
      </c>
      <c r="DB55" s="942">
        <f t="shared" si="245"/>
        <v>0</v>
      </c>
      <c r="DC55" s="939">
        <f t="shared" si="246"/>
        <v>0</v>
      </c>
      <c r="DD55" s="939">
        <f t="shared" si="247"/>
        <v>0</v>
      </c>
      <c r="DE55" s="939"/>
      <c r="DF55" s="939"/>
      <c r="DG55" s="939"/>
      <c r="DH55" s="939"/>
      <c r="DI55" s="939"/>
      <c r="DJ55" s="939"/>
      <c r="DK55" s="939"/>
      <c r="DL55" s="939"/>
      <c r="DM55" s="939"/>
      <c r="DN55" s="939"/>
      <c r="DO55" s="939"/>
      <c r="DP55" s="939"/>
      <c r="DQ55" s="939"/>
      <c r="DR55" s="813"/>
      <c r="DS55" s="813"/>
      <c r="DT55" s="813"/>
      <c r="DU55" s="813"/>
      <c r="DX55" s="813"/>
      <c r="DY55" s="813"/>
    </row>
    <row r="56" spans="1:129" s="904" customFormat="1">
      <c r="A56" s="939"/>
      <c r="B56" s="908" t="s">
        <v>373</v>
      </c>
      <c r="C56" s="592" t="e">
        <f t="shared" ref="C56:BN56" si="554">+C46-C23</f>
        <v>#REF!</v>
      </c>
      <c r="D56" s="592">
        <f t="shared" si="554"/>
        <v>-897</v>
      </c>
      <c r="E56" s="592">
        <f t="shared" si="554"/>
        <v>240</v>
      </c>
      <c r="F56" s="592">
        <f t="shared" si="554"/>
        <v>-2251</v>
      </c>
      <c r="G56" s="592">
        <f t="shared" si="554"/>
        <v>1400</v>
      </c>
      <c r="H56" s="592">
        <f t="shared" si="554"/>
        <v>16554</v>
      </c>
      <c r="I56" s="592">
        <f t="shared" si="554"/>
        <v>237</v>
      </c>
      <c r="J56" s="592">
        <f t="shared" si="554"/>
        <v>7598</v>
      </c>
      <c r="K56" s="592">
        <f t="shared" si="554"/>
        <v>6871</v>
      </c>
      <c r="L56" s="592">
        <f t="shared" si="554"/>
        <v>11335</v>
      </c>
      <c r="M56" s="592">
        <f t="shared" si="554"/>
        <v>32</v>
      </c>
      <c r="N56" s="592">
        <f t="shared" si="554"/>
        <v>12214</v>
      </c>
      <c r="O56" s="592">
        <f t="shared" si="554"/>
        <v>7342</v>
      </c>
      <c r="P56" s="592">
        <f t="shared" si="554"/>
        <v>18414</v>
      </c>
      <c r="Q56" s="592">
        <f t="shared" si="554"/>
        <v>16454</v>
      </c>
      <c r="R56" s="592">
        <f t="shared" si="554"/>
        <v>14845</v>
      </c>
      <c r="S56" s="592">
        <f t="shared" si="554"/>
        <v>12117</v>
      </c>
      <c r="T56" s="592">
        <f t="shared" si="554"/>
        <v>21387</v>
      </c>
      <c r="U56" s="592">
        <f t="shared" si="554"/>
        <v>14213</v>
      </c>
      <c r="V56" s="592">
        <f t="shared" si="554"/>
        <v>15033</v>
      </c>
      <c r="W56" s="592">
        <f t="shared" si="554"/>
        <v>5568</v>
      </c>
      <c r="X56" s="592">
        <f t="shared" si="554"/>
        <v>24650</v>
      </c>
      <c r="Y56" s="592">
        <f t="shared" si="554"/>
        <v>15866</v>
      </c>
      <c r="Z56" s="592">
        <f t="shared" si="554"/>
        <v>36194</v>
      </c>
      <c r="AA56" s="592">
        <f t="shared" si="554"/>
        <v>18660</v>
      </c>
      <c r="AB56" s="592">
        <f t="shared" si="554"/>
        <v>45663</v>
      </c>
      <c r="AC56" s="592">
        <f t="shared" si="554"/>
        <v>29740</v>
      </c>
      <c r="AD56" s="592">
        <f t="shared" si="554"/>
        <v>29680</v>
      </c>
      <c r="AE56" s="592">
        <f t="shared" si="554"/>
        <v>17242</v>
      </c>
      <c r="AF56" s="592">
        <f t="shared" si="554"/>
        <v>39328</v>
      </c>
      <c r="AG56" s="592">
        <f t="shared" si="554"/>
        <v>21601</v>
      </c>
      <c r="AH56" s="592">
        <f t="shared" si="554"/>
        <v>60315</v>
      </c>
      <c r="AI56" s="592">
        <f t="shared" si="554"/>
        <v>9490</v>
      </c>
      <c r="AJ56" s="592">
        <f t="shared" si="554"/>
        <v>44485</v>
      </c>
      <c r="AK56" s="592">
        <f t="shared" si="554"/>
        <v>26927</v>
      </c>
      <c r="AL56" s="592">
        <f t="shared" si="554"/>
        <v>72518</v>
      </c>
      <c r="AM56" s="592">
        <f t="shared" si="554"/>
        <v>6841</v>
      </c>
      <c r="AN56" s="592">
        <f t="shared" si="554"/>
        <v>39995</v>
      </c>
      <c r="AO56" s="592">
        <f t="shared" si="554"/>
        <v>29114</v>
      </c>
      <c r="AP56" s="592">
        <f t="shared" si="554"/>
        <v>99360</v>
      </c>
      <c r="AQ56" s="592">
        <f t="shared" si="554"/>
        <v>17583</v>
      </c>
      <c r="AR56" s="592">
        <f t="shared" si="554"/>
        <v>49639</v>
      </c>
      <c r="AS56" s="592">
        <f t="shared" si="554"/>
        <v>36137</v>
      </c>
      <c r="AT56" s="592">
        <f t="shared" si="554"/>
        <v>133396</v>
      </c>
      <c r="AU56" s="592">
        <f t="shared" si="554"/>
        <v>29399.782200000001</v>
      </c>
      <c r="AV56" s="592">
        <f t="shared" si="554"/>
        <v>69920</v>
      </c>
      <c r="AW56" s="592">
        <f t="shared" si="554"/>
        <v>33767</v>
      </c>
      <c r="AX56" s="592">
        <f t="shared" si="554"/>
        <v>116742</v>
      </c>
      <c r="AY56" s="592">
        <f t="shared" si="554"/>
        <v>15948</v>
      </c>
      <c r="AZ56" s="592">
        <f t="shared" si="554"/>
        <v>70542</v>
      </c>
      <c r="BA56" s="592">
        <f t="shared" si="554"/>
        <v>21752</v>
      </c>
      <c r="BB56" s="592">
        <f t="shared" si="554"/>
        <v>139079</v>
      </c>
      <c r="BC56" s="592">
        <f t="shared" si="554"/>
        <v>12126</v>
      </c>
      <c r="BD56" s="592">
        <f t="shared" si="554"/>
        <v>78682</v>
      </c>
      <c r="BE56" s="592">
        <f t="shared" si="554"/>
        <v>44304</v>
      </c>
      <c r="BF56" s="592">
        <f t="shared" si="554"/>
        <v>136346</v>
      </c>
      <c r="BG56" s="592">
        <f t="shared" si="554"/>
        <v>44732</v>
      </c>
      <c r="BH56" s="592">
        <f t="shared" si="554"/>
        <v>63946.505109999998</v>
      </c>
      <c r="BI56" s="592">
        <f t="shared" si="554"/>
        <v>46815.47496</v>
      </c>
      <c r="BJ56" s="592">
        <f t="shared" si="554"/>
        <v>194563</v>
      </c>
      <c r="BK56" s="592">
        <f t="shared" si="554"/>
        <v>-2193.8699056145197</v>
      </c>
      <c r="BL56" s="592">
        <f t="shared" si="554"/>
        <v>-5150.7821018347895</v>
      </c>
      <c r="BM56" s="592">
        <f t="shared" si="554"/>
        <v>-6956.5704677670146</v>
      </c>
      <c r="BN56" s="592">
        <f t="shared" si="554"/>
        <v>-2220.2137160687707</v>
      </c>
      <c r="BO56" s="592">
        <f t="shared" ref="BO56:CH56" si="555">+BO46-BO23</f>
        <v>-44586.819649481593</v>
      </c>
      <c r="BP56" s="592">
        <f t="shared" si="555"/>
        <v>55178.370605344746</v>
      </c>
      <c r="BQ56" s="592">
        <f t="shared" si="555"/>
        <v>-11149.515676069757</v>
      </c>
      <c r="BR56" s="592">
        <f t="shared" si="555"/>
        <v>-2599.8447071237606</v>
      </c>
      <c r="BS56" s="592">
        <f t="shared" si="555"/>
        <v>-14581.971418403788</v>
      </c>
      <c r="BT56" s="592">
        <f t="shared" si="555"/>
        <v>-112.66751143104193</v>
      </c>
      <c r="BU56" s="592">
        <f t="shared" si="555"/>
        <v>3039.2374425758462</v>
      </c>
      <c r="BV56" s="592">
        <f t="shared" si="555"/>
        <v>4742.8103146457288</v>
      </c>
      <c r="BW56" s="592">
        <f t="shared" si="555"/>
        <v>-12856.902981206695</v>
      </c>
      <c r="BX56" s="592">
        <f t="shared" si="555"/>
        <v>9017.0045073931033</v>
      </c>
      <c r="BY56" s="592">
        <f t="shared" si="555"/>
        <v>-16052.27938885706</v>
      </c>
      <c r="BZ56" s="592">
        <f t="shared" si="555"/>
        <v>4700.7687423642783</v>
      </c>
      <c r="CA56" s="592">
        <f t="shared" si="555"/>
        <v>78852.705710962386</v>
      </c>
      <c r="CB56" s="592">
        <f t="shared" si="555"/>
        <v>-5352.3577819728489</v>
      </c>
      <c r="CC56" s="592">
        <f t="shared" si="555"/>
        <v>-55163.445207808509</v>
      </c>
      <c r="CD56" s="592">
        <f t="shared" si="555"/>
        <v>10714.653494801343</v>
      </c>
      <c r="CE56" s="592">
        <f t="shared" si="555"/>
        <v>-23842.082364223555</v>
      </c>
      <c r="CF56" s="592">
        <f t="shared" si="555"/>
        <v>16339.183403975185</v>
      </c>
      <c r="CG56" s="592">
        <f t="shared" si="555"/>
        <v>5628.3736349508217</v>
      </c>
      <c r="CH56" s="592">
        <f t="shared" si="555"/>
        <v>5803.5881637202547</v>
      </c>
      <c r="CI56" s="592">
        <f t="shared" ref="CI56:CL56" si="556">+CI46-CI23</f>
        <v>5868.7769210336846</v>
      </c>
      <c r="CJ56" s="592">
        <f t="shared" ref="CJ56:CK56" si="557">+CJ46-CJ23</f>
        <v>3439.5289436935855</v>
      </c>
      <c r="CK56" s="592">
        <f t="shared" si="557"/>
        <v>-2980.6570361282866</v>
      </c>
      <c r="CL56" s="941">
        <f t="shared" si="556"/>
        <v>6600.7881835673179</v>
      </c>
      <c r="CM56" s="941">
        <f t="shared" ref="CM56:CP56" si="558">+CM46-CM23</f>
        <v>-4643.29987639709</v>
      </c>
      <c r="CN56" s="941">
        <f t="shared" si="558"/>
        <v>6441.4650887342577</v>
      </c>
      <c r="CO56" s="941">
        <f t="shared" si="558"/>
        <v>1755.818108926087</v>
      </c>
      <c r="CP56" s="941">
        <f t="shared" si="558"/>
        <v>6907.9954789313197</v>
      </c>
      <c r="CQ56" s="941"/>
      <c r="CR56" s="941">
        <v>6600.7881835673179</v>
      </c>
      <c r="CT56" s="592"/>
      <c r="CU56" s="592"/>
      <c r="CV56" s="592"/>
      <c r="CW56" s="592"/>
      <c r="CX56" s="592">
        <f t="shared" si="346"/>
        <v>57055</v>
      </c>
      <c r="CY56" s="942">
        <f t="shared" si="242"/>
        <v>62750</v>
      </c>
      <c r="CZ56" s="942">
        <f t="shared" si="243"/>
        <v>82278</v>
      </c>
      <c r="DA56" s="942">
        <f t="shared" si="244"/>
        <v>123743</v>
      </c>
      <c r="DB56" s="942">
        <f t="shared" si="245"/>
        <v>138486</v>
      </c>
      <c r="DC56" s="939">
        <f t="shared" si="246"/>
        <v>153420</v>
      </c>
      <c r="DD56" s="939">
        <f t="shared" si="247"/>
        <v>175310</v>
      </c>
      <c r="DE56" s="939">
        <f>+DE46+DE23</f>
        <v>26514.332710008312</v>
      </c>
      <c r="DF56" s="939">
        <f t="shared" ref="DF56:DU56" si="559">+DF46-DF23</f>
        <v>-31530.863381948788</v>
      </c>
      <c r="DG56" s="939">
        <f t="shared" si="559"/>
        <v>-29288.501824317616</v>
      </c>
      <c r="DH56" s="939">
        <f t="shared" si="559"/>
        <v>-22465.469146671065</v>
      </c>
      <c r="DI56" s="939">
        <f t="shared" si="559"/>
        <v>-13700.877801235765</v>
      </c>
      <c r="DJ56" s="939">
        <f t="shared" si="559"/>
        <v>-18397.415765852726</v>
      </c>
      <c r="DK56" s="939">
        <f t="shared" si="559"/>
        <v>40566.250712274436</v>
      </c>
      <c r="DL56" s="939">
        <f t="shared" si="559"/>
        <v>291.78980277802293</v>
      </c>
      <c r="DM56" s="939">
        <f t="shared" si="559"/>
        <v>13642.797004805368</v>
      </c>
      <c r="DN56" s="939">
        <f t="shared" si="559"/>
        <v>-30804.963297001072</v>
      </c>
      <c r="DO56" s="939">
        <f t="shared" si="559"/>
        <v>28775.217107230375</v>
      </c>
      <c r="DP56" s="939">
        <f t="shared" ref="DP56:DQ56" si="560">+DP46-DP23</f>
        <v>20051.621737896086</v>
      </c>
      <c r="DQ56" s="939">
        <f t="shared" si="560"/>
        <v>19763.941288300673</v>
      </c>
      <c r="DR56" s="813">
        <f t="shared" si="559"/>
        <v>32822.62943735905</v>
      </c>
      <c r="DS56" s="813">
        <f t="shared" si="559"/>
        <v>48605.29256336164</v>
      </c>
      <c r="DT56" s="813">
        <f t="shared" si="559"/>
        <v>59040.587527095806</v>
      </c>
      <c r="DU56" s="813">
        <f t="shared" si="559"/>
        <v>66594.748389095534</v>
      </c>
      <c r="DX56" s="813">
        <v>19867.247204009327</v>
      </c>
      <c r="DY56" s="813">
        <v>26710.36472843925</v>
      </c>
    </row>
    <row r="57" spans="1:129" s="590" customFormat="1">
      <c r="A57" s="943"/>
      <c r="B57" s="944" t="s">
        <v>374</v>
      </c>
      <c r="C57" s="943" t="e">
        <f t="shared" ref="C57" si="561">+C50+C51+C52-C53-C54+C55+C56</f>
        <v>#REF!</v>
      </c>
      <c r="D57" s="943">
        <f t="shared" ref="D57" si="562">+D50+D51+D52-D53-D54+D55+D56</f>
        <v>-72849</v>
      </c>
      <c r="E57" s="943">
        <f t="shared" ref="E57" si="563">+E50+E51+E52-E53-E54+E55+E56</f>
        <v>8753</v>
      </c>
      <c r="F57" s="943">
        <f t="shared" ref="F57" si="564">+F50+F51+F52-F53-F54+F55+F56</f>
        <v>-35842</v>
      </c>
      <c r="G57" s="943">
        <f t="shared" ref="G57" si="565">+G50+G51+G52-G53-G54+G55+G56</f>
        <v>-55686</v>
      </c>
      <c r="H57" s="943">
        <f t="shared" ref="H57" si="566">+H50+H51+H52-H53-H54+H55+H56</f>
        <v>88250</v>
      </c>
      <c r="I57" s="943">
        <f t="shared" ref="I57" si="567">+I50+I51+I52-I53-I54+I55+I56</f>
        <v>11011</v>
      </c>
      <c r="J57" s="943">
        <f t="shared" ref="J57" si="568">+J50+J51+J52-J53-J54+J55+J56</f>
        <v>57880</v>
      </c>
      <c r="K57" s="943">
        <f t="shared" ref="K57" si="569">+K50+K51+K52-K53-K54+K55+K56</f>
        <v>-87244</v>
      </c>
      <c r="L57" s="943">
        <f t="shared" ref="L57" si="570">+L50+L51+L52-L53-L54+L55+L56</f>
        <v>63349</v>
      </c>
      <c r="M57" s="943">
        <f t="shared" ref="M57" si="571">+M50+M51+M52-M53-M54+M55+M56</f>
        <v>18747</v>
      </c>
      <c r="N57" s="943">
        <f t="shared" ref="N57" si="572">+N50+N51+N52-N53-N54+N55+N56</f>
        <v>84948</v>
      </c>
      <c r="O57" s="943">
        <f t="shared" ref="O57" si="573">+O50+O51+O52-O53-O54+O55+O56</f>
        <v>-122249</v>
      </c>
      <c r="P57" s="943">
        <f t="shared" ref="P57" si="574">+P50+P51+P52-P53-P54+P55+P56</f>
        <v>114156</v>
      </c>
      <c r="Q57" s="943">
        <f t="shared" ref="Q57" si="575">+Q50+Q51+Q52-Q53-Q54+Q55+Q56</f>
        <v>44752</v>
      </c>
      <c r="R57" s="943">
        <f t="shared" ref="R57" si="576">+R50+R51+R52-R53-R54+R55+R56</f>
        <v>-94269</v>
      </c>
      <c r="S57" s="943">
        <f t="shared" ref="S57" si="577">+S50+S51+S52-S53-S54+S55+S56</f>
        <v>94919</v>
      </c>
      <c r="T57" s="943">
        <f t="shared" ref="T57" si="578">+T50+T51+T52-T53-T54+T55+T56</f>
        <v>18111</v>
      </c>
      <c r="U57" s="943">
        <f t="shared" ref="U57" si="579">+U50+U51+U52-U53-U54+U55+U56</f>
        <v>-16162</v>
      </c>
      <c r="V57" s="943">
        <f t="shared" ref="V57" si="580">+V50+V51+V52-V53-V54+V55+V56</f>
        <v>-138585</v>
      </c>
      <c r="W57" s="943">
        <f t="shared" ref="W57" si="581">+W50+W51+W52-W53-W54+W55+W56</f>
        <v>-38697</v>
      </c>
      <c r="X57" s="943">
        <f t="shared" ref="X57" si="582">+X50+X51+X52-X53-X54+X55+X56</f>
        <v>143995</v>
      </c>
      <c r="Y57" s="943">
        <f t="shared" ref="Y57" si="583">+Y50+Y51+Y52-Y53-Y54+Y55+Y56</f>
        <v>107628</v>
      </c>
      <c r="Z57" s="943">
        <f t="shared" ref="Z57" si="584">+Z50+Z51+Z52-Z53-Z54+Z55+Z56</f>
        <v>67938</v>
      </c>
      <c r="AA57" s="943">
        <f t="shared" ref="AA57" si="585">+AA50+AA51+AA52-AA53-AA54+AA55+AA56</f>
        <v>-6404</v>
      </c>
      <c r="AB57" s="943">
        <f t="shared" ref="AB57" si="586">+AB50+AB51+AB52-AB53-AB54+AB55+AB56</f>
        <v>90185</v>
      </c>
      <c r="AC57" s="943">
        <f t="shared" ref="AC57" si="587">+AC50+AC51+AC52-AC53-AC54+AC55+AC56</f>
        <v>81329</v>
      </c>
      <c r="AD57" s="943">
        <f t="shared" ref="AD57" si="588">+AD50+AD51+AD52-AD53-AD54+AD55+AD56</f>
        <v>66259</v>
      </c>
      <c r="AE57" s="943">
        <f t="shared" ref="AE57" si="589">+AE50+AE51+AE52-AE53-AE54+AE55+AE56</f>
        <v>-25637.14</v>
      </c>
      <c r="AF57" s="943">
        <f t="shared" ref="AF57" si="590">+AF50+AF51+AF52-AF53-AF54+AF55+AF56</f>
        <v>164530.94000000012</v>
      </c>
      <c r="AG57" s="943">
        <f t="shared" ref="AG57" si="591">+AG50+AG51+AG52-AG53-AG54+AG55+AG56</f>
        <v>27616.199999999997</v>
      </c>
      <c r="AH57" s="943">
        <f t="shared" ref="AH57" si="592">+AH50+AH51+AH52-AH53-AH54+AH55+AH56</f>
        <v>30525.899999999994</v>
      </c>
      <c r="AI57" s="943">
        <f t="shared" ref="AI57" si="593">+AI50+AI51+AI52-AI53-AI54+AI55+AI56</f>
        <v>-170788.3</v>
      </c>
      <c r="AJ57" s="943">
        <f t="shared" ref="AJ57" si="594">+AJ50+AJ51+AJ52-AJ53-AJ54+AJ55+AJ56</f>
        <v>131272.54</v>
      </c>
      <c r="AK57" s="943">
        <f t="shared" ref="AK57" si="595">+AK50+AK51+AK52-AK53-AK54+AK55+AK56</f>
        <v>-21577.95999999989</v>
      </c>
      <c r="AL57" s="943">
        <f t="shared" ref="AL57" si="596">+AL50+AL51+AL52-AL53-AL54+AL55+AL56</f>
        <v>153063.94</v>
      </c>
      <c r="AM57" s="943">
        <f t="shared" ref="AM57" si="597">+AM50+AM51+AM52-AM53-AM54+AM55+AM56</f>
        <v>-156917.99999999988</v>
      </c>
      <c r="AN57" s="943">
        <f t="shared" ref="AN57" si="598">+AN50+AN51+AN52-AN53-AN54+AN55+AN56</f>
        <v>112367</v>
      </c>
      <c r="AO57" s="943">
        <f t="shared" ref="AO57" si="599">+AO50+AO51+AO52-AO53-AO54+AO55+AO56</f>
        <v>15483</v>
      </c>
      <c r="AP57" s="943">
        <f t="shared" ref="AP57" si="600">+AP50+AP51+AP52-AP53-AP54+AP55+AP56</f>
        <v>244726.38</v>
      </c>
      <c r="AQ57" s="943">
        <f t="shared" ref="AQ57" si="601">+AQ50+AQ51+AQ52-AQ53-AQ54+AQ55+AQ56</f>
        <v>20174.520000000019</v>
      </c>
      <c r="AR57" s="943">
        <f t="shared" ref="AR57" si="602">+AR50+AR51+AR52-AR53-AR54+AR55+AR56</f>
        <v>207850</v>
      </c>
      <c r="AS57" s="943">
        <f t="shared" ref="AS57" si="603">+AS50+AS51+AS52-AS53-AS54+AS55+AS56</f>
        <v>97109</v>
      </c>
      <c r="AT57" s="943">
        <f t="shared" ref="AT57" si="604">+AT50+AT51+AT52-AT53-AT54+AT55+AT56</f>
        <v>396862.2690000002</v>
      </c>
      <c r="AU57" s="943">
        <f t="shared" ref="AU57" si="605">+AU50+AU51+AU52-AU53-AU54+AU55+AU56</f>
        <v>-79002.729249999873</v>
      </c>
      <c r="AV57" s="943">
        <f t="shared" ref="AV57" si="606">+AV50+AV51+AV52-AV53-AV54+AV55+AV56</f>
        <v>265725.57631999993</v>
      </c>
      <c r="AW57" s="943">
        <f t="shared" ref="AW57" si="607">+AW50+AW51+AW52-AW53-AW54+AW55+AW56</f>
        <v>-8349</v>
      </c>
      <c r="AX57" s="943">
        <f t="shared" ref="AX57" si="608">+AX50+AX51+AX52-AX53-AX54+AX55+AX56</f>
        <v>490153.30340999993</v>
      </c>
      <c r="AY57" s="943">
        <f t="shared" ref="AY57" si="609">+AY50+AY51+AY52-AY53-AY54+AY55+AY56</f>
        <v>117820</v>
      </c>
      <c r="AZ57" s="943">
        <f t="shared" ref="AZ57" si="610">+AZ50+AZ51+AZ52-AZ53-AZ54+AZ55+AZ56</f>
        <v>309626</v>
      </c>
      <c r="BA57" s="943">
        <f t="shared" ref="BA57" si="611">+BA50+BA51+BA52-BA53-BA54+BA55+BA56</f>
        <v>160201</v>
      </c>
      <c r="BB57" s="943">
        <f t="shared" ref="BB57" si="612">+BB50+BB51+BB52-BB53-BB54+BB55+BB56</f>
        <v>469829</v>
      </c>
      <c r="BC57" s="943">
        <f t="shared" ref="BC57" si="613">+BC50+BC51+BC52-BC53-BC54+BC55+BC56</f>
        <v>-146652.06490999999</v>
      </c>
      <c r="BD57" s="943">
        <f t="shared" ref="BD57" si="614">+BD50+BD51+BD52-BD53-BD54+BD55+BD56</f>
        <v>348545.99999999994</v>
      </c>
      <c r="BE57" s="943">
        <f t="shared" ref="BE57" si="615">+BE50+BE51+BE52-BE53-BE54+BE55+BE56</f>
        <v>374882.99999999994</v>
      </c>
      <c r="BF57" s="943">
        <f t="shared" ref="BF57" si="616">+BF50+BF51+BF52-BF53-BF54+BF55+BF56</f>
        <v>410015.22262222372</v>
      </c>
      <c r="BG57" s="943">
        <f t="shared" ref="BG57" si="617">+BG50+BG51+BG52-BG53-BG54+BG55+BG56</f>
        <v>-138058</v>
      </c>
      <c r="BH57" s="943">
        <f t="shared" ref="BH57" si="618">+BH50+BH51+BH52-BH53-BH54+BH55+BH56</f>
        <v>304340.39896800055</v>
      </c>
      <c r="BI57" s="943">
        <f t="shared" ref="BI57" si="619">+BI50+BI51+BI52-BI53-BI54+BI55+BI56</f>
        <v>342533.13986</v>
      </c>
      <c r="BJ57" s="943">
        <f t="shared" ref="BJ57" si="620">+BJ50+BJ51+BJ52-BJ53-BJ54+BJ55+BJ56</f>
        <v>653934.09022999997</v>
      </c>
      <c r="BK57" s="943">
        <f t="shared" ref="BK57" si="621">+BK50+BK51+BK52-BK53-BK54+BK55+BK56</f>
        <v>-327004.73981122905</v>
      </c>
      <c r="BL57" s="943">
        <f t="shared" ref="BL57" si="622">+BL50+BL51+BL52-BL53-BL54+BL55+BL56</f>
        <v>207887.05561244284</v>
      </c>
      <c r="BM57" s="943">
        <f t="shared" ref="BM57" si="623">+BM50+BM51+BM52-BM53-BM54+BM55+BM56</f>
        <v>149236.31036125805</v>
      </c>
      <c r="BN57" s="943">
        <f t="shared" ref="BN57" si="624">+BN50+BN51+BN52-BN53-BN54+BN55+BN56</f>
        <v>280717.36065295915</v>
      </c>
      <c r="BO57" s="943">
        <f t="shared" ref="BO57" si="625">+BO50+BO51+BO52-BO53-BO54+BO55+BO56</f>
        <v>-450023.38727082917</v>
      </c>
      <c r="BP57" s="943">
        <f t="shared" ref="BP57" si="626">+BP50+BP51+BP52-BP53-BP54+BP55+BP56</f>
        <v>64976.741210689514</v>
      </c>
      <c r="BQ57" s="943">
        <f t="shared" ref="BQ57" si="627">+BQ50+BQ51+BQ52-BQ53-BQ54+BQ55+BQ56</f>
        <v>-117301.6374421395</v>
      </c>
      <c r="BR57" s="943">
        <f t="shared" ref="BR57" si="628">+BR50+BR51+BR52-BR53-BR54+BR55+BR56</f>
        <v>294393.31058575248</v>
      </c>
      <c r="BS57" s="943">
        <f t="shared" ref="BS57" si="629">+BS50+BS51+BS52-BS53-BS54+BS55+BS56</f>
        <v>-181276.54087472754</v>
      </c>
      <c r="BT57" s="943">
        <f t="shared" ref="BT57" si="630">+BT50+BT51+BT52-BT53-BT54+BT55+BT56</f>
        <v>-720030.3158492248</v>
      </c>
      <c r="BU57" s="943">
        <f t="shared" ref="BU57" si="631">+BU50+BU51+BU52-BU53-BU54+BU55+BU56</f>
        <v>369767.78571465402</v>
      </c>
      <c r="BV57" s="943">
        <f t="shared" ref="BV57" si="632">+BV50+BV51+BV52-BV53-BV54+BV55+BV56</f>
        <v>-39022.299128309271</v>
      </c>
      <c r="BW57" s="943">
        <f t="shared" ref="BW57" si="633">+BW50+BW51+BW52-BW53-BW54+BW55+BW56</f>
        <v>-735845.08651966532</v>
      </c>
      <c r="BX57" s="943">
        <f t="shared" ref="BX57" si="634">+BX50+BX51+BX52-BX53-BX54+BX55+BX56</f>
        <v>67851.146780843206</v>
      </c>
      <c r="BY57" s="943">
        <f t="shared" ref="BY57" si="635">+BY50+BY51+BY52-BY53-BY54+BY55+BY56</f>
        <v>-24590.115469512981</v>
      </c>
      <c r="BZ57" s="943">
        <f t="shared" ref="BZ57" si="636">+BZ50+BZ51+BZ52-BZ53-BZ54+BZ55+BZ56</f>
        <v>162993.50748472862</v>
      </c>
      <c r="CA57" s="943">
        <f t="shared" ref="CA57" si="637">+CA50+CA51+CA52-CA53-CA54+CA55+CA56</f>
        <v>-165298.0936502775</v>
      </c>
      <c r="CB57" s="943">
        <f t="shared" ref="CB57" si="638">+CB50+CB51+CB52-CB53-CB54+CB55+CB56</f>
        <v>123911.49157171455</v>
      </c>
      <c r="CC57" s="943">
        <f t="shared" ref="CC57" si="639">+CC50+CC51+CC52-CC53-CC54+CC55+CC56</f>
        <v>493625.35290801246</v>
      </c>
      <c r="CD57" s="943">
        <f t="shared" ref="CD57" si="640">+CD50+CD51+CD52-CD53-CD54+CD55+CD56</f>
        <v>174292.73566217205</v>
      </c>
      <c r="CE57" s="943">
        <f t="shared" ref="CE57" si="641">+CE50+CE51+CE52-CE53-CE54+CE55+CE56</f>
        <v>44797.02131045884</v>
      </c>
      <c r="CF57" s="943">
        <f t="shared" ref="CF57" si="642">+CF50+CF51+CF52-CF53-CF54+CF55+CF56</f>
        <v>209958.5364172752</v>
      </c>
      <c r="CG57" s="943">
        <f t="shared" ref="CG57:CH57" si="643">+CG50+CG51+CG52-CG53-CG54+CG55+CG56</f>
        <v>244145.34870285579</v>
      </c>
      <c r="CH57" s="943">
        <f t="shared" si="643"/>
        <v>670051.22311823803</v>
      </c>
      <c r="CI57" s="943">
        <f t="shared" ref="CI57:CL57" si="644">+CI50+CI51+CI52-CI53-CI54+CI55+CI56</f>
        <v>27887.302309166866</v>
      </c>
      <c r="CJ57" s="943">
        <f t="shared" ref="CJ57:CK57" si="645">+CJ50+CJ51+CJ52-CJ53-CJ54+CJ55+CJ56</f>
        <v>216222.51015882488</v>
      </c>
      <c r="CK57" s="943">
        <f t="shared" si="645"/>
        <v>225714.58111212944</v>
      </c>
      <c r="CL57" s="946">
        <f t="shared" si="644"/>
        <v>-34016.424571449897</v>
      </c>
      <c r="CM57" s="946">
        <f t="shared" ref="CM57:CP57" si="646">+CM50+CM51+CM52-CM53-CM54+CM55+CM56</f>
        <v>242980.80473170587</v>
      </c>
      <c r="CN57" s="946">
        <f t="shared" si="646"/>
        <v>382957.24852893502</v>
      </c>
      <c r="CO57" s="946">
        <f t="shared" si="646"/>
        <v>475201.53673107724</v>
      </c>
      <c r="CP57" s="946">
        <f t="shared" si="646"/>
        <v>-149507.25006038052</v>
      </c>
      <c r="CQ57" s="946"/>
      <c r="CR57" s="946">
        <v>-34016.424571449897</v>
      </c>
      <c r="CT57" s="943"/>
      <c r="CU57" s="943"/>
      <c r="CV57" s="943"/>
      <c r="CW57" s="943"/>
      <c r="CX57" s="943">
        <f t="shared" si="346"/>
        <v>-57610</v>
      </c>
      <c r="CY57" s="947">
        <f t="shared" si="242"/>
        <v>-41717</v>
      </c>
      <c r="CZ57" s="947">
        <f t="shared" si="243"/>
        <v>280864</v>
      </c>
      <c r="DA57" s="947">
        <f t="shared" si="244"/>
        <v>231369</v>
      </c>
      <c r="DB57" s="947">
        <f t="shared" si="245"/>
        <v>197035.90000000011</v>
      </c>
      <c r="DC57" s="943">
        <f t="shared" si="246"/>
        <v>91970.220000000132</v>
      </c>
      <c r="DD57" s="943">
        <f t="shared" si="247"/>
        <v>215658.38000000012</v>
      </c>
      <c r="DE57" s="943">
        <f t="shared" ref="DE57" si="647">+DE50+DE51+DE52-DE53-DE54+DE55</f>
        <v>221971.45628999197</v>
      </c>
      <c r="DF57" s="943">
        <f t="shared" ref="DF57:DM57" si="648">+DF50+DF51+DF52-DF53-DF54+DF55+DF56</f>
        <v>105807.85931610246</v>
      </c>
      <c r="DG57" s="943">
        <f t="shared" si="648"/>
        <v>504256.99635136477</v>
      </c>
      <c r="DH57" s="943">
        <f t="shared" si="648"/>
        <v>398945.21941888152</v>
      </c>
      <c r="DI57" s="943">
        <f t="shared" si="648"/>
        <v>435233.91331552877</v>
      </c>
      <c r="DJ57" s="943">
        <f t="shared" si="648"/>
        <v>307084.02766629582</v>
      </c>
      <c r="DK57" s="943">
        <f t="shared" si="648"/>
        <v>-120506.85263731694</v>
      </c>
      <c r="DL57" s="943">
        <f t="shared" si="648"/>
        <v>-556152.60818682471</v>
      </c>
      <c r="DM57" s="943">
        <f t="shared" si="648"/>
        <v>-471922.13547338307</v>
      </c>
      <c r="DN57" s="943">
        <f>+DN50+DN51+DN52-DN53-DN54+DN55+DN56</f>
        <v>506818.44746565458</v>
      </c>
      <c r="DO57" s="943">
        <f t="shared" ref="DO57:DP57" si="649">+DO50+DO51+DO52-DO53-DO54+DO55+DO56</f>
        <v>957657.27582762064</v>
      </c>
      <c r="DP57" s="943">
        <f t="shared" si="649"/>
        <v>450054.3384601319</v>
      </c>
      <c r="DQ57" s="943">
        <f t="shared" ref="DQ57" si="650">+DQ50+DQ51+DQ52-DQ53-DQ54+DQ55+DQ56</f>
        <v>970236.26490755158</v>
      </c>
      <c r="DR57" s="943">
        <f t="shared" ref="DR57" si="651">+DR50+DR51+DR52-DR53-DR54+DR55+DR56</f>
        <v>1214524.5101249516</v>
      </c>
      <c r="DS57" s="943">
        <f t="shared" ref="DS57" si="652">+DS50+DS51+DS52-DS53-DS54+DS55+DS56</f>
        <v>1450577.158572868</v>
      </c>
      <c r="DT57" s="943">
        <f t="shared" ref="DT57" si="653">+DT50+DT51+DT52-DT53-DT54+DT55+DT56</f>
        <v>1589706.6049276253</v>
      </c>
      <c r="DU57" s="943">
        <f t="shared" ref="DU57" si="654">+DU50+DU51+DU52-DU53-DU54+DU55+DU56</f>
        <v>1741795.6075661033</v>
      </c>
      <c r="DX57" s="943">
        <v>1022875.6000441278</v>
      </c>
      <c r="DY57" s="943">
        <v>1308762.8937544432</v>
      </c>
    </row>
    <row r="58" spans="1:129" s="904" customFormat="1">
      <c r="A58" s="939"/>
      <c r="B58" s="908" t="s">
        <v>375</v>
      </c>
      <c r="C58" s="592" t="e">
        <f t="shared" ref="C58" si="655">+C150-B150</f>
        <v>#VALUE!</v>
      </c>
      <c r="D58" s="592">
        <f t="shared" ref="D58" si="656">+D150-C150</f>
        <v>24617</v>
      </c>
      <c r="E58" s="592">
        <f t="shared" ref="E58" si="657">+E150-D150</f>
        <v>-727</v>
      </c>
      <c r="F58" s="592">
        <f t="shared" ref="F58" si="658">+F150-E150</f>
        <v>-22249</v>
      </c>
      <c r="G58" s="592">
        <f t="shared" ref="G58" si="659">+G150-F150</f>
        <v>-3283</v>
      </c>
      <c r="H58" s="592">
        <f t="shared" ref="H58" si="660">+H150-G150</f>
        <v>-17295</v>
      </c>
      <c r="I58" s="592">
        <f t="shared" ref="I58" si="661">+I150-H150</f>
        <v>1162</v>
      </c>
      <c r="J58" s="592">
        <f t="shared" ref="J58" si="662">+J150-I150</f>
        <v>4743</v>
      </c>
      <c r="K58" s="592">
        <f t="shared" ref="K58" si="663">+K150-J150</f>
        <v>24159</v>
      </c>
      <c r="L58" s="592">
        <f t="shared" ref="L58" si="664">+L150-K150</f>
        <v>-4741</v>
      </c>
      <c r="M58" s="592">
        <f t="shared" ref="M58" si="665">+M150-L150</f>
        <v>967</v>
      </c>
      <c r="N58" s="592">
        <f t="shared" ref="N58" si="666">+N150-M150</f>
        <v>11945</v>
      </c>
      <c r="O58" s="592">
        <f t="shared" ref="O58" si="667">+O150-N150</f>
        <v>-31652</v>
      </c>
      <c r="P58" s="592">
        <f t="shared" ref="P58" si="668">+P150-O150</f>
        <v>6420</v>
      </c>
      <c r="Q58" s="592">
        <f t="shared" ref="Q58" si="669">+Q150-P150</f>
        <v>16428</v>
      </c>
      <c r="R58" s="592">
        <f t="shared" ref="R58" si="670">+R150-Q150</f>
        <v>15701</v>
      </c>
      <c r="S58" s="592">
        <f t="shared" ref="S58" si="671">+S150-R150</f>
        <v>-8451</v>
      </c>
      <c r="T58" s="592">
        <f t="shared" ref="T58" si="672">+T150-S150</f>
        <v>2791</v>
      </c>
      <c r="U58" s="592">
        <f t="shared" ref="U58" si="673">+U150-T150</f>
        <v>-6324</v>
      </c>
      <c r="V58" s="592">
        <f t="shared" ref="V58" si="674">+V150-U150</f>
        <v>2118</v>
      </c>
      <c r="W58" s="592">
        <f t="shared" ref="W58" si="675">+W150-V150</f>
        <v>9689</v>
      </c>
      <c r="X58" s="592">
        <f t="shared" ref="X58" si="676">+X150-W150</f>
        <v>1540</v>
      </c>
      <c r="Y58" s="592">
        <f t="shared" ref="Y58" si="677">+Y150-X150</f>
        <v>-2264</v>
      </c>
      <c r="Z58" s="592">
        <f t="shared" ref="Z58" si="678">+Z150-Y150</f>
        <v>12227</v>
      </c>
      <c r="AA58" s="592">
        <f t="shared" ref="AA58" si="679">+AA150-Z150</f>
        <v>-50179</v>
      </c>
      <c r="AB58" s="592">
        <f t="shared" ref="AB58" si="680">+AB150-AA150</f>
        <v>-7565</v>
      </c>
      <c r="AC58" s="592">
        <f t="shared" ref="AC58" si="681">+AC150-AB150</f>
        <v>93</v>
      </c>
      <c r="AD58" s="592">
        <f t="shared" ref="AD58" si="682">+AD150-AC150</f>
        <v>-11531</v>
      </c>
      <c r="AE58" s="592">
        <f t="shared" ref="AE58" si="683">+AE150-AD150</f>
        <v>9940</v>
      </c>
      <c r="AF58" s="592">
        <f t="shared" ref="AF58" si="684">+AF150-AE150</f>
        <v>-14169</v>
      </c>
      <c r="AG58" s="592">
        <f t="shared" ref="AG58" si="685">+AG150-AF150</f>
        <v>-6178</v>
      </c>
      <c r="AH58" s="592">
        <f t="shared" ref="AH58" si="686">+AH150-AG150</f>
        <v>-7989</v>
      </c>
      <c r="AI58" s="592">
        <f t="shared" ref="AI58" si="687">+AI150-AH150</f>
        <v>1545</v>
      </c>
      <c r="AJ58" s="592">
        <f t="shared" ref="AJ58" si="688">+AJ150-AI150</f>
        <v>6704</v>
      </c>
      <c r="AK58" s="592">
        <f t="shared" ref="AK58" si="689">+AK150-AJ150</f>
        <v>-5665</v>
      </c>
      <c r="AL58" s="592">
        <f t="shared" ref="AL58" si="690">+AL150-AK150</f>
        <v>-13606</v>
      </c>
      <c r="AM58" s="592">
        <f t="shared" ref="AM58" si="691">+AM150-AL150</f>
        <v>30139</v>
      </c>
      <c r="AN58" s="592">
        <f t="shared" ref="AN58" si="692">+AN150-AM150</f>
        <v>3745</v>
      </c>
      <c r="AO58" s="592">
        <f t="shared" ref="AO58" si="693">+AO150-AN150</f>
        <v>7671</v>
      </c>
      <c r="AP58" s="592">
        <f t="shared" ref="AP58" si="694">+AP150-AO150</f>
        <v>17126</v>
      </c>
      <c r="AQ58" s="592">
        <f t="shared" ref="AQ58" si="695">+AQ150-AP150</f>
        <v>7374</v>
      </c>
      <c r="AR58" s="592">
        <f t="shared" ref="AR58" si="696">+AR150-AQ150</f>
        <v>5182</v>
      </c>
      <c r="AS58" s="592">
        <f t="shared" ref="AS58" si="697">+AS150-AR150</f>
        <v>3051</v>
      </c>
      <c r="AT58" s="592">
        <f t="shared" ref="AT58" si="698">+AT150-AS150</f>
        <v>4529</v>
      </c>
      <c r="AU58" s="592">
        <f t="shared" ref="AU58" si="699">+AU150-AT150</f>
        <v>2769</v>
      </c>
      <c r="AV58" s="592">
        <f t="shared" ref="AV58" si="700">+AV150-AU150</f>
        <v>7403</v>
      </c>
      <c r="AW58" s="592">
        <f t="shared" ref="AW58" si="701">+AW150-AV150</f>
        <v>3436</v>
      </c>
      <c r="AX58" s="592">
        <f t="shared" ref="AX58" si="702">+AX150-AW150</f>
        <v>4608</v>
      </c>
      <c r="AY58" s="592">
        <f t="shared" ref="AY58" si="703">+AY150-AX150</f>
        <v>2177</v>
      </c>
      <c r="AZ58" s="592">
        <f t="shared" ref="AZ58" si="704">+AZ150-AY150</f>
        <v>3038</v>
      </c>
      <c r="BA58" s="592">
        <f t="shared" ref="BA58" si="705">+BA150-AZ150</f>
        <v>1710</v>
      </c>
      <c r="BB58" s="592">
        <f t="shared" ref="BB58" si="706">+BB150-BA150</f>
        <v>137</v>
      </c>
      <c r="BC58" s="592">
        <f t="shared" ref="BC58" si="707">+BC150-BB150</f>
        <v>6760</v>
      </c>
      <c r="BD58" s="592">
        <f t="shared" ref="BD58" si="708">+BD150-BC150</f>
        <v>6190</v>
      </c>
      <c r="BE58" s="592">
        <f t="shared" ref="BE58" si="709">+BE150-BD150</f>
        <v>8523</v>
      </c>
      <c r="BF58" s="592">
        <f t="shared" ref="BF58" si="710">+BF150-BE150</f>
        <v>2248</v>
      </c>
      <c r="BG58" s="592">
        <f t="shared" ref="BG58" si="711">+BG150-BF150</f>
        <v>-2727</v>
      </c>
      <c r="BH58" s="592">
        <f t="shared" ref="BH58" si="712">+BH150-BG150</f>
        <v>45578</v>
      </c>
      <c r="BI58" s="592">
        <f t="shared" ref="BI58" si="713">+BI150-BH150</f>
        <v>-26166</v>
      </c>
      <c r="BJ58" s="592">
        <f t="shared" ref="BJ58" si="714">+BJ150-BI150</f>
        <v>-7260</v>
      </c>
      <c r="BK58" s="592">
        <f t="shared" ref="BK58" si="715">+BK150-BJ150</f>
        <v>-35062</v>
      </c>
      <c r="BL58" s="592">
        <f t="shared" ref="BL58" si="716">+BL150-BK150</f>
        <v>-40143</v>
      </c>
      <c r="BM58" s="592">
        <f t="shared" ref="BM58" si="717">+BM150-BL150</f>
        <v>3249</v>
      </c>
      <c r="BN58" s="592">
        <f t="shared" ref="BN58" si="718">+BN150-BM150</f>
        <v>-34262</v>
      </c>
      <c r="BO58" s="592">
        <f t="shared" ref="BO58" si="719">+BO150-BN150</f>
        <v>100787</v>
      </c>
      <c r="BP58" s="592">
        <f t="shared" ref="BP58" si="720">+BP150-BO150</f>
        <v>590135</v>
      </c>
      <c r="BQ58" s="592">
        <f t="shared" ref="BQ58" si="721">+BQ150-BP150</f>
        <v>-105066</v>
      </c>
      <c r="BR58" s="592">
        <f t="shared" ref="BR58" si="722">+BR150-BQ150</f>
        <v>-86787</v>
      </c>
      <c r="BS58" s="592">
        <f t="shared" ref="BS58" si="723">+BS150-BR150</f>
        <v>148678</v>
      </c>
      <c r="BT58" s="592">
        <f t="shared" ref="BT58" si="724">+BT150-BS150</f>
        <v>-243449</v>
      </c>
      <c r="BU58" s="592">
        <f t="shared" ref="BU58" si="725">+BU150-BT150</f>
        <v>155904</v>
      </c>
      <c r="BV58" s="592">
        <f t="shared" ref="BV58" si="726">+BV150-BU150</f>
        <v>-26453</v>
      </c>
      <c r="BW58" s="592">
        <f t="shared" ref="BW58" si="727">+BW150-BV150</f>
        <v>-342278</v>
      </c>
      <c r="BX58" s="592">
        <f t="shared" ref="BX58" si="728">+BX150-BW150</f>
        <v>132729</v>
      </c>
      <c r="BY58" s="592">
        <f t="shared" ref="BY58" si="729">+BY150-BX150</f>
        <v>115617</v>
      </c>
      <c r="BZ58" s="592">
        <f t="shared" ref="BZ58" si="730">+BZ150-BY150</f>
        <v>-28313</v>
      </c>
      <c r="CA58" s="592">
        <f t="shared" ref="CA58" si="731">+CA150-BZ150</f>
        <v>-7255</v>
      </c>
      <c r="CB58" s="592">
        <f t="shared" ref="CB58" si="732">+CB150-CA150</f>
        <v>-73090</v>
      </c>
      <c r="CC58" s="592">
        <f t="shared" ref="CC58" si="733">+CC150-CB150</f>
        <v>152628</v>
      </c>
      <c r="CD58" s="592">
        <f t="shared" ref="CD58" si="734">+CD150-CC150</f>
        <v>-60123</v>
      </c>
      <c r="CE58" s="592">
        <f t="shared" ref="CE58" si="735">+CE150-CD150</f>
        <v>37622</v>
      </c>
      <c r="CF58" s="592">
        <f t="shared" ref="CF58" si="736">+CF150-CE150</f>
        <v>28812</v>
      </c>
      <c r="CG58" s="592">
        <f t="shared" ref="CG58:CH58" si="737">+CG150-CF150</f>
        <v>-116310</v>
      </c>
      <c r="CH58" s="592">
        <f t="shared" si="737"/>
        <v>58092</v>
      </c>
      <c r="CI58" s="592">
        <f t="shared" ref="CI58:CK58" si="738">+CI150-CH150</f>
        <v>-19682</v>
      </c>
      <c r="CJ58" s="592">
        <f t="shared" si="738"/>
        <v>-85235</v>
      </c>
      <c r="CK58" s="592">
        <f t="shared" si="738"/>
        <v>-194305</v>
      </c>
      <c r="CL58" s="941">
        <f t="shared" ref="CL58" si="739">+CL150-CK150</f>
        <v>28119.678501628645</v>
      </c>
      <c r="CM58" s="941">
        <f t="shared" ref="CM58" si="740">+CM150-CL150</f>
        <v>-14255.103891351202</v>
      </c>
      <c r="CN58" s="941">
        <f t="shared" ref="CN58" si="741">+CN150-CM150</f>
        <v>3209.1082488635875</v>
      </c>
      <c r="CO58" s="941">
        <f t="shared" ref="CO58" si="742">+CO150-CN150</f>
        <v>324.18477929767687</v>
      </c>
      <c r="CP58" s="941">
        <f t="shared" ref="CP58" si="743">+CP150-CO150</f>
        <v>17120.91424017906</v>
      </c>
      <c r="CQ58" s="941"/>
      <c r="CR58" s="941">
        <v>28119.678501628645</v>
      </c>
      <c r="CT58" s="592"/>
      <c r="CU58" s="592"/>
      <c r="CV58" s="592"/>
      <c r="CW58" s="592"/>
      <c r="CX58" s="592">
        <f t="shared" si="346"/>
        <v>6897</v>
      </c>
      <c r="CY58" s="942">
        <f t="shared" si="242"/>
        <v>-9866</v>
      </c>
      <c r="CZ58" s="942">
        <f t="shared" si="243"/>
        <v>21192</v>
      </c>
      <c r="DA58" s="942">
        <f t="shared" si="244"/>
        <v>-69182</v>
      </c>
      <c r="DB58" s="942">
        <f t="shared" si="245"/>
        <v>-18396</v>
      </c>
      <c r="DC58" s="939">
        <f t="shared" si="246"/>
        <v>-11022</v>
      </c>
      <c r="DD58" s="939">
        <f t="shared" si="247"/>
        <v>58681</v>
      </c>
      <c r="DE58" s="939">
        <f t="shared" ref="DE58:DR58" si="744">+DE150-DD150</f>
        <v>20136</v>
      </c>
      <c r="DF58" s="939">
        <f t="shared" si="744"/>
        <v>18216</v>
      </c>
      <c r="DG58" s="939">
        <f t="shared" si="744"/>
        <v>7062</v>
      </c>
      <c r="DH58" s="939">
        <f t="shared" si="744"/>
        <v>23721</v>
      </c>
      <c r="DI58" s="939">
        <f t="shared" si="744"/>
        <v>9425</v>
      </c>
      <c r="DJ58" s="939">
        <f t="shared" si="744"/>
        <v>-30819</v>
      </c>
      <c r="DK58" s="939">
        <f t="shared" si="744"/>
        <v>522157</v>
      </c>
      <c r="DL58" s="939">
        <f t="shared" si="744"/>
        <v>-63807</v>
      </c>
      <c r="DM58" s="939">
        <f t="shared" si="744"/>
        <v>-122245</v>
      </c>
      <c r="DN58" s="939">
        <f t="shared" si="744"/>
        <v>12160</v>
      </c>
      <c r="DO58" s="939">
        <f t="shared" si="744"/>
        <v>8216</v>
      </c>
      <c r="DP58" s="939">
        <f t="shared" si="744"/>
        <v>-271102.32149837137</v>
      </c>
      <c r="DQ58" s="939">
        <f t="shared" si="744"/>
        <v>6399.1033769891219</v>
      </c>
      <c r="DR58" s="813">
        <f t="shared" si="744"/>
        <v>14713.851395512698</v>
      </c>
      <c r="DS58" s="813">
        <f t="shared" ref="DS58" si="745">+DS150-DR150</f>
        <v>13020.129745872109</v>
      </c>
      <c r="DT58" s="813">
        <f t="shared" ref="DT58" si="746">+DT150-DS150</f>
        <v>13909.004286139942</v>
      </c>
      <c r="DU58" s="813">
        <f t="shared" ref="DU58" si="747">+DU150-DT150</f>
        <v>14846.998292908829</v>
      </c>
      <c r="DX58" s="813">
        <v>12256.583318336605</v>
      </c>
      <c r="DY58" s="813">
        <v>14710.913479639858</v>
      </c>
    </row>
    <row r="59" spans="1:129" s="904" customFormat="1">
      <c r="A59" s="939"/>
      <c r="B59" s="908" t="s">
        <v>376</v>
      </c>
      <c r="C59" s="592">
        <f t="shared" ref="C59:BN59" si="748">+C31</f>
        <v>0</v>
      </c>
      <c r="D59" s="592">
        <f t="shared" si="748"/>
        <v>0</v>
      </c>
      <c r="E59" s="592">
        <f t="shared" si="748"/>
        <v>0</v>
      </c>
      <c r="F59" s="592">
        <f t="shared" si="748"/>
        <v>0</v>
      </c>
      <c r="G59" s="592">
        <f t="shared" si="748"/>
        <v>0</v>
      </c>
      <c r="H59" s="592">
        <f t="shared" si="748"/>
        <v>0</v>
      </c>
      <c r="I59" s="592">
        <f t="shared" si="748"/>
        <v>0</v>
      </c>
      <c r="J59" s="592">
        <f t="shared" si="748"/>
        <v>0</v>
      </c>
      <c r="K59" s="592">
        <f t="shared" si="748"/>
        <v>0</v>
      </c>
      <c r="L59" s="592">
        <f t="shared" si="748"/>
        <v>-1748</v>
      </c>
      <c r="M59" s="592">
        <f t="shared" si="748"/>
        <v>0</v>
      </c>
      <c r="N59" s="592">
        <f t="shared" si="748"/>
        <v>-2332</v>
      </c>
      <c r="O59" s="592">
        <f t="shared" si="748"/>
        <v>0</v>
      </c>
      <c r="P59" s="592">
        <f t="shared" si="748"/>
        <v>0</v>
      </c>
      <c r="Q59" s="592">
        <f t="shared" si="748"/>
        <v>0</v>
      </c>
      <c r="R59" s="592">
        <f t="shared" si="748"/>
        <v>0</v>
      </c>
      <c r="S59" s="592">
        <f t="shared" si="748"/>
        <v>0</v>
      </c>
      <c r="T59" s="592">
        <f t="shared" si="748"/>
        <v>0</v>
      </c>
      <c r="U59" s="592">
        <f t="shared" si="748"/>
        <v>0</v>
      </c>
      <c r="V59" s="592">
        <f t="shared" si="748"/>
        <v>0</v>
      </c>
      <c r="W59" s="592">
        <f t="shared" si="748"/>
        <v>0</v>
      </c>
      <c r="X59" s="592">
        <f t="shared" si="748"/>
        <v>0</v>
      </c>
      <c r="Y59" s="592">
        <f t="shared" si="748"/>
        <v>0</v>
      </c>
      <c r="Z59" s="592">
        <f t="shared" si="748"/>
        <v>0</v>
      </c>
      <c r="AA59" s="592">
        <f t="shared" si="748"/>
        <v>0</v>
      </c>
      <c r="AB59" s="592">
        <f t="shared" si="748"/>
        <v>0</v>
      </c>
      <c r="AC59" s="592">
        <f t="shared" si="748"/>
        <v>0</v>
      </c>
      <c r="AD59" s="592">
        <f t="shared" si="748"/>
        <v>0</v>
      </c>
      <c r="AE59" s="592">
        <f t="shared" si="748"/>
        <v>0</v>
      </c>
      <c r="AF59" s="592">
        <f t="shared" si="748"/>
        <v>0</v>
      </c>
      <c r="AG59" s="592">
        <f t="shared" si="748"/>
        <v>0</v>
      </c>
      <c r="AH59" s="592">
        <f t="shared" si="748"/>
        <v>0</v>
      </c>
      <c r="AI59" s="592">
        <f t="shared" si="748"/>
        <v>0</v>
      </c>
      <c r="AJ59" s="592">
        <f t="shared" si="748"/>
        <v>0</v>
      </c>
      <c r="AK59" s="592">
        <f t="shared" si="748"/>
        <v>0</v>
      </c>
      <c r="AL59" s="592">
        <f t="shared" si="748"/>
        <v>0</v>
      </c>
      <c r="AM59" s="592">
        <f t="shared" si="748"/>
        <v>0</v>
      </c>
      <c r="AN59" s="592">
        <f t="shared" si="748"/>
        <v>0</v>
      </c>
      <c r="AO59" s="592">
        <f t="shared" si="748"/>
        <v>0</v>
      </c>
      <c r="AP59" s="592">
        <f t="shared" si="748"/>
        <v>0</v>
      </c>
      <c r="AQ59" s="592">
        <f t="shared" si="748"/>
        <v>0</v>
      </c>
      <c r="AR59" s="592">
        <f t="shared" si="748"/>
        <v>0</v>
      </c>
      <c r="AS59" s="592">
        <f t="shared" si="748"/>
        <v>0</v>
      </c>
      <c r="AT59" s="592">
        <f t="shared" si="748"/>
        <v>0</v>
      </c>
      <c r="AU59" s="592">
        <f t="shared" si="748"/>
        <v>-378.03440999999998</v>
      </c>
      <c r="AV59" s="592">
        <f t="shared" si="748"/>
        <v>-1057</v>
      </c>
      <c r="AW59" s="592">
        <f t="shared" si="748"/>
        <v>-144</v>
      </c>
      <c r="AX59" s="592">
        <f t="shared" si="748"/>
        <v>-11179.14905</v>
      </c>
      <c r="AY59" s="592">
        <f t="shared" si="748"/>
        <v>-154</v>
      </c>
      <c r="AZ59" s="592">
        <f t="shared" si="748"/>
        <v>-962</v>
      </c>
      <c r="BA59" s="592">
        <f t="shared" si="748"/>
        <v>-12228</v>
      </c>
      <c r="BB59" s="592">
        <f t="shared" si="748"/>
        <v>-8035</v>
      </c>
      <c r="BC59" s="592">
        <f t="shared" si="748"/>
        <v>-431</v>
      </c>
      <c r="BD59" s="592">
        <f t="shared" si="748"/>
        <v>-725</v>
      </c>
      <c r="BE59" s="592">
        <f t="shared" si="748"/>
        <v>-3411</v>
      </c>
      <c r="BF59" s="592">
        <f t="shared" si="748"/>
        <v>-16783</v>
      </c>
      <c r="BG59" s="592">
        <f t="shared" si="748"/>
        <v>-523</v>
      </c>
      <c r="BH59" s="592">
        <f t="shared" si="748"/>
        <v>-1220.03514</v>
      </c>
      <c r="BI59" s="592">
        <f t="shared" si="748"/>
        <v>-1268.56825</v>
      </c>
      <c r="BJ59" s="592">
        <f t="shared" si="748"/>
        <v>-3119</v>
      </c>
      <c r="BK59" s="592">
        <f t="shared" si="748"/>
        <v>-500</v>
      </c>
      <c r="BL59" s="592">
        <f t="shared" si="748"/>
        <v>-289</v>
      </c>
      <c r="BM59" s="592">
        <f t="shared" si="748"/>
        <v>-1926</v>
      </c>
      <c r="BN59" s="592">
        <f t="shared" si="748"/>
        <v>-21053</v>
      </c>
      <c r="BO59" s="592">
        <f t="shared" ref="BO59:CH59" si="749">+BO31</f>
        <v>168</v>
      </c>
      <c r="BP59" s="592">
        <f t="shared" si="749"/>
        <v>-9905</v>
      </c>
      <c r="BQ59" s="592">
        <f t="shared" si="749"/>
        <v>-10240</v>
      </c>
      <c r="BR59" s="592">
        <f t="shared" si="749"/>
        <v>0</v>
      </c>
      <c r="BS59" s="592">
        <f t="shared" si="749"/>
        <v>67</v>
      </c>
      <c r="BT59" s="592">
        <f t="shared" si="749"/>
        <v>-228</v>
      </c>
      <c r="BU59" s="592">
        <f t="shared" si="749"/>
        <v>84</v>
      </c>
      <c r="BV59" s="592">
        <f t="shared" si="749"/>
        <v>-8917</v>
      </c>
      <c r="BW59" s="592">
        <f t="shared" si="749"/>
        <v>0</v>
      </c>
      <c r="BX59" s="592">
        <f t="shared" si="749"/>
        <v>0</v>
      </c>
      <c r="BY59" s="592">
        <f t="shared" si="749"/>
        <v>0</v>
      </c>
      <c r="BZ59" s="592">
        <f t="shared" si="749"/>
        <v>0</v>
      </c>
      <c r="CA59" s="592">
        <f t="shared" si="749"/>
        <v>0</v>
      </c>
      <c r="CB59" s="592">
        <f t="shared" si="749"/>
        <v>0</v>
      </c>
      <c r="CC59" s="592">
        <f t="shared" si="749"/>
        <v>0</v>
      </c>
      <c r="CD59" s="592">
        <f t="shared" si="749"/>
        <v>0</v>
      </c>
      <c r="CE59" s="592">
        <f t="shared" ref="CE59" si="750">+CE31</f>
        <v>0</v>
      </c>
      <c r="CF59" s="592">
        <f t="shared" si="749"/>
        <v>0</v>
      </c>
      <c r="CG59" s="592">
        <f t="shared" si="749"/>
        <v>0</v>
      </c>
      <c r="CH59" s="592">
        <f t="shared" si="749"/>
        <v>0</v>
      </c>
      <c r="CI59" s="592">
        <f t="shared" ref="CI59:CL59" si="751">+CI31</f>
        <v>0</v>
      </c>
      <c r="CJ59" s="592">
        <f t="shared" ref="CJ59:CK59" si="752">+CJ31</f>
        <v>0</v>
      </c>
      <c r="CK59" s="592">
        <f t="shared" si="752"/>
        <v>0</v>
      </c>
      <c r="CL59" s="941">
        <f t="shared" si="751"/>
        <v>0</v>
      </c>
      <c r="CM59" s="941">
        <f t="shared" ref="CM59:CP59" si="753">+CM31</f>
        <v>0</v>
      </c>
      <c r="CN59" s="941">
        <f t="shared" si="753"/>
        <v>0</v>
      </c>
      <c r="CO59" s="941">
        <f t="shared" si="753"/>
        <v>0</v>
      </c>
      <c r="CP59" s="941">
        <f t="shared" si="753"/>
        <v>0</v>
      </c>
      <c r="CQ59" s="941"/>
      <c r="CR59" s="941">
        <v>0</v>
      </c>
      <c r="CT59" s="592"/>
      <c r="CU59" s="592"/>
      <c r="CV59" s="592"/>
      <c r="CW59" s="592"/>
      <c r="CX59" s="592">
        <f t="shared" si="346"/>
        <v>0</v>
      </c>
      <c r="CY59" s="942">
        <f t="shared" si="242"/>
        <v>0</v>
      </c>
      <c r="CZ59" s="942">
        <f t="shared" si="243"/>
        <v>0</v>
      </c>
      <c r="DA59" s="942">
        <f t="shared" si="244"/>
        <v>0</v>
      </c>
      <c r="DB59" s="942">
        <f t="shared" si="245"/>
        <v>0</v>
      </c>
      <c r="DC59" s="939">
        <f t="shared" si="246"/>
        <v>0</v>
      </c>
      <c r="DD59" s="939">
        <f t="shared" si="247"/>
        <v>0</v>
      </c>
      <c r="DE59" s="939">
        <f t="shared" ref="DE59:DR59" si="754">+DE31</f>
        <v>0</v>
      </c>
      <c r="DF59" s="939">
        <f t="shared" si="754"/>
        <v>-12758.18346</v>
      </c>
      <c r="DG59" s="939">
        <f t="shared" si="754"/>
        <v>-21379</v>
      </c>
      <c r="DH59" s="939">
        <f t="shared" si="754"/>
        <v>-21350</v>
      </c>
      <c r="DI59" s="939">
        <f t="shared" si="754"/>
        <v>-6130.6033900000002</v>
      </c>
      <c r="DJ59" s="939">
        <f t="shared" si="754"/>
        <v>-23768</v>
      </c>
      <c r="DK59" s="939">
        <f t="shared" si="754"/>
        <v>-19977</v>
      </c>
      <c r="DL59" s="939">
        <f t="shared" si="754"/>
        <v>-8994</v>
      </c>
      <c r="DM59" s="939">
        <f t="shared" si="754"/>
        <v>0</v>
      </c>
      <c r="DN59" s="939">
        <f t="shared" si="754"/>
        <v>0</v>
      </c>
      <c r="DO59" s="939">
        <f t="shared" ref="DO59:DP59" si="755">+DO31</f>
        <v>0</v>
      </c>
      <c r="DP59" s="939">
        <f t="shared" si="755"/>
        <v>0</v>
      </c>
      <c r="DQ59" s="939">
        <f t="shared" ref="DQ59" si="756">+DQ31</f>
        <v>0</v>
      </c>
      <c r="DR59" s="813">
        <f t="shared" si="754"/>
        <v>0</v>
      </c>
      <c r="DS59" s="813">
        <f t="shared" ref="DS59:DU59" si="757">+DS31</f>
        <v>0</v>
      </c>
      <c r="DT59" s="813">
        <f t="shared" si="757"/>
        <v>0</v>
      </c>
      <c r="DU59" s="813">
        <f t="shared" si="757"/>
        <v>0</v>
      </c>
      <c r="DX59" s="813">
        <v>0</v>
      </c>
      <c r="DY59" s="813">
        <v>0</v>
      </c>
    </row>
    <row r="60" spans="1:129" s="904" customFormat="1">
      <c r="A60" s="939"/>
      <c r="B60" s="949" t="s">
        <v>377</v>
      </c>
      <c r="C60" s="592">
        <f>+C18-Cartao!C318*1000*(1-34%)</f>
        <v>-9092</v>
      </c>
      <c r="D60" s="592">
        <f>+D18-Cartao!D318*1000*(1-34%)</f>
        <v>-17729</v>
      </c>
      <c r="E60" s="592">
        <f>+E18-Cartao!E318*1000*(1-34%)</f>
        <v>13614</v>
      </c>
      <c r="F60" s="592">
        <f>+F18-Cartao!F318*1000*(1-34%)</f>
        <v>11913</v>
      </c>
      <c r="G60" s="592">
        <f>+G18-Cartao!G318*1000*(1-34%)</f>
        <v>-8169</v>
      </c>
      <c r="H60" s="592">
        <f>+H18-Cartao!H318*1000*(1-34%)</f>
        <v>23844</v>
      </c>
      <c r="I60" s="592">
        <f>+I18-Cartao!I318*1000*(1-34%)</f>
        <v>-1800</v>
      </c>
      <c r="J60" s="592">
        <f>+J18-Cartao!J318*1000*(1-34%)</f>
        <v>6800</v>
      </c>
      <c r="K60" s="592">
        <f>+K18-Cartao!K318*1000*(1-34%)</f>
        <v>1700</v>
      </c>
      <c r="L60" s="592">
        <f>+L18-Cartao!L318*1000*(1-34%)</f>
        <v>-5200</v>
      </c>
      <c r="M60" s="592">
        <f>+M18-Cartao!M318*1000*(1-34%)</f>
        <v>-3700</v>
      </c>
      <c r="N60" s="592">
        <f>+N18-Cartao!N318*1000*(1-34%)</f>
        <v>300</v>
      </c>
      <c r="O60" s="592">
        <f>+O18-Cartao!O318*1000*(1-34%)</f>
        <v>-3100</v>
      </c>
      <c r="P60" s="592">
        <f>+P18-Cartao!P318*1000*(1-34%)</f>
        <v>-4200</v>
      </c>
      <c r="Q60" s="592">
        <f>+Q18-Cartao!Q318*1000*(1-34%)</f>
        <v>-3000</v>
      </c>
      <c r="R60" s="592">
        <f>+R18-Cartao!R318*1000*(1-34%)</f>
        <v>-3700</v>
      </c>
      <c r="S60" s="592">
        <f>+S18-Cartao!S318*1000*(1-34%)</f>
        <v>-1500</v>
      </c>
      <c r="T60" s="592">
        <f>+T18-Cartao!T318*1000*(1-34%)</f>
        <v>-2780</v>
      </c>
      <c r="U60" s="592">
        <f>+U18-Cartao!U318*1000*(1-34%)</f>
        <v>-4362</v>
      </c>
      <c r="V60" s="592">
        <f>+V18-Cartao!V318*1000*(1-34%)</f>
        <v>-131.99999999999997</v>
      </c>
      <c r="W60" s="592">
        <f>+W18-Cartao!W318*1000*(1-34%)</f>
        <v>-4070.0000000000018</v>
      </c>
      <c r="X60" s="592">
        <f>+X18-Cartao!X318*1000*(1-34%)</f>
        <v>-3238</v>
      </c>
      <c r="Y60" s="592">
        <f>+Y18-Cartao!Y318*1000*(1-34%)</f>
        <v>-4200</v>
      </c>
      <c r="Z60" s="592">
        <f>+Z18-Cartao!Z318*1000*(1-34%)</f>
        <v>38.000000000000057</v>
      </c>
      <c r="AA60" s="592">
        <f>+AA18-Cartao!AA318*1000*(1-34%)</f>
        <v>1740</v>
      </c>
      <c r="AB60" s="592">
        <f>+AB18-Cartao!AB318*1000*(1-34%)</f>
        <v>3072</v>
      </c>
      <c r="AC60" s="592">
        <f>+AC18-Cartao!AC318*1000*(1-34%)</f>
        <v>4338</v>
      </c>
      <c r="AD60" s="592">
        <f>+AD18-Cartao!AD318*1000*(1-34%)</f>
        <v>5606</v>
      </c>
      <c r="AE60" s="592">
        <f>+AE18-Cartao!AE318*1000*(1-34%)</f>
        <v>5063.1400000000003</v>
      </c>
      <c r="AF60" s="592">
        <f>+AF18-Cartao!AF318*1000*(1-34%)</f>
        <v>1623.0600000000004</v>
      </c>
      <c r="AG60" s="592">
        <f>+AG18-Cartao!AG318*1000*(1-34%)</f>
        <v>1521.8</v>
      </c>
      <c r="AH60" s="592">
        <f>+AH18-Cartao!AH318*1000*(1-34%)</f>
        <v>-2898.8999999999965</v>
      </c>
      <c r="AI60" s="592">
        <f>+AI18-Cartao!AI318*1000*(1-34%)</f>
        <v>-4267.7</v>
      </c>
      <c r="AJ60" s="592">
        <f>+AJ18-Cartao!AJ318*1000*(1-34%)</f>
        <v>-6266.54</v>
      </c>
      <c r="AK60" s="592">
        <f>+AK18-Cartao!AK318*1000*(1-34%)</f>
        <v>-13708.04</v>
      </c>
      <c r="AL60" s="592">
        <f>+AL18-Cartao!AL318*1000*(1-34%)</f>
        <v>-21611.94</v>
      </c>
      <c r="AM60" s="592">
        <f>+AM18-Cartao!AM318*1000*(1-34%)</f>
        <v>-17730</v>
      </c>
      <c r="AN60" s="592">
        <f>+AN18-Cartao!AN318*1000*(1-34%)</f>
        <v>-19425.999999999996</v>
      </c>
      <c r="AO60" s="592">
        <f>+AO18-Cartao!AO318*1000*(1-34%)</f>
        <v>-9933</v>
      </c>
      <c r="AP60" s="592">
        <f>+AP18-Cartao!AP318*1000*(1-34%)</f>
        <v>-24425.38</v>
      </c>
      <c r="AQ60" s="592">
        <f>+AQ18-Cartao!AQ318*1000*(1-34%)</f>
        <v>-15246</v>
      </c>
      <c r="AR60" s="592">
        <f>+AR18-Cartao!AR318*1000*(1-34%)</f>
        <v>-21291</v>
      </c>
      <c r="AS60" s="592">
        <f>+AS18-Cartao!AS318*1000*(1-34%)</f>
        <v>-22374</v>
      </c>
      <c r="AT60" s="592">
        <f>+AT18-Cartao!AT318*1000*(1-34%)</f>
        <v>-34963</v>
      </c>
      <c r="AU60" s="592">
        <f>+AU18-Cartao!AU318*1000*(1-34%)</f>
        <v>-27985</v>
      </c>
      <c r="AV60" s="592">
        <f>+AV18-Cartao!AV318*1000*(1-34%)</f>
        <v>-25785</v>
      </c>
      <c r="AW60" s="592">
        <f>+AW18-Cartao!AW318*1000*(1-34%)</f>
        <v>-26923</v>
      </c>
      <c r="AX60" s="592">
        <f>+AX18-Cartao!AX318*1000*(1-34%)</f>
        <v>-23893</v>
      </c>
      <c r="AY60" s="592">
        <f>+AY18-Cartao!AY318*1000*(1-34%)</f>
        <v>-24080</v>
      </c>
      <c r="AZ60" s="592">
        <f>+AZ18-Cartao!AZ318*1000*(1-34%)</f>
        <v>-27109</v>
      </c>
      <c r="BA60" s="592">
        <f>+BA18-Cartao!BA318*1000*(1-34%)</f>
        <v>-26239</v>
      </c>
      <c r="BB60" s="592">
        <f>+BB18-Cartao!BB318*1000*(1-34%)</f>
        <v>-25882</v>
      </c>
      <c r="BC60" s="592">
        <f>+BC18-Cartao!BC318*1000*(1-34%)</f>
        <v>-24934</v>
      </c>
      <c r="BD60" s="592">
        <f>+BD18-Cartao!BD318*1000*(1-34%)</f>
        <v>-22443</v>
      </c>
      <c r="BE60" s="592">
        <f>+BE18-Cartao!BE318*1000*(1-34%)</f>
        <v>-21305.000000000004</v>
      </c>
      <c r="BF60" s="592">
        <f>+BF18-Cartao!BF318*1000*(1-34%)</f>
        <v>-14418.999999999993</v>
      </c>
      <c r="BG60" s="592">
        <f>+BG18-Cartao!BG318*1000*(1-34%)</f>
        <v>-13881</v>
      </c>
      <c r="BH60" s="592">
        <f>+BH18-Cartao!BH318*1000*(1-34%)</f>
        <v>-13318</v>
      </c>
      <c r="BI60" s="592">
        <f>+BI18-Cartao!BI318*1000*(1-34%)</f>
        <v>-17462</v>
      </c>
      <c r="BJ60" s="592">
        <f>+BJ18-Cartao!BJ318*1000*(1-34%)</f>
        <v>-8967.0000000000036</v>
      </c>
      <c r="BK60" s="592">
        <f>+BK18-Cartao!BK318*1000*(1-34%)</f>
        <v>-45121</v>
      </c>
      <c r="BL60" s="592">
        <f>+BL18-Cartao!BL318*1000*(1-34%)</f>
        <v>-53581</v>
      </c>
      <c r="BM60" s="592">
        <f>+BM18-Cartao!BM318*1000*(1-34%)</f>
        <v>-40636</v>
      </c>
      <c r="BN60" s="592">
        <f>+BN18-Cartao!BN318*1000*(1-34%)</f>
        <v>-45057</v>
      </c>
      <c r="BO60" s="592">
        <f>+BO18-Cartao!BO318*1000*(1-34%)</f>
        <v>-49767</v>
      </c>
      <c r="BP60" s="592">
        <f>+BP18-Cartao!BP318*1000*(1-34%)</f>
        <v>493605</v>
      </c>
      <c r="BQ60" s="592">
        <f>+BQ18-Cartao!BQ318*1000*(1-34%)</f>
        <v>-57386</v>
      </c>
      <c r="BR60" s="592">
        <f>+BR18-Cartao!BR318*1000*(1-34%)</f>
        <v>-42600</v>
      </c>
      <c r="BS60" s="592">
        <f>+BS18-Cartao!BS318*1000*(1-34%)</f>
        <v>-78216</v>
      </c>
      <c r="BT60" s="592">
        <f>+BT18-Cartao!BT318*1000*(1-34%)</f>
        <v>-51250</v>
      </c>
      <c r="BU60" s="592">
        <f>+BU18-Cartao!BU318*1000*(1-34%)</f>
        <v>-18470</v>
      </c>
      <c r="BV60" s="592">
        <f>+BV18-Cartao!BV318*1000*(1-34%)</f>
        <v>-26155</v>
      </c>
      <c r="BW60" s="592">
        <f>+BW18-Cartao!BW318*1000*(1-34%)</f>
        <v>16985</v>
      </c>
      <c r="BX60" s="592">
        <f>+BX18-Cartao!BX318*1000*(1-34%)</f>
        <v>-3473</v>
      </c>
      <c r="BY60" s="592">
        <f>+BY18-Cartao!BY318*1000*(1-34%)</f>
        <v>-130</v>
      </c>
      <c r="BZ60" s="592">
        <f>+BZ18-Cartao!BZ318*1000*(1-34%)</f>
        <v>-36498</v>
      </c>
      <c r="CA60" s="592">
        <f>+CA18-Cartao!CA318*1000*(1-34%)</f>
        <v>-15034</v>
      </c>
      <c r="CB60" s="592">
        <f>+CB18-Cartao!CB318*1000*(1-34%)</f>
        <v>-28662</v>
      </c>
      <c r="CC60" s="592">
        <f>+CC18-Cartao!CC318*1000*(1-34%)</f>
        <v>-15452</v>
      </c>
      <c r="CD60" s="592">
        <f>+CD18-Cartao!CD318*1000*(1-34%)</f>
        <v>10738</v>
      </c>
      <c r="CE60" s="592">
        <f>+CE18-Cartao!CE318*1000*(1-34%)</f>
        <v>35626</v>
      </c>
      <c r="CF60" s="592">
        <f>+CF18-Cartao!CF318*1000*(1-34%)</f>
        <v>29584</v>
      </c>
      <c r="CG60" s="592">
        <f>+CG18-Cartao!CG318*1000*(1-34%)</f>
        <v>6647</v>
      </c>
      <c r="CH60" s="592">
        <v>-10203</v>
      </c>
      <c r="CI60" s="592">
        <f>+CI18-Cartao!CI318*1000*(1-34%)</f>
        <v>-18484</v>
      </c>
      <c r="CJ60" s="592">
        <f>+CJ18-Cartao!CJ318*1000*(1-34%)</f>
        <v>-45840</v>
      </c>
      <c r="CK60" s="592">
        <f>+CK18-Cartao!CK318*1000*(1-34%)</f>
        <v>-19104</v>
      </c>
      <c r="CL60" s="941">
        <f>+CL18-Cartao!CL318*1000*(1-34%)</f>
        <v>-34708.618158119527</v>
      </c>
      <c r="CM60" s="941">
        <f>+CM18-Cartao!CM318*1000*(1-34%)</f>
        <v>-34908.604333526353</v>
      </c>
      <c r="CN60" s="941">
        <f>+CN18-Cartao!CN318*1000*(1-34%)</f>
        <v>-31620.373183196403</v>
      </c>
      <c r="CO60" s="941">
        <f>+CO18-Cartao!CO318*1000*(1-34%)</f>
        <v>-34079.861690355108</v>
      </c>
      <c r="CP60" s="941">
        <f>+CP18-Cartao!CP318*1000*(1-34%)</f>
        <v>-41612.136648905798</v>
      </c>
      <c r="CQ60" s="941"/>
      <c r="CR60" s="941">
        <v>-34708.618158119527</v>
      </c>
      <c r="CT60" s="592"/>
      <c r="CU60" s="592"/>
      <c r="CV60" s="592"/>
      <c r="CW60" s="592"/>
      <c r="CX60" s="592">
        <f t="shared" si="346"/>
        <v>-14000</v>
      </c>
      <c r="CY60" s="942">
        <f t="shared" si="242"/>
        <v>-8774</v>
      </c>
      <c r="CZ60" s="942">
        <f t="shared" si="243"/>
        <v>-11470.000000000002</v>
      </c>
      <c r="DA60" s="942">
        <f t="shared" si="244"/>
        <v>14756</v>
      </c>
      <c r="DB60" s="942">
        <f t="shared" si="245"/>
        <v>5309.100000000004</v>
      </c>
      <c r="DC60" s="939">
        <f t="shared" si="246"/>
        <v>-45854.22</v>
      </c>
      <c r="DD60" s="939">
        <f t="shared" si="247"/>
        <v>-71514.38</v>
      </c>
      <c r="DE60" s="939">
        <f>+DE18-Cartao!DE318*1000*(1-34%)</f>
        <v>-93874</v>
      </c>
      <c r="DF60" s="939">
        <f>+DF18-Cartao!DF318*1000*(1-34%)</f>
        <v>-104586</v>
      </c>
      <c r="DG60" s="939">
        <f>+DG18-Cartao!DG318*1000*(1-34%)</f>
        <v>-103310</v>
      </c>
      <c r="DH60" s="939">
        <f>+DH18-Cartao!DH318*1000*(1-34%)</f>
        <v>-83101</v>
      </c>
      <c r="DI60" s="939">
        <f>+DI18-Cartao!DI318*1000*(1-34%)</f>
        <v>-53628</v>
      </c>
      <c r="DJ60" s="939">
        <f>+DJ18-Cartao!DJ318*1000*(1-34%)</f>
        <v>-184395</v>
      </c>
      <c r="DK60" s="939">
        <f>+DK18-Cartao!DK318*1000*(1-34%)</f>
        <v>343852</v>
      </c>
      <c r="DL60" s="939">
        <f>+DL18-Cartao!DL318*1000*(1-34%)</f>
        <v>-174091</v>
      </c>
      <c r="DM60" s="939">
        <f>+DM18-Cartao!DM318*1000*(1-34%)</f>
        <v>-23116</v>
      </c>
      <c r="DN60" s="939">
        <f>+DN18-Cartao!DN318*1000*(1-34%)</f>
        <v>-48410</v>
      </c>
      <c r="DO60" s="939">
        <f>+DO18-Cartao!DO318*1000*(1-34%)</f>
        <v>61654</v>
      </c>
      <c r="DP60" s="939">
        <f>+DP18-Cartao!DP318*1000*(1-34%)</f>
        <v>-118136.61815811953</v>
      </c>
      <c r="DQ60" s="939">
        <f>+DQ18-Cartao!DQ318*1000*(1-34%)</f>
        <v>-142220.97585598368</v>
      </c>
      <c r="DR60" s="813">
        <f>+DR18-Cartao!DR318*1000*(1-34%)</f>
        <v>-97684.773259753856</v>
      </c>
      <c r="DS60" s="813">
        <f>+DS18-Cartao!DS318*1000*(1-34%)</f>
        <v>-17676.055809772573</v>
      </c>
      <c r="DT60" s="813">
        <f>+DT18-Cartao!DT318*1000*(1-34%)</f>
        <v>-1470.030773931765</v>
      </c>
      <c r="DU60" s="813">
        <f>+DU18-Cartao!DU318*1000*(1-34%)</f>
        <v>3980.9084698291845</v>
      </c>
      <c r="DX60" s="813">
        <v>-143321.67990478151</v>
      </c>
      <c r="DY60" s="813">
        <v>-110345.71056647215</v>
      </c>
    </row>
    <row r="61" spans="1:129" s="904" customFormat="1">
      <c r="A61" s="939"/>
      <c r="B61" s="908" t="s">
        <v>378</v>
      </c>
      <c r="C61" s="948"/>
      <c r="D61" s="948"/>
      <c r="E61" s="948"/>
      <c r="F61" s="948"/>
      <c r="G61" s="948"/>
      <c r="H61" s="948"/>
      <c r="I61" s="948"/>
      <c r="J61" s="948"/>
      <c r="K61" s="948"/>
      <c r="L61" s="948"/>
      <c r="M61" s="948"/>
      <c r="N61" s="948"/>
      <c r="O61" s="948"/>
      <c r="P61" s="948"/>
      <c r="Q61" s="948"/>
      <c r="R61" s="948"/>
      <c r="S61" s="948"/>
      <c r="T61" s="948"/>
      <c r="U61" s="948"/>
      <c r="V61" s="948"/>
      <c r="W61" s="948"/>
      <c r="X61" s="948"/>
      <c r="Y61" s="948"/>
      <c r="Z61" s="948"/>
      <c r="AA61" s="948"/>
      <c r="AB61" s="948"/>
      <c r="AC61" s="948"/>
      <c r="AD61" s="948"/>
      <c r="AE61" s="948"/>
      <c r="AF61" s="948"/>
      <c r="AG61" s="948"/>
      <c r="AH61" s="948"/>
      <c r="AI61" s="948"/>
      <c r="AJ61" s="948"/>
      <c r="AK61" s="948"/>
      <c r="AL61" s="948"/>
      <c r="AM61" s="948"/>
      <c r="AN61" s="948"/>
      <c r="AO61" s="948"/>
      <c r="AP61" s="948"/>
      <c r="AQ61" s="948"/>
      <c r="AR61" s="948"/>
      <c r="AS61" s="948"/>
      <c r="AT61" s="948"/>
      <c r="AU61" s="948"/>
      <c r="AV61" s="948"/>
      <c r="AW61" s="948"/>
      <c r="AX61" s="948"/>
      <c r="AY61" s="948"/>
      <c r="AZ61" s="948"/>
      <c r="BA61" s="948"/>
      <c r="BB61" s="948"/>
      <c r="BC61" s="948"/>
      <c r="BD61" s="948"/>
      <c r="BE61" s="948"/>
      <c r="BF61" s="948"/>
      <c r="BG61" s="948"/>
      <c r="BH61" s="948"/>
      <c r="BI61" s="948"/>
      <c r="BJ61" s="948"/>
      <c r="BK61" s="948"/>
      <c r="BL61" s="948"/>
      <c r="BM61" s="948"/>
      <c r="BN61" s="948"/>
      <c r="BO61" s="948"/>
      <c r="BP61" s="948"/>
      <c r="BQ61" s="948"/>
      <c r="BR61" s="948"/>
      <c r="BS61" s="948"/>
      <c r="BT61" s="948"/>
      <c r="BU61" s="948"/>
      <c r="BV61" s="948"/>
      <c r="BW61" s="948"/>
      <c r="BX61" s="948"/>
      <c r="BY61" s="948"/>
      <c r="BZ61" s="948"/>
      <c r="CA61" s="948"/>
      <c r="CB61" s="948"/>
      <c r="CC61" s="948"/>
      <c r="CD61" s="948"/>
      <c r="CE61" s="948"/>
      <c r="CF61" s="948"/>
      <c r="CG61" s="948"/>
      <c r="CH61" s="948"/>
      <c r="CI61" s="948"/>
      <c r="CJ61" s="948"/>
      <c r="CK61" s="948"/>
      <c r="CL61" s="941"/>
      <c r="CM61" s="941"/>
      <c r="CN61" s="941"/>
      <c r="CO61" s="941"/>
      <c r="CP61" s="941"/>
      <c r="CQ61" s="941"/>
      <c r="CR61" s="941"/>
      <c r="CT61" s="948"/>
      <c r="CU61" s="948"/>
      <c r="CV61" s="948"/>
      <c r="CW61" s="948"/>
      <c r="CX61" s="592"/>
      <c r="CY61" s="942"/>
      <c r="CZ61" s="942"/>
      <c r="DA61" s="942"/>
      <c r="DB61" s="942"/>
      <c r="DC61" s="939"/>
      <c r="DD61" s="939"/>
      <c r="DE61" s="939"/>
      <c r="DF61" s="939"/>
      <c r="DG61" s="939"/>
      <c r="DH61" s="939"/>
      <c r="DI61" s="939"/>
      <c r="DJ61" s="939"/>
      <c r="DK61" s="939"/>
      <c r="DL61" s="939"/>
      <c r="DM61" s="939"/>
      <c r="DN61" s="939"/>
      <c r="DO61" s="939"/>
      <c r="DP61" s="939"/>
      <c r="DQ61" s="939"/>
      <c r="DR61" s="813"/>
      <c r="DS61" s="813"/>
      <c r="DT61" s="813"/>
      <c r="DU61" s="813"/>
      <c r="DX61" s="813"/>
      <c r="DY61" s="813"/>
    </row>
    <row r="62" spans="1:129" s="590" customFormat="1">
      <c r="A62" s="943"/>
      <c r="B62" s="597" t="s">
        <v>379</v>
      </c>
      <c r="C62" s="589" t="e">
        <f t="shared" ref="C62" si="758">+C57-C58+C59+C60+C61</f>
        <v>#REF!</v>
      </c>
      <c r="D62" s="589">
        <f t="shared" ref="D62" si="759">+D57-D58+D59+D60+D61</f>
        <v>-115195</v>
      </c>
      <c r="E62" s="589">
        <f t="shared" ref="E62" si="760">+E57-E58+E59+E60+E61</f>
        <v>23094</v>
      </c>
      <c r="F62" s="589">
        <f t="shared" ref="F62" si="761">+F57-F58+F59+F60+F61</f>
        <v>-1680</v>
      </c>
      <c r="G62" s="589">
        <f t="shared" ref="G62" si="762">+G57-G58+G59+G60+G61</f>
        <v>-60572</v>
      </c>
      <c r="H62" s="589">
        <f t="shared" ref="H62" si="763">+H57-H58+H59+H60+H61</f>
        <v>129389</v>
      </c>
      <c r="I62" s="589">
        <f t="shared" ref="I62" si="764">+I57-I58+I59+I60+I61</f>
        <v>8049</v>
      </c>
      <c r="J62" s="589">
        <f t="shared" ref="J62" si="765">+J57-J58+J59+J60+J61</f>
        <v>59937</v>
      </c>
      <c r="K62" s="589">
        <f t="shared" ref="K62" si="766">+K57-K58+K59+K60+K61</f>
        <v>-109703</v>
      </c>
      <c r="L62" s="589">
        <f t="shared" ref="L62" si="767">+L57-L58+L59+L60+L61</f>
        <v>61142</v>
      </c>
      <c r="M62" s="589">
        <f t="shared" ref="M62" si="768">+M57-M58+M59+M60+M61</f>
        <v>14080</v>
      </c>
      <c r="N62" s="589">
        <f t="shared" ref="N62" si="769">+N57-N58+N59+N60+N61</f>
        <v>70971</v>
      </c>
      <c r="O62" s="589">
        <f t="shared" ref="O62" si="770">+O57-O58+O59+O60+O61</f>
        <v>-93697</v>
      </c>
      <c r="P62" s="589">
        <f t="shared" ref="P62" si="771">+P57-P58+P59+P60+P61</f>
        <v>103536</v>
      </c>
      <c r="Q62" s="589">
        <f t="shared" ref="Q62" si="772">+Q57-Q58+Q59+Q60+Q61</f>
        <v>25324</v>
      </c>
      <c r="R62" s="589">
        <f t="shared" ref="R62" si="773">+R57-R58+R59+R60+R61</f>
        <v>-113670</v>
      </c>
      <c r="S62" s="589">
        <f t="shared" ref="S62" si="774">+S57-S58+S59+S60+S61</f>
        <v>101870</v>
      </c>
      <c r="T62" s="589">
        <f t="shared" ref="T62" si="775">+T57-T58+T59+T60+T61</f>
        <v>12540</v>
      </c>
      <c r="U62" s="589">
        <f t="shared" ref="U62" si="776">+U57-U58+U59+U60+U61</f>
        <v>-14200</v>
      </c>
      <c r="V62" s="589">
        <f t="shared" ref="V62" si="777">+V57-V58+V59+V60+V61</f>
        <v>-140835</v>
      </c>
      <c r="W62" s="589">
        <f t="shared" ref="W62" si="778">+W57-W58+W59+W60+W61</f>
        <v>-52456</v>
      </c>
      <c r="X62" s="589">
        <f t="shared" ref="X62" si="779">+X57-X58+X59+X60+X61</f>
        <v>139217</v>
      </c>
      <c r="Y62" s="589">
        <f t="shared" ref="Y62" si="780">+Y57-Y58+Y59+Y60+Y61</f>
        <v>105692</v>
      </c>
      <c r="Z62" s="589">
        <f t="shared" ref="Z62" si="781">+Z57-Z58+Z59+Z60+Z61</f>
        <v>55749</v>
      </c>
      <c r="AA62" s="589">
        <f t="shared" ref="AA62" si="782">+AA57-AA58+AA59+AA60+AA61</f>
        <v>45515</v>
      </c>
      <c r="AB62" s="589">
        <f t="shared" ref="AB62" si="783">+AB57-AB58+AB59+AB60+AB61</f>
        <v>100822</v>
      </c>
      <c r="AC62" s="589">
        <f t="shared" ref="AC62" si="784">+AC57-AC58+AC59+AC60+AC61</f>
        <v>85574</v>
      </c>
      <c r="AD62" s="589">
        <f t="shared" ref="AD62" si="785">+AD57-AD58+AD59+AD60+AD61</f>
        <v>83396</v>
      </c>
      <c r="AE62" s="589">
        <f t="shared" ref="AE62" si="786">+AE57-AE58+AE59+AE60+AE61</f>
        <v>-30514</v>
      </c>
      <c r="AF62" s="589">
        <f t="shared" ref="AF62" si="787">+AF57-AF58+AF59+AF60+AF61</f>
        <v>180323.00000000012</v>
      </c>
      <c r="AG62" s="589">
        <f t="shared" ref="AG62" si="788">+AG57-AG58+AG59+AG60+AG61</f>
        <v>35316</v>
      </c>
      <c r="AH62" s="589">
        <f t="shared" ref="AH62" si="789">+AH57-AH58+AH59+AH60+AH61</f>
        <v>35616</v>
      </c>
      <c r="AI62" s="589">
        <f t="shared" ref="AI62" si="790">+AI57-AI58+AI59+AI60+AI61</f>
        <v>-176601</v>
      </c>
      <c r="AJ62" s="589">
        <f t="shared" ref="AJ62" si="791">+AJ57-AJ58+AJ59+AJ60+AJ61</f>
        <v>118302.00000000001</v>
      </c>
      <c r="AK62" s="589">
        <f t="shared" ref="AK62" si="792">+AK57-AK58+AK59+AK60+AK61</f>
        <v>-29620.999999999891</v>
      </c>
      <c r="AL62" s="589">
        <f t="shared" ref="AL62" si="793">+AL57-AL58+AL59+AL60+AL61</f>
        <v>145058</v>
      </c>
      <c r="AM62" s="589">
        <f t="shared" ref="AM62" si="794">+AM57-AM58+AM59+AM60+AM61</f>
        <v>-204786.99999999988</v>
      </c>
      <c r="AN62" s="589">
        <f t="shared" ref="AN62" si="795">+AN57-AN58+AN59+AN60+AN61</f>
        <v>89196</v>
      </c>
      <c r="AO62" s="589">
        <f t="shared" ref="AO62" si="796">+AO57-AO58+AO59+AO60+AO61</f>
        <v>-2121</v>
      </c>
      <c r="AP62" s="589">
        <f t="shared" ref="AP62" si="797">+AP57-AP58+AP59+AP60+AP61</f>
        <v>203175</v>
      </c>
      <c r="AQ62" s="589">
        <f t="shared" ref="AQ62" si="798">+AQ57-AQ58+AQ59+AQ60+AQ61</f>
        <v>-2445.4799999999814</v>
      </c>
      <c r="AR62" s="589">
        <f t="shared" ref="AR62" si="799">+AR57-AR58+AR59+AR60+AR61</f>
        <v>181377</v>
      </c>
      <c r="AS62" s="589">
        <f t="shared" ref="AS62" si="800">+AS57-AS58+AS59+AS60+AS61</f>
        <v>71684</v>
      </c>
      <c r="AT62" s="589">
        <f t="shared" ref="AT62" si="801">+AT57-AT58+AT59+AT60+AT61</f>
        <v>357370.2690000002</v>
      </c>
      <c r="AU62" s="589">
        <f t="shared" ref="AU62" si="802">+AU57-AU58+AU59+AU60+AU61</f>
        <v>-110134.76365999987</v>
      </c>
      <c r="AV62" s="589">
        <f t="shared" ref="AV62" si="803">+AV57-AV58+AV59+AV60+AV61</f>
        <v>231480.57631999993</v>
      </c>
      <c r="AW62" s="589">
        <f t="shared" ref="AW62" si="804">+AW57-AW58+AW59+AW60+AW61</f>
        <v>-38852</v>
      </c>
      <c r="AX62" s="589">
        <f t="shared" ref="AX62" si="805">+AX57-AX58+AX59+AX60+AX61</f>
        <v>450473.15435999993</v>
      </c>
      <c r="AY62" s="589">
        <f t="shared" ref="AY62" si="806">+AY57-AY58+AY59+AY60+AY61</f>
        <v>91409</v>
      </c>
      <c r="AZ62" s="589">
        <f t="shared" ref="AZ62" si="807">+AZ57-AZ58+AZ59+AZ60+AZ61</f>
        <v>278517</v>
      </c>
      <c r="BA62" s="589">
        <f t="shared" ref="BA62" si="808">+BA57-BA58+BA59+BA60+BA61</f>
        <v>120024</v>
      </c>
      <c r="BB62" s="589">
        <f t="shared" ref="BB62" si="809">+BB57-BB58+BB59+BB60+BB61</f>
        <v>435775</v>
      </c>
      <c r="BC62" s="589">
        <f t="shared" ref="BC62" si="810">+BC57-BC58+BC59+BC60+BC61</f>
        <v>-178777.06490999999</v>
      </c>
      <c r="BD62" s="589">
        <f t="shared" ref="BD62" si="811">+BD57-BD58+BD59+BD60+BD61</f>
        <v>319187.99999999994</v>
      </c>
      <c r="BE62" s="589">
        <f t="shared" ref="BE62" si="812">+BE57-BE58+BE59+BE60+BE61</f>
        <v>341643.99999999994</v>
      </c>
      <c r="BF62" s="589">
        <f t="shared" ref="BF62" si="813">+BF57-BF58+BF59+BF60+BF61</f>
        <v>376565.22262222372</v>
      </c>
      <c r="BG62" s="589">
        <f t="shared" ref="BG62" si="814">+BG57-BG58+BG59+BG60+BG61</f>
        <v>-149735</v>
      </c>
      <c r="BH62" s="589">
        <f t="shared" ref="BH62" si="815">+BH57-BH58+BH59+BH60+BH61</f>
        <v>244224.36382800055</v>
      </c>
      <c r="BI62" s="589">
        <f t="shared" ref="BI62" si="816">+BI57-BI58+BI59+BI60+BI61</f>
        <v>349968.57160999998</v>
      </c>
      <c r="BJ62" s="589">
        <f t="shared" ref="BJ62" si="817">+BJ57-BJ58+BJ59+BJ60+BJ61</f>
        <v>649108.09022999997</v>
      </c>
      <c r="BK62" s="589">
        <f t="shared" ref="BK62" si="818">+BK57-BK58+BK59+BK60+BK61</f>
        <v>-337563.73981122905</v>
      </c>
      <c r="BL62" s="589">
        <f t="shared" ref="BL62" si="819">+BL57-BL58+BL59+BL60+BL61</f>
        <v>194160.05561244284</v>
      </c>
      <c r="BM62" s="589">
        <f t="shared" ref="BM62" si="820">+BM57-BM58+BM59+BM60+BM61</f>
        <v>103425.31036125805</v>
      </c>
      <c r="BN62" s="589">
        <f t="shared" ref="BN62" si="821">+BN57-BN58+BN59+BN60+BN61</f>
        <v>248869.36065295915</v>
      </c>
      <c r="BO62" s="589">
        <f t="shared" ref="BO62" si="822">+BO57-BO58+BO59+BO60+BO61</f>
        <v>-600409.38727082917</v>
      </c>
      <c r="BP62" s="589">
        <f t="shared" ref="BP62" si="823">+BP57-BP58+BP59+BP60+BP61</f>
        <v>-41458.258789310465</v>
      </c>
      <c r="BQ62" s="589">
        <f t="shared" ref="BQ62" si="824">+BQ57-BQ58+BQ59+BQ60+BQ61</f>
        <v>-79861.637442139501</v>
      </c>
      <c r="BR62" s="589">
        <f t="shared" ref="BR62" si="825">+BR57-BR58+BR59+BR60+BR61</f>
        <v>338580.31058575248</v>
      </c>
      <c r="BS62" s="589">
        <f t="shared" ref="BS62" si="826">+BS57-BS58+BS59+BS60+BS61</f>
        <v>-408103.54087472754</v>
      </c>
      <c r="BT62" s="589">
        <f t="shared" ref="BT62" si="827">+BT57-BT58+BT59+BT60+BT61</f>
        <v>-528059.3158492248</v>
      </c>
      <c r="BU62" s="589">
        <f t="shared" ref="BU62" si="828">+BU57-BU58+BU59+BU60+BU61</f>
        <v>195477.78571465402</v>
      </c>
      <c r="BV62" s="589">
        <f t="shared" ref="BV62" si="829">+BV57-BV58+BV59+BV60+BV61</f>
        <v>-47641.299128309271</v>
      </c>
      <c r="BW62" s="589">
        <f t="shared" ref="BW62" si="830">+BW57-BW58+BW59+BW60+BW61</f>
        <v>-376582.08651966532</v>
      </c>
      <c r="BX62" s="589">
        <f t="shared" ref="BX62" si="831">+BX57-BX58+BX59+BX60+BX61</f>
        <v>-68350.853219156794</v>
      </c>
      <c r="BY62" s="589">
        <f t="shared" ref="BY62" si="832">+BY57-BY58+BY59+BY60+BY61</f>
        <v>-140337.115469513</v>
      </c>
      <c r="BZ62" s="589">
        <f t="shared" ref="BZ62" si="833">+BZ57-BZ58+BZ59+BZ60+BZ61</f>
        <v>154808.50748472862</v>
      </c>
      <c r="CA62" s="589">
        <f t="shared" ref="CA62" si="834">+CA57-CA58+CA59+CA60+CA61</f>
        <v>-173077.0936502775</v>
      </c>
      <c r="CB62" s="589">
        <f t="shared" ref="CB62" si="835">+CB57-CB58+CB59+CB60+CB61</f>
        <v>168339.49157171455</v>
      </c>
      <c r="CC62" s="589">
        <f t="shared" ref="CC62" si="836">+CC57-CC58+CC59+CC60+CC61</f>
        <v>325545.35290801246</v>
      </c>
      <c r="CD62" s="589">
        <f t="shared" ref="CD62:CE62" si="837">+CD57-CD58+CD59+CD60+CD61</f>
        <v>245153.73566217205</v>
      </c>
      <c r="CE62" s="589">
        <f t="shared" si="837"/>
        <v>42801.02131045884</v>
      </c>
      <c r="CF62" s="589">
        <f t="shared" ref="CF62" si="838">+CF57-CF58+CF59+CF60+CF61</f>
        <v>210730.5364172752</v>
      </c>
      <c r="CG62" s="589">
        <f t="shared" ref="CG62:CH62" si="839">+CG57-CG58+CG59+CG60+CG61</f>
        <v>367102.34870285576</v>
      </c>
      <c r="CH62" s="589">
        <f t="shared" si="839"/>
        <v>601756.22311823803</v>
      </c>
      <c r="CI62" s="589">
        <f t="shared" ref="CI62:CJ62" si="840">+CI57-CI58+CI59+CI60+CI61</f>
        <v>29085.302309166866</v>
      </c>
      <c r="CJ62" s="589">
        <f t="shared" si="840"/>
        <v>255617.51015882485</v>
      </c>
      <c r="CK62" s="589">
        <f t="shared" ref="CK62" si="841">+CK57-CK58+CK59+CK60+CK61</f>
        <v>400915.58111212944</v>
      </c>
      <c r="CL62" s="946">
        <f t="shared" ref="CL62:CP62" si="842">+CL57-CL58+CL59+CL60+CL61</f>
        <v>-96844.721231198069</v>
      </c>
      <c r="CM62" s="946">
        <f t="shared" si="842"/>
        <v>222327.30428953073</v>
      </c>
      <c r="CN62" s="946">
        <f t="shared" si="842"/>
        <v>348127.767096875</v>
      </c>
      <c r="CO62" s="946">
        <f t="shared" si="842"/>
        <v>440797.49026142445</v>
      </c>
      <c r="CP62" s="946">
        <f t="shared" si="842"/>
        <v>-208240.30094946537</v>
      </c>
      <c r="CQ62" s="946"/>
      <c r="CR62" s="946">
        <v>-96844.721231198069</v>
      </c>
      <c r="CT62" s="589"/>
      <c r="CU62" s="589"/>
      <c r="CV62" s="589"/>
      <c r="CW62" s="589"/>
      <c r="CX62" s="589">
        <f t="shared" ref="CX62:CX67" si="843">+SUM(O62:R62)</f>
        <v>-78507</v>
      </c>
      <c r="CY62" s="947">
        <f t="shared" ref="CY62:CY67" si="844">SUM(S62:V62)</f>
        <v>-40625</v>
      </c>
      <c r="CZ62" s="947">
        <f t="shared" ref="CZ62:CZ67" si="845">SUM(W62:Z62)</f>
        <v>248202</v>
      </c>
      <c r="DA62" s="947">
        <f t="shared" ref="DA62:DA67" si="846">SUM(AA62:AD62)</f>
        <v>315307</v>
      </c>
      <c r="DB62" s="947">
        <f t="shared" ref="DB62:DB67" si="847">SUM(AE62:AH62)</f>
        <v>220741.00000000012</v>
      </c>
      <c r="DC62" s="943">
        <f t="shared" ref="DC62:DC67" si="848">+SUM(AI62:AL62)</f>
        <v>57138.000000000116</v>
      </c>
      <c r="DD62" s="943">
        <f t="shared" ref="DD62:DD69" si="849">+SUM(AM62:AP62)</f>
        <v>85463.000000000116</v>
      </c>
      <c r="DE62" s="943">
        <f>+DE57-DE58+DE59+DE60+DE56+DE61</f>
        <v>134475.78900000028</v>
      </c>
      <c r="DF62" s="943">
        <f t="shared" ref="DF62:DM62" si="850">+DF57-DF58+DF59+DF60+DF61</f>
        <v>-29752.324143897538</v>
      </c>
      <c r="DG62" s="943">
        <f t="shared" si="850"/>
        <v>372505.99635136477</v>
      </c>
      <c r="DH62" s="943">
        <f t="shared" si="850"/>
        <v>270773.21941888152</v>
      </c>
      <c r="DI62" s="943">
        <f t="shared" si="850"/>
        <v>366050.30992552877</v>
      </c>
      <c r="DJ62" s="943">
        <f t="shared" si="850"/>
        <v>129740.02766629582</v>
      </c>
      <c r="DK62" s="943">
        <f t="shared" si="850"/>
        <v>-318788.85263731692</v>
      </c>
      <c r="DL62" s="943">
        <f t="shared" si="850"/>
        <v>-675430.60818682471</v>
      </c>
      <c r="DM62" s="943">
        <f t="shared" si="850"/>
        <v>-372793.13547338307</v>
      </c>
      <c r="DN62" s="943">
        <f>+DN57-DN58+DN59+DN60+DN61</f>
        <v>446248.44746565458</v>
      </c>
      <c r="DO62" s="943">
        <f t="shared" ref="DO62:DP62" si="851">+DO57-DO58+DO59+DO60+DO61</f>
        <v>1011095.2758276206</v>
      </c>
      <c r="DP62" s="943">
        <f t="shared" si="851"/>
        <v>603020.04180038371</v>
      </c>
      <c r="DQ62" s="943">
        <f t="shared" ref="DQ62" si="852">+DQ57-DQ58+DQ59+DQ60+DQ61</f>
        <v>821616.18567457877</v>
      </c>
      <c r="DR62" s="943">
        <f t="shared" ref="DR62" si="853">+DR57-DR58+DR59+DR60+DR61</f>
        <v>1102125.8854696851</v>
      </c>
      <c r="DS62" s="943">
        <f t="shared" ref="DS62" si="854">+DS57-DS58+DS59+DS60+DS61</f>
        <v>1419880.9730172232</v>
      </c>
      <c r="DT62" s="943">
        <f t="shared" ref="DT62" si="855">+DT57-DT58+DT59+DT60+DT61</f>
        <v>1574327.5698675537</v>
      </c>
      <c r="DU62" s="943">
        <f t="shared" ref="DU62" si="856">+DU57-DU58+DU59+DU60+DU61</f>
        <v>1730929.5177430238</v>
      </c>
      <c r="DX62" s="943">
        <v>867297.33682100964</v>
      </c>
      <c r="DY62" s="943">
        <v>1183706.2697083312</v>
      </c>
    </row>
    <row r="63" spans="1:129" s="904" customFormat="1">
      <c r="A63" s="939"/>
      <c r="B63" s="949" t="s">
        <v>380</v>
      </c>
      <c r="C63" s="942" t="e">
        <f t="shared" ref="C63" si="857">+C197+C195-(C116-B116)</f>
        <v>#VALUE!</v>
      </c>
      <c r="D63" s="942">
        <f t="shared" ref="D63" si="858">+D197+D195-(D116-C116)</f>
        <v>0</v>
      </c>
      <c r="E63" s="942">
        <f t="shared" ref="E63" si="859">+E197+E195-(E116-D116)</f>
        <v>0</v>
      </c>
      <c r="F63" s="942">
        <f t="shared" ref="F63" si="860">+F197+F195-(F116-E116)</f>
        <v>-18</v>
      </c>
      <c r="G63" s="942">
        <f t="shared" ref="G63" si="861">+G197+G195-(G116-F116)</f>
        <v>18</v>
      </c>
      <c r="H63" s="942">
        <f t="shared" ref="H63" si="862">+H197+H195-(H116-G116)</f>
        <v>0</v>
      </c>
      <c r="I63" s="942">
        <f t="shared" ref="I63" si="863">+I197+I195-(I116-H116)</f>
        <v>0</v>
      </c>
      <c r="J63" s="942">
        <f t="shared" ref="J63" si="864">+J197+J195-(J116-I116)</f>
        <v>20547.193059999991</v>
      </c>
      <c r="K63" s="942">
        <f t="shared" ref="K63" si="865">+K197+K195-(K116-J116)</f>
        <v>45129</v>
      </c>
      <c r="L63" s="942">
        <f t="shared" ref="L63" si="866">+L197+L195-(L116-K116)</f>
        <v>1</v>
      </c>
      <c r="M63" s="942">
        <f t="shared" ref="M63" si="867">+M197+M195-(M116-L116)</f>
        <v>21736.451440000001</v>
      </c>
      <c r="N63" s="942">
        <f t="shared" ref="N63" si="868">+N197+N195-(N116-M116)</f>
        <v>-16852.683399999994</v>
      </c>
      <c r="O63" s="942">
        <f t="shared" ref="O63" si="869">+O197+O195-(O116-N116)</f>
        <v>31569</v>
      </c>
      <c r="P63" s="942">
        <f t="shared" ref="P63" si="870">+P197+P195-(P116-O116)</f>
        <v>37679</v>
      </c>
      <c r="Q63" s="942">
        <f t="shared" ref="Q63" si="871">+Q197+Q195-(Q116-P116)</f>
        <v>1</v>
      </c>
      <c r="R63" s="942">
        <f t="shared" ref="R63" si="872">+R197+R195-(R116-Q116)</f>
        <v>-636.38159999999334</v>
      </c>
      <c r="S63" s="942">
        <f t="shared" ref="S63" si="873">+S197+S195-(S116-R116)</f>
        <v>29882</v>
      </c>
      <c r="T63" s="942">
        <f t="shared" ref="T63" si="874">+T197+T195-(T116-S116)</f>
        <v>30364</v>
      </c>
      <c r="U63" s="942">
        <f t="shared" ref="U63" si="875">+U197+U195-(U116-T116)</f>
        <v>27435</v>
      </c>
      <c r="V63" s="942">
        <f t="shared" ref="V63" si="876">+V197+V195-(V116-U116)</f>
        <v>31464.131000000001</v>
      </c>
      <c r="W63" s="942">
        <f t="shared" ref="W63" si="877">+W197+W195-(W116-V116)</f>
        <v>0</v>
      </c>
      <c r="X63" s="942">
        <f t="shared" ref="X63" si="878">+X197+X195-(X116-W116)</f>
        <v>43539</v>
      </c>
      <c r="Y63" s="942">
        <f t="shared" ref="Y63" si="879">+Y197+Y195-(Y116-X116)</f>
        <v>0</v>
      </c>
      <c r="Z63" s="942">
        <f t="shared" ref="Z63" si="880">+Z197+Z195-(Z116-Y116)</f>
        <v>-89247.716799999995</v>
      </c>
      <c r="AA63" s="942">
        <f t="shared" ref="AA63" si="881">+AA197+AA195-(AA116-Z116)</f>
        <v>142452</v>
      </c>
      <c r="AB63" s="942">
        <f t="shared" ref="AB63" si="882">+AB197+AB195-(AB116-AA116)</f>
        <v>0</v>
      </c>
      <c r="AC63" s="942">
        <f t="shared" ref="AC63" si="883">+AC197+AC195-(AC116-AB116)</f>
        <v>0</v>
      </c>
      <c r="AD63" s="942">
        <f t="shared" ref="AD63" si="884">+AD197+AD195-(AD116-AC116)</f>
        <v>85804</v>
      </c>
      <c r="AE63" s="942">
        <f t="shared" ref="AE63" si="885">+AE197+AE195-(AE116-AD116)</f>
        <v>2889.5624000000025</v>
      </c>
      <c r="AF63" s="942">
        <f t="shared" ref="AF63" si="886">+AF197+AF195-(AF116-AE116)</f>
        <v>88088.052648372686</v>
      </c>
      <c r="AG63" s="942">
        <f t="shared" ref="AG63" si="887">+AG197+AG195-(AG116-AF116)</f>
        <v>4166.3816209317156</v>
      </c>
      <c r="AH63" s="942">
        <f t="shared" ref="AH63" si="888">+AH197+AH195-(AH116-AG116)</f>
        <v>170439.60912571792</v>
      </c>
      <c r="AI63" s="942">
        <f t="shared" ref="AI63" si="889">+AI197+AI195-(AI116-AH116)</f>
        <v>2680.3220399999991</v>
      </c>
      <c r="AJ63" s="942">
        <f t="shared" ref="AJ63" si="890">+AJ197+AJ195-(AJ116-AI116)</f>
        <v>89890.860889999996</v>
      </c>
      <c r="AK63" s="942">
        <f t="shared" ref="AK63" si="891">+AK197+AK195-(AK116-AJ116)</f>
        <v>2729.9398599999986</v>
      </c>
      <c r="AL63" s="942">
        <f t="shared" ref="AL63" si="892">+AL197+AL195-(AL116-AK116)</f>
        <v>173345.77548131885</v>
      </c>
      <c r="AM63" s="942">
        <f t="shared" ref="AM63" si="893">+AM197+AM195-(AM116-AL116)</f>
        <v>2487.3722612210149</v>
      </c>
      <c r="AN63" s="942">
        <f t="shared" ref="AN63" si="894">+AN197+AN195-(AN116-AM116)</f>
        <v>97626.334077855776</v>
      </c>
      <c r="AO63" s="942">
        <f t="shared" ref="AO63" si="895">+AO197+AO195-(AO116-AN116)</f>
        <v>2764.7388853435423</v>
      </c>
      <c r="AP63" s="942">
        <f t="shared" ref="AP63" si="896">+AP197+AP195-(AP116-AO116)</f>
        <v>55208.535121050008</v>
      </c>
      <c r="AQ63" s="942">
        <f t="shared" ref="AQ63" si="897">+AQ197+AQ195-(AQ116-AP116)</f>
        <v>2325.9018834999988</v>
      </c>
      <c r="AR63" s="942">
        <f t="shared" ref="AR63" si="898">+AR197+AR195-(AR116-AQ116)</f>
        <v>104648.354938</v>
      </c>
      <c r="AS63" s="942">
        <f t="shared" ref="AS63" si="899">+AS197+AS195-(AS116-AR116)</f>
        <v>2380.5764520000012</v>
      </c>
      <c r="AT63" s="942">
        <f t="shared" ref="AT63" si="900">+AT197+AT195-(AT116-AS116)</f>
        <v>-58788.581250499992</v>
      </c>
      <c r="AU63" s="942">
        <f t="shared" ref="AU63" si="901">+AU197+AU195-(AU116-AT116)</f>
        <v>3288.3047399999996</v>
      </c>
      <c r="AV63" s="942">
        <f t="shared" ref="AV63" si="902">+AV197+AV195-(AV116-AU116)</f>
        <v>127054.33326</v>
      </c>
      <c r="AW63" s="942">
        <f t="shared" ref="AW63" si="903">+AW197+AW195-(AW116-AV116)</f>
        <v>4029.2526599999001</v>
      </c>
      <c r="AX63" s="942">
        <f t="shared" ref="AX63" si="904">+AX197+AX195-(AX116-AW116)</f>
        <v>-44955.174530000004</v>
      </c>
      <c r="AY63" s="942">
        <f t="shared" ref="AY63" si="905">+AY197+AY195-(AY116-AX116)</f>
        <v>5611.440340000001</v>
      </c>
      <c r="AZ63" s="942">
        <f t="shared" ref="AZ63" si="906">+AZ197+AZ195-(AZ116-AY116)</f>
        <v>152838.5442</v>
      </c>
      <c r="BA63" s="942">
        <f t="shared" ref="BA63" si="907">+BA197+BA195-(BA116-AZ116)</f>
        <v>6025.7046199999968</v>
      </c>
      <c r="BB63" s="942">
        <f t="shared" ref="BB63" si="908">+BB197+BB195-(BB116-BA116)</f>
        <v>59.171750000001339</v>
      </c>
      <c r="BC63" s="942">
        <f t="shared" ref="BC63" si="909">+BC197+BC195-(BC116-BB116)</f>
        <v>6666.9057299999986</v>
      </c>
      <c r="BD63" s="942">
        <f t="shared" ref="BD63" si="910">+BD197+BD195-(BD116-BC116)</f>
        <v>162253.60010000001</v>
      </c>
      <c r="BE63" s="942">
        <f t="shared" ref="BE63" si="911">+BE197+BE195-(BE116-BD116)</f>
        <v>6986.3164299999989</v>
      </c>
      <c r="BF63" s="942">
        <f t="shared" ref="BF63" si="912">+BF197+BF195-(BF116-BE116)</f>
        <v>-3230.064910000001</v>
      </c>
      <c r="BG63" s="942">
        <f t="shared" ref="BG63" si="913">+BG197+BG195-(BG116-BF116)</f>
        <v>103156.86465</v>
      </c>
      <c r="BH63" s="942">
        <f t="shared" ref="BH63" si="914">+BH197+BH195-(BH116-BG116)</f>
        <v>186903.62398</v>
      </c>
      <c r="BI63" s="942">
        <f t="shared" ref="BI63" si="915">+BI197+BI195-(BI116-BH116)</f>
        <v>7582.9405100000004</v>
      </c>
      <c r="BJ63" s="942">
        <f t="shared" ref="BJ63" si="916">+BJ197+BJ195-(BJ116-BI116)</f>
        <v>-37786.067499999997</v>
      </c>
      <c r="BK63" s="942">
        <f t="shared" ref="BK63" si="917">+BK197+BK195-(BK116-BJ116)</f>
        <v>191108.29447000002</v>
      </c>
      <c r="BL63" s="942">
        <f t="shared" ref="BL63" si="918">+BL197+BL195-(BL116-BK116)</f>
        <v>250200.33971</v>
      </c>
      <c r="BM63" s="942">
        <f t="shared" ref="BM63" si="919">+BM197+BM195-(BM116-BL116)</f>
        <v>6987.9972800000032</v>
      </c>
      <c r="BN63" s="942">
        <f t="shared" ref="BN63" si="920">+BN197+BN195-(BN116-BM116)</f>
        <v>-14078.40724</v>
      </c>
      <c r="BO63" s="942">
        <f t="shared" ref="BO63" si="921">+BO197+BO195-(BO116-BN116)</f>
        <v>22515.677509999994</v>
      </c>
      <c r="BP63" s="942">
        <f t="shared" ref="BP63" si="922">+BP197+BP195-(BP116-BO116)</f>
        <v>249283</v>
      </c>
      <c r="BQ63" s="942">
        <f t="shared" ref="BQ63" si="923">+BQ197+BQ195-(BQ116-BP116)</f>
        <v>7164</v>
      </c>
      <c r="BR63" s="942">
        <f t="shared" ref="BR63" si="924">+BR197+BR195-(BR116-BQ116)</f>
        <v>-25694.142090000001</v>
      </c>
      <c r="BS63" s="942">
        <f t="shared" ref="BS63" si="925">+BS197+BS195-(BS116-BR116)</f>
        <v>37582.271999999997</v>
      </c>
      <c r="BT63" s="942">
        <f t="shared" ref="BT63" si="926">+BT197+BT195-(BT116-BS116)</f>
        <v>255209.54295999999</v>
      </c>
      <c r="BU63" s="942">
        <f t="shared" ref="BU63" si="927">+BU197+BU195-(BU116-BT116)</f>
        <v>11919.899999999994</v>
      </c>
      <c r="BV63" s="942">
        <f t="shared" ref="BV63" si="928">+BV197+BV195-(BV116-BU116)</f>
        <v>6755</v>
      </c>
      <c r="BW63" s="942">
        <f t="shared" ref="BW63" si="929">+BW197+BW195-(BW116-BV116)</f>
        <v>14755</v>
      </c>
      <c r="BX63" s="942">
        <f t="shared" ref="BX63" si="930">+BX197+BX195-(BX116-BW116)</f>
        <v>370364.85693000001</v>
      </c>
      <c r="BY63" s="942">
        <f t="shared" ref="BY63" si="931">+BY197+BY195-(BY116-BX116)</f>
        <v>286752.28865</v>
      </c>
      <c r="BZ63" s="942">
        <f t="shared" ref="BZ63" si="932">+BZ197+BZ195-(BZ116-BY116)</f>
        <v>169010</v>
      </c>
      <c r="CA63" s="942">
        <f t="shared" ref="CA63" si="933">+CA197+CA195-(CA116-BZ116)</f>
        <v>178659.45462999999</v>
      </c>
      <c r="CB63" s="942">
        <f t="shared" ref="CB63" si="934">+CB197+CB195-(CB116-CA116)</f>
        <v>22666.476540000003</v>
      </c>
      <c r="CC63" s="942">
        <f t="shared" ref="CC63" si="935">+CC197+CC195-(CC116-CB116)</f>
        <v>19416.614020000008</v>
      </c>
      <c r="CD63" s="942">
        <f t="shared" ref="CD63:CE63" si="936">+CD197+CD195-(CD116-CC116)</f>
        <v>324367.62891999999</v>
      </c>
      <c r="CE63" s="942">
        <f t="shared" si="936"/>
        <v>314837.29027999996</v>
      </c>
      <c r="CF63" s="942">
        <f t="shared" ref="CF63" si="937">+CF197+CF195-(CF116-CE116)</f>
        <v>144388.29034000001</v>
      </c>
      <c r="CG63" s="942">
        <f t="shared" ref="CG63:CK63" si="938">+CG197+CG195-(CG116-CF116)</f>
        <v>149841.82858</v>
      </c>
      <c r="CH63" s="942">
        <f t="shared" si="938"/>
        <v>151859.05903999999</v>
      </c>
      <c r="CI63" s="942">
        <f t="shared" si="938"/>
        <v>180463.72544000001</v>
      </c>
      <c r="CJ63" s="942">
        <f t="shared" si="938"/>
        <v>204410.95053</v>
      </c>
      <c r="CK63" s="942">
        <f t="shared" si="938"/>
        <v>204404.57186000003</v>
      </c>
      <c r="CL63" s="941">
        <f t="shared" ref="CL63" si="939">+CL197+CL195-(CL116-CK116)</f>
        <v>387832.12064944225</v>
      </c>
      <c r="CM63" s="941">
        <f t="shared" ref="CM63" si="940">+CM197+CM195-(CM116-CL116)</f>
        <v>195980.12064944225</v>
      </c>
      <c r="CN63" s="941">
        <f t="shared" ref="CN63" si="941">+CN197+CN195-(CN116-CM116)</f>
        <v>195980.12064944225</v>
      </c>
      <c r="CO63" s="941">
        <f t="shared" ref="CO63" si="942">+CO197+CO195-(CO116-CN116)</f>
        <v>195980.12064944225</v>
      </c>
      <c r="CP63" s="941">
        <f t="shared" ref="CP63" si="943">+CP197+CP195-(CP116-CO116)</f>
        <v>195980.12064944225</v>
      </c>
      <c r="CQ63" s="941"/>
      <c r="CR63" s="941">
        <v>387832.12064944225</v>
      </c>
      <c r="CT63" s="589"/>
      <c r="CU63" s="942"/>
      <c r="CV63" s="942"/>
      <c r="CW63" s="942"/>
      <c r="CX63" s="592">
        <f t="shared" si="843"/>
        <v>68612.618400000007</v>
      </c>
      <c r="CY63" s="942">
        <f t="shared" si="844"/>
        <v>119145.13099999999</v>
      </c>
      <c r="CZ63" s="942">
        <f t="shared" si="845"/>
        <v>-45708.716799999995</v>
      </c>
      <c r="DA63" s="942">
        <f t="shared" si="846"/>
        <v>228256</v>
      </c>
      <c r="DB63" s="942">
        <f t="shared" si="847"/>
        <v>265583.60579502233</v>
      </c>
      <c r="DC63" s="939">
        <f t="shared" si="848"/>
        <v>268646.89827131887</v>
      </c>
      <c r="DD63" s="939">
        <f t="shared" si="849"/>
        <v>158086.98034547034</v>
      </c>
      <c r="DE63" s="939">
        <f t="shared" ref="DE63:DR63" si="944">+DE197+DE195-(DE116-DD116)</f>
        <v>50566.252023000008</v>
      </c>
      <c r="DF63" s="939">
        <f t="shared" si="944"/>
        <v>89416.716129999899</v>
      </c>
      <c r="DG63" s="939">
        <f t="shared" si="944"/>
        <v>164534.86091000002</v>
      </c>
      <c r="DH63" s="939">
        <f t="shared" si="944"/>
        <v>172676.75735000003</v>
      </c>
      <c r="DI63" s="939">
        <f t="shared" si="944"/>
        <v>163610.55368000001</v>
      </c>
      <c r="DJ63" s="939">
        <f t="shared" si="944"/>
        <v>434218.22421999997</v>
      </c>
      <c r="DK63" s="939">
        <f t="shared" si="944"/>
        <v>253268.53541999997</v>
      </c>
      <c r="DL63" s="939">
        <f t="shared" si="944"/>
        <v>311466.71496000001</v>
      </c>
      <c r="DM63" s="939">
        <f t="shared" si="944"/>
        <v>1166096.30058</v>
      </c>
      <c r="DN63" s="939">
        <f t="shared" si="944"/>
        <v>545110.17411000002</v>
      </c>
      <c r="DO63" s="939">
        <f t="shared" si="944"/>
        <v>760926.46823999996</v>
      </c>
      <c r="DP63" s="939">
        <f t="shared" si="944"/>
        <v>977111.36847944232</v>
      </c>
      <c r="DQ63" s="939">
        <f t="shared" si="944"/>
        <v>783920.48259776901</v>
      </c>
      <c r="DR63" s="813">
        <f t="shared" si="944"/>
        <v>806181.66477265593</v>
      </c>
      <c r="DS63" s="813">
        <f t="shared" ref="DS63" si="945">+DS197+DS195-(DS116-DR116)</f>
        <v>871862.73891308962</v>
      </c>
      <c r="DT63" s="813">
        <f t="shared" ref="DT63" si="946">+DT197+DT195-(DT116-DS116)</f>
        <v>944784.86776817031</v>
      </c>
      <c r="DU63" s="813">
        <f t="shared" ref="DU63" si="947">+DU197+DU195-(DU116-DT116)</f>
        <v>1026051.6041419248</v>
      </c>
      <c r="DX63" s="813">
        <v>746921.72884665674</v>
      </c>
      <c r="DY63" s="813">
        <v>806181.66477265593</v>
      </c>
    </row>
    <row r="64" spans="1:129">
      <c r="A64" s="939"/>
      <c r="B64" s="909" t="s">
        <v>381</v>
      </c>
      <c r="C64" s="593" t="e">
        <f t="shared" ref="C64" si="948">+C111-B111</f>
        <v>#VALUE!</v>
      </c>
      <c r="D64" s="593">
        <f t="shared" ref="D64" si="949">+D111-C111</f>
        <v>63419</v>
      </c>
      <c r="E64" s="593">
        <f t="shared" ref="E64" si="950">+E111-D111</f>
        <v>1418</v>
      </c>
      <c r="F64" s="593">
        <f t="shared" ref="F64" si="951">+F111-E111</f>
        <v>-6544</v>
      </c>
      <c r="G64" s="593">
        <f t="shared" ref="G64" si="952">+G111-F111</f>
        <v>45782</v>
      </c>
      <c r="H64" s="593">
        <f t="shared" ref="H64" si="953">+H111-G111</f>
        <v>-29492</v>
      </c>
      <c r="I64" s="593">
        <f t="shared" ref="I64" si="954">+I111-H111</f>
        <v>13746</v>
      </c>
      <c r="J64" s="593">
        <f t="shared" ref="J64" si="955">+J111-I111</f>
        <v>-25148</v>
      </c>
      <c r="K64" s="593">
        <f t="shared" ref="K64" si="956">+K111-J111</f>
        <v>28618</v>
      </c>
      <c r="L64" s="593">
        <f t="shared" ref="L64" si="957">+L111-K111</f>
        <v>2108</v>
      </c>
      <c r="M64" s="593">
        <f t="shared" ref="M64" si="958">+M111-L111</f>
        <v>158</v>
      </c>
      <c r="N64" s="593">
        <f t="shared" ref="N64" si="959">+N111-M111</f>
        <v>-700</v>
      </c>
      <c r="O64" s="593">
        <f t="shared" ref="O64" si="960">+O111-N111</f>
        <v>7519</v>
      </c>
      <c r="P64" s="593">
        <f t="shared" ref="P64" si="961">+P111-O111</f>
        <v>5304</v>
      </c>
      <c r="Q64" s="593">
        <f t="shared" ref="Q64" si="962">+Q111-P111</f>
        <v>23505</v>
      </c>
      <c r="R64" s="593">
        <f t="shared" ref="R64" si="963">+R111-Q111</f>
        <v>150866</v>
      </c>
      <c r="S64" s="593">
        <f t="shared" ref="S64" si="964">+S111-R111</f>
        <v>-169649</v>
      </c>
      <c r="T64" s="593">
        <f t="shared" ref="T64" si="965">+T111-S111</f>
        <v>24775</v>
      </c>
      <c r="U64" s="593">
        <f t="shared" ref="U64" si="966">+U111-T111</f>
        <v>-5685</v>
      </c>
      <c r="V64" s="593">
        <f t="shared" ref="V64" si="967">+V111-U111</f>
        <v>187909</v>
      </c>
      <c r="W64" s="593">
        <f t="shared" ref="W64" si="968">+W111-V111</f>
        <v>-68305</v>
      </c>
      <c r="X64" s="593">
        <f t="shared" ref="X64" si="969">+X111-W111</f>
        <v>25862</v>
      </c>
      <c r="Y64" s="593">
        <f t="shared" ref="Y64" si="970">+Y111-X111</f>
        <v>2869</v>
      </c>
      <c r="Z64" s="593">
        <f t="shared" ref="Z64" si="971">+Z111-Y111</f>
        <v>104082</v>
      </c>
      <c r="AA64" s="593">
        <f t="shared" ref="AA64" si="972">+AA111-Z111</f>
        <v>-504</v>
      </c>
      <c r="AB64" s="593">
        <f t="shared" ref="AB64" si="973">+AB111-AA111</f>
        <v>22416</v>
      </c>
      <c r="AC64" s="593">
        <f t="shared" ref="AC64" si="974">+AC111-AB111</f>
        <v>-15800</v>
      </c>
      <c r="AD64" s="593">
        <f t="shared" ref="AD64" si="975">+AD111-AC111</f>
        <v>-109103</v>
      </c>
      <c r="AE64" s="593">
        <f t="shared" ref="AE64" si="976">+AE111-AD111</f>
        <v>-136839</v>
      </c>
      <c r="AF64" s="593">
        <f t="shared" ref="AF64" si="977">+AF111-AE111</f>
        <v>2874</v>
      </c>
      <c r="AG64" s="593">
        <f t="shared" ref="AG64" si="978">+AG111-AF111</f>
        <v>89439</v>
      </c>
      <c r="AH64" s="593">
        <f t="shared" ref="AH64" si="979">+AH111-AG111</f>
        <v>-62741</v>
      </c>
      <c r="AI64" s="593">
        <f t="shared" ref="AI64" si="980">+AI111-AH111</f>
        <v>91076</v>
      </c>
      <c r="AJ64" s="593">
        <f t="shared" ref="AJ64" si="981">+AJ111-AI111</f>
        <v>40120</v>
      </c>
      <c r="AK64" s="593">
        <f t="shared" ref="AK64" si="982">+AK111-AJ111</f>
        <v>48085</v>
      </c>
      <c r="AL64" s="593">
        <f t="shared" ref="AL64" si="983">+AL111-AK111</f>
        <v>318808</v>
      </c>
      <c r="AM64" s="593">
        <f t="shared" ref="AM64" si="984">+AM111-AL111</f>
        <v>18950</v>
      </c>
      <c r="AN64" s="593">
        <f t="shared" ref="AN64" si="985">+AN111-AM111</f>
        <v>113640</v>
      </c>
      <c r="AO64" s="593">
        <f t="shared" ref="AO64" si="986">+AO111-AN111</f>
        <v>25815</v>
      </c>
      <c r="AP64" s="593">
        <f t="shared" ref="AP64" si="987">+AP111-AO111</f>
        <v>-93054</v>
      </c>
      <c r="AQ64" s="593">
        <f t="shared" ref="AQ64" si="988">+AQ111-AP111</f>
        <v>26460</v>
      </c>
      <c r="AR64" s="593">
        <f t="shared" ref="AR64" si="989">+AR111-AQ111</f>
        <v>-339325</v>
      </c>
      <c r="AS64" s="593">
        <f t="shared" ref="AS64" si="990">+AS111-AR111</f>
        <v>61726</v>
      </c>
      <c r="AT64" s="593">
        <f t="shared" ref="AT64" si="991">+AT111-AS111</f>
        <v>75077</v>
      </c>
      <c r="AU64" s="593">
        <f t="shared" ref="AU64" si="992">+AU111-AT111</f>
        <v>30295</v>
      </c>
      <c r="AV64" s="593">
        <f t="shared" ref="AV64" si="993">+AV111-AU111</f>
        <v>131895</v>
      </c>
      <c r="AW64" s="593">
        <f t="shared" ref="AW64" si="994">+AW111-AV111</f>
        <v>6543</v>
      </c>
      <c r="AX64" s="593">
        <f t="shared" ref="AX64" si="995">+AX111-AW111</f>
        <v>-21681</v>
      </c>
      <c r="AY64" s="593">
        <f t="shared" ref="AY64" si="996">+AY111-AX111</f>
        <v>110067</v>
      </c>
      <c r="AZ64" s="593">
        <f t="shared" ref="AZ64" si="997">+AZ111-AY111</f>
        <v>145870</v>
      </c>
      <c r="BA64" s="593">
        <f t="shared" ref="BA64" si="998">+BA111-AZ111</f>
        <v>45047</v>
      </c>
      <c r="BB64" s="593">
        <f t="shared" ref="BB64" si="999">+BB111-BA111</f>
        <v>-11402</v>
      </c>
      <c r="BC64" s="593">
        <f t="shared" ref="BC64" si="1000">+BC111-BB111</f>
        <v>-114237</v>
      </c>
      <c r="BD64" s="593">
        <f t="shared" ref="BD64" si="1001">+BD111-BC111</f>
        <v>182664</v>
      </c>
      <c r="BE64" s="593">
        <f t="shared" ref="BE64" si="1002">+BE111-BD111</f>
        <v>-499774</v>
      </c>
      <c r="BF64" s="593">
        <f t="shared" ref="BF64" si="1003">+BF111-BE111</f>
        <v>-47985</v>
      </c>
      <c r="BG64" s="593">
        <f t="shared" ref="BG64" si="1004">+BG111-BF111</f>
        <v>8636</v>
      </c>
      <c r="BH64" s="593">
        <f t="shared" ref="BH64" si="1005">+BH111-BG111</f>
        <v>529928</v>
      </c>
      <c r="BI64" s="593">
        <f t="shared" ref="BI64" si="1006">+BI111-BH111</f>
        <v>69261</v>
      </c>
      <c r="BJ64" s="593">
        <f t="shared" ref="BJ64" si="1007">+BJ111-BI111</f>
        <v>299171</v>
      </c>
      <c r="BK64" s="593">
        <f t="shared" ref="BK64" si="1008">+BK111-BJ111</f>
        <v>-466109</v>
      </c>
      <c r="BL64" s="593">
        <f t="shared" ref="BL64" si="1009">+BL111-BK111</f>
        <v>-209132</v>
      </c>
      <c r="BM64" s="593">
        <f t="shared" ref="BM64" si="1010">+BM111-BL111</f>
        <v>-240447</v>
      </c>
      <c r="BN64" s="593">
        <f t="shared" ref="BN64" si="1011">+BN111-BM111</f>
        <v>200875</v>
      </c>
      <c r="BO64" s="593">
        <f t="shared" ref="BO64" si="1012">+BO111-BN111</f>
        <v>548264</v>
      </c>
      <c r="BP64" s="593">
        <f t="shared" ref="BP64" si="1013">+BP111-BO111</f>
        <v>440822</v>
      </c>
      <c r="BQ64" s="593">
        <f t="shared" ref="BQ64" si="1014">+BQ111-BP111</f>
        <v>-439081</v>
      </c>
      <c r="BR64" s="593">
        <f t="shared" ref="BR64" si="1015">+BR111-BQ111</f>
        <v>-181946</v>
      </c>
      <c r="BS64" s="593">
        <f t="shared" ref="BS64" si="1016">+BS111-BR111</f>
        <v>-533206</v>
      </c>
      <c r="BT64" s="593">
        <f t="shared" ref="BT64" si="1017">+BT111-BS111</f>
        <v>-220084</v>
      </c>
      <c r="BU64" s="593">
        <f t="shared" ref="BU64" si="1018">+BU111-BT111</f>
        <v>164493</v>
      </c>
      <c r="BV64" s="593">
        <f t="shared" ref="BV64" si="1019">+BV111-BU111</f>
        <v>1122168</v>
      </c>
      <c r="BW64" s="593">
        <f t="shared" ref="BW64" si="1020">+BW111-BV111</f>
        <v>21683</v>
      </c>
      <c r="BX64" s="593">
        <f t="shared" ref="BX64" si="1021">+BX111-BW111</f>
        <v>-297042</v>
      </c>
      <c r="BY64" s="593">
        <f t="shared" ref="BY64" si="1022">+BY111-BX111</f>
        <v>-139891</v>
      </c>
      <c r="BZ64" s="593">
        <f t="shared" ref="BZ64" si="1023">+BZ111-BY111</f>
        <v>-1072378</v>
      </c>
      <c r="CA64" s="593">
        <f t="shared" ref="CA64" si="1024">+CA111-BZ111</f>
        <v>462626</v>
      </c>
      <c r="CB64" s="593">
        <f t="shared" ref="CB64" si="1025">+CB111-CA111</f>
        <v>33852</v>
      </c>
      <c r="CC64" s="593">
        <f t="shared" ref="CC64" si="1026">+CC111-CB111</f>
        <v>12210</v>
      </c>
      <c r="CD64" s="593">
        <f t="shared" ref="CD64:CE64" si="1027">+CD111-CC111</f>
        <v>-29558</v>
      </c>
      <c r="CE64" s="593">
        <f t="shared" si="1027"/>
        <v>-43901</v>
      </c>
      <c r="CF64" s="593">
        <f t="shared" ref="CF64" si="1028">+CF111-CE111</f>
        <v>15897</v>
      </c>
      <c r="CG64" s="593">
        <f t="shared" ref="CG64:CK64" si="1029">+CG111-CF111</f>
        <v>-67233</v>
      </c>
      <c r="CH64" s="593">
        <f t="shared" si="1029"/>
        <v>15723</v>
      </c>
      <c r="CI64" s="593">
        <f t="shared" si="1029"/>
        <v>-522440</v>
      </c>
      <c r="CJ64" s="593">
        <f t="shared" si="1029"/>
        <v>0</v>
      </c>
      <c r="CK64" s="593">
        <f t="shared" si="1029"/>
        <v>0</v>
      </c>
      <c r="CL64" s="962"/>
      <c r="CM64" s="962"/>
      <c r="CN64" s="962"/>
      <c r="CO64" s="962"/>
      <c r="CP64" s="962"/>
      <c r="CQ64" s="962"/>
      <c r="CR64" s="962"/>
      <c r="CT64" s="589"/>
      <c r="CU64" s="963"/>
      <c r="CV64" s="963"/>
      <c r="CW64" s="963"/>
      <c r="CX64" s="899">
        <f t="shared" si="843"/>
        <v>187194</v>
      </c>
      <c r="CY64" s="964">
        <f t="shared" si="844"/>
        <v>37350</v>
      </c>
      <c r="CZ64" s="964">
        <f t="shared" si="845"/>
        <v>64508</v>
      </c>
      <c r="DA64" s="964">
        <f t="shared" si="846"/>
        <v>-102991</v>
      </c>
      <c r="DB64" s="964">
        <f t="shared" si="847"/>
        <v>-107267</v>
      </c>
      <c r="DC64" s="965">
        <f t="shared" si="848"/>
        <v>498089</v>
      </c>
      <c r="DD64" s="965">
        <f t="shared" si="849"/>
        <v>65351</v>
      </c>
      <c r="DE64" s="965">
        <f t="shared" ref="DE64:DQ64" si="1030">+DE111-DD111</f>
        <v>-176062</v>
      </c>
      <c r="DF64" s="965">
        <f t="shared" si="1030"/>
        <v>147052</v>
      </c>
      <c r="DG64" s="965">
        <f t="shared" si="1030"/>
        <v>289582</v>
      </c>
      <c r="DH64" s="965">
        <f t="shared" si="1030"/>
        <v>-479332</v>
      </c>
      <c r="DI64" s="965">
        <f t="shared" si="1030"/>
        <v>906996</v>
      </c>
      <c r="DJ64" s="965">
        <f t="shared" si="1030"/>
        <v>-714813</v>
      </c>
      <c r="DK64" s="965">
        <f t="shared" si="1030"/>
        <v>368059</v>
      </c>
      <c r="DL64" s="965">
        <f t="shared" si="1030"/>
        <v>533371</v>
      </c>
      <c r="DM64" s="965">
        <f t="shared" si="1030"/>
        <v>-1487628</v>
      </c>
      <c r="DN64" s="965">
        <f t="shared" si="1030"/>
        <v>479130</v>
      </c>
      <c r="DO64" s="965">
        <f t="shared" si="1030"/>
        <v>-79514</v>
      </c>
      <c r="DP64" s="965">
        <f t="shared" si="1030"/>
        <v>-522440</v>
      </c>
      <c r="DQ64" s="965">
        <f t="shared" si="1030"/>
        <v>0</v>
      </c>
      <c r="DR64" s="962"/>
      <c r="DS64" s="962"/>
      <c r="DT64" s="962"/>
      <c r="DU64" s="962"/>
      <c r="DX64" s="962"/>
      <c r="DY64" s="962"/>
    </row>
    <row r="65" spans="1:129" s="904" customFormat="1">
      <c r="A65" s="939"/>
      <c r="B65" s="908" t="s">
        <v>382</v>
      </c>
      <c r="C65" s="592" t="e">
        <f t="shared" ref="C65:BN65" si="1031">+C120-B120</f>
        <v>#VALUE!</v>
      </c>
      <c r="D65" s="592">
        <f t="shared" si="1031"/>
        <v>248600</v>
      </c>
      <c r="E65" s="592">
        <f t="shared" si="1031"/>
        <v>-19912</v>
      </c>
      <c r="F65" s="592">
        <f t="shared" si="1031"/>
        <v>-16336</v>
      </c>
      <c r="G65" s="592">
        <f t="shared" si="1031"/>
        <v>944</v>
      </c>
      <c r="H65" s="592">
        <f t="shared" si="1031"/>
        <v>-25264</v>
      </c>
      <c r="I65" s="592">
        <f t="shared" si="1031"/>
        <v>-188032</v>
      </c>
      <c r="J65" s="592">
        <f t="shared" si="1031"/>
        <v>0</v>
      </c>
      <c r="K65" s="592">
        <f t="shared" si="1031"/>
        <v>0</v>
      </c>
      <c r="L65" s="592">
        <f t="shared" si="1031"/>
        <v>0</v>
      </c>
      <c r="M65" s="592">
        <f t="shared" si="1031"/>
        <v>0</v>
      </c>
      <c r="N65" s="592">
        <f t="shared" si="1031"/>
        <v>0</v>
      </c>
      <c r="O65" s="592">
        <f t="shared" si="1031"/>
        <v>0</v>
      </c>
      <c r="P65" s="592">
        <f t="shared" si="1031"/>
        <v>0</v>
      </c>
      <c r="Q65" s="592">
        <f t="shared" si="1031"/>
        <v>0</v>
      </c>
      <c r="R65" s="592">
        <f t="shared" si="1031"/>
        <v>0</v>
      </c>
      <c r="S65" s="592">
        <f t="shared" si="1031"/>
        <v>0</v>
      </c>
      <c r="T65" s="592">
        <f t="shared" si="1031"/>
        <v>29740</v>
      </c>
      <c r="U65" s="592">
        <f t="shared" si="1031"/>
        <v>0</v>
      </c>
      <c r="V65" s="592">
        <f t="shared" si="1031"/>
        <v>-79</v>
      </c>
      <c r="W65" s="592">
        <f t="shared" si="1031"/>
        <v>-1483</v>
      </c>
      <c r="X65" s="592">
        <f t="shared" si="1031"/>
        <v>11502</v>
      </c>
      <c r="Y65" s="592">
        <f t="shared" si="1031"/>
        <v>-2204</v>
      </c>
      <c r="Z65" s="592">
        <f t="shared" si="1031"/>
        <v>-2205</v>
      </c>
      <c r="AA65" s="592">
        <f t="shared" si="1031"/>
        <v>-2204</v>
      </c>
      <c r="AB65" s="592">
        <f t="shared" si="1031"/>
        <v>-2205</v>
      </c>
      <c r="AC65" s="592">
        <f t="shared" si="1031"/>
        <v>-2204</v>
      </c>
      <c r="AD65" s="592">
        <f t="shared" si="1031"/>
        <v>7757</v>
      </c>
      <c r="AE65" s="592">
        <f t="shared" si="1031"/>
        <v>-3035</v>
      </c>
      <c r="AF65" s="592">
        <f t="shared" si="1031"/>
        <v>-3035</v>
      </c>
      <c r="AG65" s="592">
        <f t="shared" si="1031"/>
        <v>294921</v>
      </c>
      <c r="AH65" s="592">
        <f t="shared" si="1031"/>
        <v>-2933</v>
      </c>
      <c r="AI65" s="592">
        <f t="shared" si="1031"/>
        <v>-2932</v>
      </c>
      <c r="AJ65" s="592">
        <f t="shared" si="1031"/>
        <v>-2933</v>
      </c>
      <c r="AK65" s="592">
        <f t="shared" si="1031"/>
        <v>320267</v>
      </c>
      <c r="AL65" s="592">
        <f t="shared" si="1031"/>
        <v>8424</v>
      </c>
      <c r="AM65" s="592">
        <f t="shared" si="1031"/>
        <v>-6953</v>
      </c>
      <c r="AN65" s="592">
        <f t="shared" si="1031"/>
        <v>-2224</v>
      </c>
      <c r="AO65" s="592">
        <f t="shared" si="1031"/>
        <v>408769</v>
      </c>
      <c r="AP65" s="592">
        <f t="shared" si="1031"/>
        <v>2095</v>
      </c>
      <c r="AQ65" s="592">
        <f t="shared" si="1031"/>
        <v>2944</v>
      </c>
      <c r="AR65" s="592">
        <f t="shared" si="1031"/>
        <v>433537</v>
      </c>
      <c r="AS65" s="592">
        <f t="shared" si="1031"/>
        <v>-136499</v>
      </c>
      <c r="AT65" s="592">
        <f t="shared" si="1031"/>
        <v>48641</v>
      </c>
      <c r="AU65" s="592">
        <f t="shared" si="1031"/>
        <v>13558</v>
      </c>
      <c r="AV65" s="592">
        <f t="shared" si="1031"/>
        <v>-75156</v>
      </c>
      <c r="AW65" s="592">
        <f t="shared" si="1031"/>
        <v>-135601</v>
      </c>
      <c r="AX65" s="592">
        <f t="shared" si="1031"/>
        <v>-1847</v>
      </c>
      <c r="AY65" s="592">
        <f t="shared" si="1031"/>
        <v>-21</v>
      </c>
      <c r="AZ65" s="592">
        <f t="shared" si="1031"/>
        <v>-77895</v>
      </c>
      <c r="BA65" s="592">
        <f t="shared" si="1031"/>
        <v>-235940</v>
      </c>
      <c r="BB65" s="592">
        <f t="shared" si="1031"/>
        <v>-2818</v>
      </c>
      <c r="BC65" s="592">
        <f t="shared" si="1031"/>
        <v>318634</v>
      </c>
      <c r="BD65" s="592">
        <f t="shared" si="1031"/>
        <v>-114550</v>
      </c>
      <c r="BE65" s="592">
        <f t="shared" si="1031"/>
        <v>124045</v>
      </c>
      <c r="BF65" s="592">
        <f t="shared" si="1031"/>
        <v>146099</v>
      </c>
      <c r="BG65" s="592">
        <f t="shared" si="1031"/>
        <v>-6198</v>
      </c>
      <c r="BH65" s="592">
        <f t="shared" si="1031"/>
        <v>-476880</v>
      </c>
      <c r="BI65" s="592">
        <f t="shared" si="1031"/>
        <v>-207739</v>
      </c>
      <c r="BJ65" s="592">
        <f t="shared" si="1031"/>
        <v>-163407</v>
      </c>
      <c r="BK65" s="592">
        <f t="shared" si="1031"/>
        <v>-438326</v>
      </c>
      <c r="BL65" s="592">
        <f t="shared" si="1031"/>
        <v>384780</v>
      </c>
      <c r="BM65" s="592">
        <f t="shared" si="1031"/>
        <v>-984</v>
      </c>
      <c r="BN65" s="592">
        <f t="shared" si="1031"/>
        <v>-582</v>
      </c>
      <c r="BO65" s="592">
        <f t="shared" ref="BO65:CF65" si="1032">+BO120-BN120</f>
        <v>-38666</v>
      </c>
      <c r="BP65" s="592">
        <f t="shared" si="1032"/>
        <v>493726</v>
      </c>
      <c r="BQ65" s="592">
        <f t="shared" si="1032"/>
        <v>150004</v>
      </c>
      <c r="BR65" s="592">
        <f t="shared" si="1032"/>
        <v>496228</v>
      </c>
      <c r="BS65" s="592">
        <f t="shared" si="1032"/>
        <v>997714</v>
      </c>
      <c r="BT65" s="592">
        <f t="shared" si="1032"/>
        <v>-296837</v>
      </c>
      <c r="BU65" s="592">
        <f t="shared" si="1032"/>
        <v>-149021</v>
      </c>
      <c r="BV65" s="592">
        <f t="shared" si="1032"/>
        <v>-1043762</v>
      </c>
      <c r="BW65" s="592">
        <f t="shared" si="1032"/>
        <v>1524</v>
      </c>
      <c r="BX65" s="592">
        <f t="shared" si="1032"/>
        <v>-2174</v>
      </c>
      <c r="BY65" s="592">
        <f t="shared" si="1032"/>
        <v>47670</v>
      </c>
      <c r="BZ65" s="592">
        <f t="shared" si="1032"/>
        <v>-54728</v>
      </c>
      <c r="CA65" s="592">
        <f t="shared" si="1032"/>
        <v>-501325</v>
      </c>
      <c r="CB65" s="592">
        <f t="shared" si="1032"/>
        <v>1573</v>
      </c>
      <c r="CC65" s="592">
        <f t="shared" si="1032"/>
        <v>-46763</v>
      </c>
      <c r="CD65" s="592">
        <f t="shared" si="1032"/>
        <v>117</v>
      </c>
      <c r="CE65" s="592">
        <f t="shared" si="1032"/>
        <v>-499921</v>
      </c>
      <c r="CF65" s="592">
        <f t="shared" si="1032"/>
        <v>0</v>
      </c>
      <c r="CG65" s="592">
        <f>+CG120-CF120</f>
        <v>0</v>
      </c>
      <c r="CH65" s="592">
        <f>+CH120-CG120</f>
        <v>0</v>
      </c>
      <c r="CI65" s="592">
        <f>+CI120-CH120</f>
        <v>0</v>
      </c>
      <c r="CJ65" s="592">
        <f>+CJ120-CI120</f>
        <v>0</v>
      </c>
      <c r="CK65" s="592">
        <f>+CK120-CJ120</f>
        <v>0</v>
      </c>
      <c r="CL65" s="962"/>
      <c r="CM65" s="962"/>
      <c r="CN65" s="962"/>
      <c r="CO65" s="962"/>
      <c r="CP65" s="962"/>
      <c r="CQ65" s="962"/>
      <c r="CR65" s="962"/>
      <c r="CT65" s="589"/>
      <c r="CU65" s="592"/>
      <c r="CV65" s="592"/>
      <c r="CW65" s="592"/>
      <c r="CX65" s="592">
        <f t="shared" si="843"/>
        <v>0</v>
      </c>
      <c r="CY65" s="942">
        <f t="shared" si="844"/>
        <v>29661</v>
      </c>
      <c r="CZ65" s="942">
        <f t="shared" si="845"/>
        <v>5610</v>
      </c>
      <c r="DA65" s="942">
        <f t="shared" si="846"/>
        <v>1144</v>
      </c>
      <c r="DB65" s="942">
        <f t="shared" si="847"/>
        <v>285918</v>
      </c>
      <c r="DC65" s="939">
        <f t="shared" si="848"/>
        <v>322826</v>
      </c>
      <c r="DD65" s="939">
        <f t="shared" si="849"/>
        <v>401687</v>
      </c>
      <c r="DE65" s="939">
        <f t="shared" ref="DE65" si="1033">+DE321-DD321</f>
        <v>143318</v>
      </c>
      <c r="DF65" s="592">
        <f t="shared" ref="DF65:DQ65" si="1034">+DF120-DE120</f>
        <v>-199046</v>
      </c>
      <c r="DG65" s="592">
        <f t="shared" si="1034"/>
        <v>-316674</v>
      </c>
      <c r="DH65" s="592">
        <f t="shared" si="1034"/>
        <v>474228</v>
      </c>
      <c r="DI65" s="592">
        <f t="shared" si="1034"/>
        <v>-854224</v>
      </c>
      <c r="DJ65" s="592">
        <f t="shared" si="1034"/>
        <v>-55112</v>
      </c>
      <c r="DK65" s="592">
        <f t="shared" si="1034"/>
        <v>1101292</v>
      </c>
      <c r="DL65" s="592">
        <f t="shared" si="1034"/>
        <v>-491906</v>
      </c>
      <c r="DM65" s="592">
        <f t="shared" si="1034"/>
        <v>-7708</v>
      </c>
      <c r="DN65" s="592">
        <f t="shared" si="1034"/>
        <v>-546398</v>
      </c>
      <c r="DO65" s="592">
        <f t="shared" si="1034"/>
        <v>-499921</v>
      </c>
      <c r="DP65" s="592">
        <f t="shared" si="1034"/>
        <v>0</v>
      </c>
      <c r="DQ65" s="592">
        <f t="shared" si="1034"/>
        <v>0</v>
      </c>
      <c r="DR65" s="962"/>
      <c r="DS65" s="962"/>
      <c r="DT65" s="962"/>
      <c r="DU65" s="962"/>
      <c r="DX65" s="962"/>
      <c r="DY65" s="962"/>
    </row>
    <row r="66" spans="1:129" s="904" customFormat="1">
      <c r="A66" s="939"/>
      <c r="B66" s="908" t="s">
        <v>383</v>
      </c>
      <c r="C66" s="961"/>
      <c r="D66" s="961"/>
      <c r="E66" s="961"/>
      <c r="F66" s="961"/>
      <c r="G66" s="961"/>
      <c r="H66" s="961"/>
      <c r="I66" s="961"/>
      <c r="J66" s="961"/>
      <c r="K66" s="961"/>
      <c r="L66" s="961"/>
      <c r="M66" s="961"/>
      <c r="N66" s="961"/>
      <c r="O66" s="961"/>
      <c r="P66" s="961"/>
      <c r="Q66" s="961"/>
      <c r="R66" s="961"/>
      <c r="S66" s="961"/>
      <c r="T66" s="961"/>
      <c r="U66" s="961"/>
      <c r="V66" s="961"/>
      <c r="W66" s="961"/>
      <c r="X66" s="961"/>
      <c r="Y66" s="961"/>
      <c r="Z66" s="961"/>
      <c r="AA66" s="961"/>
      <c r="AB66" s="961"/>
      <c r="AC66" s="961"/>
      <c r="AD66" s="961"/>
      <c r="AE66" s="961"/>
      <c r="AF66" s="961"/>
      <c r="AG66" s="961"/>
      <c r="AH66" s="961"/>
      <c r="AI66" s="961"/>
      <c r="AJ66" s="961"/>
      <c r="AK66" s="961"/>
      <c r="AL66" s="961"/>
      <c r="AM66" s="961"/>
      <c r="AN66" s="961"/>
      <c r="AO66" s="961"/>
      <c r="AP66" s="961"/>
      <c r="AQ66" s="961"/>
      <c r="AR66" s="961"/>
      <c r="AS66" s="961"/>
      <c r="AT66" s="961"/>
      <c r="AU66" s="961"/>
      <c r="AV66" s="961"/>
      <c r="AW66" s="961"/>
      <c r="AX66" s="961"/>
      <c r="AY66" s="961"/>
      <c r="AZ66" s="961"/>
      <c r="BA66" s="961"/>
      <c r="BB66" s="961"/>
      <c r="BC66" s="961"/>
      <c r="BD66" s="961"/>
      <c r="BE66" s="961"/>
      <c r="BF66" s="961"/>
      <c r="BG66" s="961"/>
      <c r="BH66" s="961"/>
      <c r="BI66" s="961"/>
      <c r="BJ66" s="961"/>
      <c r="BK66" s="961"/>
      <c r="BL66" s="961"/>
      <c r="BM66" s="961"/>
      <c r="BN66" s="961"/>
      <c r="BO66" s="961"/>
      <c r="BP66" s="961"/>
      <c r="BQ66" s="961"/>
      <c r="BR66" s="961"/>
      <c r="BS66" s="961"/>
      <c r="BT66" s="1016"/>
      <c r="BU66" s="1016"/>
      <c r="BV66" s="1016"/>
      <c r="BW66" s="1016"/>
      <c r="BX66" s="1016"/>
      <c r="BY66" s="1016"/>
      <c r="BZ66" s="1016"/>
      <c r="CA66" s="1016"/>
      <c r="CB66" s="1016"/>
      <c r="CC66" s="1016"/>
      <c r="CD66" s="1016"/>
      <c r="CE66" s="1016"/>
      <c r="CF66" s="1016"/>
      <c r="CG66" s="1016"/>
      <c r="CH66" s="1016"/>
      <c r="CI66" s="1016"/>
      <c r="CJ66" s="1016"/>
      <c r="CK66" s="1016"/>
      <c r="CL66" s="941"/>
      <c r="CM66" s="941"/>
      <c r="CN66" s="941"/>
      <c r="CO66" s="941"/>
      <c r="CP66" s="941"/>
      <c r="CQ66" s="941"/>
      <c r="CR66" s="941"/>
      <c r="CT66" s="961"/>
      <c r="CU66" s="961"/>
      <c r="CV66" s="961"/>
      <c r="CW66" s="961"/>
      <c r="CX66" s="592">
        <f t="shared" si="843"/>
        <v>0</v>
      </c>
      <c r="CY66" s="942">
        <f t="shared" si="844"/>
        <v>0</v>
      </c>
      <c r="CZ66" s="942">
        <f t="shared" si="845"/>
        <v>0</v>
      </c>
      <c r="DA66" s="942">
        <f t="shared" si="846"/>
        <v>0</v>
      </c>
      <c r="DB66" s="942">
        <f t="shared" si="847"/>
        <v>0</v>
      </c>
      <c r="DC66" s="939">
        <f t="shared" si="848"/>
        <v>0</v>
      </c>
      <c r="DD66" s="939">
        <f t="shared" si="849"/>
        <v>0</v>
      </c>
      <c r="DE66" s="939"/>
      <c r="DF66" s="939"/>
      <c r="DG66" s="939"/>
      <c r="DH66" s="939"/>
      <c r="DI66" s="939"/>
      <c r="DJ66" s="939"/>
      <c r="DK66" s="939"/>
      <c r="DL66" s="939"/>
      <c r="DM66" s="939"/>
      <c r="DN66" s="939"/>
      <c r="DO66" s="939"/>
      <c r="DP66" s="939"/>
      <c r="DQ66" s="939"/>
      <c r="DR66" s="813"/>
      <c r="DS66" s="813"/>
      <c r="DT66" s="813"/>
      <c r="DU66" s="813"/>
      <c r="DX66" s="813"/>
      <c r="DY66" s="813"/>
    </row>
    <row r="67" spans="1:129" s="904" customFormat="1">
      <c r="A67" s="939"/>
      <c r="B67" s="908" t="s">
        <v>384</v>
      </c>
      <c r="C67" s="592" t="e">
        <f t="shared" ref="C67" si="1035">+C91-B91+C97-B97</f>
        <v>#VALUE!</v>
      </c>
      <c r="D67" s="592">
        <f t="shared" ref="D67" si="1036">+D91-C91+D97-C97</f>
        <v>20004</v>
      </c>
      <c r="E67" s="592">
        <f t="shared" ref="E67" si="1037">+E91-D91+E97-D97</f>
        <v>1220</v>
      </c>
      <c r="F67" s="592">
        <f t="shared" ref="F67" si="1038">+F91-E91+F97-E97</f>
        <v>5363</v>
      </c>
      <c r="G67" s="592">
        <f t="shared" ref="G67" si="1039">+G91-F91+G97-F97</f>
        <v>1346</v>
      </c>
      <c r="H67" s="592">
        <f t="shared" ref="H67" si="1040">+H91-G91+H97-G97</f>
        <v>997</v>
      </c>
      <c r="I67" s="592">
        <f t="shared" ref="I67" si="1041">+I91-H91+I97-H97</f>
        <v>8180</v>
      </c>
      <c r="J67" s="592">
        <f t="shared" ref="J67" si="1042">+J91-I91+J97-I97</f>
        <v>5102</v>
      </c>
      <c r="K67" s="592">
        <f t="shared" ref="K67" si="1043">+K91-J91+K97-J97</f>
        <v>-27707</v>
      </c>
      <c r="L67" s="592">
        <f t="shared" ref="L67" si="1044">+L91-K91+L97-K97</f>
        <v>859</v>
      </c>
      <c r="M67" s="592">
        <f t="shared" ref="M67" si="1045">+M91-L91+M97-L97</f>
        <v>-759</v>
      </c>
      <c r="N67" s="592">
        <f t="shared" ref="N67" si="1046">+N91-M91+N97-M97</f>
        <v>1124</v>
      </c>
      <c r="O67" s="592">
        <f t="shared" ref="O67" si="1047">+O91-N91+O97-N97</f>
        <v>468</v>
      </c>
      <c r="P67" s="592">
        <f t="shared" ref="P67" si="1048">+P91-O91+P97-O97</f>
        <v>661</v>
      </c>
      <c r="Q67" s="592">
        <f t="shared" ref="Q67" si="1049">+Q91-P91+Q97-P97</f>
        <v>-188</v>
      </c>
      <c r="R67" s="592">
        <f t="shared" ref="R67" si="1050">+R91-Q91+R97-Q97</f>
        <v>759</v>
      </c>
      <c r="S67" s="592">
        <f t="shared" ref="S67" si="1051">+S91-R91+S97-R97</f>
        <v>3035</v>
      </c>
      <c r="T67" s="592">
        <f t="shared" ref="T67" si="1052">+T91-S91+T97-S97</f>
        <v>1364</v>
      </c>
      <c r="U67" s="592">
        <f t="shared" ref="U67" si="1053">+U91-T91+U97-T97</f>
        <v>1641</v>
      </c>
      <c r="V67" s="592">
        <f t="shared" ref="V67" si="1054">+V91-U91+V97-U97</f>
        <v>1838</v>
      </c>
      <c r="W67" s="592">
        <f t="shared" ref="W67" si="1055">+W91-V91+W97-V97</f>
        <v>-13044</v>
      </c>
      <c r="X67" s="592">
        <f t="shared" ref="X67" si="1056">+X91-W91+X97-W97</f>
        <v>527</v>
      </c>
      <c r="Y67" s="592">
        <f t="shared" ref="Y67" si="1057">+Y91-X91+Y97-X97</f>
        <v>36</v>
      </c>
      <c r="Z67" s="592">
        <f t="shared" ref="Z67" si="1058">+Z91-Y91+Z97-Y97</f>
        <v>-3383</v>
      </c>
      <c r="AA67" s="592">
        <f t="shared" ref="AA67" si="1059">+AA91-Z91+AA97-Z97</f>
        <v>-162</v>
      </c>
      <c r="AB67" s="592">
        <f t="shared" ref="AB67" si="1060">+AB91-AA91+AB97-AA97</f>
        <v>51</v>
      </c>
      <c r="AC67" s="592">
        <f t="shared" ref="AC67" si="1061">+AC91-AB91+AC97-AB97</f>
        <v>154</v>
      </c>
      <c r="AD67" s="592">
        <f t="shared" ref="AD67" si="1062">+AD91-AC91+AD97-AC97</f>
        <v>29</v>
      </c>
      <c r="AE67" s="592">
        <f t="shared" ref="AE67" si="1063">+AE91-AD91+AE97-AD97</f>
        <v>-35</v>
      </c>
      <c r="AF67" s="592">
        <f t="shared" ref="AF67" si="1064">+AF91-AE91+AF97-AE97</f>
        <v>609</v>
      </c>
      <c r="AG67" s="592">
        <f t="shared" ref="AG67" si="1065">+AG91-AF91+AG97-AF97</f>
        <v>-3629</v>
      </c>
      <c r="AH67" s="592">
        <f t="shared" ref="AH67" si="1066">+AH91-AG91+AH97-AG97</f>
        <v>-271</v>
      </c>
      <c r="AI67" s="592">
        <f t="shared" ref="AI67" si="1067">+AI91-AH91+AI97-AH97</f>
        <v>409</v>
      </c>
      <c r="AJ67" s="592">
        <f t="shared" ref="AJ67" si="1068">+AJ91-AI91+AJ97-AI97</f>
        <v>55</v>
      </c>
      <c r="AK67" s="592">
        <f t="shared" ref="AK67" si="1069">+AK91-AJ91+AK97-AJ97</f>
        <v>191</v>
      </c>
      <c r="AL67" s="592">
        <f t="shared" ref="AL67" si="1070">+AL91-AK91+AL97-AK97</f>
        <v>177</v>
      </c>
      <c r="AM67" s="592">
        <f t="shared" ref="AM67" si="1071">+AM91-AL91+AM97-AL97</f>
        <v>-102</v>
      </c>
      <c r="AN67" s="592">
        <f t="shared" ref="AN67" si="1072">+AN91-AM91+AN97-AM97</f>
        <v>206</v>
      </c>
      <c r="AO67" s="592">
        <f t="shared" ref="AO67" si="1073">+AO91-AN91+AO97-AN97</f>
        <v>-14</v>
      </c>
      <c r="AP67" s="592">
        <f t="shared" ref="AP67" si="1074">+AP91-AO91+AP97-AO97</f>
        <v>-218</v>
      </c>
      <c r="AQ67" s="592">
        <f t="shared" ref="AQ67" si="1075">+AQ91-AP91+AQ97-AP97</f>
        <v>48</v>
      </c>
      <c r="AR67" s="592">
        <f t="shared" ref="AR67" si="1076">+AR91-AQ91+AR97-AQ97</f>
        <v>131</v>
      </c>
      <c r="AS67" s="592">
        <f t="shared" ref="AS67" si="1077">+AS91-AR91+AS97-AR97</f>
        <v>-878</v>
      </c>
      <c r="AT67" s="592">
        <f t="shared" ref="AT67" si="1078">+AT91-AS91+AT97-AS97</f>
        <v>639</v>
      </c>
      <c r="AU67" s="592">
        <f t="shared" ref="AU67" si="1079">+AU91-AT91+AU97-AT97</f>
        <v>-1566</v>
      </c>
      <c r="AV67" s="592">
        <f t="shared" ref="AV67" si="1080">+AV91-AU91+AV97-AU97</f>
        <v>2884</v>
      </c>
      <c r="AW67" s="592">
        <f t="shared" ref="AW67" si="1081">+AW91-AV91+AW97-AV97</f>
        <v>2693</v>
      </c>
      <c r="AX67" s="592">
        <f t="shared" ref="AX67" si="1082">+AX91-AW91+AX97-AW97</f>
        <v>-19</v>
      </c>
      <c r="AY67" s="592">
        <f t="shared" ref="AY67" si="1083">+AY91-AX91+AY97-AX97</f>
        <v>-26</v>
      </c>
      <c r="AZ67" s="592">
        <f t="shared" ref="AZ67" si="1084">+AZ91-AY91+AZ97-AY97</f>
        <v>-318</v>
      </c>
      <c r="BA67" s="592">
        <f t="shared" ref="BA67" si="1085">+BA91-AZ91+BA97-AZ97</f>
        <v>-188</v>
      </c>
      <c r="BB67" s="592">
        <f t="shared" ref="BB67" si="1086">+BB91-BA91+BB97-BA97</f>
        <v>151</v>
      </c>
      <c r="BC67" s="592">
        <f t="shared" ref="BC67" si="1087">+BC91-BB91+BC97-BB97</f>
        <v>80</v>
      </c>
      <c r="BD67" s="592">
        <f t="shared" ref="BD67" si="1088">+BD91-BC91+BD97-BC97</f>
        <v>59</v>
      </c>
      <c r="BE67" s="592">
        <f t="shared" ref="BE67" si="1089">+BE91-BD91+BE97-BD97</f>
        <v>32</v>
      </c>
      <c r="BF67" s="592">
        <f t="shared" ref="BF67" si="1090">+BF91-BE91+BF97-BE97</f>
        <v>-94</v>
      </c>
      <c r="BG67" s="592">
        <f t="shared" ref="BG67" si="1091">+BG91-BF91+BG97-BF97</f>
        <v>-509</v>
      </c>
      <c r="BH67" s="592">
        <f t="shared" ref="BH67" si="1092">+BH91-BG91+BH97-BG97</f>
        <v>-5</v>
      </c>
      <c r="BI67" s="592">
        <f t="shared" ref="BI67" si="1093">+BI91-BH91+BI97-BH97</f>
        <v>84</v>
      </c>
      <c r="BJ67" s="592">
        <f t="shared" ref="BJ67" si="1094">+BJ91-BI91+BJ97-BI97</f>
        <v>-10091</v>
      </c>
      <c r="BK67" s="592">
        <f t="shared" ref="BK67" si="1095">+BK91-BJ91+BK97-BJ97</f>
        <v>0</v>
      </c>
      <c r="BL67" s="592">
        <f t="shared" ref="BL67" si="1096">+BL91-BK91+BL97-BK97</f>
        <v>0</v>
      </c>
      <c r="BM67" s="592">
        <f t="shared" ref="BM67" si="1097">+BM91-BL91+BM97-BL97</f>
        <v>0</v>
      </c>
      <c r="BN67" s="592">
        <f t="shared" ref="BN67" si="1098">+BN91-BM91+BN97-BM97</f>
        <v>0</v>
      </c>
      <c r="BO67" s="592">
        <f t="shared" ref="BO67" si="1099">+BO91-BN91+BO97-BN97</f>
        <v>0</v>
      </c>
      <c r="BP67" s="592">
        <f t="shared" ref="BP67" si="1100">+BP91-BO91+BP97-BO97</f>
        <v>0</v>
      </c>
      <c r="BQ67" s="592">
        <f t="shared" ref="BQ67" si="1101">+BQ91-BP91+BQ97-BP97</f>
        <v>0</v>
      </c>
      <c r="BR67" s="592">
        <f t="shared" ref="BR67" si="1102">+BR91-BQ91+BR97-BQ97</f>
        <v>0</v>
      </c>
      <c r="BS67" s="592">
        <f t="shared" ref="BS67" si="1103">+BS91-BR91+BS97-BR97</f>
        <v>0</v>
      </c>
      <c r="BT67" s="592">
        <f t="shared" ref="BT67" si="1104">+BT91-BS91+BT97-BS97</f>
        <v>0</v>
      </c>
      <c r="BU67" s="592">
        <f t="shared" ref="BU67" si="1105">+BU91-BT91+BU97-BT97</f>
        <v>0</v>
      </c>
      <c r="BV67" s="592">
        <f t="shared" ref="BV67" si="1106">+BV91-BU91+BV97-BU97</f>
        <v>458085</v>
      </c>
      <c r="BW67" s="592">
        <f t="shared" ref="BW67" si="1107">+BW91-BV91+BW97-BV97</f>
        <v>-113726</v>
      </c>
      <c r="BX67" s="592">
        <f t="shared" ref="BX67" si="1108">+BX91-BW91+BX97-BW97</f>
        <v>10320</v>
      </c>
      <c r="BY67" s="592">
        <f t="shared" ref="BY67" si="1109">+BY91-BX91+BY97-BX97</f>
        <v>111429</v>
      </c>
      <c r="BZ67" s="592">
        <f t="shared" ref="BZ67" si="1110">+BZ91-BY91+BZ97-BY97</f>
        <v>189022.68980000005</v>
      </c>
      <c r="CA67" s="592">
        <f t="shared" ref="CA67" si="1111">+CA91-BZ91+CA97-BZ97</f>
        <v>-101406.68980000005</v>
      </c>
      <c r="CB67" s="592">
        <f t="shared" ref="CB67" si="1112">+CB91-CA91+CB97-CA97</f>
        <v>27755</v>
      </c>
      <c r="CC67" s="592">
        <f t="shared" ref="CC67" si="1113">+CC91-CB91+CC97-CB97</f>
        <v>44456</v>
      </c>
      <c r="CD67" s="592">
        <f t="shared" ref="CD67" si="1114">+CD91-CC91+CD97-CC97</f>
        <v>-54280.189849999966</v>
      </c>
      <c r="CE67" s="592">
        <f t="shared" ref="CE67" si="1115">+CE91-CD91+CE97-CD97</f>
        <v>-102991.62085000006</v>
      </c>
      <c r="CF67" s="592">
        <f t="shared" ref="CF67" si="1116">+CF91-CE91+CF97-CE97</f>
        <v>100493.81070000003</v>
      </c>
      <c r="CG67" s="592">
        <f t="shared" ref="CG67:CH67" si="1117">+CG91-CF91+CG97-CF97</f>
        <v>226077</v>
      </c>
      <c r="CH67" s="592">
        <f t="shared" si="1117"/>
        <v>49963</v>
      </c>
      <c r="CI67" s="592">
        <f t="shared" ref="CI67:CK67" si="1118">+CI91-CH91+CI97-CH97</f>
        <v>-129960</v>
      </c>
      <c r="CJ67" s="592">
        <f t="shared" si="1118"/>
        <v>242077</v>
      </c>
      <c r="CK67" s="592">
        <f t="shared" si="1118"/>
        <v>-190025</v>
      </c>
      <c r="CL67" s="941">
        <f t="shared" ref="CL67" si="1119">+CL91-CK91+CL97-CK97</f>
        <v>0</v>
      </c>
      <c r="CM67" s="941">
        <f t="shared" ref="CM67" si="1120">+CM91-CL91+CM97-CL97</f>
        <v>0</v>
      </c>
      <c r="CN67" s="941">
        <f t="shared" ref="CN67" si="1121">+CN91-CM91+CN97-CM97</f>
        <v>0</v>
      </c>
      <c r="CO67" s="941">
        <f t="shared" ref="CO67" si="1122">+CO91-CN91+CO97-CN97</f>
        <v>0</v>
      </c>
      <c r="CP67" s="941">
        <f t="shared" ref="CP67" si="1123">+CP91-CO91+CP97-CO97</f>
        <v>0</v>
      </c>
      <c r="CQ67" s="941"/>
      <c r="CR67" s="941">
        <v>0</v>
      </c>
      <c r="CT67" s="592"/>
      <c r="CU67" s="592"/>
      <c r="CV67" s="592"/>
      <c r="CW67" s="592"/>
      <c r="CX67" s="592">
        <f t="shared" si="843"/>
        <v>1700</v>
      </c>
      <c r="CY67" s="942">
        <f t="shared" si="844"/>
        <v>7878</v>
      </c>
      <c r="CZ67" s="942">
        <f t="shared" si="845"/>
        <v>-15864</v>
      </c>
      <c r="DA67" s="942">
        <f t="shared" si="846"/>
        <v>72</v>
      </c>
      <c r="DB67" s="942">
        <f t="shared" si="847"/>
        <v>-3326</v>
      </c>
      <c r="DC67" s="939">
        <f t="shared" si="848"/>
        <v>832</v>
      </c>
      <c r="DD67" s="939">
        <f t="shared" si="849"/>
        <v>-128</v>
      </c>
      <c r="DE67" s="939">
        <f t="shared" ref="DE67:DR67" si="1124">+DE91-DD91+DE97-DD97</f>
        <v>-60</v>
      </c>
      <c r="DF67" s="939">
        <f t="shared" si="1124"/>
        <v>3992</v>
      </c>
      <c r="DG67" s="939">
        <f t="shared" si="1124"/>
        <v>-381</v>
      </c>
      <c r="DH67" s="939">
        <f t="shared" si="1124"/>
        <v>77</v>
      </c>
      <c r="DI67" s="939">
        <f t="shared" si="1124"/>
        <v>-10521</v>
      </c>
      <c r="DJ67" s="939">
        <f t="shared" si="1124"/>
        <v>0</v>
      </c>
      <c r="DK67" s="939">
        <f t="shared" si="1124"/>
        <v>0</v>
      </c>
      <c r="DL67" s="939">
        <f t="shared" si="1124"/>
        <v>458085</v>
      </c>
      <c r="DM67" s="939">
        <f t="shared" si="1124"/>
        <v>197045.68980000005</v>
      </c>
      <c r="DN67" s="939">
        <f t="shared" si="1124"/>
        <v>-83475.879650000017</v>
      </c>
      <c r="DO67" s="939">
        <f t="shared" si="1124"/>
        <v>273542.18984999997</v>
      </c>
      <c r="DP67" s="939">
        <f t="shared" si="1124"/>
        <v>-77908</v>
      </c>
      <c r="DQ67" s="939">
        <f t="shared" si="1124"/>
        <v>0</v>
      </c>
      <c r="DR67" s="813">
        <f t="shared" si="1124"/>
        <v>0</v>
      </c>
      <c r="DS67" s="813">
        <f t="shared" ref="DS67" si="1125">+DS91-DR91+DS97-DR97</f>
        <v>0</v>
      </c>
      <c r="DT67" s="813">
        <f t="shared" ref="DT67" si="1126">+DT91-DS91+DT97-DS97</f>
        <v>0</v>
      </c>
      <c r="DU67" s="813">
        <f t="shared" ref="DU67" si="1127">+DU91-DT91+DU97-DT97</f>
        <v>0</v>
      </c>
      <c r="DX67" s="813">
        <v>0</v>
      </c>
      <c r="DY67" s="813">
        <v>0</v>
      </c>
    </row>
    <row r="68" spans="1:129" s="904" customFormat="1">
      <c r="A68" s="939"/>
      <c r="B68" s="949" t="s">
        <v>385</v>
      </c>
      <c r="C68" s="592" t="e">
        <f t="shared" ref="C68:BN68" si="1128">C69-C62+C63-C64-C65-C66+C67</f>
        <v>#VALUE!</v>
      </c>
      <c r="D68" s="592">
        <f t="shared" si="1128"/>
        <v>-79289</v>
      </c>
      <c r="E68" s="592">
        <f t="shared" si="1128"/>
        <v>1013</v>
      </c>
      <c r="F68" s="592">
        <f t="shared" si="1128"/>
        <v>27732</v>
      </c>
      <c r="G68" s="592">
        <f t="shared" si="1128"/>
        <v>1341</v>
      </c>
      <c r="H68" s="592">
        <f t="shared" si="1128"/>
        <v>-49382</v>
      </c>
      <c r="I68" s="592">
        <f t="shared" si="1128"/>
        <v>330594</v>
      </c>
      <c r="J68" s="592">
        <f t="shared" si="1128"/>
        <v>1063.1930599999905</v>
      </c>
      <c r="K68" s="592">
        <f t="shared" si="1128"/>
        <v>-10935</v>
      </c>
      <c r="L68" s="592">
        <f t="shared" si="1128"/>
        <v>-9602</v>
      </c>
      <c r="M68" s="592">
        <f t="shared" si="1128"/>
        <v>4362.4514400000007</v>
      </c>
      <c r="N68" s="592">
        <f t="shared" si="1128"/>
        <v>-16281.683399999994</v>
      </c>
      <c r="O68" s="592">
        <f t="shared" si="1128"/>
        <v>-480</v>
      </c>
      <c r="P68" s="592">
        <f t="shared" si="1128"/>
        <v>-18208</v>
      </c>
      <c r="Q68" s="592">
        <f t="shared" si="1128"/>
        <v>-8054</v>
      </c>
      <c r="R68" s="592">
        <f t="shared" si="1128"/>
        <v>-2403.3815999999933</v>
      </c>
      <c r="S68" s="592">
        <f t="shared" si="1128"/>
        <v>-5136</v>
      </c>
      <c r="T68" s="592">
        <f t="shared" si="1128"/>
        <v>-15610</v>
      </c>
      <c r="U68" s="592">
        <f t="shared" si="1128"/>
        <v>-3479</v>
      </c>
      <c r="V68" s="592">
        <f t="shared" si="1128"/>
        <v>7130.1309999999939</v>
      </c>
      <c r="W68" s="592">
        <f t="shared" si="1128"/>
        <v>13839</v>
      </c>
      <c r="X68" s="592">
        <f t="shared" si="1128"/>
        <v>-21452</v>
      </c>
      <c r="Y68" s="592">
        <f t="shared" si="1128"/>
        <v>-3057</v>
      </c>
      <c r="Z68" s="592">
        <f t="shared" si="1128"/>
        <v>-136552.71679999999</v>
      </c>
      <c r="AA68" s="592">
        <f t="shared" si="1128"/>
        <v>78959</v>
      </c>
      <c r="AB68" s="592">
        <f t="shared" si="1128"/>
        <v>-152751</v>
      </c>
      <c r="AC68" s="592">
        <f t="shared" si="1128"/>
        <v>-27272</v>
      </c>
      <c r="AD68" s="592">
        <f t="shared" si="1128"/>
        <v>388223</v>
      </c>
      <c r="AE68" s="592">
        <f t="shared" si="1128"/>
        <v>-5441.4376000000047</v>
      </c>
      <c r="AF68" s="592">
        <f t="shared" si="1128"/>
        <v>-354229.9473516274</v>
      </c>
      <c r="AG68" s="592">
        <f t="shared" si="1128"/>
        <v>-2257.6183790682699</v>
      </c>
      <c r="AH68" s="592">
        <f t="shared" si="1128"/>
        <v>119397.60912571792</v>
      </c>
      <c r="AI68" s="592">
        <f t="shared" si="1128"/>
        <v>12641.322039999999</v>
      </c>
      <c r="AJ68" s="592">
        <f t="shared" si="1128"/>
        <v>-208693.13910999999</v>
      </c>
      <c r="AK68" s="592">
        <f t="shared" si="1128"/>
        <v>-48304.060140000132</v>
      </c>
      <c r="AL68" s="592">
        <f t="shared" si="1128"/>
        <v>-259212.22451868115</v>
      </c>
      <c r="AM68" s="592">
        <f t="shared" si="1128"/>
        <v>30051.372261220895</v>
      </c>
      <c r="AN68" s="592">
        <f t="shared" si="1128"/>
        <v>-172217.66592214422</v>
      </c>
      <c r="AO68" s="592">
        <f t="shared" si="1128"/>
        <v>-62725.26111465646</v>
      </c>
      <c r="AP68" s="592">
        <f t="shared" si="1128"/>
        <v>-71328.464878949977</v>
      </c>
      <c r="AQ68" s="592">
        <f t="shared" si="1128"/>
        <v>-72782.618116500016</v>
      </c>
      <c r="AR68" s="592">
        <f t="shared" si="1128"/>
        <v>-204574.645062</v>
      </c>
      <c r="AS68" s="592">
        <f t="shared" si="1128"/>
        <v>-88576.423547999992</v>
      </c>
      <c r="AT68" s="592">
        <f t="shared" si="1128"/>
        <v>-331358.8502505002</v>
      </c>
      <c r="AU68" s="592">
        <f t="shared" si="1128"/>
        <v>-18099.931600000134</v>
      </c>
      <c r="AV68" s="592">
        <f t="shared" si="1128"/>
        <v>-209920.24305999995</v>
      </c>
      <c r="AW68" s="592">
        <f t="shared" si="1128"/>
        <v>37652.252659999896</v>
      </c>
      <c r="AX68" s="592">
        <f t="shared" si="1128"/>
        <v>-294009.32888999995</v>
      </c>
      <c r="AY68" s="592">
        <f t="shared" si="1128"/>
        <v>-106213.55966</v>
      </c>
      <c r="AZ68" s="592">
        <f t="shared" si="1128"/>
        <v>-236448.4558</v>
      </c>
      <c r="BA68" s="592">
        <f t="shared" si="1128"/>
        <v>9775.7046200000041</v>
      </c>
      <c r="BB68" s="592">
        <f t="shared" si="1128"/>
        <v>-244238.82824999999</v>
      </c>
      <c r="BC68" s="592">
        <f t="shared" si="1128"/>
        <v>-8264.0293600000441</v>
      </c>
      <c r="BD68" s="592">
        <f t="shared" si="1128"/>
        <v>-160141.39989999996</v>
      </c>
      <c r="BE68" s="592">
        <f t="shared" si="1128"/>
        <v>-66410.683569999936</v>
      </c>
      <c r="BF68" s="592">
        <f t="shared" si="1128"/>
        <v>-198594.28753222374</v>
      </c>
      <c r="BG68" s="592">
        <f t="shared" si="1128"/>
        <v>-7433.1353499999968</v>
      </c>
      <c r="BH68" s="592">
        <f t="shared" si="1128"/>
        <v>-149354.73984800058</v>
      </c>
      <c r="BI68" s="592">
        <f t="shared" si="1128"/>
        <v>-95136.631099999999</v>
      </c>
      <c r="BJ68" s="592">
        <f t="shared" si="1128"/>
        <v>-402946.15772999998</v>
      </c>
      <c r="BK68" s="592">
        <f t="shared" si="1128"/>
        <v>1374121.0342812291</v>
      </c>
      <c r="BL68" s="592">
        <f t="shared" si="1128"/>
        <v>-497296.71590244281</v>
      </c>
      <c r="BM68" s="592">
        <f t="shared" si="1128"/>
        <v>235530.68691874197</v>
      </c>
      <c r="BN68" s="592">
        <f t="shared" si="1128"/>
        <v>-129164.76789295915</v>
      </c>
      <c r="BO68" s="592">
        <f t="shared" ref="BO68:CH68" si="1129">BO69-BO62+BO63-BO64-BO65-BO66+BO67</f>
        <v>484665.06478082913</v>
      </c>
      <c r="BP68" s="592">
        <f t="shared" si="1129"/>
        <v>-48274.741210689535</v>
      </c>
      <c r="BQ68" s="592">
        <f t="shared" si="1129"/>
        <v>-31721.362557860499</v>
      </c>
      <c r="BR68" s="592">
        <f t="shared" si="1129"/>
        <v>62448.547324247542</v>
      </c>
      <c r="BS68" s="592">
        <f t="shared" si="1129"/>
        <v>181058.81287472742</v>
      </c>
      <c r="BT68" s="592">
        <f t="shared" si="1129"/>
        <v>4042720.8588092253</v>
      </c>
      <c r="BU68" s="592">
        <f t="shared" si="1129"/>
        <v>-23075.885714654025</v>
      </c>
      <c r="BV68" s="592">
        <f t="shared" si="1129"/>
        <v>132773.29912830936</v>
      </c>
      <c r="BW68" s="592">
        <f t="shared" si="1129"/>
        <v>77876.086519665318</v>
      </c>
      <c r="BX68" s="592">
        <f t="shared" si="1129"/>
        <v>-199020.28985084314</v>
      </c>
      <c r="BY68" s="592">
        <f t="shared" si="1129"/>
        <v>205330.404119513</v>
      </c>
      <c r="BZ68" s="592">
        <f t="shared" si="1129"/>
        <v>238473.4923152714</v>
      </c>
      <c r="CA68" s="592">
        <f t="shared" si="1129"/>
        <v>-349518.45151972258</v>
      </c>
      <c r="CB68" s="592">
        <f t="shared" si="1129"/>
        <v>-43186.015031714545</v>
      </c>
      <c r="CC68" s="592">
        <f t="shared" si="1129"/>
        <v>100793.26111198755</v>
      </c>
      <c r="CD68" s="592">
        <f t="shared" si="1129"/>
        <v>-61312.106742172327</v>
      </c>
      <c r="CE68" s="592">
        <f t="shared" si="1129"/>
        <v>146553.2689695413</v>
      </c>
      <c r="CF68" s="592">
        <f t="shared" si="1129"/>
        <v>-114885.24607727519</v>
      </c>
      <c r="CG68" s="592">
        <f t="shared" si="1129"/>
        <v>27682.479877144215</v>
      </c>
      <c r="CH68" s="592">
        <f t="shared" si="1129"/>
        <v>-273914.16407823807</v>
      </c>
      <c r="CI68" s="592">
        <f t="shared" ref="CI68:CL68" si="1130">CI69-CI62+CI63-CI64-CI65-CI66+CI67</f>
        <v>-466681.57686916692</v>
      </c>
      <c r="CJ68" s="592">
        <f t="shared" ref="CJ68:CK68" si="1131">CJ69-CJ62+CJ63-CJ64-CJ65-CJ66+CJ67</f>
        <v>108772.44037117515</v>
      </c>
      <c r="CK68" s="592">
        <f t="shared" si="1131"/>
        <v>-353127.00925212941</v>
      </c>
      <c r="CL68" s="941">
        <f t="shared" si="1130"/>
        <v>137296.8039570938</v>
      </c>
      <c r="CM68" s="941">
        <f t="shared" ref="CM68:CP68" si="1132">CM69-CM62+CM63-CM64-CM65-CM66+CM67</f>
        <v>63682.735697401164</v>
      </c>
      <c r="CN68" s="941">
        <f t="shared" si="1132"/>
        <v>32044.198451158998</v>
      </c>
      <c r="CO68" s="941">
        <f t="shared" si="1132"/>
        <v>61948.506422822422</v>
      </c>
      <c r="CP68" s="941">
        <f t="shared" si="1132"/>
        <v>148341.81655230565</v>
      </c>
      <c r="CQ68" s="941"/>
      <c r="CR68" s="941">
        <v>137296.8039570938</v>
      </c>
      <c r="CT68" s="592"/>
      <c r="CU68" s="592"/>
      <c r="CV68" s="592"/>
      <c r="CW68" s="592"/>
      <c r="CX68" s="592">
        <f t="shared" ref="CX68:DC68" si="1133">CX69-CX62+CX63-CX64-CX65-CX66+CX67</f>
        <v>-29145.381599999993</v>
      </c>
      <c r="CY68" s="592">
        <f t="shared" si="1133"/>
        <v>-17094.869000000006</v>
      </c>
      <c r="CZ68" s="592">
        <f t="shared" si="1133"/>
        <v>-147222.71679999999</v>
      </c>
      <c r="DA68" s="592">
        <f t="shared" si="1133"/>
        <v>287159</v>
      </c>
      <c r="DB68" s="592">
        <f t="shared" si="1133"/>
        <v>-242531.39420497778</v>
      </c>
      <c r="DC68" s="592">
        <f t="shared" si="1133"/>
        <v>-503568.10172868124</v>
      </c>
      <c r="DD68" s="939">
        <f t="shared" si="849"/>
        <v>-276220.01965452975</v>
      </c>
      <c r="DE68" s="939">
        <f t="shared" ref="DE68:DL68" si="1134">DE69-DE62+DE63-DE64-DE65-DE66+DE67</f>
        <v>-18477.536977000273</v>
      </c>
      <c r="DF68" s="939">
        <f t="shared" si="1134"/>
        <v>78342.040273897437</v>
      </c>
      <c r="DG68" s="939">
        <f t="shared" si="1134"/>
        <v>-23906.13544136472</v>
      </c>
      <c r="DH68" s="939">
        <f t="shared" si="1134"/>
        <v>154436.53793111851</v>
      </c>
      <c r="DI68" s="939">
        <f t="shared" si="1134"/>
        <v>-23601.756245528813</v>
      </c>
      <c r="DJ68" s="939">
        <f t="shared" si="1134"/>
        <v>1062341.1965537041</v>
      </c>
      <c r="DK68" s="939">
        <f t="shared" si="1134"/>
        <v>402757.38805731712</v>
      </c>
      <c r="DL68" s="939">
        <f t="shared" si="1134"/>
        <v>4220581.3231468247</v>
      </c>
      <c r="DM68" s="939">
        <f t="shared" ref="DM68:DR68" si="1135">DM69-DM62+DM63-DM64-DM65-DM66+DM67</f>
        <v>590205.43585338327</v>
      </c>
      <c r="DN68" s="939">
        <f t="shared" si="1135"/>
        <v>-233510.2731556549</v>
      </c>
      <c r="DO68" s="939">
        <f t="shared" si="1135"/>
        <v>-3268.807587620453</v>
      </c>
      <c r="DP68" s="939">
        <f t="shared" si="1135"/>
        <v>-587985.7112444879</v>
      </c>
      <c r="DQ68" s="939">
        <f t="shared" ref="DQ68" si="1136">DQ69-DQ62+DQ63-DQ64-DQ65-DQ66+DQ67</f>
        <v>287413.33214747428</v>
      </c>
      <c r="DR68" s="813">
        <f t="shared" si="1135"/>
        <v>573.17223735933658</v>
      </c>
      <c r="DS68" s="813">
        <f t="shared" ref="DS68:DU68" si="1137">DS69-DS62+DS63-DS64-DS65-DS66+DS67</f>
        <v>293740.45921547955</v>
      </c>
      <c r="DT68" s="813">
        <f t="shared" si="1137"/>
        <v>208860.03966988483</v>
      </c>
      <c r="DU68" s="813">
        <f t="shared" si="1137"/>
        <v>223557.57089522341</v>
      </c>
      <c r="DX68" s="813">
        <v>37879.570850379183</v>
      </c>
      <c r="DY68" s="813">
        <v>218645.85311628564</v>
      </c>
    </row>
    <row r="69" spans="1:129" s="904" customFormat="1">
      <c r="A69" s="592"/>
      <c r="B69" s="949" t="s">
        <v>386</v>
      </c>
      <c r="C69" s="592" t="e">
        <f t="shared" ref="C69" si="1138">+C90-B90</f>
        <v>#VALUE!</v>
      </c>
      <c r="D69" s="592">
        <f t="shared" ref="D69" si="1139">+D90-C90</f>
        <v>97531</v>
      </c>
      <c r="E69" s="592">
        <f t="shared" ref="E69" si="1140">+E90-D90</f>
        <v>4393</v>
      </c>
      <c r="F69" s="592">
        <f t="shared" ref="F69" si="1141">+F90-E90</f>
        <v>-2173</v>
      </c>
      <c r="G69" s="592">
        <f t="shared" ref="G69" si="1142">+G90-F90</f>
        <v>-13869</v>
      </c>
      <c r="H69" s="592">
        <f t="shared" ref="H69" si="1143">+H90-G90</f>
        <v>24254</v>
      </c>
      <c r="I69" s="592">
        <f t="shared" ref="I69" si="1144">+I90-H90</f>
        <v>156177</v>
      </c>
      <c r="J69" s="592">
        <f t="shared" ref="J69" si="1145">+J90-I90</f>
        <v>10203</v>
      </c>
      <c r="K69" s="592">
        <f t="shared" ref="K69" si="1146">+K90-J90</f>
        <v>-109442</v>
      </c>
      <c r="L69" s="592">
        <f t="shared" ref="L69" si="1147">+L90-K90</f>
        <v>52788</v>
      </c>
      <c r="M69" s="592">
        <f t="shared" ref="M69" si="1148">+M90-L90</f>
        <v>-2377</v>
      </c>
      <c r="N69" s="592">
        <f t="shared" ref="N69" si="1149">+N90-M90</f>
        <v>69718</v>
      </c>
      <c r="O69" s="592">
        <f t="shared" ref="O69" si="1150">+O90-N90</f>
        <v>-118695</v>
      </c>
      <c r="P69" s="592">
        <f t="shared" ref="P69" si="1151">+P90-O90</f>
        <v>52292</v>
      </c>
      <c r="Q69" s="592">
        <f t="shared" ref="Q69" si="1152">+Q90-P90</f>
        <v>40962</v>
      </c>
      <c r="R69" s="592">
        <f t="shared" ref="R69" si="1153">+R90-Q90</f>
        <v>34670</v>
      </c>
      <c r="S69" s="592">
        <f t="shared" ref="S69" si="1154">+S90-R90</f>
        <v>-105832</v>
      </c>
      <c r="T69" s="592">
        <f t="shared" ref="T69" si="1155">+T90-S90</f>
        <v>19717</v>
      </c>
      <c r="U69" s="592">
        <f t="shared" ref="U69" si="1156">+U90-T90</f>
        <v>-52440</v>
      </c>
      <c r="V69" s="592">
        <f t="shared" ref="V69" si="1157">+V90-U90</f>
        <v>20823</v>
      </c>
      <c r="W69" s="592">
        <f t="shared" ref="W69" si="1158">+W90-V90</f>
        <v>-95361</v>
      </c>
      <c r="X69" s="592">
        <f t="shared" ref="X69" si="1159">+X90-W90</f>
        <v>111063</v>
      </c>
      <c r="Y69" s="592">
        <f t="shared" ref="Y69" si="1160">+Y90-X90</f>
        <v>103264</v>
      </c>
      <c r="Z69" s="592">
        <f t="shared" ref="Z69" si="1161">+Z90-Y90</f>
        <v>113704</v>
      </c>
      <c r="AA69" s="592">
        <f t="shared" ref="AA69" si="1162">+AA90-Z90</f>
        <v>-20524</v>
      </c>
      <c r="AB69" s="592">
        <f t="shared" ref="AB69" si="1163">+AB90-AA90</f>
        <v>-31769</v>
      </c>
      <c r="AC69" s="592">
        <f t="shared" ref="AC69" si="1164">+AC90-AB90</f>
        <v>40144</v>
      </c>
      <c r="AD69" s="592">
        <f t="shared" ref="AD69" si="1165">+AD90-AC90</f>
        <v>284440</v>
      </c>
      <c r="AE69" s="592">
        <f t="shared" ref="AE69" si="1166">+AE90-AD90</f>
        <v>-178684</v>
      </c>
      <c r="AF69" s="592">
        <f t="shared" ref="AF69" si="1167">+AF90-AE90</f>
        <v>-262765</v>
      </c>
      <c r="AG69" s="592">
        <f t="shared" ref="AG69" si="1168">+AG90-AF90</f>
        <v>416881</v>
      </c>
      <c r="AH69" s="592">
        <f t="shared" ref="AH69" si="1169">+AH90-AG90</f>
        <v>-80829</v>
      </c>
      <c r="AI69" s="592">
        <f t="shared" ref="AI69" si="1170">+AI90-AH90</f>
        <v>-78905</v>
      </c>
      <c r="AJ69" s="592">
        <f t="shared" ref="AJ69" si="1171">+AJ90-AI90</f>
        <v>-143150</v>
      </c>
      <c r="AK69" s="592">
        <f t="shared" ref="AK69" si="1172">+AK90-AJ90</f>
        <v>287506</v>
      </c>
      <c r="AL69" s="592">
        <f t="shared" ref="AL69" si="1173">+AL90-AK90</f>
        <v>39555</v>
      </c>
      <c r="AM69" s="592">
        <f t="shared" ref="AM69" si="1174">+AM90-AL90</f>
        <v>-165124</v>
      </c>
      <c r="AN69" s="592">
        <f t="shared" ref="AN69" si="1175">+AN90-AM90</f>
        <v>-69438</v>
      </c>
      <c r="AO69" s="592">
        <f t="shared" ref="AO69" si="1176">+AO90-AN90</f>
        <v>366987</v>
      </c>
      <c r="AP69" s="592">
        <f t="shared" ref="AP69" si="1177">+AP90-AO90</f>
        <v>-14103</v>
      </c>
      <c r="AQ69" s="592">
        <f t="shared" ref="AQ69" si="1178">+AQ90-AP90</f>
        <v>-48198</v>
      </c>
      <c r="AR69" s="592">
        <f t="shared" ref="AR69" si="1179">+AR90-AQ90</f>
        <v>-33765</v>
      </c>
      <c r="AS69" s="592">
        <f t="shared" ref="AS69" si="1180">+AS90-AR90</f>
        <v>-93168</v>
      </c>
      <c r="AT69" s="592">
        <f t="shared" ref="AT69" si="1181">+AT90-AS90</f>
        <v>207879</v>
      </c>
      <c r="AU69" s="592">
        <f t="shared" ref="AU69" si="1182">+AU90-AT90</f>
        <v>-86104</v>
      </c>
      <c r="AV69" s="592">
        <f t="shared" ref="AV69" si="1183">+AV90-AU90</f>
        <v>-51639</v>
      </c>
      <c r="AW69" s="592">
        <f t="shared" ref="AW69" si="1184">+AW90-AV90</f>
        <v>-136980</v>
      </c>
      <c r="AX69" s="592">
        <f t="shared" ref="AX69" si="1185">+AX90-AW90</f>
        <v>177910</v>
      </c>
      <c r="AY69" s="592">
        <f t="shared" ref="AY69" si="1186">+AY90-AX90</f>
        <v>89656</v>
      </c>
      <c r="AZ69" s="592">
        <f t="shared" ref="AZ69" si="1187">+AZ90-AY90</f>
        <v>-42477</v>
      </c>
      <c r="BA69" s="592">
        <f t="shared" ref="BA69" si="1188">+BA90-AZ90</f>
        <v>-66931</v>
      </c>
      <c r="BB69" s="592">
        <f t="shared" ref="BB69" si="1189">+BB90-BA90</f>
        <v>177106</v>
      </c>
      <c r="BC69" s="592">
        <f t="shared" ref="BC69" si="1190">+BC90-BB90</f>
        <v>10609</v>
      </c>
      <c r="BD69" s="592">
        <f t="shared" ref="BD69" si="1191">+BD90-BC90</f>
        <v>64848</v>
      </c>
      <c r="BE69" s="592">
        <f t="shared" ref="BE69" si="1192">+BE90-BD90</f>
        <v>-107514</v>
      </c>
      <c r="BF69" s="592">
        <f t="shared" ref="BF69" si="1193">+BF90-BE90</f>
        <v>279409</v>
      </c>
      <c r="BG69" s="592">
        <f t="shared" ref="BG69" si="1194">+BG90-BF90</f>
        <v>-257378</v>
      </c>
      <c r="BH69" s="592">
        <f t="shared" ref="BH69" si="1195">+BH90-BG90</f>
        <v>-38981</v>
      </c>
      <c r="BI69" s="592">
        <f t="shared" ref="BI69" si="1196">+BI90-BH90</f>
        <v>108687</v>
      </c>
      <c r="BJ69" s="592">
        <f t="shared" ref="BJ69" si="1197">+BJ90-BI90</f>
        <v>429803</v>
      </c>
      <c r="BK69" s="592">
        <f t="shared" ref="BK69" si="1198">+BK90-BJ90</f>
        <v>-58986</v>
      </c>
      <c r="BL69" s="592">
        <f t="shared" ref="BL69" si="1199">+BL90-BK90</f>
        <v>-377689</v>
      </c>
      <c r="BM69" s="592">
        <f t="shared" ref="BM69" si="1200">+BM90-BL90</f>
        <v>90537</v>
      </c>
      <c r="BN69" s="592">
        <f t="shared" ref="BN69" si="1201">+BN90-BM90</f>
        <v>334076</v>
      </c>
      <c r="BO69" s="592">
        <f t="shared" ref="BO69" si="1202">+BO90-BN90</f>
        <v>371338</v>
      </c>
      <c r="BP69" s="592">
        <f t="shared" ref="BP69" si="1203">+BP90-BO90</f>
        <v>595532</v>
      </c>
      <c r="BQ69" s="592">
        <f t="shared" ref="BQ69" si="1204">+BQ90-BP90</f>
        <v>-407824</v>
      </c>
      <c r="BR69" s="592">
        <f t="shared" ref="BR69" si="1205">+BR90-BQ90</f>
        <v>741005</v>
      </c>
      <c r="BS69" s="592">
        <f t="shared" ref="BS69" si="1206">+BS90-BR90</f>
        <v>199881</v>
      </c>
      <c r="BT69" s="592">
        <f t="shared" ref="BT69" si="1207">+BT90-BS90</f>
        <v>2742531</v>
      </c>
      <c r="BU69" s="592">
        <f t="shared" ref="BU69" si="1208">+BU90-BT90</f>
        <v>175954</v>
      </c>
      <c r="BV69" s="592">
        <f t="shared" ref="BV69" si="1209">+BV90-BU90</f>
        <v>-301302</v>
      </c>
      <c r="BW69" s="592">
        <f t="shared" ref="BW69" si="1210">+BW90-BV90</f>
        <v>-176528</v>
      </c>
      <c r="BX69" s="592">
        <f t="shared" ref="BX69" si="1211">+BX90-BW90</f>
        <v>-947272</v>
      </c>
      <c r="BY69" s="592">
        <f t="shared" ref="BY69" si="1212">+BY90-BX90</f>
        <v>-425409</v>
      </c>
      <c r="BZ69" s="592">
        <f t="shared" ref="BZ69" si="1213">+BZ90-BY90</f>
        <v>-1091856.69</v>
      </c>
      <c r="CA69" s="592">
        <f t="shared" ref="CA69" si="1214">+CA90-BZ90</f>
        <v>-638547.31000000006</v>
      </c>
      <c r="CB69" s="592">
        <f t="shared" ref="CB69" si="1215">+CB90-CA90</f>
        <v>110157</v>
      </c>
      <c r="CC69" s="592">
        <f t="shared" ref="CC69" si="1216">+CC90-CB90</f>
        <v>327913</v>
      </c>
      <c r="CD69" s="592">
        <f t="shared" ref="CD69" si="1217">+CD90-CC90</f>
        <v>-115686.81015000027</v>
      </c>
      <c r="CE69" s="592">
        <f t="shared" ref="CE69" si="1218">+CE90-CD90</f>
        <v>-566313.3791499997</v>
      </c>
      <c r="CF69" s="592">
        <f t="shared" ref="CF69" si="1219">+CF90-CE90</f>
        <v>-133139.81070000003</v>
      </c>
      <c r="CG69" s="592">
        <f t="shared" ref="CG69:CH69" si="1220">+CG90-CF90</f>
        <v>-48367</v>
      </c>
      <c r="CH69" s="592">
        <f t="shared" si="1220"/>
        <v>141743</v>
      </c>
      <c r="CI69" s="592">
        <f t="shared" ref="CI69:CK69" si="1221">+CI90-CH90</f>
        <v>-1010540</v>
      </c>
      <c r="CJ69" s="592">
        <f t="shared" si="1221"/>
        <v>-82098</v>
      </c>
      <c r="CK69" s="592">
        <f t="shared" si="1221"/>
        <v>33409</v>
      </c>
      <c r="CL69" s="941">
        <f t="shared" ref="CL69" si="1222">+CL90-CK90</f>
        <v>-347380.03792354651</v>
      </c>
      <c r="CM69" s="941">
        <f t="shared" ref="CM69" si="1223">+CM90-CL90</f>
        <v>90029.919337489642</v>
      </c>
      <c r="CN69" s="941">
        <f t="shared" ref="CN69" si="1224">+CN90-CM90</f>
        <v>184191.84489859175</v>
      </c>
      <c r="CO69" s="941">
        <f t="shared" ref="CO69" si="1225">+CO90-CN90</f>
        <v>306765.87603480462</v>
      </c>
      <c r="CP69" s="941">
        <f t="shared" ref="CP69" si="1226">+CP90-CO90</f>
        <v>-255878.60504660197</v>
      </c>
      <c r="CQ69" s="941"/>
      <c r="CR69" s="941">
        <v>-347380.03792354651</v>
      </c>
      <c r="CT69" s="592"/>
      <c r="CU69" s="592"/>
      <c r="CV69" s="592"/>
      <c r="CW69" s="592"/>
      <c r="CX69" s="592">
        <f>+SUM(O69:R69)</f>
        <v>9229</v>
      </c>
      <c r="CY69" s="942">
        <f>SUM(S69:V69)</f>
        <v>-117732</v>
      </c>
      <c r="CZ69" s="942">
        <f>SUM(W69:Z69)</f>
        <v>232670</v>
      </c>
      <c r="DA69" s="942">
        <f>SUM(AA69:AD69)</f>
        <v>272291</v>
      </c>
      <c r="DB69" s="942">
        <f>SUM(AE69:AH69)</f>
        <v>-105397</v>
      </c>
      <c r="DC69" s="939">
        <f>+SUM(AI69:AL69)</f>
        <v>105006</v>
      </c>
      <c r="DD69" s="939">
        <f t="shared" si="849"/>
        <v>118322</v>
      </c>
      <c r="DE69" s="939">
        <f t="shared" ref="DE69:DR69" si="1227">+DE90-DD90</f>
        <v>32748</v>
      </c>
      <c r="DF69" s="939">
        <f t="shared" si="1227"/>
        <v>-96813</v>
      </c>
      <c r="DG69" s="939">
        <f t="shared" si="1227"/>
        <v>157354</v>
      </c>
      <c r="DH69" s="939">
        <f t="shared" si="1227"/>
        <v>247352</v>
      </c>
      <c r="DI69" s="939">
        <f t="shared" si="1227"/>
        <v>242131</v>
      </c>
      <c r="DJ69" s="939">
        <f t="shared" si="1227"/>
        <v>-12062</v>
      </c>
      <c r="DK69" s="939">
        <f t="shared" si="1227"/>
        <v>1300051</v>
      </c>
      <c r="DL69" s="939">
        <f t="shared" si="1227"/>
        <v>2817064</v>
      </c>
      <c r="DM69" s="939">
        <f t="shared" si="1227"/>
        <v>-2641065.69</v>
      </c>
      <c r="DN69" s="939">
        <f t="shared" si="1227"/>
        <v>-316164.12015000032</v>
      </c>
      <c r="DO69" s="939">
        <f t="shared" si="1227"/>
        <v>-606077.18984999973</v>
      </c>
      <c r="DP69" s="939">
        <f t="shared" si="1227"/>
        <v>-1406609.0379235465</v>
      </c>
      <c r="DQ69" s="939">
        <f t="shared" si="1227"/>
        <v>325109.03522428405</v>
      </c>
      <c r="DR69" s="813">
        <f t="shared" si="1227"/>
        <v>296517.39293438848</v>
      </c>
      <c r="DS69" s="813">
        <f t="shared" ref="DS69" si="1228">+DS90-DR90</f>
        <v>841758.69331961311</v>
      </c>
      <c r="DT69" s="813">
        <f t="shared" ref="DT69" si="1229">+DT90-DS90</f>
        <v>838402.74176926818</v>
      </c>
      <c r="DU69" s="813">
        <f t="shared" ref="DU69" si="1230">+DU90-DT90</f>
        <v>928435.48449632246</v>
      </c>
      <c r="DX69" s="813">
        <v>158255.17882473208</v>
      </c>
      <c r="DY69" s="813">
        <v>596170.45805196092</v>
      </c>
    </row>
    <row r="70" spans="1:129" s="904" customFormat="1">
      <c r="A70" s="592"/>
      <c r="B70" s="592"/>
      <c r="C70" s="592"/>
      <c r="D70" s="592"/>
      <c r="E70" s="592"/>
      <c r="F70" s="592"/>
      <c r="G70" s="592"/>
      <c r="H70" s="592"/>
      <c r="I70" s="592"/>
      <c r="J70" s="592"/>
      <c r="K70" s="592"/>
      <c r="L70" s="592"/>
      <c r="M70" s="592"/>
      <c r="N70" s="592"/>
      <c r="O70" s="592"/>
      <c r="P70" s="592"/>
      <c r="Q70" s="592"/>
      <c r="R70" s="592"/>
      <c r="S70" s="592"/>
      <c r="T70" s="592"/>
      <c r="U70" s="592"/>
      <c r="V70" s="592"/>
      <c r="W70" s="592"/>
      <c r="X70" s="592"/>
      <c r="Y70" s="592"/>
      <c r="Z70" s="592"/>
      <c r="AA70" s="592"/>
      <c r="AB70" s="592"/>
      <c r="AC70" s="592"/>
      <c r="AD70" s="592"/>
      <c r="AE70" s="592"/>
      <c r="AF70" s="592"/>
      <c r="AG70" s="592"/>
      <c r="AH70" s="592"/>
      <c r="AI70" s="592"/>
      <c r="AJ70" s="592"/>
      <c r="AK70" s="592"/>
      <c r="AL70" s="592"/>
      <c r="AM70" s="592"/>
      <c r="AN70" s="592"/>
      <c r="AO70" s="592"/>
      <c r="AP70" s="592"/>
      <c r="AQ70" s="592"/>
      <c r="AR70" s="592"/>
      <c r="AS70" s="592"/>
      <c r="AT70" s="592"/>
      <c r="AU70" s="592"/>
      <c r="AV70" s="592"/>
      <c r="AW70" s="592"/>
      <c r="AX70" s="592"/>
      <c r="AY70" s="592"/>
      <c r="AZ70" s="592"/>
      <c r="BA70" s="592"/>
      <c r="BB70" s="592"/>
      <c r="BC70" s="592"/>
      <c r="BD70" s="592"/>
      <c r="BE70" s="592"/>
      <c r="BF70" s="592"/>
      <c r="BG70" s="592"/>
      <c r="BH70" s="592"/>
      <c r="BI70" s="592"/>
      <c r="BJ70" s="592"/>
      <c r="BK70" s="592"/>
      <c r="BL70" s="592"/>
      <c r="BM70" s="592"/>
      <c r="BN70" s="592"/>
      <c r="BO70" s="592"/>
      <c r="BP70" s="592"/>
      <c r="BQ70" s="592"/>
      <c r="BR70" s="592"/>
      <c r="BS70" s="592"/>
      <c r="BT70" s="592"/>
      <c r="BU70" s="592"/>
      <c r="BV70" s="592"/>
      <c r="BW70" s="592"/>
      <c r="BX70" s="592"/>
      <c r="BY70" s="592"/>
      <c r="BZ70" s="592"/>
      <c r="CA70" s="592"/>
      <c r="CB70" s="592"/>
      <c r="CC70" s="592"/>
      <c r="CD70" s="592"/>
      <c r="CE70" s="592"/>
      <c r="CF70" s="592"/>
      <c r="CG70" s="592"/>
      <c r="CH70" s="592"/>
      <c r="CI70" s="592"/>
      <c r="CJ70" s="592"/>
      <c r="CK70" s="592"/>
      <c r="CL70" s="592"/>
      <c r="CM70" s="592"/>
      <c r="CN70" s="592"/>
      <c r="CO70" s="592"/>
      <c r="CP70" s="592"/>
      <c r="CQ70" s="592"/>
      <c r="CR70" s="592"/>
      <c r="CT70" s="592"/>
      <c r="CU70" s="592"/>
      <c r="CV70" s="592"/>
      <c r="CW70" s="592"/>
      <c r="CX70" s="592"/>
      <c r="CY70" s="592"/>
      <c r="CZ70" s="592"/>
      <c r="DA70" s="592"/>
      <c r="DB70" s="592"/>
      <c r="DC70" s="592"/>
      <c r="DD70" s="592"/>
      <c r="DE70" s="592"/>
      <c r="DF70" s="592"/>
      <c r="DG70" s="592"/>
      <c r="DH70" s="592"/>
      <c r="DI70" s="592"/>
      <c r="DJ70" s="592"/>
      <c r="DK70" s="592"/>
      <c r="DL70" s="592"/>
      <c r="DM70" s="592"/>
      <c r="DN70" s="592"/>
      <c r="DO70" s="592"/>
      <c r="DP70" s="592"/>
      <c r="DQ70" s="592"/>
      <c r="DR70" s="592"/>
      <c r="DS70" s="592"/>
      <c r="DT70" s="592"/>
      <c r="DU70" s="592"/>
      <c r="DX70" s="592"/>
      <c r="DY70" s="592"/>
    </row>
    <row r="71" spans="1:129">
      <c r="A71" s="592"/>
      <c r="B71" s="958" t="s">
        <v>387</v>
      </c>
      <c r="C71" s="958"/>
      <c r="D71" s="958"/>
      <c r="E71" s="958"/>
      <c r="F71" s="958"/>
      <c r="G71" s="958"/>
      <c r="H71" s="958"/>
      <c r="I71" s="958"/>
      <c r="J71" s="958"/>
      <c r="K71" s="958"/>
      <c r="L71" s="958"/>
      <c r="M71" s="958"/>
      <c r="N71" s="958"/>
      <c r="O71" s="958"/>
      <c r="P71" s="958"/>
      <c r="Q71" s="958"/>
      <c r="R71" s="958"/>
      <c r="S71" s="958"/>
      <c r="T71" s="958"/>
      <c r="U71" s="958"/>
      <c r="V71" s="958"/>
      <c r="W71" s="958"/>
      <c r="X71" s="958"/>
      <c r="Y71" s="958"/>
      <c r="Z71" s="958"/>
      <c r="AA71" s="958"/>
      <c r="AB71" s="958"/>
      <c r="AC71" s="958"/>
      <c r="AD71" s="958"/>
      <c r="AE71" s="958"/>
      <c r="AF71" s="958"/>
      <c r="AG71" s="958"/>
      <c r="AH71" s="958"/>
      <c r="AI71" s="958"/>
      <c r="AJ71" s="958"/>
      <c r="AK71" s="958"/>
      <c r="AL71" s="958"/>
      <c r="AM71" s="958"/>
      <c r="AN71" s="958"/>
      <c r="AO71" s="958"/>
      <c r="AP71" s="958"/>
      <c r="AQ71" s="958"/>
      <c r="AR71" s="958"/>
      <c r="AS71" s="958"/>
      <c r="AT71" s="958"/>
      <c r="AU71" s="958"/>
      <c r="AV71" s="958"/>
      <c r="AW71" s="958"/>
      <c r="AX71" s="958"/>
      <c r="AY71" s="958"/>
      <c r="AZ71" s="959"/>
      <c r="BA71" s="958"/>
      <c r="BB71" s="958"/>
      <c r="BC71" s="958"/>
      <c r="BD71" s="958"/>
      <c r="BE71" s="958"/>
      <c r="BF71" s="958"/>
      <c r="BG71" s="958"/>
      <c r="BH71" s="958"/>
      <c r="BI71" s="958"/>
      <c r="BJ71" s="958"/>
      <c r="BK71" s="958"/>
      <c r="BL71" s="958"/>
      <c r="BM71" s="958"/>
      <c r="BN71" s="958"/>
      <c r="BO71" s="958"/>
      <c r="BP71" s="958"/>
      <c r="BQ71" s="958"/>
      <c r="BR71" s="958"/>
      <c r="BS71" s="958"/>
      <c r="BT71" s="958"/>
      <c r="BU71" s="958"/>
      <c r="BV71" s="958"/>
      <c r="BW71" s="958"/>
      <c r="BX71" s="958"/>
      <c r="BY71" s="958"/>
      <c r="BZ71" s="958"/>
      <c r="CA71" s="958"/>
      <c r="CB71" s="958"/>
      <c r="CC71" s="958"/>
      <c r="CD71" s="958"/>
      <c r="CE71" s="958"/>
      <c r="CF71" s="958"/>
      <c r="CG71" s="958"/>
      <c r="CH71" s="958"/>
      <c r="CI71" s="958"/>
      <c r="CJ71" s="958"/>
      <c r="CK71" s="958"/>
      <c r="CL71" s="958"/>
      <c r="CM71" s="958"/>
      <c r="CN71" s="958"/>
      <c r="CO71" s="958"/>
      <c r="CP71" s="958"/>
      <c r="CQ71" s="958"/>
      <c r="CR71" s="958"/>
      <c r="CT71" s="958"/>
      <c r="CU71" s="958"/>
      <c r="CV71" s="958"/>
      <c r="CW71" s="958"/>
      <c r="CX71" s="958"/>
      <c r="CY71" s="958"/>
      <c r="CZ71" s="958"/>
      <c r="DA71" s="958"/>
      <c r="DB71" s="958"/>
      <c r="DC71" s="958"/>
      <c r="DD71" s="958"/>
      <c r="DE71" s="958"/>
      <c r="DF71" s="958"/>
      <c r="DG71" s="958"/>
      <c r="DH71" s="958"/>
      <c r="DI71" s="958"/>
      <c r="DJ71" s="958"/>
      <c r="DK71" s="958"/>
      <c r="DL71" s="958"/>
      <c r="DM71" s="958"/>
      <c r="DN71" s="958"/>
      <c r="DO71" s="958"/>
      <c r="DP71" s="958"/>
      <c r="DQ71" s="958"/>
      <c r="DR71" s="958"/>
      <c r="DS71" s="958"/>
      <c r="DT71" s="958"/>
      <c r="DU71" s="958"/>
      <c r="DX71" s="958"/>
      <c r="DY71" s="958"/>
    </row>
    <row r="72" spans="1:129" s="904" customFormat="1">
      <c r="A72" s="939"/>
      <c r="B72" s="949" t="s">
        <v>388</v>
      </c>
      <c r="C72" s="592" t="e">
        <f t="shared" ref="C72:AH72" si="1231">+C25-C33</f>
        <v>#REF!</v>
      </c>
      <c r="D72" s="592">
        <f t="shared" si="1231"/>
        <v>6753</v>
      </c>
      <c r="E72" s="592">
        <f t="shared" si="1231"/>
        <v>18050</v>
      </c>
      <c r="F72" s="592">
        <f t="shared" si="1231"/>
        <v>31127</v>
      </c>
      <c r="G72" s="592">
        <f t="shared" si="1231"/>
        <v>8305</v>
      </c>
      <c r="H72" s="592">
        <f t="shared" si="1231"/>
        <v>42955</v>
      </c>
      <c r="I72" s="592">
        <f t="shared" si="1231"/>
        <v>18753</v>
      </c>
      <c r="J72" s="592">
        <f t="shared" si="1231"/>
        <v>48483</v>
      </c>
      <c r="K72" s="592">
        <f t="shared" si="1231"/>
        <v>19169</v>
      </c>
      <c r="L72" s="592">
        <f t="shared" si="1231"/>
        <v>23897</v>
      </c>
      <c r="M72" s="592">
        <f t="shared" si="1231"/>
        <v>28224</v>
      </c>
      <c r="N72" s="592">
        <f t="shared" si="1231"/>
        <v>51557</v>
      </c>
      <c r="O72" s="592">
        <f t="shared" si="1231"/>
        <v>14355</v>
      </c>
      <c r="P72" s="592">
        <f t="shared" si="1231"/>
        <v>34560</v>
      </c>
      <c r="Q72" s="592">
        <f t="shared" si="1231"/>
        <v>25717</v>
      </c>
      <c r="R72" s="592">
        <f t="shared" si="1231"/>
        <v>55291</v>
      </c>
      <c r="S72" s="592" t="e">
        <f t="shared" si="1231"/>
        <v>#REF!</v>
      </c>
      <c r="T72" s="592" t="e">
        <f t="shared" si="1231"/>
        <v>#REF!</v>
      </c>
      <c r="U72" s="592">
        <f t="shared" si="1231"/>
        <v>22738</v>
      </c>
      <c r="V72" s="592">
        <f t="shared" si="1231"/>
        <v>50494</v>
      </c>
      <c r="W72" s="592">
        <f t="shared" si="1231"/>
        <v>7733.9999999999982</v>
      </c>
      <c r="X72" s="592">
        <f t="shared" si="1231"/>
        <v>43341</v>
      </c>
      <c r="Y72" s="592">
        <f t="shared" si="1231"/>
        <v>26095</v>
      </c>
      <c r="Z72" s="592">
        <f t="shared" si="1231"/>
        <v>99371</v>
      </c>
      <c r="AA72" s="592">
        <f t="shared" si="1231"/>
        <v>33349</v>
      </c>
      <c r="AB72" s="592">
        <f t="shared" si="1231"/>
        <v>87519</v>
      </c>
      <c r="AC72" s="592">
        <f t="shared" si="1231"/>
        <v>53212</v>
      </c>
      <c r="AD72" s="592">
        <f t="shared" si="1231"/>
        <v>130242</v>
      </c>
      <c r="AE72" s="592">
        <f t="shared" si="1231"/>
        <v>47587</v>
      </c>
      <c r="AF72" s="592">
        <f t="shared" si="1231"/>
        <v>113529.00000000012</v>
      </c>
      <c r="AG72" s="592">
        <f t="shared" si="1231"/>
        <v>56696</v>
      </c>
      <c r="AH72" s="592">
        <f t="shared" si="1231"/>
        <v>125870</v>
      </c>
      <c r="AI72" s="592">
        <f t="shared" ref="AI72:BN72" si="1232">+AI25-AI33</f>
        <v>35731</v>
      </c>
      <c r="AJ72" s="592">
        <f t="shared" si="1232"/>
        <v>103472</v>
      </c>
      <c r="AK72" s="592">
        <f t="shared" si="1232"/>
        <v>68523.000000000116</v>
      </c>
      <c r="AL72" s="592">
        <f t="shared" si="1232"/>
        <v>147674</v>
      </c>
      <c r="AM72" s="592">
        <f t="shared" si="1232"/>
        <v>21606.000000000116</v>
      </c>
      <c r="AN72" s="592">
        <f t="shared" si="1232"/>
        <v>98000</v>
      </c>
      <c r="AO72" s="592">
        <f t="shared" si="1232"/>
        <v>71642</v>
      </c>
      <c r="AP72" s="592">
        <f t="shared" si="1232"/>
        <v>216152</v>
      </c>
      <c r="AQ72" s="592">
        <f t="shared" si="1232"/>
        <v>80078.520000000019</v>
      </c>
      <c r="AR72" s="592">
        <f t="shared" si="1232"/>
        <v>172896</v>
      </c>
      <c r="AS72" s="592">
        <f t="shared" si="1232"/>
        <v>135241</v>
      </c>
      <c r="AT72" s="592">
        <f t="shared" si="1232"/>
        <v>272037.2690000002</v>
      </c>
      <c r="AU72" s="592">
        <f t="shared" si="1232"/>
        <v>73188.497310000137</v>
      </c>
      <c r="AV72" s="592">
        <f t="shared" si="1232"/>
        <v>158168.64064000011</v>
      </c>
      <c r="AW72" s="592">
        <f t="shared" si="1232"/>
        <v>95966</v>
      </c>
      <c r="AX72" s="592">
        <f t="shared" si="1232"/>
        <v>261459.30340999993</v>
      </c>
      <c r="AY72" s="592">
        <f t="shared" si="1232"/>
        <v>65515</v>
      </c>
      <c r="AZ72" s="910">
        <f t="shared" si="1232"/>
        <v>174808</v>
      </c>
      <c r="BA72" s="592">
        <f t="shared" si="1232"/>
        <v>84903</v>
      </c>
      <c r="BB72" s="592">
        <f t="shared" si="1232"/>
        <v>299834</v>
      </c>
      <c r="BC72" s="592">
        <f t="shared" si="1232"/>
        <v>66976</v>
      </c>
      <c r="BD72" s="592">
        <f t="shared" si="1232"/>
        <v>193583</v>
      </c>
      <c r="BE72" s="592">
        <f t="shared" si="1232"/>
        <v>140319</v>
      </c>
      <c r="BF72" s="592">
        <f t="shared" si="1232"/>
        <v>331802</v>
      </c>
      <c r="BG72" s="592">
        <f t="shared" si="1232"/>
        <v>111442</v>
      </c>
      <c r="BH72" s="592">
        <f t="shared" si="1232"/>
        <v>274709.45974999992</v>
      </c>
      <c r="BI72" s="592">
        <f t="shared" si="1232"/>
        <v>194210.95679</v>
      </c>
      <c r="BJ72" s="592">
        <f t="shared" si="1232"/>
        <v>439774.25080000004</v>
      </c>
      <c r="BK72" s="592">
        <f t="shared" si="1232"/>
        <v>155979</v>
      </c>
      <c r="BL72" s="592">
        <f t="shared" si="1232"/>
        <v>230736</v>
      </c>
      <c r="BM72" s="592">
        <f t="shared" si="1232"/>
        <v>186734</v>
      </c>
      <c r="BN72" s="592">
        <f t="shared" si="1232"/>
        <v>512754</v>
      </c>
      <c r="BO72" s="592">
        <f t="shared" ref="BO72:CH72" si="1233">+BO25-BO33</f>
        <v>7137</v>
      </c>
      <c r="BP72" s="592">
        <f t="shared" si="1233"/>
        <v>818051</v>
      </c>
      <c r="BQ72" s="592">
        <f t="shared" si="1233"/>
        <v>-82873</v>
      </c>
      <c r="BR72" s="592">
        <f t="shared" si="1233"/>
        <v>353924</v>
      </c>
      <c r="BS72" s="592">
        <f t="shared" si="1233"/>
        <v>-147703</v>
      </c>
      <c r="BT72" s="592">
        <f t="shared" si="1233"/>
        <v>193073</v>
      </c>
      <c r="BU72" s="592">
        <f t="shared" si="1233"/>
        <v>172243.33947000233</v>
      </c>
      <c r="BV72" s="592">
        <f t="shared" si="1233"/>
        <v>415785.81354999915</v>
      </c>
      <c r="BW72" s="592">
        <f t="shared" si="1233"/>
        <v>191630</v>
      </c>
      <c r="BX72" s="592">
        <f t="shared" si="1233"/>
        <v>360388</v>
      </c>
      <c r="BY72" s="592">
        <f t="shared" si="1233"/>
        <v>257862</v>
      </c>
      <c r="BZ72" s="592">
        <f t="shared" si="1233"/>
        <v>481823</v>
      </c>
      <c r="CA72" s="592">
        <f t="shared" si="1233"/>
        <v>46766</v>
      </c>
      <c r="CB72" s="592">
        <f t="shared" si="1233"/>
        <v>229700</v>
      </c>
      <c r="CC72" s="592">
        <f t="shared" si="1233"/>
        <v>172902</v>
      </c>
      <c r="CD72" s="592">
        <f t="shared" si="1233"/>
        <v>526891</v>
      </c>
      <c r="CE72" s="592">
        <f t="shared" si="1233"/>
        <v>139250</v>
      </c>
      <c r="CF72" s="592">
        <f t="shared" si="1233"/>
        <v>314984</v>
      </c>
      <c r="CG72" s="592">
        <f t="shared" si="1233"/>
        <v>255266</v>
      </c>
      <c r="CH72" s="592">
        <f t="shared" si="1233"/>
        <v>487168</v>
      </c>
      <c r="CI72" s="592">
        <f t="shared" ref="CI72:CL72" si="1234">+CI25-CI33</f>
        <v>221033</v>
      </c>
      <c r="CJ72" s="592">
        <f t="shared" si="1234"/>
        <v>404461</v>
      </c>
      <c r="CK72" s="592">
        <f t="shared" si="1234"/>
        <v>279395</v>
      </c>
      <c r="CL72" s="592">
        <f t="shared" si="1234"/>
        <v>481928.92042608478</v>
      </c>
      <c r="CM72" s="592">
        <f t="shared" ref="CM72:CP72" si="1235">+CM25-CM33</f>
        <v>184321.0915973385</v>
      </c>
      <c r="CN72" s="592">
        <f t="shared" si="1235"/>
        <v>373408.2239079604</v>
      </c>
      <c r="CO72" s="592">
        <f t="shared" si="1235"/>
        <v>236643.1786088674</v>
      </c>
      <c r="CP72" s="592">
        <f t="shared" si="1235"/>
        <v>540091.44826617732</v>
      </c>
      <c r="CQ72" s="592"/>
      <c r="CR72" s="592">
        <v>481928.92042608478</v>
      </c>
      <c r="CT72" s="592"/>
      <c r="CU72" s="592"/>
      <c r="CV72" s="592"/>
      <c r="CW72" s="592"/>
      <c r="CX72" s="592">
        <f>+SUM(O72:R72)</f>
        <v>129923</v>
      </c>
      <c r="CY72" s="942" t="e">
        <f>SUM(S72:V72)</f>
        <v>#REF!</v>
      </c>
      <c r="CZ72" s="942">
        <f>SUM(W72:Z72)</f>
        <v>176541</v>
      </c>
      <c r="DA72" s="942">
        <f>SUM(AA72:AD72)</f>
        <v>304322</v>
      </c>
      <c r="DB72" s="592">
        <f>+DB25-DB33</f>
        <v>343682.00000000012</v>
      </c>
      <c r="DC72" s="592">
        <f>+SUM(AI72:AL72)</f>
        <v>355400.00000000012</v>
      </c>
      <c r="DD72" s="939">
        <f>+SUM(AM72:AP72)</f>
        <v>407400.00000000012</v>
      </c>
      <c r="DE72" s="939">
        <f>+SUM(AQ72:AT72)</f>
        <v>660252.78900000022</v>
      </c>
      <c r="DF72" s="592">
        <f t="shared" ref="DF72:DU72" si="1236">+DF25-DF33</f>
        <v>588782.44136000017</v>
      </c>
      <c r="DG72" s="592">
        <f t="shared" si="1236"/>
        <v>625060</v>
      </c>
      <c r="DH72" s="592">
        <f t="shared" si="1236"/>
        <v>732680</v>
      </c>
      <c r="DI72" s="592">
        <f t="shared" si="1236"/>
        <v>1020136.6673399997</v>
      </c>
      <c r="DJ72" s="592">
        <f t="shared" si="1236"/>
        <v>1086203</v>
      </c>
      <c r="DK72" s="592">
        <f t="shared" si="1236"/>
        <v>1096239</v>
      </c>
      <c r="DL72" s="592">
        <f t="shared" si="1236"/>
        <v>633399.15302000195</v>
      </c>
      <c r="DM72" s="592">
        <f t="shared" si="1236"/>
        <v>1291703</v>
      </c>
      <c r="DN72" s="592">
        <f t="shared" si="1236"/>
        <v>976259</v>
      </c>
      <c r="DO72" s="592">
        <f t="shared" si="1236"/>
        <v>1196668</v>
      </c>
      <c r="DP72" s="592">
        <f t="shared" ref="DP72:DQ72" si="1237">+DP25-DP33</f>
        <v>1386817.9204260856</v>
      </c>
      <c r="DQ72" s="592">
        <f t="shared" si="1237"/>
        <v>1334463.9423803452</v>
      </c>
      <c r="DR72" s="592">
        <f t="shared" si="1236"/>
        <v>1794757.2848678944</v>
      </c>
      <c r="DS72" s="592">
        <f t="shared" si="1236"/>
        <v>2060059.1246371916</v>
      </c>
      <c r="DT72" s="592">
        <f t="shared" si="1236"/>
        <v>2286482.2789482814</v>
      </c>
      <c r="DU72" s="592">
        <f t="shared" si="1236"/>
        <v>2515421.7858837629</v>
      </c>
      <c r="DX72" s="592">
        <v>1520088.0783989746</v>
      </c>
      <c r="DY72" s="592">
        <v>1927647.416947332</v>
      </c>
    </row>
    <row r="73" spans="1:129" s="904" customFormat="1">
      <c r="A73" s="939"/>
      <c r="B73" s="949" t="s">
        <v>389</v>
      </c>
      <c r="C73" s="592" t="e">
        <f t="shared" ref="C73:AH73" si="1238">+C52</f>
        <v>#VALUE!</v>
      </c>
      <c r="D73" s="592">
        <f t="shared" si="1238"/>
        <v>-89</v>
      </c>
      <c r="E73" s="592">
        <f t="shared" si="1238"/>
        <v>-160</v>
      </c>
      <c r="F73" s="592">
        <f t="shared" si="1238"/>
        <v>-439</v>
      </c>
      <c r="G73" s="592">
        <f t="shared" si="1238"/>
        <v>-640</v>
      </c>
      <c r="H73" s="592">
        <f t="shared" si="1238"/>
        <v>-569</v>
      </c>
      <c r="I73" s="592">
        <f t="shared" si="1238"/>
        <v>-2434</v>
      </c>
      <c r="J73" s="592">
        <f t="shared" si="1238"/>
        <v>-1891</v>
      </c>
      <c r="K73" s="592">
        <f t="shared" si="1238"/>
        <v>-726</v>
      </c>
      <c r="L73" s="592">
        <f t="shared" si="1238"/>
        <v>-911</v>
      </c>
      <c r="M73" s="592">
        <f t="shared" si="1238"/>
        <v>-617</v>
      </c>
      <c r="N73" s="592">
        <f t="shared" si="1238"/>
        <v>-1291</v>
      </c>
      <c r="O73" s="592">
        <f t="shared" si="1238"/>
        <v>-7861</v>
      </c>
      <c r="P73" s="592">
        <f t="shared" si="1238"/>
        <v>-1021</v>
      </c>
      <c r="Q73" s="592">
        <f t="shared" si="1238"/>
        <v>9809</v>
      </c>
      <c r="R73" s="592">
        <f t="shared" si="1238"/>
        <v>9175</v>
      </c>
      <c r="S73" s="592">
        <f t="shared" si="1238"/>
        <v>2760</v>
      </c>
      <c r="T73" s="592">
        <f t="shared" si="1238"/>
        <v>2339</v>
      </c>
      <c r="U73" s="592">
        <f t="shared" si="1238"/>
        <v>4042</v>
      </c>
      <c r="V73" s="592">
        <f t="shared" si="1238"/>
        <v>-2976</v>
      </c>
      <c r="W73" s="592">
        <f t="shared" si="1238"/>
        <v>-3400</v>
      </c>
      <c r="X73" s="592">
        <f t="shared" si="1238"/>
        <v>-4965</v>
      </c>
      <c r="Y73" s="592">
        <f t="shared" si="1238"/>
        <v>-1408</v>
      </c>
      <c r="Z73" s="592">
        <f t="shared" si="1238"/>
        <v>3256</v>
      </c>
      <c r="AA73" s="592">
        <f t="shared" si="1238"/>
        <v>-40621</v>
      </c>
      <c r="AB73" s="592">
        <f t="shared" si="1238"/>
        <v>-1180</v>
      </c>
      <c r="AC73" s="592">
        <f t="shared" si="1238"/>
        <v>2922</v>
      </c>
      <c r="AD73" s="592">
        <f t="shared" si="1238"/>
        <v>-7597</v>
      </c>
      <c r="AE73" s="592">
        <f t="shared" si="1238"/>
        <v>16742</v>
      </c>
      <c r="AF73" s="592">
        <f t="shared" si="1238"/>
        <v>-10483</v>
      </c>
      <c r="AG73" s="592">
        <f t="shared" si="1238"/>
        <v>9947</v>
      </c>
      <c r="AH73" s="592">
        <f t="shared" si="1238"/>
        <v>-61847</v>
      </c>
      <c r="AI73" s="592">
        <f t="shared" ref="AI73:BN73" si="1239">+AI52</f>
        <v>8375</v>
      </c>
      <c r="AJ73" s="592">
        <f t="shared" si="1239"/>
        <v>-7471</v>
      </c>
      <c r="AK73" s="592">
        <f t="shared" si="1239"/>
        <v>-7943</v>
      </c>
      <c r="AL73" s="592">
        <f t="shared" si="1239"/>
        <v>-33473</v>
      </c>
      <c r="AM73" s="592">
        <f t="shared" si="1239"/>
        <v>5758</v>
      </c>
      <c r="AN73" s="592">
        <f t="shared" si="1239"/>
        <v>16638</v>
      </c>
      <c r="AO73" s="592">
        <f t="shared" si="1239"/>
        <v>35929</v>
      </c>
      <c r="AP73" s="592">
        <f t="shared" si="1239"/>
        <v>-10172</v>
      </c>
      <c r="AQ73" s="592">
        <f t="shared" si="1239"/>
        <v>-1085</v>
      </c>
      <c r="AR73" s="592">
        <f t="shared" si="1239"/>
        <v>-14206</v>
      </c>
      <c r="AS73" s="592">
        <f t="shared" si="1239"/>
        <v>4810</v>
      </c>
      <c r="AT73" s="592">
        <f t="shared" si="1239"/>
        <v>-396</v>
      </c>
      <c r="AU73" s="592">
        <f t="shared" si="1239"/>
        <v>27607</v>
      </c>
      <c r="AV73" s="592">
        <f t="shared" si="1239"/>
        <v>-26150</v>
      </c>
      <c r="AW73" s="592">
        <f t="shared" si="1239"/>
        <v>37476</v>
      </c>
      <c r="AX73" s="592">
        <f t="shared" si="1239"/>
        <v>-41293</v>
      </c>
      <c r="AY73" s="592">
        <f t="shared" si="1239"/>
        <v>-32719</v>
      </c>
      <c r="AZ73" s="910">
        <f t="shared" si="1239"/>
        <v>-27289</v>
      </c>
      <c r="BA73" s="592">
        <f t="shared" si="1239"/>
        <v>1917</v>
      </c>
      <c r="BB73" s="592">
        <f t="shared" si="1239"/>
        <v>-743</v>
      </c>
      <c r="BC73" s="592">
        <f t="shared" si="1239"/>
        <v>13848</v>
      </c>
      <c r="BD73" s="592">
        <f t="shared" si="1239"/>
        <v>14296</v>
      </c>
      <c r="BE73" s="592">
        <f t="shared" si="1239"/>
        <v>-35321</v>
      </c>
      <c r="BF73" s="592">
        <f t="shared" si="1239"/>
        <v>-35459</v>
      </c>
      <c r="BG73" s="592">
        <f t="shared" si="1239"/>
        <v>-7990</v>
      </c>
      <c r="BH73" s="592">
        <f t="shared" si="1239"/>
        <v>33633</v>
      </c>
      <c r="BI73" s="592">
        <f t="shared" si="1239"/>
        <v>10802</v>
      </c>
      <c r="BJ73" s="592">
        <f t="shared" si="1239"/>
        <v>9297</v>
      </c>
      <c r="BK73" s="592">
        <f t="shared" si="1239"/>
        <v>23733</v>
      </c>
      <c r="BL73" s="592">
        <f t="shared" si="1239"/>
        <v>-23041</v>
      </c>
      <c r="BM73" s="592">
        <f t="shared" si="1239"/>
        <v>-14332</v>
      </c>
      <c r="BN73" s="592">
        <f t="shared" si="1239"/>
        <v>-35682</v>
      </c>
      <c r="BO73" s="592">
        <f t="shared" ref="BO73:CH73" si="1240">+BO52</f>
        <v>-24618</v>
      </c>
      <c r="BP73" s="592">
        <f t="shared" si="1240"/>
        <v>-12333</v>
      </c>
      <c r="BQ73" s="592">
        <f t="shared" si="1240"/>
        <v>-44722</v>
      </c>
      <c r="BR73" s="592">
        <f t="shared" si="1240"/>
        <v>7528</v>
      </c>
      <c r="BS73" s="592">
        <f t="shared" si="1240"/>
        <v>-122245</v>
      </c>
      <c r="BT73" s="592">
        <f t="shared" si="1240"/>
        <v>-64599</v>
      </c>
      <c r="BU73" s="592">
        <f t="shared" si="1240"/>
        <v>33739</v>
      </c>
      <c r="BV73" s="592">
        <f t="shared" si="1240"/>
        <v>-24115</v>
      </c>
      <c r="BW73" s="592">
        <f t="shared" si="1240"/>
        <v>-122151</v>
      </c>
      <c r="BX73" s="592">
        <f t="shared" si="1240"/>
        <v>46106</v>
      </c>
      <c r="BY73" s="592">
        <f t="shared" si="1240"/>
        <v>49792</v>
      </c>
      <c r="BZ73" s="592">
        <f t="shared" si="1240"/>
        <v>-71579</v>
      </c>
      <c r="CA73" s="592">
        <f t="shared" si="1240"/>
        <v>-101334</v>
      </c>
      <c r="CB73" s="592">
        <f t="shared" si="1240"/>
        <v>-40752</v>
      </c>
      <c r="CC73" s="592">
        <f t="shared" si="1240"/>
        <v>-34618</v>
      </c>
      <c r="CD73" s="592">
        <f t="shared" si="1240"/>
        <v>-70929</v>
      </c>
      <c r="CE73" s="592">
        <f t="shared" si="1240"/>
        <v>-32130</v>
      </c>
      <c r="CF73" s="592">
        <f t="shared" si="1240"/>
        <v>65696</v>
      </c>
      <c r="CG73" s="592">
        <f t="shared" si="1240"/>
        <v>-8416</v>
      </c>
      <c r="CH73" s="592">
        <f t="shared" si="1240"/>
        <v>-10109</v>
      </c>
      <c r="CI73" s="592">
        <f t="shared" ref="CI73:CL73" si="1241">+CI52</f>
        <v>-56335</v>
      </c>
      <c r="CJ73" s="592">
        <f t="shared" si="1241"/>
        <v>22265</v>
      </c>
      <c r="CK73" s="592">
        <f t="shared" si="1241"/>
        <v>10004</v>
      </c>
      <c r="CL73" s="592">
        <f t="shared" si="1241"/>
        <v>521.362615799997</v>
      </c>
      <c r="CM73" s="592">
        <f t="shared" ref="CM73:CP73" si="1242">+CM52</f>
        <v>-574.22677621163893</v>
      </c>
      <c r="CN73" s="592">
        <f t="shared" si="1242"/>
        <v>377.02973255771212</v>
      </c>
      <c r="CO73" s="592">
        <f t="shared" si="1242"/>
        <v>-211.2987210478168</v>
      </c>
      <c r="CP73" s="592">
        <f t="shared" si="1242"/>
        <v>576.47658003412653</v>
      </c>
      <c r="CQ73" s="592"/>
      <c r="CR73" s="592">
        <v>521.362615799997</v>
      </c>
      <c r="CT73" s="592"/>
      <c r="CU73" s="592"/>
      <c r="CV73" s="592"/>
      <c r="CW73" s="592"/>
      <c r="CX73" s="592">
        <f>+SUM(O73:R73)</f>
        <v>10102</v>
      </c>
      <c r="CY73" s="942">
        <f>SUM(S73:V73)</f>
        <v>6165</v>
      </c>
      <c r="CZ73" s="942">
        <f>SUM(W73:Z73)</f>
        <v>-6517</v>
      </c>
      <c r="DA73" s="942">
        <f>SUM(AA73:AD73)</f>
        <v>-46476</v>
      </c>
      <c r="DB73" s="592">
        <f>+DB52</f>
        <v>-45641</v>
      </c>
      <c r="DC73" s="939">
        <f>+SUM(AI73:AL73)</f>
        <v>-40512</v>
      </c>
      <c r="DD73" s="939">
        <f>+SUM(AM73:AP73)</f>
        <v>48153</v>
      </c>
      <c r="DE73" s="939">
        <f>+SUM(AQ73:AT73)</f>
        <v>-10877</v>
      </c>
      <c r="DF73" s="592">
        <f t="shared" ref="DF73:DU73" si="1243">+DF52</f>
        <v>-2360</v>
      </c>
      <c r="DG73" s="592">
        <f t="shared" si="1243"/>
        <v>-58834</v>
      </c>
      <c r="DH73" s="592">
        <f t="shared" si="1243"/>
        <v>-42636</v>
      </c>
      <c r="DI73" s="592">
        <f t="shared" si="1243"/>
        <v>45742</v>
      </c>
      <c r="DJ73" s="592">
        <f t="shared" si="1243"/>
        <v>-49322</v>
      </c>
      <c r="DK73" s="592">
        <f t="shared" si="1243"/>
        <v>-74145</v>
      </c>
      <c r="DL73" s="592">
        <f t="shared" si="1243"/>
        <v>-177220</v>
      </c>
      <c r="DM73" s="592">
        <f t="shared" si="1243"/>
        <v>-97832</v>
      </c>
      <c r="DN73" s="592">
        <f t="shared" si="1243"/>
        <v>-247633</v>
      </c>
      <c r="DO73" s="592">
        <f t="shared" si="1243"/>
        <v>15041</v>
      </c>
      <c r="DP73" s="592">
        <f t="shared" ref="DP73:DQ73" si="1244">+DP52</f>
        <v>-23544.637384200003</v>
      </c>
      <c r="DQ73" s="592">
        <f t="shared" si="1244"/>
        <v>167.98081533238292</v>
      </c>
      <c r="DR73" s="592">
        <f t="shared" si="1243"/>
        <v>176.26919296418782</v>
      </c>
      <c r="DS73" s="592">
        <f t="shared" si="1243"/>
        <v>159.56774716067594</v>
      </c>
      <c r="DT73" s="592">
        <f t="shared" si="1243"/>
        <v>169.87698712083511</v>
      </c>
      <c r="DU73" s="592">
        <f t="shared" si="1243"/>
        <v>181.63108216074761</v>
      </c>
      <c r="DX73" s="592">
        <v>144.27651239442639</v>
      </c>
      <c r="DY73" s="592">
        <v>178.29033866827376</v>
      </c>
    </row>
    <row r="74" spans="1:129" s="904" customFormat="1">
      <c r="A74" s="939"/>
      <c r="B74" s="949" t="s">
        <v>390</v>
      </c>
      <c r="C74" s="592">
        <f t="shared" ref="C74:AH74" si="1245">+C47</f>
        <v>0</v>
      </c>
      <c r="D74" s="592">
        <f t="shared" si="1245"/>
        <v>0</v>
      </c>
      <c r="E74" s="592">
        <f t="shared" si="1245"/>
        <v>0</v>
      </c>
      <c r="F74" s="592">
        <f t="shared" si="1245"/>
        <v>0</v>
      </c>
      <c r="G74" s="592">
        <f t="shared" si="1245"/>
        <v>0</v>
      </c>
      <c r="H74" s="592">
        <f t="shared" si="1245"/>
        <v>0</v>
      </c>
      <c r="I74" s="592">
        <f t="shared" si="1245"/>
        <v>0</v>
      </c>
      <c r="J74" s="592">
        <f t="shared" si="1245"/>
        <v>0</v>
      </c>
      <c r="K74" s="592">
        <f t="shared" si="1245"/>
        <v>0</v>
      </c>
      <c r="L74" s="592">
        <f t="shared" si="1245"/>
        <v>0</v>
      </c>
      <c r="M74" s="592">
        <f t="shared" si="1245"/>
        <v>0</v>
      </c>
      <c r="N74" s="592">
        <f t="shared" si="1245"/>
        <v>0</v>
      </c>
      <c r="O74" s="592">
        <f t="shared" si="1245"/>
        <v>0</v>
      </c>
      <c r="P74" s="592">
        <f t="shared" si="1245"/>
        <v>0</v>
      </c>
      <c r="Q74" s="592">
        <f t="shared" si="1245"/>
        <v>0</v>
      </c>
      <c r="R74" s="592">
        <f t="shared" si="1245"/>
        <v>0</v>
      </c>
      <c r="S74" s="592">
        <f t="shared" si="1245"/>
        <v>0</v>
      </c>
      <c r="T74" s="592">
        <f t="shared" si="1245"/>
        <v>0</v>
      </c>
      <c r="U74" s="592">
        <f t="shared" si="1245"/>
        <v>0</v>
      </c>
      <c r="V74" s="592">
        <f t="shared" si="1245"/>
        <v>0</v>
      </c>
      <c r="W74" s="592">
        <f t="shared" si="1245"/>
        <v>0</v>
      </c>
      <c r="X74" s="592">
        <f t="shared" si="1245"/>
        <v>0</v>
      </c>
      <c r="Y74" s="592">
        <f t="shared" si="1245"/>
        <v>0</v>
      </c>
      <c r="Z74" s="592">
        <f t="shared" si="1245"/>
        <v>0</v>
      </c>
      <c r="AA74" s="592">
        <f t="shared" si="1245"/>
        <v>0</v>
      </c>
      <c r="AB74" s="592">
        <f t="shared" si="1245"/>
        <v>0</v>
      </c>
      <c r="AC74" s="592">
        <f t="shared" si="1245"/>
        <v>0</v>
      </c>
      <c r="AD74" s="592">
        <f t="shared" si="1245"/>
        <v>0</v>
      </c>
      <c r="AE74" s="592">
        <f t="shared" si="1245"/>
        <v>0</v>
      </c>
      <c r="AF74" s="592">
        <f t="shared" si="1245"/>
        <v>0</v>
      </c>
      <c r="AG74" s="592">
        <f t="shared" si="1245"/>
        <v>0</v>
      </c>
      <c r="AH74" s="592">
        <f t="shared" si="1245"/>
        <v>0</v>
      </c>
      <c r="AI74" s="592">
        <f t="shared" ref="AI74:BN74" si="1246">+AI47</f>
        <v>0</v>
      </c>
      <c r="AJ74" s="592">
        <f t="shared" si="1246"/>
        <v>0</v>
      </c>
      <c r="AK74" s="592">
        <f t="shared" si="1246"/>
        <v>0</v>
      </c>
      <c r="AL74" s="592">
        <f t="shared" si="1246"/>
        <v>0</v>
      </c>
      <c r="AM74" s="592">
        <f t="shared" si="1246"/>
        <v>0</v>
      </c>
      <c r="AN74" s="592">
        <f t="shared" si="1246"/>
        <v>0</v>
      </c>
      <c r="AO74" s="592">
        <f t="shared" si="1246"/>
        <v>0</v>
      </c>
      <c r="AP74" s="592">
        <f t="shared" si="1246"/>
        <v>0</v>
      </c>
      <c r="AQ74" s="592">
        <f t="shared" si="1246"/>
        <v>0</v>
      </c>
      <c r="AR74" s="592">
        <f t="shared" si="1246"/>
        <v>0</v>
      </c>
      <c r="AS74" s="592">
        <f t="shared" si="1246"/>
        <v>0</v>
      </c>
      <c r="AT74" s="592">
        <f t="shared" si="1246"/>
        <v>0</v>
      </c>
      <c r="AU74" s="592">
        <f t="shared" si="1246"/>
        <v>0</v>
      </c>
      <c r="AV74" s="592">
        <f t="shared" si="1246"/>
        <v>0</v>
      </c>
      <c r="AW74" s="592">
        <f t="shared" si="1246"/>
        <v>0</v>
      </c>
      <c r="AX74" s="592">
        <f t="shared" si="1246"/>
        <v>0</v>
      </c>
      <c r="AY74" s="592">
        <f t="shared" si="1246"/>
        <v>0</v>
      </c>
      <c r="AZ74" s="910">
        <f t="shared" si="1246"/>
        <v>0</v>
      </c>
      <c r="BA74" s="592">
        <f t="shared" si="1246"/>
        <v>0</v>
      </c>
      <c r="BB74" s="592">
        <f t="shared" si="1246"/>
        <v>0</v>
      </c>
      <c r="BC74" s="592">
        <f t="shared" si="1246"/>
        <v>0</v>
      </c>
      <c r="BD74" s="592">
        <f t="shared" si="1246"/>
        <v>0</v>
      </c>
      <c r="BE74" s="592">
        <f t="shared" si="1246"/>
        <v>0</v>
      </c>
      <c r="BF74" s="592">
        <f t="shared" si="1246"/>
        <v>0</v>
      </c>
      <c r="BG74" s="592">
        <f t="shared" si="1246"/>
        <v>0</v>
      </c>
      <c r="BH74" s="592">
        <f t="shared" si="1246"/>
        <v>0</v>
      </c>
      <c r="BI74" s="592">
        <f t="shared" si="1246"/>
        <v>0</v>
      </c>
      <c r="BJ74" s="592">
        <f t="shared" si="1246"/>
        <v>0</v>
      </c>
      <c r="BK74" s="592">
        <f t="shared" si="1246"/>
        <v>0</v>
      </c>
      <c r="BL74" s="592">
        <f t="shared" si="1246"/>
        <v>0</v>
      </c>
      <c r="BM74" s="592">
        <f t="shared" si="1246"/>
        <v>0</v>
      </c>
      <c r="BN74" s="592">
        <f t="shared" si="1246"/>
        <v>0</v>
      </c>
      <c r="BO74" s="592">
        <f t="shared" ref="BO74:CH74" si="1247">+BO47</f>
        <v>0</v>
      </c>
      <c r="BP74" s="592">
        <f t="shared" si="1247"/>
        <v>0</v>
      </c>
      <c r="BQ74" s="592">
        <f t="shared" si="1247"/>
        <v>0</v>
      </c>
      <c r="BR74" s="592">
        <f t="shared" si="1247"/>
        <v>0</v>
      </c>
      <c r="BS74" s="592">
        <f t="shared" si="1247"/>
        <v>0</v>
      </c>
      <c r="BT74" s="592">
        <f t="shared" si="1247"/>
        <v>0</v>
      </c>
      <c r="BU74" s="592">
        <f t="shared" si="1247"/>
        <v>0</v>
      </c>
      <c r="BV74" s="592">
        <f t="shared" si="1247"/>
        <v>0</v>
      </c>
      <c r="BW74" s="592">
        <f t="shared" si="1247"/>
        <v>0</v>
      </c>
      <c r="BX74" s="592">
        <f t="shared" si="1247"/>
        <v>0</v>
      </c>
      <c r="BY74" s="592">
        <f t="shared" si="1247"/>
        <v>0</v>
      </c>
      <c r="BZ74" s="592">
        <f t="shared" si="1247"/>
        <v>0</v>
      </c>
      <c r="CA74" s="592">
        <f t="shared" si="1247"/>
        <v>0</v>
      </c>
      <c r="CB74" s="592">
        <f t="shared" si="1247"/>
        <v>0</v>
      </c>
      <c r="CC74" s="592">
        <f t="shared" si="1247"/>
        <v>0</v>
      </c>
      <c r="CD74" s="592">
        <f t="shared" si="1247"/>
        <v>0</v>
      </c>
      <c r="CE74" s="592">
        <f t="shared" si="1247"/>
        <v>0</v>
      </c>
      <c r="CF74" s="592">
        <f t="shared" si="1247"/>
        <v>0</v>
      </c>
      <c r="CG74" s="592">
        <f t="shared" si="1247"/>
        <v>0</v>
      </c>
      <c r="CH74" s="592">
        <f t="shared" si="1247"/>
        <v>0</v>
      </c>
      <c r="CI74" s="592">
        <f t="shared" ref="CI74:CL74" si="1248">+CI47</f>
        <v>0</v>
      </c>
      <c r="CJ74" s="592">
        <f t="shared" si="1248"/>
        <v>0</v>
      </c>
      <c r="CK74" s="592">
        <f t="shared" si="1248"/>
        <v>0</v>
      </c>
      <c r="CL74" s="592">
        <f t="shared" si="1248"/>
        <v>0</v>
      </c>
      <c r="CM74" s="592">
        <f t="shared" ref="CM74:CP74" si="1249">+CM47</f>
        <v>0</v>
      </c>
      <c r="CN74" s="592">
        <f t="shared" si="1249"/>
        <v>0</v>
      </c>
      <c r="CO74" s="592">
        <f t="shared" si="1249"/>
        <v>0</v>
      </c>
      <c r="CP74" s="592">
        <f t="shared" si="1249"/>
        <v>0</v>
      </c>
      <c r="CQ74" s="592"/>
      <c r="CR74" s="592">
        <v>0</v>
      </c>
      <c r="CT74" s="592"/>
      <c r="CU74" s="592"/>
      <c r="CV74" s="592"/>
      <c r="CW74" s="592"/>
      <c r="CX74" s="592">
        <f>+SUM(O74:R74)</f>
        <v>0</v>
      </c>
      <c r="CY74" s="942">
        <f>SUM(S74:V74)</f>
        <v>0</v>
      </c>
      <c r="CZ74" s="942">
        <f>SUM(W74:Z74)</f>
        <v>0</v>
      </c>
      <c r="DA74" s="942">
        <f>SUM(AA74:AD74)</f>
        <v>0</v>
      </c>
      <c r="DB74" s="592">
        <f>+DB47</f>
        <v>0</v>
      </c>
      <c r="DC74" s="939">
        <f>+SUM(AI74:AL74)</f>
        <v>0</v>
      </c>
      <c r="DD74" s="939">
        <f>+SUM(AM74:AP74)</f>
        <v>0</v>
      </c>
      <c r="DE74" s="939">
        <f>+SUM(AQ74:AT74)</f>
        <v>0</v>
      </c>
      <c r="DF74" s="592">
        <f t="shared" ref="DF74:DU74" si="1250">+DF47</f>
        <v>0</v>
      </c>
      <c r="DG74" s="592">
        <f t="shared" si="1250"/>
        <v>0</v>
      </c>
      <c r="DH74" s="592">
        <f t="shared" si="1250"/>
        <v>0</v>
      </c>
      <c r="DI74" s="592">
        <f t="shared" si="1250"/>
        <v>0</v>
      </c>
      <c r="DJ74" s="592">
        <f t="shared" si="1250"/>
        <v>0</v>
      </c>
      <c r="DK74" s="592">
        <f t="shared" si="1250"/>
        <v>0</v>
      </c>
      <c r="DL74" s="592">
        <f t="shared" si="1250"/>
        <v>0</v>
      </c>
      <c r="DM74" s="592">
        <f t="shared" si="1250"/>
        <v>0</v>
      </c>
      <c r="DN74" s="592">
        <f t="shared" si="1250"/>
        <v>0</v>
      </c>
      <c r="DO74" s="592">
        <f t="shared" si="1250"/>
        <v>0</v>
      </c>
      <c r="DP74" s="592">
        <f t="shared" ref="DP74:DQ74" si="1251">+DP47</f>
        <v>0</v>
      </c>
      <c r="DQ74" s="592">
        <f t="shared" si="1251"/>
        <v>0</v>
      </c>
      <c r="DR74" s="592">
        <f t="shared" si="1250"/>
        <v>0</v>
      </c>
      <c r="DS74" s="592">
        <f t="shared" si="1250"/>
        <v>0</v>
      </c>
      <c r="DT74" s="592">
        <f t="shared" si="1250"/>
        <v>0</v>
      </c>
      <c r="DU74" s="592">
        <f t="shared" si="1250"/>
        <v>0</v>
      </c>
      <c r="DX74" s="592">
        <v>0</v>
      </c>
      <c r="DY74" s="592">
        <v>0</v>
      </c>
    </row>
    <row r="75" spans="1:129" s="904" customFormat="1">
      <c r="A75" s="939"/>
      <c r="B75" s="949" t="s">
        <v>391</v>
      </c>
      <c r="C75" s="592">
        <f t="shared" ref="C75:AH75" si="1252">+C51</f>
        <v>0</v>
      </c>
      <c r="D75" s="592">
        <f t="shared" si="1252"/>
        <v>0</v>
      </c>
      <c r="E75" s="592">
        <f t="shared" si="1252"/>
        <v>0</v>
      </c>
      <c r="F75" s="592">
        <f t="shared" si="1252"/>
        <v>0</v>
      </c>
      <c r="G75" s="592">
        <f t="shared" si="1252"/>
        <v>0</v>
      </c>
      <c r="H75" s="592">
        <f t="shared" si="1252"/>
        <v>0</v>
      </c>
      <c r="I75" s="592">
        <f t="shared" si="1252"/>
        <v>0</v>
      </c>
      <c r="J75" s="592">
        <f t="shared" si="1252"/>
        <v>0</v>
      </c>
      <c r="K75" s="592">
        <f t="shared" si="1252"/>
        <v>0</v>
      </c>
      <c r="L75" s="592">
        <f t="shared" si="1252"/>
        <v>0</v>
      </c>
      <c r="M75" s="592">
        <f t="shared" si="1252"/>
        <v>0</v>
      </c>
      <c r="N75" s="592">
        <f t="shared" si="1252"/>
        <v>0</v>
      </c>
      <c r="O75" s="592">
        <f t="shared" si="1252"/>
        <v>0</v>
      </c>
      <c r="P75" s="592">
        <f t="shared" si="1252"/>
        <v>0</v>
      </c>
      <c r="Q75" s="592">
        <f t="shared" si="1252"/>
        <v>0</v>
      </c>
      <c r="R75" s="592">
        <f t="shared" si="1252"/>
        <v>0</v>
      </c>
      <c r="S75" s="592">
        <f t="shared" si="1252"/>
        <v>0</v>
      </c>
      <c r="T75" s="592">
        <f t="shared" si="1252"/>
        <v>0</v>
      </c>
      <c r="U75" s="592">
        <f t="shared" si="1252"/>
        <v>0</v>
      </c>
      <c r="V75" s="592">
        <f t="shared" si="1252"/>
        <v>0</v>
      </c>
      <c r="W75" s="592">
        <f t="shared" si="1252"/>
        <v>0</v>
      </c>
      <c r="X75" s="592">
        <f t="shared" si="1252"/>
        <v>0</v>
      </c>
      <c r="Y75" s="592">
        <f t="shared" si="1252"/>
        <v>0</v>
      </c>
      <c r="Z75" s="592">
        <f t="shared" si="1252"/>
        <v>0</v>
      </c>
      <c r="AA75" s="592">
        <f t="shared" si="1252"/>
        <v>0</v>
      </c>
      <c r="AB75" s="592">
        <f t="shared" si="1252"/>
        <v>0</v>
      </c>
      <c r="AC75" s="592">
        <f t="shared" si="1252"/>
        <v>0</v>
      </c>
      <c r="AD75" s="592">
        <f t="shared" si="1252"/>
        <v>0</v>
      </c>
      <c r="AE75" s="592">
        <f t="shared" si="1252"/>
        <v>0</v>
      </c>
      <c r="AF75" s="592">
        <f t="shared" si="1252"/>
        <v>0</v>
      </c>
      <c r="AG75" s="592">
        <f t="shared" si="1252"/>
        <v>0</v>
      </c>
      <c r="AH75" s="592">
        <f t="shared" si="1252"/>
        <v>0</v>
      </c>
      <c r="AI75" s="592">
        <f t="shared" ref="AI75:BN75" si="1253">+AI51</f>
        <v>0</v>
      </c>
      <c r="AJ75" s="592">
        <f t="shared" si="1253"/>
        <v>0</v>
      </c>
      <c r="AK75" s="592">
        <f t="shared" si="1253"/>
        <v>0</v>
      </c>
      <c r="AL75" s="592">
        <f t="shared" si="1253"/>
        <v>0</v>
      </c>
      <c r="AM75" s="592">
        <f t="shared" si="1253"/>
        <v>0</v>
      </c>
      <c r="AN75" s="592">
        <f t="shared" si="1253"/>
        <v>0</v>
      </c>
      <c r="AO75" s="592">
        <f t="shared" si="1253"/>
        <v>0</v>
      </c>
      <c r="AP75" s="592">
        <f t="shared" si="1253"/>
        <v>0</v>
      </c>
      <c r="AQ75" s="592">
        <f t="shared" si="1253"/>
        <v>48304</v>
      </c>
      <c r="AR75" s="592">
        <f t="shared" si="1253"/>
        <v>51633</v>
      </c>
      <c r="AS75" s="592">
        <f t="shared" si="1253"/>
        <v>55024</v>
      </c>
      <c r="AT75" s="592">
        <f t="shared" si="1253"/>
        <v>57771</v>
      </c>
      <c r="AU75" s="592">
        <f t="shared" si="1253"/>
        <v>61385.209040000002</v>
      </c>
      <c r="AV75" s="592">
        <f t="shared" si="1253"/>
        <v>63684.935679999799</v>
      </c>
      <c r="AW75" s="592">
        <f t="shared" si="1253"/>
        <v>68235</v>
      </c>
      <c r="AX75" s="592">
        <f t="shared" si="1253"/>
        <v>71475</v>
      </c>
      <c r="AY75" s="592">
        <f t="shared" si="1253"/>
        <v>73366</v>
      </c>
      <c r="AZ75" s="910">
        <f t="shared" si="1253"/>
        <v>76912</v>
      </c>
      <c r="BA75" s="592">
        <f t="shared" si="1253"/>
        <v>78601</v>
      </c>
      <c r="BB75" s="592">
        <f t="shared" si="1253"/>
        <v>82382</v>
      </c>
      <c r="BC75" s="592">
        <f t="shared" si="1253"/>
        <v>79114</v>
      </c>
      <c r="BD75" s="592">
        <f t="shared" si="1253"/>
        <v>79710</v>
      </c>
      <c r="BE75" s="592">
        <f t="shared" si="1253"/>
        <v>82769</v>
      </c>
      <c r="BF75" s="592">
        <f t="shared" si="1253"/>
        <v>87459</v>
      </c>
      <c r="BG75" s="592">
        <f t="shared" si="1253"/>
        <v>73848</v>
      </c>
      <c r="BH75" s="592">
        <f t="shared" si="1253"/>
        <v>76281</v>
      </c>
      <c r="BI75" s="592">
        <f t="shared" si="1253"/>
        <v>81285</v>
      </c>
      <c r="BJ75" s="592">
        <f t="shared" si="1253"/>
        <v>83160</v>
      </c>
      <c r="BK75" s="592">
        <f t="shared" si="1253"/>
        <v>86880</v>
      </c>
      <c r="BL75" s="592">
        <f t="shared" si="1253"/>
        <v>90760</v>
      </c>
      <c r="BM75" s="592">
        <f t="shared" si="1253"/>
        <v>68749</v>
      </c>
      <c r="BN75" s="592">
        <f t="shared" si="1253"/>
        <v>46862</v>
      </c>
      <c r="BO75" s="592">
        <f t="shared" ref="BO75:CH75" si="1254">+BO51</f>
        <v>99778</v>
      </c>
      <c r="BP75" s="592">
        <f t="shared" si="1254"/>
        <v>104813</v>
      </c>
      <c r="BQ75" s="592">
        <f t="shared" si="1254"/>
        <v>109782</v>
      </c>
      <c r="BR75" s="592">
        <f t="shared" si="1254"/>
        <v>79479</v>
      </c>
      <c r="BS75" s="592">
        <f t="shared" si="1254"/>
        <v>101794</v>
      </c>
      <c r="BT75" s="592">
        <f t="shared" si="1254"/>
        <v>103994</v>
      </c>
      <c r="BU75" s="592">
        <f t="shared" si="1254"/>
        <v>106387</v>
      </c>
      <c r="BV75" s="592">
        <f t="shared" si="1254"/>
        <v>106341</v>
      </c>
      <c r="BW75" s="592">
        <f t="shared" si="1254"/>
        <v>114486.85</v>
      </c>
      <c r="BX75" s="592">
        <f t="shared" si="1254"/>
        <v>124004.98</v>
      </c>
      <c r="BY75" s="592">
        <f t="shared" si="1254"/>
        <v>126775</v>
      </c>
      <c r="BZ75" s="592">
        <f t="shared" si="1254"/>
        <v>87420.170000000013</v>
      </c>
      <c r="CA75" s="592">
        <f t="shared" si="1254"/>
        <v>137368</v>
      </c>
      <c r="CB75" s="592">
        <f t="shared" si="1254"/>
        <v>142486</v>
      </c>
      <c r="CC75" s="592">
        <f t="shared" si="1254"/>
        <v>146137</v>
      </c>
      <c r="CD75" s="592">
        <f t="shared" si="1254"/>
        <v>159261</v>
      </c>
      <c r="CE75" s="592">
        <f t="shared" si="1254"/>
        <v>168860</v>
      </c>
      <c r="CF75" s="592">
        <f t="shared" si="1254"/>
        <v>173096</v>
      </c>
      <c r="CG75" s="592">
        <f t="shared" si="1254"/>
        <v>173905</v>
      </c>
      <c r="CH75" s="592">
        <f t="shared" si="1254"/>
        <v>435324</v>
      </c>
      <c r="CI75" s="592">
        <f t="shared" ref="CI75:CL75" si="1255">+CI51</f>
        <v>175868</v>
      </c>
      <c r="CJ75" s="592">
        <f t="shared" si="1255"/>
        <v>181969</v>
      </c>
      <c r="CK75" s="592">
        <f t="shared" si="1255"/>
        <v>177599</v>
      </c>
      <c r="CL75" s="592">
        <f t="shared" si="1255"/>
        <v>179307.52635400003</v>
      </c>
      <c r="CM75" s="592">
        <f t="shared" ref="CM75:CP75" si="1256">+CM51</f>
        <v>187201.79310530573</v>
      </c>
      <c r="CN75" s="592">
        <f t="shared" si="1256"/>
        <v>181367.43567025062</v>
      </c>
      <c r="CO75" s="592">
        <f t="shared" si="1256"/>
        <v>179727.00046475968</v>
      </c>
      <c r="CP75" s="592">
        <f t="shared" si="1256"/>
        <v>179382.27430944791</v>
      </c>
      <c r="CQ75" s="592"/>
      <c r="CR75" s="592">
        <v>179307.52635400003</v>
      </c>
      <c r="CT75" s="592"/>
      <c r="CU75" s="592"/>
      <c r="CV75" s="592"/>
      <c r="CW75" s="592"/>
      <c r="CX75" s="592">
        <f>+SUM(O75:R75)</f>
        <v>0</v>
      </c>
      <c r="CY75" s="942">
        <f>SUM(S75:V75)</f>
        <v>0</v>
      </c>
      <c r="CZ75" s="942">
        <f>SUM(W75:Z75)</f>
        <v>0</v>
      </c>
      <c r="DA75" s="942">
        <f>SUM(AA75:AD75)</f>
        <v>0</v>
      </c>
      <c r="DB75" s="592">
        <f>+DB51</f>
        <v>0</v>
      </c>
      <c r="DC75" s="939">
        <f>+SUM(AI75:AL75)</f>
        <v>0</v>
      </c>
      <c r="DD75" s="939">
        <f>+SUM(AM75:AP75)</f>
        <v>0</v>
      </c>
      <c r="DE75" s="939">
        <f>+SUM(AQ75:AT75)</f>
        <v>212732</v>
      </c>
      <c r="DF75" s="592">
        <f t="shared" ref="DF75:DU75" si="1257">+DF51</f>
        <v>264780.14471999981</v>
      </c>
      <c r="DG75" s="592">
        <f t="shared" si="1257"/>
        <v>311261</v>
      </c>
      <c r="DH75" s="592">
        <f t="shared" si="1257"/>
        <v>329052</v>
      </c>
      <c r="DI75" s="592">
        <f t="shared" si="1257"/>
        <v>314574</v>
      </c>
      <c r="DJ75" s="592">
        <f t="shared" si="1257"/>
        <v>293251</v>
      </c>
      <c r="DK75" s="592">
        <f t="shared" si="1257"/>
        <v>393852</v>
      </c>
      <c r="DL75" s="592">
        <f t="shared" si="1257"/>
        <v>418516</v>
      </c>
      <c r="DM75" s="592">
        <f t="shared" si="1257"/>
        <v>452687</v>
      </c>
      <c r="DN75" s="592">
        <f t="shared" si="1257"/>
        <v>585252</v>
      </c>
      <c r="DO75" s="592">
        <f t="shared" si="1257"/>
        <v>693477</v>
      </c>
      <c r="DP75" s="592">
        <f t="shared" ref="DP75:DQ75" si="1258">+DP51</f>
        <v>714743.52635399997</v>
      </c>
      <c r="DQ75" s="592">
        <f t="shared" si="1258"/>
        <v>727678.50354976393</v>
      </c>
      <c r="DR75" s="592">
        <f t="shared" si="1257"/>
        <v>720660.44496359664</v>
      </c>
      <c r="DS75" s="592">
        <f t="shared" si="1257"/>
        <v>729341.96298633947</v>
      </c>
      <c r="DT75" s="592">
        <f t="shared" si="1257"/>
        <v>748932.16325390956</v>
      </c>
      <c r="DU75" s="592">
        <f t="shared" si="1257"/>
        <v>777600.53398521373</v>
      </c>
      <c r="DX75" s="592">
        <v>725602.9265203285</v>
      </c>
      <c r="DY75" s="592">
        <v>740440.47533634526</v>
      </c>
    </row>
    <row r="76" spans="1:129" s="904" customFormat="1">
      <c r="A76" s="939"/>
      <c r="B76" s="949" t="s">
        <v>392</v>
      </c>
      <c r="C76" s="592" t="e">
        <f>+C72-#REF!+C73+C74+C75</f>
        <v>#REF!</v>
      </c>
      <c r="D76" s="592" t="e">
        <f>+D72-#REF!+D73+D74+D75</f>
        <v>#REF!</v>
      </c>
      <c r="E76" s="592" t="e">
        <f>+E72-#REF!+E73+E74+E75</f>
        <v>#REF!</v>
      </c>
      <c r="F76" s="592" t="e">
        <f>+F72-#REF!+F73+F74+F75</f>
        <v>#REF!</v>
      </c>
      <c r="G76" s="592" t="e">
        <f>+G72-#REF!+G73+G74+G75</f>
        <v>#REF!</v>
      </c>
      <c r="H76" s="592" t="e">
        <f>+H72-#REF!+H73+H74+H75</f>
        <v>#REF!</v>
      </c>
      <c r="I76" s="592" t="e">
        <f>+I72-#REF!+I73+I74+I75</f>
        <v>#REF!</v>
      </c>
      <c r="J76" s="592" t="e">
        <f>+J72-#REF!+J73+J74+J75</f>
        <v>#REF!</v>
      </c>
      <c r="K76" s="592" t="e">
        <f>+K72-#REF!+K73+K74+K75</f>
        <v>#REF!</v>
      </c>
      <c r="L76" s="592" t="e">
        <f>+L72-#REF!+L73+L74+L75</f>
        <v>#REF!</v>
      </c>
      <c r="M76" s="592" t="e">
        <f>+M72-#REF!+M73+M74+M75</f>
        <v>#REF!</v>
      </c>
      <c r="N76" s="592" t="e">
        <f>+N72-#REF!+N73+N74+N75</f>
        <v>#REF!</v>
      </c>
      <c r="O76" s="592" t="e">
        <f>+O72-#REF!+O73+O74+O75</f>
        <v>#REF!</v>
      </c>
      <c r="P76" s="592" t="e">
        <f>+P72-#REF!+P73+P74+P75</f>
        <v>#REF!</v>
      </c>
      <c r="Q76" s="592" t="e">
        <f>+Q72-#REF!+Q73+Q74+Q75</f>
        <v>#REF!</v>
      </c>
      <c r="R76" s="592" t="e">
        <f>+R72-#REF!+R73+R74+R75</f>
        <v>#REF!</v>
      </c>
      <c r="S76" s="592" t="e">
        <f>+S72-#REF!+S73+S74+S75</f>
        <v>#REF!</v>
      </c>
      <c r="T76" s="592" t="e">
        <f>+T72-#REF!+T73+T74+T75</f>
        <v>#REF!</v>
      </c>
      <c r="U76" s="592" t="e">
        <f>+U72-#REF!+U73+U74+U75</f>
        <v>#REF!</v>
      </c>
      <c r="V76" s="592" t="e">
        <f>+V72-#REF!+V73+V74+V75</f>
        <v>#REF!</v>
      </c>
      <c r="W76" s="592" t="e">
        <f>+W72-#REF!+W73+W74+W75</f>
        <v>#REF!</v>
      </c>
      <c r="X76" s="592" t="e">
        <f>+X72-#REF!+X73+X74+X75</f>
        <v>#REF!</v>
      </c>
      <c r="Y76" s="592" t="e">
        <f>+Y72-#REF!+Y73+Y74+Y75</f>
        <v>#REF!</v>
      </c>
      <c r="Z76" s="592" t="e">
        <f>+Z72-#REF!+Z73+Z74+Z75</f>
        <v>#REF!</v>
      </c>
      <c r="AA76" s="592" t="e">
        <f>+AA72-#REF!+AA73+AA74+AA75</f>
        <v>#REF!</v>
      </c>
      <c r="AB76" s="592" t="e">
        <f>+AB72-#REF!+AB73+AB74+AB75</f>
        <v>#REF!</v>
      </c>
      <c r="AC76" s="592" t="e">
        <f>+AC72-#REF!+AC73+AC74+AC75</f>
        <v>#REF!</v>
      </c>
      <c r="AD76" s="592" t="e">
        <f>+AD72-#REF!+AD73+AD74+AD75</f>
        <v>#REF!</v>
      </c>
      <c r="AE76" s="592" t="e">
        <f>+AE72-#REF!+AE73+AE74+AE75</f>
        <v>#REF!</v>
      </c>
      <c r="AF76" s="592" t="e">
        <f>+AF72-#REF!+AF73+AF74+AF75</f>
        <v>#REF!</v>
      </c>
      <c r="AG76" s="592" t="e">
        <f>+AG72-#REF!+AG73+AG74+AG75</f>
        <v>#REF!</v>
      </c>
      <c r="AH76" s="592" t="e">
        <f>+AH72-#REF!+AH73+AH74+AH75</f>
        <v>#REF!</v>
      </c>
      <c r="AI76" s="592" t="e">
        <f>+AI72-#REF!+AI73+AI74+AI75</f>
        <v>#REF!</v>
      </c>
      <c r="AJ76" s="592" t="e">
        <f>+AJ72-#REF!+AJ73+AJ74+AJ75</f>
        <v>#REF!</v>
      </c>
      <c r="AK76" s="592" t="e">
        <f>+AK72-#REF!+AK73+AK74+AK75</f>
        <v>#REF!</v>
      </c>
      <c r="AL76" s="592" t="e">
        <f>+AL72-#REF!+AL73+AL74+AL75</f>
        <v>#REF!</v>
      </c>
      <c r="AM76" s="592" t="e">
        <f>+AM72-#REF!+AM73+AM74+AM75</f>
        <v>#REF!</v>
      </c>
      <c r="AN76" s="592" t="e">
        <f>+AN72-#REF!+AN73+AN74+AN75</f>
        <v>#REF!</v>
      </c>
      <c r="AO76" s="592" t="e">
        <f>+AO72-#REF!+AO73+AO74+AO75</f>
        <v>#REF!</v>
      </c>
      <c r="AP76" s="592" t="e">
        <f>+AP72-#REF!+AP73+AP74+AP75</f>
        <v>#REF!</v>
      </c>
      <c r="AQ76" s="592" t="e">
        <f>+AQ72-#REF!+AQ73+AQ74+AQ75</f>
        <v>#REF!</v>
      </c>
      <c r="AR76" s="592" t="e">
        <f>+AR72-#REF!+AR73+AR74+AR75</f>
        <v>#REF!</v>
      </c>
      <c r="AS76" s="592" t="e">
        <f>+AS72-#REF!+AS73+AS74+AS75</f>
        <v>#REF!</v>
      </c>
      <c r="AT76" s="592" t="e">
        <f>+AT72-#REF!+AT73+AT74+AT75</f>
        <v>#REF!</v>
      </c>
      <c r="AU76" s="592">
        <f t="shared" ref="AU76:BU76" si="1259">+AU72+AU73+AU74+AU75</f>
        <v>162180.70635000014</v>
      </c>
      <c r="AV76" s="592">
        <f t="shared" si="1259"/>
        <v>195703.57631999991</v>
      </c>
      <c r="AW76" s="592">
        <f t="shared" si="1259"/>
        <v>201677</v>
      </c>
      <c r="AX76" s="592">
        <f t="shared" si="1259"/>
        <v>291641.30340999993</v>
      </c>
      <c r="AY76" s="592">
        <f t="shared" si="1259"/>
        <v>106162</v>
      </c>
      <c r="AZ76" s="910">
        <f t="shared" si="1259"/>
        <v>224431</v>
      </c>
      <c r="BA76" s="592">
        <f t="shared" si="1259"/>
        <v>165421</v>
      </c>
      <c r="BB76" s="592">
        <f t="shared" si="1259"/>
        <v>381473</v>
      </c>
      <c r="BC76" s="592">
        <f t="shared" si="1259"/>
        <v>159938</v>
      </c>
      <c r="BD76" s="592">
        <f t="shared" si="1259"/>
        <v>287589</v>
      </c>
      <c r="BE76" s="592">
        <f t="shared" si="1259"/>
        <v>187767</v>
      </c>
      <c r="BF76" s="592">
        <f t="shared" si="1259"/>
        <v>383802</v>
      </c>
      <c r="BG76" s="592">
        <f t="shared" si="1259"/>
        <v>177300</v>
      </c>
      <c r="BH76" s="592">
        <f t="shared" si="1259"/>
        <v>384623.45974999992</v>
      </c>
      <c r="BI76" s="592">
        <f t="shared" si="1259"/>
        <v>286297.95678999997</v>
      </c>
      <c r="BJ76" s="592">
        <f t="shared" si="1259"/>
        <v>532231.25080000004</v>
      </c>
      <c r="BK76" s="592">
        <f t="shared" si="1259"/>
        <v>266592</v>
      </c>
      <c r="BL76" s="592">
        <f t="shared" si="1259"/>
        <v>298455</v>
      </c>
      <c r="BM76" s="592">
        <f t="shared" si="1259"/>
        <v>241151</v>
      </c>
      <c r="BN76" s="592">
        <f t="shared" si="1259"/>
        <v>523934</v>
      </c>
      <c r="BO76" s="592">
        <f t="shared" si="1259"/>
        <v>82297</v>
      </c>
      <c r="BP76" s="592">
        <f t="shared" si="1259"/>
        <v>910531</v>
      </c>
      <c r="BQ76" s="592">
        <f t="shared" si="1259"/>
        <v>-17813</v>
      </c>
      <c r="BR76" s="592">
        <f t="shared" si="1259"/>
        <v>440931</v>
      </c>
      <c r="BS76" s="592">
        <f t="shared" si="1259"/>
        <v>-168154</v>
      </c>
      <c r="BT76" s="592">
        <f t="shared" si="1259"/>
        <v>232468</v>
      </c>
      <c r="BU76" s="592">
        <f t="shared" si="1259"/>
        <v>312369.33947000233</v>
      </c>
      <c r="BV76" s="592">
        <f>+BV72+BV73+BV74+BV75</f>
        <v>498011.81354999915</v>
      </c>
      <c r="BW76" s="592">
        <f t="shared" ref="BW76:DR76" si="1260">+BW72+BW73+BW74+BW75</f>
        <v>183965.85</v>
      </c>
      <c r="BX76" s="592">
        <f t="shared" si="1260"/>
        <v>530498.98</v>
      </c>
      <c r="BY76" s="592">
        <f t="shared" si="1260"/>
        <v>434429</v>
      </c>
      <c r="BZ76" s="592">
        <f t="shared" si="1260"/>
        <v>497664.17000000004</v>
      </c>
      <c r="CA76" s="592">
        <f t="shared" si="1260"/>
        <v>82800</v>
      </c>
      <c r="CB76" s="592">
        <f t="shared" si="1260"/>
        <v>331434</v>
      </c>
      <c r="CC76" s="592">
        <f t="shared" si="1260"/>
        <v>284421</v>
      </c>
      <c r="CD76" s="592">
        <f t="shared" si="1260"/>
        <v>615223</v>
      </c>
      <c r="CE76" s="592">
        <f t="shared" ref="CE76:CH76" si="1261">+CE72+CE73+CE74+CE75</f>
        <v>275980</v>
      </c>
      <c r="CF76" s="592">
        <f t="shared" si="1261"/>
        <v>553776</v>
      </c>
      <c r="CG76" s="592">
        <f t="shared" si="1261"/>
        <v>420755</v>
      </c>
      <c r="CH76" s="592">
        <f t="shared" si="1261"/>
        <v>912383</v>
      </c>
      <c r="CI76" s="592">
        <f t="shared" ref="CI76:CL76" si="1262">+CI72+CI73+CI74+CI75</f>
        <v>340566</v>
      </c>
      <c r="CJ76" s="592">
        <f t="shared" si="1262"/>
        <v>608695</v>
      </c>
      <c r="CK76" s="592">
        <f t="shared" si="1262"/>
        <v>466998</v>
      </c>
      <c r="CL76" s="592">
        <f t="shared" si="1262"/>
        <v>661757.80939588486</v>
      </c>
      <c r="CM76" s="592">
        <f t="shared" ref="CM76:CP76" si="1263">+CM72+CM73+CM74+CM75</f>
        <v>370948.65792643256</v>
      </c>
      <c r="CN76" s="592">
        <f t="shared" si="1263"/>
        <v>555152.68931076874</v>
      </c>
      <c r="CO76" s="592">
        <f t="shared" si="1263"/>
        <v>416158.88035257929</v>
      </c>
      <c r="CP76" s="592">
        <f t="shared" si="1263"/>
        <v>720050.19915565941</v>
      </c>
      <c r="CQ76" s="592"/>
      <c r="CR76" s="592">
        <v>661757.80939588486</v>
      </c>
      <c r="CT76" s="592"/>
      <c r="CU76" s="592">
        <f t="shared" si="1260"/>
        <v>0</v>
      </c>
      <c r="CV76" s="592"/>
      <c r="CW76" s="592">
        <f t="shared" si="1260"/>
        <v>0</v>
      </c>
      <c r="CX76" s="592">
        <f t="shared" si="1260"/>
        <v>140025</v>
      </c>
      <c r="CY76" s="942" t="e">
        <f t="shared" si="1260"/>
        <v>#REF!</v>
      </c>
      <c r="CZ76" s="942">
        <f t="shared" si="1260"/>
        <v>170024</v>
      </c>
      <c r="DA76" s="942">
        <f t="shared" si="1260"/>
        <v>257846</v>
      </c>
      <c r="DB76" s="592">
        <f t="shared" si="1260"/>
        <v>298041.00000000012</v>
      </c>
      <c r="DC76" s="939">
        <f t="shared" si="1260"/>
        <v>314888.00000000012</v>
      </c>
      <c r="DD76" s="939">
        <f t="shared" si="1260"/>
        <v>455553.00000000012</v>
      </c>
      <c r="DE76" s="939">
        <f t="shared" si="1260"/>
        <v>862107.78900000022</v>
      </c>
      <c r="DF76" s="592">
        <f t="shared" si="1260"/>
        <v>851202.58608000004</v>
      </c>
      <c r="DG76" s="592">
        <f t="shared" si="1260"/>
        <v>877487</v>
      </c>
      <c r="DH76" s="592">
        <f t="shared" si="1260"/>
        <v>1019096</v>
      </c>
      <c r="DI76" s="592">
        <f t="shared" si="1260"/>
        <v>1380452.6673399997</v>
      </c>
      <c r="DJ76" s="592">
        <f t="shared" si="1260"/>
        <v>1330132</v>
      </c>
      <c r="DK76" s="592">
        <f t="shared" si="1260"/>
        <v>1415946</v>
      </c>
      <c r="DL76" s="592">
        <f t="shared" si="1260"/>
        <v>874695.15302000195</v>
      </c>
      <c r="DM76" s="592">
        <f t="shared" si="1260"/>
        <v>1646558</v>
      </c>
      <c r="DN76" s="592">
        <f t="shared" si="1260"/>
        <v>1313878</v>
      </c>
      <c r="DO76" s="592">
        <f t="shared" ref="DO76:DP76" si="1264">+DO72+DO73+DO74+DO75</f>
        <v>1905186</v>
      </c>
      <c r="DP76" s="592">
        <f t="shared" si="1264"/>
        <v>2078016.8093958856</v>
      </c>
      <c r="DQ76" s="592">
        <f t="shared" ref="DQ76" si="1265">+DQ72+DQ73+DQ74+DQ75</f>
        <v>2062310.4267454415</v>
      </c>
      <c r="DR76" s="592">
        <f t="shared" si="1260"/>
        <v>2515593.9990244554</v>
      </c>
      <c r="DS76" s="592">
        <f t="shared" ref="DS76:DU76" si="1266">+DS72+DS73+DS74+DS75</f>
        <v>2789560.6553706918</v>
      </c>
      <c r="DT76" s="592">
        <f t="shared" si="1266"/>
        <v>3035584.3191893115</v>
      </c>
      <c r="DU76" s="592">
        <f t="shared" si="1266"/>
        <v>3293203.9509511376</v>
      </c>
      <c r="DX76" s="592">
        <v>2245835.2814316973</v>
      </c>
      <c r="DY76" s="592">
        <v>2668266.1826223456</v>
      </c>
    </row>
    <row r="77" spans="1:129" s="904" customFormat="1">
      <c r="A77" s="939"/>
      <c r="B77" s="949" t="s">
        <v>393</v>
      </c>
      <c r="C77" s="592">
        <f t="shared" ref="C77:AH77" si="1267">+C54-C55</f>
        <v>7400</v>
      </c>
      <c r="D77" s="592">
        <f t="shared" si="1267"/>
        <v>0</v>
      </c>
      <c r="E77" s="592">
        <f t="shared" si="1267"/>
        <v>0</v>
      </c>
      <c r="F77" s="592">
        <f t="shared" si="1267"/>
        <v>16100.000000000002</v>
      </c>
      <c r="G77" s="592">
        <f t="shared" si="1267"/>
        <v>6600</v>
      </c>
      <c r="H77" s="592">
        <f t="shared" si="1267"/>
        <v>10200</v>
      </c>
      <c r="I77" s="592">
        <f t="shared" si="1267"/>
        <v>6700.0000000000009</v>
      </c>
      <c r="J77" s="592">
        <f t="shared" si="1267"/>
        <v>32400</v>
      </c>
      <c r="K77" s="592">
        <f t="shared" si="1267"/>
        <v>16800</v>
      </c>
      <c r="L77" s="592">
        <f t="shared" si="1267"/>
        <v>32800</v>
      </c>
      <c r="M77" s="592">
        <f t="shared" si="1267"/>
        <v>21900</v>
      </c>
      <c r="N77" s="592">
        <f t="shared" si="1267"/>
        <v>47500</v>
      </c>
      <c r="O77" s="592">
        <f t="shared" si="1267"/>
        <v>11600</v>
      </c>
      <c r="P77" s="592">
        <f t="shared" si="1267"/>
        <v>24200</v>
      </c>
      <c r="Q77" s="592">
        <f t="shared" si="1267"/>
        <v>16800</v>
      </c>
      <c r="R77" s="592">
        <f t="shared" si="1267"/>
        <v>55900</v>
      </c>
      <c r="S77" s="592">
        <f t="shared" si="1267"/>
        <v>18100</v>
      </c>
      <c r="T77" s="592">
        <f t="shared" si="1267"/>
        <v>30400</v>
      </c>
      <c r="U77" s="592">
        <f t="shared" si="1267"/>
        <v>36700</v>
      </c>
      <c r="V77" s="592">
        <f t="shared" si="1267"/>
        <v>51600</v>
      </c>
      <c r="W77" s="592">
        <f t="shared" si="1267"/>
        <v>6400</v>
      </c>
      <c r="X77" s="592">
        <f t="shared" si="1267"/>
        <v>21500</v>
      </c>
      <c r="Y77" s="592">
        <f t="shared" si="1267"/>
        <v>14200</v>
      </c>
      <c r="Z77" s="592">
        <f t="shared" si="1267"/>
        <v>27000</v>
      </c>
      <c r="AA77" s="592">
        <f t="shared" si="1267"/>
        <v>15900</v>
      </c>
      <c r="AB77" s="592">
        <f t="shared" si="1267"/>
        <v>20600</v>
      </c>
      <c r="AC77" s="592">
        <f t="shared" si="1267"/>
        <v>27100</v>
      </c>
      <c r="AD77" s="592">
        <f t="shared" si="1267"/>
        <v>96700</v>
      </c>
      <c r="AE77" s="592">
        <f t="shared" si="1267"/>
        <v>24000</v>
      </c>
      <c r="AF77" s="592">
        <f t="shared" si="1267"/>
        <v>64300</v>
      </c>
      <c r="AG77" s="592">
        <f t="shared" si="1267"/>
        <v>55700</v>
      </c>
      <c r="AH77" s="592">
        <f t="shared" si="1267"/>
        <v>152600</v>
      </c>
      <c r="AI77" s="592">
        <f t="shared" ref="AI77:BN77" si="1268">+AI54-AI55</f>
        <v>69800</v>
      </c>
      <c r="AJ77" s="592">
        <f t="shared" si="1268"/>
        <v>67100</v>
      </c>
      <c r="AK77" s="592">
        <f t="shared" si="1268"/>
        <v>86400</v>
      </c>
      <c r="AL77" s="592">
        <f t="shared" si="1268"/>
        <v>150200</v>
      </c>
      <c r="AM77" s="592">
        <f t="shared" si="1268"/>
        <v>36800</v>
      </c>
      <c r="AN77" s="592">
        <f t="shared" si="1268"/>
        <v>65800</v>
      </c>
      <c r="AO77" s="592">
        <f t="shared" si="1268"/>
        <v>123400</v>
      </c>
      <c r="AP77" s="592">
        <f t="shared" si="1268"/>
        <v>186200</v>
      </c>
      <c r="AQ77" s="592">
        <f t="shared" si="1268"/>
        <v>77400</v>
      </c>
      <c r="AR77" s="592">
        <f t="shared" si="1268"/>
        <v>116000</v>
      </c>
      <c r="AS77" s="592">
        <f t="shared" si="1268"/>
        <v>131600</v>
      </c>
      <c r="AT77" s="592">
        <f t="shared" si="1268"/>
        <v>177000</v>
      </c>
      <c r="AU77" s="592">
        <f t="shared" si="1268"/>
        <v>71400</v>
      </c>
      <c r="AV77" s="592">
        <f t="shared" si="1268"/>
        <v>146600</v>
      </c>
      <c r="AW77" s="592">
        <f t="shared" si="1268"/>
        <v>166800</v>
      </c>
      <c r="AX77" s="592">
        <f t="shared" si="1268"/>
        <v>186600</v>
      </c>
      <c r="AY77" s="592">
        <f t="shared" si="1268"/>
        <v>87600</v>
      </c>
      <c r="AZ77" s="910">
        <f t="shared" si="1268"/>
        <v>157900</v>
      </c>
      <c r="BA77" s="592">
        <f t="shared" si="1268"/>
        <v>106800</v>
      </c>
      <c r="BB77" s="592">
        <f t="shared" si="1268"/>
        <v>160200</v>
      </c>
      <c r="BC77" s="592">
        <f t="shared" si="1268"/>
        <v>66472.064909999986</v>
      </c>
      <c r="BD77" s="592">
        <f t="shared" si="1268"/>
        <v>118751.00000000006</v>
      </c>
      <c r="BE77" s="592">
        <f t="shared" si="1268"/>
        <v>134932.00000000006</v>
      </c>
      <c r="BF77" s="592">
        <f t="shared" si="1268"/>
        <v>230243.77737777628</v>
      </c>
      <c r="BG77" s="592">
        <f t="shared" si="1268"/>
        <v>94100.000000000015</v>
      </c>
      <c r="BH77" s="592">
        <f t="shared" si="1268"/>
        <v>134173.07100199937</v>
      </c>
      <c r="BI77" s="592">
        <f t="shared" si="1268"/>
        <v>158309.76684999999</v>
      </c>
      <c r="BJ77" s="592">
        <f t="shared" si="1268"/>
        <v>223778.16057000001</v>
      </c>
      <c r="BK77" s="592">
        <f t="shared" si="1268"/>
        <v>78882.000000000015</v>
      </c>
      <c r="BL77" s="592">
        <f t="shared" si="1268"/>
        <v>166460.38018388761</v>
      </c>
      <c r="BM77" s="592">
        <f t="shared" si="1268"/>
        <v>257331.54870320793</v>
      </c>
      <c r="BN77" s="592">
        <f t="shared" si="1268"/>
        <v>248530.21191490331</v>
      </c>
      <c r="BO77" s="592">
        <f t="shared" ref="BO77:CH77" si="1269">+BO54-BO55</f>
        <v>89439.747971866018</v>
      </c>
      <c r="BP77" s="592">
        <f t="shared" si="1269"/>
        <v>141500</v>
      </c>
      <c r="BQ77" s="592">
        <f t="shared" si="1269"/>
        <v>188908.60608999999</v>
      </c>
      <c r="BR77" s="592">
        <f t="shared" si="1269"/>
        <v>124800</v>
      </c>
      <c r="BS77" s="592">
        <f t="shared" si="1269"/>
        <v>264127.59803791996</v>
      </c>
      <c r="BT77" s="592">
        <f t="shared" si="1269"/>
        <v>254113.98082636279</v>
      </c>
      <c r="BU77" s="592">
        <f t="shared" si="1269"/>
        <v>186577.02864050001</v>
      </c>
      <c r="BV77" s="592">
        <f t="shared" si="1269"/>
        <v>383621.7333075999</v>
      </c>
      <c r="BW77" s="592">
        <f t="shared" si="1269"/>
        <v>114714.13055725199</v>
      </c>
      <c r="BX77" s="592">
        <f t="shared" si="1269"/>
        <v>208002.842233943</v>
      </c>
      <c r="BY77" s="592">
        <f t="shared" si="1269"/>
        <v>263735.55669179885</v>
      </c>
      <c r="BZ77" s="592">
        <f t="shared" si="1269"/>
        <v>408540.19999999995</v>
      </c>
      <c r="CA77" s="592">
        <f t="shared" si="1269"/>
        <v>81434.505072202272</v>
      </c>
      <c r="CB77" s="592">
        <f t="shared" si="1269"/>
        <v>235870.79286433975</v>
      </c>
      <c r="CC77" s="592">
        <f t="shared" si="1269"/>
        <v>244065.75667637054</v>
      </c>
      <c r="CD77" s="592">
        <f t="shared" si="1269"/>
        <v>327446.57132743066</v>
      </c>
      <c r="CE77" s="592">
        <f t="shared" si="1269"/>
        <v>68973.813961094056</v>
      </c>
      <c r="CF77" s="592">
        <f t="shared" si="1269"/>
        <v>137127.8303906752</v>
      </c>
      <c r="CG77" s="592">
        <f t="shared" si="1269"/>
        <v>172912.39856704586</v>
      </c>
      <c r="CH77" s="592">
        <f t="shared" si="1269"/>
        <v>283293.11546802486</v>
      </c>
      <c r="CI77" s="592">
        <f t="shared" ref="CI77:CL77" si="1270">+CI54-CI55</f>
        <v>61588.251532900504</v>
      </c>
      <c r="CJ77" s="592">
        <f t="shared" si="1270"/>
        <v>165864.54772856232</v>
      </c>
      <c r="CK77" s="592">
        <f t="shared" si="1270"/>
        <v>199922.104815614</v>
      </c>
      <c r="CL77" s="592">
        <f t="shared" si="1270"/>
        <v>303289.72846744896</v>
      </c>
      <c r="CM77" s="592">
        <f t="shared" ref="CM77:CP77" si="1271">+CM54-CM55</f>
        <v>95571.182498504728</v>
      </c>
      <c r="CN77" s="592">
        <f t="shared" si="1271"/>
        <v>155603.83081517552</v>
      </c>
      <c r="CO77" s="592">
        <f t="shared" si="1271"/>
        <v>174312.95642392684</v>
      </c>
      <c r="CP77" s="592">
        <f t="shared" si="1271"/>
        <v>273835.18483982439</v>
      </c>
      <c r="CQ77" s="592"/>
      <c r="CR77" s="592">
        <v>303289.72846744896</v>
      </c>
      <c r="CT77" s="592"/>
      <c r="CU77" s="592"/>
      <c r="CV77" s="592"/>
      <c r="CW77" s="592"/>
      <c r="CX77" s="592">
        <f t="shared" ref="CX77:CX86" si="1272">+SUM(O77:R77)</f>
        <v>108500</v>
      </c>
      <c r="CY77" s="942">
        <f t="shared" ref="CY77:CY86" si="1273">SUM(S77:V77)</f>
        <v>136800</v>
      </c>
      <c r="CZ77" s="942">
        <f t="shared" ref="CZ77:CZ86" si="1274">SUM(W77:Z77)</f>
        <v>69100</v>
      </c>
      <c r="DA77" s="942">
        <f t="shared" ref="DA77:DA86" si="1275">SUM(AA77:AD77)</f>
        <v>160300</v>
      </c>
      <c r="DB77" s="592">
        <f>+DB54-DB55</f>
        <v>296600</v>
      </c>
      <c r="DC77" s="939">
        <f t="shared" ref="DC77:DC86" si="1276">+SUM(AI77:AL77)</f>
        <v>373500</v>
      </c>
      <c r="DD77" s="939">
        <f t="shared" ref="DD77:DD86" si="1277">+SUM(AM77:AP77)</f>
        <v>412200</v>
      </c>
      <c r="DE77" s="939">
        <f t="shared" ref="DE77:DE86" si="1278">+SUM(AQ77:AT77)</f>
        <v>502000</v>
      </c>
      <c r="DF77" s="592">
        <f t="shared" ref="DF77:DU77" si="1279">+DF54-DF55</f>
        <v>571400</v>
      </c>
      <c r="DG77" s="592">
        <f t="shared" si="1279"/>
        <v>512500</v>
      </c>
      <c r="DH77" s="592">
        <f t="shared" si="1279"/>
        <v>550398.84228777641</v>
      </c>
      <c r="DI77" s="592">
        <f t="shared" si="1279"/>
        <v>610360.99842199939</v>
      </c>
      <c r="DJ77" s="592">
        <f t="shared" si="1279"/>
        <v>751204.14080199879</v>
      </c>
      <c r="DK77" s="592">
        <f t="shared" si="1279"/>
        <v>544648.35406186595</v>
      </c>
      <c r="DL77" s="592">
        <f t="shared" si="1279"/>
        <v>1088440.3408123828</v>
      </c>
      <c r="DM77" s="592">
        <f t="shared" si="1279"/>
        <v>994992.72948299383</v>
      </c>
      <c r="DN77" s="592">
        <f t="shared" si="1279"/>
        <v>888817.62594034325</v>
      </c>
      <c r="DO77" s="592">
        <f t="shared" si="1279"/>
        <v>662307.15838684002</v>
      </c>
      <c r="DP77" s="592">
        <f t="shared" ref="DP77:DQ77" si="1280">+DP54-DP55</f>
        <v>730664.63254452567</v>
      </c>
      <c r="DQ77" s="592">
        <f t="shared" si="1280"/>
        <v>699323.1545774315</v>
      </c>
      <c r="DR77" s="592">
        <f t="shared" si="1279"/>
        <v>755736.73709225887</v>
      </c>
      <c r="DS77" s="592">
        <f t="shared" si="1279"/>
        <v>808493.04988659767</v>
      </c>
      <c r="DT77" s="592">
        <f t="shared" si="1279"/>
        <v>864762.15335353254</v>
      </c>
      <c r="DU77" s="592">
        <f t="shared" si="1279"/>
        <v>924750.1041824664</v>
      </c>
      <c r="DX77" s="592">
        <v>785814.02699045336</v>
      </c>
      <c r="DY77" s="592">
        <v>847491.06413670944</v>
      </c>
    </row>
    <row r="78" spans="1:129" s="904" customFormat="1">
      <c r="A78" s="939"/>
      <c r="B78" s="949" t="s">
        <v>394</v>
      </c>
      <c r="C78" s="592" t="e">
        <f t="shared" ref="C78:AH78" si="1281">+C53</f>
        <v>#VALUE!</v>
      </c>
      <c r="D78" s="592">
        <f t="shared" si="1281"/>
        <v>95448</v>
      </c>
      <c r="E78" s="592">
        <f t="shared" si="1281"/>
        <v>-3997</v>
      </c>
      <c r="F78" s="592">
        <f t="shared" si="1281"/>
        <v>34015</v>
      </c>
      <c r="G78" s="592">
        <f t="shared" si="1281"/>
        <v>67720</v>
      </c>
      <c r="H78" s="592">
        <f t="shared" si="1281"/>
        <v>-45892</v>
      </c>
      <c r="I78" s="592">
        <f t="shared" si="1281"/>
        <v>1386</v>
      </c>
      <c r="J78" s="592">
        <f t="shared" si="1281"/>
        <v>-38370</v>
      </c>
      <c r="K78" s="592">
        <f t="shared" si="1281"/>
        <v>100929</v>
      </c>
      <c r="L78" s="592">
        <f t="shared" si="1281"/>
        <v>-45293</v>
      </c>
      <c r="M78" s="592">
        <f t="shared" si="1281"/>
        <v>-9276</v>
      </c>
      <c r="N78" s="592">
        <f t="shared" si="1281"/>
        <v>-62383</v>
      </c>
      <c r="O78" s="592">
        <f t="shared" si="1281"/>
        <v>134927</v>
      </c>
      <c r="P78" s="592">
        <f t="shared" si="1281"/>
        <v>-63789</v>
      </c>
      <c r="Q78" s="592">
        <f t="shared" si="1281"/>
        <v>9882</v>
      </c>
      <c r="R78" s="592">
        <f t="shared" si="1281"/>
        <v>130857</v>
      </c>
      <c r="S78" s="592">
        <f t="shared" si="1281"/>
        <v>-61887</v>
      </c>
      <c r="T78" s="592">
        <f t="shared" si="1281"/>
        <v>34322</v>
      </c>
      <c r="U78" s="592">
        <f t="shared" si="1281"/>
        <v>39030</v>
      </c>
      <c r="V78" s="592">
        <f t="shared" si="1281"/>
        <v>161966</v>
      </c>
      <c r="W78" s="592">
        <f t="shared" si="1281"/>
        <v>51837</v>
      </c>
      <c r="X78" s="592">
        <f t="shared" si="1281"/>
        <v>-74581</v>
      </c>
      <c r="Y78" s="592">
        <f t="shared" si="1281"/>
        <v>-61209</v>
      </c>
      <c r="Z78" s="592">
        <f t="shared" si="1281"/>
        <v>80039</v>
      </c>
      <c r="AA78" s="592">
        <f t="shared" si="1281"/>
        <v>18812</v>
      </c>
      <c r="AB78" s="592">
        <f t="shared" si="1281"/>
        <v>63808</v>
      </c>
      <c r="AC78" s="592">
        <f t="shared" si="1281"/>
        <v>2847</v>
      </c>
      <c r="AD78" s="592">
        <f t="shared" si="1281"/>
        <v>13440</v>
      </c>
      <c r="AE78" s="592">
        <f t="shared" si="1281"/>
        <v>95387</v>
      </c>
      <c r="AF78" s="592">
        <f t="shared" si="1281"/>
        <v>-48752</v>
      </c>
      <c r="AG78" s="592">
        <f t="shared" si="1281"/>
        <v>25007</v>
      </c>
      <c r="AH78" s="592">
        <f t="shared" si="1281"/>
        <v>4426</v>
      </c>
      <c r="AI78" s="592">
        <f t="shared" ref="AI78:BN78" si="1282">+AI53</f>
        <v>168342</v>
      </c>
      <c r="AJ78" s="592">
        <f t="shared" si="1282"/>
        <v>-7135</v>
      </c>
      <c r="AK78" s="592">
        <f t="shared" si="1282"/>
        <v>63320</v>
      </c>
      <c r="AL78" s="592">
        <f t="shared" si="1282"/>
        <v>-22415</v>
      </c>
      <c r="AM78" s="592">
        <f t="shared" si="1282"/>
        <v>178894</v>
      </c>
      <c r="AN78" s="592">
        <f t="shared" si="1282"/>
        <v>35887</v>
      </c>
      <c r="AO78" s="592">
        <f t="shared" si="1282"/>
        <v>36849</v>
      </c>
      <c r="AP78" s="592">
        <f t="shared" si="1282"/>
        <v>-1801</v>
      </c>
      <c r="AQ78" s="592">
        <f t="shared" si="1282"/>
        <v>80135</v>
      </c>
      <c r="AR78" s="592">
        <f t="shared" si="1282"/>
        <v>7042</v>
      </c>
      <c r="AS78" s="592">
        <f t="shared" si="1282"/>
        <v>61014</v>
      </c>
      <c r="AT78" s="592">
        <f t="shared" si="1282"/>
        <v>57305</v>
      </c>
      <c r="AU78" s="592">
        <f t="shared" si="1282"/>
        <v>256568</v>
      </c>
      <c r="AV78" s="592">
        <f t="shared" si="1282"/>
        <v>-50997</v>
      </c>
      <c r="AW78" s="592">
        <f t="shared" si="1282"/>
        <v>137683</v>
      </c>
      <c r="AX78" s="592">
        <f t="shared" si="1282"/>
        <v>-137679</v>
      </c>
      <c r="AY78" s="592">
        <f t="shared" si="1282"/>
        <v>-43282</v>
      </c>
      <c r="AZ78" s="910">
        <f t="shared" si="1282"/>
        <v>-74902</v>
      </c>
      <c r="BA78" s="592">
        <f t="shared" si="1282"/>
        <v>-31837</v>
      </c>
      <c r="BB78" s="592">
        <f t="shared" si="1282"/>
        <v>55484</v>
      </c>
      <c r="BC78" s="592">
        <f t="shared" si="1282"/>
        <v>289304</v>
      </c>
      <c r="BD78" s="592">
        <f t="shared" si="1282"/>
        <v>99</v>
      </c>
      <c r="BE78" s="592">
        <f t="shared" si="1282"/>
        <v>-212135</v>
      </c>
      <c r="BF78" s="592">
        <f t="shared" si="1282"/>
        <v>20103</v>
      </c>
      <c r="BG78" s="592">
        <f t="shared" si="1282"/>
        <v>324603</v>
      </c>
      <c r="BH78" s="592">
        <f t="shared" si="1282"/>
        <v>87321</v>
      </c>
      <c r="BI78" s="592">
        <f t="shared" si="1282"/>
        <v>-103452</v>
      </c>
      <c r="BJ78" s="592">
        <f t="shared" si="1282"/>
        <v>52612</v>
      </c>
      <c r="BK78" s="592">
        <f t="shared" si="1282"/>
        <v>520667</v>
      </c>
      <c r="BL78" s="592">
        <f t="shared" si="1282"/>
        <v>-66683</v>
      </c>
      <c r="BM78" s="592">
        <f t="shared" si="1282"/>
        <v>-153394</v>
      </c>
      <c r="BN78" s="592">
        <f t="shared" si="1282"/>
        <v>-3752</v>
      </c>
      <c r="BO78" s="592">
        <f t="shared" ref="BO78:CH78" si="1283">+BO53</f>
        <v>385174</v>
      </c>
      <c r="BP78" s="592">
        <f t="shared" si="1283"/>
        <v>288623</v>
      </c>
      <c r="BQ78" s="592">
        <f t="shared" si="1283"/>
        <v>-91433</v>
      </c>
      <c r="BR78" s="592">
        <f t="shared" si="1283"/>
        <v>24938</v>
      </c>
      <c r="BS78" s="592">
        <f t="shared" si="1283"/>
        <v>-244853</v>
      </c>
      <c r="BT78" s="592">
        <f t="shared" si="1283"/>
        <v>699609</v>
      </c>
      <c r="BU78" s="592">
        <f t="shared" si="1283"/>
        <v>-272027</v>
      </c>
      <c r="BV78" s="592">
        <f t="shared" si="1283"/>
        <v>125799</v>
      </c>
      <c r="BW78" s="592">
        <f t="shared" si="1283"/>
        <v>712256</v>
      </c>
      <c r="BX78" s="592">
        <f t="shared" si="1283"/>
        <v>217752</v>
      </c>
      <c r="BY78" s="592">
        <f t="shared" si="1283"/>
        <v>106609</v>
      </c>
      <c r="BZ78" s="592">
        <f t="shared" si="1283"/>
        <v>-89833</v>
      </c>
      <c r="CA78" s="592">
        <f t="shared" si="1283"/>
        <v>287203</v>
      </c>
      <c r="CB78" s="592">
        <f t="shared" si="1283"/>
        <v>-70291</v>
      </c>
      <c r="CC78" s="592">
        <f t="shared" si="1283"/>
        <v>-607245</v>
      </c>
      <c r="CD78" s="592">
        <f t="shared" si="1283"/>
        <v>55975</v>
      </c>
      <c r="CE78" s="592">
        <f t="shared" si="1283"/>
        <v>17261</v>
      </c>
      <c r="CF78" s="592">
        <f t="shared" si="1283"/>
        <v>148784</v>
      </c>
      <c r="CG78" s="592">
        <f t="shared" si="1283"/>
        <v>-49717</v>
      </c>
      <c r="CH78" s="592">
        <f t="shared" si="1283"/>
        <v>-79293</v>
      </c>
      <c r="CI78" s="592">
        <f t="shared" ref="CI78:CL78" si="1284">+CI53</f>
        <v>218221</v>
      </c>
      <c r="CJ78" s="592">
        <f t="shared" si="1284"/>
        <v>217327</v>
      </c>
      <c r="CK78" s="592">
        <f t="shared" si="1284"/>
        <v>-3691</v>
      </c>
      <c r="CL78" s="592">
        <f t="shared" si="1284"/>
        <v>374451.41216868162</v>
      </c>
      <c r="CM78" s="592">
        <f t="shared" ref="CM78:CP78" si="1285">+CM53</f>
        <v>-12378.77176002413</v>
      </c>
      <c r="CN78" s="592">
        <f t="shared" si="1285"/>
        <v>-6470.781652295962</v>
      </c>
      <c r="CO78" s="592">
        <f t="shared" si="1285"/>
        <v>-261440.93699733727</v>
      </c>
      <c r="CP78" s="592">
        <f t="shared" si="1285"/>
        <v>578942.93841065653</v>
      </c>
      <c r="CQ78" s="592"/>
      <c r="CR78" s="592">
        <v>374451.41216868162</v>
      </c>
      <c r="CT78" s="592"/>
      <c r="CU78" s="592"/>
      <c r="CV78" s="592"/>
      <c r="CW78" s="592"/>
      <c r="CX78" s="592">
        <f t="shared" si="1272"/>
        <v>211877</v>
      </c>
      <c r="CY78" s="942">
        <f t="shared" si="1273"/>
        <v>173431</v>
      </c>
      <c r="CZ78" s="942">
        <f t="shared" si="1274"/>
        <v>-3914</v>
      </c>
      <c r="DA78" s="942">
        <f t="shared" si="1275"/>
        <v>98907</v>
      </c>
      <c r="DB78" s="592">
        <f>+DB53</f>
        <v>76068</v>
      </c>
      <c r="DC78" s="939">
        <f t="shared" si="1276"/>
        <v>202112</v>
      </c>
      <c r="DD78" s="939">
        <f t="shared" si="1277"/>
        <v>249829</v>
      </c>
      <c r="DE78" s="939">
        <f t="shared" si="1278"/>
        <v>205496</v>
      </c>
      <c r="DF78" s="592">
        <f t="shared" ref="DF78:DU78" si="1286">+DF53</f>
        <v>205575</v>
      </c>
      <c r="DG78" s="592">
        <f t="shared" si="1286"/>
        <v>-94537</v>
      </c>
      <c r="DH78" s="592">
        <f t="shared" si="1286"/>
        <v>97371</v>
      </c>
      <c r="DI78" s="592">
        <f t="shared" si="1286"/>
        <v>361084</v>
      </c>
      <c r="DJ78" s="592">
        <f t="shared" si="1286"/>
        <v>296838</v>
      </c>
      <c r="DK78" s="592">
        <f t="shared" si="1286"/>
        <v>607302</v>
      </c>
      <c r="DL78" s="592">
        <f t="shared" si="1286"/>
        <v>308528</v>
      </c>
      <c r="DM78" s="592">
        <f t="shared" si="1286"/>
        <v>946784</v>
      </c>
      <c r="DN78" s="592">
        <f t="shared" si="1286"/>
        <v>-334358</v>
      </c>
      <c r="DO78" s="592">
        <f t="shared" si="1286"/>
        <v>37035</v>
      </c>
      <c r="DP78" s="592">
        <f t="shared" ref="DP78:DQ78" si="1287">+DP53</f>
        <v>806308.41216868162</v>
      </c>
      <c r="DQ78" s="592">
        <f t="shared" si="1287"/>
        <v>298652.44800099917</v>
      </c>
      <c r="DR78" s="592">
        <f t="shared" si="1286"/>
        <v>448097.46332983952</v>
      </c>
      <c r="DS78" s="592">
        <f t="shared" si="1286"/>
        <v>397679.13597328961</v>
      </c>
      <c r="DT78" s="592">
        <f t="shared" si="1286"/>
        <v>424819.34904423263</v>
      </c>
      <c r="DU78" s="592">
        <f t="shared" si="1286"/>
        <v>453465.66688416339</v>
      </c>
      <c r="DX78" s="592">
        <v>366046.67098374665</v>
      </c>
      <c r="DY78" s="592">
        <v>437000.08218138106</v>
      </c>
    </row>
    <row r="79" spans="1:129" s="904" customFormat="1">
      <c r="A79" s="939"/>
      <c r="B79" s="949" t="s">
        <v>395</v>
      </c>
      <c r="C79" s="592" t="e">
        <f t="shared" ref="C79:AH79" si="1288">+C76-C77-C78</f>
        <v>#REF!</v>
      </c>
      <c r="D79" s="592" t="e">
        <f t="shared" si="1288"/>
        <v>#REF!</v>
      </c>
      <c r="E79" s="592" t="e">
        <f t="shared" si="1288"/>
        <v>#REF!</v>
      </c>
      <c r="F79" s="592" t="e">
        <f t="shared" si="1288"/>
        <v>#REF!</v>
      </c>
      <c r="G79" s="592" t="e">
        <f t="shared" si="1288"/>
        <v>#REF!</v>
      </c>
      <c r="H79" s="592" t="e">
        <f t="shared" si="1288"/>
        <v>#REF!</v>
      </c>
      <c r="I79" s="592" t="e">
        <f t="shared" si="1288"/>
        <v>#REF!</v>
      </c>
      <c r="J79" s="592" t="e">
        <f t="shared" si="1288"/>
        <v>#REF!</v>
      </c>
      <c r="K79" s="592" t="e">
        <f t="shared" si="1288"/>
        <v>#REF!</v>
      </c>
      <c r="L79" s="592" t="e">
        <f t="shared" si="1288"/>
        <v>#REF!</v>
      </c>
      <c r="M79" s="592" t="e">
        <f t="shared" si="1288"/>
        <v>#REF!</v>
      </c>
      <c r="N79" s="592" t="e">
        <f t="shared" si="1288"/>
        <v>#REF!</v>
      </c>
      <c r="O79" s="592" t="e">
        <f t="shared" si="1288"/>
        <v>#REF!</v>
      </c>
      <c r="P79" s="592" t="e">
        <f t="shared" si="1288"/>
        <v>#REF!</v>
      </c>
      <c r="Q79" s="592" t="e">
        <f t="shared" si="1288"/>
        <v>#REF!</v>
      </c>
      <c r="R79" s="592" t="e">
        <f t="shared" si="1288"/>
        <v>#REF!</v>
      </c>
      <c r="S79" s="592" t="e">
        <f t="shared" si="1288"/>
        <v>#REF!</v>
      </c>
      <c r="T79" s="592" t="e">
        <f t="shared" si="1288"/>
        <v>#REF!</v>
      </c>
      <c r="U79" s="592" t="e">
        <f t="shared" si="1288"/>
        <v>#REF!</v>
      </c>
      <c r="V79" s="592" t="e">
        <f t="shared" si="1288"/>
        <v>#REF!</v>
      </c>
      <c r="W79" s="592" t="e">
        <f t="shared" si="1288"/>
        <v>#REF!</v>
      </c>
      <c r="X79" s="592" t="e">
        <f t="shared" si="1288"/>
        <v>#REF!</v>
      </c>
      <c r="Y79" s="592" t="e">
        <f t="shared" si="1288"/>
        <v>#REF!</v>
      </c>
      <c r="Z79" s="592" t="e">
        <f t="shared" si="1288"/>
        <v>#REF!</v>
      </c>
      <c r="AA79" s="592" t="e">
        <f t="shared" si="1288"/>
        <v>#REF!</v>
      </c>
      <c r="AB79" s="592" t="e">
        <f t="shared" si="1288"/>
        <v>#REF!</v>
      </c>
      <c r="AC79" s="592" t="e">
        <f t="shared" si="1288"/>
        <v>#REF!</v>
      </c>
      <c r="AD79" s="592" t="e">
        <f t="shared" si="1288"/>
        <v>#REF!</v>
      </c>
      <c r="AE79" s="592" t="e">
        <f t="shared" si="1288"/>
        <v>#REF!</v>
      </c>
      <c r="AF79" s="592" t="e">
        <f t="shared" si="1288"/>
        <v>#REF!</v>
      </c>
      <c r="AG79" s="592" t="e">
        <f t="shared" si="1288"/>
        <v>#REF!</v>
      </c>
      <c r="AH79" s="592" t="e">
        <f t="shared" si="1288"/>
        <v>#REF!</v>
      </c>
      <c r="AI79" s="592" t="e">
        <f t="shared" ref="AI79:BJ79" si="1289">+AI76-AI77-AI78</f>
        <v>#REF!</v>
      </c>
      <c r="AJ79" s="592" t="e">
        <f t="shared" si="1289"/>
        <v>#REF!</v>
      </c>
      <c r="AK79" s="592" t="e">
        <f t="shared" si="1289"/>
        <v>#REF!</v>
      </c>
      <c r="AL79" s="592" t="e">
        <f t="shared" si="1289"/>
        <v>#REF!</v>
      </c>
      <c r="AM79" s="592" t="e">
        <f t="shared" si="1289"/>
        <v>#REF!</v>
      </c>
      <c r="AN79" s="592" t="e">
        <f t="shared" si="1289"/>
        <v>#REF!</v>
      </c>
      <c r="AO79" s="592" t="e">
        <f t="shared" si="1289"/>
        <v>#REF!</v>
      </c>
      <c r="AP79" s="592" t="e">
        <f t="shared" si="1289"/>
        <v>#REF!</v>
      </c>
      <c r="AQ79" s="592" t="e">
        <f t="shared" si="1289"/>
        <v>#REF!</v>
      </c>
      <c r="AR79" s="592" t="e">
        <f t="shared" si="1289"/>
        <v>#REF!</v>
      </c>
      <c r="AS79" s="592" t="e">
        <f t="shared" si="1289"/>
        <v>#REF!</v>
      </c>
      <c r="AT79" s="592" t="e">
        <f t="shared" si="1289"/>
        <v>#REF!</v>
      </c>
      <c r="AU79" s="592">
        <f t="shared" si="1289"/>
        <v>-165787.29364999986</v>
      </c>
      <c r="AV79" s="592">
        <f t="shared" si="1289"/>
        <v>100100.57631999991</v>
      </c>
      <c r="AW79" s="592">
        <f t="shared" si="1289"/>
        <v>-102806</v>
      </c>
      <c r="AX79" s="592">
        <f t="shared" si="1289"/>
        <v>242720.30340999993</v>
      </c>
      <c r="AY79" s="592">
        <f t="shared" si="1289"/>
        <v>61844</v>
      </c>
      <c r="AZ79" s="910">
        <f t="shared" si="1289"/>
        <v>141433</v>
      </c>
      <c r="BA79" s="592">
        <f t="shared" si="1289"/>
        <v>90458</v>
      </c>
      <c r="BB79" s="592">
        <f t="shared" si="1289"/>
        <v>165789</v>
      </c>
      <c r="BC79" s="592">
        <f t="shared" si="1289"/>
        <v>-195838.06490999999</v>
      </c>
      <c r="BD79" s="592">
        <f t="shared" si="1289"/>
        <v>168738.99999999994</v>
      </c>
      <c r="BE79" s="592">
        <f t="shared" si="1289"/>
        <v>264969.99999999994</v>
      </c>
      <c r="BF79" s="592">
        <f t="shared" si="1289"/>
        <v>133455.22262222372</v>
      </c>
      <c r="BG79" s="592">
        <f t="shared" si="1289"/>
        <v>-241403</v>
      </c>
      <c r="BH79" s="592">
        <f t="shared" si="1289"/>
        <v>163129.38874800055</v>
      </c>
      <c r="BI79" s="592">
        <f t="shared" si="1289"/>
        <v>231440.18993999998</v>
      </c>
      <c r="BJ79" s="592">
        <f t="shared" si="1289"/>
        <v>255841.09023000003</v>
      </c>
      <c r="BK79" s="592">
        <f t="shared" ref="BK79:BV79" si="1290">+BK76-BK77-BK78</f>
        <v>-332957</v>
      </c>
      <c r="BL79" s="592">
        <f t="shared" si="1290"/>
        <v>198677.61981611239</v>
      </c>
      <c r="BM79" s="592">
        <f t="shared" si="1290"/>
        <v>137213.45129679207</v>
      </c>
      <c r="BN79" s="592">
        <f t="shared" si="1290"/>
        <v>279155.78808509669</v>
      </c>
      <c r="BO79" s="592">
        <f t="shared" si="1290"/>
        <v>-392316.74797186605</v>
      </c>
      <c r="BP79" s="592">
        <f t="shared" si="1290"/>
        <v>480408</v>
      </c>
      <c r="BQ79" s="592">
        <f t="shared" si="1290"/>
        <v>-115288.60608999999</v>
      </c>
      <c r="BR79" s="592">
        <f t="shared" si="1290"/>
        <v>291193</v>
      </c>
      <c r="BS79" s="592">
        <f t="shared" si="1290"/>
        <v>-187428.59803791996</v>
      </c>
      <c r="BT79" s="592">
        <f t="shared" si="1290"/>
        <v>-721254.98082636273</v>
      </c>
      <c r="BU79" s="592">
        <f t="shared" si="1290"/>
        <v>397819.3108295023</v>
      </c>
      <c r="BV79" s="592">
        <f t="shared" si="1290"/>
        <v>-11408.919757600757</v>
      </c>
      <c r="BW79" s="592">
        <f t="shared" ref="BW79:CD79" si="1291">+BW76-BW77-BW78</f>
        <v>-643004.280557252</v>
      </c>
      <c r="BX79" s="592">
        <f t="shared" si="1291"/>
        <v>104744.13776605699</v>
      </c>
      <c r="BY79" s="592">
        <f t="shared" si="1291"/>
        <v>64084.443308201153</v>
      </c>
      <c r="BZ79" s="592">
        <f t="shared" si="1291"/>
        <v>178956.97000000009</v>
      </c>
      <c r="CA79" s="592">
        <f t="shared" si="1291"/>
        <v>-285837.5050722023</v>
      </c>
      <c r="CB79" s="592">
        <f t="shared" si="1291"/>
        <v>165854.20713566025</v>
      </c>
      <c r="CC79" s="592">
        <f t="shared" si="1291"/>
        <v>647600.24332362949</v>
      </c>
      <c r="CD79" s="592">
        <f t="shared" si="1291"/>
        <v>231801.42867256934</v>
      </c>
      <c r="CE79" s="592">
        <f t="shared" ref="CE79:CH79" si="1292">+CE76-CE77-CE78</f>
        <v>189745.18603890593</v>
      </c>
      <c r="CF79" s="592">
        <f t="shared" si="1292"/>
        <v>267864.16960932477</v>
      </c>
      <c r="CG79" s="592">
        <f t="shared" si="1292"/>
        <v>297559.60143295414</v>
      </c>
      <c r="CH79" s="592">
        <f t="shared" si="1292"/>
        <v>708382.88453197514</v>
      </c>
      <c r="CI79" s="592">
        <f t="shared" ref="CI79:CL79" si="1293">+CI76-CI77-CI78</f>
        <v>60756.748467099504</v>
      </c>
      <c r="CJ79" s="592">
        <f t="shared" si="1293"/>
        <v>225503.45227143768</v>
      </c>
      <c r="CK79" s="592">
        <f t="shared" si="1293"/>
        <v>270766.895184386</v>
      </c>
      <c r="CL79" s="592">
        <f t="shared" si="1293"/>
        <v>-15983.331240245723</v>
      </c>
      <c r="CM79" s="592">
        <f t="shared" ref="CM79:CP79" si="1294">+CM76-CM77-CM78</f>
        <v>287756.24718795193</v>
      </c>
      <c r="CN79" s="592">
        <f t="shared" si="1294"/>
        <v>406019.64014788915</v>
      </c>
      <c r="CO79" s="592">
        <f t="shared" si="1294"/>
        <v>503286.86092598969</v>
      </c>
      <c r="CP79" s="592">
        <f t="shared" si="1294"/>
        <v>-132727.9240948215</v>
      </c>
      <c r="CQ79" s="592"/>
      <c r="CR79" s="592">
        <v>-15983.331240245723</v>
      </c>
      <c r="CT79" s="592"/>
      <c r="CU79" s="592"/>
      <c r="CV79" s="592"/>
      <c r="CW79" s="592"/>
      <c r="CX79" s="592" t="e">
        <f t="shared" si="1272"/>
        <v>#REF!</v>
      </c>
      <c r="CY79" s="942" t="e">
        <f t="shared" si="1273"/>
        <v>#REF!</v>
      </c>
      <c r="CZ79" s="942" t="e">
        <f t="shared" si="1274"/>
        <v>#REF!</v>
      </c>
      <c r="DA79" s="942" t="e">
        <f t="shared" si="1275"/>
        <v>#REF!</v>
      </c>
      <c r="DB79" s="592">
        <f>+DB76-DB77-DB78</f>
        <v>-74626.999999999884</v>
      </c>
      <c r="DC79" s="939" t="e">
        <f t="shared" si="1276"/>
        <v>#REF!</v>
      </c>
      <c r="DD79" s="939" t="e">
        <f t="shared" si="1277"/>
        <v>#REF!</v>
      </c>
      <c r="DE79" s="939" t="e">
        <f t="shared" si="1278"/>
        <v>#REF!</v>
      </c>
      <c r="DF79" s="592">
        <f t="shared" ref="DF79:DL79" si="1295">+DF76-DF77-DF78</f>
        <v>74227.586080000037</v>
      </c>
      <c r="DG79" s="592">
        <f t="shared" si="1295"/>
        <v>459524</v>
      </c>
      <c r="DH79" s="592">
        <f t="shared" si="1295"/>
        <v>371326.15771222359</v>
      </c>
      <c r="DI79" s="592">
        <f t="shared" si="1295"/>
        <v>409007.6689180003</v>
      </c>
      <c r="DJ79" s="592">
        <f t="shared" si="1295"/>
        <v>282089.85919800121</v>
      </c>
      <c r="DK79" s="592">
        <f t="shared" si="1295"/>
        <v>263995.64593813405</v>
      </c>
      <c r="DL79" s="592">
        <f t="shared" si="1295"/>
        <v>-522273.18779238081</v>
      </c>
      <c r="DM79" s="592">
        <f t="shared" ref="DM79:DR79" si="1296">+DM76-DM77-DM78</f>
        <v>-295218.72948299383</v>
      </c>
      <c r="DN79" s="592">
        <f t="shared" si="1296"/>
        <v>759418.37405965675</v>
      </c>
      <c r="DO79" s="592">
        <f t="shared" ref="DO79:DP79" si="1297">+DO76-DO77-DO78</f>
        <v>1205843.84161316</v>
      </c>
      <c r="DP79" s="592">
        <f t="shared" si="1297"/>
        <v>541043.76468267827</v>
      </c>
      <c r="DQ79" s="592">
        <f t="shared" ref="DQ79" si="1298">+DQ76-DQ77-DQ78</f>
        <v>1064334.8241670108</v>
      </c>
      <c r="DR79" s="592">
        <f t="shared" si="1296"/>
        <v>1311759.798602357</v>
      </c>
      <c r="DS79" s="592">
        <f t="shared" ref="DS79:DU79" si="1299">+DS76-DS77-DS78</f>
        <v>1583388.4695108044</v>
      </c>
      <c r="DT79" s="592">
        <f t="shared" si="1299"/>
        <v>1746002.8167915465</v>
      </c>
      <c r="DU79" s="592">
        <f t="shared" si="1299"/>
        <v>1914988.1798845078</v>
      </c>
      <c r="DX79" s="592">
        <v>1093974.5834574974</v>
      </c>
      <c r="DY79" s="592">
        <v>1383775.036304255</v>
      </c>
    </row>
    <row r="80" spans="1:129" s="904" customFormat="1">
      <c r="A80" s="939"/>
      <c r="B80" s="949" t="s">
        <v>396</v>
      </c>
      <c r="C80" s="592" t="e">
        <f t="shared" ref="C80:AH80" si="1300">+C58</f>
        <v>#VALUE!</v>
      </c>
      <c r="D80" s="592">
        <f t="shared" si="1300"/>
        <v>24617</v>
      </c>
      <c r="E80" s="592">
        <f t="shared" si="1300"/>
        <v>-727</v>
      </c>
      <c r="F80" s="592">
        <f t="shared" si="1300"/>
        <v>-22249</v>
      </c>
      <c r="G80" s="592">
        <f t="shared" si="1300"/>
        <v>-3283</v>
      </c>
      <c r="H80" s="592">
        <f t="shared" si="1300"/>
        <v>-17295</v>
      </c>
      <c r="I80" s="592">
        <f t="shared" si="1300"/>
        <v>1162</v>
      </c>
      <c r="J80" s="592">
        <f t="shared" si="1300"/>
        <v>4743</v>
      </c>
      <c r="K80" s="592">
        <f t="shared" si="1300"/>
        <v>24159</v>
      </c>
      <c r="L80" s="592">
        <f t="shared" si="1300"/>
        <v>-4741</v>
      </c>
      <c r="M80" s="592">
        <f t="shared" si="1300"/>
        <v>967</v>
      </c>
      <c r="N80" s="592">
        <f t="shared" si="1300"/>
        <v>11945</v>
      </c>
      <c r="O80" s="592">
        <f t="shared" si="1300"/>
        <v>-31652</v>
      </c>
      <c r="P80" s="592">
        <f t="shared" si="1300"/>
        <v>6420</v>
      </c>
      <c r="Q80" s="592">
        <f t="shared" si="1300"/>
        <v>16428</v>
      </c>
      <c r="R80" s="592">
        <f t="shared" si="1300"/>
        <v>15701</v>
      </c>
      <c r="S80" s="592">
        <f t="shared" si="1300"/>
        <v>-8451</v>
      </c>
      <c r="T80" s="592">
        <f t="shared" si="1300"/>
        <v>2791</v>
      </c>
      <c r="U80" s="592">
        <f t="shared" si="1300"/>
        <v>-6324</v>
      </c>
      <c r="V80" s="592">
        <f t="shared" si="1300"/>
        <v>2118</v>
      </c>
      <c r="W80" s="592">
        <f t="shared" si="1300"/>
        <v>9689</v>
      </c>
      <c r="X80" s="592">
        <f t="shared" si="1300"/>
        <v>1540</v>
      </c>
      <c r="Y80" s="592">
        <f t="shared" si="1300"/>
        <v>-2264</v>
      </c>
      <c r="Z80" s="592">
        <f t="shared" si="1300"/>
        <v>12227</v>
      </c>
      <c r="AA80" s="592">
        <f t="shared" si="1300"/>
        <v>-50179</v>
      </c>
      <c r="AB80" s="592">
        <f t="shared" si="1300"/>
        <v>-7565</v>
      </c>
      <c r="AC80" s="592">
        <f t="shared" si="1300"/>
        <v>93</v>
      </c>
      <c r="AD80" s="592">
        <f t="shared" si="1300"/>
        <v>-11531</v>
      </c>
      <c r="AE80" s="592">
        <f t="shared" si="1300"/>
        <v>9940</v>
      </c>
      <c r="AF80" s="592">
        <f t="shared" si="1300"/>
        <v>-14169</v>
      </c>
      <c r="AG80" s="592">
        <f t="shared" si="1300"/>
        <v>-6178</v>
      </c>
      <c r="AH80" s="592">
        <f t="shared" si="1300"/>
        <v>-7989</v>
      </c>
      <c r="AI80" s="592">
        <f t="shared" ref="AI80:BN80" si="1301">+AI58</f>
        <v>1545</v>
      </c>
      <c r="AJ80" s="592">
        <f t="shared" si="1301"/>
        <v>6704</v>
      </c>
      <c r="AK80" s="592">
        <f t="shared" si="1301"/>
        <v>-5665</v>
      </c>
      <c r="AL80" s="592">
        <f t="shared" si="1301"/>
        <v>-13606</v>
      </c>
      <c r="AM80" s="592">
        <f t="shared" si="1301"/>
        <v>30139</v>
      </c>
      <c r="AN80" s="592">
        <f t="shared" si="1301"/>
        <v>3745</v>
      </c>
      <c r="AO80" s="592">
        <f t="shared" si="1301"/>
        <v>7671</v>
      </c>
      <c r="AP80" s="592">
        <f t="shared" si="1301"/>
        <v>17126</v>
      </c>
      <c r="AQ80" s="592">
        <f t="shared" si="1301"/>
        <v>7374</v>
      </c>
      <c r="AR80" s="592">
        <f t="shared" si="1301"/>
        <v>5182</v>
      </c>
      <c r="AS80" s="592">
        <f t="shared" si="1301"/>
        <v>3051</v>
      </c>
      <c r="AT80" s="592">
        <f t="shared" si="1301"/>
        <v>4529</v>
      </c>
      <c r="AU80" s="592">
        <f t="shared" si="1301"/>
        <v>2769</v>
      </c>
      <c r="AV80" s="592">
        <f t="shared" si="1301"/>
        <v>7403</v>
      </c>
      <c r="AW80" s="592">
        <f t="shared" si="1301"/>
        <v>3436</v>
      </c>
      <c r="AX80" s="592">
        <f t="shared" si="1301"/>
        <v>4608</v>
      </c>
      <c r="AY80" s="592">
        <f t="shared" si="1301"/>
        <v>2177</v>
      </c>
      <c r="AZ80" s="910">
        <f t="shared" si="1301"/>
        <v>3038</v>
      </c>
      <c r="BA80" s="592">
        <f t="shared" si="1301"/>
        <v>1710</v>
      </c>
      <c r="BB80" s="592">
        <f t="shared" si="1301"/>
        <v>137</v>
      </c>
      <c r="BC80" s="592">
        <f t="shared" si="1301"/>
        <v>6760</v>
      </c>
      <c r="BD80" s="592">
        <f t="shared" si="1301"/>
        <v>6190</v>
      </c>
      <c r="BE80" s="592">
        <f t="shared" si="1301"/>
        <v>8523</v>
      </c>
      <c r="BF80" s="592">
        <f t="shared" si="1301"/>
        <v>2248</v>
      </c>
      <c r="BG80" s="592">
        <f t="shared" si="1301"/>
        <v>-2727</v>
      </c>
      <c r="BH80" s="592">
        <f t="shared" si="1301"/>
        <v>45578</v>
      </c>
      <c r="BI80" s="592">
        <f t="shared" si="1301"/>
        <v>-26166</v>
      </c>
      <c r="BJ80" s="592">
        <f t="shared" si="1301"/>
        <v>-7260</v>
      </c>
      <c r="BK80" s="592">
        <f t="shared" si="1301"/>
        <v>-35062</v>
      </c>
      <c r="BL80" s="592">
        <f t="shared" si="1301"/>
        <v>-40143</v>
      </c>
      <c r="BM80" s="592">
        <f t="shared" si="1301"/>
        <v>3249</v>
      </c>
      <c r="BN80" s="592">
        <f t="shared" si="1301"/>
        <v>-34262</v>
      </c>
      <c r="BO80" s="592">
        <f t="shared" ref="BO80:CH80" si="1302">+BO58</f>
        <v>100787</v>
      </c>
      <c r="BP80" s="592">
        <f t="shared" si="1302"/>
        <v>590135</v>
      </c>
      <c r="BQ80" s="592">
        <f t="shared" si="1302"/>
        <v>-105066</v>
      </c>
      <c r="BR80" s="592">
        <f t="shared" si="1302"/>
        <v>-86787</v>
      </c>
      <c r="BS80" s="592">
        <f t="shared" si="1302"/>
        <v>148678</v>
      </c>
      <c r="BT80" s="592">
        <f t="shared" si="1302"/>
        <v>-243449</v>
      </c>
      <c r="BU80" s="592">
        <f t="shared" si="1302"/>
        <v>155904</v>
      </c>
      <c r="BV80" s="592">
        <f t="shared" si="1302"/>
        <v>-26453</v>
      </c>
      <c r="BW80" s="592">
        <f t="shared" si="1302"/>
        <v>-342278</v>
      </c>
      <c r="BX80" s="592">
        <f t="shared" si="1302"/>
        <v>132729</v>
      </c>
      <c r="BY80" s="592">
        <f t="shared" si="1302"/>
        <v>115617</v>
      </c>
      <c r="BZ80" s="592">
        <f t="shared" si="1302"/>
        <v>-28313</v>
      </c>
      <c r="CA80" s="592">
        <f t="shared" si="1302"/>
        <v>-7255</v>
      </c>
      <c r="CB80" s="592">
        <f t="shared" si="1302"/>
        <v>-73090</v>
      </c>
      <c r="CC80" s="592">
        <f t="shared" si="1302"/>
        <v>152628</v>
      </c>
      <c r="CD80" s="592">
        <f t="shared" si="1302"/>
        <v>-60123</v>
      </c>
      <c r="CE80" s="592">
        <f t="shared" si="1302"/>
        <v>37622</v>
      </c>
      <c r="CF80" s="592">
        <f t="shared" si="1302"/>
        <v>28812</v>
      </c>
      <c r="CG80" s="592">
        <f t="shared" si="1302"/>
        <v>-116310</v>
      </c>
      <c r="CH80" s="592">
        <f t="shared" si="1302"/>
        <v>58092</v>
      </c>
      <c r="CI80" s="592">
        <f t="shared" ref="CI80:CL80" si="1303">+CI58</f>
        <v>-19682</v>
      </c>
      <c r="CJ80" s="592">
        <f t="shared" si="1303"/>
        <v>-85235</v>
      </c>
      <c r="CK80" s="592">
        <f t="shared" si="1303"/>
        <v>-194305</v>
      </c>
      <c r="CL80" s="592">
        <f t="shared" si="1303"/>
        <v>28119.678501628645</v>
      </c>
      <c r="CM80" s="592">
        <f t="shared" ref="CM80:CP80" si="1304">+CM58</f>
        <v>-14255.103891351202</v>
      </c>
      <c r="CN80" s="592">
        <f t="shared" si="1304"/>
        <v>3209.1082488635875</v>
      </c>
      <c r="CO80" s="592">
        <f t="shared" si="1304"/>
        <v>324.18477929767687</v>
      </c>
      <c r="CP80" s="592">
        <f t="shared" si="1304"/>
        <v>17120.91424017906</v>
      </c>
      <c r="CQ80" s="592"/>
      <c r="CR80" s="592">
        <v>28119.678501628645</v>
      </c>
      <c r="CT80" s="592"/>
      <c r="CU80" s="592"/>
      <c r="CV80" s="592"/>
      <c r="CW80" s="592"/>
      <c r="CX80" s="592">
        <f t="shared" si="1272"/>
        <v>6897</v>
      </c>
      <c r="CY80" s="942">
        <f t="shared" si="1273"/>
        <v>-9866</v>
      </c>
      <c r="CZ80" s="942">
        <f t="shared" si="1274"/>
        <v>21192</v>
      </c>
      <c r="DA80" s="942">
        <f t="shared" si="1275"/>
        <v>-69182</v>
      </c>
      <c r="DB80" s="592">
        <f>+DB58</f>
        <v>-18396</v>
      </c>
      <c r="DC80" s="939">
        <f t="shared" si="1276"/>
        <v>-11022</v>
      </c>
      <c r="DD80" s="939">
        <f t="shared" si="1277"/>
        <v>58681</v>
      </c>
      <c r="DE80" s="939">
        <f t="shared" si="1278"/>
        <v>20136</v>
      </c>
      <c r="DF80" s="592">
        <f t="shared" ref="DF80:DU80" si="1305">+DF58</f>
        <v>18216</v>
      </c>
      <c r="DG80" s="592">
        <f t="shared" si="1305"/>
        <v>7062</v>
      </c>
      <c r="DH80" s="592">
        <f t="shared" si="1305"/>
        <v>23721</v>
      </c>
      <c r="DI80" s="592">
        <f t="shared" si="1305"/>
        <v>9425</v>
      </c>
      <c r="DJ80" s="592">
        <f t="shared" si="1305"/>
        <v>-30819</v>
      </c>
      <c r="DK80" s="592">
        <f t="shared" si="1305"/>
        <v>522157</v>
      </c>
      <c r="DL80" s="592">
        <f t="shared" si="1305"/>
        <v>-63807</v>
      </c>
      <c r="DM80" s="592">
        <f t="shared" si="1305"/>
        <v>-122245</v>
      </c>
      <c r="DN80" s="592">
        <f t="shared" si="1305"/>
        <v>12160</v>
      </c>
      <c r="DO80" s="592">
        <f t="shared" si="1305"/>
        <v>8216</v>
      </c>
      <c r="DP80" s="592">
        <f t="shared" ref="DP80:DQ80" si="1306">+DP58</f>
        <v>-271102.32149837137</v>
      </c>
      <c r="DQ80" s="592">
        <f t="shared" si="1306"/>
        <v>6399.1033769891219</v>
      </c>
      <c r="DR80" s="592">
        <f t="shared" si="1305"/>
        <v>14713.851395512698</v>
      </c>
      <c r="DS80" s="592">
        <f t="shared" si="1305"/>
        <v>13020.129745872109</v>
      </c>
      <c r="DT80" s="592">
        <f t="shared" si="1305"/>
        <v>13909.004286139942</v>
      </c>
      <c r="DU80" s="592">
        <f t="shared" si="1305"/>
        <v>14846.998292908829</v>
      </c>
      <c r="DX80" s="592">
        <v>12256.583318336605</v>
      </c>
      <c r="DY80" s="592">
        <v>14710.913479639858</v>
      </c>
    </row>
    <row r="81" spans="1:129" s="904" customFormat="1">
      <c r="A81" s="939"/>
      <c r="B81" s="949" t="s">
        <v>397</v>
      </c>
      <c r="C81" s="592" t="e">
        <f t="shared" ref="C81:AH81" si="1307">+C63</f>
        <v>#VALUE!</v>
      </c>
      <c r="D81" s="592">
        <f t="shared" si="1307"/>
        <v>0</v>
      </c>
      <c r="E81" s="592">
        <f t="shared" si="1307"/>
        <v>0</v>
      </c>
      <c r="F81" s="592">
        <f t="shared" si="1307"/>
        <v>-18</v>
      </c>
      <c r="G81" s="592">
        <f t="shared" si="1307"/>
        <v>18</v>
      </c>
      <c r="H81" s="592">
        <f t="shared" si="1307"/>
        <v>0</v>
      </c>
      <c r="I81" s="592">
        <f t="shared" si="1307"/>
        <v>0</v>
      </c>
      <c r="J81" s="592">
        <f t="shared" si="1307"/>
        <v>20547.193059999991</v>
      </c>
      <c r="K81" s="592">
        <f t="shared" si="1307"/>
        <v>45129</v>
      </c>
      <c r="L81" s="592">
        <f t="shared" si="1307"/>
        <v>1</v>
      </c>
      <c r="M81" s="592">
        <f t="shared" si="1307"/>
        <v>21736.451440000001</v>
      </c>
      <c r="N81" s="592">
        <f t="shared" si="1307"/>
        <v>-16852.683399999994</v>
      </c>
      <c r="O81" s="592">
        <f t="shared" si="1307"/>
        <v>31569</v>
      </c>
      <c r="P81" s="592">
        <f t="shared" si="1307"/>
        <v>37679</v>
      </c>
      <c r="Q81" s="592">
        <f t="shared" si="1307"/>
        <v>1</v>
      </c>
      <c r="R81" s="592">
        <f t="shared" si="1307"/>
        <v>-636.38159999999334</v>
      </c>
      <c r="S81" s="592">
        <f t="shared" si="1307"/>
        <v>29882</v>
      </c>
      <c r="T81" s="592">
        <f t="shared" si="1307"/>
        <v>30364</v>
      </c>
      <c r="U81" s="592">
        <f t="shared" si="1307"/>
        <v>27435</v>
      </c>
      <c r="V81" s="592">
        <f t="shared" si="1307"/>
        <v>31464.131000000001</v>
      </c>
      <c r="W81" s="592">
        <f t="shared" si="1307"/>
        <v>0</v>
      </c>
      <c r="X81" s="592">
        <f t="shared" si="1307"/>
        <v>43539</v>
      </c>
      <c r="Y81" s="592">
        <f t="shared" si="1307"/>
        <v>0</v>
      </c>
      <c r="Z81" s="592">
        <f t="shared" si="1307"/>
        <v>-89247.716799999995</v>
      </c>
      <c r="AA81" s="592">
        <f t="shared" si="1307"/>
        <v>142452</v>
      </c>
      <c r="AB81" s="592">
        <f t="shared" si="1307"/>
        <v>0</v>
      </c>
      <c r="AC81" s="592">
        <f t="shared" si="1307"/>
        <v>0</v>
      </c>
      <c r="AD81" s="592">
        <f t="shared" si="1307"/>
        <v>85804</v>
      </c>
      <c r="AE81" s="592">
        <f t="shared" si="1307"/>
        <v>2889.5624000000025</v>
      </c>
      <c r="AF81" s="592">
        <f t="shared" si="1307"/>
        <v>88088.052648372686</v>
      </c>
      <c r="AG81" s="592">
        <f t="shared" si="1307"/>
        <v>4166.3816209317156</v>
      </c>
      <c r="AH81" s="592">
        <f t="shared" si="1307"/>
        <v>170439.60912571792</v>
      </c>
      <c r="AI81" s="592">
        <f t="shared" ref="AI81:BN81" si="1308">+AI63</f>
        <v>2680.3220399999991</v>
      </c>
      <c r="AJ81" s="592">
        <f t="shared" si="1308"/>
        <v>89890.860889999996</v>
      </c>
      <c r="AK81" s="592">
        <f t="shared" si="1308"/>
        <v>2729.9398599999986</v>
      </c>
      <c r="AL81" s="592">
        <f t="shared" si="1308"/>
        <v>173345.77548131885</v>
      </c>
      <c r="AM81" s="592">
        <f t="shared" si="1308"/>
        <v>2487.3722612210149</v>
      </c>
      <c r="AN81" s="592">
        <f t="shared" si="1308"/>
        <v>97626.334077855776</v>
      </c>
      <c r="AO81" s="592">
        <f t="shared" si="1308"/>
        <v>2764.7388853435423</v>
      </c>
      <c r="AP81" s="592">
        <f t="shared" si="1308"/>
        <v>55208.535121050008</v>
      </c>
      <c r="AQ81" s="592">
        <f t="shared" si="1308"/>
        <v>2325.9018834999988</v>
      </c>
      <c r="AR81" s="592">
        <f t="shared" si="1308"/>
        <v>104648.354938</v>
      </c>
      <c r="AS81" s="592">
        <f t="shared" si="1308"/>
        <v>2380.5764520000012</v>
      </c>
      <c r="AT81" s="592">
        <f t="shared" si="1308"/>
        <v>-58788.581250499992</v>
      </c>
      <c r="AU81" s="592">
        <f t="shared" si="1308"/>
        <v>3288.3047399999996</v>
      </c>
      <c r="AV81" s="592">
        <f t="shared" si="1308"/>
        <v>127054.33326</v>
      </c>
      <c r="AW81" s="592">
        <f t="shared" si="1308"/>
        <v>4029.2526599999001</v>
      </c>
      <c r="AX81" s="592">
        <f t="shared" si="1308"/>
        <v>-44955.174530000004</v>
      </c>
      <c r="AY81" s="592">
        <f t="shared" si="1308"/>
        <v>5611.440340000001</v>
      </c>
      <c r="AZ81" s="910">
        <f t="shared" si="1308"/>
        <v>152838.5442</v>
      </c>
      <c r="BA81" s="592">
        <f t="shared" si="1308"/>
        <v>6025.7046199999968</v>
      </c>
      <c r="BB81" s="592">
        <f t="shared" si="1308"/>
        <v>59.171750000001339</v>
      </c>
      <c r="BC81" s="592">
        <f t="shared" si="1308"/>
        <v>6666.9057299999986</v>
      </c>
      <c r="BD81" s="592">
        <f t="shared" si="1308"/>
        <v>162253.60010000001</v>
      </c>
      <c r="BE81" s="592">
        <f t="shared" si="1308"/>
        <v>6986.3164299999989</v>
      </c>
      <c r="BF81" s="592">
        <f t="shared" si="1308"/>
        <v>-3230.064910000001</v>
      </c>
      <c r="BG81" s="592">
        <f t="shared" si="1308"/>
        <v>103156.86465</v>
      </c>
      <c r="BH81" s="592">
        <f t="shared" si="1308"/>
        <v>186903.62398</v>
      </c>
      <c r="BI81" s="592">
        <f t="shared" si="1308"/>
        <v>7582.9405100000004</v>
      </c>
      <c r="BJ81" s="592">
        <f t="shared" si="1308"/>
        <v>-37786.067499999997</v>
      </c>
      <c r="BK81" s="592">
        <f t="shared" si="1308"/>
        <v>191108.29447000002</v>
      </c>
      <c r="BL81" s="592">
        <f t="shared" si="1308"/>
        <v>250200.33971</v>
      </c>
      <c r="BM81" s="592">
        <f t="shared" si="1308"/>
        <v>6987.9972800000032</v>
      </c>
      <c r="BN81" s="592">
        <f t="shared" si="1308"/>
        <v>-14078.40724</v>
      </c>
      <c r="BO81" s="592">
        <f t="shared" ref="BO81:CD81" si="1309">+BO63</f>
        <v>22515.677509999994</v>
      </c>
      <c r="BP81" s="592">
        <f t="shared" si="1309"/>
        <v>249283</v>
      </c>
      <c r="BQ81" s="592">
        <f t="shared" si="1309"/>
        <v>7164</v>
      </c>
      <c r="BR81" s="592">
        <f t="shared" si="1309"/>
        <v>-25694.142090000001</v>
      </c>
      <c r="BS81" s="592">
        <f t="shared" si="1309"/>
        <v>37582.271999999997</v>
      </c>
      <c r="BT81" s="592">
        <f t="shared" si="1309"/>
        <v>255209.54295999999</v>
      </c>
      <c r="BU81" s="592">
        <f t="shared" si="1309"/>
        <v>11919.899999999994</v>
      </c>
      <c r="BV81" s="592">
        <f t="shared" si="1309"/>
        <v>6755</v>
      </c>
      <c r="BW81" s="592">
        <f t="shared" si="1309"/>
        <v>14755</v>
      </c>
      <c r="BX81" s="592">
        <f t="shared" si="1309"/>
        <v>370364.85693000001</v>
      </c>
      <c r="BY81" s="592">
        <f t="shared" si="1309"/>
        <v>286752.28865</v>
      </c>
      <c r="BZ81" s="592">
        <f t="shared" si="1309"/>
        <v>169010</v>
      </c>
      <c r="CA81" s="592">
        <f t="shared" si="1309"/>
        <v>178659.45462999999</v>
      </c>
      <c r="CB81" s="592">
        <f t="shared" si="1309"/>
        <v>22666.476540000003</v>
      </c>
      <c r="CC81" s="592">
        <f t="shared" si="1309"/>
        <v>19416.614020000008</v>
      </c>
      <c r="CD81" s="592">
        <f t="shared" si="1309"/>
        <v>324367.62891999999</v>
      </c>
      <c r="CE81" s="592">
        <f t="shared" ref="CE81:CH81" si="1310">+CE63</f>
        <v>314837.29027999996</v>
      </c>
      <c r="CF81" s="592">
        <f t="shared" si="1310"/>
        <v>144388.29034000001</v>
      </c>
      <c r="CG81" s="592">
        <f t="shared" si="1310"/>
        <v>149841.82858</v>
      </c>
      <c r="CH81" s="592">
        <f t="shared" si="1310"/>
        <v>151859.05903999999</v>
      </c>
      <c r="CI81" s="592">
        <f t="shared" ref="CI81:CL81" si="1311">+CI63</f>
        <v>180463.72544000001</v>
      </c>
      <c r="CJ81" s="592">
        <f t="shared" si="1311"/>
        <v>204410.95053</v>
      </c>
      <c r="CK81" s="592">
        <f t="shared" si="1311"/>
        <v>204404.57186000003</v>
      </c>
      <c r="CL81" s="592">
        <f t="shared" si="1311"/>
        <v>387832.12064944225</v>
      </c>
      <c r="CM81" s="592">
        <f t="shared" ref="CM81:CP81" si="1312">+CM63</f>
        <v>195980.12064944225</v>
      </c>
      <c r="CN81" s="592">
        <f t="shared" si="1312"/>
        <v>195980.12064944225</v>
      </c>
      <c r="CO81" s="592">
        <f t="shared" si="1312"/>
        <v>195980.12064944225</v>
      </c>
      <c r="CP81" s="592">
        <f t="shared" si="1312"/>
        <v>195980.12064944225</v>
      </c>
      <c r="CQ81" s="592"/>
      <c r="CR81" s="592">
        <v>387832.12064944225</v>
      </c>
      <c r="CT81" s="592"/>
      <c r="CU81" s="592"/>
      <c r="CV81" s="592"/>
      <c r="CW81" s="592"/>
      <c r="CX81" s="592">
        <f t="shared" si="1272"/>
        <v>68612.618400000007</v>
      </c>
      <c r="CY81" s="942">
        <f t="shared" si="1273"/>
        <v>119145.13099999999</v>
      </c>
      <c r="CZ81" s="942">
        <f t="shared" si="1274"/>
        <v>-45708.716799999995</v>
      </c>
      <c r="DA81" s="942">
        <f t="shared" si="1275"/>
        <v>228256</v>
      </c>
      <c r="DB81" s="592">
        <f>+DB63</f>
        <v>265583.60579502233</v>
      </c>
      <c r="DC81" s="939">
        <f t="shared" si="1276"/>
        <v>268646.89827131887</v>
      </c>
      <c r="DD81" s="939">
        <f t="shared" si="1277"/>
        <v>158086.98034547034</v>
      </c>
      <c r="DE81" s="939">
        <f t="shared" si="1278"/>
        <v>50566.252023000008</v>
      </c>
      <c r="DF81" s="592">
        <f t="shared" ref="DF81:DR81" si="1313">+DF63</f>
        <v>89416.716129999899</v>
      </c>
      <c r="DG81" s="592">
        <f t="shared" si="1313"/>
        <v>164534.86091000002</v>
      </c>
      <c r="DH81" s="592">
        <f t="shared" si="1313"/>
        <v>172676.75735000003</v>
      </c>
      <c r="DI81" s="592">
        <f t="shared" si="1313"/>
        <v>163610.55368000001</v>
      </c>
      <c r="DJ81" s="592">
        <f t="shared" si="1313"/>
        <v>434218.22421999997</v>
      </c>
      <c r="DK81" s="592">
        <f t="shared" si="1313"/>
        <v>253268.53541999997</v>
      </c>
      <c r="DL81" s="592">
        <f t="shared" si="1313"/>
        <v>311466.71496000001</v>
      </c>
      <c r="DM81" s="592">
        <f t="shared" si="1313"/>
        <v>1166096.30058</v>
      </c>
      <c r="DN81" s="592">
        <f t="shared" si="1313"/>
        <v>545110.17411000002</v>
      </c>
      <c r="DO81" s="592">
        <f t="shared" ref="DO81:DP81" si="1314">+DO63</f>
        <v>760926.46823999996</v>
      </c>
      <c r="DP81" s="592">
        <f t="shared" si="1314"/>
        <v>977111.36847944232</v>
      </c>
      <c r="DQ81" s="592">
        <f t="shared" ref="DQ81" si="1315">+DQ63</f>
        <v>783920.48259776901</v>
      </c>
      <c r="DR81" s="592">
        <f t="shared" si="1313"/>
        <v>806181.66477265593</v>
      </c>
      <c r="DS81" s="592">
        <f t="shared" ref="DS81:DU81" si="1316">+DS63</f>
        <v>871862.73891308962</v>
      </c>
      <c r="DT81" s="592">
        <f t="shared" si="1316"/>
        <v>944784.86776817031</v>
      </c>
      <c r="DU81" s="592">
        <f t="shared" si="1316"/>
        <v>1026051.6041419248</v>
      </c>
      <c r="DX81" s="592">
        <v>746921.72884665674</v>
      </c>
      <c r="DY81" s="592">
        <v>806181.66477265593</v>
      </c>
    </row>
    <row r="82" spans="1:129" s="904" customFormat="1">
      <c r="A82" s="939"/>
      <c r="B82" s="949" t="s">
        <v>398</v>
      </c>
      <c r="C82" s="592">
        <f t="shared" ref="C82:AH82" si="1317">+C66</f>
        <v>0</v>
      </c>
      <c r="D82" s="592">
        <f t="shared" si="1317"/>
        <v>0</v>
      </c>
      <c r="E82" s="592">
        <f t="shared" si="1317"/>
        <v>0</v>
      </c>
      <c r="F82" s="592">
        <f t="shared" si="1317"/>
        <v>0</v>
      </c>
      <c r="G82" s="592">
        <f t="shared" si="1317"/>
        <v>0</v>
      </c>
      <c r="H82" s="592">
        <f t="shared" si="1317"/>
        <v>0</v>
      </c>
      <c r="I82" s="592">
        <f t="shared" si="1317"/>
        <v>0</v>
      </c>
      <c r="J82" s="592">
        <f t="shared" si="1317"/>
        <v>0</v>
      </c>
      <c r="K82" s="592">
        <f t="shared" si="1317"/>
        <v>0</v>
      </c>
      <c r="L82" s="592">
        <f t="shared" si="1317"/>
        <v>0</v>
      </c>
      <c r="M82" s="592">
        <f t="shared" si="1317"/>
        <v>0</v>
      </c>
      <c r="N82" s="592">
        <f t="shared" si="1317"/>
        <v>0</v>
      </c>
      <c r="O82" s="592">
        <f t="shared" si="1317"/>
        <v>0</v>
      </c>
      <c r="P82" s="592">
        <f t="shared" si="1317"/>
        <v>0</v>
      </c>
      <c r="Q82" s="592">
        <f t="shared" si="1317"/>
        <v>0</v>
      </c>
      <c r="R82" s="592">
        <f t="shared" si="1317"/>
        <v>0</v>
      </c>
      <c r="S82" s="592">
        <f t="shared" si="1317"/>
        <v>0</v>
      </c>
      <c r="T82" s="592">
        <f t="shared" si="1317"/>
        <v>0</v>
      </c>
      <c r="U82" s="592">
        <f t="shared" si="1317"/>
        <v>0</v>
      </c>
      <c r="V82" s="592">
        <f t="shared" si="1317"/>
        <v>0</v>
      </c>
      <c r="W82" s="592">
        <f t="shared" si="1317"/>
        <v>0</v>
      </c>
      <c r="X82" s="592">
        <f t="shared" si="1317"/>
        <v>0</v>
      </c>
      <c r="Y82" s="592">
        <f t="shared" si="1317"/>
        <v>0</v>
      </c>
      <c r="Z82" s="592">
        <f t="shared" si="1317"/>
        <v>0</v>
      </c>
      <c r="AA82" s="592">
        <f t="shared" si="1317"/>
        <v>0</v>
      </c>
      <c r="AB82" s="592">
        <f t="shared" si="1317"/>
        <v>0</v>
      </c>
      <c r="AC82" s="592">
        <f t="shared" si="1317"/>
        <v>0</v>
      </c>
      <c r="AD82" s="592">
        <f t="shared" si="1317"/>
        <v>0</v>
      </c>
      <c r="AE82" s="592">
        <f t="shared" si="1317"/>
        <v>0</v>
      </c>
      <c r="AF82" s="592">
        <f t="shared" si="1317"/>
        <v>0</v>
      </c>
      <c r="AG82" s="592">
        <f t="shared" si="1317"/>
        <v>0</v>
      </c>
      <c r="AH82" s="592">
        <f t="shared" si="1317"/>
        <v>0</v>
      </c>
      <c r="AI82" s="592">
        <f t="shared" ref="AI82:BN82" si="1318">+AI66</f>
        <v>0</v>
      </c>
      <c r="AJ82" s="592">
        <f t="shared" si="1318"/>
        <v>0</v>
      </c>
      <c r="AK82" s="592">
        <f t="shared" si="1318"/>
        <v>0</v>
      </c>
      <c r="AL82" s="592">
        <f t="shared" si="1318"/>
        <v>0</v>
      </c>
      <c r="AM82" s="592">
        <f t="shared" si="1318"/>
        <v>0</v>
      </c>
      <c r="AN82" s="592">
        <f t="shared" si="1318"/>
        <v>0</v>
      </c>
      <c r="AO82" s="592">
        <f t="shared" si="1318"/>
        <v>0</v>
      </c>
      <c r="AP82" s="592">
        <f t="shared" si="1318"/>
        <v>0</v>
      </c>
      <c r="AQ82" s="592">
        <f t="shared" si="1318"/>
        <v>0</v>
      </c>
      <c r="AR82" s="592">
        <f t="shared" si="1318"/>
        <v>0</v>
      </c>
      <c r="AS82" s="592">
        <f t="shared" si="1318"/>
        <v>0</v>
      </c>
      <c r="AT82" s="592">
        <f t="shared" si="1318"/>
        <v>0</v>
      </c>
      <c r="AU82" s="592">
        <f t="shared" si="1318"/>
        <v>0</v>
      </c>
      <c r="AV82" s="592">
        <f t="shared" si="1318"/>
        <v>0</v>
      </c>
      <c r="AW82" s="592">
        <f t="shared" si="1318"/>
        <v>0</v>
      </c>
      <c r="AX82" s="592">
        <f t="shared" si="1318"/>
        <v>0</v>
      </c>
      <c r="AY82" s="592">
        <f t="shared" si="1318"/>
        <v>0</v>
      </c>
      <c r="AZ82" s="910">
        <f t="shared" si="1318"/>
        <v>0</v>
      </c>
      <c r="BA82" s="592">
        <f t="shared" si="1318"/>
        <v>0</v>
      </c>
      <c r="BB82" s="592">
        <f t="shared" si="1318"/>
        <v>0</v>
      </c>
      <c r="BC82" s="592">
        <f t="shared" si="1318"/>
        <v>0</v>
      </c>
      <c r="BD82" s="592">
        <f t="shared" si="1318"/>
        <v>0</v>
      </c>
      <c r="BE82" s="592">
        <f t="shared" si="1318"/>
        <v>0</v>
      </c>
      <c r="BF82" s="592">
        <f t="shared" si="1318"/>
        <v>0</v>
      </c>
      <c r="BG82" s="592">
        <f t="shared" si="1318"/>
        <v>0</v>
      </c>
      <c r="BH82" s="592">
        <f t="shared" si="1318"/>
        <v>0</v>
      </c>
      <c r="BI82" s="592">
        <f t="shared" si="1318"/>
        <v>0</v>
      </c>
      <c r="BJ82" s="592">
        <f t="shared" si="1318"/>
        <v>0</v>
      </c>
      <c r="BK82" s="592">
        <f t="shared" si="1318"/>
        <v>0</v>
      </c>
      <c r="BL82" s="592">
        <f t="shared" si="1318"/>
        <v>0</v>
      </c>
      <c r="BM82" s="592">
        <f t="shared" si="1318"/>
        <v>0</v>
      </c>
      <c r="BN82" s="592">
        <f t="shared" si="1318"/>
        <v>0</v>
      </c>
      <c r="BO82" s="592">
        <f t="shared" ref="BO82:CD82" si="1319">+BO66</f>
        <v>0</v>
      </c>
      <c r="BP82" s="592">
        <f t="shared" si="1319"/>
        <v>0</v>
      </c>
      <c r="BQ82" s="592">
        <f t="shared" si="1319"/>
        <v>0</v>
      </c>
      <c r="BR82" s="592">
        <f t="shared" si="1319"/>
        <v>0</v>
      </c>
      <c r="BS82" s="592">
        <f t="shared" si="1319"/>
        <v>0</v>
      </c>
      <c r="BT82" s="592">
        <f t="shared" si="1319"/>
        <v>0</v>
      </c>
      <c r="BU82" s="592">
        <f t="shared" si="1319"/>
        <v>0</v>
      </c>
      <c r="BV82" s="592">
        <f t="shared" si="1319"/>
        <v>0</v>
      </c>
      <c r="BW82" s="592">
        <f t="shared" si="1319"/>
        <v>0</v>
      </c>
      <c r="BX82" s="592">
        <f t="shared" si="1319"/>
        <v>0</v>
      </c>
      <c r="BY82" s="592">
        <f t="shared" si="1319"/>
        <v>0</v>
      </c>
      <c r="BZ82" s="592">
        <f t="shared" si="1319"/>
        <v>0</v>
      </c>
      <c r="CA82" s="592">
        <f t="shared" si="1319"/>
        <v>0</v>
      </c>
      <c r="CB82" s="592">
        <f t="shared" si="1319"/>
        <v>0</v>
      </c>
      <c r="CC82" s="592">
        <f t="shared" si="1319"/>
        <v>0</v>
      </c>
      <c r="CD82" s="592">
        <f t="shared" si="1319"/>
        <v>0</v>
      </c>
      <c r="CE82" s="592">
        <f t="shared" ref="CE82:CH83" si="1320">+CE66</f>
        <v>0</v>
      </c>
      <c r="CF82" s="592">
        <f t="shared" si="1320"/>
        <v>0</v>
      </c>
      <c r="CG82" s="592">
        <f t="shared" si="1320"/>
        <v>0</v>
      </c>
      <c r="CH82" s="592">
        <f t="shared" si="1320"/>
        <v>0</v>
      </c>
      <c r="CI82" s="592">
        <f t="shared" ref="CI82:CL82" si="1321">+CI66</f>
        <v>0</v>
      </c>
      <c r="CJ82" s="592">
        <f t="shared" si="1321"/>
        <v>0</v>
      </c>
      <c r="CK82" s="592">
        <f t="shared" si="1321"/>
        <v>0</v>
      </c>
      <c r="CL82" s="592">
        <f t="shared" si="1321"/>
        <v>0</v>
      </c>
      <c r="CM82" s="592">
        <f t="shared" ref="CM82:CP82" si="1322">+CM66</f>
        <v>0</v>
      </c>
      <c r="CN82" s="592">
        <f t="shared" si="1322"/>
        <v>0</v>
      </c>
      <c r="CO82" s="592">
        <f t="shared" si="1322"/>
        <v>0</v>
      </c>
      <c r="CP82" s="592">
        <f t="shared" si="1322"/>
        <v>0</v>
      </c>
      <c r="CQ82" s="592"/>
      <c r="CR82" s="592">
        <v>0</v>
      </c>
      <c r="CT82" s="592"/>
      <c r="CU82" s="592"/>
      <c r="CV82" s="592"/>
      <c r="CW82" s="592"/>
      <c r="CX82" s="592">
        <f t="shared" si="1272"/>
        <v>0</v>
      </c>
      <c r="CY82" s="942">
        <f t="shared" si="1273"/>
        <v>0</v>
      </c>
      <c r="CZ82" s="942">
        <f t="shared" si="1274"/>
        <v>0</v>
      </c>
      <c r="DA82" s="942">
        <f t="shared" si="1275"/>
        <v>0</v>
      </c>
      <c r="DB82" s="592">
        <f>+DB66</f>
        <v>0</v>
      </c>
      <c r="DC82" s="939">
        <f t="shared" si="1276"/>
        <v>0</v>
      </c>
      <c r="DD82" s="939">
        <f t="shared" si="1277"/>
        <v>0</v>
      </c>
      <c r="DE82" s="939">
        <f t="shared" si="1278"/>
        <v>0</v>
      </c>
      <c r="DF82" s="592">
        <f t="shared" ref="DF82:DR82" si="1323">+DF66</f>
        <v>0</v>
      </c>
      <c r="DG82" s="592">
        <f t="shared" si="1323"/>
        <v>0</v>
      </c>
      <c r="DH82" s="592">
        <f t="shared" si="1323"/>
        <v>0</v>
      </c>
      <c r="DI82" s="592">
        <f t="shared" si="1323"/>
        <v>0</v>
      </c>
      <c r="DJ82" s="592">
        <f t="shared" si="1323"/>
        <v>0</v>
      </c>
      <c r="DK82" s="592">
        <f t="shared" si="1323"/>
        <v>0</v>
      </c>
      <c r="DL82" s="592">
        <f t="shared" si="1323"/>
        <v>0</v>
      </c>
      <c r="DM82" s="592">
        <f t="shared" si="1323"/>
        <v>0</v>
      </c>
      <c r="DN82" s="592">
        <f t="shared" si="1323"/>
        <v>0</v>
      </c>
      <c r="DO82" s="592">
        <f t="shared" ref="DO82:DP82" si="1324">+DO66</f>
        <v>0</v>
      </c>
      <c r="DP82" s="592">
        <f t="shared" si="1324"/>
        <v>0</v>
      </c>
      <c r="DQ82" s="592">
        <f t="shared" ref="DQ82" si="1325">+DQ66</f>
        <v>0</v>
      </c>
      <c r="DR82" s="592">
        <f t="shared" si="1323"/>
        <v>0</v>
      </c>
      <c r="DS82" s="592">
        <f t="shared" ref="DS82:DU82" si="1326">+DS66</f>
        <v>0</v>
      </c>
      <c r="DT82" s="592">
        <f t="shared" si="1326"/>
        <v>0</v>
      </c>
      <c r="DU82" s="592">
        <f t="shared" si="1326"/>
        <v>0</v>
      </c>
      <c r="DX82" s="592">
        <v>0</v>
      </c>
      <c r="DY82" s="592">
        <v>0</v>
      </c>
    </row>
    <row r="83" spans="1:129" s="904" customFormat="1">
      <c r="A83" s="939"/>
      <c r="B83" s="949" t="s">
        <v>399</v>
      </c>
      <c r="C83" s="592" t="e">
        <f t="shared" ref="C83:AH83" si="1327">+C67</f>
        <v>#VALUE!</v>
      </c>
      <c r="D83" s="592">
        <f t="shared" si="1327"/>
        <v>20004</v>
      </c>
      <c r="E83" s="592">
        <f t="shared" si="1327"/>
        <v>1220</v>
      </c>
      <c r="F83" s="592">
        <f t="shared" si="1327"/>
        <v>5363</v>
      </c>
      <c r="G83" s="592">
        <f t="shared" si="1327"/>
        <v>1346</v>
      </c>
      <c r="H83" s="592">
        <f t="shared" si="1327"/>
        <v>997</v>
      </c>
      <c r="I83" s="592">
        <f t="shared" si="1327"/>
        <v>8180</v>
      </c>
      <c r="J83" s="592">
        <f t="shared" si="1327"/>
        <v>5102</v>
      </c>
      <c r="K83" s="592">
        <f t="shared" si="1327"/>
        <v>-27707</v>
      </c>
      <c r="L83" s="592">
        <f t="shared" si="1327"/>
        <v>859</v>
      </c>
      <c r="M83" s="592">
        <f t="shared" si="1327"/>
        <v>-759</v>
      </c>
      <c r="N83" s="592">
        <f t="shared" si="1327"/>
        <v>1124</v>
      </c>
      <c r="O83" s="592">
        <f t="shared" si="1327"/>
        <v>468</v>
      </c>
      <c r="P83" s="592">
        <f t="shared" si="1327"/>
        <v>661</v>
      </c>
      <c r="Q83" s="592">
        <f t="shared" si="1327"/>
        <v>-188</v>
      </c>
      <c r="R83" s="592">
        <f t="shared" si="1327"/>
        <v>759</v>
      </c>
      <c r="S83" s="592">
        <f t="shared" si="1327"/>
        <v>3035</v>
      </c>
      <c r="T83" s="592">
        <f t="shared" si="1327"/>
        <v>1364</v>
      </c>
      <c r="U83" s="592">
        <f t="shared" si="1327"/>
        <v>1641</v>
      </c>
      <c r="V83" s="592">
        <f t="shared" si="1327"/>
        <v>1838</v>
      </c>
      <c r="W83" s="592">
        <f t="shared" si="1327"/>
        <v>-13044</v>
      </c>
      <c r="X83" s="592">
        <f t="shared" si="1327"/>
        <v>527</v>
      </c>
      <c r="Y83" s="592">
        <f t="shared" si="1327"/>
        <v>36</v>
      </c>
      <c r="Z83" s="592">
        <f t="shared" si="1327"/>
        <v>-3383</v>
      </c>
      <c r="AA83" s="592">
        <f t="shared" si="1327"/>
        <v>-162</v>
      </c>
      <c r="AB83" s="592">
        <f t="shared" si="1327"/>
        <v>51</v>
      </c>
      <c r="AC83" s="592">
        <f t="shared" si="1327"/>
        <v>154</v>
      </c>
      <c r="AD83" s="592">
        <f t="shared" si="1327"/>
        <v>29</v>
      </c>
      <c r="AE83" s="592">
        <f t="shared" si="1327"/>
        <v>-35</v>
      </c>
      <c r="AF83" s="592">
        <f t="shared" si="1327"/>
        <v>609</v>
      </c>
      <c r="AG83" s="592">
        <f t="shared" si="1327"/>
        <v>-3629</v>
      </c>
      <c r="AH83" s="592">
        <f t="shared" si="1327"/>
        <v>-271</v>
      </c>
      <c r="AI83" s="592">
        <f t="shared" ref="AI83:BN83" si="1328">+AI67</f>
        <v>409</v>
      </c>
      <c r="AJ83" s="592">
        <f t="shared" si="1328"/>
        <v>55</v>
      </c>
      <c r="AK83" s="592">
        <f t="shared" si="1328"/>
        <v>191</v>
      </c>
      <c r="AL83" s="592">
        <f t="shared" si="1328"/>
        <v>177</v>
      </c>
      <c r="AM83" s="592">
        <f t="shared" si="1328"/>
        <v>-102</v>
      </c>
      <c r="AN83" s="592">
        <f t="shared" si="1328"/>
        <v>206</v>
      </c>
      <c r="AO83" s="592">
        <f t="shared" si="1328"/>
        <v>-14</v>
      </c>
      <c r="AP83" s="592">
        <f t="shared" si="1328"/>
        <v>-218</v>
      </c>
      <c r="AQ83" s="592">
        <f t="shared" si="1328"/>
        <v>48</v>
      </c>
      <c r="AR83" s="592">
        <f t="shared" si="1328"/>
        <v>131</v>
      </c>
      <c r="AS83" s="592">
        <f t="shared" si="1328"/>
        <v>-878</v>
      </c>
      <c r="AT83" s="592">
        <f t="shared" si="1328"/>
        <v>639</v>
      </c>
      <c r="AU83" s="592">
        <f t="shared" si="1328"/>
        <v>-1566</v>
      </c>
      <c r="AV83" s="592">
        <f t="shared" si="1328"/>
        <v>2884</v>
      </c>
      <c r="AW83" s="592">
        <f t="shared" si="1328"/>
        <v>2693</v>
      </c>
      <c r="AX83" s="592">
        <f t="shared" si="1328"/>
        <v>-19</v>
      </c>
      <c r="AY83" s="592">
        <f t="shared" si="1328"/>
        <v>-26</v>
      </c>
      <c r="AZ83" s="910">
        <f t="shared" si="1328"/>
        <v>-318</v>
      </c>
      <c r="BA83" s="592">
        <f t="shared" si="1328"/>
        <v>-188</v>
      </c>
      <c r="BB83" s="592">
        <f t="shared" si="1328"/>
        <v>151</v>
      </c>
      <c r="BC83" s="592">
        <f t="shared" si="1328"/>
        <v>80</v>
      </c>
      <c r="BD83" s="592">
        <f t="shared" si="1328"/>
        <v>59</v>
      </c>
      <c r="BE83" s="592">
        <f t="shared" si="1328"/>
        <v>32</v>
      </c>
      <c r="BF83" s="592">
        <f t="shared" si="1328"/>
        <v>-94</v>
      </c>
      <c r="BG83" s="592">
        <f t="shared" si="1328"/>
        <v>-509</v>
      </c>
      <c r="BH83" s="592">
        <f t="shared" si="1328"/>
        <v>-5</v>
      </c>
      <c r="BI83" s="592">
        <f t="shared" si="1328"/>
        <v>84</v>
      </c>
      <c r="BJ83" s="592">
        <f t="shared" si="1328"/>
        <v>-10091</v>
      </c>
      <c r="BK83" s="592">
        <f t="shared" si="1328"/>
        <v>0</v>
      </c>
      <c r="BL83" s="592">
        <f t="shared" si="1328"/>
        <v>0</v>
      </c>
      <c r="BM83" s="592">
        <f t="shared" si="1328"/>
        <v>0</v>
      </c>
      <c r="BN83" s="592">
        <f t="shared" si="1328"/>
        <v>0</v>
      </c>
      <c r="BO83" s="592">
        <f t="shared" ref="BO83:CD83" si="1329">+BO67</f>
        <v>0</v>
      </c>
      <c r="BP83" s="592">
        <f t="shared" si="1329"/>
        <v>0</v>
      </c>
      <c r="BQ83" s="592">
        <f t="shared" si="1329"/>
        <v>0</v>
      </c>
      <c r="BR83" s="592">
        <f t="shared" si="1329"/>
        <v>0</v>
      </c>
      <c r="BS83" s="592">
        <f t="shared" si="1329"/>
        <v>0</v>
      </c>
      <c r="BT83" s="592">
        <f t="shared" si="1329"/>
        <v>0</v>
      </c>
      <c r="BU83" s="592">
        <f t="shared" si="1329"/>
        <v>0</v>
      </c>
      <c r="BV83" s="592">
        <f t="shared" si="1329"/>
        <v>458085</v>
      </c>
      <c r="BW83" s="592">
        <f t="shared" si="1329"/>
        <v>-113726</v>
      </c>
      <c r="BX83" s="592">
        <f t="shared" si="1329"/>
        <v>10320</v>
      </c>
      <c r="BY83" s="592">
        <f t="shared" si="1329"/>
        <v>111429</v>
      </c>
      <c r="BZ83" s="592">
        <f t="shared" si="1329"/>
        <v>189022.68980000005</v>
      </c>
      <c r="CA83" s="592">
        <f t="shared" si="1329"/>
        <v>-101406.68980000005</v>
      </c>
      <c r="CB83" s="592">
        <f t="shared" si="1329"/>
        <v>27755</v>
      </c>
      <c r="CC83" s="592">
        <f t="shared" si="1329"/>
        <v>44456</v>
      </c>
      <c r="CD83" s="592">
        <f t="shared" si="1329"/>
        <v>-54280.189849999966</v>
      </c>
      <c r="CE83" s="592">
        <f t="shared" ref="CE83:CG83" si="1330">+CE67</f>
        <v>-102991.62085000006</v>
      </c>
      <c r="CF83" s="592">
        <f t="shared" si="1330"/>
        <v>100493.81070000003</v>
      </c>
      <c r="CG83" s="592">
        <f t="shared" si="1330"/>
        <v>226077</v>
      </c>
      <c r="CH83" s="592">
        <f t="shared" si="1320"/>
        <v>49963</v>
      </c>
      <c r="CI83" s="592">
        <f t="shared" ref="CI83:CL83" si="1331">+CI67</f>
        <v>-129960</v>
      </c>
      <c r="CJ83" s="592">
        <f t="shared" si="1331"/>
        <v>242077</v>
      </c>
      <c r="CK83" s="592">
        <f t="shared" si="1331"/>
        <v>-190025</v>
      </c>
      <c r="CL83" s="592">
        <f t="shared" si="1331"/>
        <v>0</v>
      </c>
      <c r="CM83" s="592">
        <f t="shared" ref="CM83:CP83" si="1332">+CM67</f>
        <v>0</v>
      </c>
      <c r="CN83" s="592">
        <f t="shared" si="1332"/>
        <v>0</v>
      </c>
      <c r="CO83" s="592">
        <f t="shared" si="1332"/>
        <v>0</v>
      </c>
      <c r="CP83" s="592">
        <f t="shared" si="1332"/>
        <v>0</v>
      </c>
      <c r="CQ83" s="592"/>
      <c r="CR83" s="592">
        <v>0</v>
      </c>
      <c r="CT83" s="592"/>
      <c r="CU83" s="592"/>
      <c r="CV83" s="592"/>
      <c r="CW83" s="592"/>
      <c r="CX83" s="592">
        <f t="shared" si="1272"/>
        <v>1700</v>
      </c>
      <c r="CY83" s="942">
        <f t="shared" si="1273"/>
        <v>7878</v>
      </c>
      <c r="CZ83" s="942">
        <f t="shared" si="1274"/>
        <v>-15864</v>
      </c>
      <c r="DA83" s="942">
        <f t="shared" si="1275"/>
        <v>72</v>
      </c>
      <c r="DB83" s="592">
        <f>+DB67</f>
        <v>-3326</v>
      </c>
      <c r="DC83" s="939">
        <f t="shared" si="1276"/>
        <v>832</v>
      </c>
      <c r="DD83" s="939">
        <f t="shared" si="1277"/>
        <v>-128</v>
      </c>
      <c r="DE83" s="939">
        <f t="shared" si="1278"/>
        <v>-60</v>
      </c>
      <c r="DF83" s="592">
        <f t="shared" ref="DF83:DR83" si="1333">+DF67</f>
        <v>3992</v>
      </c>
      <c r="DG83" s="592">
        <f t="shared" si="1333"/>
        <v>-381</v>
      </c>
      <c r="DH83" s="592">
        <f t="shared" si="1333"/>
        <v>77</v>
      </c>
      <c r="DI83" s="592">
        <f t="shared" si="1333"/>
        <v>-10521</v>
      </c>
      <c r="DJ83" s="592">
        <f t="shared" si="1333"/>
        <v>0</v>
      </c>
      <c r="DK83" s="592">
        <f t="shared" si="1333"/>
        <v>0</v>
      </c>
      <c r="DL83" s="592">
        <f t="shared" si="1333"/>
        <v>458085</v>
      </c>
      <c r="DM83" s="592">
        <f t="shared" si="1333"/>
        <v>197045.68980000005</v>
      </c>
      <c r="DN83" s="592">
        <f t="shared" si="1333"/>
        <v>-83475.879650000017</v>
      </c>
      <c r="DO83" s="592">
        <f t="shared" ref="DO83:DP83" si="1334">+DO67</f>
        <v>273542.18984999997</v>
      </c>
      <c r="DP83" s="592">
        <f t="shared" si="1334"/>
        <v>-77908</v>
      </c>
      <c r="DQ83" s="592">
        <f t="shared" ref="DQ83" si="1335">+DQ67</f>
        <v>0</v>
      </c>
      <c r="DR83" s="592">
        <f t="shared" si="1333"/>
        <v>0</v>
      </c>
      <c r="DS83" s="592">
        <f t="shared" ref="DS83:DU83" si="1336">+DS67</f>
        <v>0</v>
      </c>
      <c r="DT83" s="592">
        <f t="shared" si="1336"/>
        <v>0</v>
      </c>
      <c r="DU83" s="592">
        <f t="shared" si="1336"/>
        <v>0</v>
      </c>
      <c r="DX83" s="592">
        <v>0</v>
      </c>
      <c r="DY83" s="592">
        <v>0</v>
      </c>
    </row>
    <row r="84" spans="1:129" s="904" customFormat="1">
      <c r="A84" s="939"/>
      <c r="B84" s="949" t="s">
        <v>400</v>
      </c>
      <c r="C84" s="592" t="e">
        <f t="shared" ref="C84:AH84" si="1337">+C79-C80-C81-C83+C82</f>
        <v>#REF!</v>
      </c>
      <c r="D84" s="592" t="e">
        <f t="shared" si="1337"/>
        <v>#REF!</v>
      </c>
      <c r="E84" s="592" t="e">
        <f t="shared" si="1337"/>
        <v>#REF!</v>
      </c>
      <c r="F84" s="592" t="e">
        <f t="shared" si="1337"/>
        <v>#REF!</v>
      </c>
      <c r="G84" s="592" t="e">
        <f t="shared" si="1337"/>
        <v>#REF!</v>
      </c>
      <c r="H84" s="592" t="e">
        <f t="shared" si="1337"/>
        <v>#REF!</v>
      </c>
      <c r="I84" s="592" t="e">
        <f t="shared" si="1337"/>
        <v>#REF!</v>
      </c>
      <c r="J84" s="592" t="e">
        <f t="shared" si="1337"/>
        <v>#REF!</v>
      </c>
      <c r="K84" s="592" t="e">
        <f t="shared" si="1337"/>
        <v>#REF!</v>
      </c>
      <c r="L84" s="592" t="e">
        <f t="shared" si="1337"/>
        <v>#REF!</v>
      </c>
      <c r="M84" s="592" t="e">
        <f t="shared" si="1337"/>
        <v>#REF!</v>
      </c>
      <c r="N84" s="592" t="e">
        <f t="shared" si="1337"/>
        <v>#REF!</v>
      </c>
      <c r="O84" s="592" t="e">
        <f t="shared" si="1337"/>
        <v>#REF!</v>
      </c>
      <c r="P84" s="592" t="e">
        <f t="shared" si="1337"/>
        <v>#REF!</v>
      </c>
      <c r="Q84" s="592" t="e">
        <f t="shared" si="1337"/>
        <v>#REF!</v>
      </c>
      <c r="R84" s="592" t="e">
        <f t="shared" si="1337"/>
        <v>#REF!</v>
      </c>
      <c r="S84" s="592" t="e">
        <f t="shared" si="1337"/>
        <v>#REF!</v>
      </c>
      <c r="T84" s="592" t="e">
        <f t="shared" si="1337"/>
        <v>#REF!</v>
      </c>
      <c r="U84" s="592" t="e">
        <f t="shared" si="1337"/>
        <v>#REF!</v>
      </c>
      <c r="V84" s="592" t="e">
        <f t="shared" si="1337"/>
        <v>#REF!</v>
      </c>
      <c r="W84" s="592" t="e">
        <f t="shared" si="1337"/>
        <v>#REF!</v>
      </c>
      <c r="X84" s="592" t="e">
        <f t="shared" si="1337"/>
        <v>#REF!</v>
      </c>
      <c r="Y84" s="592" t="e">
        <f t="shared" si="1337"/>
        <v>#REF!</v>
      </c>
      <c r="Z84" s="592" t="e">
        <f t="shared" si="1337"/>
        <v>#REF!</v>
      </c>
      <c r="AA84" s="592" t="e">
        <f t="shared" si="1337"/>
        <v>#REF!</v>
      </c>
      <c r="AB84" s="592" t="e">
        <f t="shared" si="1337"/>
        <v>#REF!</v>
      </c>
      <c r="AC84" s="592" t="e">
        <f t="shared" si="1337"/>
        <v>#REF!</v>
      </c>
      <c r="AD84" s="592" t="e">
        <f t="shared" si="1337"/>
        <v>#REF!</v>
      </c>
      <c r="AE84" s="592" t="e">
        <f t="shared" si="1337"/>
        <v>#REF!</v>
      </c>
      <c r="AF84" s="592" t="e">
        <f t="shared" si="1337"/>
        <v>#REF!</v>
      </c>
      <c r="AG84" s="592" t="e">
        <f t="shared" si="1337"/>
        <v>#REF!</v>
      </c>
      <c r="AH84" s="592" t="e">
        <f t="shared" si="1337"/>
        <v>#REF!</v>
      </c>
      <c r="AI84" s="592" t="e">
        <f t="shared" ref="AI84:BJ84" si="1338">+AI79-AI80-AI81-AI83+AI82</f>
        <v>#REF!</v>
      </c>
      <c r="AJ84" s="592" t="e">
        <f t="shared" si="1338"/>
        <v>#REF!</v>
      </c>
      <c r="AK84" s="592" t="e">
        <f t="shared" si="1338"/>
        <v>#REF!</v>
      </c>
      <c r="AL84" s="592" t="e">
        <f t="shared" si="1338"/>
        <v>#REF!</v>
      </c>
      <c r="AM84" s="592" t="e">
        <f t="shared" si="1338"/>
        <v>#REF!</v>
      </c>
      <c r="AN84" s="592" t="e">
        <f t="shared" si="1338"/>
        <v>#REF!</v>
      </c>
      <c r="AO84" s="592" t="e">
        <f t="shared" si="1338"/>
        <v>#REF!</v>
      </c>
      <c r="AP84" s="592" t="e">
        <f t="shared" si="1338"/>
        <v>#REF!</v>
      </c>
      <c r="AQ84" s="592" t="e">
        <f t="shared" si="1338"/>
        <v>#REF!</v>
      </c>
      <c r="AR84" s="592" t="e">
        <f t="shared" si="1338"/>
        <v>#REF!</v>
      </c>
      <c r="AS84" s="592" t="e">
        <f t="shared" si="1338"/>
        <v>#REF!</v>
      </c>
      <c r="AT84" s="592" t="e">
        <f t="shared" si="1338"/>
        <v>#REF!</v>
      </c>
      <c r="AU84" s="592">
        <f t="shared" si="1338"/>
        <v>-170278.59838999985</v>
      </c>
      <c r="AV84" s="592">
        <f t="shared" si="1338"/>
        <v>-37240.756940000094</v>
      </c>
      <c r="AW84" s="592">
        <f t="shared" si="1338"/>
        <v>-112964.2526599999</v>
      </c>
      <c r="AX84" s="592">
        <f t="shared" si="1338"/>
        <v>283086.47793999995</v>
      </c>
      <c r="AY84" s="592">
        <f t="shared" si="1338"/>
        <v>54081.559659999999</v>
      </c>
      <c r="AZ84" s="910">
        <f t="shared" si="1338"/>
        <v>-14125.544200000004</v>
      </c>
      <c r="BA84" s="592">
        <f t="shared" si="1338"/>
        <v>82910.295379999996</v>
      </c>
      <c r="BB84" s="592">
        <f t="shared" si="1338"/>
        <v>165441.82824999999</v>
      </c>
      <c r="BC84" s="592">
        <f t="shared" si="1338"/>
        <v>-209344.97063999998</v>
      </c>
      <c r="BD84" s="592">
        <f t="shared" si="1338"/>
        <v>236.39989999993122</v>
      </c>
      <c r="BE84" s="592">
        <f t="shared" si="1338"/>
        <v>249428.68356999994</v>
      </c>
      <c r="BF84" s="592">
        <f t="shared" si="1338"/>
        <v>134531.28753222374</v>
      </c>
      <c r="BG84" s="592">
        <f t="shared" si="1338"/>
        <v>-341323.86465</v>
      </c>
      <c r="BH84" s="592">
        <f t="shared" si="1338"/>
        <v>-69347.235231999453</v>
      </c>
      <c r="BI84" s="592">
        <f t="shared" si="1338"/>
        <v>249939.24942999997</v>
      </c>
      <c r="BJ84" s="592">
        <f t="shared" si="1338"/>
        <v>310978.15773000004</v>
      </c>
      <c r="BK84" s="592">
        <f t="shared" ref="BK84:BV84" si="1339">+BK79-BK80-BK81-BK83+BK82</f>
        <v>-489003.29447000002</v>
      </c>
      <c r="BL84" s="592">
        <f t="shared" si="1339"/>
        <v>-11379.71989388761</v>
      </c>
      <c r="BM84" s="592">
        <f t="shared" si="1339"/>
        <v>126976.45401679206</v>
      </c>
      <c r="BN84" s="592">
        <f t="shared" si="1339"/>
        <v>327496.19532509672</v>
      </c>
      <c r="BO84" s="592">
        <f t="shared" si="1339"/>
        <v>-515619.42548186606</v>
      </c>
      <c r="BP84" s="592">
        <f t="shared" si="1339"/>
        <v>-359010</v>
      </c>
      <c r="BQ84" s="592">
        <f t="shared" si="1339"/>
        <v>-17386.606089999987</v>
      </c>
      <c r="BR84" s="592">
        <f t="shared" si="1339"/>
        <v>403674.14208999998</v>
      </c>
      <c r="BS84" s="592">
        <f t="shared" si="1339"/>
        <v>-373688.87003791996</v>
      </c>
      <c r="BT84" s="592">
        <f t="shared" si="1339"/>
        <v>-733015.52378636273</v>
      </c>
      <c r="BU84" s="592">
        <f t="shared" si="1339"/>
        <v>229995.4108295023</v>
      </c>
      <c r="BV84" s="592">
        <f t="shared" si="1339"/>
        <v>-449795.91975760076</v>
      </c>
      <c r="BW84" s="592">
        <f t="shared" ref="BW84:CD84" si="1340">+BW79-BW80-BW81-BW83+BW82</f>
        <v>-201755.280557252</v>
      </c>
      <c r="BX84" s="592">
        <f t="shared" si="1340"/>
        <v>-408669.71916394302</v>
      </c>
      <c r="BY84" s="592">
        <f t="shared" si="1340"/>
        <v>-449713.84534179885</v>
      </c>
      <c r="BZ84" s="592">
        <f t="shared" si="1340"/>
        <v>-150762.71979999996</v>
      </c>
      <c r="CA84" s="592">
        <f t="shared" si="1340"/>
        <v>-355835.26990220224</v>
      </c>
      <c r="CB84" s="592">
        <f t="shared" si="1340"/>
        <v>188522.73059566025</v>
      </c>
      <c r="CC84" s="592">
        <f t="shared" si="1340"/>
        <v>431099.62930362951</v>
      </c>
      <c r="CD84" s="592">
        <f t="shared" si="1340"/>
        <v>21836.989602569316</v>
      </c>
      <c r="CE84" s="592">
        <f t="shared" ref="CE84:CH84" si="1341">+CE79-CE80-CE81-CE83+CE82</f>
        <v>-59722.483391093963</v>
      </c>
      <c r="CF84" s="592">
        <f t="shared" si="1341"/>
        <v>-5829.931430675264</v>
      </c>
      <c r="CG84" s="592">
        <f t="shared" si="1341"/>
        <v>37950.772852954105</v>
      </c>
      <c r="CH84" s="592">
        <f t="shared" si="1341"/>
        <v>448468.82549197518</v>
      </c>
      <c r="CI84" s="592">
        <f t="shared" ref="CI84:CL84" si="1342">+CI79-CI80-CI81-CI83+CI82</f>
        <v>29935.023027099494</v>
      </c>
      <c r="CJ84" s="592">
        <f t="shared" si="1342"/>
        <v>-135749.49825856232</v>
      </c>
      <c r="CK84" s="592">
        <f t="shared" si="1342"/>
        <v>450692.32332438597</v>
      </c>
      <c r="CL84" s="592">
        <f t="shared" si="1342"/>
        <v>-431935.1303913166</v>
      </c>
      <c r="CM84" s="592">
        <f t="shared" ref="CM84:CP84" si="1343">+CM79-CM80-CM81-CM83+CM82</f>
        <v>106031.23042986088</v>
      </c>
      <c r="CN84" s="592">
        <f t="shared" si="1343"/>
        <v>206830.4112495833</v>
      </c>
      <c r="CO84" s="592">
        <f t="shared" si="1343"/>
        <v>306982.55549724976</v>
      </c>
      <c r="CP84" s="592">
        <f t="shared" si="1343"/>
        <v>-345828.95898444281</v>
      </c>
      <c r="CQ84" s="592"/>
      <c r="CR84" s="592">
        <v>-431935.1303913166</v>
      </c>
      <c r="CT84" s="592"/>
      <c r="CU84" s="592"/>
      <c r="CV84" s="592"/>
      <c r="CW84" s="592"/>
      <c r="CX84" s="592" t="e">
        <f t="shared" si="1272"/>
        <v>#REF!</v>
      </c>
      <c r="CY84" s="942" t="e">
        <f t="shared" si="1273"/>
        <v>#REF!</v>
      </c>
      <c r="CZ84" s="942" t="e">
        <f t="shared" si="1274"/>
        <v>#REF!</v>
      </c>
      <c r="DA84" s="942" t="e">
        <f t="shared" si="1275"/>
        <v>#REF!</v>
      </c>
      <c r="DB84" s="592">
        <f>+DB79-DB80-DB81-DB83+DB82</f>
        <v>-318488.60579502222</v>
      </c>
      <c r="DC84" s="939" t="e">
        <f t="shared" si="1276"/>
        <v>#REF!</v>
      </c>
      <c r="DD84" s="939" t="e">
        <f t="shared" si="1277"/>
        <v>#REF!</v>
      </c>
      <c r="DE84" s="939" t="e">
        <f t="shared" si="1278"/>
        <v>#REF!</v>
      </c>
      <c r="DF84" s="592">
        <f t="shared" ref="DF84:DL84" si="1344">+DF79-DF80-DF81-DF83+DF82</f>
        <v>-37397.130049999862</v>
      </c>
      <c r="DG84" s="592">
        <f t="shared" si="1344"/>
        <v>288308.13908999995</v>
      </c>
      <c r="DH84" s="592">
        <f t="shared" si="1344"/>
        <v>174851.40036222356</v>
      </c>
      <c r="DI84" s="592">
        <f t="shared" si="1344"/>
        <v>246493.11523800029</v>
      </c>
      <c r="DJ84" s="592">
        <f t="shared" si="1344"/>
        <v>-121309.36502199876</v>
      </c>
      <c r="DK84" s="592">
        <f t="shared" si="1344"/>
        <v>-511429.88948186592</v>
      </c>
      <c r="DL84" s="592">
        <f t="shared" si="1344"/>
        <v>-1228017.9027523808</v>
      </c>
      <c r="DM84" s="592">
        <f t="shared" ref="DM84:DR84" si="1345">+DM79-DM80-DM81-DM83+DM82</f>
        <v>-1536115.719862994</v>
      </c>
      <c r="DN84" s="592">
        <f t="shared" si="1345"/>
        <v>285624.07959965675</v>
      </c>
      <c r="DO84" s="592">
        <f t="shared" ref="DO84:DP84" si="1346">+DO79-DO80-DO81-DO83+DO82</f>
        <v>163159.18352316006</v>
      </c>
      <c r="DP84" s="592">
        <f t="shared" si="1346"/>
        <v>-87057.282298392616</v>
      </c>
      <c r="DQ84" s="592">
        <f t="shared" ref="DQ84" si="1347">+DQ79-DQ80-DQ81-DQ83+DQ82</f>
        <v>274015.23819225281</v>
      </c>
      <c r="DR84" s="592">
        <f t="shared" si="1345"/>
        <v>490864.28243418841</v>
      </c>
      <c r="DS84" s="592">
        <f t="shared" ref="DS84:DU84" si="1348">+DS79-DS80-DS81-DS83+DS82</f>
        <v>698505.60085184255</v>
      </c>
      <c r="DT84" s="592">
        <f t="shared" si="1348"/>
        <v>787308.94473723625</v>
      </c>
      <c r="DU84" s="592">
        <f t="shared" si="1348"/>
        <v>874089.57744967425</v>
      </c>
      <c r="DX84" s="592">
        <v>334796.27129250404</v>
      </c>
      <c r="DY84" s="592">
        <v>562882.45805195917</v>
      </c>
    </row>
    <row r="85" spans="1:129" s="904" customFormat="1">
      <c r="A85" s="939"/>
      <c r="B85" s="949" t="s">
        <v>401</v>
      </c>
      <c r="C85" s="592">
        <v>0</v>
      </c>
      <c r="D85" s="592">
        <f t="shared" ref="D85:AI85" si="1349">+D142-C142</f>
        <v>312019</v>
      </c>
      <c r="E85" s="592">
        <f t="shared" si="1349"/>
        <v>-18494</v>
      </c>
      <c r="F85" s="592">
        <f t="shared" si="1349"/>
        <v>-22880</v>
      </c>
      <c r="G85" s="592">
        <f t="shared" si="1349"/>
        <v>46726</v>
      </c>
      <c r="H85" s="592">
        <f t="shared" si="1349"/>
        <v>-54756</v>
      </c>
      <c r="I85" s="592">
        <f t="shared" si="1349"/>
        <v>-174286</v>
      </c>
      <c r="J85" s="592">
        <f t="shared" si="1349"/>
        <v>-25148</v>
      </c>
      <c r="K85" s="592">
        <f t="shared" si="1349"/>
        <v>28618</v>
      </c>
      <c r="L85" s="592">
        <f t="shared" si="1349"/>
        <v>2108</v>
      </c>
      <c r="M85" s="592">
        <f t="shared" si="1349"/>
        <v>158</v>
      </c>
      <c r="N85" s="592">
        <f t="shared" si="1349"/>
        <v>-700</v>
      </c>
      <c r="O85" s="592">
        <f t="shared" si="1349"/>
        <v>7519</v>
      </c>
      <c r="P85" s="592">
        <f t="shared" si="1349"/>
        <v>5304</v>
      </c>
      <c r="Q85" s="592">
        <f t="shared" si="1349"/>
        <v>23505</v>
      </c>
      <c r="R85" s="592">
        <f t="shared" si="1349"/>
        <v>150866</v>
      </c>
      <c r="S85" s="592">
        <f t="shared" si="1349"/>
        <v>-169649</v>
      </c>
      <c r="T85" s="592">
        <f t="shared" si="1349"/>
        <v>54515</v>
      </c>
      <c r="U85" s="592">
        <f t="shared" si="1349"/>
        <v>-5685</v>
      </c>
      <c r="V85" s="592">
        <f t="shared" si="1349"/>
        <v>187830</v>
      </c>
      <c r="W85" s="592">
        <f t="shared" si="1349"/>
        <v>-69788</v>
      </c>
      <c r="X85" s="592">
        <f t="shared" si="1349"/>
        <v>37364</v>
      </c>
      <c r="Y85" s="592">
        <f t="shared" si="1349"/>
        <v>665</v>
      </c>
      <c r="Z85" s="592">
        <f t="shared" si="1349"/>
        <v>101877</v>
      </c>
      <c r="AA85" s="592">
        <f t="shared" si="1349"/>
        <v>-2708</v>
      </c>
      <c r="AB85" s="592">
        <f t="shared" si="1349"/>
        <v>20211</v>
      </c>
      <c r="AC85" s="592">
        <f t="shared" si="1349"/>
        <v>-18004</v>
      </c>
      <c r="AD85" s="592">
        <f t="shared" si="1349"/>
        <v>-101346</v>
      </c>
      <c r="AE85" s="592">
        <f t="shared" si="1349"/>
        <v>-139874</v>
      </c>
      <c r="AF85" s="592">
        <f t="shared" si="1349"/>
        <v>-161</v>
      </c>
      <c r="AG85" s="592">
        <f t="shared" si="1349"/>
        <v>384360</v>
      </c>
      <c r="AH85" s="592">
        <f t="shared" si="1349"/>
        <v>-65674</v>
      </c>
      <c r="AI85" s="592">
        <f t="shared" si="1349"/>
        <v>88144</v>
      </c>
      <c r="AJ85" s="592">
        <f t="shared" ref="AJ85:BJ85" si="1350">+AJ142-AI142</f>
        <v>37187</v>
      </c>
      <c r="AK85" s="592">
        <f t="shared" si="1350"/>
        <v>368352</v>
      </c>
      <c r="AL85" s="592">
        <f t="shared" si="1350"/>
        <v>327232</v>
      </c>
      <c r="AM85" s="592">
        <f t="shared" si="1350"/>
        <v>11997</v>
      </c>
      <c r="AN85" s="592">
        <f t="shared" si="1350"/>
        <v>111416</v>
      </c>
      <c r="AO85" s="592">
        <f t="shared" si="1350"/>
        <v>434584</v>
      </c>
      <c r="AP85" s="592">
        <f t="shared" si="1350"/>
        <v>-90959</v>
      </c>
      <c r="AQ85" s="592">
        <f t="shared" si="1350"/>
        <v>29404</v>
      </c>
      <c r="AR85" s="592">
        <f t="shared" si="1350"/>
        <v>94212</v>
      </c>
      <c r="AS85" s="592">
        <f t="shared" si="1350"/>
        <v>-74773</v>
      </c>
      <c r="AT85" s="592">
        <f t="shared" si="1350"/>
        <v>123718</v>
      </c>
      <c r="AU85" s="592">
        <f t="shared" si="1350"/>
        <v>43853</v>
      </c>
      <c r="AV85" s="592">
        <f t="shared" si="1350"/>
        <v>56739</v>
      </c>
      <c r="AW85" s="592">
        <f t="shared" si="1350"/>
        <v>-129058</v>
      </c>
      <c r="AX85" s="592">
        <f t="shared" si="1350"/>
        <v>-23528</v>
      </c>
      <c r="AY85" s="592">
        <f t="shared" si="1350"/>
        <v>110046</v>
      </c>
      <c r="AZ85" s="910">
        <f t="shared" si="1350"/>
        <v>67975</v>
      </c>
      <c r="BA85" s="592">
        <f t="shared" si="1350"/>
        <v>-190893</v>
      </c>
      <c r="BB85" s="592">
        <f t="shared" si="1350"/>
        <v>-14220</v>
      </c>
      <c r="BC85" s="592">
        <f t="shared" si="1350"/>
        <v>204397</v>
      </c>
      <c r="BD85" s="592">
        <f t="shared" si="1350"/>
        <v>68114</v>
      </c>
      <c r="BE85" s="592">
        <f t="shared" si="1350"/>
        <v>-375729</v>
      </c>
      <c r="BF85" s="592">
        <f t="shared" si="1350"/>
        <v>98114</v>
      </c>
      <c r="BG85" s="592">
        <f t="shared" si="1350"/>
        <v>2438</v>
      </c>
      <c r="BH85" s="592">
        <f t="shared" si="1350"/>
        <v>53048</v>
      </c>
      <c r="BI85" s="592">
        <f t="shared" si="1350"/>
        <v>-138478</v>
      </c>
      <c r="BJ85" s="592">
        <f t="shared" si="1350"/>
        <v>135764</v>
      </c>
      <c r="BK85" s="592">
        <f t="shared" ref="BK85:BV85" si="1351">+BK142-BJ142</f>
        <v>150503</v>
      </c>
      <c r="BL85" s="592">
        <f t="shared" si="1351"/>
        <v>-266502</v>
      </c>
      <c r="BM85" s="592">
        <f t="shared" si="1351"/>
        <v>-109871</v>
      </c>
      <c r="BN85" s="592">
        <f t="shared" si="1351"/>
        <v>-52689</v>
      </c>
      <c r="BO85" s="592">
        <f t="shared" si="1351"/>
        <v>866806</v>
      </c>
      <c r="BP85" s="592">
        <f t="shared" si="1351"/>
        <v>943599</v>
      </c>
      <c r="BQ85" s="592">
        <f t="shared" si="1351"/>
        <v>-421490</v>
      </c>
      <c r="BR85" s="592">
        <f t="shared" si="1351"/>
        <v>351035</v>
      </c>
      <c r="BS85" s="592">
        <f t="shared" si="1351"/>
        <v>462553</v>
      </c>
      <c r="BT85" s="592">
        <f t="shared" si="1351"/>
        <v>-458645</v>
      </c>
      <c r="BU85" s="592">
        <f t="shared" si="1351"/>
        <v>-19587</v>
      </c>
      <c r="BV85" s="592">
        <f t="shared" si="1351"/>
        <v>97802</v>
      </c>
      <c r="BW85" s="592">
        <f t="shared" ref="BW85:CD85" si="1352">+BW142-BV142</f>
        <v>220172</v>
      </c>
      <c r="BX85" s="592">
        <f t="shared" si="1352"/>
        <v>-244942</v>
      </c>
      <c r="BY85" s="592">
        <f t="shared" si="1352"/>
        <v>-34628</v>
      </c>
      <c r="BZ85" s="592">
        <f t="shared" si="1352"/>
        <v>-1002329</v>
      </c>
      <c r="CA85" s="592">
        <f t="shared" si="1352"/>
        <v>-14056</v>
      </c>
      <c r="CB85" s="592">
        <f t="shared" si="1352"/>
        <v>-64736</v>
      </c>
      <c r="CC85" s="592">
        <f t="shared" si="1352"/>
        <v>-165766</v>
      </c>
      <c r="CD85" s="592">
        <f t="shared" si="1352"/>
        <v>-233917</v>
      </c>
      <c r="CE85" s="592">
        <f t="shared" ref="CE85" si="1353">+CE142-CD142</f>
        <v>-512325</v>
      </c>
      <c r="CF85" s="592">
        <f t="shared" ref="CF85" si="1354">+CF142-CE142</f>
        <v>-159566</v>
      </c>
      <c r="CG85" s="592">
        <f t="shared" ref="CG85:CH85" si="1355">+CG142-CF142</f>
        <v>-68924</v>
      </c>
      <c r="CH85" s="592">
        <f t="shared" si="1355"/>
        <v>-240585</v>
      </c>
      <c r="CI85" s="592">
        <f t="shared" ref="CI85" si="1356">+CI142-CH142</f>
        <v>-521044</v>
      </c>
      <c r="CJ85" s="592">
        <f t="shared" ref="CJ85" si="1357">+CJ142-CI142</f>
        <v>166141</v>
      </c>
      <c r="CK85" s="592">
        <f t="shared" ref="CK85" si="1358">+CK142-CJ142</f>
        <v>-216718</v>
      </c>
      <c r="CL85" s="592">
        <f t="shared" ref="CL85" si="1359">+CL142-CK142</f>
        <v>0</v>
      </c>
      <c r="CM85" s="592">
        <f t="shared" ref="CM85" si="1360">+CM142-CL142</f>
        <v>0</v>
      </c>
      <c r="CN85" s="592">
        <f t="shared" ref="CN85" si="1361">+CN142-CM142</f>
        <v>0</v>
      </c>
      <c r="CO85" s="592">
        <f t="shared" ref="CO85" si="1362">+CO142-CN142</f>
        <v>0</v>
      </c>
      <c r="CP85" s="592">
        <f t="shared" ref="CP85" si="1363">+CP142-CO142</f>
        <v>0</v>
      </c>
      <c r="CQ85" s="592"/>
      <c r="CR85" s="592">
        <v>0</v>
      </c>
      <c r="CT85" s="592"/>
      <c r="CU85" s="592"/>
      <c r="CV85" s="592"/>
      <c r="CW85" s="592"/>
      <c r="CX85" s="592">
        <f t="shared" si="1272"/>
        <v>187194</v>
      </c>
      <c r="CY85" s="942">
        <f t="shared" si="1273"/>
        <v>67011</v>
      </c>
      <c r="CZ85" s="942">
        <f t="shared" si="1274"/>
        <v>70118</v>
      </c>
      <c r="DA85" s="942">
        <f t="shared" si="1275"/>
        <v>-101847</v>
      </c>
      <c r="DB85" s="592">
        <f>+DB142-DA142</f>
        <v>178651</v>
      </c>
      <c r="DC85" s="939">
        <f t="shared" si="1276"/>
        <v>820915</v>
      </c>
      <c r="DD85" s="939">
        <f t="shared" si="1277"/>
        <v>467038</v>
      </c>
      <c r="DE85" s="939">
        <f t="shared" si="1278"/>
        <v>172561</v>
      </c>
      <c r="DF85" s="592">
        <f t="shared" ref="DF85:DL85" si="1364">+DF142-DE142</f>
        <v>-51994</v>
      </c>
      <c r="DG85" s="592">
        <f t="shared" si="1364"/>
        <v>-27092</v>
      </c>
      <c r="DH85" s="592">
        <f t="shared" si="1364"/>
        <v>-5104</v>
      </c>
      <c r="DI85" s="592">
        <f t="shared" si="1364"/>
        <v>52772</v>
      </c>
      <c r="DJ85" s="592">
        <f t="shared" si="1364"/>
        <v>-278559</v>
      </c>
      <c r="DK85" s="592">
        <f t="shared" si="1364"/>
        <v>1739950</v>
      </c>
      <c r="DL85" s="592">
        <f t="shared" si="1364"/>
        <v>82123</v>
      </c>
      <c r="DM85" s="592">
        <f t="shared" ref="DM85:DR85" si="1365">+DM142-DL142</f>
        <v>-1061727</v>
      </c>
      <c r="DN85" s="592">
        <f t="shared" si="1365"/>
        <v>-478475</v>
      </c>
      <c r="DO85" s="592">
        <f t="shared" si="1365"/>
        <v>-981400</v>
      </c>
      <c r="DP85" s="592">
        <f t="shared" si="1365"/>
        <v>-571621</v>
      </c>
      <c r="DQ85" s="592">
        <f t="shared" si="1365"/>
        <v>0</v>
      </c>
      <c r="DR85" s="592">
        <f t="shared" si="1365"/>
        <v>0</v>
      </c>
      <c r="DS85" s="592">
        <f t="shared" ref="DS85" si="1366">+DS142-DR142</f>
        <v>0</v>
      </c>
      <c r="DT85" s="592">
        <f t="shared" ref="DT85" si="1367">+DT142-DS142</f>
        <v>0</v>
      </c>
      <c r="DU85" s="592">
        <f t="shared" ref="DU85" si="1368">+DU142-DT142</f>
        <v>0</v>
      </c>
      <c r="DX85" s="592">
        <v>0</v>
      </c>
      <c r="DY85" s="592">
        <v>0</v>
      </c>
    </row>
    <row r="86" spans="1:129" s="904" customFormat="1">
      <c r="A86" s="939"/>
      <c r="B86" s="949" t="s">
        <v>402</v>
      </c>
      <c r="C86" s="592">
        <v>0</v>
      </c>
      <c r="D86" s="592" t="e">
        <f t="shared" ref="D86:AI86" si="1369">+D84+D85</f>
        <v>#REF!</v>
      </c>
      <c r="E86" s="592" t="e">
        <f t="shared" si="1369"/>
        <v>#REF!</v>
      </c>
      <c r="F86" s="592" t="e">
        <f t="shared" si="1369"/>
        <v>#REF!</v>
      </c>
      <c r="G86" s="592" t="e">
        <f t="shared" si="1369"/>
        <v>#REF!</v>
      </c>
      <c r="H86" s="592" t="e">
        <f t="shared" si="1369"/>
        <v>#REF!</v>
      </c>
      <c r="I86" s="592" t="e">
        <f t="shared" si="1369"/>
        <v>#REF!</v>
      </c>
      <c r="J86" s="592" t="e">
        <f t="shared" si="1369"/>
        <v>#REF!</v>
      </c>
      <c r="K86" s="592" t="e">
        <f t="shared" si="1369"/>
        <v>#REF!</v>
      </c>
      <c r="L86" s="592" t="e">
        <f t="shared" si="1369"/>
        <v>#REF!</v>
      </c>
      <c r="M86" s="592" t="e">
        <f t="shared" si="1369"/>
        <v>#REF!</v>
      </c>
      <c r="N86" s="592" t="e">
        <f t="shared" si="1369"/>
        <v>#REF!</v>
      </c>
      <c r="O86" s="592" t="e">
        <f t="shared" si="1369"/>
        <v>#REF!</v>
      </c>
      <c r="P86" s="592" t="e">
        <f t="shared" si="1369"/>
        <v>#REF!</v>
      </c>
      <c r="Q86" s="592" t="e">
        <f t="shared" si="1369"/>
        <v>#REF!</v>
      </c>
      <c r="R86" s="592" t="e">
        <f t="shared" si="1369"/>
        <v>#REF!</v>
      </c>
      <c r="S86" s="592" t="e">
        <f t="shared" si="1369"/>
        <v>#REF!</v>
      </c>
      <c r="T86" s="592" t="e">
        <f t="shared" si="1369"/>
        <v>#REF!</v>
      </c>
      <c r="U86" s="592" t="e">
        <f t="shared" si="1369"/>
        <v>#REF!</v>
      </c>
      <c r="V86" s="592" t="e">
        <f t="shared" si="1369"/>
        <v>#REF!</v>
      </c>
      <c r="W86" s="592" t="e">
        <f t="shared" si="1369"/>
        <v>#REF!</v>
      </c>
      <c r="X86" s="592" t="e">
        <f t="shared" si="1369"/>
        <v>#REF!</v>
      </c>
      <c r="Y86" s="592" t="e">
        <f t="shared" si="1369"/>
        <v>#REF!</v>
      </c>
      <c r="Z86" s="592" t="e">
        <f t="shared" si="1369"/>
        <v>#REF!</v>
      </c>
      <c r="AA86" s="592" t="e">
        <f t="shared" si="1369"/>
        <v>#REF!</v>
      </c>
      <c r="AB86" s="592" t="e">
        <f t="shared" si="1369"/>
        <v>#REF!</v>
      </c>
      <c r="AC86" s="592" t="e">
        <f t="shared" si="1369"/>
        <v>#REF!</v>
      </c>
      <c r="AD86" s="592" t="e">
        <f t="shared" si="1369"/>
        <v>#REF!</v>
      </c>
      <c r="AE86" s="592" t="e">
        <f t="shared" si="1369"/>
        <v>#REF!</v>
      </c>
      <c r="AF86" s="592" t="e">
        <f t="shared" si="1369"/>
        <v>#REF!</v>
      </c>
      <c r="AG86" s="592" t="e">
        <f t="shared" si="1369"/>
        <v>#REF!</v>
      </c>
      <c r="AH86" s="592" t="e">
        <f t="shared" si="1369"/>
        <v>#REF!</v>
      </c>
      <c r="AI86" s="592" t="e">
        <f t="shared" si="1369"/>
        <v>#REF!</v>
      </c>
      <c r="AJ86" s="592" t="e">
        <f t="shared" ref="AJ86:BJ86" si="1370">+AJ84+AJ85</f>
        <v>#REF!</v>
      </c>
      <c r="AK86" s="592" t="e">
        <f t="shared" si="1370"/>
        <v>#REF!</v>
      </c>
      <c r="AL86" s="592" t="e">
        <f t="shared" si="1370"/>
        <v>#REF!</v>
      </c>
      <c r="AM86" s="592" t="e">
        <f t="shared" si="1370"/>
        <v>#REF!</v>
      </c>
      <c r="AN86" s="592" t="e">
        <f t="shared" si="1370"/>
        <v>#REF!</v>
      </c>
      <c r="AO86" s="592" t="e">
        <f t="shared" si="1370"/>
        <v>#REF!</v>
      </c>
      <c r="AP86" s="592" t="e">
        <f t="shared" si="1370"/>
        <v>#REF!</v>
      </c>
      <c r="AQ86" s="592" t="e">
        <f t="shared" si="1370"/>
        <v>#REF!</v>
      </c>
      <c r="AR86" s="592" t="e">
        <f t="shared" si="1370"/>
        <v>#REF!</v>
      </c>
      <c r="AS86" s="592" t="e">
        <f t="shared" si="1370"/>
        <v>#REF!</v>
      </c>
      <c r="AT86" s="592" t="e">
        <f t="shared" si="1370"/>
        <v>#REF!</v>
      </c>
      <c r="AU86" s="592">
        <f t="shared" si="1370"/>
        <v>-126425.59838999985</v>
      </c>
      <c r="AV86" s="592">
        <f t="shared" si="1370"/>
        <v>19498.243059999906</v>
      </c>
      <c r="AW86" s="592">
        <f t="shared" si="1370"/>
        <v>-242022.25265999988</v>
      </c>
      <c r="AX86" s="592">
        <f t="shared" si="1370"/>
        <v>259558.47793999995</v>
      </c>
      <c r="AY86" s="592">
        <f t="shared" si="1370"/>
        <v>164127.55966</v>
      </c>
      <c r="AZ86" s="910">
        <f t="shared" si="1370"/>
        <v>53849.455799999996</v>
      </c>
      <c r="BA86" s="592">
        <f t="shared" si="1370"/>
        <v>-107982.70462</v>
      </c>
      <c r="BB86" s="592">
        <f t="shared" si="1370"/>
        <v>151221.82824999999</v>
      </c>
      <c r="BC86" s="592">
        <f t="shared" si="1370"/>
        <v>-4947.970639999985</v>
      </c>
      <c r="BD86" s="592">
        <f t="shared" si="1370"/>
        <v>68350.399899999931</v>
      </c>
      <c r="BE86" s="592">
        <f t="shared" si="1370"/>
        <v>-126300.31643000006</v>
      </c>
      <c r="BF86" s="592">
        <f t="shared" si="1370"/>
        <v>232645.28753222374</v>
      </c>
      <c r="BG86" s="592">
        <f t="shared" si="1370"/>
        <v>-338885.86465</v>
      </c>
      <c r="BH86" s="592">
        <f t="shared" si="1370"/>
        <v>-16299.235231999453</v>
      </c>
      <c r="BI86" s="592">
        <f t="shared" si="1370"/>
        <v>111461.24942999997</v>
      </c>
      <c r="BJ86" s="592">
        <f t="shared" si="1370"/>
        <v>446742.15773000004</v>
      </c>
      <c r="BK86" s="592">
        <f t="shared" ref="BK86:BV86" si="1371">+BK84+BK85</f>
        <v>-338500.29447000002</v>
      </c>
      <c r="BL86" s="592">
        <f t="shared" si="1371"/>
        <v>-277881.71989388764</v>
      </c>
      <c r="BM86" s="592">
        <f t="shared" si="1371"/>
        <v>17105.454016792064</v>
      </c>
      <c r="BN86" s="592">
        <f t="shared" si="1371"/>
        <v>274807.19532509672</v>
      </c>
      <c r="BO86" s="592">
        <f t="shared" si="1371"/>
        <v>351186.57451813394</v>
      </c>
      <c r="BP86" s="592">
        <f t="shared" si="1371"/>
        <v>584589</v>
      </c>
      <c r="BQ86" s="592">
        <f t="shared" si="1371"/>
        <v>-438876.60609000002</v>
      </c>
      <c r="BR86" s="592">
        <f t="shared" si="1371"/>
        <v>754709.14208999998</v>
      </c>
      <c r="BS86" s="592">
        <f t="shared" si="1371"/>
        <v>88864.129962080042</v>
      </c>
      <c r="BT86" s="592">
        <f t="shared" si="1371"/>
        <v>-1191660.5237863627</v>
      </c>
      <c r="BU86" s="592">
        <f t="shared" si="1371"/>
        <v>210408.4108295023</v>
      </c>
      <c r="BV86" s="592">
        <f t="shared" si="1371"/>
        <v>-351993.91975760076</v>
      </c>
      <c r="BW86" s="592">
        <f t="shared" ref="BW86:CD86" si="1372">+BW84+BW85</f>
        <v>18416.719442747999</v>
      </c>
      <c r="BX86" s="592">
        <f t="shared" si="1372"/>
        <v>-653611.71916394308</v>
      </c>
      <c r="BY86" s="592">
        <f t="shared" si="1372"/>
        <v>-484341.84534179885</v>
      </c>
      <c r="BZ86" s="592">
        <f t="shared" si="1372"/>
        <v>-1153091.7198000001</v>
      </c>
      <c r="CA86" s="592">
        <f t="shared" si="1372"/>
        <v>-369891.26990220224</v>
      </c>
      <c r="CB86" s="592">
        <f t="shared" si="1372"/>
        <v>123786.73059566025</v>
      </c>
      <c r="CC86" s="592">
        <f t="shared" si="1372"/>
        <v>265333.62930362951</v>
      </c>
      <c r="CD86" s="592">
        <f t="shared" si="1372"/>
        <v>-212080.01039743068</v>
      </c>
      <c r="CE86" s="592">
        <f t="shared" ref="CE86:CH86" si="1373">+CE84+CE85</f>
        <v>-572047.48339109402</v>
      </c>
      <c r="CF86" s="592">
        <f t="shared" si="1373"/>
        <v>-165395.93143067526</v>
      </c>
      <c r="CG86" s="592">
        <f t="shared" si="1373"/>
        <v>-30973.227147045895</v>
      </c>
      <c r="CH86" s="592">
        <f t="shared" si="1373"/>
        <v>207883.82549197518</v>
      </c>
      <c r="CI86" s="592">
        <f t="shared" ref="CI86:CL86" si="1374">+CI84+CI85</f>
        <v>-491108.97697290051</v>
      </c>
      <c r="CJ86" s="592">
        <f t="shared" si="1374"/>
        <v>30391.501741437678</v>
      </c>
      <c r="CK86" s="592">
        <f t="shared" si="1374"/>
        <v>233974.32332438597</v>
      </c>
      <c r="CL86" s="592">
        <f t="shared" si="1374"/>
        <v>-431935.1303913166</v>
      </c>
      <c r="CM86" s="592">
        <f t="shared" ref="CM86:CP86" si="1375">+CM84+CM85</f>
        <v>106031.23042986088</v>
      </c>
      <c r="CN86" s="592">
        <f t="shared" si="1375"/>
        <v>206830.4112495833</v>
      </c>
      <c r="CO86" s="592">
        <f t="shared" si="1375"/>
        <v>306982.55549724976</v>
      </c>
      <c r="CP86" s="592">
        <f t="shared" si="1375"/>
        <v>-345828.95898444281</v>
      </c>
      <c r="CQ86" s="592"/>
      <c r="CR86" s="592">
        <v>-431935.1303913166</v>
      </c>
      <c r="CT86" s="592"/>
      <c r="CU86" s="592"/>
      <c r="CV86" s="592"/>
      <c r="CW86" s="592"/>
      <c r="CX86" s="592" t="e">
        <f t="shared" si="1272"/>
        <v>#REF!</v>
      </c>
      <c r="CY86" s="942" t="e">
        <f t="shared" si="1273"/>
        <v>#REF!</v>
      </c>
      <c r="CZ86" s="942" t="e">
        <f t="shared" si="1274"/>
        <v>#REF!</v>
      </c>
      <c r="DA86" s="942" t="e">
        <f t="shared" si="1275"/>
        <v>#REF!</v>
      </c>
      <c r="DB86" s="592">
        <f>+DB84+DB85</f>
        <v>-139837.60579502222</v>
      </c>
      <c r="DC86" s="939" t="e">
        <f t="shared" si="1276"/>
        <v>#REF!</v>
      </c>
      <c r="DD86" s="939" t="e">
        <f t="shared" si="1277"/>
        <v>#REF!</v>
      </c>
      <c r="DE86" s="939" t="e">
        <f t="shared" si="1278"/>
        <v>#REF!</v>
      </c>
      <c r="DF86" s="592">
        <f t="shared" ref="DF86:DL86" si="1376">+DF84+DF85</f>
        <v>-89391.130049999862</v>
      </c>
      <c r="DG86" s="592">
        <f t="shared" si="1376"/>
        <v>261216.13908999995</v>
      </c>
      <c r="DH86" s="592">
        <f t="shared" si="1376"/>
        <v>169747.40036222356</v>
      </c>
      <c r="DI86" s="592">
        <f t="shared" si="1376"/>
        <v>299265.11523800029</v>
      </c>
      <c r="DJ86" s="592">
        <f t="shared" si="1376"/>
        <v>-399868.36502199876</v>
      </c>
      <c r="DK86" s="592">
        <f t="shared" si="1376"/>
        <v>1228520.1105181342</v>
      </c>
      <c r="DL86" s="592">
        <f t="shared" si="1376"/>
        <v>-1145894.9027523808</v>
      </c>
      <c r="DM86" s="592">
        <f t="shared" ref="DM86:DR86" si="1377">+DM84+DM85</f>
        <v>-2597842.7198629938</v>
      </c>
      <c r="DN86" s="592">
        <f t="shared" si="1377"/>
        <v>-192850.92040034325</v>
      </c>
      <c r="DO86" s="592">
        <f t="shared" ref="DO86:DP86" si="1378">+DO84+DO85</f>
        <v>-818240.81647683994</v>
      </c>
      <c r="DP86" s="592">
        <f t="shared" si="1378"/>
        <v>-658678.28229839262</v>
      </c>
      <c r="DQ86" s="592">
        <f t="shared" ref="DQ86" si="1379">+DQ84+DQ85</f>
        <v>274015.23819225281</v>
      </c>
      <c r="DR86" s="592">
        <f t="shared" si="1377"/>
        <v>490864.28243418841</v>
      </c>
      <c r="DS86" s="592">
        <f t="shared" ref="DS86:DU86" si="1380">+DS84+DS85</f>
        <v>698505.60085184255</v>
      </c>
      <c r="DT86" s="592">
        <f t="shared" si="1380"/>
        <v>787308.94473723625</v>
      </c>
      <c r="DU86" s="592">
        <f t="shared" si="1380"/>
        <v>874089.57744967425</v>
      </c>
      <c r="DX86" s="592">
        <v>334796.27129250404</v>
      </c>
      <c r="DY86" s="592">
        <v>562882.45805195917</v>
      </c>
    </row>
    <row r="87" spans="1:129" s="904" customFormat="1">
      <c r="A87" s="939"/>
      <c r="B87" s="939"/>
      <c r="C87" s="592"/>
      <c r="D87" s="592"/>
      <c r="E87" s="592"/>
      <c r="F87" s="592"/>
      <c r="G87" s="592"/>
      <c r="H87" s="592"/>
      <c r="I87" s="592"/>
      <c r="J87" s="592"/>
      <c r="K87" s="592"/>
      <c r="L87" s="592"/>
      <c r="M87" s="592"/>
      <c r="N87" s="592"/>
      <c r="O87" s="592"/>
      <c r="P87" s="592"/>
      <c r="Q87" s="592"/>
      <c r="R87" s="592"/>
      <c r="S87" s="592"/>
      <c r="T87" s="592"/>
      <c r="U87" s="592"/>
      <c r="V87" s="592"/>
      <c r="W87" s="592"/>
      <c r="X87" s="592"/>
      <c r="Y87" s="592"/>
      <c r="Z87" s="592"/>
      <c r="AA87" s="592"/>
      <c r="AB87" s="592"/>
      <c r="AC87" s="592"/>
      <c r="AD87" s="592"/>
      <c r="AE87" s="592"/>
      <c r="AF87" s="592"/>
      <c r="AG87" s="592"/>
      <c r="AH87" s="592"/>
      <c r="AI87" s="592"/>
      <c r="AJ87" s="592"/>
      <c r="AK87" s="592"/>
      <c r="AL87" s="592"/>
      <c r="AM87" s="592"/>
      <c r="AN87" s="592"/>
      <c r="AO87" s="592"/>
      <c r="AP87" s="592"/>
      <c r="AQ87" s="592"/>
      <c r="AR87" s="592"/>
      <c r="AS87" s="592"/>
      <c r="AT87" s="592"/>
      <c r="AU87" s="592"/>
      <c r="AV87" s="592"/>
      <c r="AW87" s="592"/>
      <c r="AX87" s="592"/>
      <c r="AY87" s="592"/>
      <c r="AZ87" s="910"/>
      <c r="BA87" s="592"/>
      <c r="BB87" s="592"/>
      <c r="BC87" s="592"/>
      <c r="BD87" s="592"/>
      <c r="BE87" s="592"/>
      <c r="BF87" s="592"/>
      <c r="BG87" s="592"/>
      <c r="BH87" s="592"/>
      <c r="BI87" s="592"/>
      <c r="BJ87" s="592"/>
      <c r="BK87" s="592"/>
      <c r="BL87" s="592"/>
      <c r="BM87" s="592"/>
      <c r="BN87" s="592"/>
      <c r="BO87" s="592"/>
      <c r="BP87" s="592"/>
      <c r="BQ87" s="592"/>
      <c r="BR87" s="592"/>
      <c r="BS87" s="592"/>
      <c r="BT87" s="592"/>
      <c r="BU87" s="592"/>
      <c r="BV87" s="592"/>
      <c r="BW87" s="592"/>
      <c r="BX87" s="592"/>
      <c r="BY87" s="592"/>
      <c r="BZ87" s="592"/>
      <c r="CA87" s="592"/>
      <c r="CB87" s="592"/>
      <c r="CC87" s="592"/>
      <c r="CD87" s="592"/>
      <c r="CE87" s="592"/>
      <c r="CF87" s="592"/>
      <c r="CG87" s="592"/>
      <c r="CH87" s="592"/>
      <c r="CI87" s="592"/>
      <c r="CJ87" s="592"/>
      <c r="CK87" s="592"/>
      <c r="CL87" s="592"/>
      <c r="CM87" s="592"/>
      <c r="CN87" s="592"/>
      <c r="CO87" s="592"/>
      <c r="CP87" s="592"/>
      <c r="CQ87" s="592"/>
      <c r="CR87" s="592"/>
      <c r="CT87" s="592"/>
      <c r="CU87" s="592"/>
      <c r="CV87" s="592"/>
      <c r="CW87" s="592"/>
      <c r="CX87" s="592"/>
      <c r="CY87" s="592"/>
      <c r="CZ87" s="592"/>
      <c r="DA87" s="592"/>
      <c r="DB87" s="592"/>
      <c r="DC87" s="592"/>
      <c r="DD87" s="592"/>
      <c r="DE87" s="592"/>
      <c r="DF87" s="592"/>
      <c r="DG87" s="592"/>
      <c r="DH87" s="592"/>
      <c r="DI87" s="592"/>
      <c r="DJ87" s="592"/>
      <c r="DK87" s="592"/>
      <c r="DL87" s="592"/>
      <c r="DM87" s="592"/>
      <c r="DN87" s="592"/>
      <c r="DO87" s="592"/>
      <c r="DP87" s="592"/>
      <c r="DQ87" s="592"/>
      <c r="DR87" s="592"/>
      <c r="DS87" s="592"/>
      <c r="DT87" s="592"/>
      <c r="DU87" s="592"/>
      <c r="DX87" s="592"/>
      <c r="DY87" s="592"/>
    </row>
    <row r="88" spans="1:129">
      <c r="A88" s="592"/>
      <c r="B88" s="958" t="s">
        <v>403</v>
      </c>
      <c r="C88" s="958"/>
      <c r="D88" s="958"/>
      <c r="E88" s="958"/>
      <c r="F88" s="958"/>
      <c r="G88" s="958"/>
      <c r="H88" s="958"/>
      <c r="I88" s="958"/>
      <c r="J88" s="958"/>
      <c r="K88" s="958"/>
      <c r="L88" s="958"/>
      <c r="M88" s="958"/>
      <c r="N88" s="958"/>
      <c r="O88" s="958"/>
      <c r="P88" s="958"/>
      <c r="Q88" s="958"/>
      <c r="R88" s="958"/>
      <c r="S88" s="958"/>
      <c r="T88" s="958"/>
      <c r="U88" s="958"/>
      <c r="V88" s="958"/>
      <c r="W88" s="958"/>
      <c r="X88" s="958"/>
      <c r="Y88" s="958"/>
      <c r="Z88" s="958"/>
      <c r="AA88" s="958"/>
      <c r="AB88" s="958"/>
      <c r="AC88" s="958"/>
      <c r="AD88" s="958"/>
      <c r="AE88" s="958"/>
      <c r="AF88" s="958"/>
      <c r="AG88" s="958"/>
      <c r="AH88" s="958"/>
      <c r="AI88" s="958"/>
      <c r="AJ88" s="958"/>
      <c r="AK88" s="958"/>
      <c r="AL88" s="958"/>
      <c r="AM88" s="958"/>
      <c r="AN88" s="958"/>
      <c r="AO88" s="958"/>
      <c r="AP88" s="958"/>
      <c r="AQ88" s="958"/>
      <c r="AR88" s="958"/>
      <c r="AS88" s="958"/>
      <c r="AT88" s="958"/>
      <c r="AU88" s="958"/>
      <c r="AV88" s="958"/>
      <c r="AW88" s="958"/>
      <c r="AX88" s="958"/>
      <c r="AY88" s="958"/>
      <c r="AZ88" s="959"/>
      <c r="BA88" s="958"/>
      <c r="BB88" s="958"/>
      <c r="BC88" s="958"/>
      <c r="BD88" s="958"/>
      <c r="BE88" s="958"/>
      <c r="BF88" s="958"/>
      <c r="BG88" s="958"/>
      <c r="BH88" s="958"/>
      <c r="BI88" s="958"/>
      <c r="BJ88" s="958"/>
      <c r="BK88" s="958"/>
      <c r="BL88" s="958"/>
      <c r="BM88" s="958"/>
      <c r="BN88" s="958"/>
      <c r="BO88" s="958"/>
      <c r="BP88" s="958"/>
      <c r="BQ88" s="958"/>
      <c r="BR88" s="958"/>
      <c r="BS88" s="958"/>
      <c r="BT88" s="958"/>
      <c r="BU88" s="958"/>
      <c r="BV88" s="958"/>
      <c r="BW88" s="958"/>
      <c r="BX88" s="958"/>
      <c r="BY88" s="958"/>
      <c r="BZ88" s="958"/>
      <c r="CA88" s="958"/>
      <c r="CB88" s="958"/>
      <c r="CC88" s="958"/>
      <c r="CD88" s="958"/>
      <c r="CE88" s="958"/>
      <c r="CF88" s="958"/>
      <c r="CG88" s="958"/>
      <c r="CH88" s="958"/>
      <c r="CI88" s="958"/>
      <c r="CJ88" s="958"/>
      <c r="CK88" s="958"/>
      <c r="CL88" s="958"/>
      <c r="CM88" s="958"/>
      <c r="CN88" s="958"/>
      <c r="CO88" s="958"/>
      <c r="CP88" s="958"/>
      <c r="CQ88" s="958"/>
      <c r="CR88" s="958"/>
      <c r="CT88" s="958"/>
      <c r="CU88" s="958"/>
      <c r="CV88" s="958"/>
      <c r="CW88" s="958"/>
      <c r="CX88" s="958"/>
      <c r="CY88" s="958"/>
      <c r="CZ88" s="958"/>
      <c r="DA88" s="958"/>
      <c r="DB88" s="958"/>
      <c r="DC88" s="958"/>
      <c r="DD88" s="958"/>
      <c r="DE88" s="958"/>
      <c r="DF88" s="958"/>
      <c r="DG88" s="958"/>
      <c r="DH88" s="958"/>
      <c r="DI88" s="958"/>
      <c r="DJ88" s="958"/>
      <c r="DK88" s="958"/>
      <c r="DL88" s="958"/>
      <c r="DM88" s="958"/>
      <c r="DN88" s="958"/>
      <c r="DO88" s="958"/>
      <c r="DP88" s="958"/>
      <c r="DQ88" s="958"/>
      <c r="DR88" s="958"/>
      <c r="DS88" s="958"/>
      <c r="DT88" s="958"/>
      <c r="DU88" s="958"/>
      <c r="DX88" s="958"/>
      <c r="DY88" s="958"/>
    </row>
    <row r="89" spans="1:129" s="904" customFormat="1">
      <c r="A89" s="943"/>
      <c r="B89" s="944" t="s">
        <v>404</v>
      </c>
      <c r="C89" s="943">
        <f t="shared" ref="C89:AH89" si="1381">+SUM(C90:C95)</f>
        <v>0</v>
      </c>
      <c r="D89" s="943">
        <f t="shared" si="1381"/>
        <v>430085</v>
      </c>
      <c r="E89" s="943">
        <f t="shared" si="1381"/>
        <v>438774</v>
      </c>
      <c r="F89" s="943">
        <f t="shared" si="1381"/>
        <v>543229</v>
      </c>
      <c r="G89" s="943">
        <f t="shared" si="1381"/>
        <v>493177</v>
      </c>
      <c r="H89" s="943">
        <f t="shared" si="1381"/>
        <v>505990</v>
      </c>
      <c r="I89" s="943">
        <f t="shared" si="1381"/>
        <v>666279</v>
      </c>
      <c r="J89" s="943">
        <f t="shared" si="1381"/>
        <v>800713</v>
      </c>
      <c r="K89" s="943">
        <f t="shared" si="1381"/>
        <v>641039</v>
      </c>
      <c r="L89" s="943">
        <f t="shared" si="1381"/>
        <v>692532</v>
      </c>
      <c r="M89" s="943">
        <f t="shared" si="1381"/>
        <v>685890</v>
      </c>
      <c r="N89" s="943">
        <f t="shared" si="1381"/>
        <v>883158</v>
      </c>
      <c r="O89" s="943">
        <f t="shared" si="1381"/>
        <v>732942</v>
      </c>
      <c r="P89" s="943">
        <f t="shared" si="1381"/>
        <v>753974</v>
      </c>
      <c r="Q89" s="943">
        <f t="shared" si="1381"/>
        <v>831907</v>
      </c>
      <c r="R89" s="943">
        <f t="shared" si="1381"/>
        <v>1164340</v>
      </c>
      <c r="S89" s="943">
        <f t="shared" si="1381"/>
        <v>829346</v>
      </c>
      <c r="T89" s="943">
        <f t="shared" si="1381"/>
        <v>847451</v>
      </c>
      <c r="U89" s="943">
        <f t="shared" si="1381"/>
        <v>780927</v>
      </c>
      <c r="V89" s="943">
        <f t="shared" si="1381"/>
        <v>1105978</v>
      </c>
      <c r="W89" s="943">
        <f t="shared" si="1381"/>
        <v>941312</v>
      </c>
      <c r="X89" s="943">
        <f t="shared" si="1381"/>
        <v>1075577</v>
      </c>
      <c r="Y89" s="943">
        <f t="shared" si="1381"/>
        <v>1121318</v>
      </c>
      <c r="Z89" s="943">
        <f t="shared" si="1381"/>
        <v>1477545</v>
      </c>
      <c r="AA89" s="943">
        <f t="shared" si="1381"/>
        <v>1348005</v>
      </c>
      <c r="AB89" s="943">
        <f t="shared" si="1381"/>
        <v>1379230</v>
      </c>
      <c r="AC89" s="943">
        <f t="shared" si="1381"/>
        <v>1404589</v>
      </c>
      <c r="AD89" s="943">
        <f t="shared" si="1381"/>
        <v>1872921</v>
      </c>
      <c r="AE89" s="943">
        <f t="shared" si="1381"/>
        <v>1642597</v>
      </c>
      <c r="AF89" s="943">
        <f t="shared" si="1381"/>
        <v>1441844</v>
      </c>
      <c r="AG89" s="943">
        <f t="shared" si="1381"/>
        <v>1838263</v>
      </c>
      <c r="AH89" s="943">
        <f t="shared" si="1381"/>
        <v>2035555</v>
      </c>
      <c r="AI89" s="943">
        <f t="shared" ref="AI89:BN89" si="1382">+SUM(AI90:AI95)</f>
        <v>1876789</v>
      </c>
      <c r="AJ89" s="943">
        <f t="shared" si="1382"/>
        <v>1864842</v>
      </c>
      <c r="AK89" s="943">
        <f t="shared" si="1382"/>
        <v>2188443</v>
      </c>
      <c r="AL89" s="943">
        <f t="shared" si="1382"/>
        <v>2496890</v>
      </c>
      <c r="AM89" s="943">
        <f t="shared" si="1382"/>
        <v>2221684</v>
      </c>
      <c r="AN89" s="943">
        <f t="shared" si="1382"/>
        <v>2241864</v>
      </c>
      <c r="AO89" s="943">
        <f t="shared" si="1382"/>
        <v>2654108</v>
      </c>
      <c r="AP89" s="943">
        <f t="shared" si="1382"/>
        <v>3001262</v>
      </c>
      <c r="AQ89" s="943">
        <f t="shared" si="1382"/>
        <v>2758485</v>
      </c>
      <c r="AR89" s="943">
        <f t="shared" si="1382"/>
        <v>2780762</v>
      </c>
      <c r="AS89" s="943">
        <f t="shared" si="1382"/>
        <v>2810923</v>
      </c>
      <c r="AT89" s="943">
        <f t="shared" si="1382"/>
        <v>3499343</v>
      </c>
      <c r="AU89" s="943">
        <f t="shared" si="1382"/>
        <v>3274070</v>
      </c>
      <c r="AV89" s="943">
        <f t="shared" si="1382"/>
        <v>3314883</v>
      </c>
      <c r="AW89" s="943">
        <f t="shared" si="1382"/>
        <v>3304091</v>
      </c>
      <c r="AX89" s="943">
        <f t="shared" si="1382"/>
        <v>3721211</v>
      </c>
      <c r="AY89" s="943">
        <f t="shared" si="1382"/>
        <v>3385396</v>
      </c>
      <c r="AZ89" s="943">
        <f t="shared" si="1382"/>
        <v>3512408</v>
      </c>
      <c r="BA89" s="943">
        <f t="shared" si="1382"/>
        <v>3356909</v>
      </c>
      <c r="BB89" s="943">
        <f t="shared" si="1382"/>
        <v>4085477</v>
      </c>
      <c r="BC89" s="943">
        <f t="shared" si="1382"/>
        <v>3890929</v>
      </c>
      <c r="BD89" s="943">
        <f t="shared" si="1382"/>
        <v>4205998</v>
      </c>
      <c r="BE89" s="943">
        <f t="shared" si="1382"/>
        <v>4010903</v>
      </c>
      <c r="BF89" s="943">
        <f t="shared" si="1382"/>
        <v>4907941</v>
      </c>
      <c r="BG89" s="943">
        <f t="shared" si="1382"/>
        <v>4360150</v>
      </c>
      <c r="BH89" s="943">
        <f t="shared" si="1382"/>
        <v>4609391</v>
      </c>
      <c r="BI89" s="943">
        <f t="shared" si="1382"/>
        <v>4779355</v>
      </c>
      <c r="BJ89" s="943">
        <f t="shared" si="1382"/>
        <v>5930335</v>
      </c>
      <c r="BK89" s="943">
        <f t="shared" si="1382"/>
        <v>5573986</v>
      </c>
      <c r="BL89" s="943">
        <f t="shared" si="1382"/>
        <v>5376263</v>
      </c>
      <c r="BM89" s="943">
        <f t="shared" si="1382"/>
        <v>5524786</v>
      </c>
      <c r="BN89" s="943">
        <f t="shared" si="1382"/>
        <v>6656209</v>
      </c>
      <c r="BO89" s="943">
        <f t="shared" ref="BO89:CD89" si="1383">+SUM(BO90:BO95)</f>
        <v>6598661</v>
      </c>
      <c r="BP89" s="943">
        <f t="shared" si="1383"/>
        <v>7203646</v>
      </c>
      <c r="BQ89" s="943">
        <f t="shared" si="1383"/>
        <v>7265876</v>
      </c>
      <c r="BR89" s="943">
        <f t="shared" si="1383"/>
        <v>8896766</v>
      </c>
      <c r="BS89" s="943">
        <f t="shared" si="1383"/>
        <v>8217276</v>
      </c>
      <c r="BT89" s="943">
        <f t="shared" si="1383"/>
        <v>12010484</v>
      </c>
      <c r="BU89" s="943">
        <f t="shared" si="1383"/>
        <v>12473226</v>
      </c>
      <c r="BV89" s="943">
        <f t="shared" si="1383"/>
        <v>13984780</v>
      </c>
      <c r="BW89" s="943">
        <f t="shared" si="1383"/>
        <v>13818020</v>
      </c>
      <c r="BX89" s="943">
        <f t="shared" si="1383"/>
        <v>13452844</v>
      </c>
      <c r="BY89" s="943">
        <f t="shared" si="1383"/>
        <v>13171312</v>
      </c>
      <c r="BZ89" s="943">
        <f t="shared" si="1383"/>
        <v>13043404.9998</v>
      </c>
      <c r="CA89" s="943">
        <f t="shared" si="1383"/>
        <v>11681244</v>
      </c>
      <c r="CB89" s="943">
        <f t="shared" si="1383"/>
        <v>11838578</v>
      </c>
      <c r="CC89" s="943">
        <f t="shared" si="1383"/>
        <v>11701873</v>
      </c>
      <c r="CD89" s="943">
        <f t="shared" si="1383"/>
        <v>12191644</v>
      </c>
      <c r="CE89" s="943">
        <f t="shared" ref="CE89:CH89" si="1384">+SUM(CE90:CE95)</f>
        <v>10827084</v>
      </c>
      <c r="CF89" s="943">
        <f t="shared" si="1384"/>
        <v>11159253</v>
      </c>
      <c r="CG89" s="943">
        <f t="shared" si="1384"/>
        <v>11223346</v>
      </c>
      <c r="CH89" s="943">
        <f t="shared" si="1384"/>
        <v>12316659</v>
      </c>
      <c r="CI89" s="943">
        <f t="shared" ref="CI89:CL89" si="1385">+SUM(CI90:CI95)</f>
        <v>10556391</v>
      </c>
      <c r="CJ89" s="943">
        <f t="shared" si="1385"/>
        <v>10994642</v>
      </c>
      <c r="CK89" s="943">
        <f t="shared" si="1385"/>
        <v>10617415</v>
      </c>
      <c r="CL89" s="946">
        <f t="shared" si="1385"/>
        <v>11708340.253312102</v>
      </c>
      <c r="CM89" s="946">
        <f t="shared" ref="CM89:CP89" si="1386">+SUM(CM90:CM95)</f>
        <v>11018460.257206429</v>
      </c>
      <c r="CN89" s="946">
        <f t="shared" si="1386"/>
        <v>11226989.554504717</v>
      </c>
      <c r="CO89" s="946">
        <f t="shared" si="1386"/>
        <v>11334528.357410338</v>
      </c>
      <c r="CP89" s="946">
        <f t="shared" si="1386"/>
        <v>12742963.319235012</v>
      </c>
      <c r="CQ89" s="946"/>
      <c r="CR89" s="946">
        <v>11708340.253312102</v>
      </c>
      <c r="CT89" s="943"/>
      <c r="CU89" s="943"/>
      <c r="CV89" s="943"/>
      <c r="CW89" s="943"/>
      <c r="CX89" s="943">
        <f>R89</f>
        <v>1164340</v>
      </c>
      <c r="CY89" s="943">
        <f>V89</f>
        <v>1105978</v>
      </c>
      <c r="CZ89" s="943">
        <f>Z89</f>
        <v>1477545</v>
      </c>
      <c r="DA89" s="943">
        <f>+AD89</f>
        <v>1872921</v>
      </c>
      <c r="DB89" s="943">
        <f>+AH89</f>
        <v>2035555</v>
      </c>
      <c r="DC89" s="943">
        <f>+AL89</f>
        <v>2496890</v>
      </c>
      <c r="DD89" s="943">
        <f>+AP89</f>
        <v>3001262</v>
      </c>
      <c r="DE89" s="943">
        <f>AT89</f>
        <v>3499343</v>
      </c>
      <c r="DF89" s="943">
        <f>+AX89</f>
        <v>3721211</v>
      </c>
      <c r="DG89" s="943">
        <f>+BB89</f>
        <v>4085477</v>
      </c>
      <c r="DH89" s="943">
        <f>+BF89</f>
        <v>4907941</v>
      </c>
      <c r="DI89" s="943">
        <f t="shared" ref="DI89:DR89" si="1387">+SUM(DI90:DI95)</f>
        <v>5930335</v>
      </c>
      <c r="DJ89" s="943">
        <f t="shared" si="1387"/>
        <v>6656209</v>
      </c>
      <c r="DK89" s="943">
        <f t="shared" si="1387"/>
        <v>8896766</v>
      </c>
      <c r="DL89" s="943">
        <f t="shared" si="1387"/>
        <v>13984780</v>
      </c>
      <c r="DM89" s="943">
        <f t="shared" si="1387"/>
        <v>13043404.9998</v>
      </c>
      <c r="DN89" s="943">
        <f t="shared" si="1387"/>
        <v>12191644</v>
      </c>
      <c r="DO89" s="943">
        <f t="shared" ref="DO89:DP89" si="1388">+SUM(DO90:DO95)</f>
        <v>12316659</v>
      </c>
      <c r="DP89" s="943">
        <f t="shared" si="1388"/>
        <v>11708340.253312102</v>
      </c>
      <c r="DQ89" s="943">
        <f t="shared" ref="DQ89" si="1389">+SUM(DQ90:DQ95)</f>
        <v>12742963.319235012</v>
      </c>
      <c r="DR89" s="966">
        <f t="shared" si="1387"/>
        <v>13973764.101711674</v>
      </c>
      <c r="DS89" s="966">
        <f t="shared" ref="DS89:DU89" si="1390">+SUM(DS90:DS95)</f>
        <v>15660559.995190512</v>
      </c>
      <c r="DT89" s="966">
        <f t="shared" si="1390"/>
        <v>17401547.613707416</v>
      </c>
      <c r="DU89" s="966">
        <f t="shared" si="1390"/>
        <v>19293395.379022826</v>
      </c>
      <c r="DX89" s="966">
        <v>12826298.370671449</v>
      </c>
      <c r="DY89" s="966">
        <v>14342920.833402483</v>
      </c>
    </row>
    <row r="90" spans="1:129" s="904" customFormat="1">
      <c r="A90" s="939"/>
      <c r="B90" s="949" t="s">
        <v>405</v>
      </c>
      <c r="C90" s="939"/>
      <c r="D90" s="939">
        <f>14743+82788</f>
        <v>97531</v>
      </c>
      <c r="E90" s="939">
        <f>13596+88328</f>
        <v>101924</v>
      </c>
      <c r="F90" s="939">
        <f>16783+82968</f>
        <v>99751</v>
      </c>
      <c r="G90" s="939">
        <f>14720+71162</f>
        <v>85882</v>
      </c>
      <c r="H90" s="939">
        <f>14253+95883</f>
        <v>110136</v>
      </c>
      <c r="I90" s="939">
        <f>12908+253405</f>
        <v>266313</v>
      </c>
      <c r="J90" s="939">
        <f>19857+256659</f>
        <v>276516</v>
      </c>
      <c r="K90" s="939">
        <f>11007+156067</f>
        <v>167074</v>
      </c>
      <c r="L90" s="939">
        <f>15964+203898</f>
        <v>219862</v>
      </c>
      <c r="M90" s="939">
        <f>31116+186369</f>
        <v>217485</v>
      </c>
      <c r="N90" s="939">
        <f>34113+253090</f>
        <v>287203</v>
      </c>
      <c r="O90" s="939">
        <f>22165+146343</f>
        <v>168508</v>
      </c>
      <c r="P90" s="939">
        <f>21075+199725</f>
        <v>220800</v>
      </c>
      <c r="Q90" s="939">
        <f>50350+211412</f>
        <v>261762</v>
      </c>
      <c r="R90" s="939">
        <f>61789+234643</f>
        <v>296432</v>
      </c>
      <c r="S90" s="939">
        <f>28052+162548</f>
        <v>190600</v>
      </c>
      <c r="T90" s="939">
        <f>20460+189857</f>
        <v>210317</v>
      </c>
      <c r="U90" s="939">
        <f>15316+142561</f>
        <v>157877</v>
      </c>
      <c r="V90" s="939">
        <v>178700</v>
      </c>
      <c r="W90" s="939">
        <v>83339</v>
      </c>
      <c r="X90" s="939">
        <v>194402</v>
      </c>
      <c r="Y90" s="939">
        <v>297666</v>
      </c>
      <c r="Z90" s="939">
        <v>411370</v>
      </c>
      <c r="AA90" s="939">
        <v>390846</v>
      </c>
      <c r="AB90" s="939">
        <v>359077</v>
      </c>
      <c r="AC90" s="939">
        <v>399221</v>
      </c>
      <c r="AD90" s="939">
        <v>683661</v>
      </c>
      <c r="AE90" s="939">
        <v>504977</v>
      </c>
      <c r="AF90" s="939">
        <v>242212</v>
      </c>
      <c r="AG90" s="939">
        <v>659093</v>
      </c>
      <c r="AH90" s="939">
        <v>578264</v>
      </c>
      <c r="AI90" s="939">
        <v>499359</v>
      </c>
      <c r="AJ90" s="939">
        <v>356209</v>
      </c>
      <c r="AK90" s="939">
        <v>643715</v>
      </c>
      <c r="AL90" s="939">
        <v>683270</v>
      </c>
      <c r="AM90" s="939">
        <v>518146</v>
      </c>
      <c r="AN90" s="939">
        <v>448708</v>
      </c>
      <c r="AO90" s="939">
        <v>815695</v>
      </c>
      <c r="AP90" s="939">
        <v>801592</v>
      </c>
      <c r="AQ90" s="939">
        <v>753394</v>
      </c>
      <c r="AR90" s="939">
        <v>719629</v>
      </c>
      <c r="AS90" s="939">
        <v>626461</v>
      </c>
      <c r="AT90" s="939">
        <v>834340</v>
      </c>
      <c r="AU90" s="952">
        <v>748236</v>
      </c>
      <c r="AV90" s="952">
        <v>696597</v>
      </c>
      <c r="AW90" s="952">
        <v>559617</v>
      </c>
      <c r="AX90" s="952">
        <v>737527</v>
      </c>
      <c r="AY90" s="952">
        <v>827183</v>
      </c>
      <c r="AZ90" s="952">
        <v>784706</v>
      </c>
      <c r="BA90" s="952">
        <v>717775</v>
      </c>
      <c r="BB90" s="952">
        <v>894881</v>
      </c>
      <c r="BC90" s="952">
        <v>905490</v>
      </c>
      <c r="BD90" s="952">
        <v>970338</v>
      </c>
      <c r="BE90" s="952">
        <v>862824</v>
      </c>
      <c r="BF90" s="952">
        <v>1142233</v>
      </c>
      <c r="BG90" s="952">
        <v>884855</v>
      </c>
      <c r="BH90" s="952">
        <v>845874</v>
      </c>
      <c r="BI90" s="952">
        <v>954561</v>
      </c>
      <c r="BJ90" s="952">
        <v>1384364</v>
      </c>
      <c r="BK90" s="952">
        <v>1325378</v>
      </c>
      <c r="BL90" s="952">
        <v>947689</v>
      </c>
      <c r="BM90" s="952">
        <v>1038226</v>
      </c>
      <c r="BN90" s="952">
        <v>1372302</v>
      </c>
      <c r="BO90" s="952">
        <v>1743640</v>
      </c>
      <c r="BP90" s="952">
        <v>2339172</v>
      </c>
      <c r="BQ90" s="952">
        <v>1931348</v>
      </c>
      <c r="BR90" s="952">
        <v>2672353</v>
      </c>
      <c r="BS90" s="952">
        <v>2872234</v>
      </c>
      <c r="BT90" s="952">
        <v>5614765</v>
      </c>
      <c r="BU90" s="952">
        <v>5790719</v>
      </c>
      <c r="BV90" s="952">
        <v>5489417</v>
      </c>
      <c r="BW90" s="952">
        <v>5312889</v>
      </c>
      <c r="BX90" s="952">
        <v>4365617</v>
      </c>
      <c r="BY90" s="952">
        <v>3940208</v>
      </c>
      <c r="BZ90" s="952">
        <v>2848351.31</v>
      </c>
      <c r="CA90" s="952">
        <v>2209804</v>
      </c>
      <c r="CB90" s="952">
        <v>2319961</v>
      </c>
      <c r="CC90" s="952">
        <v>2647874</v>
      </c>
      <c r="CD90" s="952">
        <v>2532187.1898499997</v>
      </c>
      <c r="CE90" s="952">
        <v>1965873.8107</v>
      </c>
      <c r="CF90" s="952">
        <v>1832734</v>
      </c>
      <c r="CG90" s="952">
        <v>1784367</v>
      </c>
      <c r="CH90" s="952">
        <v>1926110</v>
      </c>
      <c r="CI90" s="952">
        <v>915570</v>
      </c>
      <c r="CJ90" s="952">
        <v>833472</v>
      </c>
      <c r="CK90" s="952">
        <v>866881</v>
      </c>
      <c r="CL90" s="941">
        <f t="shared" ref="CL90:CP90" si="1391">+CL128-CL91-CL92-CL93-CL94-CL95-CL96-CL102</f>
        <v>519500.96207645349</v>
      </c>
      <c r="CM90" s="941">
        <f t="shared" si="1391"/>
        <v>609530.88141394313</v>
      </c>
      <c r="CN90" s="941">
        <f t="shared" si="1391"/>
        <v>793722.72631253488</v>
      </c>
      <c r="CO90" s="941">
        <f t="shared" si="1391"/>
        <v>1100488.6023473395</v>
      </c>
      <c r="CP90" s="941">
        <f t="shared" si="1391"/>
        <v>844609.99730073754</v>
      </c>
      <c r="CQ90" s="941"/>
      <c r="CR90" s="941">
        <v>519500.96207645349</v>
      </c>
      <c r="CT90" s="939"/>
      <c r="CU90" s="939"/>
      <c r="CV90" s="939"/>
      <c r="CW90" s="939"/>
      <c r="CX90" s="592">
        <f>R90</f>
        <v>296432</v>
      </c>
      <c r="CY90" s="592">
        <f>V90</f>
        <v>178700</v>
      </c>
      <c r="CZ90" s="592">
        <f>Z90</f>
        <v>411370</v>
      </c>
      <c r="DA90" s="592">
        <f>+AD90</f>
        <v>683661</v>
      </c>
      <c r="DB90" s="592">
        <f>+AH90</f>
        <v>578264</v>
      </c>
      <c r="DC90" s="592">
        <f>+AL90</f>
        <v>683270</v>
      </c>
      <c r="DD90" s="592">
        <f>+AP90</f>
        <v>801592</v>
      </c>
      <c r="DE90" s="592">
        <f>AT90</f>
        <v>834340</v>
      </c>
      <c r="DF90" s="592">
        <f>+AX90</f>
        <v>737527</v>
      </c>
      <c r="DG90" s="592">
        <f>+BB90</f>
        <v>894881</v>
      </c>
      <c r="DH90" s="592">
        <f>+BF90</f>
        <v>1142233</v>
      </c>
      <c r="DI90" s="939">
        <f>+BJ90</f>
        <v>1384364</v>
      </c>
      <c r="DJ90" s="939">
        <f>+BN90</f>
        <v>1372302</v>
      </c>
      <c r="DK90" s="939">
        <f t="shared" ref="DK90:DK95" si="1392">+BR90</f>
        <v>2672353</v>
      </c>
      <c r="DL90" s="939">
        <f t="shared" ref="DL90:DL96" si="1393">+BV90</f>
        <v>5489417</v>
      </c>
      <c r="DM90" s="939">
        <f t="shared" ref="DM90:DM96" si="1394">+BZ90</f>
        <v>2848351.31</v>
      </c>
      <c r="DN90" s="939">
        <f t="shared" ref="DN90:DN96" si="1395">+CD90</f>
        <v>2532187.1898499997</v>
      </c>
      <c r="DO90" s="939">
        <f t="shared" ref="DO90:DO96" si="1396">+CH90</f>
        <v>1926110</v>
      </c>
      <c r="DP90" s="939">
        <f t="shared" ref="DP90:DP96" si="1397">+CL90</f>
        <v>519500.96207645349</v>
      </c>
      <c r="DQ90" s="939">
        <f t="shared" ref="DQ90:DQ96" si="1398">+CP90</f>
        <v>844609.99730073754</v>
      </c>
      <c r="DR90" s="599">
        <f>+DR128-DR91-DR92-DR93-DR94-DR95-DR96-DR102</f>
        <v>1141127.390235126</v>
      </c>
      <c r="DS90" s="599">
        <f t="shared" ref="DS90:DU90" si="1399">+DS128-DS91-DS92-DS93-DS94-DS95-DS96-DS102</f>
        <v>1982886.0835547391</v>
      </c>
      <c r="DT90" s="599">
        <f t="shared" si="1399"/>
        <v>2821288.8253240073</v>
      </c>
      <c r="DU90" s="599">
        <f t="shared" si="1399"/>
        <v>3749724.3098203298</v>
      </c>
      <c r="DX90" s="599">
        <v>708902.06157804094</v>
      </c>
      <c r="DY90" s="599">
        <v>1305072.5196300019</v>
      </c>
    </row>
    <row r="91" spans="1:129" s="904" customFormat="1">
      <c r="A91" s="939"/>
      <c r="B91" s="949" t="s">
        <v>406</v>
      </c>
      <c r="C91" s="939"/>
      <c r="D91" s="939">
        <v>0</v>
      </c>
      <c r="E91" s="939">
        <v>0</v>
      </c>
      <c r="F91" s="939">
        <v>0</v>
      </c>
      <c r="G91" s="939">
        <v>0</v>
      </c>
      <c r="H91" s="939">
        <v>0</v>
      </c>
      <c r="I91" s="939">
        <v>0</v>
      </c>
      <c r="J91" s="939">
        <v>0</v>
      </c>
      <c r="K91" s="939">
        <v>0</v>
      </c>
      <c r="L91" s="939">
        <v>0</v>
      </c>
      <c r="M91" s="939">
        <v>0</v>
      </c>
      <c r="N91" s="939">
        <v>0</v>
      </c>
      <c r="O91" s="939">
        <v>0</v>
      </c>
      <c r="P91" s="939">
        <v>0</v>
      </c>
      <c r="Q91" s="939">
        <v>0</v>
      </c>
      <c r="R91" s="939">
        <v>0</v>
      </c>
      <c r="S91" s="939">
        <v>0</v>
      </c>
      <c r="T91" s="939">
        <v>0</v>
      </c>
      <c r="U91" s="939">
        <v>0</v>
      </c>
      <c r="V91" s="939">
        <v>0</v>
      </c>
      <c r="W91" s="939">
        <v>0</v>
      </c>
      <c r="X91" s="939">
        <v>0</v>
      </c>
      <c r="Y91" s="939">
        <v>0</v>
      </c>
      <c r="Z91" s="939">
        <v>0</v>
      </c>
      <c r="AA91" s="939">
        <v>0</v>
      </c>
      <c r="AB91" s="939">
        <v>0</v>
      </c>
      <c r="AC91" s="939">
        <v>0</v>
      </c>
      <c r="AD91" s="939">
        <v>0</v>
      </c>
      <c r="AE91" s="939">
        <v>0</v>
      </c>
      <c r="AF91" s="939">
        <v>0</v>
      </c>
      <c r="AG91" s="939">
        <v>0</v>
      </c>
      <c r="AH91" s="939">
        <v>0</v>
      </c>
      <c r="AI91" s="939">
        <v>0</v>
      </c>
      <c r="AJ91" s="939">
        <v>0</v>
      </c>
      <c r="AK91" s="939">
        <v>0</v>
      </c>
      <c r="AL91" s="939">
        <v>0</v>
      </c>
      <c r="AM91" s="939">
        <v>0</v>
      </c>
      <c r="AN91" s="939">
        <v>0</v>
      </c>
      <c r="AO91" s="939">
        <v>0</v>
      </c>
      <c r="AP91" s="939">
        <v>0</v>
      </c>
      <c r="AQ91" s="939">
        <v>0</v>
      </c>
      <c r="AR91" s="939">
        <v>0</v>
      </c>
      <c r="AS91" s="939">
        <v>0</v>
      </c>
      <c r="AT91" s="939"/>
      <c r="AU91" s="952"/>
      <c r="AV91" s="952"/>
      <c r="AW91" s="952"/>
      <c r="AX91" s="952"/>
      <c r="AY91" s="952"/>
      <c r="AZ91" s="952"/>
      <c r="BA91" s="952"/>
      <c r="BB91" s="952"/>
      <c r="BC91" s="952"/>
      <c r="BD91" s="952"/>
      <c r="BE91" s="952"/>
      <c r="BF91" s="952"/>
      <c r="BG91" s="952"/>
      <c r="BH91" s="952"/>
      <c r="BI91" s="952"/>
      <c r="BJ91" s="952"/>
      <c r="BK91" s="952"/>
      <c r="BL91" s="952"/>
      <c r="BM91" s="952"/>
      <c r="BN91" s="952"/>
      <c r="BO91" s="952"/>
      <c r="BP91" s="952"/>
      <c r="BQ91" s="952"/>
      <c r="BR91" s="952"/>
      <c r="BS91" s="952"/>
      <c r="BT91" s="952"/>
      <c r="BU91" s="952"/>
      <c r="BV91" s="952">
        <v>458085</v>
      </c>
      <c r="BW91" s="952">
        <v>344359</v>
      </c>
      <c r="BX91" s="952">
        <v>354679</v>
      </c>
      <c r="BY91" s="952">
        <v>466108</v>
      </c>
      <c r="BZ91" s="952">
        <v>655130.68980000005</v>
      </c>
      <c r="CA91" s="952">
        <v>553724</v>
      </c>
      <c r="CB91" s="952">
        <v>581479</v>
      </c>
      <c r="CC91" s="952">
        <v>625935</v>
      </c>
      <c r="CD91" s="952">
        <v>571654.81015000003</v>
      </c>
      <c r="CE91" s="952">
        <v>468663.18929999997</v>
      </c>
      <c r="CF91" s="952">
        <v>569157</v>
      </c>
      <c r="CG91" s="952">
        <v>795234</v>
      </c>
      <c r="CH91" s="952">
        <v>845197</v>
      </c>
      <c r="CI91" s="952">
        <v>715237</v>
      </c>
      <c r="CJ91" s="952">
        <v>957314</v>
      </c>
      <c r="CK91" s="952">
        <v>767289</v>
      </c>
      <c r="CL91" s="595">
        <f t="shared" ref="CL91" si="1400">+CK91</f>
        <v>767289</v>
      </c>
      <c r="CM91" s="595">
        <f t="shared" ref="CM91" si="1401">+CL91</f>
        <v>767289</v>
      </c>
      <c r="CN91" s="595">
        <f t="shared" ref="CN91" si="1402">+CM91</f>
        <v>767289</v>
      </c>
      <c r="CO91" s="595">
        <f t="shared" ref="CO91" si="1403">+CN91</f>
        <v>767289</v>
      </c>
      <c r="CP91" s="595">
        <f t="shared" ref="CP91" si="1404">+CO91</f>
        <v>767289</v>
      </c>
      <c r="CQ91" s="941"/>
      <c r="CR91" s="941">
        <v>767289</v>
      </c>
      <c r="CT91" s="939"/>
      <c r="CU91" s="939"/>
      <c r="CV91" s="939"/>
      <c r="CW91" s="939"/>
      <c r="CX91" s="592"/>
      <c r="CY91" s="592"/>
      <c r="CZ91" s="592"/>
      <c r="DA91" s="592"/>
      <c r="DB91" s="592"/>
      <c r="DC91" s="592"/>
      <c r="DD91" s="592"/>
      <c r="DE91" s="592"/>
      <c r="DF91" s="592"/>
      <c r="DG91" s="592"/>
      <c r="DH91" s="592"/>
      <c r="DI91" s="939"/>
      <c r="DJ91" s="939"/>
      <c r="DK91" s="939">
        <f t="shared" si="1392"/>
        <v>0</v>
      </c>
      <c r="DL91" s="939">
        <f t="shared" si="1393"/>
        <v>458085</v>
      </c>
      <c r="DM91" s="939">
        <f t="shared" si="1394"/>
        <v>655130.68980000005</v>
      </c>
      <c r="DN91" s="939">
        <f t="shared" si="1395"/>
        <v>571654.81015000003</v>
      </c>
      <c r="DO91" s="939">
        <f t="shared" si="1396"/>
        <v>845197</v>
      </c>
      <c r="DP91" s="939">
        <f t="shared" si="1397"/>
        <v>767289</v>
      </c>
      <c r="DQ91" s="939">
        <f t="shared" si="1398"/>
        <v>767289</v>
      </c>
      <c r="DR91" s="595">
        <f>+DQ91</f>
        <v>767289</v>
      </c>
      <c r="DS91" s="595">
        <f t="shared" ref="DS91:DU91" si="1405">+DR91</f>
        <v>767289</v>
      </c>
      <c r="DT91" s="595">
        <f t="shared" si="1405"/>
        <v>767289</v>
      </c>
      <c r="DU91" s="595">
        <f t="shared" si="1405"/>
        <v>767289</v>
      </c>
      <c r="DX91" s="595">
        <v>767289</v>
      </c>
      <c r="DY91" s="595">
        <v>767289</v>
      </c>
    </row>
    <row r="92" spans="1:129" s="904" customFormat="1">
      <c r="A92" s="939"/>
      <c r="B92" s="949" t="s">
        <v>407</v>
      </c>
      <c r="C92" s="939"/>
      <c r="D92" s="939">
        <v>228551</v>
      </c>
      <c r="E92" s="939">
        <v>210589</v>
      </c>
      <c r="F92" s="939">
        <v>326634</v>
      </c>
      <c r="G92" s="939">
        <v>264021</v>
      </c>
      <c r="H92" s="939">
        <v>272545</v>
      </c>
      <c r="I92" s="939">
        <v>263544</v>
      </c>
      <c r="J92" s="939">
        <v>381588</v>
      </c>
      <c r="K92" s="939">
        <v>305345</v>
      </c>
      <c r="L92" s="939">
        <v>304940</v>
      </c>
      <c r="M92" s="939">
        <v>275022</v>
      </c>
      <c r="N92" s="939">
        <v>402120</v>
      </c>
      <c r="O92" s="939">
        <v>322984</v>
      </c>
      <c r="P92" s="939">
        <v>349982</v>
      </c>
      <c r="Q92" s="939">
        <v>351379</v>
      </c>
      <c r="R92" s="939">
        <v>648424</v>
      </c>
      <c r="S92" s="939">
        <v>355376</v>
      </c>
      <c r="T92" s="939">
        <v>371664</v>
      </c>
      <c r="U92" s="939">
        <v>331495</v>
      </c>
      <c r="V92" s="939">
        <v>646819</v>
      </c>
      <c r="W92" s="939">
        <v>503513</v>
      </c>
      <c r="X92" s="939">
        <v>568202</v>
      </c>
      <c r="Y92" s="939">
        <v>504630</v>
      </c>
      <c r="Z92" s="939">
        <v>768412</v>
      </c>
      <c r="AA92" s="939">
        <v>625256</v>
      </c>
      <c r="AB92" s="939">
        <v>690160</v>
      </c>
      <c r="AC92" s="939">
        <v>641468</v>
      </c>
      <c r="AD92" s="939">
        <v>863493</v>
      </c>
      <c r="AE92" s="939">
        <v>720221</v>
      </c>
      <c r="AF92" s="939">
        <v>824958</v>
      </c>
      <c r="AG92" s="939">
        <v>743768</v>
      </c>
      <c r="AH92" s="939">
        <v>1006315</v>
      </c>
      <c r="AI92" s="939">
        <v>849027</v>
      </c>
      <c r="AJ92" s="939">
        <v>960925</v>
      </c>
      <c r="AK92" s="939">
        <v>951897</v>
      </c>
      <c r="AL92" s="939">
        <v>1279698</v>
      </c>
      <c r="AM92" s="939">
        <v>1068236</v>
      </c>
      <c r="AN92" s="939">
        <v>1131856</v>
      </c>
      <c r="AO92" s="939">
        <v>1146038</v>
      </c>
      <c r="AP92" s="939">
        <v>1572443</v>
      </c>
      <c r="AQ92" s="939">
        <v>1347943</v>
      </c>
      <c r="AR92" s="939">
        <v>1414358</v>
      </c>
      <c r="AS92" s="939">
        <v>1395168</v>
      </c>
      <c r="AT92" s="939">
        <v>1908518</v>
      </c>
      <c r="AU92" s="952">
        <v>1610505</v>
      </c>
      <c r="AV92" s="952">
        <v>1746081</v>
      </c>
      <c r="AW92" s="952">
        <v>1670761</v>
      </c>
      <c r="AX92" s="952">
        <v>2119836</v>
      </c>
      <c r="AY92" s="952">
        <v>1699613</v>
      </c>
      <c r="AZ92" s="952">
        <v>1857269</v>
      </c>
      <c r="BA92" s="952">
        <v>1702339</v>
      </c>
      <c r="BB92" s="952">
        <v>2209271</v>
      </c>
      <c r="BC92" s="952">
        <v>1861232</v>
      </c>
      <c r="BD92" s="952">
        <v>2141703</v>
      </c>
      <c r="BE92" s="952">
        <v>2024917</v>
      </c>
      <c r="BF92" s="952">
        <v>2644258</v>
      </c>
      <c r="BG92" s="952">
        <v>2168299</v>
      </c>
      <c r="BH92" s="952">
        <v>2359387</v>
      </c>
      <c r="BI92" s="952">
        <v>2281306</v>
      </c>
      <c r="BJ92" s="952">
        <v>3162670</v>
      </c>
      <c r="BK92" s="952">
        <v>2703346</v>
      </c>
      <c r="BL92" s="952">
        <v>2896784</v>
      </c>
      <c r="BM92" s="952">
        <v>2891747</v>
      </c>
      <c r="BN92" s="952">
        <v>3825961</v>
      </c>
      <c r="BO92" s="952">
        <v>3012644</v>
      </c>
      <c r="BP92" s="952">
        <v>2231722</v>
      </c>
      <c r="BQ92" s="952">
        <v>2678827</v>
      </c>
      <c r="BR92" s="952">
        <v>3811668</v>
      </c>
      <c r="BS92" s="952">
        <v>2686095</v>
      </c>
      <c r="BT92" s="952">
        <v>3693841</v>
      </c>
      <c r="BU92" s="952">
        <v>3883599</v>
      </c>
      <c r="BV92" s="952">
        <v>5412881</v>
      </c>
      <c r="BW92" s="952">
        <v>5041367</v>
      </c>
      <c r="BX92" s="952">
        <v>5715658</v>
      </c>
      <c r="BY92" s="952">
        <v>5489568</v>
      </c>
      <c r="BZ92" s="952">
        <v>6524832</v>
      </c>
      <c r="CA92" s="952">
        <v>5790083</v>
      </c>
      <c r="CB92" s="952">
        <v>6134588</v>
      </c>
      <c r="CC92" s="952">
        <v>5691095</v>
      </c>
      <c r="CD92" s="952">
        <v>6639188</v>
      </c>
      <c r="CE92" s="952">
        <v>5621292</v>
      </c>
      <c r="CF92" s="952">
        <v>5980130</v>
      </c>
      <c r="CG92" s="952">
        <v>5818624</v>
      </c>
      <c r="CH92" s="952">
        <v>6902933</v>
      </c>
      <c r="CI92" s="952">
        <v>5979425</v>
      </c>
      <c r="CJ92" s="952">
        <v>6495889</v>
      </c>
      <c r="CK92" s="952">
        <v>6060703</v>
      </c>
      <c r="CL92" s="941">
        <f t="shared" ref="CL92" si="1406">+(SUM(CI6:CL6))/365*CL157</f>
        <v>7562828.9142319765</v>
      </c>
      <c r="CM92" s="941">
        <f t="shared" ref="CM92" si="1407">+(SUM(CJ6:CM6))/365*CM157</f>
        <v>6467703.4553403128</v>
      </c>
      <c r="CN92" s="941">
        <f t="shared" ref="CN92" si="1408">+(SUM(CK6:CN6))/365*CN157</f>
        <v>6811029.0137744118</v>
      </c>
      <c r="CO92" s="941">
        <f t="shared" ref="CO92" si="1409">+(SUM(CL6:CO6))/365*CO157</f>
        <v>6391967.6291329982</v>
      </c>
      <c r="CP92" s="941">
        <f t="shared" ref="CP92" si="1410">+(SUM(CM6:CP6))/365*CP157</f>
        <v>8071950.0214793701</v>
      </c>
      <c r="CQ92" s="941"/>
      <c r="CR92" s="941">
        <v>7562828.9142319765</v>
      </c>
      <c r="CT92" s="942"/>
      <c r="CU92" s="942"/>
      <c r="CV92" s="942"/>
      <c r="CW92" s="942"/>
      <c r="CX92" s="592">
        <f t="shared" ref="CX92:CX97" si="1411">R92</f>
        <v>648424</v>
      </c>
      <c r="CY92" s="592">
        <f t="shared" ref="CY92:CY97" si="1412">V92</f>
        <v>646819</v>
      </c>
      <c r="CZ92" s="592">
        <f t="shared" ref="CZ92:CZ97" si="1413">Z92</f>
        <v>768412</v>
      </c>
      <c r="DA92" s="592">
        <f t="shared" ref="DA92:DA97" si="1414">+AD92</f>
        <v>863493</v>
      </c>
      <c r="DB92" s="592">
        <f t="shared" ref="DB92:DB97" si="1415">+AH92</f>
        <v>1006315</v>
      </c>
      <c r="DC92" s="592">
        <f t="shared" ref="DC92:DC97" si="1416">+AL92</f>
        <v>1279698</v>
      </c>
      <c r="DD92" s="592">
        <f t="shared" ref="DD92:DD97" si="1417">+AP92</f>
        <v>1572443</v>
      </c>
      <c r="DE92" s="592">
        <f t="shared" ref="DE92:DE97" si="1418">AT92</f>
        <v>1908518</v>
      </c>
      <c r="DF92" s="592">
        <f t="shared" ref="DF92:DF97" si="1419">+AX92</f>
        <v>2119836</v>
      </c>
      <c r="DG92" s="592">
        <f t="shared" ref="DG92:DG97" si="1420">+BB92</f>
        <v>2209271</v>
      </c>
      <c r="DH92" s="592">
        <f t="shared" ref="DH92:DH97" si="1421">+BF92</f>
        <v>2644258</v>
      </c>
      <c r="DI92" s="939">
        <f>+BJ92</f>
        <v>3162670</v>
      </c>
      <c r="DJ92" s="939">
        <f>+BN92</f>
        <v>3825961</v>
      </c>
      <c r="DK92" s="939">
        <f t="shared" si="1392"/>
        <v>3811668</v>
      </c>
      <c r="DL92" s="939">
        <f t="shared" si="1393"/>
        <v>5412881</v>
      </c>
      <c r="DM92" s="939">
        <f t="shared" si="1394"/>
        <v>6524832</v>
      </c>
      <c r="DN92" s="939">
        <f t="shared" si="1395"/>
        <v>6639188</v>
      </c>
      <c r="DO92" s="939">
        <f t="shared" si="1396"/>
        <v>6902933</v>
      </c>
      <c r="DP92" s="939">
        <f t="shared" si="1397"/>
        <v>7562828.9142319765</v>
      </c>
      <c r="DQ92" s="939">
        <f t="shared" si="1398"/>
        <v>8071950.0214793701</v>
      </c>
      <c r="DR92" s="599">
        <f t="shared" ref="DR92:DU92" si="1422">+(DR6)/365*DR157</f>
        <v>8746493.7941003889</v>
      </c>
      <c r="DS92" s="599">
        <f t="shared" si="1422"/>
        <v>9343390.3647341095</v>
      </c>
      <c r="DT92" s="599">
        <f t="shared" si="1422"/>
        <v>9981036.6187554058</v>
      </c>
      <c r="DU92" s="599">
        <f t="shared" si="1422"/>
        <v>10661684.39556052</v>
      </c>
      <c r="DX92" s="599">
        <v>8212585.2716230191</v>
      </c>
      <c r="DY92" s="599">
        <v>8863449.6912397034</v>
      </c>
    </row>
    <row r="93" spans="1:129" s="904" customFormat="1">
      <c r="A93" s="939"/>
      <c r="B93" s="949" t="s">
        <v>408</v>
      </c>
      <c r="C93" s="939"/>
      <c r="D93" s="939">
        <v>67445</v>
      </c>
      <c r="E93" s="939">
        <v>85810</v>
      </c>
      <c r="F93" s="939">
        <v>71481</v>
      </c>
      <c r="G93" s="939">
        <v>94845</v>
      </c>
      <c r="H93" s="939">
        <v>84761</v>
      </c>
      <c r="I93" s="939">
        <v>92975</v>
      </c>
      <c r="J93" s="939">
        <v>92254</v>
      </c>
      <c r="K93" s="939">
        <v>122023</v>
      </c>
      <c r="L93" s="939">
        <v>116212</v>
      </c>
      <c r="M93" s="939">
        <v>139932</v>
      </c>
      <c r="N93" s="939">
        <v>123022</v>
      </c>
      <c r="O93" s="939">
        <v>174524</v>
      </c>
      <c r="P93" s="939">
        <v>127446</v>
      </c>
      <c r="Q93" s="939">
        <v>159013</v>
      </c>
      <c r="R93" s="939">
        <v>150594</v>
      </c>
      <c r="S93" s="939">
        <v>223444</v>
      </c>
      <c r="T93" s="939">
        <v>201221</v>
      </c>
      <c r="U93" s="939">
        <v>231287</v>
      </c>
      <c r="V93" s="939">
        <v>189345</v>
      </c>
      <c r="W93" s="939">
        <v>268458</v>
      </c>
      <c r="X93" s="939">
        <v>231175</v>
      </c>
      <c r="Y93" s="939">
        <v>231765</v>
      </c>
      <c r="Z93" s="939">
        <v>203693</v>
      </c>
      <c r="AA93" s="939">
        <v>282976</v>
      </c>
      <c r="AB93" s="939">
        <v>285842</v>
      </c>
      <c r="AC93" s="939">
        <v>314362</v>
      </c>
      <c r="AD93" s="939">
        <v>275950</v>
      </c>
      <c r="AE93" s="939">
        <v>378126</v>
      </c>
      <c r="AF93" s="939">
        <v>337473</v>
      </c>
      <c r="AG93" s="939">
        <v>394960</v>
      </c>
      <c r="AH93" s="939">
        <v>402748</v>
      </c>
      <c r="AI93" s="939">
        <v>470879</v>
      </c>
      <c r="AJ93" s="939">
        <v>478196</v>
      </c>
      <c r="AK93" s="939">
        <v>524271</v>
      </c>
      <c r="AL93" s="939">
        <v>454011</v>
      </c>
      <c r="AM93" s="939">
        <v>533648</v>
      </c>
      <c r="AN93" s="939">
        <v>542758</v>
      </c>
      <c r="AO93" s="939">
        <v>585049</v>
      </c>
      <c r="AP93" s="939">
        <v>506990</v>
      </c>
      <c r="AQ93" s="939">
        <v>581743</v>
      </c>
      <c r="AR93" s="939">
        <v>568293</v>
      </c>
      <c r="AS93" s="939">
        <v>674462</v>
      </c>
      <c r="AT93" s="939">
        <v>612300</v>
      </c>
      <c r="AU93" s="952">
        <v>705073</v>
      </c>
      <c r="AV93" s="952">
        <v>688231</v>
      </c>
      <c r="AW93" s="952">
        <v>763646</v>
      </c>
      <c r="AX93" s="952">
        <v>622534</v>
      </c>
      <c r="AY93" s="952">
        <v>674815</v>
      </c>
      <c r="AZ93" s="952">
        <v>701042</v>
      </c>
      <c r="BA93" s="952">
        <v>788558</v>
      </c>
      <c r="BB93" s="952">
        <v>782266</v>
      </c>
      <c r="BC93" s="952">
        <v>920794</v>
      </c>
      <c r="BD93" s="952">
        <v>874699</v>
      </c>
      <c r="BE93" s="952">
        <v>948666</v>
      </c>
      <c r="BF93" s="952">
        <v>923176</v>
      </c>
      <c r="BG93" s="952">
        <v>1096172</v>
      </c>
      <c r="BH93" s="952">
        <v>1085675</v>
      </c>
      <c r="BI93" s="952">
        <v>1212285</v>
      </c>
      <c r="BJ93" s="952">
        <v>1110305</v>
      </c>
      <c r="BK93" s="952">
        <v>1247414</v>
      </c>
      <c r="BL93" s="952">
        <v>1148162</v>
      </c>
      <c r="BM93" s="952">
        <v>1246374</v>
      </c>
      <c r="BN93" s="952">
        <v>1124506</v>
      </c>
      <c r="BO93" s="952">
        <v>1405648</v>
      </c>
      <c r="BP93" s="952">
        <v>1578963</v>
      </c>
      <c r="BQ93" s="952">
        <v>1523235</v>
      </c>
      <c r="BR93" s="952">
        <v>1381662</v>
      </c>
      <c r="BS93" s="952">
        <v>1761926</v>
      </c>
      <c r="BT93" s="952">
        <v>1611275</v>
      </c>
      <c r="BU93" s="952">
        <v>1696046</v>
      </c>
      <c r="BV93" s="952">
        <v>1609560</v>
      </c>
      <c r="BW93" s="952">
        <v>1976500</v>
      </c>
      <c r="BX93" s="952">
        <v>1866990</v>
      </c>
      <c r="BY93" s="952">
        <v>2047062</v>
      </c>
      <c r="BZ93" s="952">
        <v>1836947</v>
      </c>
      <c r="CA93" s="952">
        <v>2175568</v>
      </c>
      <c r="CB93" s="952">
        <v>1938976</v>
      </c>
      <c r="CC93" s="952">
        <v>1979654</v>
      </c>
      <c r="CD93" s="952">
        <v>1774209</v>
      </c>
      <c r="CE93" s="952">
        <v>1975900</v>
      </c>
      <c r="CF93" s="952">
        <v>1880129</v>
      </c>
      <c r="CG93" s="952">
        <v>2020146</v>
      </c>
      <c r="CH93" s="952">
        <v>1929908</v>
      </c>
      <c r="CI93" s="952">
        <v>2225198</v>
      </c>
      <c r="CJ93" s="952">
        <v>1957598</v>
      </c>
      <c r="CK93" s="952">
        <v>2123327</v>
      </c>
      <c r="CL93" s="941">
        <f t="shared" ref="CL93" si="1423">-(SUM(CI7:CL7))/365*CL158</f>
        <v>2076005.4064259934</v>
      </c>
      <c r="CM93" s="941">
        <f t="shared" ref="CM93" si="1424">-(SUM(CJ7:CM7))/365*CM158</f>
        <v>2381949.8889782955</v>
      </c>
      <c r="CN93" s="941">
        <f t="shared" ref="CN93" si="1425">-(SUM(CK7:CN7))/365*CN158</f>
        <v>2050553.9485069676</v>
      </c>
      <c r="CO93" s="941">
        <f t="shared" ref="CO93" si="1426">-(SUM(CL7:CO7))/365*CO158</f>
        <v>2252125.5286859758</v>
      </c>
      <c r="CP93" s="941">
        <f t="shared" ref="CP93" si="1427">-(SUM(CM7:CP7))/365*CP158</f>
        <v>2220535.7766836048</v>
      </c>
      <c r="CQ93" s="941"/>
      <c r="CR93" s="941">
        <v>2076005.4064259934</v>
      </c>
      <c r="CT93" s="942"/>
      <c r="CU93" s="942"/>
      <c r="CV93" s="942"/>
      <c r="CW93" s="942"/>
      <c r="CX93" s="592">
        <f t="shared" si="1411"/>
        <v>150594</v>
      </c>
      <c r="CY93" s="592">
        <f t="shared" si="1412"/>
        <v>189345</v>
      </c>
      <c r="CZ93" s="592">
        <f t="shared" si="1413"/>
        <v>203693</v>
      </c>
      <c r="DA93" s="592">
        <f t="shared" si="1414"/>
        <v>275950</v>
      </c>
      <c r="DB93" s="592">
        <f t="shared" si="1415"/>
        <v>402748</v>
      </c>
      <c r="DC93" s="592">
        <f t="shared" si="1416"/>
        <v>454011</v>
      </c>
      <c r="DD93" s="592">
        <f t="shared" si="1417"/>
        <v>506990</v>
      </c>
      <c r="DE93" s="592">
        <f t="shared" si="1418"/>
        <v>612300</v>
      </c>
      <c r="DF93" s="592">
        <f t="shared" si="1419"/>
        <v>622534</v>
      </c>
      <c r="DG93" s="592">
        <f t="shared" si="1420"/>
        <v>782266</v>
      </c>
      <c r="DH93" s="592">
        <f t="shared" si="1421"/>
        <v>923176</v>
      </c>
      <c r="DI93" s="939">
        <f>+BJ93</f>
        <v>1110305</v>
      </c>
      <c r="DJ93" s="939">
        <f>+BN93</f>
        <v>1124506</v>
      </c>
      <c r="DK93" s="939">
        <f t="shared" si="1392"/>
        <v>1381662</v>
      </c>
      <c r="DL93" s="939">
        <f t="shared" si="1393"/>
        <v>1609560</v>
      </c>
      <c r="DM93" s="939">
        <f t="shared" si="1394"/>
        <v>1836947</v>
      </c>
      <c r="DN93" s="939">
        <f t="shared" si="1395"/>
        <v>1774209</v>
      </c>
      <c r="DO93" s="939">
        <f t="shared" si="1396"/>
        <v>1929908</v>
      </c>
      <c r="DP93" s="939">
        <f t="shared" si="1397"/>
        <v>2076005.4064259934</v>
      </c>
      <c r="DQ93" s="939">
        <f t="shared" si="1398"/>
        <v>2220535.7766836048</v>
      </c>
      <c r="DR93" s="941">
        <f t="shared" ref="DR93:DU93" si="1428">-(SUM(DR7))/365*DR158</f>
        <v>2410198.4085444403</v>
      </c>
      <c r="DS93" s="941">
        <f t="shared" si="1428"/>
        <v>2596328.6634127405</v>
      </c>
      <c r="DT93" s="941">
        <f t="shared" si="1428"/>
        <v>2795023.5094850347</v>
      </c>
      <c r="DU93" s="941">
        <f t="shared" si="1428"/>
        <v>3007076.8958183234</v>
      </c>
      <c r="DX93" s="941">
        <v>2287559.4474488557</v>
      </c>
      <c r="DY93" s="941">
        <v>2489785.7340219887</v>
      </c>
    </row>
    <row r="94" spans="1:129" s="904" customFormat="1">
      <c r="A94" s="939"/>
      <c r="B94" s="949" t="s">
        <v>409</v>
      </c>
      <c r="C94" s="939"/>
      <c r="D94" s="939">
        <v>11941</v>
      </c>
      <c r="E94" s="939">
        <v>16561</v>
      </c>
      <c r="F94" s="939">
        <v>14583</v>
      </c>
      <c r="G94" s="939">
        <v>19243</v>
      </c>
      <c r="H94" s="939">
        <v>15816</v>
      </c>
      <c r="I94" s="939">
        <v>23757</v>
      </c>
      <c r="J94" s="939">
        <v>23055</v>
      </c>
      <c r="K94" s="939">
        <v>22530</v>
      </c>
      <c r="L94" s="939">
        <f>16893+8998</f>
        <v>25891</v>
      </c>
      <c r="M94" s="939">
        <f>24379+5503</f>
        <v>29882</v>
      </c>
      <c r="N94" s="939">
        <f>5595+28432</f>
        <v>34027</v>
      </c>
      <c r="O94" s="939">
        <f>34818+4908</f>
        <v>39726</v>
      </c>
      <c r="P94" s="939">
        <f>14683+6593</f>
        <v>21276</v>
      </c>
      <c r="Q94" s="939">
        <f>17775+7293</f>
        <v>25068</v>
      </c>
      <c r="R94" s="939">
        <f>14951+7541</f>
        <v>22492</v>
      </c>
      <c r="S94" s="939">
        <f>14760+8080</f>
        <v>22840</v>
      </c>
      <c r="T94" s="939">
        <f>14597+9250</f>
        <v>23847</v>
      </c>
      <c r="U94" s="939">
        <f>14872+7768</f>
        <v>22640</v>
      </c>
      <c r="V94" s="939">
        <f>21991+26632</f>
        <v>48623</v>
      </c>
      <c r="W94" s="939">
        <f>22547+23670</f>
        <v>46217</v>
      </c>
      <c r="X94" s="939">
        <f>17779+22683</f>
        <v>40462</v>
      </c>
      <c r="Y94" s="939">
        <f>22251+24937</f>
        <v>47188</v>
      </c>
      <c r="Z94" s="939">
        <f>16025+24812</f>
        <v>40837</v>
      </c>
      <c r="AA94" s="939">
        <f>19574+25877</f>
        <v>45451</v>
      </c>
      <c r="AB94" s="939">
        <f>13757+27076</f>
        <v>40833</v>
      </c>
      <c r="AC94" s="939">
        <f>20204+25950</f>
        <v>46154</v>
      </c>
      <c r="AD94" s="939">
        <f>18610+30255</f>
        <v>48865</v>
      </c>
      <c r="AE94" s="939">
        <f>21178+15867</f>
        <v>37045</v>
      </c>
      <c r="AF94" s="939">
        <f>22084+13302</f>
        <v>35386</v>
      </c>
      <c r="AG94" s="939">
        <f>23469+14174</f>
        <v>37643</v>
      </c>
      <c r="AH94" s="939">
        <f>30445+16136</f>
        <v>46581</v>
      </c>
      <c r="AI94" s="939">
        <f>33972+19693</f>
        <v>53665</v>
      </c>
      <c r="AJ94" s="939">
        <f>41445+24433</f>
        <v>65878</v>
      </c>
      <c r="AK94" s="939">
        <f>47609+17253</f>
        <v>64862</v>
      </c>
      <c r="AL94" s="939">
        <f>47598+30457</f>
        <v>78055</v>
      </c>
      <c r="AM94" s="939">
        <f>71551+26553</f>
        <v>98104</v>
      </c>
      <c r="AN94" s="939">
        <f>58603+56192</f>
        <v>114795</v>
      </c>
      <c r="AO94" s="939">
        <f>57062+42578</f>
        <v>99640</v>
      </c>
      <c r="AP94" s="939">
        <f>68374+48687</f>
        <v>117061</v>
      </c>
      <c r="AQ94" s="939">
        <f>36603+28016</f>
        <v>64619</v>
      </c>
      <c r="AR94" s="939">
        <f>38489+31925</f>
        <v>70414</v>
      </c>
      <c r="AS94" s="939">
        <f>54425+53716</f>
        <v>108141</v>
      </c>
      <c r="AT94" s="939">
        <f>68127+72661</f>
        <v>140788</v>
      </c>
      <c r="AU94" s="952">
        <v>201366</v>
      </c>
      <c r="AV94" s="952">
        <v>174542</v>
      </c>
      <c r="AW94" s="952">
        <v>301794</v>
      </c>
      <c r="AX94" s="952">
        <v>235978</v>
      </c>
      <c r="AY94" s="952">
        <v>172131</v>
      </c>
      <c r="AZ94" s="952">
        <v>158185</v>
      </c>
      <c r="BA94" s="952">
        <v>139106</v>
      </c>
      <c r="BB94" s="952">
        <v>192495</v>
      </c>
      <c r="BC94" s="952">
        <v>187520</v>
      </c>
      <c r="BD94" s="952">
        <v>202597</v>
      </c>
      <c r="BE94" s="952">
        <v>164387</v>
      </c>
      <c r="BF94" s="952">
        <v>193008</v>
      </c>
      <c r="BG94" s="952">
        <v>207443</v>
      </c>
      <c r="BH94" s="952">
        <v>273845</v>
      </c>
      <c r="BI94" s="952">
        <v>305288</v>
      </c>
      <c r="BJ94" s="952">
        <v>262136</v>
      </c>
      <c r="BK94" s="952">
        <v>282727</v>
      </c>
      <c r="BL94" s="952">
        <v>378211</v>
      </c>
      <c r="BM94" s="952">
        <v>324371</v>
      </c>
      <c r="BN94" s="952">
        <v>329058</v>
      </c>
      <c r="BO94" s="952">
        <v>341765</v>
      </c>
      <c r="BP94" s="952">
        <v>1012195</v>
      </c>
      <c r="BQ94" s="952">
        <v>1028428</v>
      </c>
      <c r="BR94" s="952">
        <v>961997</v>
      </c>
      <c r="BS94" s="952">
        <v>780154</v>
      </c>
      <c r="BT94" s="952">
        <v>1004878</v>
      </c>
      <c r="BU94" s="952">
        <v>928688</v>
      </c>
      <c r="BV94" s="952">
        <v>849389</v>
      </c>
      <c r="BW94" s="952">
        <v>974477</v>
      </c>
      <c r="BX94" s="952">
        <v>949217</v>
      </c>
      <c r="BY94" s="952">
        <v>990408</v>
      </c>
      <c r="BZ94" s="952">
        <v>1003849</v>
      </c>
      <c r="CA94" s="952">
        <v>791490</v>
      </c>
      <c r="CB94" s="952">
        <v>713793</v>
      </c>
      <c r="CC94" s="952">
        <v>587445</v>
      </c>
      <c r="CD94" s="952">
        <v>546172</v>
      </c>
      <c r="CE94" s="952">
        <v>642749</v>
      </c>
      <c r="CF94" s="952">
        <v>726335</v>
      </c>
      <c r="CG94" s="952">
        <v>690226</v>
      </c>
      <c r="CH94" s="952">
        <v>578234</v>
      </c>
      <c r="CI94" s="952">
        <v>581930</v>
      </c>
      <c r="CJ94" s="952">
        <v>642258</v>
      </c>
      <c r="CK94" s="952">
        <v>686849</v>
      </c>
      <c r="CL94" s="941">
        <f t="shared" ref="CL94" si="1429">+(SUM(CI6:CL6))*CL163</f>
        <v>652586.75837084849</v>
      </c>
      <c r="CM94" s="941">
        <f t="shared" ref="CM94" si="1430">+(SUM(CJ6:CM6))*CM163</f>
        <v>664697.84547079843</v>
      </c>
      <c r="CN94" s="941">
        <f t="shared" ref="CN94" si="1431">+(SUM(CK6:CN6))*CN163</f>
        <v>681447.33319906041</v>
      </c>
      <c r="CO94" s="941">
        <f t="shared" ref="CO94" si="1432">+(SUM(CL6:CO6))*CO163</f>
        <v>695164.62248448422</v>
      </c>
      <c r="CP94" s="941">
        <f t="shared" ref="CP94" si="1433">+(SUM(CM6:CP6))*CP163</f>
        <v>705509.86683516868</v>
      </c>
      <c r="CQ94" s="941"/>
      <c r="CR94" s="941">
        <v>652586.75837084849</v>
      </c>
      <c r="CT94" s="967"/>
      <c r="CU94" s="967"/>
      <c r="CV94" s="967"/>
      <c r="CW94" s="967"/>
      <c r="CX94" s="592">
        <f t="shared" si="1411"/>
        <v>22492</v>
      </c>
      <c r="CY94" s="592">
        <f t="shared" si="1412"/>
        <v>48623</v>
      </c>
      <c r="CZ94" s="592">
        <f t="shared" si="1413"/>
        <v>40837</v>
      </c>
      <c r="DA94" s="592">
        <f t="shared" si="1414"/>
        <v>48865</v>
      </c>
      <c r="DB94" s="592">
        <f t="shared" si="1415"/>
        <v>46581</v>
      </c>
      <c r="DC94" s="592">
        <f t="shared" si="1416"/>
        <v>78055</v>
      </c>
      <c r="DD94" s="592">
        <f t="shared" si="1417"/>
        <v>117061</v>
      </c>
      <c r="DE94" s="592">
        <f t="shared" si="1418"/>
        <v>140788</v>
      </c>
      <c r="DF94" s="592">
        <f t="shared" si="1419"/>
        <v>235978</v>
      </c>
      <c r="DG94" s="592">
        <f t="shared" si="1420"/>
        <v>192495</v>
      </c>
      <c r="DH94" s="592">
        <f t="shared" si="1421"/>
        <v>193008</v>
      </c>
      <c r="DI94" s="939">
        <f>+BJ94</f>
        <v>262136</v>
      </c>
      <c r="DJ94" s="939">
        <f>+BN94</f>
        <v>329058</v>
      </c>
      <c r="DK94" s="939">
        <f t="shared" si="1392"/>
        <v>961997</v>
      </c>
      <c r="DL94" s="939">
        <f t="shared" si="1393"/>
        <v>849389</v>
      </c>
      <c r="DM94" s="939">
        <f t="shared" si="1394"/>
        <v>1003849</v>
      </c>
      <c r="DN94" s="939">
        <f t="shared" si="1395"/>
        <v>546172</v>
      </c>
      <c r="DO94" s="939">
        <f t="shared" si="1396"/>
        <v>578234</v>
      </c>
      <c r="DP94" s="939">
        <f t="shared" si="1397"/>
        <v>652586.75837084849</v>
      </c>
      <c r="DQ94" s="939">
        <f t="shared" si="1398"/>
        <v>705509.86683516868</v>
      </c>
      <c r="DR94" s="599">
        <f t="shared" ref="DR94:DU94" si="1434">+(DR6)*DR163</f>
        <v>764466.78380442527</v>
      </c>
      <c r="DS94" s="599">
        <f t="shared" si="1434"/>
        <v>816637.12912886101</v>
      </c>
      <c r="DT94" s="599">
        <f t="shared" si="1434"/>
        <v>872369.10499162297</v>
      </c>
      <c r="DU94" s="599">
        <f t="shared" si="1434"/>
        <v>931859.52813567268</v>
      </c>
      <c r="DX94" s="599">
        <v>708653.39690113871</v>
      </c>
      <c r="DY94" s="599">
        <v>764815.64869256516</v>
      </c>
    </row>
    <row r="95" spans="1:129" s="904" customFormat="1">
      <c r="A95" s="939"/>
      <c r="B95" s="949" t="s">
        <v>410</v>
      </c>
      <c r="C95" s="939"/>
      <c r="D95" s="939">
        <f>23946+671</f>
        <v>24617</v>
      </c>
      <c r="E95" s="939">
        <f>23410+480</f>
        <v>23890</v>
      </c>
      <c r="F95" s="939">
        <f>29787+993</f>
        <v>30780</v>
      </c>
      <c r="G95" s="939">
        <f>27839+1347</f>
        <v>29186</v>
      </c>
      <c r="H95" s="939">
        <f>21480+1252</f>
        <v>22732</v>
      </c>
      <c r="I95" s="939">
        <f>19007+683</f>
        <v>19690</v>
      </c>
      <c r="J95" s="939">
        <f>26773+527</f>
        <v>27300</v>
      </c>
      <c r="K95" s="939">
        <f>19318+4749</f>
        <v>24067</v>
      </c>
      <c r="L95" s="939">
        <f>23953+1674</f>
        <v>25627</v>
      </c>
      <c r="M95" s="939">
        <f>22522+1047</f>
        <v>23569</v>
      </c>
      <c r="N95" s="939">
        <f>35748+1038</f>
        <v>36786</v>
      </c>
      <c r="O95" s="939">
        <f>24275+2925</f>
        <v>27200</v>
      </c>
      <c r="P95" s="939">
        <f>31960+2510</f>
        <v>34470</v>
      </c>
      <c r="Q95" s="939">
        <f>32606+2079</f>
        <v>34685</v>
      </c>
      <c r="R95" s="939">
        <f>44584+1814</f>
        <v>46398</v>
      </c>
      <c r="S95" s="939">
        <f>33052+4034</f>
        <v>37086</v>
      </c>
      <c r="T95" s="939">
        <f>37510+2892</f>
        <v>40402</v>
      </c>
      <c r="U95" s="939">
        <f>33481+4147</f>
        <v>37628</v>
      </c>
      <c r="V95" s="939">
        <f>41868+623</f>
        <v>42491</v>
      </c>
      <c r="W95" s="939">
        <f>36515+3270</f>
        <v>39785</v>
      </c>
      <c r="X95" s="939">
        <f>38146+3190</f>
        <v>41336</v>
      </c>
      <c r="Y95" s="939">
        <f>38047+2022</f>
        <v>40069</v>
      </c>
      <c r="Z95" s="939">
        <f>49240+3993</f>
        <v>53233</v>
      </c>
      <c r="AA95" s="939">
        <v>3476</v>
      </c>
      <c r="AB95" s="939">
        <v>3318</v>
      </c>
      <c r="AC95" s="939">
        <v>3384</v>
      </c>
      <c r="AD95" s="939">
        <v>952</v>
      </c>
      <c r="AE95" s="939">
        <v>2228</v>
      </c>
      <c r="AF95" s="939">
        <v>1815</v>
      </c>
      <c r="AG95" s="939">
        <v>2799</v>
      </c>
      <c r="AH95" s="939">
        <v>1647</v>
      </c>
      <c r="AI95" s="939">
        <v>3859</v>
      </c>
      <c r="AJ95" s="939">
        <v>3634</v>
      </c>
      <c r="AK95" s="939">
        <v>3698</v>
      </c>
      <c r="AL95" s="939">
        <v>1856</v>
      </c>
      <c r="AM95" s="939">
        <v>3550</v>
      </c>
      <c r="AN95" s="939">
        <v>3747</v>
      </c>
      <c r="AO95" s="939">
        <v>7686</v>
      </c>
      <c r="AP95" s="939">
        <v>3176</v>
      </c>
      <c r="AQ95" s="939">
        <v>10786</v>
      </c>
      <c r="AR95" s="939">
        <v>8068</v>
      </c>
      <c r="AS95" s="939">
        <v>6691</v>
      </c>
      <c r="AT95" s="939">
        <v>3397</v>
      </c>
      <c r="AU95" s="952">
        <v>8890</v>
      </c>
      <c r="AV95" s="952">
        <v>9432</v>
      </c>
      <c r="AW95" s="952">
        <v>8273</v>
      </c>
      <c r="AX95" s="952">
        <v>5336</v>
      </c>
      <c r="AY95" s="952">
        <v>11654</v>
      </c>
      <c r="AZ95" s="952">
        <v>11206</v>
      </c>
      <c r="BA95" s="952">
        <v>9131</v>
      </c>
      <c r="BB95" s="952">
        <v>6564</v>
      </c>
      <c r="BC95" s="952">
        <v>15893</v>
      </c>
      <c r="BD95" s="952">
        <v>16661</v>
      </c>
      <c r="BE95" s="952">
        <v>10109</v>
      </c>
      <c r="BF95" s="952">
        <v>5266</v>
      </c>
      <c r="BG95" s="952">
        <v>3381</v>
      </c>
      <c r="BH95" s="952">
        <v>44610</v>
      </c>
      <c r="BI95" s="952">
        <v>25915</v>
      </c>
      <c r="BJ95" s="952">
        <v>10860</v>
      </c>
      <c r="BK95" s="952">
        <v>15121</v>
      </c>
      <c r="BL95" s="952">
        <v>5417</v>
      </c>
      <c r="BM95" s="952">
        <v>24068</v>
      </c>
      <c r="BN95" s="952">
        <v>4382</v>
      </c>
      <c r="BO95" s="952">
        <v>94964</v>
      </c>
      <c r="BP95" s="952">
        <v>41594</v>
      </c>
      <c r="BQ95" s="952">
        <v>104038</v>
      </c>
      <c r="BR95" s="952">
        <v>69086</v>
      </c>
      <c r="BS95" s="952">
        <v>116867</v>
      </c>
      <c r="BT95" s="952">
        <v>85725</v>
      </c>
      <c r="BU95" s="952">
        <v>174174</v>
      </c>
      <c r="BV95" s="952">
        <v>165448</v>
      </c>
      <c r="BW95" s="952">
        <v>168428</v>
      </c>
      <c r="BX95" s="952">
        <v>200683</v>
      </c>
      <c r="BY95" s="952">
        <v>237958</v>
      </c>
      <c r="BZ95" s="952">
        <v>174295</v>
      </c>
      <c r="CA95" s="952">
        <v>160575</v>
      </c>
      <c r="CB95" s="952">
        <v>149781</v>
      </c>
      <c r="CC95" s="952">
        <v>169870</v>
      </c>
      <c r="CD95" s="952">
        <v>128233</v>
      </c>
      <c r="CE95" s="952">
        <v>152606</v>
      </c>
      <c r="CF95" s="952">
        <v>170768</v>
      </c>
      <c r="CG95" s="952">
        <v>114749</v>
      </c>
      <c r="CH95" s="952">
        <v>134277</v>
      </c>
      <c r="CI95" s="952">
        <v>139031</v>
      </c>
      <c r="CJ95" s="952">
        <v>108111</v>
      </c>
      <c r="CK95" s="952">
        <v>112366</v>
      </c>
      <c r="CL95" s="941">
        <f t="shared" ref="CL95" si="1435">+(SUM(CI6:CL6))*CL164</f>
        <v>130129.21220682927</v>
      </c>
      <c r="CM95" s="941">
        <f t="shared" ref="CM95" si="1436">+(SUM(CJ6:CM6))*CM164</f>
        <v>127289.18600307859</v>
      </c>
      <c r="CN95" s="941">
        <f t="shared" ref="CN95" si="1437">+(SUM(CK6:CN6))*CN164</f>
        <v>122947.53271174167</v>
      </c>
      <c r="CO95" s="941">
        <f t="shared" ref="CO95" si="1438">+(SUM(CL6:CO6))*CO164</f>
        <v>127492.9747595393</v>
      </c>
      <c r="CP95" s="941">
        <f t="shared" ref="CP95" si="1439">+(SUM(CM6:CP6))*CP164</f>
        <v>133068.65693612988</v>
      </c>
      <c r="CQ95" s="941"/>
      <c r="CR95" s="941">
        <v>130129.21220682927</v>
      </c>
      <c r="CT95" s="967"/>
      <c r="CU95" s="967"/>
      <c r="CV95" s="967"/>
      <c r="CW95" s="967"/>
      <c r="CX95" s="592">
        <f t="shared" si="1411"/>
        <v>46398</v>
      </c>
      <c r="CY95" s="592">
        <f t="shared" si="1412"/>
        <v>42491</v>
      </c>
      <c r="CZ95" s="592">
        <f t="shared" si="1413"/>
        <v>53233</v>
      </c>
      <c r="DA95" s="592">
        <f t="shared" si="1414"/>
        <v>952</v>
      </c>
      <c r="DB95" s="592">
        <f t="shared" si="1415"/>
        <v>1647</v>
      </c>
      <c r="DC95" s="592">
        <f t="shared" si="1416"/>
        <v>1856</v>
      </c>
      <c r="DD95" s="592">
        <f t="shared" si="1417"/>
        <v>3176</v>
      </c>
      <c r="DE95" s="592">
        <f t="shared" si="1418"/>
        <v>3397</v>
      </c>
      <c r="DF95" s="592">
        <f t="shared" si="1419"/>
        <v>5336</v>
      </c>
      <c r="DG95" s="592">
        <f t="shared" si="1420"/>
        <v>6564</v>
      </c>
      <c r="DH95" s="592">
        <f t="shared" si="1421"/>
        <v>5266</v>
      </c>
      <c r="DI95" s="939">
        <f>+BJ95</f>
        <v>10860</v>
      </c>
      <c r="DJ95" s="939">
        <f>+BN95</f>
        <v>4382</v>
      </c>
      <c r="DK95" s="939">
        <f t="shared" si="1392"/>
        <v>69086</v>
      </c>
      <c r="DL95" s="939">
        <f t="shared" si="1393"/>
        <v>165448</v>
      </c>
      <c r="DM95" s="939">
        <f t="shared" si="1394"/>
        <v>174295</v>
      </c>
      <c r="DN95" s="939">
        <f t="shared" si="1395"/>
        <v>128233</v>
      </c>
      <c r="DO95" s="939">
        <f t="shared" si="1396"/>
        <v>134277</v>
      </c>
      <c r="DP95" s="939">
        <f t="shared" si="1397"/>
        <v>130129.21220682927</v>
      </c>
      <c r="DQ95" s="939">
        <f t="shared" si="1398"/>
        <v>133068.65693612988</v>
      </c>
      <c r="DR95" s="599">
        <f t="shared" ref="DR95:DU95" si="1440">+(DR6)*DR164</f>
        <v>144188.72502729212</v>
      </c>
      <c r="DS95" s="599">
        <f t="shared" si="1440"/>
        <v>154028.75436006219</v>
      </c>
      <c r="DT95" s="599">
        <f t="shared" si="1440"/>
        <v>164540.55515134329</v>
      </c>
      <c r="DU95" s="599">
        <f t="shared" si="1440"/>
        <v>175761.2496879801</v>
      </c>
      <c r="DX95" s="599">
        <v>141309.19312039486</v>
      </c>
      <c r="DY95" s="599">
        <v>152508.23981822372</v>
      </c>
    </row>
    <row r="96" spans="1:129" s="904" customFormat="1">
      <c r="A96" s="943"/>
      <c r="B96" s="944" t="s">
        <v>411</v>
      </c>
      <c r="C96" s="943">
        <f t="shared" ref="C96:AH96" si="1441">+SUM(C97:C101)</f>
        <v>0</v>
      </c>
      <c r="D96" s="943">
        <f t="shared" si="1441"/>
        <v>27213</v>
      </c>
      <c r="E96" s="943">
        <f t="shared" si="1441"/>
        <v>28521</v>
      </c>
      <c r="F96" s="943">
        <f t="shared" si="1441"/>
        <v>34241</v>
      </c>
      <c r="G96" s="943">
        <f t="shared" si="1441"/>
        <v>36135</v>
      </c>
      <c r="H96" s="943">
        <f t="shared" si="1441"/>
        <v>37598</v>
      </c>
      <c r="I96" s="943">
        <f t="shared" si="1441"/>
        <v>48065</v>
      </c>
      <c r="J96" s="943">
        <f t="shared" si="1441"/>
        <v>54971</v>
      </c>
      <c r="K96" s="943">
        <f t="shared" si="1441"/>
        <v>27848</v>
      </c>
      <c r="L96" s="943">
        <f t="shared" si="1441"/>
        <v>29457</v>
      </c>
      <c r="M96" s="943">
        <f t="shared" si="1441"/>
        <v>33164</v>
      </c>
      <c r="N96" s="943">
        <f t="shared" si="1441"/>
        <v>36805</v>
      </c>
      <c r="O96" s="943">
        <f t="shared" si="1441"/>
        <v>44854</v>
      </c>
      <c r="P96" s="943">
        <f t="shared" si="1441"/>
        <v>47500</v>
      </c>
      <c r="Q96" s="943">
        <f t="shared" si="1441"/>
        <v>40638</v>
      </c>
      <c r="R96" s="943">
        <f t="shared" si="1441"/>
        <v>40828</v>
      </c>
      <c r="S96" s="943">
        <f t="shared" si="1441"/>
        <v>44250</v>
      </c>
      <c r="T96" s="943">
        <f t="shared" si="1441"/>
        <v>42626</v>
      </c>
      <c r="U96" s="943">
        <f t="shared" si="1441"/>
        <v>44383</v>
      </c>
      <c r="V96" s="943">
        <f t="shared" si="1441"/>
        <v>43956</v>
      </c>
      <c r="W96" s="943">
        <f t="shared" si="1441"/>
        <v>43467</v>
      </c>
      <c r="X96" s="943">
        <f t="shared" si="1441"/>
        <v>44226</v>
      </c>
      <c r="Y96" s="943">
        <f t="shared" si="1441"/>
        <v>43507</v>
      </c>
      <c r="Z96" s="943">
        <f t="shared" si="1441"/>
        <v>39904</v>
      </c>
      <c r="AA96" s="943">
        <f t="shared" si="1441"/>
        <v>83775</v>
      </c>
      <c r="AB96" s="943">
        <f t="shared" si="1441"/>
        <v>90113</v>
      </c>
      <c r="AC96" s="943">
        <f t="shared" si="1441"/>
        <v>95611</v>
      </c>
      <c r="AD96" s="943">
        <f t="shared" si="1441"/>
        <v>103451</v>
      </c>
      <c r="AE96" s="943">
        <f t="shared" si="1441"/>
        <v>87464</v>
      </c>
      <c r="AF96" s="943">
        <f t="shared" si="1441"/>
        <v>97074</v>
      </c>
      <c r="AG96" s="943">
        <f t="shared" si="1441"/>
        <v>81639</v>
      </c>
      <c r="AH96" s="943">
        <f t="shared" si="1441"/>
        <v>143547</v>
      </c>
      <c r="AI96" s="943">
        <f t="shared" ref="AI96:BD96" si="1442">+SUM(AI97:AI101)</f>
        <v>139563</v>
      </c>
      <c r="AJ96" s="943">
        <f t="shared" si="1442"/>
        <v>147218</v>
      </c>
      <c r="AK96" s="943">
        <f t="shared" si="1442"/>
        <v>152506</v>
      </c>
      <c r="AL96" s="943">
        <f t="shared" si="1442"/>
        <v>170706</v>
      </c>
      <c r="AM96" s="943">
        <f t="shared" si="1442"/>
        <v>163961</v>
      </c>
      <c r="AN96" s="943">
        <f t="shared" si="1442"/>
        <v>147211</v>
      </c>
      <c r="AO96" s="943">
        <f t="shared" si="1442"/>
        <v>113332</v>
      </c>
      <c r="AP96" s="943">
        <f t="shared" si="1442"/>
        <v>128648</v>
      </c>
      <c r="AQ96" s="943">
        <f t="shared" si="1442"/>
        <v>129051</v>
      </c>
      <c r="AR96" s="943">
        <f t="shared" si="1442"/>
        <v>148296</v>
      </c>
      <c r="AS96" s="943">
        <f t="shared" si="1442"/>
        <v>145896</v>
      </c>
      <c r="AT96" s="943">
        <f t="shared" si="1442"/>
        <v>149985</v>
      </c>
      <c r="AU96" s="943">
        <f t="shared" si="1442"/>
        <v>119915</v>
      </c>
      <c r="AV96" s="943">
        <f t="shared" si="1442"/>
        <v>153047</v>
      </c>
      <c r="AW96" s="943">
        <f t="shared" si="1442"/>
        <v>126816</v>
      </c>
      <c r="AX96" s="943">
        <f t="shared" si="1442"/>
        <v>176446</v>
      </c>
      <c r="AY96" s="943">
        <f t="shared" si="1442"/>
        <v>205973</v>
      </c>
      <c r="AZ96" s="943">
        <f t="shared" si="1442"/>
        <v>240273</v>
      </c>
      <c r="BA96" s="943">
        <f t="shared" si="1442"/>
        <v>241486</v>
      </c>
      <c r="BB96" s="943">
        <f t="shared" si="1442"/>
        <v>244376</v>
      </c>
      <c r="BC96" s="943">
        <f t="shared" si="1442"/>
        <v>228785</v>
      </c>
      <c r="BD96" s="943">
        <f t="shared" si="1442"/>
        <v>220200</v>
      </c>
      <c r="BE96" s="943">
        <f t="shared" ref="BE96:BM96" si="1443">+SUM(BE97:BE101)</f>
        <v>257541</v>
      </c>
      <c r="BF96" s="943">
        <f t="shared" si="1443"/>
        <v>299715</v>
      </c>
      <c r="BG96" s="943">
        <f t="shared" si="1443"/>
        <v>306171</v>
      </c>
      <c r="BH96" s="943">
        <f t="shared" si="1443"/>
        <v>276813</v>
      </c>
      <c r="BI96" s="943">
        <f t="shared" si="1443"/>
        <v>274626</v>
      </c>
      <c r="BJ96" s="943">
        <f t="shared" si="1443"/>
        <v>261188</v>
      </c>
      <c r="BK96" s="943">
        <f t="shared" si="1443"/>
        <v>245831</v>
      </c>
      <c r="BL96" s="943">
        <f t="shared" si="1443"/>
        <v>266123</v>
      </c>
      <c r="BM96" s="943">
        <f t="shared" si="1443"/>
        <v>262664</v>
      </c>
      <c r="BN96" s="943">
        <f t="shared" ref="BN96:BV96" si="1444">+SUM(BN97:BN101)</f>
        <v>297620</v>
      </c>
      <c r="BO96" s="943">
        <f t="shared" si="1444"/>
        <v>326320</v>
      </c>
      <c r="BP96" s="943">
        <f t="shared" si="1444"/>
        <v>1074188</v>
      </c>
      <c r="BQ96" s="943">
        <f t="shared" si="1444"/>
        <v>970831</v>
      </c>
      <c r="BR96" s="943">
        <f t="shared" si="1444"/>
        <v>950883</v>
      </c>
      <c r="BS96" s="943">
        <f t="shared" si="1444"/>
        <v>1172125</v>
      </c>
      <c r="BT96" s="943">
        <f t="shared" si="1444"/>
        <v>1074257</v>
      </c>
      <c r="BU96" s="943">
        <f t="shared" si="1444"/>
        <v>1095714</v>
      </c>
      <c r="BV96" s="943">
        <f t="shared" si="1444"/>
        <v>1134518</v>
      </c>
      <c r="BW96" s="943">
        <f t="shared" ref="BW96:CD96" si="1445">+SUM(BW97:BW101)</f>
        <v>998461</v>
      </c>
      <c r="BX96" s="943">
        <f t="shared" si="1445"/>
        <v>939577</v>
      </c>
      <c r="BY96" s="943">
        <f t="shared" si="1445"/>
        <v>926485</v>
      </c>
      <c r="BZ96" s="943">
        <f t="shared" si="1445"/>
        <v>1015666</v>
      </c>
      <c r="CA96" s="943">
        <f t="shared" si="1445"/>
        <v>1109853</v>
      </c>
      <c r="CB96" s="943">
        <f t="shared" si="1445"/>
        <v>1123464</v>
      </c>
      <c r="CC96" s="943">
        <f t="shared" si="1445"/>
        <v>1233531</v>
      </c>
      <c r="CD96" s="943">
        <f t="shared" si="1445"/>
        <v>1284444</v>
      </c>
      <c r="CE96" s="943">
        <f t="shared" ref="CE96:CH96" si="1446">+SUM(CE97:CE101)</f>
        <v>1306066</v>
      </c>
      <c r="CF96" s="943">
        <f t="shared" si="1446"/>
        <v>1237266</v>
      </c>
      <c r="CG96" s="943">
        <f t="shared" si="1446"/>
        <v>1184887</v>
      </c>
      <c r="CH96" s="943">
        <f t="shared" si="1446"/>
        <v>1224934</v>
      </c>
      <c r="CI96" s="943">
        <f t="shared" ref="CI96:CL96" si="1447">+SUM(CI97:CI101)</f>
        <v>1276515</v>
      </c>
      <c r="CJ96" s="943">
        <f t="shared" si="1447"/>
        <v>1241892</v>
      </c>
      <c r="CK96" s="943">
        <f t="shared" si="1447"/>
        <v>1244144</v>
      </c>
      <c r="CL96" s="946">
        <f t="shared" si="1447"/>
        <v>1280744.1329487145</v>
      </c>
      <c r="CM96" s="946">
        <f t="shared" ref="CM96:CP96" si="1448">+SUM(CM97:CM101)</f>
        <v>1240402.8283865703</v>
      </c>
      <c r="CN96" s="946">
        <f t="shared" si="1448"/>
        <v>1267087.4974975155</v>
      </c>
      <c r="CO96" s="946">
        <f t="shared" si="1448"/>
        <v>1252169.4189908139</v>
      </c>
      <c r="CP96" s="946">
        <f t="shared" si="1448"/>
        <v>1292970.6939066888</v>
      </c>
      <c r="CQ96" s="946"/>
      <c r="CR96" s="946">
        <v>1280744.1329487145</v>
      </c>
      <c r="CT96" s="943"/>
      <c r="CU96" s="943"/>
      <c r="CV96" s="943"/>
      <c r="CW96" s="943"/>
      <c r="CX96" s="943">
        <f t="shared" si="1411"/>
        <v>40828</v>
      </c>
      <c r="CY96" s="943">
        <f t="shared" si="1412"/>
        <v>43956</v>
      </c>
      <c r="CZ96" s="943">
        <f t="shared" si="1413"/>
        <v>39904</v>
      </c>
      <c r="DA96" s="943">
        <f t="shared" si="1414"/>
        <v>103451</v>
      </c>
      <c r="DB96" s="943">
        <f t="shared" si="1415"/>
        <v>143547</v>
      </c>
      <c r="DC96" s="943">
        <f t="shared" si="1416"/>
        <v>170706</v>
      </c>
      <c r="DD96" s="943">
        <f t="shared" si="1417"/>
        <v>128648</v>
      </c>
      <c r="DE96" s="943">
        <f t="shared" si="1418"/>
        <v>149985</v>
      </c>
      <c r="DF96" s="943">
        <f t="shared" si="1419"/>
        <v>176446</v>
      </c>
      <c r="DG96" s="943">
        <f t="shared" si="1420"/>
        <v>244376</v>
      </c>
      <c r="DH96" s="943">
        <f t="shared" si="1421"/>
        <v>299715</v>
      </c>
      <c r="DI96" s="943">
        <f>+SUM(DI97:DI101)</f>
        <v>261188</v>
      </c>
      <c r="DJ96" s="943">
        <f>+SUM(DJ97:DJ101)</f>
        <v>297620</v>
      </c>
      <c r="DK96" s="943">
        <f>+SUM(DK97:DK101)</f>
        <v>950883</v>
      </c>
      <c r="DL96" s="943">
        <f t="shared" si="1393"/>
        <v>1134518</v>
      </c>
      <c r="DM96" s="943">
        <f t="shared" si="1394"/>
        <v>1015666</v>
      </c>
      <c r="DN96" s="943">
        <f t="shared" si="1395"/>
        <v>1284444</v>
      </c>
      <c r="DO96" s="943">
        <f t="shared" si="1396"/>
        <v>1224934</v>
      </c>
      <c r="DP96" s="943">
        <f t="shared" si="1397"/>
        <v>1280744.1329487145</v>
      </c>
      <c r="DQ96" s="943">
        <f t="shared" si="1398"/>
        <v>1292970.6939066888</v>
      </c>
      <c r="DR96" s="966">
        <f>+SUM(DR97:DR101)</f>
        <v>1305671.2563363805</v>
      </c>
      <c r="DS96" s="966">
        <f t="shared" ref="DS96:DU96" si="1449">+SUM(DS97:DS101)</f>
        <v>1316909.8482070696</v>
      </c>
      <c r="DT96" s="966">
        <f t="shared" si="1449"/>
        <v>1328915.6903569261</v>
      </c>
      <c r="DU96" s="966">
        <f t="shared" si="1449"/>
        <v>1341731.1812602882</v>
      </c>
      <c r="DX96" s="966">
        <v>1297591.4171157877</v>
      </c>
      <c r="DY96" s="966">
        <v>1310002.4835407324</v>
      </c>
    </row>
    <row r="97" spans="1:129" s="904" customFormat="1">
      <c r="A97" s="939"/>
      <c r="B97" s="949" t="s">
        <v>412</v>
      </c>
      <c r="C97" s="939"/>
      <c r="D97" s="939">
        <f>19891+113</f>
        <v>20004</v>
      </c>
      <c r="E97" s="939">
        <f>20991+233</f>
        <v>21224</v>
      </c>
      <c r="F97" s="939">
        <f>21891+4696</f>
        <v>26587</v>
      </c>
      <c r="G97" s="939">
        <f>22861+5072</f>
        <v>27933</v>
      </c>
      <c r="H97" s="939">
        <f>24456+4474</f>
        <v>28930</v>
      </c>
      <c r="I97" s="939">
        <f>25473+11637</f>
        <v>37110</v>
      </c>
      <c r="J97" s="939">
        <f>29835+12377</f>
        <v>42212</v>
      </c>
      <c r="K97" s="939">
        <f>2176+12329</f>
        <v>14505</v>
      </c>
      <c r="L97" s="939">
        <f>2106+11791+1467</f>
        <v>15364</v>
      </c>
      <c r="M97" s="939">
        <f>2374+12231</f>
        <v>14605</v>
      </c>
      <c r="N97" s="939">
        <f>2276+13453</f>
        <v>15729</v>
      </c>
      <c r="O97" s="939">
        <f>2232+13965</f>
        <v>16197</v>
      </c>
      <c r="P97" s="939">
        <f>2182+14676</f>
        <v>16858</v>
      </c>
      <c r="Q97" s="939">
        <f>2417+14253</f>
        <v>16670</v>
      </c>
      <c r="R97" s="939">
        <f>8104+9325</f>
        <v>17429</v>
      </c>
      <c r="S97" s="939">
        <f>10468+9996</f>
        <v>20464</v>
      </c>
      <c r="T97" s="939">
        <f>11173+10655</f>
        <v>21828</v>
      </c>
      <c r="U97" s="939">
        <f>12141+11328</f>
        <v>23469</v>
      </c>
      <c r="V97" s="939">
        <f>12290+13017</f>
        <v>25307</v>
      </c>
      <c r="W97" s="939">
        <f>12263</f>
        <v>12263</v>
      </c>
      <c r="X97" s="939">
        <f>12790</f>
        <v>12790</v>
      </c>
      <c r="Y97" s="939">
        <f>12826</f>
        <v>12826</v>
      </c>
      <c r="Z97" s="939">
        <f>9443</f>
        <v>9443</v>
      </c>
      <c r="AA97" s="939">
        <f>9281</f>
        <v>9281</v>
      </c>
      <c r="AB97" s="939">
        <f>9332</f>
        <v>9332</v>
      </c>
      <c r="AC97" s="939">
        <f>9486</f>
        <v>9486</v>
      </c>
      <c r="AD97" s="939">
        <f>9515</f>
        <v>9515</v>
      </c>
      <c r="AE97" s="939">
        <f>9480</f>
        <v>9480</v>
      </c>
      <c r="AF97" s="939">
        <f>10089</f>
        <v>10089</v>
      </c>
      <c r="AG97" s="939">
        <f>6460</f>
        <v>6460</v>
      </c>
      <c r="AH97" s="939">
        <v>6189</v>
      </c>
      <c r="AI97" s="939">
        <v>6598</v>
      </c>
      <c r="AJ97" s="939">
        <v>6653</v>
      </c>
      <c r="AK97" s="939">
        <v>6844</v>
      </c>
      <c r="AL97" s="939">
        <v>7021</v>
      </c>
      <c r="AM97" s="939">
        <v>6919</v>
      </c>
      <c r="AN97" s="939">
        <v>7125</v>
      </c>
      <c r="AO97" s="939">
        <v>7111</v>
      </c>
      <c r="AP97" s="939">
        <v>6893</v>
      </c>
      <c r="AQ97" s="939">
        <v>6941</v>
      </c>
      <c r="AR97" s="939">
        <v>7072</v>
      </c>
      <c r="AS97" s="939">
        <v>6194</v>
      </c>
      <c r="AT97" s="939">
        <v>6833</v>
      </c>
      <c r="AU97" s="952">
        <v>5267</v>
      </c>
      <c r="AV97" s="952">
        <v>8151</v>
      </c>
      <c r="AW97" s="952">
        <v>10844</v>
      </c>
      <c r="AX97" s="952">
        <v>10825</v>
      </c>
      <c r="AY97" s="952">
        <v>10799</v>
      </c>
      <c r="AZ97" s="952">
        <v>10481</v>
      </c>
      <c r="BA97" s="952">
        <v>10293</v>
      </c>
      <c r="BB97" s="952">
        <v>10444</v>
      </c>
      <c r="BC97" s="952">
        <v>10524</v>
      </c>
      <c r="BD97" s="952">
        <v>10583</v>
      </c>
      <c r="BE97" s="952">
        <v>10615</v>
      </c>
      <c r="BF97" s="952">
        <v>10521</v>
      </c>
      <c r="BG97" s="952">
        <v>10012</v>
      </c>
      <c r="BH97" s="952">
        <v>10007</v>
      </c>
      <c r="BI97" s="952">
        <v>10091</v>
      </c>
      <c r="BJ97" s="952">
        <v>0</v>
      </c>
      <c r="BK97" s="952">
        <v>0</v>
      </c>
      <c r="BL97" s="952"/>
      <c r="BM97" s="952"/>
      <c r="BN97" s="952"/>
      <c r="BO97" s="952"/>
      <c r="BP97" s="952"/>
      <c r="BQ97" s="952"/>
      <c r="BR97" s="952"/>
      <c r="BS97" s="952"/>
      <c r="BT97" s="952"/>
      <c r="BU97" s="952"/>
      <c r="BV97" s="952"/>
      <c r="BW97" s="952"/>
      <c r="BX97" s="952"/>
      <c r="BY97" s="952"/>
      <c r="BZ97" s="952"/>
      <c r="CA97" s="952"/>
      <c r="CB97" s="952"/>
      <c r="CC97" s="952"/>
      <c r="CD97" s="952"/>
      <c r="CE97" s="952"/>
      <c r="CF97" s="952"/>
      <c r="CG97" s="952"/>
      <c r="CH97" s="952"/>
      <c r="CI97" s="952"/>
      <c r="CJ97" s="952"/>
      <c r="CK97" s="952"/>
      <c r="CL97" s="941"/>
      <c r="CM97" s="941"/>
      <c r="CN97" s="941"/>
      <c r="CO97" s="941"/>
      <c r="CP97" s="941"/>
      <c r="CQ97" s="941"/>
      <c r="CR97" s="941"/>
      <c r="CT97" s="939"/>
      <c r="CU97" s="939"/>
      <c r="CV97" s="939"/>
      <c r="CW97" s="939"/>
      <c r="CX97" s="592">
        <f t="shared" si="1411"/>
        <v>17429</v>
      </c>
      <c r="CY97" s="592">
        <f t="shared" si="1412"/>
        <v>25307</v>
      </c>
      <c r="CZ97" s="592">
        <f t="shared" si="1413"/>
        <v>9443</v>
      </c>
      <c r="DA97" s="592">
        <f t="shared" si="1414"/>
        <v>9515</v>
      </c>
      <c r="DB97" s="592">
        <f t="shared" si="1415"/>
        <v>6189</v>
      </c>
      <c r="DC97" s="592">
        <f t="shared" si="1416"/>
        <v>7021</v>
      </c>
      <c r="DD97" s="592">
        <f t="shared" si="1417"/>
        <v>6893</v>
      </c>
      <c r="DE97" s="592">
        <f t="shared" si="1418"/>
        <v>6833</v>
      </c>
      <c r="DF97" s="592">
        <f t="shared" si="1419"/>
        <v>10825</v>
      </c>
      <c r="DG97" s="592">
        <f t="shared" si="1420"/>
        <v>10444</v>
      </c>
      <c r="DH97" s="592">
        <f t="shared" si="1421"/>
        <v>10521</v>
      </c>
      <c r="DI97" s="939"/>
      <c r="DJ97" s="939"/>
      <c r="DK97" s="939"/>
      <c r="DL97" s="939"/>
      <c r="DM97" s="939"/>
      <c r="DN97" s="939"/>
      <c r="DO97" s="939"/>
      <c r="DP97" s="939"/>
      <c r="DQ97" s="939"/>
      <c r="DR97" s="599"/>
      <c r="DS97" s="599"/>
      <c r="DT97" s="599"/>
      <c r="DU97" s="599"/>
      <c r="DX97" s="599"/>
      <c r="DY97" s="599"/>
    </row>
    <row r="98" spans="1:129" s="904" customFormat="1">
      <c r="A98" s="939"/>
      <c r="B98" s="949" t="s">
        <v>413</v>
      </c>
      <c r="C98" s="939"/>
      <c r="D98" s="939">
        <v>0</v>
      </c>
      <c r="E98" s="939">
        <v>0</v>
      </c>
      <c r="F98" s="939">
        <v>0</v>
      </c>
      <c r="G98" s="939">
        <v>0</v>
      </c>
      <c r="H98" s="939">
        <v>0</v>
      </c>
      <c r="I98" s="939">
        <v>0</v>
      </c>
      <c r="J98" s="939">
        <v>0</v>
      </c>
      <c r="K98" s="939">
        <v>0</v>
      </c>
      <c r="L98" s="939">
        <v>0</v>
      </c>
      <c r="M98" s="939">
        <v>0</v>
      </c>
      <c r="N98" s="939">
        <v>0</v>
      </c>
      <c r="O98" s="939">
        <v>0</v>
      </c>
      <c r="P98" s="939">
        <v>0</v>
      </c>
      <c r="Q98" s="939">
        <v>0</v>
      </c>
      <c r="R98" s="939">
        <v>0</v>
      </c>
      <c r="S98" s="939">
        <v>0</v>
      </c>
      <c r="T98" s="939">
        <v>0</v>
      </c>
      <c r="U98" s="939">
        <v>0</v>
      </c>
      <c r="V98" s="939">
        <v>0</v>
      </c>
      <c r="W98" s="939">
        <v>0</v>
      </c>
      <c r="X98" s="939">
        <f>+W98/W6*X6</f>
        <v>0</v>
      </c>
      <c r="Y98" s="939">
        <v>0</v>
      </c>
      <c r="Z98" s="939">
        <v>0</v>
      </c>
      <c r="AA98" s="939">
        <v>0</v>
      </c>
      <c r="AB98" s="939">
        <v>0</v>
      </c>
      <c r="AC98" s="939">
        <v>0</v>
      </c>
      <c r="AD98" s="939">
        <v>0</v>
      </c>
      <c r="AE98" s="939">
        <v>0</v>
      </c>
      <c r="AF98" s="939">
        <f>+AE98/AE6*AF6</f>
        <v>0</v>
      </c>
      <c r="AG98" s="939">
        <v>0</v>
      </c>
      <c r="AH98" s="939">
        <v>0</v>
      </c>
      <c r="AI98" s="939">
        <v>0</v>
      </c>
      <c r="AJ98" s="939">
        <v>0</v>
      </c>
      <c r="AK98" s="939">
        <v>0</v>
      </c>
      <c r="AL98" s="939">
        <v>0</v>
      </c>
      <c r="AM98" s="939">
        <v>0</v>
      </c>
      <c r="AN98" s="939">
        <v>0</v>
      </c>
      <c r="AO98" s="939">
        <v>0</v>
      </c>
      <c r="AP98" s="939">
        <v>0</v>
      </c>
      <c r="AQ98" s="939">
        <v>0</v>
      </c>
      <c r="AR98" s="939">
        <v>0</v>
      </c>
      <c r="AS98" s="939">
        <v>0</v>
      </c>
      <c r="AT98" s="939">
        <v>0</v>
      </c>
      <c r="AU98" s="952">
        <v>0</v>
      </c>
      <c r="AV98" s="952">
        <v>0</v>
      </c>
      <c r="AW98" s="952">
        <v>0</v>
      </c>
      <c r="AX98" s="952">
        <v>0</v>
      </c>
      <c r="AY98" s="952">
        <v>0</v>
      </c>
      <c r="AZ98" s="952">
        <v>0</v>
      </c>
      <c r="BA98" s="952">
        <v>0</v>
      </c>
      <c r="BB98" s="952">
        <v>0</v>
      </c>
      <c r="BC98" s="952"/>
      <c r="BD98" s="952"/>
      <c r="BE98" s="952"/>
      <c r="BF98" s="952"/>
      <c r="BG98" s="952"/>
      <c r="BH98" s="952"/>
      <c r="BI98" s="952"/>
      <c r="BJ98" s="952"/>
      <c r="BK98" s="952"/>
      <c r="BL98" s="952"/>
      <c r="BM98" s="952"/>
      <c r="BN98" s="952"/>
      <c r="BO98" s="952"/>
      <c r="BP98" s="952"/>
      <c r="BQ98" s="952"/>
      <c r="BR98" s="952"/>
      <c r="BS98" s="952"/>
      <c r="BT98" s="952"/>
      <c r="BU98" s="952"/>
      <c r="BV98" s="952"/>
      <c r="BW98" s="952"/>
      <c r="BX98" s="952"/>
      <c r="BY98" s="952"/>
      <c r="BZ98" s="952"/>
      <c r="CA98" s="952"/>
      <c r="CB98" s="952"/>
      <c r="CC98" s="952"/>
      <c r="CD98" s="952"/>
      <c r="CE98" s="952"/>
      <c r="CF98" s="952"/>
      <c r="CG98" s="952"/>
      <c r="CH98" s="952"/>
      <c r="CI98" s="952"/>
      <c r="CJ98" s="952"/>
      <c r="CK98" s="952"/>
      <c r="CL98" s="941"/>
      <c r="CM98" s="941"/>
      <c r="CN98" s="941"/>
      <c r="CO98" s="941"/>
      <c r="CP98" s="941"/>
      <c r="CQ98" s="941"/>
      <c r="CR98" s="941"/>
      <c r="CT98" s="967"/>
      <c r="CU98" s="967"/>
      <c r="CV98" s="967"/>
      <c r="CW98" s="967"/>
      <c r="CX98" s="592"/>
      <c r="CY98" s="592"/>
      <c r="CZ98" s="592"/>
      <c r="DA98" s="592"/>
      <c r="DB98" s="592"/>
      <c r="DC98" s="592"/>
      <c r="DD98" s="592"/>
      <c r="DE98" s="592"/>
      <c r="DF98" s="592"/>
      <c r="DG98" s="592"/>
      <c r="DH98" s="592"/>
      <c r="DI98" s="939"/>
      <c r="DJ98" s="939"/>
      <c r="DK98" s="939"/>
      <c r="DL98" s="939"/>
      <c r="DM98" s="939"/>
      <c r="DN98" s="939"/>
      <c r="DO98" s="939"/>
      <c r="DP98" s="939"/>
      <c r="DQ98" s="939"/>
      <c r="DR98" s="599"/>
      <c r="DS98" s="599"/>
      <c r="DT98" s="599"/>
      <c r="DU98" s="599"/>
      <c r="DX98" s="599"/>
      <c r="DY98" s="599"/>
    </row>
    <row r="99" spans="1:129" s="904" customFormat="1">
      <c r="A99" s="939"/>
      <c r="B99" s="949" t="s">
        <v>414</v>
      </c>
      <c r="C99" s="939"/>
      <c r="D99" s="939">
        <v>0</v>
      </c>
      <c r="E99" s="939">
        <v>0</v>
      </c>
      <c r="F99" s="939">
        <v>0</v>
      </c>
      <c r="G99" s="939">
        <v>0</v>
      </c>
      <c r="H99" s="939">
        <v>0</v>
      </c>
      <c r="I99" s="939">
        <v>0</v>
      </c>
      <c r="J99" s="939">
        <v>0</v>
      </c>
      <c r="K99" s="939">
        <v>0</v>
      </c>
      <c r="L99" s="939">
        <v>0</v>
      </c>
      <c r="M99" s="939">
        <v>4027</v>
      </c>
      <c r="N99" s="939">
        <v>5445</v>
      </c>
      <c r="O99" s="939">
        <v>5368</v>
      </c>
      <c r="P99" s="939">
        <v>6542</v>
      </c>
      <c r="Q99" s="939">
        <v>7396</v>
      </c>
      <c r="R99" s="939">
        <v>10027</v>
      </c>
      <c r="S99" s="939">
        <v>10152</v>
      </c>
      <c r="T99" s="939">
        <v>8397</v>
      </c>
      <c r="U99" s="939">
        <v>8553</v>
      </c>
      <c r="V99" s="939">
        <v>6657</v>
      </c>
      <c r="W99" s="939">
        <v>6449</v>
      </c>
      <c r="X99" s="939">
        <v>6063</v>
      </c>
      <c r="Y99" s="939">
        <v>5428</v>
      </c>
      <c r="Z99" s="939">
        <v>4998</v>
      </c>
      <c r="AA99" s="939">
        <v>6861</v>
      </c>
      <c r="AB99" s="939">
        <v>6230</v>
      </c>
      <c r="AC99" s="939">
        <v>5707</v>
      </c>
      <c r="AD99" s="939">
        <v>5872</v>
      </c>
      <c r="AE99" s="939">
        <v>5171</v>
      </c>
      <c r="AF99" s="939">
        <v>5428</v>
      </c>
      <c r="AG99" s="939">
        <v>4699</v>
      </c>
      <c r="AH99" s="939">
        <v>4564</v>
      </c>
      <c r="AI99" s="939">
        <v>3490</v>
      </c>
      <c r="AJ99" s="939">
        <v>2642</v>
      </c>
      <c r="AK99" s="939">
        <v>1964</v>
      </c>
      <c r="AL99" s="939">
        <v>2042</v>
      </c>
      <c r="AM99" s="939">
        <v>3408</v>
      </c>
      <c r="AN99" s="939">
        <v>2878</v>
      </c>
      <c r="AO99" s="939">
        <v>4028</v>
      </c>
      <c r="AP99" s="939">
        <v>5249</v>
      </c>
      <c r="AQ99" s="939">
        <v>5283</v>
      </c>
      <c r="AR99" s="939">
        <v>5434</v>
      </c>
      <c r="AS99" s="939">
        <v>7101</v>
      </c>
      <c r="AT99" s="939">
        <v>7498</v>
      </c>
      <c r="AU99" s="952">
        <v>8576</v>
      </c>
      <c r="AV99" s="952">
        <v>8576</v>
      </c>
      <c r="AW99" s="952">
        <v>9223</v>
      </c>
      <c r="AX99" s="952">
        <v>8563</v>
      </c>
      <c r="AY99" s="952">
        <v>7468</v>
      </c>
      <c r="AZ99" s="952">
        <v>8293</v>
      </c>
      <c r="BA99" s="952">
        <v>10936</v>
      </c>
      <c r="BB99" s="952">
        <v>10692</v>
      </c>
      <c r="BC99" s="952">
        <v>10619</v>
      </c>
      <c r="BD99" s="952">
        <v>11449</v>
      </c>
      <c r="BE99" s="952">
        <v>9798</v>
      </c>
      <c r="BF99" s="952">
        <v>9299</v>
      </c>
      <c r="BG99" s="952">
        <v>8302</v>
      </c>
      <c r="BH99" s="952">
        <v>7712</v>
      </c>
      <c r="BI99" s="952">
        <v>8144</v>
      </c>
      <c r="BJ99" s="952">
        <v>29403</v>
      </c>
      <c r="BK99" s="952">
        <v>24606</v>
      </c>
      <c r="BL99" s="952">
        <v>23705</v>
      </c>
      <c r="BM99" s="952">
        <v>21180</v>
      </c>
      <c r="BN99" s="952">
        <v>16208</v>
      </c>
      <c r="BO99" s="952">
        <v>16944</v>
      </c>
      <c r="BP99" s="952">
        <v>16958</v>
      </c>
      <c r="BQ99" s="952">
        <v>16092</v>
      </c>
      <c r="BR99" s="952">
        <v>12847</v>
      </c>
      <c r="BS99" s="952">
        <v>13050</v>
      </c>
      <c r="BT99" s="952">
        <v>80673</v>
      </c>
      <c r="BU99" s="952">
        <v>116547</v>
      </c>
      <c r="BV99" s="952">
        <v>125738</v>
      </c>
      <c r="BW99" s="952">
        <v>296948</v>
      </c>
      <c r="BX99" s="952">
        <v>220533</v>
      </c>
      <c r="BY99" s="952">
        <v>232644</v>
      </c>
      <c r="BZ99" s="952">
        <v>234726</v>
      </c>
      <c r="CA99" s="952">
        <v>233074</v>
      </c>
      <c r="CB99" s="952">
        <v>221957</v>
      </c>
      <c r="CC99" s="952">
        <v>311525</v>
      </c>
      <c r="CD99" s="952">
        <v>377111</v>
      </c>
      <c r="CE99" s="952">
        <v>357055</v>
      </c>
      <c r="CF99" s="952">
        <v>352664</v>
      </c>
      <c r="CG99" s="952">
        <v>302270</v>
      </c>
      <c r="CH99" s="952">
        <v>336996</v>
      </c>
      <c r="CI99" s="952">
        <v>324002</v>
      </c>
      <c r="CJ99" s="952">
        <v>316674</v>
      </c>
      <c r="CK99" s="952">
        <v>330933</v>
      </c>
      <c r="CL99" s="595">
        <f t="shared" ref="CL99:CL100" si="1450">+CK99</f>
        <v>330933</v>
      </c>
      <c r="CM99" s="595">
        <f t="shared" ref="CM99:CM100" si="1451">+CL99</f>
        <v>330933</v>
      </c>
      <c r="CN99" s="595">
        <f t="shared" ref="CN99:CN100" si="1452">+CM99</f>
        <v>330933</v>
      </c>
      <c r="CO99" s="595">
        <f t="shared" ref="CO99:CO100" si="1453">+CN99</f>
        <v>330933</v>
      </c>
      <c r="CP99" s="595">
        <f t="shared" ref="CP99:CP100" si="1454">+CO99</f>
        <v>330933</v>
      </c>
      <c r="CQ99" s="941"/>
      <c r="CR99" s="941">
        <v>330933</v>
      </c>
      <c r="CT99" s="948"/>
      <c r="CU99" s="948"/>
      <c r="CV99" s="948"/>
      <c r="CW99" s="948"/>
      <c r="CX99" s="592">
        <f>R99</f>
        <v>10027</v>
      </c>
      <c r="CY99" s="592">
        <f>V99</f>
        <v>6657</v>
      </c>
      <c r="CZ99" s="592">
        <f>Z99</f>
        <v>4998</v>
      </c>
      <c r="DA99" s="592">
        <f>+AD99</f>
        <v>5872</v>
      </c>
      <c r="DB99" s="592">
        <f>+AH99</f>
        <v>4564</v>
      </c>
      <c r="DC99" s="592">
        <f>+AL99</f>
        <v>2042</v>
      </c>
      <c r="DD99" s="592">
        <f>+AP99</f>
        <v>5249</v>
      </c>
      <c r="DE99" s="592">
        <f>AT99</f>
        <v>7498</v>
      </c>
      <c r="DF99" s="592">
        <f>+AX99</f>
        <v>8563</v>
      </c>
      <c r="DG99" s="592">
        <f>+BB99</f>
        <v>10692</v>
      </c>
      <c r="DH99" s="592">
        <f>+BF99</f>
        <v>9299</v>
      </c>
      <c r="DI99" s="939">
        <f>+BJ99</f>
        <v>29403</v>
      </c>
      <c r="DJ99" s="939">
        <f>+BN99</f>
        <v>16208</v>
      </c>
      <c r="DK99" s="939">
        <f>+BR99</f>
        <v>12847</v>
      </c>
      <c r="DL99" s="939">
        <f>+BV99</f>
        <v>125738</v>
      </c>
      <c r="DM99" s="939">
        <f>+BZ99</f>
        <v>234726</v>
      </c>
      <c r="DN99" s="939">
        <f>+CD99</f>
        <v>377111</v>
      </c>
      <c r="DO99" s="939">
        <f>+CH99</f>
        <v>336996</v>
      </c>
      <c r="DP99" s="939">
        <f>+CL99</f>
        <v>330933</v>
      </c>
      <c r="DQ99" s="939">
        <f>+CP99</f>
        <v>330933</v>
      </c>
      <c r="DR99" s="595">
        <f t="shared" ref="DR99:DR100" si="1455">+DQ99</f>
        <v>330933</v>
      </c>
      <c r="DS99" s="595">
        <f t="shared" ref="DS99:DS100" si="1456">+DR99</f>
        <v>330933</v>
      </c>
      <c r="DT99" s="595">
        <f t="shared" ref="DT99:DT100" si="1457">+DS99</f>
        <v>330933</v>
      </c>
      <c r="DU99" s="595">
        <f t="shared" ref="DU99:DU100" si="1458">+DT99</f>
        <v>330933</v>
      </c>
      <c r="DX99" s="595">
        <v>330933</v>
      </c>
      <c r="DY99" s="595">
        <v>330933</v>
      </c>
    </row>
    <row r="100" spans="1:129" s="904" customFormat="1">
      <c r="A100" s="939"/>
      <c r="B100" s="949" t="s">
        <v>415</v>
      </c>
      <c r="C100" s="939"/>
      <c r="D100" s="939">
        <v>7209</v>
      </c>
      <c r="E100" s="939">
        <v>7297</v>
      </c>
      <c r="F100" s="939">
        <v>7654</v>
      </c>
      <c r="G100" s="939">
        <v>8202</v>
      </c>
      <c r="H100" s="939">
        <v>8668</v>
      </c>
      <c r="I100" s="939">
        <v>10955</v>
      </c>
      <c r="J100" s="939">
        <v>12759</v>
      </c>
      <c r="K100" s="939">
        <v>13343</v>
      </c>
      <c r="L100" s="939">
        <v>14093</v>
      </c>
      <c r="M100" s="939">
        <v>14532</v>
      </c>
      <c r="N100" s="939">
        <v>15631</v>
      </c>
      <c r="O100" s="939">
        <v>23289</v>
      </c>
      <c r="P100" s="939">
        <v>24100</v>
      </c>
      <c r="Q100" s="939">
        <v>16572</v>
      </c>
      <c r="R100" s="939">
        <v>13372</v>
      </c>
      <c r="S100" s="939">
        <v>13634</v>
      </c>
      <c r="T100" s="939">
        <v>12401</v>
      </c>
      <c r="U100" s="939">
        <v>12361</v>
      </c>
      <c r="V100" s="939">
        <v>11992</v>
      </c>
      <c r="W100" s="939">
        <v>12472</v>
      </c>
      <c r="X100" s="939">
        <v>12944</v>
      </c>
      <c r="Y100" s="939">
        <v>13274</v>
      </c>
      <c r="Z100" s="939">
        <v>13737</v>
      </c>
      <c r="AA100" s="939">
        <v>56591</v>
      </c>
      <c r="AB100" s="939">
        <v>63787</v>
      </c>
      <c r="AC100" s="939">
        <v>64597</v>
      </c>
      <c r="AD100" s="939">
        <v>75457</v>
      </c>
      <c r="AE100" s="939">
        <v>60954</v>
      </c>
      <c r="AF100" s="939">
        <v>68047</v>
      </c>
      <c r="AG100" s="939">
        <v>57399</v>
      </c>
      <c r="AH100" s="939">
        <v>115517</v>
      </c>
      <c r="AI100" s="939">
        <v>110253</v>
      </c>
      <c r="AJ100" s="939">
        <v>115765</v>
      </c>
      <c r="AK100" s="939">
        <v>119809</v>
      </c>
      <c r="AL100" s="939">
        <v>133187</v>
      </c>
      <c r="AM100" s="939">
        <v>127375</v>
      </c>
      <c r="AN100" s="939">
        <v>110683</v>
      </c>
      <c r="AO100" s="939">
        <v>74698</v>
      </c>
      <c r="AP100" s="939">
        <v>84925</v>
      </c>
      <c r="AQ100" s="939">
        <v>85953</v>
      </c>
      <c r="AR100" s="939">
        <v>100119</v>
      </c>
      <c r="AS100" s="939">
        <v>95289</v>
      </c>
      <c r="AT100" s="939">
        <v>95670</v>
      </c>
      <c r="AU100" s="952">
        <v>68031</v>
      </c>
      <c r="AV100" s="952">
        <v>94156</v>
      </c>
      <c r="AW100" s="952">
        <v>56606</v>
      </c>
      <c r="AX100" s="952">
        <v>97899</v>
      </c>
      <c r="AY100" s="952">
        <v>130728</v>
      </c>
      <c r="AZ100" s="952">
        <v>158017</v>
      </c>
      <c r="BA100" s="952">
        <v>155916</v>
      </c>
      <c r="BB100" s="952">
        <v>156616</v>
      </c>
      <c r="BC100" s="952">
        <v>142727</v>
      </c>
      <c r="BD100" s="952">
        <v>128431</v>
      </c>
      <c r="BE100" s="952">
        <v>163752</v>
      </c>
      <c r="BF100" s="952">
        <v>199211</v>
      </c>
      <c r="BG100" s="952">
        <v>207201</v>
      </c>
      <c r="BH100" s="952">
        <v>173568</v>
      </c>
      <c r="BI100" s="952">
        <v>169552</v>
      </c>
      <c r="BJ100" s="952">
        <v>153458</v>
      </c>
      <c r="BK100" s="952">
        <v>138845</v>
      </c>
      <c r="BL100" s="952">
        <v>160391</v>
      </c>
      <c r="BM100" s="952">
        <v>170286</v>
      </c>
      <c r="BN100" s="952">
        <v>208067</v>
      </c>
      <c r="BO100" s="952">
        <v>228908</v>
      </c>
      <c r="BP100" s="952">
        <v>239731</v>
      </c>
      <c r="BQ100" s="952">
        <v>284453</v>
      </c>
      <c r="BR100" s="952">
        <v>276925</v>
      </c>
      <c r="BS100" s="952">
        <v>399170</v>
      </c>
      <c r="BT100" s="952">
        <v>463769</v>
      </c>
      <c r="BU100" s="952">
        <v>430030</v>
      </c>
      <c r="BV100" s="952">
        <v>457537</v>
      </c>
      <c r="BW100" s="952">
        <v>576296</v>
      </c>
      <c r="BX100" s="952">
        <v>539285</v>
      </c>
      <c r="BY100" s="952">
        <v>492003</v>
      </c>
      <c r="BZ100" s="952">
        <v>555595</v>
      </c>
      <c r="CA100" s="952">
        <v>658805</v>
      </c>
      <c r="CB100" s="952">
        <v>698845</v>
      </c>
      <c r="CC100" s="952">
        <v>729301</v>
      </c>
      <c r="CD100" s="952">
        <v>799610</v>
      </c>
      <c r="CE100" s="952">
        <v>832587</v>
      </c>
      <c r="CF100" s="952">
        <v>772205</v>
      </c>
      <c r="CG100" s="952">
        <v>780852</v>
      </c>
      <c r="CH100" s="952">
        <v>790229</v>
      </c>
      <c r="CI100" s="952">
        <v>846891</v>
      </c>
      <c r="CJ100" s="952">
        <v>821403</v>
      </c>
      <c r="CK100" s="952">
        <v>810056</v>
      </c>
      <c r="CL100" s="595">
        <f t="shared" si="1450"/>
        <v>810056</v>
      </c>
      <c r="CM100" s="595">
        <f t="shared" si="1451"/>
        <v>810056</v>
      </c>
      <c r="CN100" s="595">
        <f t="shared" si="1452"/>
        <v>810056</v>
      </c>
      <c r="CO100" s="595">
        <f t="shared" si="1453"/>
        <v>810056</v>
      </c>
      <c r="CP100" s="595">
        <f t="shared" si="1454"/>
        <v>810056</v>
      </c>
      <c r="CQ100" s="941"/>
      <c r="CR100" s="941">
        <v>810056</v>
      </c>
      <c r="CT100" s="939"/>
      <c r="CU100" s="939"/>
      <c r="CV100" s="939"/>
      <c r="CW100" s="939"/>
      <c r="CX100" s="592">
        <f>R100</f>
        <v>13372</v>
      </c>
      <c r="CY100" s="592">
        <f>V100</f>
        <v>11992</v>
      </c>
      <c r="CZ100" s="592">
        <f>Z100</f>
        <v>13737</v>
      </c>
      <c r="DA100" s="592">
        <f>+AD100</f>
        <v>75457</v>
      </c>
      <c r="DB100" s="592">
        <f>+AH100</f>
        <v>115517</v>
      </c>
      <c r="DC100" s="592">
        <f>+AL100</f>
        <v>133187</v>
      </c>
      <c r="DD100" s="592">
        <f>+AP100</f>
        <v>84925</v>
      </c>
      <c r="DE100" s="592">
        <f>AT100</f>
        <v>95670</v>
      </c>
      <c r="DF100" s="592">
        <f>+AX100</f>
        <v>97899</v>
      </c>
      <c r="DG100" s="592">
        <f>+BB100</f>
        <v>156616</v>
      </c>
      <c r="DH100" s="592">
        <f>+BF100</f>
        <v>199211</v>
      </c>
      <c r="DI100" s="939">
        <f>+BJ100</f>
        <v>153458</v>
      </c>
      <c r="DJ100" s="939">
        <f>+BN100</f>
        <v>208067</v>
      </c>
      <c r="DK100" s="939">
        <f>+BR100</f>
        <v>276925</v>
      </c>
      <c r="DL100" s="939">
        <f>+BV100</f>
        <v>457537</v>
      </c>
      <c r="DM100" s="939">
        <f>+BZ100</f>
        <v>555595</v>
      </c>
      <c r="DN100" s="939">
        <f>+CD100</f>
        <v>799610</v>
      </c>
      <c r="DO100" s="939">
        <f>+CH100</f>
        <v>790229</v>
      </c>
      <c r="DP100" s="939">
        <f>+CL100</f>
        <v>810056</v>
      </c>
      <c r="DQ100" s="939">
        <f>+CP100</f>
        <v>810056</v>
      </c>
      <c r="DR100" s="595">
        <f t="shared" si="1455"/>
        <v>810056</v>
      </c>
      <c r="DS100" s="595">
        <f t="shared" si="1456"/>
        <v>810056</v>
      </c>
      <c r="DT100" s="595">
        <f t="shared" si="1457"/>
        <v>810056</v>
      </c>
      <c r="DU100" s="595">
        <f t="shared" si="1458"/>
        <v>810056</v>
      </c>
      <c r="DX100" s="595">
        <v>810056</v>
      </c>
      <c r="DY100" s="595">
        <v>810056</v>
      </c>
    </row>
    <row r="101" spans="1:129" s="904" customFormat="1">
      <c r="A101" s="939"/>
      <c r="B101" s="949" t="s">
        <v>416</v>
      </c>
      <c r="C101" s="939"/>
      <c r="D101" s="939">
        <v>0</v>
      </c>
      <c r="E101" s="939">
        <v>0</v>
      </c>
      <c r="F101" s="939">
        <v>0</v>
      </c>
      <c r="G101" s="939">
        <v>0</v>
      </c>
      <c r="H101" s="939">
        <v>0</v>
      </c>
      <c r="I101" s="939">
        <v>0</v>
      </c>
      <c r="J101" s="939">
        <v>0</v>
      </c>
      <c r="K101" s="939">
        <v>0</v>
      </c>
      <c r="L101" s="939">
        <v>0</v>
      </c>
      <c r="M101" s="939">
        <v>0</v>
      </c>
      <c r="N101" s="939">
        <v>0</v>
      </c>
      <c r="O101" s="939">
        <v>0</v>
      </c>
      <c r="P101" s="939">
        <v>0</v>
      </c>
      <c r="Q101" s="939">
        <v>0</v>
      </c>
      <c r="R101" s="939">
        <v>0</v>
      </c>
      <c r="S101" s="939">
        <v>0</v>
      </c>
      <c r="T101" s="939">
        <v>0</v>
      </c>
      <c r="U101" s="939">
        <v>0</v>
      </c>
      <c r="V101" s="939">
        <v>0</v>
      </c>
      <c r="W101" s="939">
        <v>12283</v>
      </c>
      <c r="X101" s="939">
        <v>12429</v>
      </c>
      <c r="Y101" s="939">
        <v>11979</v>
      </c>
      <c r="Z101" s="939">
        <v>11726</v>
      </c>
      <c r="AA101" s="939">
        <v>11042</v>
      </c>
      <c r="AB101" s="939">
        <v>10764</v>
      </c>
      <c r="AC101" s="939">
        <f>5569+10252</f>
        <v>15821</v>
      </c>
      <c r="AD101" s="939">
        <v>12607</v>
      </c>
      <c r="AE101" s="939">
        <v>11859</v>
      </c>
      <c r="AF101" s="939">
        <v>13510</v>
      </c>
      <c r="AG101" s="939">
        <v>13081</v>
      </c>
      <c r="AH101" s="939">
        <v>17277</v>
      </c>
      <c r="AI101" s="939">
        <v>19222</v>
      </c>
      <c r="AJ101" s="939">
        <v>22158</v>
      </c>
      <c r="AK101" s="939">
        <v>23889</v>
      </c>
      <c r="AL101" s="939">
        <v>28456</v>
      </c>
      <c r="AM101" s="939">
        <v>26259</v>
      </c>
      <c r="AN101" s="939">
        <v>26525</v>
      </c>
      <c r="AO101" s="939">
        <v>27495</v>
      </c>
      <c r="AP101" s="939">
        <v>31581</v>
      </c>
      <c r="AQ101" s="939">
        <v>30874</v>
      </c>
      <c r="AR101" s="939">
        <v>35671</v>
      </c>
      <c r="AS101" s="939">
        <v>37312</v>
      </c>
      <c r="AT101" s="939">
        <v>39984</v>
      </c>
      <c r="AU101" s="952">
        <v>38041</v>
      </c>
      <c r="AV101" s="952">
        <v>42164</v>
      </c>
      <c r="AW101" s="952">
        <v>50143</v>
      </c>
      <c r="AX101" s="952">
        <v>59159</v>
      </c>
      <c r="AY101" s="952">
        <v>56978</v>
      </c>
      <c r="AZ101" s="952">
        <v>63482</v>
      </c>
      <c r="BA101" s="952">
        <v>64341</v>
      </c>
      <c r="BB101" s="952">
        <v>66624</v>
      </c>
      <c r="BC101" s="952">
        <v>64915</v>
      </c>
      <c r="BD101" s="952">
        <v>69737</v>
      </c>
      <c r="BE101" s="952">
        <v>73376</v>
      </c>
      <c r="BF101" s="952">
        <v>80684</v>
      </c>
      <c r="BG101" s="952">
        <v>80656</v>
      </c>
      <c r="BH101" s="952">
        <v>85526</v>
      </c>
      <c r="BI101" s="952">
        <v>86839</v>
      </c>
      <c r="BJ101" s="952">
        <v>78327</v>
      </c>
      <c r="BK101" s="952">
        <v>82380</v>
      </c>
      <c r="BL101" s="952">
        <v>82027</v>
      </c>
      <c r="BM101" s="952">
        <v>71198</v>
      </c>
      <c r="BN101" s="952">
        <v>73345</v>
      </c>
      <c r="BO101" s="952">
        <v>80468</v>
      </c>
      <c r="BP101" s="952">
        <v>817499</v>
      </c>
      <c r="BQ101" s="952">
        <v>670286</v>
      </c>
      <c r="BR101" s="952">
        <v>661111</v>
      </c>
      <c r="BS101" s="952">
        <v>759905</v>
      </c>
      <c r="BT101" s="952">
        <v>529815</v>
      </c>
      <c r="BU101" s="952">
        <v>549137</v>
      </c>
      <c r="BV101" s="952">
        <v>551243</v>
      </c>
      <c r="BW101" s="952">
        <v>125217</v>
      </c>
      <c r="BX101" s="952">
        <v>179759</v>
      </c>
      <c r="BY101" s="952">
        <v>201838</v>
      </c>
      <c r="BZ101" s="952">
        <v>225345</v>
      </c>
      <c r="CA101" s="952">
        <v>217974</v>
      </c>
      <c r="CB101" s="952">
        <v>202662</v>
      </c>
      <c r="CC101" s="952">
        <v>192705</v>
      </c>
      <c r="CD101" s="952">
        <v>107723</v>
      </c>
      <c r="CE101" s="952">
        <v>116424</v>
      </c>
      <c r="CF101" s="952">
        <v>112397</v>
      </c>
      <c r="CG101" s="952">
        <v>101765</v>
      </c>
      <c r="CH101" s="952">
        <v>97709</v>
      </c>
      <c r="CI101" s="952">
        <v>105622</v>
      </c>
      <c r="CJ101" s="952">
        <v>103815</v>
      </c>
      <c r="CK101" s="952">
        <v>103155</v>
      </c>
      <c r="CL101" s="941">
        <f t="shared" ref="CL101" si="1459">+CK101/CK6*CL6</f>
        <v>139755.13294871463</v>
      </c>
      <c r="CM101" s="941">
        <f t="shared" ref="CM101" si="1460">+CL101/CL6*CM6</f>
        <v>99413.828386570211</v>
      </c>
      <c r="CN101" s="941">
        <f t="shared" ref="CN101" si="1461">+CM101/CM6*CN6</f>
        <v>126098.49749751562</v>
      </c>
      <c r="CO101" s="941">
        <f t="shared" ref="CO101" si="1462">+CN101/CN6*CO6</f>
        <v>111180.41899081394</v>
      </c>
      <c r="CP101" s="941">
        <f t="shared" ref="CP101" si="1463">+CO101/CO6*CP6</f>
        <v>151981.69390668874</v>
      </c>
      <c r="CQ101" s="941"/>
      <c r="CR101" s="941">
        <v>139755.13294871463</v>
      </c>
      <c r="CT101" s="948"/>
      <c r="CU101" s="948"/>
      <c r="CV101" s="948"/>
      <c r="CW101" s="948"/>
      <c r="CX101" s="592">
        <f>R101</f>
        <v>0</v>
      </c>
      <c r="CY101" s="592">
        <f>V101</f>
        <v>0</v>
      </c>
      <c r="CZ101" s="592">
        <f>Z101</f>
        <v>11726</v>
      </c>
      <c r="DA101" s="592">
        <f>+AD101</f>
        <v>12607</v>
      </c>
      <c r="DB101" s="592">
        <f>+AH101</f>
        <v>17277</v>
      </c>
      <c r="DC101" s="592">
        <f>+AL101</f>
        <v>28456</v>
      </c>
      <c r="DD101" s="592">
        <f>+AP101</f>
        <v>31581</v>
      </c>
      <c r="DE101" s="592">
        <f>AT101</f>
        <v>39984</v>
      </c>
      <c r="DF101" s="592">
        <f>+AX101</f>
        <v>59159</v>
      </c>
      <c r="DG101" s="592">
        <f>+BB101</f>
        <v>66624</v>
      </c>
      <c r="DH101" s="592">
        <f>+BF101</f>
        <v>80684</v>
      </c>
      <c r="DI101" s="939">
        <f>+BJ101</f>
        <v>78327</v>
      </c>
      <c r="DJ101" s="939">
        <f>+BN101</f>
        <v>73345</v>
      </c>
      <c r="DK101" s="939">
        <f>+BR101</f>
        <v>661111</v>
      </c>
      <c r="DL101" s="939">
        <f>+BV101</f>
        <v>551243</v>
      </c>
      <c r="DM101" s="939">
        <f>+BZ101</f>
        <v>225345</v>
      </c>
      <c r="DN101" s="939">
        <f>+CD101</f>
        <v>107723</v>
      </c>
      <c r="DO101" s="939">
        <f>+CH101</f>
        <v>97709</v>
      </c>
      <c r="DP101" s="939">
        <f>+CL101</f>
        <v>139755.13294871463</v>
      </c>
      <c r="DQ101" s="939">
        <f>+CP101</f>
        <v>151981.69390668874</v>
      </c>
      <c r="DR101" s="599">
        <f t="shared" ref="DR101:DU101" si="1464">+DQ101/DQ6*DR6</f>
        <v>164682.25633638052</v>
      </c>
      <c r="DS101" s="599">
        <f t="shared" si="1464"/>
        <v>175920.84820706959</v>
      </c>
      <c r="DT101" s="599">
        <f t="shared" si="1464"/>
        <v>187926.690356926</v>
      </c>
      <c r="DU101" s="599">
        <f t="shared" si="1464"/>
        <v>200742.18126028817</v>
      </c>
      <c r="DX101" s="599">
        <v>156602.41711578768</v>
      </c>
      <c r="DY101" s="599">
        <v>169013.48354073253</v>
      </c>
    </row>
    <row r="102" spans="1:129" s="904" customFormat="1">
      <c r="A102" s="943"/>
      <c r="B102" s="944" t="s">
        <v>417</v>
      </c>
      <c r="C102" s="943">
        <f t="shared" ref="C102:BN102" si="1465">+SUM(C103:C106)</f>
        <v>0</v>
      </c>
      <c r="D102" s="943">
        <f t="shared" si="1465"/>
        <v>165066</v>
      </c>
      <c r="E102" s="943">
        <f t="shared" si="1465"/>
        <v>165577</v>
      </c>
      <c r="F102" s="943">
        <f t="shared" si="1465"/>
        <v>164864</v>
      </c>
      <c r="G102" s="943">
        <f t="shared" si="1465"/>
        <v>161525</v>
      </c>
      <c r="H102" s="943">
        <f t="shared" si="1465"/>
        <v>188341</v>
      </c>
      <c r="I102" s="943">
        <f t="shared" si="1465"/>
        <v>187228</v>
      </c>
      <c r="J102" s="943">
        <f t="shared" si="1465"/>
        <v>203740</v>
      </c>
      <c r="K102" s="943">
        <f t="shared" si="1465"/>
        <v>212033</v>
      </c>
      <c r="L102" s="943">
        <f t="shared" si="1465"/>
        <v>232489</v>
      </c>
      <c r="M102" s="943">
        <f t="shared" si="1465"/>
        <v>244155</v>
      </c>
      <c r="N102" s="943">
        <f t="shared" si="1465"/>
        <v>280433</v>
      </c>
      <c r="O102" s="943">
        <f t="shared" si="1465"/>
        <v>280251</v>
      </c>
      <c r="P102" s="943">
        <f t="shared" si="1465"/>
        <v>291717</v>
      </c>
      <c r="Q102" s="943">
        <f t="shared" si="1465"/>
        <v>293777</v>
      </c>
      <c r="R102" s="943">
        <f t="shared" si="1465"/>
        <v>335240</v>
      </c>
      <c r="S102" s="943">
        <f t="shared" si="1465"/>
        <v>338776</v>
      </c>
      <c r="T102" s="943">
        <f t="shared" si="1465"/>
        <v>353638</v>
      </c>
      <c r="U102" s="943">
        <f t="shared" si="1465"/>
        <v>374161</v>
      </c>
      <c r="V102" s="943">
        <f t="shared" si="1465"/>
        <v>409171</v>
      </c>
      <c r="W102" s="943">
        <f t="shared" si="1465"/>
        <v>397419</v>
      </c>
      <c r="X102" s="943">
        <f t="shared" si="1465"/>
        <v>400483</v>
      </c>
      <c r="Y102" s="943">
        <f t="shared" si="1465"/>
        <v>395762</v>
      </c>
      <c r="Z102" s="943">
        <f t="shared" si="1465"/>
        <v>403748</v>
      </c>
      <c r="AA102" s="943">
        <f t="shared" si="1465"/>
        <v>400382</v>
      </c>
      <c r="AB102" s="943">
        <f t="shared" si="1465"/>
        <v>402528</v>
      </c>
      <c r="AC102" s="943">
        <f t="shared" si="1465"/>
        <v>405362</v>
      </c>
      <c r="AD102" s="943">
        <f t="shared" si="1465"/>
        <v>479643</v>
      </c>
      <c r="AE102" s="943">
        <f t="shared" si="1465"/>
        <v>482018</v>
      </c>
      <c r="AF102" s="943">
        <f t="shared" si="1465"/>
        <v>689989</v>
      </c>
      <c r="AG102" s="943">
        <f t="shared" si="1465"/>
        <v>721435</v>
      </c>
      <c r="AH102" s="943">
        <f t="shared" si="1465"/>
        <v>804402</v>
      </c>
      <c r="AI102" s="943">
        <f t="shared" si="1465"/>
        <v>843155</v>
      </c>
      <c r="AJ102" s="943">
        <f t="shared" si="1465"/>
        <v>897669</v>
      </c>
      <c r="AK102" s="943">
        <f t="shared" si="1465"/>
        <v>981226</v>
      </c>
      <c r="AL102" s="943">
        <f t="shared" si="1465"/>
        <v>1102432</v>
      </c>
      <c r="AM102" s="943">
        <f t="shared" si="1465"/>
        <v>1099882</v>
      </c>
      <c r="AN102" s="943">
        <f t="shared" si="1465"/>
        <v>1124062</v>
      </c>
      <c r="AO102" s="943">
        <f t="shared" si="1465"/>
        <v>1244840</v>
      </c>
      <c r="AP102" s="943" t="e">
        <f t="shared" si="1465"/>
        <v>#REF!</v>
      </c>
      <c r="AQ102" s="943">
        <f t="shared" si="1465"/>
        <v>1414530</v>
      </c>
      <c r="AR102" s="943">
        <f t="shared" si="1465"/>
        <v>1478784</v>
      </c>
      <c r="AS102" s="943">
        <f t="shared" si="1465"/>
        <v>1555129</v>
      </c>
      <c r="AT102" s="943">
        <f t="shared" si="1465"/>
        <v>1672212</v>
      </c>
      <c r="AU102" s="943">
        <f t="shared" si="1465"/>
        <v>1681930</v>
      </c>
      <c r="AV102" s="943">
        <f t="shared" si="1465"/>
        <v>1763783</v>
      </c>
      <c r="AW102" s="943">
        <f t="shared" si="1465"/>
        <v>1861838</v>
      </c>
      <c r="AX102" s="943">
        <f t="shared" si="1465"/>
        <v>1966062</v>
      </c>
      <c r="AY102" s="943">
        <f t="shared" si="1465"/>
        <v>1979875</v>
      </c>
      <c r="AZ102" s="943">
        <f t="shared" si="1465"/>
        <v>2059938</v>
      </c>
      <c r="BA102" s="943">
        <f t="shared" si="1465"/>
        <v>2075937</v>
      </c>
      <c r="BB102" s="943">
        <f t="shared" si="1465"/>
        <v>2145359</v>
      </c>
      <c r="BC102" s="943">
        <f t="shared" si="1465"/>
        <v>2132212</v>
      </c>
      <c r="BD102" s="943">
        <f t="shared" si="1465"/>
        <v>2170315</v>
      </c>
      <c r="BE102" s="943">
        <f t="shared" si="1465"/>
        <v>2218217</v>
      </c>
      <c r="BF102" s="943">
        <f t="shared" si="1465"/>
        <v>2339908</v>
      </c>
      <c r="BG102" s="943">
        <f t="shared" si="1465"/>
        <v>2360434</v>
      </c>
      <c r="BH102" s="943">
        <f t="shared" si="1465"/>
        <v>2419103</v>
      </c>
      <c r="BI102" s="943">
        <f t="shared" si="1465"/>
        <v>2493271</v>
      </c>
      <c r="BJ102" s="943">
        <f t="shared" si="1465"/>
        <v>2629525</v>
      </c>
      <c r="BK102" s="943">
        <f t="shared" si="1465"/>
        <v>4527998</v>
      </c>
      <c r="BL102" s="943">
        <f t="shared" si="1465"/>
        <v>4676042</v>
      </c>
      <c r="BM102" s="943">
        <f t="shared" si="1465"/>
        <v>4755178</v>
      </c>
      <c r="BN102" s="943">
        <f t="shared" si="1465"/>
        <v>4837906</v>
      </c>
      <c r="BO102" s="943">
        <f t="shared" ref="BO102:CD102" si="1466">+SUM(BO103:BO106)</f>
        <v>4817098</v>
      </c>
      <c r="BP102" s="943">
        <f t="shared" si="1466"/>
        <v>4550237</v>
      </c>
      <c r="BQ102" s="943">
        <f t="shared" si="1466"/>
        <v>4745383</v>
      </c>
      <c r="BR102" s="943">
        <f t="shared" si="1466"/>
        <v>4794934</v>
      </c>
      <c r="BS102" s="943">
        <f t="shared" si="1466"/>
        <v>5347552</v>
      </c>
      <c r="BT102" s="943">
        <f t="shared" si="1466"/>
        <v>5659721</v>
      </c>
      <c r="BU102" s="943">
        <f t="shared" si="1466"/>
        <v>5893821</v>
      </c>
      <c r="BV102" s="943">
        <f t="shared" si="1466"/>
        <v>6292687</v>
      </c>
      <c r="BW102" s="943">
        <f t="shared" si="1466"/>
        <v>6244151</v>
      </c>
      <c r="BX102" s="943">
        <f t="shared" si="1466"/>
        <v>6556888</v>
      </c>
      <c r="BY102" s="943">
        <f t="shared" si="1466"/>
        <v>6718811</v>
      </c>
      <c r="BZ102" s="943">
        <f t="shared" si="1466"/>
        <v>7089821</v>
      </c>
      <c r="CA102" s="943">
        <f t="shared" si="1466"/>
        <v>6900723</v>
      </c>
      <c r="CB102" s="943">
        <f t="shared" si="1466"/>
        <v>6991641</v>
      </c>
      <c r="CC102" s="943">
        <f t="shared" si="1466"/>
        <v>7024357</v>
      </c>
      <c r="CD102" s="943">
        <f t="shared" si="1466"/>
        <v>7014550</v>
      </c>
      <c r="CE102" s="943">
        <f>+SUM(CE103:CE106)</f>
        <v>6917216</v>
      </c>
      <c r="CF102" s="943">
        <f t="shared" ref="CF102:DU102" si="1467">+SUM(CF103:CF106)</f>
        <v>6848332</v>
      </c>
      <c r="CG102" s="943">
        <f t="shared" si="1467"/>
        <v>6763625</v>
      </c>
      <c r="CH102" s="943">
        <f t="shared" si="1467"/>
        <v>6822997</v>
      </c>
      <c r="CI102" s="943">
        <f t="shared" ref="CI102:CL102" si="1468">+SUM(CI103:CI106)</f>
        <v>6624598</v>
      </c>
      <c r="CJ102" s="943">
        <f t="shared" si="1468"/>
        <v>6498781</v>
      </c>
      <c r="CK102" s="943">
        <f t="shared" si="1468"/>
        <v>6487108</v>
      </c>
      <c r="CL102" s="946">
        <f t="shared" si="1468"/>
        <v>7008720.7439210294</v>
      </c>
      <c r="CM102" s="946">
        <f t="shared" ref="CM102:CP102" si="1469">+SUM(CM103:CM106)</f>
        <v>6841842.0339556281</v>
      </c>
      <c r="CN102" s="946">
        <f t="shared" si="1469"/>
        <v>6709617.8346978836</v>
      </c>
      <c r="CO102" s="946">
        <f t="shared" si="1469"/>
        <v>6703184.8292966187</v>
      </c>
      <c r="CP102" s="946">
        <f t="shared" si="1469"/>
        <v>7220640.1507784342</v>
      </c>
      <c r="CQ102" s="946"/>
      <c r="CR102" s="946">
        <v>7008720.7439210294</v>
      </c>
      <c r="CT102" s="943"/>
      <c r="CU102" s="943">
        <f t="shared" si="1467"/>
        <v>0</v>
      </c>
      <c r="CV102" s="943">
        <f t="shared" si="1467"/>
        <v>0</v>
      </c>
      <c r="CW102" s="943">
        <f t="shared" si="1467"/>
        <v>0</v>
      </c>
      <c r="CX102" s="943">
        <f t="shared" si="1467"/>
        <v>335240</v>
      </c>
      <c r="CY102" s="943">
        <f t="shared" si="1467"/>
        <v>409171</v>
      </c>
      <c r="CZ102" s="943">
        <f t="shared" si="1467"/>
        <v>403748</v>
      </c>
      <c r="DA102" s="943">
        <f t="shared" si="1467"/>
        <v>479643</v>
      </c>
      <c r="DB102" s="943">
        <f t="shared" si="1467"/>
        <v>804402</v>
      </c>
      <c r="DC102" s="943">
        <f t="shared" si="1467"/>
        <v>1102432</v>
      </c>
      <c r="DD102" s="943" t="e">
        <f t="shared" si="1467"/>
        <v>#REF!</v>
      </c>
      <c r="DE102" s="943">
        <f t="shared" si="1467"/>
        <v>1672212</v>
      </c>
      <c r="DF102" s="943">
        <f t="shared" si="1467"/>
        <v>1966062</v>
      </c>
      <c r="DG102" s="943">
        <f t="shared" si="1467"/>
        <v>2145359</v>
      </c>
      <c r="DH102" s="943">
        <f t="shared" si="1467"/>
        <v>2339908</v>
      </c>
      <c r="DI102" s="943">
        <f t="shared" si="1467"/>
        <v>2629525</v>
      </c>
      <c r="DJ102" s="943">
        <f t="shared" si="1467"/>
        <v>4837906</v>
      </c>
      <c r="DK102" s="943">
        <f t="shared" si="1467"/>
        <v>4794934</v>
      </c>
      <c r="DL102" s="943">
        <f t="shared" si="1467"/>
        <v>6292687</v>
      </c>
      <c r="DM102" s="943">
        <f t="shared" si="1467"/>
        <v>7089821</v>
      </c>
      <c r="DN102" s="943">
        <f t="shared" si="1467"/>
        <v>7014550</v>
      </c>
      <c r="DO102" s="943">
        <f t="shared" si="1467"/>
        <v>6822997</v>
      </c>
      <c r="DP102" s="943">
        <f t="shared" ref="DP102:DQ102" si="1470">+SUM(DP103:DP106)</f>
        <v>7008720.7439210294</v>
      </c>
      <c r="DQ102" s="943">
        <f t="shared" si="1470"/>
        <v>7220640.1507784342</v>
      </c>
      <c r="DR102" s="966">
        <f t="shared" si="1467"/>
        <v>6812647.1452697786</v>
      </c>
      <c r="DS102" s="966">
        <f t="shared" si="1467"/>
        <v>7094592.7739776168</v>
      </c>
      <c r="DT102" s="966">
        <f t="shared" si="1467"/>
        <v>7450697.5199069781</v>
      </c>
      <c r="DU102" s="966">
        <f t="shared" si="1467"/>
        <v>7853415.2863334548</v>
      </c>
      <c r="DX102" s="966">
        <v>7014724.7859461969</v>
      </c>
      <c r="DY102" s="966">
        <v>6977631.3747465611</v>
      </c>
    </row>
    <row r="103" spans="1:129" s="904" customFormat="1">
      <c r="A103" s="939"/>
      <c r="B103" s="949" t="s">
        <v>418</v>
      </c>
      <c r="C103" s="939"/>
      <c r="D103" s="939"/>
      <c r="E103" s="939"/>
      <c r="F103" s="939"/>
      <c r="G103" s="939"/>
      <c r="H103" s="939"/>
      <c r="I103" s="939"/>
      <c r="J103" s="939"/>
      <c r="K103" s="939"/>
      <c r="L103" s="939"/>
      <c r="M103" s="939"/>
      <c r="N103" s="939"/>
      <c r="O103" s="939"/>
      <c r="P103" s="939"/>
      <c r="Q103" s="939"/>
      <c r="R103" s="939"/>
      <c r="S103" s="939"/>
      <c r="T103" s="939"/>
      <c r="U103" s="939"/>
      <c r="V103" s="939"/>
      <c r="W103" s="939"/>
      <c r="X103" s="939"/>
      <c r="Y103" s="939"/>
      <c r="Z103" s="939"/>
      <c r="AA103" s="939"/>
      <c r="AB103" s="939"/>
      <c r="AC103" s="939"/>
      <c r="AD103" s="939"/>
      <c r="AE103" s="939"/>
      <c r="AF103" s="939"/>
      <c r="AG103" s="939"/>
      <c r="AH103" s="939"/>
      <c r="AI103" s="939"/>
      <c r="AJ103" s="939"/>
      <c r="AK103" s="939"/>
      <c r="AL103" s="939"/>
      <c r="AM103" s="939"/>
      <c r="AN103" s="939"/>
      <c r="AO103" s="939"/>
      <c r="AP103" s="939"/>
      <c r="AQ103" s="939"/>
      <c r="AR103" s="939"/>
      <c r="AS103" s="939"/>
      <c r="AT103" s="939"/>
      <c r="AU103" s="952"/>
      <c r="AV103" s="952"/>
      <c r="AW103" s="952"/>
      <c r="AX103" s="952"/>
      <c r="AY103" s="952"/>
      <c r="AZ103" s="952"/>
      <c r="BA103" s="952"/>
      <c r="BB103" s="952"/>
      <c r="BC103" s="952"/>
      <c r="BD103" s="952"/>
      <c r="BE103" s="952"/>
      <c r="BF103" s="952"/>
      <c r="BG103" s="952"/>
      <c r="BH103" s="952"/>
      <c r="BI103" s="952"/>
      <c r="BJ103" s="952"/>
      <c r="BK103" s="952"/>
      <c r="BL103" s="952"/>
      <c r="BM103" s="952"/>
      <c r="BN103" s="952"/>
      <c r="BO103" s="952"/>
      <c r="BP103" s="952"/>
      <c r="BQ103" s="952"/>
      <c r="BR103" s="952"/>
      <c r="BS103" s="952"/>
      <c r="BT103" s="952"/>
      <c r="BU103" s="952"/>
      <c r="BV103" s="952"/>
      <c r="BW103" s="952"/>
      <c r="BX103" s="952"/>
      <c r="BY103" s="952"/>
      <c r="BZ103" s="952">
        <v>10365</v>
      </c>
      <c r="CA103" s="952">
        <v>0</v>
      </c>
      <c r="CB103" s="952">
        <v>0</v>
      </c>
      <c r="CC103" s="952">
        <v>0</v>
      </c>
      <c r="CD103" s="952">
        <v>25996</v>
      </c>
      <c r="CE103" s="952">
        <v>25850</v>
      </c>
      <c r="CF103" s="952">
        <v>37959</v>
      </c>
      <c r="CG103" s="952">
        <v>43862</v>
      </c>
      <c r="CH103" s="952">
        <v>56582</v>
      </c>
      <c r="CI103" s="952">
        <v>55397</v>
      </c>
      <c r="CJ103" s="952">
        <v>54689</v>
      </c>
      <c r="CK103" s="952">
        <v>54414</v>
      </c>
      <c r="CL103" s="595">
        <f t="shared" ref="CL103" si="1471">+CK103</f>
        <v>54414</v>
      </c>
      <c r="CM103" s="595">
        <f t="shared" ref="CM103" si="1472">+CL103</f>
        <v>54414</v>
      </c>
      <c r="CN103" s="595">
        <f t="shared" ref="CN103" si="1473">+CM103</f>
        <v>54414</v>
      </c>
      <c r="CO103" s="595">
        <f t="shared" ref="CO103" si="1474">+CN103</f>
        <v>54414</v>
      </c>
      <c r="CP103" s="595">
        <f t="shared" ref="CP103" si="1475">+CO103</f>
        <v>54414</v>
      </c>
      <c r="CQ103" s="595"/>
      <c r="CR103" s="595">
        <v>54414</v>
      </c>
      <c r="CT103" s="939"/>
      <c r="CU103" s="939"/>
      <c r="CV103" s="939"/>
      <c r="CW103" s="939"/>
      <c r="CX103" s="592"/>
      <c r="CY103" s="592"/>
      <c r="CZ103" s="592"/>
      <c r="DA103" s="592"/>
      <c r="DB103" s="592"/>
      <c r="DC103" s="592"/>
      <c r="DD103" s="592"/>
      <c r="DE103" s="592"/>
      <c r="DF103" s="592">
        <f t="shared" ref="DF103:DF109" si="1476">+AX103</f>
        <v>0</v>
      </c>
      <c r="DG103" s="592">
        <f t="shared" ref="DG103:DG109" si="1477">+BB103</f>
        <v>0</v>
      </c>
      <c r="DH103" s="592">
        <f t="shared" ref="DH103:DH109" si="1478">+BF103</f>
        <v>0</v>
      </c>
      <c r="DI103" s="939">
        <f>+BJ103</f>
        <v>0</v>
      </c>
      <c r="DJ103" s="939">
        <f>+BN103</f>
        <v>0</v>
      </c>
      <c r="DK103" s="939">
        <f>+BR103</f>
        <v>0</v>
      </c>
      <c r="DL103" s="939">
        <f t="shared" ref="DL103:DL129" si="1479">+BV103</f>
        <v>0</v>
      </c>
      <c r="DM103" s="939">
        <f t="shared" ref="DM103:DM129" si="1480">+BZ103</f>
        <v>10365</v>
      </c>
      <c r="DN103" s="939">
        <f t="shared" ref="DN103:DN129" si="1481">+CD103</f>
        <v>25996</v>
      </c>
      <c r="DO103" s="939">
        <f t="shared" ref="DO103:DO129" si="1482">+CH103</f>
        <v>56582</v>
      </c>
      <c r="DP103" s="939">
        <f t="shared" ref="DP103:DP129" si="1483">+CL103</f>
        <v>54414</v>
      </c>
      <c r="DQ103" s="939">
        <f t="shared" ref="DQ103:DQ129" si="1484">+CP103</f>
        <v>54414</v>
      </c>
      <c r="DR103" s="595">
        <f t="shared" ref="DR103:DU103" si="1485">+DQ103</f>
        <v>54414</v>
      </c>
      <c r="DS103" s="595">
        <f t="shared" si="1485"/>
        <v>54414</v>
      </c>
      <c r="DT103" s="595">
        <f t="shared" si="1485"/>
        <v>54414</v>
      </c>
      <c r="DU103" s="595">
        <f t="shared" si="1485"/>
        <v>54414</v>
      </c>
      <c r="DX103" s="595">
        <v>54414</v>
      </c>
      <c r="DY103" s="595">
        <v>54414</v>
      </c>
    </row>
    <row r="104" spans="1:129" s="904" customFormat="1">
      <c r="A104" s="939"/>
      <c r="B104" s="949" t="s">
        <v>419</v>
      </c>
      <c r="C104" s="939"/>
      <c r="D104" s="939">
        <v>151584</v>
      </c>
      <c r="E104" s="939">
        <v>157423</v>
      </c>
      <c r="F104" s="939">
        <v>162039</v>
      </c>
      <c r="G104" s="939">
        <v>161449</v>
      </c>
      <c r="H104" s="939">
        <v>171563</v>
      </c>
      <c r="I104" s="939">
        <v>169975</v>
      </c>
      <c r="J104" s="939">
        <v>194125</v>
      </c>
      <c r="K104" s="939">
        <v>201952</v>
      </c>
      <c r="L104" s="939">
        <v>194615</v>
      </c>
      <c r="M104" s="939">
        <v>205646</v>
      </c>
      <c r="N104" s="939">
        <v>241062</v>
      </c>
      <c r="O104" s="939">
        <v>240716</v>
      </c>
      <c r="P104" s="939">
        <v>252846</v>
      </c>
      <c r="Q104" s="939">
        <v>254146</v>
      </c>
      <c r="R104" s="939">
        <v>283768</v>
      </c>
      <c r="S104" s="939">
        <v>289734</v>
      </c>
      <c r="T104" s="939">
        <v>305779</v>
      </c>
      <c r="U104" s="939">
        <v>324554</v>
      </c>
      <c r="V104" s="939">
        <v>358628</v>
      </c>
      <c r="W104" s="939">
        <v>350828</v>
      </c>
      <c r="X104" s="939">
        <v>356578</v>
      </c>
      <c r="Y104" s="939">
        <v>354209</v>
      </c>
      <c r="Z104" s="939">
        <v>357572</v>
      </c>
      <c r="AA104" s="939">
        <v>356790</v>
      </c>
      <c r="AB104" s="939">
        <v>360491</v>
      </c>
      <c r="AC104" s="939">
        <v>364293</v>
      </c>
      <c r="AD104" s="939">
        <v>412603</v>
      </c>
      <c r="AE104" s="939">
        <v>414185</v>
      </c>
      <c r="AF104" s="939">
        <v>453996</v>
      </c>
      <c r="AG104" s="939">
        <v>473940</v>
      </c>
      <c r="AH104" s="939">
        <v>599481</v>
      </c>
      <c r="AI104" s="939">
        <v>633359</v>
      </c>
      <c r="AJ104" s="939">
        <v>671099</v>
      </c>
      <c r="AK104" s="939">
        <v>745619</v>
      </c>
      <c r="AL104" s="939">
        <v>846204</v>
      </c>
      <c r="AM104" s="939">
        <v>843189</v>
      </c>
      <c r="AN104" s="939">
        <v>865645</v>
      </c>
      <c r="AO104" s="939">
        <v>936726</v>
      </c>
      <c r="AP104" s="939">
        <v>1063348</v>
      </c>
      <c r="AQ104" s="939">
        <v>1101156</v>
      </c>
      <c r="AR104" s="939">
        <v>1138162</v>
      </c>
      <c r="AS104" s="939">
        <v>1204275</v>
      </c>
      <c r="AT104" s="939">
        <v>1304065</v>
      </c>
      <c r="AU104" s="952">
        <v>1320473</v>
      </c>
      <c r="AV104" s="952">
        <v>1391883</v>
      </c>
      <c r="AW104" s="952">
        <v>1475060</v>
      </c>
      <c r="AX104" s="952">
        <v>1545704</v>
      </c>
      <c r="AY104" s="952">
        <v>1559316</v>
      </c>
      <c r="AZ104" s="952">
        <v>1589602</v>
      </c>
      <c r="BA104" s="952">
        <v>1603876</v>
      </c>
      <c r="BB104" s="952">
        <v>1645069</v>
      </c>
      <c r="BC104" s="952">
        <v>1636648</v>
      </c>
      <c r="BD104" s="952">
        <v>1668458</v>
      </c>
      <c r="BE104" s="952">
        <v>1716613</v>
      </c>
      <c r="BF104" s="952">
        <v>1813627</v>
      </c>
      <c r="BG104" s="952">
        <v>1822018</v>
      </c>
      <c r="BH104" s="952">
        <v>1853263</v>
      </c>
      <c r="BI104" s="952">
        <v>1910603</v>
      </c>
      <c r="BJ104" s="952">
        <v>1994449</v>
      </c>
      <c r="BK104" s="952">
        <v>1955428</v>
      </c>
      <c r="BL104" s="952">
        <v>1976764</v>
      </c>
      <c r="BM104" s="952">
        <v>2109143</v>
      </c>
      <c r="BN104" s="952">
        <v>2173710</v>
      </c>
      <c r="BO104" s="952">
        <v>2186193</v>
      </c>
      <c r="BP104" s="952">
        <v>2147040</v>
      </c>
      <c r="BQ104" s="952">
        <v>2182428</v>
      </c>
      <c r="BR104" s="952">
        <v>2154260</v>
      </c>
      <c r="BS104" s="952">
        <v>2333938</v>
      </c>
      <c r="BT104" s="952">
        <v>2418037</v>
      </c>
      <c r="BU104" s="952">
        <v>2489041</v>
      </c>
      <c r="BV104" s="952">
        <v>2650859</v>
      </c>
      <c r="BW104" s="952">
        <v>2618691</v>
      </c>
      <c r="BX104" s="952">
        <v>2686734</v>
      </c>
      <c r="BY104" s="952">
        <v>2742625</v>
      </c>
      <c r="BZ104" s="952">
        <v>2830784</v>
      </c>
      <c r="CA104" s="952">
        <v>2768896</v>
      </c>
      <c r="CB104" s="952">
        <v>2793931</v>
      </c>
      <c r="CC104" s="952">
        <v>2844936</v>
      </c>
      <c r="CD104" s="952">
        <v>2889666</v>
      </c>
      <c r="CE104" s="952">
        <v>2851411</v>
      </c>
      <c r="CF104" s="952">
        <v>2846313</v>
      </c>
      <c r="CG104" s="952">
        <v>2847026</v>
      </c>
      <c r="CH104" s="952">
        <v>2900445</v>
      </c>
      <c r="CI104" s="952">
        <v>2824192</v>
      </c>
      <c r="CJ104" s="952">
        <v>2789254</v>
      </c>
      <c r="CK104" s="952">
        <v>2816087</v>
      </c>
      <c r="CL104" s="941">
        <f t="shared" ref="CL104" si="1486">+CK104+CL54-CL55-CL41</f>
        <v>2940069.2021134491</v>
      </c>
      <c r="CM104" s="941">
        <f t="shared" ref="CM104" si="1487">+CL104+CM54-CM55-CM41</f>
        <v>2848438.5915066483</v>
      </c>
      <c r="CN104" s="941">
        <f t="shared" ref="CN104" si="1488">+CM104+CN54-CN55-CN41</f>
        <v>2822674.9866515733</v>
      </c>
      <c r="CO104" s="941">
        <f t="shared" ref="CO104" si="1489">+CN104+CO54-CO55-CO41</f>
        <v>2817260.9426107402</v>
      </c>
      <c r="CP104" s="941">
        <f t="shared" ref="CP104" si="1490">+CO104+CP54-CP55-CP41</f>
        <v>2911713.8531411164</v>
      </c>
      <c r="CQ104" s="941"/>
      <c r="CR104" s="941">
        <v>2940069.2021134491</v>
      </c>
      <c r="CT104" s="939"/>
      <c r="CU104" s="939"/>
      <c r="CV104" s="939"/>
      <c r="CW104" s="939"/>
      <c r="CX104" s="592">
        <f t="shared" ref="CX104:CX120" si="1491">R104</f>
        <v>283768</v>
      </c>
      <c r="CY104" s="592">
        <f t="shared" ref="CY104:CY120" si="1492">V104</f>
        <v>358628</v>
      </c>
      <c r="CZ104" s="592">
        <f t="shared" ref="CZ104:CZ120" si="1493">Z104</f>
        <v>357572</v>
      </c>
      <c r="DA104" s="592">
        <f t="shared" ref="DA104:DA120" si="1494">+AD104</f>
        <v>412603</v>
      </c>
      <c r="DB104" s="592">
        <f t="shared" ref="DB104:DB120" si="1495">+AH104</f>
        <v>599481</v>
      </c>
      <c r="DC104" s="592">
        <f t="shared" ref="DC104:DC120" si="1496">+AL104</f>
        <v>846204</v>
      </c>
      <c r="DD104" s="592">
        <f t="shared" ref="DD104:DD120" si="1497">+AP104</f>
        <v>1063348</v>
      </c>
      <c r="DE104" s="592">
        <f t="shared" ref="DE104:DE111" si="1498">AT104</f>
        <v>1304065</v>
      </c>
      <c r="DF104" s="592">
        <f t="shared" si="1476"/>
        <v>1545704</v>
      </c>
      <c r="DG104" s="592">
        <f t="shared" si="1477"/>
        <v>1645069</v>
      </c>
      <c r="DH104" s="592">
        <f t="shared" si="1478"/>
        <v>1813627</v>
      </c>
      <c r="DI104" s="939">
        <f>+BJ104</f>
        <v>1994449</v>
      </c>
      <c r="DJ104" s="939">
        <f>+BN104</f>
        <v>2173710</v>
      </c>
      <c r="DK104" s="939">
        <f>+BR104</f>
        <v>2154260</v>
      </c>
      <c r="DL104" s="939">
        <f t="shared" si="1479"/>
        <v>2650859</v>
      </c>
      <c r="DM104" s="939">
        <f t="shared" si="1480"/>
        <v>2830784</v>
      </c>
      <c r="DN104" s="939">
        <f t="shared" si="1481"/>
        <v>2889666</v>
      </c>
      <c r="DO104" s="939">
        <f t="shared" si="1482"/>
        <v>2900445</v>
      </c>
      <c r="DP104" s="939">
        <f t="shared" si="1483"/>
        <v>2940069.2021134491</v>
      </c>
      <c r="DQ104" s="939">
        <f t="shared" si="1484"/>
        <v>2911713.8531411164</v>
      </c>
      <c r="DR104" s="599">
        <f t="shared" ref="DR104:DU104" si="1499">+DQ104+DR54-DR55-DR41</f>
        <v>2946790.1452697786</v>
      </c>
      <c r="DS104" s="599">
        <f t="shared" si="1499"/>
        <v>3025941.232170037</v>
      </c>
      <c r="DT104" s="599">
        <f t="shared" si="1499"/>
        <v>3141771.2222696603</v>
      </c>
      <c r="DU104" s="599">
        <f t="shared" si="1499"/>
        <v>3288920.7924669129</v>
      </c>
      <c r="DX104" s="599">
        <v>3004723.7859461969</v>
      </c>
      <c r="DY104" s="599">
        <v>3111774.3747465611</v>
      </c>
    </row>
    <row r="105" spans="1:129" s="904" customFormat="1">
      <c r="A105" s="939"/>
      <c r="B105" s="949" t="s">
        <v>420</v>
      </c>
      <c r="C105" s="939"/>
      <c r="D105" s="939">
        <v>77</v>
      </c>
      <c r="E105" s="939">
        <v>77</v>
      </c>
      <c r="F105" s="939">
        <v>75</v>
      </c>
      <c r="G105" s="939">
        <v>76</v>
      </c>
      <c r="H105" s="939">
        <v>16778</v>
      </c>
      <c r="I105" s="939">
        <v>17253</v>
      </c>
      <c r="J105" s="939">
        <v>9615</v>
      </c>
      <c r="K105" s="939">
        <v>10081</v>
      </c>
      <c r="L105" s="939">
        <v>63</v>
      </c>
      <c r="M105" s="939">
        <v>63</v>
      </c>
      <c r="N105" s="939">
        <v>63</v>
      </c>
      <c r="O105" s="939">
        <v>63</v>
      </c>
      <c r="P105" s="939">
        <v>63</v>
      </c>
      <c r="Q105" s="939">
        <v>63</v>
      </c>
      <c r="R105" s="939">
        <v>63</v>
      </c>
      <c r="S105" s="939">
        <v>63</v>
      </c>
      <c r="T105" s="939">
        <v>63</v>
      </c>
      <c r="U105" s="939">
        <v>63</v>
      </c>
      <c r="V105" s="939">
        <v>63</v>
      </c>
      <c r="W105" s="939">
        <v>63</v>
      </c>
      <c r="X105" s="939">
        <v>63</v>
      </c>
      <c r="Y105" s="939">
        <v>63</v>
      </c>
      <c r="Z105" s="939">
        <v>63</v>
      </c>
      <c r="AA105" s="939">
        <v>63</v>
      </c>
      <c r="AB105" s="939">
        <v>63</v>
      </c>
      <c r="AC105" s="939">
        <v>63</v>
      </c>
      <c r="AD105" s="939">
        <v>63</v>
      </c>
      <c r="AE105" s="939">
        <v>63</v>
      </c>
      <c r="AF105" s="939">
        <v>63</v>
      </c>
      <c r="AG105" s="939">
        <v>63</v>
      </c>
      <c r="AH105" s="939">
        <v>63</v>
      </c>
      <c r="AI105" s="939">
        <v>63</v>
      </c>
      <c r="AJ105" s="939">
        <v>63</v>
      </c>
      <c r="AK105" s="939">
        <v>63</v>
      </c>
      <c r="AL105" s="939">
        <v>63</v>
      </c>
      <c r="AM105" s="939">
        <v>63</v>
      </c>
      <c r="AN105" s="939">
        <v>63</v>
      </c>
      <c r="AO105" s="939">
        <v>63</v>
      </c>
      <c r="AP105" s="939" t="e">
        <f>+AO105+#REF!-AP61</f>
        <v>#REF!</v>
      </c>
      <c r="AQ105" s="939">
        <v>63</v>
      </c>
      <c r="AR105" s="939">
        <v>63</v>
      </c>
      <c r="AS105" s="939">
        <v>63</v>
      </c>
      <c r="AT105" s="939">
        <v>63</v>
      </c>
      <c r="AU105" s="952">
        <v>63</v>
      </c>
      <c r="AV105" s="952">
        <v>63</v>
      </c>
      <c r="AW105" s="952">
        <v>63</v>
      </c>
      <c r="AX105" s="952">
        <v>63</v>
      </c>
      <c r="AY105" s="952">
        <v>63</v>
      </c>
      <c r="AZ105" s="952">
        <v>50</v>
      </c>
      <c r="BA105" s="952">
        <v>50</v>
      </c>
      <c r="BB105" s="952">
        <v>46</v>
      </c>
      <c r="BC105" s="952">
        <v>46</v>
      </c>
      <c r="BD105" s="952">
        <v>46</v>
      </c>
      <c r="BE105" s="952">
        <v>46</v>
      </c>
      <c r="BF105" s="952">
        <v>46</v>
      </c>
      <c r="BG105" s="952">
        <v>46</v>
      </c>
      <c r="BH105" s="952">
        <v>46</v>
      </c>
      <c r="BI105" s="952">
        <v>46</v>
      </c>
      <c r="BJ105" s="952">
        <v>0</v>
      </c>
      <c r="BK105" s="952">
        <v>1939718</v>
      </c>
      <c r="BL105" s="952">
        <v>2017571</v>
      </c>
      <c r="BM105" s="952">
        <v>1932557</v>
      </c>
      <c r="BN105" s="952">
        <v>1879961</v>
      </c>
      <c r="BO105" s="952">
        <v>1834416</v>
      </c>
      <c r="BP105" s="952">
        <v>1528457</v>
      </c>
      <c r="BQ105" s="952">
        <v>1649238</v>
      </c>
      <c r="BR105" s="952">
        <v>1700038</v>
      </c>
      <c r="BS105" s="952">
        <v>2083471</v>
      </c>
      <c r="BT105" s="952">
        <v>2295135</v>
      </c>
      <c r="BU105" s="952">
        <v>2304064</v>
      </c>
      <c r="BV105" s="952">
        <v>2434188</v>
      </c>
      <c r="BW105" s="952">
        <v>2404390</v>
      </c>
      <c r="BX105" s="952">
        <v>2504735</v>
      </c>
      <c r="BY105" s="952">
        <v>2526365</v>
      </c>
      <c r="BZ105" s="952">
        <v>2609505</v>
      </c>
      <c r="CA105" s="952">
        <v>2504986</v>
      </c>
      <c r="CB105" s="952">
        <v>2506144</v>
      </c>
      <c r="CC105" s="952">
        <v>2440966</v>
      </c>
      <c r="CD105" s="952">
        <v>2396687</v>
      </c>
      <c r="CE105" s="952">
        <v>2366436</v>
      </c>
      <c r="CF105" s="952">
        <v>2309000</v>
      </c>
      <c r="CG105" s="952">
        <v>2227942</v>
      </c>
      <c r="CH105" s="952">
        <v>2252543</v>
      </c>
      <c r="CI105" s="952">
        <v>2177453</v>
      </c>
      <c r="CJ105" s="952">
        <v>2077925</v>
      </c>
      <c r="CK105" s="952">
        <v>2057707</v>
      </c>
      <c r="CL105" s="595">
        <f>+FAT!CL137</f>
        <v>2455337.5418075803</v>
      </c>
      <c r="CM105" s="595">
        <f>+FAT!CM137</f>
        <v>2380089.4424489797</v>
      </c>
      <c r="CN105" s="595">
        <f>+FAT!CN137</f>
        <v>2273628.8480463098</v>
      </c>
      <c r="CO105" s="595">
        <f>+FAT!CO137</f>
        <v>2272609.886685879</v>
      </c>
      <c r="CP105" s="595">
        <f>+FAT!CP137</f>
        <v>2695612.2976373178</v>
      </c>
      <c r="CQ105" s="595"/>
      <c r="CR105" s="595">
        <v>2455337.5418075803</v>
      </c>
      <c r="CT105" s="939"/>
      <c r="CU105" s="939"/>
      <c r="CV105" s="939"/>
      <c r="CW105" s="939"/>
      <c r="CX105" s="592">
        <f t="shared" si="1491"/>
        <v>63</v>
      </c>
      <c r="CY105" s="592">
        <f t="shared" si="1492"/>
        <v>63</v>
      </c>
      <c r="CZ105" s="592">
        <f t="shared" si="1493"/>
        <v>63</v>
      </c>
      <c r="DA105" s="592">
        <f t="shared" si="1494"/>
        <v>63</v>
      </c>
      <c r="DB105" s="592">
        <f t="shared" si="1495"/>
        <v>63</v>
      </c>
      <c r="DC105" s="592">
        <f t="shared" si="1496"/>
        <v>63</v>
      </c>
      <c r="DD105" s="592" t="e">
        <f t="shared" si="1497"/>
        <v>#REF!</v>
      </c>
      <c r="DE105" s="592">
        <f t="shared" si="1498"/>
        <v>63</v>
      </c>
      <c r="DF105" s="592">
        <f t="shared" si="1476"/>
        <v>63</v>
      </c>
      <c r="DG105" s="592">
        <f t="shared" si="1477"/>
        <v>46</v>
      </c>
      <c r="DH105" s="592">
        <f t="shared" si="1478"/>
        <v>46</v>
      </c>
      <c r="DI105" s="939">
        <f>+BJ105</f>
        <v>0</v>
      </c>
      <c r="DJ105" s="939">
        <f>+BN105</f>
        <v>1879961</v>
      </c>
      <c r="DK105" s="939">
        <f>+BR105</f>
        <v>1700038</v>
      </c>
      <c r="DL105" s="939">
        <f t="shared" si="1479"/>
        <v>2434188</v>
      </c>
      <c r="DM105" s="939">
        <f t="shared" si="1480"/>
        <v>2609505</v>
      </c>
      <c r="DN105" s="939">
        <f t="shared" si="1481"/>
        <v>2396687</v>
      </c>
      <c r="DO105" s="939">
        <f t="shared" si="1482"/>
        <v>2252543</v>
      </c>
      <c r="DP105" s="939">
        <f t="shared" si="1483"/>
        <v>2455337.5418075803</v>
      </c>
      <c r="DQ105" s="939">
        <f t="shared" si="1484"/>
        <v>2695612.2976373178</v>
      </c>
      <c r="DR105" s="595">
        <f>+FAT!DP137</f>
        <v>2252543</v>
      </c>
      <c r="DS105" s="595">
        <f>+FAT!DQ137</f>
        <v>2455337.5418075803</v>
      </c>
      <c r="DT105" s="595">
        <f>+FAT!DR137</f>
        <v>2695612.2976373178</v>
      </c>
      <c r="DU105" s="595">
        <f>+FAT!DS137</f>
        <v>2951180.4938665424</v>
      </c>
      <c r="DX105" s="595">
        <v>2396687</v>
      </c>
      <c r="DY105" s="595">
        <v>2252543</v>
      </c>
    </row>
    <row r="106" spans="1:129" s="904" customFormat="1">
      <c r="A106" s="939"/>
      <c r="B106" s="949" t="s">
        <v>421</v>
      </c>
      <c r="C106" s="939"/>
      <c r="D106" s="939">
        <v>13405</v>
      </c>
      <c r="E106" s="939">
        <v>8077</v>
      </c>
      <c r="F106" s="939">
        <v>2750</v>
      </c>
      <c r="G106" s="939">
        <v>0</v>
      </c>
      <c r="H106" s="939">
        <v>0</v>
      </c>
      <c r="I106" s="939">
        <v>0</v>
      </c>
      <c r="J106" s="939">
        <v>0</v>
      </c>
      <c r="K106" s="939">
        <v>0</v>
      </c>
      <c r="L106" s="939">
        <v>37811</v>
      </c>
      <c r="M106" s="939">
        <v>38446</v>
      </c>
      <c r="N106" s="939">
        <v>39308</v>
      </c>
      <c r="O106" s="939">
        <v>39472</v>
      </c>
      <c r="P106" s="939">
        <v>38808</v>
      </c>
      <c r="Q106" s="939">
        <v>39568</v>
      </c>
      <c r="R106" s="939">
        <v>51409</v>
      </c>
      <c r="S106" s="939">
        <v>48979</v>
      </c>
      <c r="T106" s="939">
        <v>47796</v>
      </c>
      <c r="U106" s="939">
        <v>49544</v>
      </c>
      <c r="V106" s="939">
        <v>50480</v>
      </c>
      <c r="W106" s="939">
        <v>46528</v>
      </c>
      <c r="X106" s="939">
        <v>43842</v>
      </c>
      <c r="Y106" s="939">
        <v>41490</v>
      </c>
      <c r="Z106" s="939">
        <v>46113</v>
      </c>
      <c r="AA106" s="939">
        <v>43529</v>
      </c>
      <c r="AB106" s="939">
        <v>41974</v>
      </c>
      <c r="AC106" s="939">
        <v>41006</v>
      </c>
      <c r="AD106" s="939">
        <v>66977</v>
      </c>
      <c r="AE106" s="939">
        <v>67770</v>
      </c>
      <c r="AF106" s="939">
        <v>235930</v>
      </c>
      <c r="AG106" s="939">
        <v>247432</v>
      </c>
      <c r="AH106" s="939">
        <v>204858</v>
      </c>
      <c r="AI106" s="939">
        <v>209733</v>
      </c>
      <c r="AJ106" s="939">
        <v>226507</v>
      </c>
      <c r="AK106" s="939">
        <v>235544</v>
      </c>
      <c r="AL106" s="939">
        <v>256165</v>
      </c>
      <c r="AM106" s="939">
        <v>256630</v>
      </c>
      <c r="AN106" s="939">
        <v>258354</v>
      </c>
      <c r="AO106" s="939">
        <v>308051</v>
      </c>
      <c r="AP106" s="939">
        <v>322203</v>
      </c>
      <c r="AQ106" s="939">
        <v>313311</v>
      </c>
      <c r="AR106" s="939">
        <v>340559</v>
      </c>
      <c r="AS106" s="939">
        <v>350791</v>
      </c>
      <c r="AT106" s="939">
        <v>368084</v>
      </c>
      <c r="AU106" s="952">
        <v>361394</v>
      </c>
      <c r="AV106" s="952">
        <v>371837</v>
      </c>
      <c r="AW106" s="952">
        <v>386715</v>
      </c>
      <c r="AX106" s="952">
        <v>420295</v>
      </c>
      <c r="AY106" s="952">
        <v>420496</v>
      </c>
      <c r="AZ106" s="952">
        <v>470286</v>
      </c>
      <c r="BA106" s="952">
        <v>472011</v>
      </c>
      <c r="BB106" s="952">
        <v>500244</v>
      </c>
      <c r="BC106" s="952">
        <v>495518</v>
      </c>
      <c r="BD106" s="952">
        <v>501811</v>
      </c>
      <c r="BE106" s="952">
        <v>501558</v>
      </c>
      <c r="BF106" s="952">
        <v>526235</v>
      </c>
      <c r="BG106" s="952">
        <v>538370</v>
      </c>
      <c r="BH106" s="952">
        <v>565794</v>
      </c>
      <c r="BI106" s="952">
        <v>582622</v>
      </c>
      <c r="BJ106" s="952">
        <v>635076</v>
      </c>
      <c r="BK106" s="952">
        <v>632852</v>
      </c>
      <c r="BL106" s="952">
        <v>681707</v>
      </c>
      <c r="BM106" s="952">
        <v>713478</v>
      </c>
      <c r="BN106" s="952">
        <v>784235</v>
      </c>
      <c r="BO106" s="952">
        <v>796489</v>
      </c>
      <c r="BP106" s="952">
        <v>874740</v>
      </c>
      <c r="BQ106" s="952">
        <v>913717</v>
      </c>
      <c r="BR106" s="952">
        <v>940636</v>
      </c>
      <c r="BS106" s="952">
        <v>930143</v>
      </c>
      <c r="BT106" s="952">
        <v>946549</v>
      </c>
      <c r="BU106" s="952">
        <v>1100716</v>
      </c>
      <c r="BV106" s="952">
        <v>1207640</v>
      </c>
      <c r="BW106" s="952">
        <v>1221070</v>
      </c>
      <c r="BX106" s="952">
        <v>1365419</v>
      </c>
      <c r="BY106" s="952">
        <v>1449821</v>
      </c>
      <c r="BZ106" s="952">
        <v>1639167</v>
      </c>
      <c r="CA106" s="952">
        <v>1626841</v>
      </c>
      <c r="CB106" s="952">
        <v>1691566</v>
      </c>
      <c r="CC106" s="952">
        <v>1738455</v>
      </c>
      <c r="CD106" s="952">
        <v>1702201</v>
      </c>
      <c r="CE106" s="952">
        <v>1673519</v>
      </c>
      <c r="CF106" s="952">
        <v>1655060</v>
      </c>
      <c r="CG106" s="952">
        <v>1644795</v>
      </c>
      <c r="CH106" s="952">
        <v>1613427</v>
      </c>
      <c r="CI106" s="952">
        <v>1567556</v>
      </c>
      <c r="CJ106" s="952">
        <v>1576913</v>
      </c>
      <c r="CK106" s="952">
        <v>1558900</v>
      </c>
      <c r="CL106" s="941">
        <f t="shared" ref="CL106" si="1500">+CK106</f>
        <v>1558900</v>
      </c>
      <c r="CM106" s="941">
        <f t="shared" ref="CM106" si="1501">+CL106</f>
        <v>1558900</v>
      </c>
      <c r="CN106" s="941">
        <f t="shared" ref="CN106" si="1502">+CM106</f>
        <v>1558900</v>
      </c>
      <c r="CO106" s="941">
        <f t="shared" ref="CO106" si="1503">+CN106</f>
        <v>1558900</v>
      </c>
      <c r="CP106" s="941">
        <f t="shared" ref="CP106" si="1504">+CO106</f>
        <v>1558900</v>
      </c>
      <c r="CQ106" s="941"/>
      <c r="CR106" s="941">
        <v>1558900</v>
      </c>
      <c r="CT106" s="939"/>
      <c r="CU106" s="939"/>
      <c r="CV106" s="939"/>
      <c r="CW106" s="939"/>
      <c r="CX106" s="592">
        <f t="shared" si="1491"/>
        <v>51409</v>
      </c>
      <c r="CY106" s="592">
        <f t="shared" si="1492"/>
        <v>50480</v>
      </c>
      <c r="CZ106" s="592">
        <f t="shared" si="1493"/>
        <v>46113</v>
      </c>
      <c r="DA106" s="592">
        <f t="shared" si="1494"/>
        <v>66977</v>
      </c>
      <c r="DB106" s="592">
        <f t="shared" si="1495"/>
        <v>204858</v>
      </c>
      <c r="DC106" s="592">
        <f t="shared" si="1496"/>
        <v>256165</v>
      </c>
      <c r="DD106" s="592">
        <f t="shared" si="1497"/>
        <v>322203</v>
      </c>
      <c r="DE106" s="592">
        <f t="shared" si="1498"/>
        <v>368084</v>
      </c>
      <c r="DF106" s="592">
        <f t="shared" si="1476"/>
        <v>420295</v>
      </c>
      <c r="DG106" s="592">
        <f t="shared" si="1477"/>
        <v>500244</v>
      </c>
      <c r="DH106" s="592">
        <f t="shared" si="1478"/>
        <v>526235</v>
      </c>
      <c r="DI106" s="939">
        <f>+BJ106</f>
        <v>635076</v>
      </c>
      <c r="DJ106" s="939">
        <f>+BN106</f>
        <v>784235</v>
      </c>
      <c r="DK106" s="939">
        <f>+BR106</f>
        <v>940636</v>
      </c>
      <c r="DL106" s="939">
        <f t="shared" si="1479"/>
        <v>1207640</v>
      </c>
      <c r="DM106" s="939">
        <f t="shared" si="1480"/>
        <v>1639167</v>
      </c>
      <c r="DN106" s="939">
        <f t="shared" si="1481"/>
        <v>1702201</v>
      </c>
      <c r="DO106" s="939">
        <f t="shared" si="1482"/>
        <v>1613427</v>
      </c>
      <c r="DP106" s="939">
        <f t="shared" si="1483"/>
        <v>1558900</v>
      </c>
      <c r="DQ106" s="939">
        <f t="shared" si="1484"/>
        <v>1558900</v>
      </c>
      <c r="DR106" s="599">
        <f>+DQ106</f>
        <v>1558900</v>
      </c>
      <c r="DS106" s="599">
        <f t="shared" ref="DS106:DU106" si="1505">+DR106</f>
        <v>1558900</v>
      </c>
      <c r="DT106" s="599">
        <f t="shared" si="1505"/>
        <v>1558900</v>
      </c>
      <c r="DU106" s="599">
        <f t="shared" si="1505"/>
        <v>1558900</v>
      </c>
      <c r="DX106" s="599">
        <v>1558900</v>
      </c>
      <c r="DY106" s="599">
        <v>1558900</v>
      </c>
    </row>
    <row r="107" spans="1:129" s="904" customFormat="1">
      <c r="A107" s="943"/>
      <c r="B107" s="944" t="s">
        <v>422</v>
      </c>
      <c r="C107" s="943">
        <f t="shared" ref="C107:AH107" si="1506">+C102+C96+C89</f>
        <v>0</v>
      </c>
      <c r="D107" s="943">
        <f t="shared" si="1506"/>
        <v>622364</v>
      </c>
      <c r="E107" s="943">
        <f t="shared" si="1506"/>
        <v>632872</v>
      </c>
      <c r="F107" s="943">
        <f t="shared" si="1506"/>
        <v>742334</v>
      </c>
      <c r="G107" s="943">
        <f t="shared" si="1506"/>
        <v>690837</v>
      </c>
      <c r="H107" s="943">
        <f t="shared" si="1506"/>
        <v>731929</v>
      </c>
      <c r="I107" s="943">
        <f t="shared" si="1506"/>
        <v>901572</v>
      </c>
      <c r="J107" s="943">
        <f t="shared" si="1506"/>
        <v>1059424</v>
      </c>
      <c r="K107" s="943">
        <f t="shared" si="1506"/>
        <v>880920</v>
      </c>
      <c r="L107" s="943">
        <f t="shared" si="1506"/>
        <v>954478</v>
      </c>
      <c r="M107" s="943">
        <f t="shared" si="1506"/>
        <v>963209</v>
      </c>
      <c r="N107" s="943">
        <f t="shared" si="1506"/>
        <v>1200396</v>
      </c>
      <c r="O107" s="943">
        <f t="shared" si="1506"/>
        <v>1058047</v>
      </c>
      <c r="P107" s="943">
        <f t="shared" si="1506"/>
        <v>1093191</v>
      </c>
      <c r="Q107" s="943">
        <f t="shared" si="1506"/>
        <v>1166322</v>
      </c>
      <c r="R107" s="943">
        <f t="shared" si="1506"/>
        <v>1540408</v>
      </c>
      <c r="S107" s="943">
        <f t="shared" si="1506"/>
        <v>1212372</v>
      </c>
      <c r="T107" s="943">
        <f t="shared" si="1506"/>
        <v>1243715</v>
      </c>
      <c r="U107" s="943">
        <f t="shared" si="1506"/>
        <v>1199471</v>
      </c>
      <c r="V107" s="943">
        <f t="shared" si="1506"/>
        <v>1559105</v>
      </c>
      <c r="W107" s="943">
        <f t="shared" si="1506"/>
        <v>1382198</v>
      </c>
      <c r="X107" s="943">
        <f t="shared" si="1506"/>
        <v>1520286</v>
      </c>
      <c r="Y107" s="943">
        <f t="shared" si="1506"/>
        <v>1560587</v>
      </c>
      <c r="Z107" s="943">
        <f t="shared" si="1506"/>
        <v>1921197</v>
      </c>
      <c r="AA107" s="943">
        <f t="shared" si="1506"/>
        <v>1832162</v>
      </c>
      <c r="AB107" s="943">
        <f t="shared" si="1506"/>
        <v>1871871</v>
      </c>
      <c r="AC107" s="943">
        <f t="shared" si="1506"/>
        <v>1905562</v>
      </c>
      <c r="AD107" s="943">
        <f t="shared" si="1506"/>
        <v>2456015</v>
      </c>
      <c r="AE107" s="943">
        <f t="shared" si="1506"/>
        <v>2212079</v>
      </c>
      <c r="AF107" s="943">
        <f t="shared" si="1506"/>
        <v>2228907</v>
      </c>
      <c r="AG107" s="943">
        <f t="shared" si="1506"/>
        <v>2641337</v>
      </c>
      <c r="AH107" s="943">
        <f t="shared" si="1506"/>
        <v>2983504</v>
      </c>
      <c r="AI107" s="943">
        <f t="shared" ref="AI107:BN107" si="1507">+AI102+AI96+AI89</f>
        <v>2859507</v>
      </c>
      <c r="AJ107" s="943">
        <f t="shared" si="1507"/>
        <v>2909729</v>
      </c>
      <c r="AK107" s="943">
        <f t="shared" si="1507"/>
        <v>3322175</v>
      </c>
      <c r="AL107" s="943">
        <f t="shared" si="1507"/>
        <v>3770028</v>
      </c>
      <c r="AM107" s="943">
        <f t="shared" si="1507"/>
        <v>3485527</v>
      </c>
      <c r="AN107" s="943">
        <f t="shared" si="1507"/>
        <v>3513137</v>
      </c>
      <c r="AO107" s="943">
        <f t="shared" si="1507"/>
        <v>4012280</v>
      </c>
      <c r="AP107" s="943" t="e">
        <f t="shared" si="1507"/>
        <v>#REF!</v>
      </c>
      <c r="AQ107" s="943">
        <f t="shared" si="1507"/>
        <v>4302066</v>
      </c>
      <c r="AR107" s="943">
        <f t="shared" si="1507"/>
        <v>4407842</v>
      </c>
      <c r="AS107" s="943">
        <f t="shared" si="1507"/>
        <v>4511948</v>
      </c>
      <c r="AT107" s="943">
        <f t="shared" si="1507"/>
        <v>5321540</v>
      </c>
      <c r="AU107" s="943">
        <f t="shared" si="1507"/>
        <v>5075915</v>
      </c>
      <c r="AV107" s="943">
        <f t="shared" si="1507"/>
        <v>5231713</v>
      </c>
      <c r="AW107" s="943">
        <f t="shared" si="1507"/>
        <v>5292745</v>
      </c>
      <c r="AX107" s="943">
        <f t="shared" si="1507"/>
        <v>5863719</v>
      </c>
      <c r="AY107" s="943">
        <f t="shared" si="1507"/>
        <v>5571244</v>
      </c>
      <c r="AZ107" s="945">
        <f t="shared" si="1507"/>
        <v>5812619</v>
      </c>
      <c r="BA107" s="945">
        <f t="shared" si="1507"/>
        <v>5674332</v>
      </c>
      <c r="BB107" s="943">
        <f t="shared" si="1507"/>
        <v>6475212</v>
      </c>
      <c r="BC107" s="943">
        <f t="shared" si="1507"/>
        <v>6251926</v>
      </c>
      <c r="BD107" s="943">
        <f t="shared" si="1507"/>
        <v>6596513</v>
      </c>
      <c r="BE107" s="943">
        <f t="shared" si="1507"/>
        <v>6486661</v>
      </c>
      <c r="BF107" s="943">
        <f t="shared" si="1507"/>
        <v>7547564</v>
      </c>
      <c r="BG107" s="943">
        <f t="shared" si="1507"/>
        <v>7026755</v>
      </c>
      <c r="BH107" s="943">
        <f t="shared" si="1507"/>
        <v>7305307</v>
      </c>
      <c r="BI107" s="943">
        <f t="shared" si="1507"/>
        <v>7547252</v>
      </c>
      <c r="BJ107" s="943">
        <f t="shared" si="1507"/>
        <v>8821048</v>
      </c>
      <c r="BK107" s="943">
        <f t="shared" si="1507"/>
        <v>10347815</v>
      </c>
      <c r="BL107" s="943">
        <f t="shared" si="1507"/>
        <v>10318428</v>
      </c>
      <c r="BM107" s="943">
        <f t="shared" si="1507"/>
        <v>10542628</v>
      </c>
      <c r="BN107" s="943">
        <f t="shared" si="1507"/>
        <v>11791735</v>
      </c>
      <c r="BO107" s="943">
        <f t="shared" ref="BO107:CD107" si="1508">+BO102+BO96+BO89</f>
        <v>11742079</v>
      </c>
      <c r="BP107" s="943">
        <f t="shared" si="1508"/>
        <v>12828071</v>
      </c>
      <c r="BQ107" s="943">
        <f t="shared" si="1508"/>
        <v>12982090</v>
      </c>
      <c r="BR107" s="943">
        <f t="shared" si="1508"/>
        <v>14642583</v>
      </c>
      <c r="BS107" s="943">
        <f t="shared" si="1508"/>
        <v>14736953</v>
      </c>
      <c r="BT107" s="943">
        <f t="shared" si="1508"/>
        <v>18744462</v>
      </c>
      <c r="BU107" s="943">
        <f t="shared" si="1508"/>
        <v>19462761</v>
      </c>
      <c r="BV107" s="943">
        <f t="shared" si="1508"/>
        <v>21411985</v>
      </c>
      <c r="BW107" s="943">
        <f t="shared" si="1508"/>
        <v>21060632</v>
      </c>
      <c r="BX107" s="943">
        <f t="shared" si="1508"/>
        <v>20949309</v>
      </c>
      <c r="BY107" s="943">
        <f t="shared" si="1508"/>
        <v>20816608</v>
      </c>
      <c r="BZ107" s="943">
        <f t="shared" si="1508"/>
        <v>21148891.9998</v>
      </c>
      <c r="CA107" s="943">
        <f t="shared" si="1508"/>
        <v>19691820</v>
      </c>
      <c r="CB107" s="943">
        <f t="shared" si="1508"/>
        <v>19953683</v>
      </c>
      <c r="CC107" s="943">
        <f t="shared" si="1508"/>
        <v>19959761</v>
      </c>
      <c r="CD107" s="943">
        <f t="shared" si="1508"/>
        <v>20490638</v>
      </c>
      <c r="CE107" s="943">
        <f t="shared" ref="CE107:CH107" si="1509">+CE102+CE96+CE89</f>
        <v>19050366</v>
      </c>
      <c r="CF107" s="943">
        <f t="shared" si="1509"/>
        <v>19244851</v>
      </c>
      <c r="CG107" s="943">
        <f t="shared" si="1509"/>
        <v>19171858</v>
      </c>
      <c r="CH107" s="943">
        <f t="shared" si="1509"/>
        <v>20364590</v>
      </c>
      <c r="CI107" s="943">
        <f t="shared" ref="CI107:CL107" si="1510">+CI102+CI96+CI89</f>
        <v>18457504</v>
      </c>
      <c r="CJ107" s="943">
        <f t="shared" si="1510"/>
        <v>18735315</v>
      </c>
      <c r="CK107" s="943">
        <f t="shared" si="1510"/>
        <v>18348667</v>
      </c>
      <c r="CL107" s="946">
        <f t="shared" si="1510"/>
        <v>19997805.130181845</v>
      </c>
      <c r="CM107" s="946">
        <f t="shared" ref="CM107:CP107" si="1511">+CM102+CM96+CM89</f>
        <v>19100705.119548626</v>
      </c>
      <c r="CN107" s="946">
        <f t="shared" si="1511"/>
        <v>19203694.886700116</v>
      </c>
      <c r="CO107" s="946">
        <f t="shared" si="1511"/>
        <v>19289882.60569777</v>
      </c>
      <c r="CP107" s="946">
        <f t="shared" si="1511"/>
        <v>21256574.163920134</v>
      </c>
      <c r="CQ107" s="946"/>
      <c r="CR107" s="946">
        <v>19997805.130181845</v>
      </c>
      <c r="CT107" s="943"/>
      <c r="CU107" s="943"/>
      <c r="CV107" s="943"/>
      <c r="CW107" s="943"/>
      <c r="CX107" s="943">
        <f t="shared" si="1491"/>
        <v>1540408</v>
      </c>
      <c r="CY107" s="943">
        <f t="shared" si="1492"/>
        <v>1559105</v>
      </c>
      <c r="CZ107" s="943">
        <f t="shared" si="1493"/>
        <v>1921197</v>
      </c>
      <c r="DA107" s="943">
        <f t="shared" si="1494"/>
        <v>2456015</v>
      </c>
      <c r="DB107" s="943">
        <f t="shared" si="1495"/>
        <v>2983504</v>
      </c>
      <c r="DC107" s="943">
        <f t="shared" si="1496"/>
        <v>3770028</v>
      </c>
      <c r="DD107" s="943" t="e">
        <f t="shared" si="1497"/>
        <v>#REF!</v>
      </c>
      <c r="DE107" s="943">
        <f t="shared" si="1498"/>
        <v>5321540</v>
      </c>
      <c r="DF107" s="943">
        <f t="shared" si="1476"/>
        <v>5863719</v>
      </c>
      <c r="DG107" s="943">
        <f t="shared" si="1477"/>
        <v>6475212</v>
      </c>
      <c r="DH107" s="943">
        <f t="shared" si="1478"/>
        <v>7547564</v>
      </c>
      <c r="DI107" s="943">
        <f>+DI102+DI96+DI89</f>
        <v>8821048</v>
      </c>
      <c r="DJ107" s="943">
        <f>+DJ102+DJ96+DJ89</f>
        <v>11791735</v>
      </c>
      <c r="DK107" s="943">
        <f>+DK102+DK96+DK89</f>
        <v>14642583</v>
      </c>
      <c r="DL107" s="943">
        <f t="shared" si="1479"/>
        <v>21411985</v>
      </c>
      <c r="DM107" s="943">
        <f t="shared" si="1480"/>
        <v>21148891.9998</v>
      </c>
      <c r="DN107" s="943">
        <f t="shared" si="1481"/>
        <v>20490638</v>
      </c>
      <c r="DO107" s="943">
        <f t="shared" si="1482"/>
        <v>20364590</v>
      </c>
      <c r="DP107" s="943">
        <f t="shared" si="1483"/>
        <v>19997805.130181845</v>
      </c>
      <c r="DQ107" s="943">
        <f t="shared" si="1484"/>
        <v>21256574.163920134</v>
      </c>
      <c r="DR107" s="966">
        <f>+DR102+DR96+DR89</f>
        <v>22092082.503317833</v>
      </c>
      <c r="DS107" s="966">
        <f t="shared" ref="DS107:DU107" si="1512">+DS102+DS96+DS89</f>
        <v>24072062.617375199</v>
      </c>
      <c r="DT107" s="966">
        <f t="shared" si="1512"/>
        <v>26181160.82397132</v>
      </c>
      <c r="DU107" s="966">
        <f t="shared" si="1512"/>
        <v>28488541.846616566</v>
      </c>
      <c r="DX107" s="966">
        <v>21138614.573733434</v>
      </c>
      <c r="DY107" s="966">
        <v>22630554.691689774</v>
      </c>
    </row>
    <row r="108" spans="1:129" s="904" customFormat="1">
      <c r="A108" s="943"/>
      <c r="B108" s="944" t="s">
        <v>423</v>
      </c>
      <c r="C108" s="943">
        <f t="shared" ref="C108:AH108" si="1513">+SUM(C109:C118)</f>
        <v>0</v>
      </c>
      <c r="D108" s="943">
        <f t="shared" si="1513"/>
        <v>275908</v>
      </c>
      <c r="E108" s="943">
        <f t="shared" si="1513"/>
        <v>286346</v>
      </c>
      <c r="F108" s="943">
        <f t="shared" si="1513"/>
        <v>345543</v>
      </c>
      <c r="G108" s="943">
        <f t="shared" si="1513"/>
        <v>288998</v>
      </c>
      <c r="H108" s="943">
        <f t="shared" si="1513"/>
        <v>300411</v>
      </c>
      <c r="I108" s="943">
        <f t="shared" si="1513"/>
        <v>319925</v>
      </c>
      <c r="J108" s="943">
        <f t="shared" si="1513"/>
        <v>494976</v>
      </c>
      <c r="K108" s="943">
        <f t="shared" si="1513"/>
        <v>330537</v>
      </c>
      <c r="L108" s="943">
        <f t="shared" si="1513"/>
        <v>375082</v>
      </c>
      <c r="M108" s="943">
        <f t="shared" si="1513"/>
        <v>382326</v>
      </c>
      <c r="N108" s="943">
        <f t="shared" si="1513"/>
        <v>627633</v>
      </c>
      <c r="O108" s="943">
        <f t="shared" si="1513"/>
        <v>446721</v>
      </c>
      <c r="P108" s="943">
        <f t="shared" si="1513"/>
        <v>439605</v>
      </c>
      <c r="Q108" s="943">
        <f t="shared" si="1513"/>
        <v>489983</v>
      </c>
      <c r="R108" s="943">
        <f t="shared" si="1513"/>
        <v>913543</v>
      </c>
      <c r="S108" s="943">
        <f t="shared" si="1513"/>
        <v>556049</v>
      </c>
      <c r="T108" s="943">
        <f t="shared" si="1513"/>
        <v>511210</v>
      </c>
      <c r="U108" s="943">
        <f t="shared" si="1513"/>
        <v>427750</v>
      </c>
      <c r="V108" s="943">
        <f t="shared" si="1513"/>
        <v>766640</v>
      </c>
      <c r="W108" s="943">
        <f t="shared" si="1513"/>
        <v>579899</v>
      </c>
      <c r="X108" s="943">
        <f t="shared" si="1513"/>
        <v>658454</v>
      </c>
      <c r="Y108" s="943">
        <f t="shared" si="1513"/>
        <v>666276</v>
      </c>
      <c r="Z108" s="943">
        <f t="shared" si="1513"/>
        <v>1062130</v>
      </c>
      <c r="AA108" s="943">
        <f t="shared" si="1513"/>
        <v>841103</v>
      </c>
      <c r="AB108" s="943">
        <f t="shared" si="1513"/>
        <v>862863</v>
      </c>
      <c r="AC108" s="943">
        <f t="shared" si="1513"/>
        <v>829365</v>
      </c>
      <c r="AD108" s="943">
        <f t="shared" si="1513"/>
        <v>977575</v>
      </c>
      <c r="AE108" s="943">
        <f t="shared" si="1513"/>
        <v>708507</v>
      </c>
      <c r="AF108" s="943">
        <f t="shared" si="1513"/>
        <v>755123</v>
      </c>
      <c r="AG108" s="943">
        <f t="shared" si="1513"/>
        <v>814870</v>
      </c>
      <c r="AH108" s="943">
        <f t="shared" si="1513"/>
        <v>1065575</v>
      </c>
      <c r="AI108" s="943">
        <f t="shared" ref="AI108:BD108" si="1514">+SUM(AI109:AI118)</f>
        <v>923858</v>
      </c>
      <c r="AJ108" s="943">
        <f t="shared" si="1514"/>
        <v>1033323</v>
      </c>
      <c r="AK108" s="943">
        <f t="shared" si="1514"/>
        <v>1071413</v>
      </c>
      <c r="AL108" s="943">
        <f t="shared" si="1514"/>
        <v>1725212</v>
      </c>
      <c r="AM108" s="943">
        <f t="shared" si="1514"/>
        <v>1465531</v>
      </c>
      <c r="AN108" s="943">
        <f t="shared" si="1514"/>
        <v>1550010</v>
      </c>
      <c r="AO108" s="943">
        <f t="shared" si="1514"/>
        <v>1592957</v>
      </c>
      <c r="AP108" s="943">
        <f t="shared" si="1514"/>
        <v>1932589</v>
      </c>
      <c r="AQ108" s="943">
        <f t="shared" si="1514"/>
        <v>1691760</v>
      </c>
      <c r="AR108" s="943">
        <f t="shared" si="1514"/>
        <v>1317281</v>
      </c>
      <c r="AS108" s="943">
        <f t="shared" si="1514"/>
        <v>1458548</v>
      </c>
      <c r="AT108" s="943">
        <f t="shared" si="1514"/>
        <v>2037362</v>
      </c>
      <c r="AU108" s="943">
        <f t="shared" si="1514"/>
        <v>1686936</v>
      </c>
      <c r="AV108" s="943">
        <f t="shared" si="1514"/>
        <v>1861351</v>
      </c>
      <c r="AW108" s="943">
        <f t="shared" si="1514"/>
        <v>1883362</v>
      </c>
      <c r="AX108" s="943">
        <f t="shared" si="1514"/>
        <v>2319127</v>
      </c>
      <c r="AY108" s="943">
        <f t="shared" si="1514"/>
        <v>2075776</v>
      </c>
      <c r="AZ108" s="945">
        <f t="shared" si="1514"/>
        <v>2354817</v>
      </c>
      <c r="BA108" s="945">
        <f t="shared" si="1514"/>
        <v>2384018</v>
      </c>
      <c r="BB108" s="943">
        <f t="shared" si="1514"/>
        <v>2917751</v>
      </c>
      <c r="BC108" s="943">
        <f t="shared" si="1514"/>
        <v>2341067</v>
      </c>
      <c r="BD108" s="943">
        <f t="shared" si="1514"/>
        <v>2656776</v>
      </c>
      <c r="BE108" s="943">
        <f t="shared" ref="BE108:BV108" si="1515">+SUM(BE109:BE118)</f>
        <v>2331216</v>
      </c>
      <c r="BF108" s="943">
        <f t="shared" si="1515"/>
        <v>2941712</v>
      </c>
      <c r="BG108" s="943">
        <f t="shared" si="1515"/>
        <v>2382238</v>
      </c>
      <c r="BH108" s="943">
        <f t="shared" si="1515"/>
        <v>2937272</v>
      </c>
      <c r="BI108" s="943">
        <f t="shared" si="1515"/>
        <v>3239419</v>
      </c>
      <c r="BJ108" s="943">
        <f t="shared" si="1515"/>
        <v>4324355</v>
      </c>
      <c r="BK108" s="943">
        <f t="shared" si="1515"/>
        <v>4447806</v>
      </c>
      <c r="BL108" s="943">
        <f t="shared" si="1515"/>
        <v>3868188</v>
      </c>
      <c r="BM108" s="943">
        <f t="shared" si="1515"/>
        <v>3695792</v>
      </c>
      <c r="BN108" s="943">
        <f t="shared" si="1515"/>
        <v>4765317</v>
      </c>
      <c r="BO108" s="943">
        <f>+SUM(BO109:BO118)</f>
        <v>4789884</v>
      </c>
      <c r="BP108" s="943">
        <f t="shared" si="1515"/>
        <v>4783009</v>
      </c>
      <c r="BQ108" s="943">
        <f t="shared" si="1515"/>
        <v>4766933</v>
      </c>
      <c r="BR108" s="943">
        <f t="shared" si="1515"/>
        <v>5633411</v>
      </c>
      <c r="BS108" s="943">
        <f t="shared" si="1515"/>
        <v>4412481</v>
      </c>
      <c r="BT108" s="943">
        <f t="shared" si="1515"/>
        <v>4375925</v>
      </c>
      <c r="BU108" s="943">
        <f t="shared" si="1515"/>
        <v>5408443</v>
      </c>
      <c r="BV108" s="943">
        <f t="shared" si="1515"/>
        <v>7954100</v>
      </c>
      <c r="BW108" s="943">
        <f t="shared" ref="BW108:CD108" si="1516">+SUM(BW109:BW118)</f>
        <v>7826743</v>
      </c>
      <c r="BX108" s="943">
        <f t="shared" si="1516"/>
        <v>7876084</v>
      </c>
      <c r="BY108" s="943">
        <f t="shared" si="1516"/>
        <v>7298565</v>
      </c>
      <c r="BZ108" s="943">
        <f t="shared" si="1516"/>
        <v>7005579</v>
      </c>
      <c r="CA108" s="943">
        <f t="shared" si="1516"/>
        <v>6660665</v>
      </c>
      <c r="CB108" s="943">
        <f t="shared" si="1516"/>
        <v>6835103</v>
      </c>
      <c r="CC108" s="943">
        <f t="shared" si="1516"/>
        <v>6901670</v>
      </c>
      <c r="CD108" s="943">
        <f t="shared" si="1516"/>
        <v>7492553</v>
      </c>
      <c r="CE108" s="943">
        <f t="shared" ref="CE108:CH108" si="1517">+SUM(CE109:CE118)</f>
        <v>6560820</v>
      </c>
      <c r="CF108" s="943">
        <f t="shared" si="1517"/>
        <v>6724844</v>
      </c>
      <c r="CG108" s="943">
        <f t="shared" si="1517"/>
        <v>6825304</v>
      </c>
      <c r="CH108" s="943">
        <f t="shared" si="1517"/>
        <v>7647557</v>
      </c>
      <c r="CI108" s="943">
        <f t="shared" ref="CI108:CL108" si="1518">+SUM(CI109:CI118)</f>
        <v>6322978</v>
      </c>
      <c r="CJ108" s="943">
        <f t="shared" si="1518"/>
        <v>6313301</v>
      </c>
      <c r="CK108" s="943">
        <f t="shared" si="1518"/>
        <v>6036040</v>
      </c>
      <c r="CL108" s="946">
        <f t="shared" si="1518"/>
        <v>7034262.675508637</v>
      </c>
      <c r="CM108" s="946">
        <f t="shared" ref="CM108:CP108" si="1519">+SUM(CM109:CM118)</f>
        <v>6242323.8447636142</v>
      </c>
      <c r="CN108" s="946">
        <f t="shared" si="1519"/>
        <v>6238923.8182207607</v>
      </c>
      <c r="CO108" s="946">
        <f t="shared" si="1519"/>
        <v>6296223.2690343466</v>
      </c>
      <c r="CP108" s="946">
        <f t="shared" si="1519"/>
        <v>7529189.5047266269</v>
      </c>
      <c r="CQ108" s="946"/>
      <c r="CR108" s="946">
        <v>7034262.675508637</v>
      </c>
      <c r="CT108" s="943"/>
      <c r="CU108" s="943"/>
      <c r="CV108" s="943"/>
      <c r="CW108" s="943"/>
      <c r="CX108" s="943">
        <f t="shared" si="1491"/>
        <v>913543</v>
      </c>
      <c r="CY108" s="943">
        <f t="shared" si="1492"/>
        <v>766640</v>
      </c>
      <c r="CZ108" s="943">
        <f t="shared" si="1493"/>
        <v>1062130</v>
      </c>
      <c r="DA108" s="943">
        <f t="shared" si="1494"/>
        <v>977575</v>
      </c>
      <c r="DB108" s="943">
        <f t="shared" si="1495"/>
        <v>1065575</v>
      </c>
      <c r="DC108" s="943">
        <f t="shared" si="1496"/>
        <v>1725212</v>
      </c>
      <c r="DD108" s="943">
        <f t="shared" si="1497"/>
        <v>1932589</v>
      </c>
      <c r="DE108" s="943">
        <f t="shared" si="1498"/>
        <v>2037362</v>
      </c>
      <c r="DF108" s="943">
        <f t="shared" si="1476"/>
        <v>2319127</v>
      </c>
      <c r="DG108" s="943">
        <f t="shared" si="1477"/>
        <v>2917751</v>
      </c>
      <c r="DH108" s="943">
        <f t="shared" si="1478"/>
        <v>2941712</v>
      </c>
      <c r="DI108" s="943">
        <f>+SUM(DI109:DI118)</f>
        <v>4324355</v>
      </c>
      <c r="DJ108" s="943">
        <f>+SUM(DJ109:DJ118)</f>
        <v>4689918</v>
      </c>
      <c r="DK108" s="943">
        <f>+SUM(DK109:DK118)</f>
        <v>5534924</v>
      </c>
      <c r="DL108" s="943">
        <f t="shared" si="1479"/>
        <v>7954100</v>
      </c>
      <c r="DM108" s="943">
        <f t="shared" si="1480"/>
        <v>7005579</v>
      </c>
      <c r="DN108" s="943">
        <f t="shared" si="1481"/>
        <v>7492553</v>
      </c>
      <c r="DO108" s="943">
        <f t="shared" si="1482"/>
        <v>7647557</v>
      </c>
      <c r="DP108" s="943">
        <f t="shared" si="1483"/>
        <v>7034262.675508637</v>
      </c>
      <c r="DQ108" s="943">
        <f t="shared" si="1484"/>
        <v>7529189.5047266269</v>
      </c>
      <c r="DR108" s="966">
        <f>+SUM(DR109:DR118)</f>
        <v>7812010.6629497344</v>
      </c>
      <c r="DS108" s="966">
        <f t="shared" ref="DS108:DU108" si="1520">+SUM(DS109:DS118)</f>
        <v>8354768.7064514011</v>
      </c>
      <c r="DT108" s="966">
        <f t="shared" si="1520"/>
        <v>8909027.1246131845</v>
      </c>
      <c r="DU108" s="966">
        <f t="shared" si="1520"/>
        <v>9500295.5665472727</v>
      </c>
      <c r="DX108" s="966">
        <v>7359001.1822185386</v>
      </c>
      <c r="DY108" s="966">
        <v>7881782.0580184013</v>
      </c>
    </row>
    <row r="109" spans="1:129" s="904" customFormat="1">
      <c r="A109" s="939"/>
      <c r="B109" s="949" t="s">
        <v>424</v>
      </c>
      <c r="C109" s="939"/>
      <c r="D109" s="939">
        <v>114477</v>
      </c>
      <c r="E109" s="939">
        <v>132307</v>
      </c>
      <c r="F109" s="939">
        <v>167923</v>
      </c>
      <c r="G109" s="939">
        <v>116284</v>
      </c>
      <c r="H109" s="939">
        <v>123256</v>
      </c>
      <c r="I109" s="939">
        <v>138665</v>
      </c>
      <c r="J109" s="939">
        <v>218955</v>
      </c>
      <c r="K109" s="939">
        <v>152212</v>
      </c>
      <c r="L109" s="939">
        <v>146969</v>
      </c>
      <c r="M109" s="939">
        <v>156129</v>
      </c>
      <c r="N109" s="939">
        <v>220272</v>
      </c>
      <c r="O109" s="939">
        <v>158469</v>
      </c>
      <c r="P109" s="939">
        <v>159145</v>
      </c>
      <c r="Q109" s="939">
        <v>200222</v>
      </c>
      <c r="R109" s="939">
        <v>260050</v>
      </c>
      <c r="S109" s="939">
        <v>184313</v>
      </c>
      <c r="T109" s="939">
        <v>192508</v>
      </c>
      <c r="U109" s="939">
        <v>156740</v>
      </c>
      <c r="V109" s="939">
        <v>169888</v>
      </c>
      <c r="W109" s="939">
        <v>147529</v>
      </c>
      <c r="X109" s="939">
        <v>184040</v>
      </c>
      <c r="Y109" s="939">
        <v>209440</v>
      </c>
      <c r="Z109" s="939">
        <v>268072</v>
      </c>
      <c r="AA109" s="939">
        <v>212523</v>
      </c>
      <c r="AB109" s="939">
        <v>243175</v>
      </c>
      <c r="AC109" s="939">
        <v>241612</v>
      </c>
      <c r="AD109" s="939">
        <v>318285</v>
      </c>
      <c r="AE109" s="939">
        <v>278361</v>
      </c>
      <c r="AF109" s="939">
        <v>289480</v>
      </c>
      <c r="AG109" s="939">
        <v>304511</v>
      </c>
      <c r="AH109" s="939">
        <v>429887</v>
      </c>
      <c r="AI109" s="939">
        <v>307840</v>
      </c>
      <c r="AJ109" s="939">
        <v>370869</v>
      </c>
      <c r="AK109" s="939">
        <v>351642</v>
      </c>
      <c r="AL109" s="939">
        <v>456484</v>
      </c>
      <c r="AM109" s="939">
        <v>364939</v>
      </c>
      <c r="AN109" s="939">
        <v>391258</v>
      </c>
      <c r="AO109" s="939">
        <v>373530</v>
      </c>
      <c r="AP109" s="939">
        <v>471384</v>
      </c>
      <c r="AQ109" s="939">
        <v>357361</v>
      </c>
      <c r="AR109" s="939">
        <v>396496</v>
      </c>
      <c r="AS109" s="939">
        <v>459360</v>
      </c>
      <c r="AT109" s="939">
        <v>561480</v>
      </c>
      <c r="AU109" s="952">
        <v>407225</v>
      </c>
      <c r="AV109" s="952">
        <v>489860</v>
      </c>
      <c r="AW109" s="952">
        <v>515248</v>
      </c>
      <c r="AX109" s="952">
        <v>553453</v>
      </c>
      <c r="AY109" s="952">
        <v>403359</v>
      </c>
      <c r="AZ109" s="952">
        <v>534516</v>
      </c>
      <c r="BA109" s="952">
        <v>541420</v>
      </c>
      <c r="BB109" s="952">
        <v>679721</v>
      </c>
      <c r="BC109" s="952">
        <v>481747</v>
      </c>
      <c r="BD109" s="952">
        <v>532843</v>
      </c>
      <c r="BE109" s="952">
        <v>645953</v>
      </c>
      <c r="BF109" s="952">
        <v>842254</v>
      </c>
      <c r="BG109" s="952">
        <v>594833</v>
      </c>
      <c r="BH109" s="952">
        <v>686049</v>
      </c>
      <c r="BI109" s="952">
        <v>788835</v>
      </c>
      <c r="BJ109" s="952">
        <v>955834</v>
      </c>
      <c r="BK109" s="952">
        <v>683271</v>
      </c>
      <c r="BL109" s="952">
        <v>730188</v>
      </c>
      <c r="BM109" s="952">
        <v>843429</v>
      </c>
      <c r="BN109" s="952">
        <v>1081785</v>
      </c>
      <c r="BO109" s="952">
        <v>851614</v>
      </c>
      <c r="BP109" s="952">
        <v>638396</v>
      </c>
      <c r="BQ109" s="952">
        <v>974243</v>
      </c>
      <c r="BR109" s="952">
        <v>1404852</v>
      </c>
      <c r="BS109" s="952">
        <v>1071891</v>
      </c>
      <c r="BT109" s="952">
        <v>1124721</v>
      </c>
      <c r="BU109" s="952">
        <v>1389226</v>
      </c>
      <c r="BV109" s="952">
        <v>1707489</v>
      </c>
      <c r="BW109" s="952">
        <v>1416407</v>
      </c>
      <c r="BX109" s="952">
        <v>1527040</v>
      </c>
      <c r="BY109" s="952">
        <v>1446560</v>
      </c>
      <c r="BZ109" s="952">
        <v>1624082</v>
      </c>
      <c r="CA109" s="952">
        <v>1324093</v>
      </c>
      <c r="CB109" s="952">
        <v>1351875</v>
      </c>
      <c r="CC109" s="952">
        <v>1529702</v>
      </c>
      <c r="CD109" s="952">
        <v>1790290</v>
      </c>
      <c r="CE109" s="952">
        <v>1389737</v>
      </c>
      <c r="CF109" s="952">
        <v>1380719</v>
      </c>
      <c r="CG109" s="952">
        <v>1482782</v>
      </c>
      <c r="CH109" s="952">
        <v>1807312</v>
      </c>
      <c r="CI109" s="952">
        <v>1415448</v>
      </c>
      <c r="CJ109" s="952">
        <v>1327609</v>
      </c>
      <c r="CK109" s="952">
        <v>1517580</v>
      </c>
      <c r="CL109" s="941">
        <f t="shared" ref="CL109" si="1521">-(SUM(CI7:CL7))/365*CL159</f>
        <v>1944128.6750967272</v>
      </c>
      <c r="CM109" s="941">
        <f t="shared" ref="CM109" si="1522">-(SUM(CJ7:CM7))/365*CM159</f>
        <v>1515157.8450342626</v>
      </c>
      <c r="CN109" s="941">
        <f t="shared" ref="CN109" si="1523">-(SUM(CK7:CN7))/365*CN159</f>
        <v>1390650.1115261596</v>
      </c>
      <c r="CO109" s="941">
        <f t="shared" ref="CO109" si="1524">-(SUM(CL7:CO7))/365*CO159</f>
        <v>1609634.6252005761</v>
      </c>
      <c r="CP109" s="941">
        <f t="shared" ref="CP109" si="1525">-(SUM(CM7:CP7))/365*CP159</f>
        <v>2079477.8588562764</v>
      </c>
      <c r="CQ109" s="941"/>
      <c r="CR109" s="941">
        <v>1944128.6750967272</v>
      </c>
      <c r="CT109" s="942"/>
      <c r="CU109" s="942"/>
      <c r="CV109" s="942"/>
      <c r="CW109" s="942"/>
      <c r="CX109" s="592">
        <f t="shared" si="1491"/>
        <v>260050</v>
      </c>
      <c r="CY109" s="592">
        <f t="shared" si="1492"/>
        <v>169888</v>
      </c>
      <c r="CZ109" s="592">
        <f t="shared" si="1493"/>
        <v>268072</v>
      </c>
      <c r="DA109" s="592">
        <f t="shared" si="1494"/>
        <v>318285</v>
      </c>
      <c r="DB109" s="592">
        <f t="shared" si="1495"/>
        <v>429887</v>
      </c>
      <c r="DC109" s="592">
        <f t="shared" si="1496"/>
        <v>456484</v>
      </c>
      <c r="DD109" s="592">
        <f t="shared" si="1497"/>
        <v>471384</v>
      </c>
      <c r="DE109" s="592">
        <f t="shared" si="1498"/>
        <v>561480</v>
      </c>
      <c r="DF109" s="592">
        <f t="shared" si="1476"/>
        <v>553453</v>
      </c>
      <c r="DG109" s="592">
        <f t="shared" si="1477"/>
        <v>679721</v>
      </c>
      <c r="DH109" s="592">
        <f t="shared" si="1478"/>
        <v>842254</v>
      </c>
      <c r="DI109" s="939">
        <f>+BJ109</f>
        <v>955834</v>
      </c>
      <c r="DJ109" s="939">
        <f t="shared" ref="DJ109:DJ117" si="1526">+BN109</f>
        <v>1081785</v>
      </c>
      <c r="DK109" s="939">
        <f t="shared" ref="DK109:DK117" si="1527">+BR109</f>
        <v>1404852</v>
      </c>
      <c r="DL109" s="939">
        <f t="shared" si="1479"/>
        <v>1707489</v>
      </c>
      <c r="DM109" s="939">
        <f t="shared" si="1480"/>
        <v>1624082</v>
      </c>
      <c r="DN109" s="939">
        <f t="shared" si="1481"/>
        <v>1790290</v>
      </c>
      <c r="DO109" s="939">
        <f t="shared" si="1482"/>
        <v>1807312</v>
      </c>
      <c r="DP109" s="939">
        <f t="shared" si="1483"/>
        <v>1944128.6750967272</v>
      </c>
      <c r="DQ109" s="939">
        <f t="shared" si="1484"/>
        <v>2079477.8588562764</v>
      </c>
      <c r="DR109" s="941">
        <f t="shared" ref="DR109:DU109" si="1528">-(SUM(DR7))/365*DR159</f>
        <v>2257092.3101739921</v>
      </c>
      <c r="DS109" s="941">
        <f t="shared" si="1528"/>
        <v>2431398.7761747227</v>
      </c>
      <c r="DT109" s="941">
        <f t="shared" si="1528"/>
        <v>2617471.6768749687</v>
      </c>
      <c r="DU109" s="941">
        <f t="shared" si="1528"/>
        <v>2816054.5262961783</v>
      </c>
      <c r="DX109" s="941">
        <v>2142243.8997546444</v>
      </c>
      <c r="DY109" s="941">
        <v>2331623.9087701319</v>
      </c>
    </row>
    <row r="110" spans="1:129" s="904" customFormat="1">
      <c r="A110" s="939"/>
      <c r="B110" s="949" t="s">
        <v>425</v>
      </c>
      <c r="C110" s="939"/>
      <c r="D110" s="939"/>
      <c r="E110" s="939"/>
      <c r="F110" s="939"/>
      <c r="G110" s="939"/>
      <c r="H110" s="939"/>
      <c r="I110" s="939"/>
      <c r="J110" s="939"/>
      <c r="K110" s="939"/>
      <c r="L110" s="939"/>
      <c r="M110" s="939"/>
      <c r="N110" s="939"/>
      <c r="O110" s="939"/>
      <c r="P110" s="939"/>
      <c r="Q110" s="939"/>
      <c r="R110" s="939"/>
      <c r="S110" s="939"/>
      <c r="T110" s="939"/>
      <c r="U110" s="939"/>
      <c r="V110" s="939"/>
      <c r="W110" s="939"/>
      <c r="X110" s="939"/>
      <c r="Y110" s="939"/>
      <c r="Z110" s="939"/>
      <c r="AA110" s="939"/>
      <c r="AB110" s="939"/>
      <c r="AC110" s="939"/>
      <c r="AD110" s="939"/>
      <c r="AE110" s="939"/>
      <c r="AF110" s="939"/>
      <c r="AG110" s="939"/>
      <c r="AH110" s="939"/>
      <c r="AI110" s="939"/>
      <c r="AJ110" s="939"/>
      <c r="AK110" s="939"/>
      <c r="AL110" s="939"/>
      <c r="AM110" s="939"/>
      <c r="AN110" s="939"/>
      <c r="AO110" s="939"/>
      <c r="AP110" s="939"/>
      <c r="AQ110" s="939"/>
      <c r="AR110" s="939"/>
      <c r="AS110" s="939"/>
      <c r="AT110" s="939"/>
      <c r="AU110" s="952"/>
      <c r="AV110" s="952"/>
      <c r="AW110" s="952"/>
      <c r="AX110" s="952"/>
      <c r="AY110" s="952"/>
      <c r="AZ110" s="952"/>
      <c r="BA110" s="952"/>
      <c r="BB110" s="952"/>
      <c r="BC110" s="952"/>
      <c r="BD110" s="952"/>
      <c r="BE110" s="952"/>
      <c r="BF110" s="952"/>
      <c r="BG110" s="952"/>
      <c r="BH110" s="952"/>
      <c r="BI110" s="952"/>
      <c r="BJ110" s="952"/>
      <c r="BK110" s="952">
        <v>0</v>
      </c>
      <c r="BL110" s="952">
        <v>0</v>
      </c>
      <c r="BM110" s="952">
        <v>0</v>
      </c>
      <c r="BN110" s="952">
        <v>0</v>
      </c>
      <c r="BO110" s="952">
        <v>0</v>
      </c>
      <c r="BP110" s="952">
        <v>0</v>
      </c>
      <c r="BQ110" s="952">
        <v>0</v>
      </c>
      <c r="BR110" s="952">
        <v>0</v>
      </c>
      <c r="BS110" s="952">
        <v>0</v>
      </c>
      <c r="BT110" s="952">
        <v>0</v>
      </c>
      <c r="BU110" s="952">
        <v>0</v>
      </c>
      <c r="BV110" s="952">
        <v>54744</v>
      </c>
      <c r="BW110" s="952">
        <v>0</v>
      </c>
      <c r="BX110" s="952">
        <v>0</v>
      </c>
      <c r="BY110" s="952">
        <v>0</v>
      </c>
      <c r="BZ110" s="952">
        <v>78848</v>
      </c>
      <c r="CA110" s="952">
        <v>28880</v>
      </c>
      <c r="CB110" s="952">
        <v>7443</v>
      </c>
      <c r="CC110" s="952">
        <v>6606</v>
      </c>
      <c r="CD110" s="952">
        <v>0</v>
      </c>
      <c r="CE110" s="952">
        <v>0</v>
      </c>
      <c r="CF110" s="952">
        <v>0</v>
      </c>
      <c r="CG110" s="952">
        <v>0</v>
      </c>
      <c r="CH110" s="952">
        <v>0</v>
      </c>
      <c r="CI110" s="952">
        <v>0</v>
      </c>
      <c r="CJ110" s="952">
        <v>0</v>
      </c>
      <c r="CK110" s="952">
        <v>0</v>
      </c>
      <c r="CL110" s="595">
        <v>0</v>
      </c>
      <c r="CM110" s="595">
        <v>0</v>
      </c>
      <c r="CN110" s="595">
        <v>0</v>
      </c>
      <c r="CO110" s="595">
        <v>0</v>
      </c>
      <c r="CP110" s="595">
        <v>0</v>
      </c>
      <c r="CQ110" s="941"/>
      <c r="CR110" s="941">
        <v>0</v>
      </c>
      <c r="CT110" s="942"/>
      <c r="CU110" s="942"/>
      <c r="CV110" s="942"/>
      <c r="CW110" s="942"/>
      <c r="CX110" s="592">
        <f t="shared" si="1491"/>
        <v>0</v>
      </c>
      <c r="CY110" s="592">
        <f t="shared" si="1492"/>
        <v>0</v>
      </c>
      <c r="CZ110" s="592">
        <f t="shared" si="1493"/>
        <v>0</v>
      </c>
      <c r="DA110" s="592">
        <f t="shared" si="1494"/>
        <v>0</v>
      </c>
      <c r="DB110" s="592">
        <f t="shared" si="1495"/>
        <v>0</v>
      </c>
      <c r="DC110" s="592">
        <f t="shared" si="1496"/>
        <v>0</v>
      </c>
      <c r="DD110" s="592">
        <f t="shared" si="1497"/>
        <v>0</v>
      </c>
      <c r="DE110" s="592">
        <f t="shared" si="1498"/>
        <v>0</v>
      </c>
      <c r="DF110" s="592">
        <f t="shared" ref="DF110:DF113" si="1529">+AX110</f>
        <v>0</v>
      </c>
      <c r="DG110" s="592">
        <f t="shared" ref="DG110:DG113" si="1530">+BB110</f>
        <v>0</v>
      </c>
      <c r="DH110" s="592">
        <f t="shared" ref="DH110:DH113" si="1531">+BF110</f>
        <v>0</v>
      </c>
      <c r="DI110" s="939">
        <f t="shared" ref="DI110:DI113" si="1532">+BJ110</f>
        <v>0</v>
      </c>
      <c r="DJ110" s="939">
        <f t="shared" ref="DJ110:DJ113" si="1533">+BN110</f>
        <v>0</v>
      </c>
      <c r="DK110" s="939">
        <f t="shared" ref="DK110:DK113" si="1534">+BR110</f>
        <v>0</v>
      </c>
      <c r="DL110" s="939">
        <f t="shared" ref="DL110:DL113" si="1535">+BV110</f>
        <v>54744</v>
      </c>
      <c r="DM110" s="939">
        <f t="shared" ref="DM110:DM113" si="1536">+BZ110</f>
        <v>78848</v>
      </c>
      <c r="DN110" s="939">
        <f t="shared" ref="DN110:DN113" si="1537">+CD110</f>
        <v>0</v>
      </c>
      <c r="DO110" s="939">
        <f t="shared" ref="DO110:DO113" si="1538">+CH110</f>
        <v>0</v>
      </c>
      <c r="DP110" s="939">
        <f t="shared" ref="DP110:DP113" si="1539">+CL110</f>
        <v>0</v>
      </c>
      <c r="DQ110" s="939">
        <f t="shared" si="1484"/>
        <v>0</v>
      </c>
      <c r="DR110" s="941"/>
      <c r="DS110" s="941"/>
      <c r="DT110" s="941"/>
      <c r="DU110" s="941"/>
      <c r="DX110" s="941"/>
      <c r="DY110" s="941"/>
    </row>
    <row r="111" spans="1:129" s="904" customFormat="1">
      <c r="A111" s="939"/>
      <c r="B111" s="949" t="s">
        <v>426</v>
      </c>
      <c r="C111" s="939"/>
      <c r="D111" s="939">
        <v>63419</v>
      </c>
      <c r="E111" s="939">
        <v>64837</v>
      </c>
      <c r="F111" s="939">
        <v>58293</v>
      </c>
      <c r="G111" s="939">
        <v>104075</v>
      </c>
      <c r="H111" s="939">
        <v>74583</v>
      </c>
      <c r="I111" s="939">
        <v>88329</v>
      </c>
      <c r="J111" s="939">
        <v>63181</v>
      </c>
      <c r="K111" s="939">
        <v>91799</v>
      </c>
      <c r="L111" s="939">
        <v>93907</v>
      </c>
      <c r="M111" s="939">
        <v>94065</v>
      </c>
      <c r="N111" s="939">
        <v>93365</v>
      </c>
      <c r="O111" s="939">
        <v>100884</v>
      </c>
      <c r="P111" s="939">
        <v>106188</v>
      </c>
      <c r="Q111" s="939">
        <v>129693</v>
      </c>
      <c r="R111" s="939">
        <f>121559+159000</f>
        <v>280559</v>
      </c>
      <c r="S111" s="939">
        <v>110910</v>
      </c>
      <c r="T111" s="939">
        <v>135685</v>
      </c>
      <c r="U111" s="939">
        <v>130000</v>
      </c>
      <c r="V111" s="939">
        <f>130834+187075</f>
        <v>317909</v>
      </c>
      <c r="W111" s="939">
        <f>111197+138407</f>
        <v>249604</v>
      </c>
      <c r="X111" s="939">
        <f>124526+150940</f>
        <v>275466</v>
      </c>
      <c r="Y111" s="939">
        <f>116730+161605</f>
        <v>278335</v>
      </c>
      <c r="Z111" s="939">
        <f>99498+282919</f>
        <v>382417</v>
      </c>
      <c r="AA111" s="939">
        <f>114584+267329</f>
        <v>381913</v>
      </c>
      <c r="AB111" s="939">
        <f>285404+118925</f>
        <v>404329</v>
      </c>
      <c r="AC111" s="939">
        <f>118929+269600</f>
        <v>388529</v>
      </c>
      <c r="AD111" s="939">
        <f>12280+267146</f>
        <v>279426</v>
      </c>
      <c r="AE111" s="939">
        <f>12271+130316</f>
        <v>142587</v>
      </c>
      <c r="AF111" s="939">
        <f>125066+20395</f>
        <v>145461</v>
      </c>
      <c r="AG111" s="939">
        <f>29154+205746</f>
        <v>234900</v>
      </c>
      <c r="AH111" s="939">
        <f>41003+119932+11224</f>
        <v>172159</v>
      </c>
      <c r="AI111" s="939">
        <f>128652+54460+80123</f>
        <v>263235</v>
      </c>
      <c r="AJ111" s="939">
        <f>50478+148556+104321</f>
        <v>303355</v>
      </c>
      <c r="AK111" s="939">
        <f>45544+13357+180642+111897</f>
        <v>351440</v>
      </c>
      <c r="AL111" s="939">
        <f>35938+6931+547665+79714</f>
        <v>670248</v>
      </c>
      <c r="AM111" s="939">
        <f>6670+539606+93709+49213</f>
        <v>689198</v>
      </c>
      <c r="AN111" s="939">
        <f>62968+6883+585887+147100</f>
        <v>802838</v>
      </c>
      <c r="AO111" s="939">
        <f>64337+6470+680194+77652</f>
        <v>828653</v>
      </c>
      <c r="AP111" s="939">
        <f>44614+7193+607060+76732</f>
        <v>735599</v>
      </c>
      <c r="AQ111" s="939">
        <f>36550+4742+629659+91108</f>
        <v>762059</v>
      </c>
      <c r="AR111" s="939">
        <f>58240+13806+307172+43516</f>
        <v>422734</v>
      </c>
      <c r="AS111" s="939">
        <f>281212+191241+4099+7908</f>
        <v>484460</v>
      </c>
      <c r="AT111" s="939">
        <f>210246+4130+336719+8442</f>
        <v>559537</v>
      </c>
      <c r="AU111" s="952">
        <v>589832</v>
      </c>
      <c r="AV111" s="952">
        <v>721727</v>
      </c>
      <c r="AW111" s="952">
        <v>728270</v>
      </c>
      <c r="AX111" s="952">
        <v>706589</v>
      </c>
      <c r="AY111" s="952">
        <v>816656</v>
      </c>
      <c r="AZ111" s="952">
        <v>962526</v>
      </c>
      <c r="BA111" s="952">
        <v>1007573</v>
      </c>
      <c r="BB111" s="952">
        <v>996171</v>
      </c>
      <c r="BC111" s="952">
        <v>881934</v>
      </c>
      <c r="BD111" s="952">
        <v>1064598</v>
      </c>
      <c r="BE111" s="952">
        <v>564824</v>
      </c>
      <c r="BF111" s="952">
        <v>516839</v>
      </c>
      <c r="BG111" s="952">
        <v>525475</v>
      </c>
      <c r="BH111" s="952">
        <v>1055403</v>
      </c>
      <c r="BI111" s="952">
        <v>1124664</v>
      </c>
      <c r="BJ111" s="952">
        <v>1423835</v>
      </c>
      <c r="BK111" s="952">
        <v>957726</v>
      </c>
      <c r="BL111" s="952">
        <v>748594</v>
      </c>
      <c r="BM111" s="952">
        <v>508147</v>
      </c>
      <c r="BN111" s="952">
        <v>709022</v>
      </c>
      <c r="BO111" s="952">
        <v>1257286</v>
      </c>
      <c r="BP111" s="952">
        <v>1698108</v>
      </c>
      <c r="BQ111" s="952">
        <v>1259027</v>
      </c>
      <c r="BR111" s="952">
        <v>1077081</v>
      </c>
      <c r="BS111" s="952">
        <v>543875</v>
      </c>
      <c r="BT111" s="952">
        <v>323791</v>
      </c>
      <c r="BU111" s="952">
        <v>488284</v>
      </c>
      <c r="BV111" s="952">
        <v>1610452</v>
      </c>
      <c r="BW111" s="952">
        <v>1632135</v>
      </c>
      <c r="BX111" s="952">
        <v>1335093</v>
      </c>
      <c r="BY111" s="952">
        <v>1195202</v>
      </c>
      <c r="BZ111" s="952">
        <v>122824</v>
      </c>
      <c r="CA111" s="952">
        <v>585450</v>
      </c>
      <c r="CB111" s="952">
        <v>619302</v>
      </c>
      <c r="CC111" s="952">
        <v>631512</v>
      </c>
      <c r="CD111" s="952">
        <v>601954</v>
      </c>
      <c r="CE111" s="952">
        <v>558053</v>
      </c>
      <c r="CF111" s="952">
        <v>573950</v>
      </c>
      <c r="CG111" s="952">
        <v>506717</v>
      </c>
      <c r="CH111" s="952">
        <v>522440</v>
      </c>
      <c r="CI111" s="952">
        <v>0</v>
      </c>
      <c r="CJ111" s="952">
        <v>0</v>
      </c>
      <c r="CK111" s="952">
        <v>0</v>
      </c>
      <c r="CL111" s="595">
        <f t="shared" ref="CL111" si="1540">+CK111+CL64</f>
        <v>0</v>
      </c>
      <c r="CM111" s="595">
        <f t="shared" ref="CM111" si="1541">+CL111+CM64</f>
        <v>0</v>
      </c>
      <c r="CN111" s="595">
        <f t="shared" ref="CN111" si="1542">+CM111+CN64</f>
        <v>0</v>
      </c>
      <c r="CO111" s="595">
        <f t="shared" ref="CO111" si="1543">+CN111+CO64</f>
        <v>0</v>
      </c>
      <c r="CP111" s="595">
        <f t="shared" ref="CP111" si="1544">+CO111+CP64</f>
        <v>0</v>
      </c>
      <c r="CQ111" s="941"/>
      <c r="CR111" s="941">
        <v>0</v>
      </c>
      <c r="CT111" s="967"/>
      <c r="CU111" s="967"/>
      <c r="CV111" s="967"/>
      <c r="CW111" s="967"/>
      <c r="CX111" s="592">
        <f t="shared" si="1491"/>
        <v>280559</v>
      </c>
      <c r="CY111" s="592">
        <f t="shared" si="1492"/>
        <v>317909</v>
      </c>
      <c r="CZ111" s="592">
        <f t="shared" si="1493"/>
        <v>382417</v>
      </c>
      <c r="DA111" s="592">
        <f t="shared" si="1494"/>
        <v>279426</v>
      </c>
      <c r="DB111" s="592">
        <f t="shared" si="1495"/>
        <v>172159</v>
      </c>
      <c r="DC111" s="592">
        <f t="shared" si="1496"/>
        <v>670248</v>
      </c>
      <c r="DD111" s="592">
        <f t="shared" si="1497"/>
        <v>735599</v>
      </c>
      <c r="DE111" s="592">
        <f t="shared" si="1498"/>
        <v>559537</v>
      </c>
      <c r="DF111" s="592">
        <f t="shared" si="1529"/>
        <v>706589</v>
      </c>
      <c r="DG111" s="592">
        <f t="shared" si="1530"/>
        <v>996171</v>
      </c>
      <c r="DH111" s="592">
        <f t="shared" si="1531"/>
        <v>516839</v>
      </c>
      <c r="DI111" s="939">
        <f t="shared" si="1532"/>
        <v>1423835</v>
      </c>
      <c r="DJ111" s="939">
        <f t="shared" si="1533"/>
        <v>709022</v>
      </c>
      <c r="DK111" s="939">
        <f t="shared" si="1534"/>
        <v>1077081</v>
      </c>
      <c r="DL111" s="939">
        <f t="shared" si="1535"/>
        <v>1610452</v>
      </c>
      <c r="DM111" s="939">
        <f t="shared" si="1536"/>
        <v>122824</v>
      </c>
      <c r="DN111" s="939">
        <f t="shared" si="1537"/>
        <v>601954</v>
      </c>
      <c r="DO111" s="939">
        <f t="shared" si="1538"/>
        <v>522440</v>
      </c>
      <c r="DP111" s="939">
        <f t="shared" si="1539"/>
        <v>0</v>
      </c>
      <c r="DQ111" s="939">
        <f t="shared" si="1484"/>
        <v>0</v>
      </c>
      <c r="DR111" s="599">
        <f>+DQ111+DR64</f>
        <v>0</v>
      </c>
      <c r="DS111" s="599">
        <f t="shared" ref="DS111:DU111" si="1545">+DR111+DS64</f>
        <v>0</v>
      </c>
      <c r="DT111" s="599">
        <f t="shared" si="1545"/>
        <v>0</v>
      </c>
      <c r="DU111" s="599">
        <f t="shared" si="1545"/>
        <v>0</v>
      </c>
      <c r="DX111" s="599">
        <v>0</v>
      </c>
      <c r="DY111" s="599">
        <v>0</v>
      </c>
    </row>
    <row r="112" spans="1:129" s="904" customFormat="1">
      <c r="A112" s="939"/>
      <c r="B112" s="949" t="s">
        <v>427</v>
      </c>
      <c r="C112" s="939"/>
      <c r="D112" s="939">
        <v>0</v>
      </c>
      <c r="E112" s="939">
        <v>0</v>
      </c>
      <c r="F112" s="939">
        <v>0</v>
      </c>
      <c r="G112" s="939">
        <v>0</v>
      </c>
      <c r="H112" s="939">
        <v>0</v>
      </c>
      <c r="I112" s="939">
        <v>0</v>
      </c>
      <c r="J112" s="939">
        <v>0</v>
      </c>
      <c r="K112" s="939">
        <v>0</v>
      </c>
      <c r="L112" s="939">
        <v>0</v>
      </c>
      <c r="M112" s="939">
        <v>0</v>
      </c>
      <c r="N112" s="939">
        <v>0</v>
      </c>
      <c r="O112" s="939">
        <v>0</v>
      </c>
      <c r="P112" s="939">
        <v>0</v>
      </c>
      <c r="Q112" s="939">
        <v>0</v>
      </c>
      <c r="R112" s="939">
        <v>0</v>
      </c>
      <c r="S112" s="939">
        <v>0</v>
      </c>
      <c r="T112" s="939">
        <f>+S112/(S6)*(T6)</f>
        <v>0</v>
      </c>
      <c r="U112" s="939">
        <v>0</v>
      </c>
      <c r="V112" s="939">
        <v>0</v>
      </c>
      <c r="W112" s="939">
        <v>0</v>
      </c>
      <c r="X112" s="939">
        <v>0</v>
      </c>
      <c r="Y112" s="939">
        <v>0</v>
      </c>
      <c r="Z112" s="939">
        <v>0</v>
      </c>
      <c r="AA112" s="939">
        <v>0</v>
      </c>
      <c r="AB112" s="939">
        <v>0</v>
      </c>
      <c r="AC112" s="939">
        <v>0</v>
      </c>
      <c r="AD112" s="939">
        <v>0</v>
      </c>
      <c r="AE112" s="939">
        <v>0</v>
      </c>
      <c r="AF112" s="939">
        <v>0</v>
      </c>
      <c r="AG112" s="939">
        <v>0</v>
      </c>
      <c r="AH112" s="939">
        <v>0</v>
      </c>
      <c r="AI112" s="939">
        <v>0</v>
      </c>
      <c r="AJ112" s="939">
        <v>0</v>
      </c>
      <c r="AK112" s="939">
        <v>0</v>
      </c>
      <c r="AL112" s="939">
        <v>0</v>
      </c>
      <c r="AM112" s="939">
        <v>0</v>
      </c>
      <c r="AN112" s="939">
        <v>0</v>
      </c>
      <c r="AO112" s="939">
        <v>0</v>
      </c>
      <c r="AP112" s="939">
        <v>0</v>
      </c>
      <c r="AQ112" s="939">
        <v>0</v>
      </c>
      <c r="AR112" s="939">
        <v>0</v>
      </c>
      <c r="AS112" s="939">
        <v>0</v>
      </c>
      <c r="AT112" s="939"/>
      <c r="AU112" s="952"/>
      <c r="AV112" s="952"/>
      <c r="AW112" s="952"/>
      <c r="AX112" s="952"/>
      <c r="AY112" s="952"/>
      <c r="AZ112" s="952"/>
      <c r="BA112" s="952"/>
      <c r="BB112" s="952"/>
      <c r="BC112" s="952"/>
      <c r="BD112" s="952"/>
      <c r="BE112" s="952"/>
      <c r="BF112" s="952"/>
      <c r="BG112" s="952"/>
      <c r="BH112" s="952"/>
      <c r="BI112" s="952"/>
      <c r="BJ112" s="952">
        <v>0</v>
      </c>
      <c r="BK112" s="952">
        <v>390444</v>
      </c>
      <c r="BL112" s="952">
        <v>394000</v>
      </c>
      <c r="BM112" s="952">
        <v>383992</v>
      </c>
      <c r="BN112" s="952">
        <v>447685</v>
      </c>
      <c r="BO112" s="952">
        <v>425077</v>
      </c>
      <c r="BP112" s="952">
        <v>434076</v>
      </c>
      <c r="BQ112" s="952">
        <v>483518</v>
      </c>
      <c r="BR112" s="952">
        <v>496583</v>
      </c>
      <c r="BS112" s="952">
        <v>553285</v>
      </c>
      <c r="BT112" s="952">
        <v>608032</v>
      </c>
      <c r="BU112" s="952">
        <v>619360</v>
      </c>
      <c r="BV112" s="952">
        <v>666100</v>
      </c>
      <c r="BW112" s="952">
        <v>654978</v>
      </c>
      <c r="BX112" s="952">
        <v>678991</v>
      </c>
      <c r="BY112" s="952">
        <v>687735</v>
      </c>
      <c r="BZ112" s="952">
        <v>719829</v>
      </c>
      <c r="CA112" s="952">
        <v>722791</v>
      </c>
      <c r="CB112" s="952">
        <v>731470</v>
      </c>
      <c r="CC112" s="952">
        <v>731263</v>
      </c>
      <c r="CD112" s="952">
        <v>733322</v>
      </c>
      <c r="CE112" s="952">
        <v>753808</v>
      </c>
      <c r="CF112" s="952">
        <v>748045</v>
      </c>
      <c r="CG112" s="952">
        <v>712076</v>
      </c>
      <c r="CH112" s="952">
        <v>783850</v>
      </c>
      <c r="CI112" s="952">
        <v>787944</v>
      </c>
      <c r="CJ112" s="952">
        <v>796999</v>
      </c>
      <c r="CK112" s="952">
        <v>745106</v>
      </c>
      <c r="CL112" s="941">
        <f>+FAT!CL145</f>
        <v>889090.00864850008</v>
      </c>
      <c r="CM112" s="941">
        <f>+FAT!CM145</f>
        <v>861842.29538286547</v>
      </c>
      <c r="CN112" s="941">
        <f>+FAT!CN145</f>
        <v>823292.38149668253</v>
      </c>
      <c r="CO112" s="941">
        <f>+FAT!CO145</f>
        <v>822923.41048991366</v>
      </c>
      <c r="CP112" s="941">
        <f>+FAT!CP145</f>
        <v>976094.69989816425</v>
      </c>
      <c r="CQ112" s="595"/>
      <c r="CR112" s="595">
        <v>889090.00864850008</v>
      </c>
      <c r="CT112" s="967"/>
      <c r="CU112" s="967"/>
      <c r="CV112" s="967"/>
      <c r="CW112" s="967"/>
      <c r="CX112" s="592">
        <f t="shared" si="1491"/>
        <v>0</v>
      </c>
      <c r="CY112" s="592">
        <f t="shared" si="1492"/>
        <v>0</v>
      </c>
      <c r="CZ112" s="592">
        <f t="shared" si="1493"/>
        <v>0</v>
      </c>
      <c r="DA112" s="592">
        <f t="shared" si="1494"/>
        <v>0</v>
      </c>
      <c r="DB112" s="592">
        <f t="shared" si="1495"/>
        <v>0</v>
      </c>
      <c r="DC112" s="592">
        <f t="shared" si="1496"/>
        <v>0</v>
      </c>
      <c r="DD112" s="592">
        <f t="shared" si="1497"/>
        <v>0</v>
      </c>
      <c r="DE112" s="592"/>
      <c r="DF112" s="592">
        <f t="shared" si="1529"/>
        <v>0</v>
      </c>
      <c r="DG112" s="592">
        <f t="shared" si="1530"/>
        <v>0</v>
      </c>
      <c r="DH112" s="592">
        <f t="shared" si="1531"/>
        <v>0</v>
      </c>
      <c r="DI112" s="939">
        <f t="shared" si="1532"/>
        <v>0</v>
      </c>
      <c r="DJ112" s="939">
        <f t="shared" si="1533"/>
        <v>447685</v>
      </c>
      <c r="DK112" s="939">
        <f t="shared" si="1534"/>
        <v>496583</v>
      </c>
      <c r="DL112" s="939">
        <f t="shared" si="1535"/>
        <v>666100</v>
      </c>
      <c r="DM112" s="939">
        <f t="shared" si="1536"/>
        <v>719829</v>
      </c>
      <c r="DN112" s="939">
        <f t="shared" si="1537"/>
        <v>733322</v>
      </c>
      <c r="DO112" s="939">
        <f t="shared" si="1538"/>
        <v>783850</v>
      </c>
      <c r="DP112" s="939">
        <f t="shared" si="1539"/>
        <v>889090.00864850008</v>
      </c>
      <c r="DQ112" s="939">
        <f t="shared" si="1484"/>
        <v>976094.69989816425</v>
      </c>
      <c r="DR112" s="595">
        <f>+FAT!DP145</f>
        <v>783850</v>
      </c>
      <c r="DS112" s="595">
        <f>+FAT!DQ145</f>
        <v>889090.00864850008</v>
      </c>
      <c r="DT112" s="595">
        <f>+FAT!DR145</f>
        <v>976094.69989816425</v>
      </c>
      <c r="DU112" s="595">
        <f>+FAT!DS145</f>
        <v>1068637.2224339638</v>
      </c>
      <c r="DX112" s="595">
        <v>733322</v>
      </c>
      <c r="DY112" s="595">
        <v>783850</v>
      </c>
    </row>
    <row r="113" spans="1:129" s="904" customFormat="1">
      <c r="A113" s="939"/>
      <c r="B113" s="949" t="s">
        <v>428</v>
      </c>
      <c r="C113" s="939"/>
      <c r="D113" s="939"/>
      <c r="E113" s="939"/>
      <c r="F113" s="939"/>
      <c r="G113" s="939"/>
      <c r="H113" s="939"/>
      <c r="I113" s="939"/>
      <c r="J113" s="939"/>
      <c r="K113" s="939"/>
      <c r="L113" s="939"/>
      <c r="M113" s="939"/>
      <c r="N113" s="939"/>
      <c r="O113" s="939"/>
      <c r="P113" s="939"/>
      <c r="Q113" s="939"/>
      <c r="R113" s="939"/>
      <c r="S113" s="939"/>
      <c r="T113" s="939"/>
      <c r="U113" s="939"/>
      <c r="V113" s="939"/>
      <c r="W113" s="939"/>
      <c r="X113" s="939"/>
      <c r="Y113" s="939"/>
      <c r="Z113" s="939"/>
      <c r="AA113" s="939"/>
      <c r="AB113" s="939"/>
      <c r="AC113" s="939"/>
      <c r="AD113" s="939"/>
      <c r="AE113" s="939"/>
      <c r="AF113" s="939"/>
      <c r="AG113" s="939"/>
      <c r="AH113" s="939"/>
      <c r="AI113" s="939"/>
      <c r="AJ113" s="939"/>
      <c r="AK113" s="939"/>
      <c r="AL113" s="939"/>
      <c r="AM113" s="939"/>
      <c r="AN113" s="939"/>
      <c r="AO113" s="939"/>
      <c r="AP113" s="939"/>
      <c r="AQ113" s="939"/>
      <c r="AR113" s="939"/>
      <c r="AS113" s="939"/>
      <c r="AT113" s="939"/>
      <c r="AU113" s="952"/>
      <c r="AV113" s="952"/>
      <c r="AW113" s="952"/>
      <c r="AX113" s="952"/>
      <c r="AY113" s="952"/>
      <c r="AZ113" s="952"/>
      <c r="BA113" s="952"/>
      <c r="BB113" s="952"/>
      <c r="BC113" s="952"/>
      <c r="BD113" s="952"/>
      <c r="BE113" s="952"/>
      <c r="BF113" s="952"/>
      <c r="BG113" s="952"/>
      <c r="BH113" s="952"/>
      <c r="BI113" s="952"/>
      <c r="BJ113" s="952"/>
      <c r="BK113" s="952">
        <v>913814</v>
      </c>
      <c r="BL113" s="952">
        <v>469493</v>
      </c>
      <c r="BM113" s="952">
        <v>296439</v>
      </c>
      <c r="BN113" s="952">
        <v>184996</v>
      </c>
      <c r="BO113" s="952">
        <v>538965</v>
      </c>
      <c r="BP113" s="952">
        <v>514962</v>
      </c>
      <c r="BQ113" s="952">
        <v>325639</v>
      </c>
      <c r="BR113" s="952">
        <v>341390</v>
      </c>
      <c r="BS113" s="952">
        <v>257869</v>
      </c>
      <c r="BT113" s="952">
        <v>126208</v>
      </c>
      <c r="BU113" s="952">
        <v>455832</v>
      </c>
      <c r="BV113" s="952">
        <v>475522</v>
      </c>
      <c r="BW113" s="952">
        <v>691304</v>
      </c>
      <c r="BX113" s="952">
        <v>971326</v>
      </c>
      <c r="BY113" s="952">
        <v>764295</v>
      </c>
      <c r="BZ113" s="952">
        <v>581351</v>
      </c>
      <c r="CA113" s="952">
        <v>645123</v>
      </c>
      <c r="CB113" s="952">
        <v>512490</v>
      </c>
      <c r="CC113" s="952">
        <v>365112</v>
      </c>
      <c r="CD113" s="952">
        <v>488777</v>
      </c>
      <c r="CE113" s="952">
        <v>507560</v>
      </c>
      <c r="CF113" s="952">
        <v>466399</v>
      </c>
      <c r="CG113" s="952">
        <v>660798</v>
      </c>
      <c r="CH113" s="952">
        <v>409320</v>
      </c>
      <c r="CI113" s="952">
        <v>413445</v>
      </c>
      <c r="CJ113" s="952">
        <v>261075</v>
      </c>
      <c r="CK113" s="952">
        <v>29889</v>
      </c>
      <c r="CL113" s="595">
        <f t="shared" ref="CL113" si="1546">+CK113</f>
        <v>29889</v>
      </c>
      <c r="CM113" s="595">
        <f t="shared" ref="CM113" si="1547">+CL113</f>
        <v>29889</v>
      </c>
      <c r="CN113" s="595">
        <f t="shared" ref="CN113" si="1548">+CM113</f>
        <v>29889</v>
      </c>
      <c r="CO113" s="595">
        <f t="shared" ref="CO113" si="1549">+CN113</f>
        <v>29889</v>
      </c>
      <c r="CP113" s="595">
        <f t="shared" ref="CP113" si="1550">+CO113</f>
        <v>29889</v>
      </c>
      <c r="CQ113" s="595"/>
      <c r="CR113" s="595">
        <v>29889</v>
      </c>
      <c r="CT113" s="967"/>
      <c r="CU113" s="967"/>
      <c r="CV113" s="967"/>
      <c r="CW113" s="967"/>
      <c r="CX113" s="592"/>
      <c r="CY113" s="592"/>
      <c r="CZ113" s="592"/>
      <c r="DA113" s="592"/>
      <c r="DB113" s="592"/>
      <c r="DC113" s="592"/>
      <c r="DD113" s="592"/>
      <c r="DE113" s="592"/>
      <c r="DF113" s="592">
        <f t="shared" si="1529"/>
        <v>0</v>
      </c>
      <c r="DG113" s="592">
        <f t="shared" si="1530"/>
        <v>0</v>
      </c>
      <c r="DH113" s="592">
        <f t="shared" si="1531"/>
        <v>0</v>
      </c>
      <c r="DI113" s="939">
        <f t="shared" si="1532"/>
        <v>0</v>
      </c>
      <c r="DJ113" s="939">
        <f t="shared" si="1533"/>
        <v>184996</v>
      </c>
      <c r="DK113" s="939">
        <f t="shared" si="1534"/>
        <v>341390</v>
      </c>
      <c r="DL113" s="939">
        <f t="shared" si="1535"/>
        <v>475522</v>
      </c>
      <c r="DM113" s="939">
        <f t="shared" si="1536"/>
        <v>581351</v>
      </c>
      <c r="DN113" s="939">
        <f t="shared" si="1537"/>
        <v>488777</v>
      </c>
      <c r="DO113" s="939">
        <f t="shared" si="1538"/>
        <v>409320</v>
      </c>
      <c r="DP113" s="939">
        <f t="shared" si="1539"/>
        <v>29889</v>
      </c>
      <c r="DQ113" s="939">
        <f t="shared" si="1484"/>
        <v>29889</v>
      </c>
      <c r="DR113" s="595">
        <f t="shared" ref="DR113" si="1551">+DQ113</f>
        <v>29889</v>
      </c>
      <c r="DS113" s="595">
        <f t="shared" ref="DS113" si="1552">+DR113</f>
        <v>29889</v>
      </c>
      <c r="DT113" s="595">
        <f t="shared" ref="DT113" si="1553">+DS113</f>
        <v>29889</v>
      </c>
      <c r="DU113" s="595">
        <f t="shared" ref="DU113" si="1554">+DT113</f>
        <v>29889</v>
      </c>
      <c r="DX113" s="595">
        <v>29889</v>
      </c>
      <c r="DY113" s="595">
        <v>29889</v>
      </c>
    </row>
    <row r="114" spans="1:129" s="904" customFormat="1">
      <c r="A114" s="939"/>
      <c r="B114" s="949" t="s">
        <v>429</v>
      </c>
      <c r="C114" s="939"/>
      <c r="D114" s="939">
        <v>26758</v>
      </c>
      <c r="E114" s="939">
        <v>18702</v>
      </c>
      <c r="F114" s="939">
        <v>57076</v>
      </c>
      <c r="G114" s="939">
        <v>17867</v>
      </c>
      <c r="H114" s="939">
        <v>42494</v>
      </c>
      <c r="I114" s="939">
        <v>37792</v>
      </c>
      <c r="J114" s="939">
        <v>96657</v>
      </c>
      <c r="K114" s="939">
        <v>19925</v>
      </c>
      <c r="L114" s="939">
        <f>53705</f>
        <v>53705</v>
      </c>
      <c r="M114" s="939">
        <v>46368</v>
      </c>
      <c r="N114" s="939">
        <v>131378</v>
      </c>
      <c r="O114" s="939">
        <v>29735</v>
      </c>
      <c r="P114" s="939">
        <v>58797</v>
      </c>
      <c r="Q114" s="939">
        <v>48360</v>
      </c>
      <c r="R114" s="939">
        <v>125773</v>
      </c>
      <c r="S114" s="939">
        <v>40388</v>
      </c>
      <c r="T114" s="939">
        <v>66734</v>
      </c>
      <c r="U114" s="939">
        <v>48551</v>
      </c>
      <c r="V114" s="939">
        <v>128663</v>
      </c>
      <c r="W114" s="939">
        <v>43784</v>
      </c>
      <c r="X114" s="939">
        <v>89747</v>
      </c>
      <c r="Y114" s="939">
        <v>67733</v>
      </c>
      <c r="Z114" s="939">
        <v>141159</v>
      </c>
      <c r="AA114" s="939">
        <v>61268</v>
      </c>
      <c r="AB114" s="939">
        <v>93093</v>
      </c>
      <c r="AC114" s="939">
        <v>64754</v>
      </c>
      <c r="AD114" s="939">
        <v>162427</v>
      </c>
      <c r="AE114" s="939">
        <v>65227</v>
      </c>
      <c r="AF114" s="939">
        <v>137467</v>
      </c>
      <c r="AG114" s="939">
        <v>89216</v>
      </c>
      <c r="AH114" s="939">
        <v>231508</v>
      </c>
      <c r="AI114" s="939">
        <v>96618</v>
      </c>
      <c r="AJ114" s="939">
        <v>141235</v>
      </c>
      <c r="AK114" s="939">
        <v>112191</v>
      </c>
      <c r="AL114" s="939">
        <v>268148</v>
      </c>
      <c r="AM114" s="939">
        <v>84633</v>
      </c>
      <c r="AN114" s="939">
        <v>117261</v>
      </c>
      <c r="AO114" s="939">
        <v>94823</v>
      </c>
      <c r="AP114" s="939">
        <v>269700</v>
      </c>
      <c r="AQ114" s="939">
        <v>95942</v>
      </c>
      <c r="AR114" s="939">
        <v>125820</v>
      </c>
      <c r="AS114" s="939">
        <v>98725</v>
      </c>
      <c r="AT114" s="939">
        <v>337935</v>
      </c>
      <c r="AU114" s="952">
        <v>96546</v>
      </c>
      <c r="AV114" s="952">
        <v>148815</v>
      </c>
      <c r="AW114" s="952">
        <v>97647</v>
      </c>
      <c r="AX114" s="952">
        <v>342976</v>
      </c>
      <c r="AY114" s="952">
        <v>100600</v>
      </c>
      <c r="AZ114" s="952">
        <v>173011</v>
      </c>
      <c r="BA114" s="952">
        <v>100223</v>
      </c>
      <c r="BB114" s="952">
        <v>404760</v>
      </c>
      <c r="BC114" s="952">
        <v>107755</v>
      </c>
      <c r="BD114" s="952">
        <v>204325</v>
      </c>
      <c r="BE114" s="952">
        <v>174273</v>
      </c>
      <c r="BF114" s="952">
        <v>470989</v>
      </c>
      <c r="BG114" s="952">
        <v>146026</v>
      </c>
      <c r="BH114" s="952">
        <v>234155</v>
      </c>
      <c r="BI114" s="952">
        <v>221185</v>
      </c>
      <c r="BJ114" s="952">
        <v>550016</v>
      </c>
      <c r="BK114" s="952">
        <v>150780</v>
      </c>
      <c r="BL114" s="952">
        <v>297839</v>
      </c>
      <c r="BM114" s="952">
        <v>248753</v>
      </c>
      <c r="BN114" s="952">
        <v>636723</v>
      </c>
      <c r="BO114" s="952">
        <v>79185</v>
      </c>
      <c r="BP114" s="952">
        <v>145368</v>
      </c>
      <c r="BQ114" s="952">
        <v>115071</v>
      </c>
      <c r="BR114" s="952">
        <v>402930</v>
      </c>
      <c r="BS114" s="952">
        <v>92347</v>
      </c>
      <c r="BT114" s="952">
        <v>239579</v>
      </c>
      <c r="BU114" s="952">
        <v>208682</v>
      </c>
      <c r="BV114" s="952">
        <v>516678</v>
      </c>
      <c r="BW114" s="952">
        <v>172590</v>
      </c>
      <c r="BX114" s="952">
        <v>297972</v>
      </c>
      <c r="BY114" s="952">
        <v>178636</v>
      </c>
      <c r="BZ114" s="952">
        <v>566891</v>
      </c>
      <c r="CA114" s="952">
        <v>132176</v>
      </c>
      <c r="CB114" s="952">
        <v>257764</v>
      </c>
      <c r="CC114" s="952">
        <v>178584</v>
      </c>
      <c r="CD114" s="952">
        <v>411088</v>
      </c>
      <c r="CE114" s="952">
        <v>157427</v>
      </c>
      <c r="CF114" s="952">
        <v>287577</v>
      </c>
      <c r="CG114" s="952">
        <v>127877</v>
      </c>
      <c r="CH114" s="952">
        <v>545283</v>
      </c>
      <c r="CI114" s="952">
        <v>240281</v>
      </c>
      <c r="CJ114" s="952">
        <v>419053</v>
      </c>
      <c r="CK114" s="952">
        <v>196615</v>
      </c>
      <c r="CL114" s="941">
        <f t="shared" ref="CL114" si="1555">+(SUM(CI6:CL6))/365*CL162</f>
        <v>476408.05142721336</v>
      </c>
      <c r="CM114" s="941">
        <f t="shared" ref="CM114" si="1556">+(SUM(CJ6:CM6))/365*CM162</f>
        <v>182699.33281172742</v>
      </c>
      <c r="CN114" s="941">
        <f t="shared" ref="CN114" si="1557">+(SUM(CK6:CN6))/365*CN162</f>
        <v>337276.95852123835</v>
      </c>
      <c r="CO114" s="941">
        <f t="shared" ref="CO114" si="1558">+(SUM(CL6:CO6))/365*CO162</f>
        <v>149370.09830993702</v>
      </c>
      <c r="CP114" s="941">
        <f t="shared" ref="CP114" si="1559">+(SUM(CM6:CP6))/365*CP162</f>
        <v>637627.09612889704</v>
      </c>
      <c r="CQ114" s="941"/>
      <c r="CR114" s="941">
        <v>476408.05142721336</v>
      </c>
      <c r="CT114" s="939"/>
      <c r="CU114" s="939"/>
      <c r="CV114" s="939"/>
      <c r="CW114" s="939"/>
      <c r="CX114" s="592">
        <f t="shared" si="1491"/>
        <v>125773</v>
      </c>
      <c r="CY114" s="592">
        <f t="shared" si="1492"/>
        <v>128663</v>
      </c>
      <c r="CZ114" s="592">
        <f t="shared" si="1493"/>
        <v>141159</v>
      </c>
      <c r="DA114" s="592">
        <f t="shared" si="1494"/>
        <v>162427</v>
      </c>
      <c r="DB114" s="592">
        <f t="shared" si="1495"/>
        <v>231508</v>
      </c>
      <c r="DC114" s="592">
        <f t="shared" si="1496"/>
        <v>268148</v>
      </c>
      <c r="DD114" s="592">
        <f t="shared" si="1497"/>
        <v>269700</v>
      </c>
      <c r="DE114" s="592">
        <f>AT114</f>
        <v>337935</v>
      </c>
      <c r="DF114" s="592">
        <f>+AX114</f>
        <v>342976</v>
      </c>
      <c r="DG114" s="592">
        <f>+BB114</f>
        <v>404760</v>
      </c>
      <c r="DH114" s="592">
        <f>+BF114</f>
        <v>470989</v>
      </c>
      <c r="DI114" s="939">
        <f>+BJ114</f>
        <v>550016</v>
      </c>
      <c r="DJ114" s="939">
        <f t="shared" si="1526"/>
        <v>636723</v>
      </c>
      <c r="DK114" s="939">
        <f t="shared" si="1527"/>
        <v>402930</v>
      </c>
      <c r="DL114" s="939">
        <f t="shared" si="1479"/>
        <v>516678</v>
      </c>
      <c r="DM114" s="939">
        <f t="shared" si="1480"/>
        <v>566891</v>
      </c>
      <c r="DN114" s="939">
        <f t="shared" si="1481"/>
        <v>411088</v>
      </c>
      <c r="DO114" s="939">
        <f t="shared" si="1482"/>
        <v>545283</v>
      </c>
      <c r="DP114" s="939">
        <f t="shared" si="1483"/>
        <v>476408.05142721336</v>
      </c>
      <c r="DQ114" s="939">
        <f t="shared" si="1484"/>
        <v>637627.09612889704</v>
      </c>
      <c r="DR114" s="599">
        <f t="shared" ref="DR114:DU114" si="1560">+(DR6)/365*DR162</f>
        <v>690911.29459440545</v>
      </c>
      <c r="DS114" s="599">
        <f t="shared" si="1560"/>
        <v>738061.91198050312</v>
      </c>
      <c r="DT114" s="599">
        <f t="shared" si="1560"/>
        <v>788431.46682501549</v>
      </c>
      <c r="DU114" s="599">
        <f t="shared" si="1560"/>
        <v>842197.83855129802</v>
      </c>
      <c r="DX114" s="599">
        <v>517338.39159986895</v>
      </c>
      <c r="DY114" s="599">
        <v>558338.53234209516</v>
      </c>
    </row>
    <row r="115" spans="1:129" s="904" customFormat="1">
      <c r="A115" s="939"/>
      <c r="B115" s="949" t="s">
        <v>430</v>
      </c>
      <c r="C115" s="939"/>
      <c r="D115" s="939">
        <v>14027</v>
      </c>
      <c r="E115" s="939">
        <v>15279</v>
      </c>
      <c r="F115" s="939">
        <v>26144</v>
      </c>
      <c r="G115" s="939">
        <v>18539</v>
      </c>
      <c r="H115" s="939">
        <v>16822</v>
      </c>
      <c r="I115" s="939">
        <v>17208</v>
      </c>
      <c r="J115" s="939">
        <v>28779</v>
      </c>
      <c r="K115" s="939">
        <v>23146</v>
      </c>
      <c r="L115" s="939">
        <f>19939+8293</f>
        <v>28232</v>
      </c>
      <c r="M115" s="939">
        <f>22118+8517</f>
        <v>30635</v>
      </c>
      <c r="N115" s="939">
        <f>38487+13154</f>
        <v>51641</v>
      </c>
      <c r="O115" s="939">
        <f>34201+9575</f>
        <v>43776</v>
      </c>
      <c r="P115" s="939">
        <f>28458+10757</f>
        <v>39215</v>
      </c>
      <c r="Q115" s="939">
        <f>33894+11437</f>
        <v>45331</v>
      </c>
      <c r="R115" s="939">
        <f>41150+15792</f>
        <v>56942</v>
      </c>
      <c r="S115" s="939">
        <f>39096+12586</f>
        <v>51682</v>
      </c>
      <c r="T115" s="939">
        <f>31580+13915</f>
        <v>45495</v>
      </c>
      <c r="U115" s="939">
        <f>35508+13694</f>
        <v>49202</v>
      </c>
      <c r="V115" s="939">
        <f>30086+18172</f>
        <v>48258</v>
      </c>
      <c r="W115" s="939">
        <f>29031+14954</f>
        <v>43985</v>
      </c>
      <c r="X115" s="939">
        <f>34773+16029</f>
        <v>50802</v>
      </c>
      <c r="Y115" s="939">
        <f>39562+15658</f>
        <v>55220</v>
      </c>
      <c r="Z115" s="939">
        <f>47395+16842</f>
        <v>64237</v>
      </c>
      <c r="AA115" s="939">
        <f>49765+14639</f>
        <v>64404</v>
      </c>
      <c r="AB115" s="939">
        <f>41697+15580</f>
        <v>57277</v>
      </c>
      <c r="AC115" s="939">
        <f>51846+15178</f>
        <v>67024</v>
      </c>
      <c r="AD115" s="939">
        <f>56355+20809</f>
        <v>77164</v>
      </c>
      <c r="AE115" s="939">
        <f>58482+16591</f>
        <v>75073</v>
      </c>
      <c r="AF115" s="939">
        <f>46481+20441</f>
        <v>66922</v>
      </c>
      <c r="AG115" s="939">
        <f>51950+19196</f>
        <v>71146</v>
      </c>
      <c r="AH115" s="939">
        <f>46766+19124</f>
        <v>65890</v>
      </c>
      <c r="AI115" s="939">
        <v>49501</v>
      </c>
      <c r="AJ115" s="939">
        <v>61274</v>
      </c>
      <c r="AK115" s="939">
        <v>73753</v>
      </c>
      <c r="AL115" s="939">
        <v>79258</v>
      </c>
      <c r="AM115" s="939">
        <v>81618</v>
      </c>
      <c r="AN115" s="939">
        <v>68407</v>
      </c>
      <c r="AO115" s="939">
        <v>74691</v>
      </c>
      <c r="AP115" s="939">
        <v>87142</v>
      </c>
      <c r="AQ115" s="939">
        <v>89291</v>
      </c>
      <c r="AR115" s="939">
        <v>82278</v>
      </c>
      <c r="AS115" s="939">
        <v>100777</v>
      </c>
      <c r="AT115" s="939">
        <v>124662</v>
      </c>
      <c r="AU115" s="952">
        <v>149145</v>
      </c>
      <c r="AV115" s="952">
        <v>123044</v>
      </c>
      <c r="AW115" s="952">
        <v>140826</v>
      </c>
      <c r="AX115" s="952">
        <v>174704</v>
      </c>
      <c r="AY115" s="952">
        <v>178884</v>
      </c>
      <c r="AZ115" s="952">
        <v>151162</v>
      </c>
      <c r="BA115" s="952">
        <v>164549</v>
      </c>
      <c r="BB115" s="952">
        <v>179470</v>
      </c>
      <c r="BC115" s="952">
        <v>190879</v>
      </c>
      <c r="BD115" s="952">
        <v>186370</v>
      </c>
      <c r="BE115" s="952">
        <v>217643</v>
      </c>
      <c r="BF115" s="952">
        <v>233338</v>
      </c>
      <c r="BG115" s="952">
        <v>244078</v>
      </c>
      <c r="BH115" s="952">
        <v>197862</v>
      </c>
      <c r="BI115" s="952">
        <v>222826</v>
      </c>
      <c r="BJ115" s="952">
        <v>246009</v>
      </c>
      <c r="BK115" s="952">
        <v>257529</v>
      </c>
      <c r="BL115" s="952">
        <v>237800</v>
      </c>
      <c r="BM115" s="952">
        <v>278256</v>
      </c>
      <c r="BN115" s="952">
        <v>306882</v>
      </c>
      <c r="BO115" s="952">
        <v>297999</v>
      </c>
      <c r="BP115" s="952">
        <v>251612</v>
      </c>
      <c r="BQ115" s="952">
        <v>289027</v>
      </c>
      <c r="BR115" s="952">
        <v>226816</v>
      </c>
      <c r="BS115" s="952">
        <v>221303</v>
      </c>
      <c r="BT115" s="952">
        <v>264779</v>
      </c>
      <c r="BU115" s="952">
        <v>333603</v>
      </c>
      <c r="BV115" s="952">
        <v>460373</v>
      </c>
      <c r="BW115" s="952">
        <v>493462</v>
      </c>
      <c r="BX115" s="952">
        <v>370690</v>
      </c>
      <c r="BY115" s="952">
        <v>396711</v>
      </c>
      <c r="BZ115" s="952">
        <v>305062</v>
      </c>
      <c r="CA115" s="952">
        <v>306921</v>
      </c>
      <c r="CB115" s="952">
        <v>316851</v>
      </c>
      <c r="CC115" s="952">
        <v>336286</v>
      </c>
      <c r="CD115" s="952">
        <v>323126</v>
      </c>
      <c r="CE115" s="952">
        <v>340163</v>
      </c>
      <c r="CF115" s="952">
        <v>372856</v>
      </c>
      <c r="CG115" s="952">
        <v>431346</v>
      </c>
      <c r="CH115" s="952">
        <v>488482</v>
      </c>
      <c r="CI115" s="952">
        <v>512739</v>
      </c>
      <c r="CJ115" s="952">
        <v>450106</v>
      </c>
      <c r="CK115" s="952">
        <v>514380</v>
      </c>
      <c r="CL115" s="595">
        <f t="shared" ref="CL115" si="1561">+CK115</f>
        <v>514380</v>
      </c>
      <c r="CM115" s="595">
        <f t="shared" ref="CM115" si="1562">+CL115</f>
        <v>514380</v>
      </c>
      <c r="CN115" s="595">
        <f t="shared" ref="CN115" si="1563">+CM115</f>
        <v>514380</v>
      </c>
      <c r="CO115" s="595">
        <f t="shared" ref="CO115" si="1564">+CN115</f>
        <v>514380</v>
      </c>
      <c r="CP115" s="595">
        <f t="shared" ref="CP115" si="1565">+CO115</f>
        <v>514380</v>
      </c>
      <c r="CQ115" s="941"/>
      <c r="CR115" s="941">
        <v>514380</v>
      </c>
      <c r="CT115" s="967"/>
      <c r="CU115" s="967"/>
      <c r="CV115" s="967"/>
      <c r="CW115" s="967"/>
      <c r="CX115" s="592">
        <f t="shared" si="1491"/>
        <v>56942</v>
      </c>
      <c r="CY115" s="592">
        <f t="shared" si="1492"/>
        <v>48258</v>
      </c>
      <c r="CZ115" s="592">
        <f t="shared" si="1493"/>
        <v>64237</v>
      </c>
      <c r="DA115" s="592">
        <f t="shared" si="1494"/>
        <v>77164</v>
      </c>
      <c r="DB115" s="592">
        <f t="shared" si="1495"/>
        <v>65890</v>
      </c>
      <c r="DC115" s="592">
        <f t="shared" si="1496"/>
        <v>79258</v>
      </c>
      <c r="DD115" s="592">
        <f t="shared" si="1497"/>
        <v>87142</v>
      </c>
      <c r="DE115" s="592">
        <f>AT115</f>
        <v>124662</v>
      </c>
      <c r="DF115" s="592">
        <f>+AX115</f>
        <v>174704</v>
      </c>
      <c r="DG115" s="592">
        <f>+BB115</f>
        <v>179470</v>
      </c>
      <c r="DH115" s="592">
        <f>+BF115</f>
        <v>233338</v>
      </c>
      <c r="DI115" s="939">
        <f>+BJ115</f>
        <v>246009</v>
      </c>
      <c r="DJ115" s="939">
        <f t="shared" si="1526"/>
        <v>306882</v>
      </c>
      <c r="DK115" s="939">
        <f t="shared" si="1527"/>
        <v>226816</v>
      </c>
      <c r="DL115" s="939">
        <f t="shared" si="1479"/>
        <v>460373</v>
      </c>
      <c r="DM115" s="939">
        <f t="shared" si="1480"/>
        <v>305062</v>
      </c>
      <c r="DN115" s="939">
        <f t="shared" si="1481"/>
        <v>323126</v>
      </c>
      <c r="DO115" s="939">
        <f t="shared" si="1482"/>
        <v>488482</v>
      </c>
      <c r="DP115" s="939">
        <f t="shared" si="1483"/>
        <v>514380</v>
      </c>
      <c r="DQ115" s="939">
        <f t="shared" si="1484"/>
        <v>514380</v>
      </c>
      <c r="DR115" s="595">
        <f t="shared" ref="DR115:DR116" si="1566">+DQ115</f>
        <v>514380</v>
      </c>
      <c r="DS115" s="595">
        <f t="shared" ref="DS115:DS116" si="1567">+DR115</f>
        <v>514380</v>
      </c>
      <c r="DT115" s="595">
        <f t="shared" ref="DT115:DT116" si="1568">+DS115</f>
        <v>514380</v>
      </c>
      <c r="DU115" s="595">
        <f t="shared" ref="DU115:DU116" si="1569">+DT115</f>
        <v>514380</v>
      </c>
      <c r="DX115" s="595">
        <v>514380</v>
      </c>
      <c r="DY115" s="595">
        <v>514380</v>
      </c>
    </row>
    <row r="116" spans="1:129" s="904" customFormat="1">
      <c r="A116" s="939"/>
      <c r="B116" s="949" t="s">
        <v>431</v>
      </c>
      <c r="C116" s="939"/>
      <c r="D116" s="939">
        <v>0</v>
      </c>
      <c r="E116" s="939">
        <v>0</v>
      </c>
      <c r="F116" s="939">
        <v>18</v>
      </c>
      <c r="G116" s="939">
        <v>0</v>
      </c>
      <c r="H116" s="939">
        <v>0</v>
      </c>
      <c r="I116" s="939">
        <v>0</v>
      </c>
      <c r="J116" s="939">
        <v>45208</v>
      </c>
      <c r="K116" s="939">
        <v>79</v>
      </c>
      <c r="L116" s="939">
        <v>78</v>
      </c>
      <c r="M116" s="939">
        <v>95</v>
      </c>
      <c r="N116" s="939">
        <v>69386</v>
      </c>
      <c r="O116" s="939">
        <v>37817</v>
      </c>
      <c r="P116" s="939">
        <v>138</v>
      </c>
      <c r="Q116" s="939">
        <v>137</v>
      </c>
      <c r="R116" s="939">
        <v>117638</v>
      </c>
      <c r="S116" s="939">
        <v>87756</v>
      </c>
      <c r="T116" s="939">
        <v>57392</v>
      </c>
      <c r="U116" s="939">
        <v>29957</v>
      </c>
      <c r="V116" s="939">
        <v>43539</v>
      </c>
      <c r="W116" s="939">
        <v>43539</v>
      </c>
      <c r="X116" s="939">
        <v>0</v>
      </c>
      <c r="Y116" s="939">
        <v>0</v>
      </c>
      <c r="Z116" s="939">
        <v>142452</v>
      </c>
      <c r="AA116" s="939">
        <v>0</v>
      </c>
      <c r="AB116" s="939">
        <f>+AA116</f>
        <v>0</v>
      </c>
      <c r="AC116" s="939">
        <v>0</v>
      </c>
      <c r="AD116" s="939">
        <v>84429</v>
      </c>
      <c r="AE116" s="939">
        <v>100503</v>
      </c>
      <c r="AF116" s="939">
        <v>33068</v>
      </c>
      <c r="AG116" s="939">
        <v>49829</v>
      </c>
      <c r="AH116" s="939">
        <v>88428</v>
      </c>
      <c r="AI116" s="939">
        <v>106050</v>
      </c>
      <c r="AJ116" s="939">
        <v>36832</v>
      </c>
      <c r="AK116" s="939">
        <v>54126</v>
      </c>
      <c r="AL116" s="939">
        <v>95968</v>
      </c>
      <c r="AM116" s="939">
        <v>108007</v>
      </c>
      <c r="AN116" s="939">
        <v>25312</v>
      </c>
      <c r="AO116" s="939">
        <v>37975</v>
      </c>
      <c r="AP116" s="939">
        <v>103093</v>
      </c>
      <c r="AQ116" s="939">
        <v>118128</v>
      </c>
      <c r="AR116" s="939">
        <v>31256</v>
      </c>
      <c r="AS116" s="939">
        <v>47105</v>
      </c>
      <c r="AT116" s="939">
        <v>124312</v>
      </c>
      <c r="AU116" s="952">
        <v>144821</v>
      </c>
      <c r="AV116" s="952">
        <v>44434</v>
      </c>
      <c r="AW116" s="952">
        <v>70238</v>
      </c>
      <c r="AX116" s="952">
        <v>147858</v>
      </c>
      <c r="AY116" s="952">
        <v>182947</v>
      </c>
      <c r="AZ116" s="952">
        <v>71279</v>
      </c>
      <c r="BA116" s="952">
        <v>110089</v>
      </c>
      <c r="BB116" s="952">
        <v>156679</v>
      </c>
      <c r="BC116" s="952">
        <v>198022</v>
      </c>
      <c r="BD116" s="952">
        <v>81713</v>
      </c>
      <c r="BE116" s="952">
        <v>124821</v>
      </c>
      <c r="BF116" s="952">
        <v>180933</v>
      </c>
      <c r="BG116" s="952">
        <v>225954</v>
      </c>
      <c r="BH116" s="952">
        <v>91388</v>
      </c>
      <c r="BI116" s="952">
        <v>140850</v>
      </c>
      <c r="BJ116" s="952">
        <v>242995</v>
      </c>
      <c r="BK116" s="952">
        <v>301036</v>
      </c>
      <c r="BL116" s="952">
        <v>112333</v>
      </c>
      <c r="BM116" s="952">
        <v>167698</v>
      </c>
      <c r="BN116" s="952">
        <v>243114</v>
      </c>
      <c r="BO116" s="952">
        <v>294646</v>
      </c>
      <c r="BP116" s="952">
        <v>101263</v>
      </c>
      <c r="BQ116" s="952">
        <v>160099</v>
      </c>
      <c r="BR116" s="952">
        <v>246269</v>
      </c>
      <c r="BS116" s="952">
        <v>297878</v>
      </c>
      <c r="BT116" s="952">
        <v>130725</v>
      </c>
      <c r="BU116" s="952">
        <v>233277</v>
      </c>
      <c r="BV116" s="952">
        <v>353522</v>
      </c>
      <c r="BW116" s="952">
        <v>480204</v>
      </c>
      <c r="BX116" s="952">
        <v>268848</v>
      </c>
      <c r="BY116" s="952">
        <v>151376</v>
      </c>
      <c r="BZ116" s="952">
        <v>160966</v>
      </c>
      <c r="CA116" s="952">
        <v>156537</v>
      </c>
      <c r="CB116" s="952">
        <v>306046</v>
      </c>
      <c r="CC116" s="952">
        <v>458342</v>
      </c>
      <c r="CD116" s="952">
        <v>297902</v>
      </c>
      <c r="CE116" s="952">
        <v>126760</v>
      </c>
      <c r="CF116" s="952">
        <v>131449</v>
      </c>
      <c r="CG116" s="952">
        <v>142962</v>
      </c>
      <c r="CH116" s="952">
        <v>170550</v>
      </c>
      <c r="CI116" s="952">
        <v>179666</v>
      </c>
      <c r="CJ116" s="952">
        <v>178387</v>
      </c>
      <c r="CK116" s="952">
        <v>191852</v>
      </c>
      <c r="CL116" s="941">
        <v>0</v>
      </c>
      <c r="CM116" s="941">
        <v>0</v>
      </c>
      <c r="CN116" s="941">
        <v>0</v>
      </c>
      <c r="CO116" s="941">
        <v>0</v>
      </c>
      <c r="CP116" s="941">
        <v>0</v>
      </c>
      <c r="CQ116" s="941"/>
      <c r="CR116" s="941">
        <v>0</v>
      </c>
      <c r="CT116" s="948"/>
      <c r="CU116" s="948"/>
      <c r="CV116" s="948"/>
      <c r="CW116" s="948"/>
      <c r="CX116" s="592">
        <f t="shared" si="1491"/>
        <v>117638</v>
      </c>
      <c r="CY116" s="592">
        <f t="shared" si="1492"/>
        <v>43539</v>
      </c>
      <c r="CZ116" s="592">
        <f t="shared" si="1493"/>
        <v>142452</v>
      </c>
      <c r="DA116" s="592">
        <f t="shared" si="1494"/>
        <v>84429</v>
      </c>
      <c r="DB116" s="592">
        <f t="shared" si="1495"/>
        <v>88428</v>
      </c>
      <c r="DC116" s="592">
        <f t="shared" si="1496"/>
        <v>95968</v>
      </c>
      <c r="DD116" s="592">
        <f t="shared" si="1497"/>
        <v>103093</v>
      </c>
      <c r="DE116" s="592">
        <f>AT116</f>
        <v>124312</v>
      </c>
      <c r="DF116" s="592">
        <f>+AX116</f>
        <v>147858</v>
      </c>
      <c r="DG116" s="592">
        <f>+BB116</f>
        <v>156679</v>
      </c>
      <c r="DH116" s="592">
        <f>+BF116</f>
        <v>180933</v>
      </c>
      <c r="DI116" s="939">
        <f>+BJ116</f>
        <v>242995</v>
      </c>
      <c r="DJ116" s="939">
        <f t="shared" si="1526"/>
        <v>243114</v>
      </c>
      <c r="DK116" s="939">
        <f t="shared" si="1527"/>
        <v>246269</v>
      </c>
      <c r="DL116" s="939">
        <f t="shared" si="1479"/>
        <v>353522</v>
      </c>
      <c r="DM116" s="939">
        <f t="shared" si="1480"/>
        <v>160966</v>
      </c>
      <c r="DN116" s="939">
        <f t="shared" si="1481"/>
        <v>297902</v>
      </c>
      <c r="DO116" s="939">
        <f t="shared" si="1482"/>
        <v>170550</v>
      </c>
      <c r="DP116" s="939">
        <f t="shared" si="1483"/>
        <v>0</v>
      </c>
      <c r="DQ116" s="939">
        <f t="shared" si="1484"/>
        <v>0</v>
      </c>
      <c r="DR116" s="599">
        <f t="shared" si="1566"/>
        <v>0</v>
      </c>
      <c r="DS116" s="599">
        <f t="shared" si="1567"/>
        <v>0</v>
      </c>
      <c r="DT116" s="599">
        <f t="shared" si="1568"/>
        <v>0</v>
      </c>
      <c r="DU116" s="599">
        <f t="shared" si="1569"/>
        <v>0</v>
      </c>
      <c r="DX116" s="599">
        <v>0</v>
      </c>
      <c r="DY116" s="599">
        <v>0</v>
      </c>
    </row>
    <row r="117" spans="1:129" s="904" customFormat="1">
      <c r="A117" s="939"/>
      <c r="B117" s="949" t="s">
        <v>432</v>
      </c>
      <c r="C117" s="939"/>
      <c r="D117" s="939">
        <f>27458+29769</f>
        <v>57227</v>
      </c>
      <c r="E117" s="939">
        <f>24013+31208</f>
        <v>55221</v>
      </c>
      <c r="F117" s="939">
        <f>30636+5453</f>
        <v>36089</v>
      </c>
      <c r="G117" s="939">
        <f>26550+5683</f>
        <v>32233</v>
      </c>
      <c r="H117" s="939">
        <f>37226+6030</f>
        <v>43256</v>
      </c>
      <c r="I117" s="939">
        <f>31690+6241</f>
        <v>37931</v>
      </c>
      <c r="J117" s="939">
        <f>35738+6458</f>
        <v>42196</v>
      </c>
      <c r="K117" s="939">
        <f>36573+6803</f>
        <v>43376</v>
      </c>
      <c r="L117" s="939">
        <f>7098+45093</f>
        <v>52191</v>
      </c>
      <c r="M117" s="939">
        <f>7390+47644</f>
        <v>55034</v>
      </c>
      <c r="N117" s="939">
        <f>53933+7658</f>
        <v>61591</v>
      </c>
      <c r="O117" s="939">
        <f>8125+67915</f>
        <v>76040</v>
      </c>
      <c r="P117" s="939">
        <f>7495+68627</f>
        <v>76122</v>
      </c>
      <c r="Q117" s="939">
        <f>8819+57421</f>
        <v>66240</v>
      </c>
      <c r="R117" s="939">
        <f>10258+62323</f>
        <v>72581</v>
      </c>
      <c r="S117" s="939">
        <f>12260+68740</f>
        <v>81000</v>
      </c>
      <c r="T117" s="939">
        <f>233+13163</f>
        <v>13396</v>
      </c>
      <c r="U117" s="939">
        <f>226+13074</f>
        <v>13300</v>
      </c>
      <c r="V117" s="939">
        <f>13415+44968</f>
        <v>58383</v>
      </c>
      <c r="W117" s="939">
        <f>13716+37742</f>
        <v>51458</v>
      </c>
      <c r="X117" s="939">
        <f>14730+43409+260</f>
        <v>58399</v>
      </c>
      <c r="Y117" s="939">
        <f>260+15976+39312</f>
        <v>55548</v>
      </c>
      <c r="Z117" s="939">
        <f>16332+47461</f>
        <v>63793</v>
      </c>
      <c r="AA117" s="939">
        <f>53656+16780+50559</f>
        <v>120995</v>
      </c>
      <c r="AB117" s="939">
        <f>369+16974+47646</f>
        <v>64989</v>
      </c>
      <c r="AC117" s="939">
        <f>368+17720+49358</f>
        <v>67446</v>
      </c>
      <c r="AD117" s="939">
        <f>17581+38263</f>
        <v>55844</v>
      </c>
      <c r="AE117" s="939">
        <f>18784+27972</f>
        <v>46756</v>
      </c>
      <c r="AF117" s="939">
        <f>19175+63550</f>
        <v>82725</v>
      </c>
      <c r="AG117" s="939">
        <f>19779+45489</f>
        <v>65268</v>
      </c>
      <c r="AH117" s="939">
        <f>52742+24961</f>
        <v>77703</v>
      </c>
      <c r="AI117" s="939">
        <f>21723+58467+20424</f>
        <v>100614</v>
      </c>
      <c r="AJ117" s="939">
        <f>77811+20009+21938</f>
        <v>119758</v>
      </c>
      <c r="AK117" s="939">
        <f>23502+18061+86698</f>
        <v>128261</v>
      </c>
      <c r="AL117" s="939">
        <f>104676+18759+31671</f>
        <v>155106</v>
      </c>
      <c r="AM117" s="939">
        <f>24505+18613+94018</f>
        <v>137136</v>
      </c>
      <c r="AN117" s="939">
        <f>101859+18288+24787</f>
        <v>144934</v>
      </c>
      <c r="AO117" s="939">
        <f>139156+18321+25808</f>
        <v>183285</v>
      </c>
      <c r="AP117" s="939">
        <f>34672+17493+213506</f>
        <v>265671</v>
      </c>
      <c r="AQ117" s="939">
        <f>108825+114435+18537+27182</f>
        <v>268979</v>
      </c>
      <c r="AR117" s="939">
        <f>76713+132408+19529+30047</f>
        <v>258697</v>
      </c>
      <c r="AS117" s="939">
        <f>30144+20428+156091+61458</f>
        <v>268121</v>
      </c>
      <c r="AT117" s="939">
        <f>67184+196988+41266+23998</f>
        <v>329436</v>
      </c>
      <c r="AU117" s="952">
        <v>299367</v>
      </c>
      <c r="AV117" s="952">
        <v>333471</v>
      </c>
      <c r="AW117" s="952">
        <v>331133</v>
      </c>
      <c r="AX117" s="952">
        <v>393547</v>
      </c>
      <c r="AY117" s="952">
        <v>393330</v>
      </c>
      <c r="AZ117" s="952">
        <v>462323</v>
      </c>
      <c r="BA117" s="952">
        <v>460164</v>
      </c>
      <c r="BB117" s="952">
        <v>500950</v>
      </c>
      <c r="BC117" s="952">
        <v>480730</v>
      </c>
      <c r="BD117" s="952">
        <v>586927</v>
      </c>
      <c r="BE117" s="952">
        <v>603702</v>
      </c>
      <c r="BF117" s="952">
        <v>697359</v>
      </c>
      <c r="BG117" s="952">
        <v>645872</v>
      </c>
      <c r="BH117" s="952">
        <v>672415</v>
      </c>
      <c r="BI117" s="952">
        <v>741059</v>
      </c>
      <c r="BJ117" s="952">
        <v>905666</v>
      </c>
      <c r="BK117" s="952">
        <v>743654</v>
      </c>
      <c r="BL117" s="952">
        <v>825760</v>
      </c>
      <c r="BM117" s="952">
        <v>913878</v>
      </c>
      <c r="BN117" s="952">
        <v>1079711</v>
      </c>
      <c r="BO117" s="952">
        <v>971661</v>
      </c>
      <c r="BP117" s="952">
        <v>939283</v>
      </c>
      <c r="BQ117" s="952">
        <v>1095361</v>
      </c>
      <c r="BR117" s="952">
        <v>1339003</v>
      </c>
      <c r="BS117" s="952">
        <v>1305761</v>
      </c>
      <c r="BT117" s="952">
        <v>1444433</v>
      </c>
      <c r="BU117" s="952">
        <v>1612367</v>
      </c>
      <c r="BV117" s="952">
        <v>2042292</v>
      </c>
      <c r="BW117" s="952">
        <v>2107375</v>
      </c>
      <c r="BX117" s="952">
        <v>2315901</v>
      </c>
      <c r="BY117" s="952">
        <v>2378260</v>
      </c>
      <c r="BZ117" s="952">
        <v>2753707</v>
      </c>
      <c r="CA117" s="952">
        <v>2640830</v>
      </c>
      <c r="CB117" s="952">
        <v>2599474</v>
      </c>
      <c r="CC117" s="952">
        <v>2560311</v>
      </c>
      <c r="CD117" s="952">
        <v>2732385</v>
      </c>
      <c r="CE117" s="952">
        <v>2632673</v>
      </c>
      <c r="CF117" s="952">
        <v>2676717</v>
      </c>
      <c r="CG117" s="952">
        <v>2667983</v>
      </c>
      <c r="CH117" s="952">
        <v>2830283</v>
      </c>
      <c r="CI117" s="952">
        <v>2660149</v>
      </c>
      <c r="CJ117" s="952">
        <v>2723714</v>
      </c>
      <c r="CK117" s="952">
        <v>2470732</v>
      </c>
      <c r="CL117" s="941">
        <f t="shared" ref="CL117" si="1570">+(SUM(CI6:CL6))*CL165</f>
        <v>2810480.9403361967</v>
      </c>
      <c r="CM117" s="941">
        <f t="shared" ref="CM117" si="1571">+(SUM(CJ6:CM6))*CM165</f>
        <v>2768469.3715347596</v>
      </c>
      <c r="CN117" s="941">
        <f t="shared" ref="CN117" si="1572">+(SUM(CK6:CN6))*CN165</f>
        <v>2773549.3666766803</v>
      </c>
      <c r="CO117" s="941">
        <f t="shared" ref="CO117" si="1573">+(SUM(CL6:CO6))*CO165</f>
        <v>2800140.1350339204</v>
      </c>
      <c r="CP117" s="941">
        <f t="shared" ref="CP117" si="1574">+(SUM(CM6:CP6))*CP165</f>
        <v>2921834.8498432897</v>
      </c>
      <c r="CQ117" s="941"/>
      <c r="CR117" s="941">
        <v>2810480.9403361967</v>
      </c>
      <c r="CT117" s="942"/>
      <c r="CU117" s="942"/>
      <c r="CV117" s="942"/>
      <c r="CW117" s="942"/>
      <c r="CX117" s="592">
        <f t="shared" si="1491"/>
        <v>72581</v>
      </c>
      <c r="CY117" s="592">
        <f t="shared" si="1492"/>
        <v>58383</v>
      </c>
      <c r="CZ117" s="592">
        <f t="shared" si="1493"/>
        <v>63793</v>
      </c>
      <c r="DA117" s="592">
        <f t="shared" si="1494"/>
        <v>55844</v>
      </c>
      <c r="DB117" s="592">
        <f t="shared" si="1495"/>
        <v>77703</v>
      </c>
      <c r="DC117" s="592">
        <f t="shared" si="1496"/>
        <v>155106</v>
      </c>
      <c r="DD117" s="592">
        <f t="shared" si="1497"/>
        <v>265671</v>
      </c>
      <c r="DE117" s="592">
        <f>AT117</f>
        <v>329436</v>
      </c>
      <c r="DF117" s="592">
        <f>+AX117</f>
        <v>393547</v>
      </c>
      <c r="DG117" s="592">
        <f>+BB117</f>
        <v>500950</v>
      </c>
      <c r="DH117" s="592">
        <f>+BF117</f>
        <v>697359</v>
      </c>
      <c r="DI117" s="939">
        <f>+BJ117</f>
        <v>905666</v>
      </c>
      <c r="DJ117" s="939">
        <f t="shared" si="1526"/>
        <v>1079711</v>
      </c>
      <c r="DK117" s="939">
        <f t="shared" si="1527"/>
        <v>1339003</v>
      </c>
      <c r="DL117" s="939">
        <f t="shared" si="1479"/>
        <v>2042292</v>
      </c>
      <c r="DM117" s="939">
        <f t="shared" si="1480"/>
        <v>2753707</v>
      </c>
      <c r="DN117" s="939">
        <f t="shared" si="1481"/>
        <v>2732385</v>
      </c>
      <c r="DO117" s="939">
        <f t="shared" si="1482"/>
        <v>2830283</v>
      </c>
      <c r="DP117" s="939">
        <f t="shared" si="1483"/>
        <v>2810480.9403361967</v>
      </c>
      <c r="DQ117" s="939">
        <f t="shared" si="1484"/>
        <v>2921834.8498432897</v>
      </c>
      <c r="DR117" s="599">
        <f t="shared" ref="DR117:DU117" si="1575">+(DR6)*DR165</f>
        <v>3166002.0581813371</v>
      </c>
      <c r="DS117" s="599">
        <f t="shared" si="1575"/>
        <v>3382063.0096476744</v>
      </c>
      <c r="DT117" s="599">
        <f t="shared" si="1575"/>
        <v>3612874.2810150357</v>
      </c>
      <c r="DU117" s="599">
        <f t="shared" si="1575"/>
        <v>3859250.9792658323</v>
      </c>
      <c r="DX117" s="599">
        <v>3051941.8908640253</v>
      </c>
      <c r="DY117" s="599">
        <v>3293814.616906174</v>
      </c>
    </row>
    <row r="118" spans="1:129" s="904" customFormat="1">
      <c r="A118" s="939"/>
      <c r="B118" s="949" t="s">
        <v>433</v>
      </c>
      <c r="C118" s="939"/>
      <c r="D118" s="939">
        <v>0</v>
      </c>
      <c r="E118" s="939">
        <v>0</v>
      </c>
      <c r="F118" s="939">
        <v>0</v>
      </c>
      <c r="G118" s="939">
        <v>0</v>
      </c>
      <c r="H118" s="939">
        <v>0</v>
      </c>
      <c r="I118" s="939">
        <v>0</v>
      </c>
      <c r="J118" s="939">
        <v>0</v>
      </c>
      <c r="K118" s="939">
        <v>0</v>
      </c>
      <c r="L118" s="939">
        <v>0</v>
      </c>
      <c r="M118" s="939">
        <v>0</v>
      </c>
      <c r="N118" s="939">
        <v>0</v>
      </c>
      <c r="O118" s="939">
        <v>0</v>
      </c>
      <c r="P118" s="939">
        <v>0</v>
      </c>
      <c r="Q118" s="939">
        <v>0</v>
      </c>
      <c r="R118" s="939">
        <v>0</v>
      </c>
      <c r="S118" s="939">
        <v>0</v>
      </c>
      <c r="T118" s="939">
        <v>0</v>
      </c>
      <c r="U118" s="939">
        <v>0</v>
      </c>
      <c r="V118" s="939">
        <v>0</v>
      </c>
      <c r="W118" s="939">
        <v>0</v>
      </c>
      <c r="X118" s="939">
        <v>0</v>
      </c>
      <c r="Y118" s="939">
        <v>0</v>
      </c>
      <c r="Z118" s="939">
        <v>0</v>
      </c>
      <c r="AA118" s="939">
        <v>0</v>
      </c>
      <c r="AB118" s="939">
        <v>0</v>
      </c>
      <c r="AC118" s="939">
        <v>0</v>
      </c>
      <c r="AD118" s="939">
        <v>0</v>
      </c>
      <c r="AE118" s="939">
        <v>0</v>
      </c>
      <c r="AF118" s="939">
        <v>0</v>
      </c>
      <c r="AG118" s="939">
        <v>0</v>
      </c>
      <c r="AH118" s="939">
        <v>0</v>
      </c>
      <c r="AI118" s="939">
        <v>0</v>
      </c>
      <c r="AJ118" s="939">
        <v>0</v>
      </c>
      <c r="AK118" s="939">
        <v>0</v>
      </c>
      <c r="AL118" s="939">
        <v>0</v>
      </c>
      <c r="AM118" s="939">
        <v>0</v>
      </c>
      <c r="AN118" s="939">
        <v>0</v>
      </c>
      <c r="AO118" s="939">
        <v>0</v>
      </c>
      <c r="AP118" s="939">
        <f>AO118</f>
        <v>0</v>
      </c>
      <c r="AQ118" s="939"/>
      <c r="AR118" s="939"/>
      <c r="AS118" s="939"/>
      <c r="AT118" s="939"/>
      <c r="AU118" s="952"/>
      <c r="AV118" s="952"/>
      <c r="AW118" s="952"/>
      <c r="AX118" s="952"/>
      <c r="AY118" s="952"/>
      <c r="AZ118" s="952"/>
      <c r="BA118" s="952"/>
      <c r="BB118" s="952"/>
      <c r="BC118" s="952"/>
      <c r="BD118" s="952"/>
      <c r="BE118" s="952"/>
      <c r="BF118" s="952"/>
      <c r="BG118" s="952"/>
      <c r="BH118" s="952"/>
      <c r="BI118" s="952"/>
      <c r="BJ118" s="952"/>
      <c r="BK118" s="952">
        <v>49552</v>
      </c>
      <c r="BL118" s="952">
        <v>52181</v>
      </c>
      <c r="BM118" s="952">
        <v>55200</v>
      </c>
      <c r="BN118" s="952">
        <v>75399</v>
      </c>
      <c r="BO118" s="952">
        <v>73451</v>
      </c>
      <c r="BP118" s="952">
        <v>59941</v>
      </c>
      <c r="BQ118" s="952">
        <v>64948</v>
      </c>
      <c r="BR118" s="952">
        <v>98487</v>
      </c>
      <c r="BS118" s="952">
        <v>68272</v>
      </c>
      <c r="BT118" s="952">
        <v>113657</v>
      </c>
      <c r="BU118" s="952">
        <v>67812</v>
      </c>
      <c r="BV118" s="952">
        <v>66928</v>
      </c>
      <c r="BW118" s="952">
        <v>178288</v>
      </c>
      <c r="BX118" s="952">
        <v>110223</v>
      </c>
      <c r="BY118" s="952">
        <v>99790</v>
      </c>
      <c r="BZ118" s="952">
        <v>92019</v>
      </c>
      <c r="CA118" s="952">
        <v>117864</v>
      </c>
      <c r="CB118" s="952">
        <v>132388</v>
      </c>
      <c r="CC118" s="952">
        <v>103952</v>
      </c>
      <c r="CD118" s="952">
        <v>113709</v>
      </c>
      <c r="CE118" s="952">
        <v>94639</v>
      </c>
      <c r="CF118" s="952">
        <v>87132</v>
      </c>
      <c r="CG118" s="952">
        <v>92763</v>
      </c>
      <c r="CH118" s="952">
        <v>90037</v>
      </c>
      <c r="CI118" s="952">
        <v>113306</v>
      </c>
      <c r="CJ118" s="952">
        <v>156358</v>
      </c>
      <c r="CK118" s="952">
        <v>369886</v>
      </c>
      <c r="CL118" s="595">
        <f t="shared" ref="CL118" si="1576">+CK118</f>
        <v>369886</v>
      </c>
      <c r="CM118" s="595">
        <f t="shared" ref="CM118" si="1577">+CL118</f>
        <v>369886</v>
      </c>
      <c r="CN118" s="595">
        <f t="shared" ref="CN118" si="1578">+CM118</f>
        <v>369886</v>
      </c>
      <c r="CO118" s="595">
        <f t="shared" ref="CO118" si="1579">+CN118</f>
        <v>369886</v>
      </c>
      <c r="CP118" s="595">
        <f t="shared" ref="CP118" si="1580">+CO118</f>
        <v>369886</v>
      </c>
      <c r="CQ118" s="941"/>
      <c r="CR118" s="941">
        <v>369886</v>
      </c>
      <c r="CT118" s="948"/>
      <c r="CU118" s="948"/>
      <c r="CV118" s="948"/>
      <c r="CW118" s="948"/>
      <c r="CX118" s="592">
        <f t="shared" si="1491"/>
        <v>0</v>
      </c>
      <c r="CY118" s="592">
        <f t="shared" si="1492"/>
        <v>0</v>
      </c>
      <c r="CZ118" s="592">
        <f t="shared" si="1493"/>
        <v>0</v>
      </c>
      <c r="DA118" s="592">
        <f t="shared" si="1494"/>
        <v>0</v>
      </c>
      <c r="DB118" s="592">
        <f t="shared" si="1495"/>
        <v>0</v>
      </c>
      <c r="DC118" s="592">
        <f t="shared" si="1496"/>
        <v>0</v>
      </c>
      <c r="DD118" s="592">
        <f t="shared" si="1497"/>
        <v>0</v>
      </c>
      <c r="DE118" s="592"/>
      <c r="DF118" s="592"/>
      <c r="DG118" s="592"/>
      <c r="DH118" s="592"/>
      <c r="DI118" s="948"/>
      <c r="DJ118" s="948"/>
      <c r="DK118" s="948"/>
      <c r="DL118" s="939">
        <f t="shared" si="1479"/>
        <v>66928</v>
      </c>
      <c r="DM118" s="939">
        <f t="shared" si="1480"/>
        <v>92019</v>
      </c>
      <c r="DN118" s="939">
        <f t="shared" si="1481"/>
        <v>113709</v>
      </c>
      <c r="DO118" s="939">
        <f t="shared" si="1482"/>
        <v>90037</v>
      </c>
      <c r="DP118" s="939">
        <f t="shared" si="1483"/>
        <v>369886</v>
      </c>
      <c r="DQ118" s="939">
        <f t="shared" si="1484"/>
        <v>369886</v>
      </c>
      <c r="DR118" s="595">
        <f t="shared" ref="DR118:DU118" si="1581">+DQ118</f>
        <v>369886</v>
      </c>
      <c r="DS118" s="595">
        <f t="shared" si="1581"/>
        <v>369886</v>
      </c>
      <c r="DT118" s="595">
        <f t="shared" si="1581"/>
        <v>369886</v>
      </c>
      <c r="DU118" s="595">
        <f t="shared" si="1581"/>
        <v>369886</v>
      </c>
      <c r="DX118" s="595">
        <v>369886</v>
      </c>
      <c r="DY118" s="595">
        <v>369886</v>
      </c>
    </row>
    <row r="119" spans="1:129" s="904" customFormat="1">
      <c r="A119" s="943"/>
      <c r="B119" s="944" t="s">
        <v>434</v>
      </c>
      <c r="C119" s="943">
        <f t="shared" ref="C119:AH119" si="1582">+SUM(C120:C125)</f>
        <v>0</v>
      </c>
      <c r="D119" s="943">
        <f t="shared" si="1582"/>
        <v>255720</v>
      </c>
      <c r="E119" s="943">
        <f t="shared" si="1582"/>
        <v>235736</v>
      </c>
      <c r="F119" s="943">
        <f t="shared" si="1582"/>
        <v>248457</v>
      </c>
      <c r="G119" s="943">
        <f t="shared" si="1582"/>
        <v>250998</v>
      </c>
      <c r="H119" s="943">
        <f t="shared" si="1582"/>
        <v>236472</v>
      </c>
      <c r="I119" s="943">
        <f t="shared" si="1582"/>
        <v>44089</v>
      </c>
      <c r="J119" s="943">
        <f t="shared" si="1582"/>
        <v>46869</v>
      </c>
      <c r="K119" s="943">
        <f t="shared" si="1582"/>
        <v>19335</v>
      </c>
      <c r="L119" s="943">
        <f t="shared" si="1582"/>
        <v>25475</v>
      </c>
      <c r="M119" s="943">
        <f t="shared" si="1582"/>
        <v>26299</v>
      </c>
      <c r="N119" s="943">
        <f t="shared" si="1582"/>
        <v>28797</v>
      </c>
      <c r="O119" s="943">
        <f t="shared" si="1582"/>
        <v>50583</v>
      </c>
      <c r="P119" s="943">
        <f t="shared" si="1582"/>
        <v>52397</v>
      </c>
      <c r="Q119" s="943">
        <f t="shared" si="1582"/>
        <v>39319</v>
      </c>
      <c r="R119" s="943">
        <f t="shared" si="1582"/>
        <v>43937</v>
      </c>
      <c r="S119" s="943">
        <f t="shared" si="1582"/>
        <v>46223</v>
      </c>
      <c r="T119" s="943">
        <f t="shared" si="1582"/>
        <v>75839</v>
      </c>
      <c r="U119" s="943">
        <f t="shared" si="1582"/>
        <v>83547</v>
      </c>
      <c r="V119" s="943">
        <f t="shared" si="1582"/>
        <v>80972</v>
      </c>
      <c r="W119" s="943">
        <f t="shared" si="1582"/>
        <v>76249</v>
      </c>
      <c r="X119" s="943">
        <f t="shared" si="1582"/>
        <v>83029</v>
      </c>
      <c r="Y119" s="943">
        <f t="shared" si="1582"/>
        <v>79659</v>
      </c>
      <c r="Z119" s="943">
        <f t="shared" si="1582"/>
        <v>81427</v>
      </c>
      <c r="AA119" s="943">
        <f t="shared" si="1582"/>
        <v>83057</v>
      </c>
      <c r="AB119" s="943">
        <f t="shared" si="1582"/>
        <v>93366</v>
      </c>
      <c r="AC119" s="943">
        <f t="shared" si="1582"/>
        <v>99401</v>
      </c>
      <c r="AD119" s="943">
        <f t="shared" si="1582"/>
        <v>457132</v>
      </c>
      <c r="AE119" s="943">
        <f t="shared" si="1582"/>
        <v>446786</v>
      </c>
      <c r="AF119" s="943">
        <f t="shared" si="1582"/>
        <v>456839</v>
      </c>
      <c r="AG119" s="943">
        <f t="shared" si="1582"/>
        <v>757878</v>
      </c>
      <c r="AH119" s="943">
        <f t="shared" si="1582"/>
        <v>762931</v>
      </c>
      <c r="AI119" s="943">
        <f t="shared" ref="AI119:BD119" si="1583">+SUM(AI120:AI125)</f>
        <v>765467</v>
      </c>
      <c r="AJ119" s="943">
        <f t="shared" si="1583"/>
        <v>756555</v>
      </c>
      <c r="AK119" s="943">
        <f t="shared" si="1583"/>
        <v>1080528</v>
      </c>
      <c r="AL119" s="943">
        <f t="shared" si="1583"/>
        <v>739133</v>
      </c>
      <c r="AM119" s="943">
        <f t="shared" si="1583"/>
        <v>702850</v>
      </c>
      <c r="AN119" s="943">
        <f t="shared" si="1583"/>
        <v>696760</v>
      </c>
      <c r="AO119" s="943">
        <f t="shared" si="1583"/>
        <v>1103861</v>
      </c>
      <c r="AP119" s="943">
        <f t="shared" si="1583"/>
        <v>1089682</v>
      </c>
      <c r="AQ119" s="943">
        <f t="shared" si="1583"/>
        <v>1092132</v>
      </c>
      <c r="AR119" s="943">
        <f t="shared" si="1583"/>
        <v>1522677</v>
      </c>
      <c r="AS119" s="943">
        <f t="shared" si="1583"/>
        <v>1385038</v>
      </c>
      <c r="AT119" s="943">
        <f t="shared" si="1583"/>
        <v>1428910</v>
      </c>
      <c r="AU119" s="943">
        <f t="shared" si="1583"/>
        <v>1444295</v>
      </c>
      <c r="AV119" s="943">
        <f t="shared" si="1583"/>
        <v>1366376</v>
      </c>
      <c r="AW119" s="943">
        <f t="shared" si="1583"/>
        <v>1234732</v>
      </c>
      <c r="AX119" s="943">
        <f t="shared" si="1583"/>
        <v>1233696</v>
      </c>
      <c r="AY119" s="943">
        <f t="shared" si="1583"/>
        <v>1234650</v>
      </c>
      <c r="AZ119" s="945">
        <f t="shared" si="1583"/>
        <v>1160598</v>
      </c>
      <c r="BA119" s="945">
        <f t="shared" si="1583"/>
        <v>924191</v>
      </c>
      <c r="BB119" s="943">
        <f t="shared" si="1583"/>
        <v>920665</v>
      </c>
      <c r="BC119" s="943">
        <f t="shared" si="1583"/>
        <v>1240045</v>
      </c>
      <c r="BD119" s="943">
        <f t="shared" si="1583"/>
        <v>1125725</v>
      </c>
      <c r="BE119" s="943">
        <f t="shared" ref="BE119:BO119" si="1584">+SUM(BE120:BE125)</f>
        <v>1236683</v>
      </c>
      <c r="BF119" s="943">
        <f t="shared" si="1584"/>
        <v>1382500</v>
      </c>
      <c r="BG119" s="943">
        <f t="shared" si="1584"/>
        <v>1376119</v>
      </c>
      <c r="BH119" s="943">
        <f t="shared" si="1584"/>
        <v>899170</v>
      </c>
      <c r="BI119" s="943">
        <f t="shared" si="1584"/>
        <v>707433</v>
      </c>
      <c r="BJ119" s="943">
        <f t="shared" si="1584"/>
        <v>542181</v>
      </c>
      <c r="BK119" s="943">
        <f t="shared" si="1584"/>
        <v>1560422</v>
      </c>
      <c r="BL119" s="943">
        <f t="shared" si="1584"/>
        <v>1953578</v>
      </c>
      <c r="BM119" s="943">
        <f t="shared" si="1584"/>
        <v>2246065</v>
      </c>
      <c r="BN119" s="943">
        <f t="shared" si="1584"/>
        <v>2096566</v>
      </c>
      <c r="BO119" s="943">
        <f t="shared" si="1584"/>
        <v>2042623</v>
      </c>
      <c r="BP119" s="943">
        <f t="shared" ref="BP119:BV119" si="1585">+SUM(BP120:BP125)</f>
        <v>2619110</v>
      </c>
      <c r="BQ119" s="943">
        <f t="shared" si="1585"/>
        <v>2927394</v>
      </c>
      <c r="BR119" s="943">
        <f t="shared" si="1585"/>
        <v>3507856</v>
      </c>
      <c r="BS119" s="943">
        <f t="shared" si="1585"/>
        <v>4959001</v>
      </c>
      <c r="BT119" s="943">
        <f t="shared" si="1585"/>
        <v>5026331</v>
      </c>
      <c r="BU119" s="943">
        <f t="shared" si="1585"/>
        <v>4556703</v>
      </c>
      <c r="BV119" s="943">
        <f t="shared" si="1585"/>
        <v>3651264</v>
      </c>
      <c r="BW119" s="943">
        <f t="shared" ref="BW119:CD119" si="1586">+SUM(BW120:BW125)</f>
        <v>3603491</v>
      </c>
      <c r="BX119" s="943">
        <f t="shared" si="1586"/>
        <v>3424880</v>
      </c>
      <c r="BY119" s="943">
        <f t="shared" si="1586"/>
        <v>3727240</v>
      </c>
      <c r="BZ119" s="943">
        <f t="shared" si="1586"/>
        <v>4055798</v>
      </c>
      <c r="CA119" s="943">
        <f t="shared" si="1586"/>
        <v>3365373</v>
      </c>
      <c r="CB119" s="943">
        <f t="shared" si="1586"/>
        <v>3406100</v>
      </c>
      <c r="CC119" s="943">
        <f t="shared" si="1586"/>
        <v>3293000</v>
      </c>
      <c r="CD119" s="943">
        <f t="shared" si="1586"/>
        <v>2950864</v>
      </c>
      <c r="CE119" s="943">
        <f t="shared" ref="CE119:CH119" si="1587">+SUM(CE120:CE125)</f>
        <v>2389721</v>
      </c>
      <c r="CF119" s="943">
        <f t="shared" si="1587"/>
        <v>2202866</v>
      </c>
      <c r="CG119" s="943">
        <f t="shared" si="1587"/>
        <v>1951858</v>
      </c>
      <c r="CH119" s="943">
        <f t="shared" si="1587"/>
        <v>1944082</v>
      </c>
      <c r="CI119" s="943">
        <f t="shared" ref="CI119:CL119" si="1588">+SUM(CI120:CI125)</f>
        <v>1868761</v>
      </c>
      <c r="CJ119" s="943">
        <f t="shared" si="1588"/>
        <v>2121523</v>
      </c>
      <c r="CK119" s="943">
        <f t="shared" si="1588"/>
        <v>2169544</v>
      </c>
      <c r="CL119" s="946">
        <f t="shared" si="1588"/>
        <v>2534510.6548965643</v>
      </c>
      <c r="CM119" s="946">
        <f t="shared" ref="CM119:CP119" si="1589">+SUM(CM120:CM125)</f>
        <v>2441008.5040604742</v>
      </c>
      <c r="CN119" s="946">
        <f t="shared" si="1589"/>
        <v>2369970.1944962987</v>
      </c>
      <c r="CO119" s="946">
        <f t="shared" si="1589"/>
        <v>2358195.4047209378</v>
      </c>
      <c r="CP119" s="946">
        <f t="shared" si="1589"/>
        <v>2747809.39963429</v>
      </c>
      <c r="CQ119" s="946"/>
      <c r="CR119" s="946">
        <v>2534510.6548965643</v>
      </c>
      <c r="CT119" s="943"/>
      <c r="CU119" s="943"/>
      <c r="CV119" s="943"/>
      <c r="CW119" s="943"/>
      <c r="CX119" s="943">
        <f t="shared" si="1491"/>
        <v>43937</v>
      </c>
      <c r="CY119" s="943">
        <f t="shared" si="1492"/>
        <v>80972</v>
      </c>
      <c r="CZ119" s="943">
        <f t="shared" si="1493"/>
        <v>81427</v>
      </c>
      <c r="DA119" s="943">
        <f t="shared" si="1494"/>
        <v>457132</v>
      </c>
      <c r="DB119" s="943">
        <f t="shared" si="1495"/>
        <v>762931</v>
      </c>
      <c r="DC119" s="943">
        <f t="shared" si="1496"/>
        <v>739133</v>
      </c>
      <c r="DD119" s="943">
        <f t="shared" si="1497"/>
        <v>1089682</v>
      </c>
      <c r="DE119" s="943">
        <f>AT119</f>
        <v>1428910</v>
      </c>
      <c r="DF119" s="943">
        <f>+AX119</f>
        <v>1233696</v>
      </c>
      <c r="DG119" s="943">
        <f>+BB119</f>
        <v>920665</v>
      </c>
      <c r="DH119" s="943">
        <f>+BF119</f>
        <v>1382500</v>
      </c>
      <c r="DI119" s="943">
        <f>+SUM(DI120:DI125)</f>
        <v>542181</v>
      </c>
      <c r="DJ119" s="943">
        <f>+SUM(DJ120:DJ125)</f>
        <v>2096566</v>
      </c>
      <c r="DK119" s="943">
        <f>+SUM(DK120:DK125)</f>
        <v>3507856</v>
      </c>
      <c r="DL119" s="943">
        <f t="shared" si="1479"/>
        <v>3651264</v>
      </c>
      <c r="DM119" s="943">
        <f t="shared" si="1480"/>
        <v>4055798</v>
      </c>
      <c r="DN119" s="943">
        <f t="shared" si="1481"/>
        <v>2950864</v>
      </c>
      <c r="DO119" s="943">
        <f t="shared" si="1482"/>
        <v>1944082</v>
      </c>
      <c r="DP119" s="943">
        <f t="shared" si="1483"/>
        <v>2534510.6548965643</v>
      </c>
      <c r="DQ119" s="943">
        <f t="shared" si="1484"/>
        <v>2747809.39963429</v>
      </c>
      <c r="DR119" s="966">
        <f>+SUM(DR120:DR125)</f>
        <v>2311920.9607136389</v>
      </c>
      <c r="DS119" s="966">
        <f t="shared" ref="DS119:DU119" si="1590">+SUM(DS120:DS125)</f>
        <v>2560946.6455452358</v>
      </c>
      <c r="DT119" s="966">
        <f t="shared" si="1590"/>
        <v>2774089.0227994616</v>
      </c>
      <c r="DU119" s="966">
        <f t="shared" si="1590"/>
        <v>3000831.4217687855</v>
      </c>
      <c r="DX119" s="966">
        <v>2467399.6713888273</v>
      </c>
      <c r="DY119" s="966">
        <v>2315093.1613706294</v>
      </c>
    </row>
    <row r="120" spans="1:129" s="904" customFormat="1">
      <c r="A120" s="939"/>
      <c r="B120" s="949" t="s">
        <v>435</v>
      </c>
      <c r="C120" s="939"/>
      <c r="D120" s="939">
        <v>248600</v>
      </c>
      <c r="E120" s="939">
        <v>228688</v>
      </c>
      <c r="F120" s="939">
        <v>212352</v>
      </c>
      <c r="G120" s="939">
        <v>213296</v>
      </c>
      <c r="H120" s="939">
        <v>188032</v>
      </c>
      <c r="I120" s="939">
        <v>0</v>
      </c>
      <c r="J120" s="939">
        <v>0</v>
      </c>
      <c r="K120" s="939">
        <v>0</v>
      </c>
      <c r="L120" s="939">
        <v>0</v>
      </c>
      <c r="M120" s="939">
        <v>0</v>
      </c>
      <c r="N120" s="939">
        <v>0</v>
      </c>
      <c r="O120" s="939">
        <v>0</v>
      </c>
      <c r="P120" s="939">
        <v>0</v>
      </c>
      <c r="Q120" s="939">
        <v>0</v>
      </c>
      <c r="R120" s="939">
        <v>0</v>
      </c>
      <c r="S120" s="939">
        <v>0</v>
      </c>
      <c r="T120" s="939">
        <v>29740</v>
      </c>
      <c r="U120" s="939">
        <v>29740</v>
      </c>
      <c r="V120" s="939">
        <v>29661</v>
      </c>
      <c r="W120" s="939">
        <v>28178</v>
      </c>
      <c r="X120" s="939">
        <v>39680</v>
      </c>
      <c r="Y120" s="939">
        <v>37476</v>
      </c>
      <c r="Z120" s="939">
        <v>35271</v>
      </c>
      <c r="AA120" s="939">
        <v>33067</v>
      </c>
      <c r="AB120" s="939">
        <v>30862</v>
      </c>
      <c r="AC120" s="939">
        <v>28658</v>
      </c>
      <c r="AD120" s="939">
        <f>36415</f>
        <v>36415</v>
      </c>
      <c r="AE120" s="939">
        <f>33380</f>
        <v>33380</v>
      </c>
      <c r="AF120" s="939">
        <f>30345</f>
        <v>30345</v>
      </c>
      <c r="AG120" s="939">
        <f>27311+297955</f>
        <v>325266</v>
      </c>
      <c r="AH120" s="939">
        <f>24276+298057</f>
        <v>322333</v>
      </c>
      <c r="AI120" s="939">
        <f>21242+298159</f>
        <v>319401</v>
      </c>
      <c r="AJ120" s="939">
        <f>18207+298261</f>
        <v>316468</v>
      </c>
      <c r="AK120" s="939">
        <f>15173+24774+596788</f>
        <v>636735</v>
      </c>
      <c r="AL120" s="939">
        <f>12138+36399+596622</f>
        <v>645159</v>
      </c>
      <c r="AM120" s="939">
        <f>9104+596781+32321</f>
        <v>638206</v>
      </c>
      <c r="AN120" s="939">
        <f>596985+6069+32928</f>
        <v>635982</v>
      </c>
      <c r="AO120" s="968">
        <f>3035+29229+1012487</f>
        <v>1044751</v>
      </c>
      <c r="AP120" s="939">
        <f>1015689+0+31157</f>
        <v>1046846</v>
      </c>
      <c r="AQ120" s="939">
        <f>29729+1020061</f>
        <v>1049790</v>
      </c>
      <c r="AR120" s="939">
        <f>48519+410837+1023971</f>
        <v>1483327</v>
      </c>
      <c r="AS120" s="939">
        <f>48689+413187+884952</f>
        <v>1346828</v>
      </c>
      <c r="AT120" s="939">
        <f>931950+413659+49860</f>
        <v>1395469</v>
      </c>
      <c r="AU120" s="952">
        <v>1409027</v>
      </c>
      <c r="AV120" s="952">
        <v>1333871</v>
      </c>
      <c r="AW120" s="952">
        <v>1198270</v>
      </c>
      <c r="AX120" s="952">
        <v>1196423</v>
      </c>
      <c r="AY120" s="952">
        <v>1196402</v>
      </c>
      <c r="AZ120" s="952">
        <v>1118507</v>
      </c>
      <c r="BA120" s="952">
        <v>882567</v>
      </c>
      <c r="BB120" s="952">
        <v>879749</v>
      </c>
      <c r="BC120" s="952">
        <v>1198383</v>
      </c>
      <c r="BD120" s="952">
        <v>1083833</v>
      </c>
      <c r="BE120" s="952">
        <v>1207878</v>
      </c>
      <c r="BF120" s="952">
        <v>1353977</v>
      </c>
      <c r="BG120" s="952">
        <v>1347779</v>
      </c>
      <c r="BH120" s="952">
        <v>870899</v>
      </c>
      <c r="BI120" s="952">
        <v>663160</v>
      </c>
      <c r="BJ120" s="952">
        <v>499753</v>
      </c>
      <c r="BK120" s="952">
        <v>61427</v>
      </c>
      <c r="BL120" s="952">
        <v>446207</v>
      </c>
      <c r="BM120" s="952">
        <v>445223</v>
      </c>
      <c r="BN120" s="952">
        <v>444641</v>
      </c>
      <c r="BO120" s="952">
        <v>405975</v>
      </c>
      <c r="BP120" s="952">
        <v>899701</v>
      </c>
      <c r="BQ120" s="952">
        <v>1049705</v>
      </c>
      <c r="BR120" s="952">
        <v>1545933</v>
      </c>
      <c r="BS120" s="952">
        <v>2543647</v>
      </c>
      <c r="BT120" s="952">
        <v>2246810</v>
      </c>
      <c r="BU120" s="952">
        <v>2097789</v>
      </c>
      <c r="BV120" s="952">
        <v>1054027</v>
      </c>
      <c r="BW120" s="952">
        <v>1055551</v>
      </c>
      <c r="BX120" s="952">
        <v>1053377</v>
      </c>
      <c r="BY120" s="952">
        <v>1101047</v>
      </c>
      <c r="BZ120" s="952">
        <v>1046319</v>
      </c>
      <c r="CA120" s="952">
        <v>544994</v>
      </c>
      <c r="CB120" s="952">
        <v>546567</v>
      </c>
      <c r="CC120" s="952">
        <v>499804</v>
      </c>
      <c r="CD120" s="952">
        <v>499921</v>
      </c>
      <c r="CE120" s="952">
        <v>0</v>
      </c>
      <c r="CF120" s="952">
        <v>0</v>
      </c>
      <c r="CG120" s="952">
        <v>0</v>
      </c>
      <c r="CH120" s="952">
        <v>0</v>
      </c>
      <c r="CI120" s="952">
        <v>0</v>
      </c>
      <c r="CJ120" s="952">
        <v>0</v>
      </c>
      <c r="CK120" s="952">
        <v>0</v>
      </c>
      <c r="CL120" s="595">
        <f t="shared" ref="CL120" si="1591">+CK120+CL65</f>
        <v>0</v>
      </c>
      <c r="CM120" s="595">
        <f t="shared" ref="CM120" si="1592">+CL120+CM65</f>
        <v>0</v>
      </c>
      <c r="CN120" s="595">
        <f t="shared" ref="CN120" si="1593">+CM120+CN65</f>
        <v>0</v>
      </c>
      <c r="CO120" s="595">
        <f t="shared" ref="CO120" si="1594">+CN120+CO65</f>
        <v>0</v>
      </c>
      <c r="CP120" s="595">
        <f t="shared" ref="CP120" si="1595">+CO120+CP65</f>
        <v>0</v>
      </c>
      <c r="CQ120" s="941"/>
      <c r="CR120" s="941">
        <v>0</v>
      </c>
      <c r="CT120" s="942"/>
      <c r="CU120" s="942"/>
      <c r="CV120" s="942"/>
      <c r="CW120" s="942"/>
      <c r="CX120" s="592">
        <f t="shared" si="1491"/>
        <v>0</v>
      </c>
      <c r="CY120" s="592">
        <f t="shared" si="1492"/>
        <v>29661</v>
      </c>
      <c r="CZ120" s="592">
        <f t="shared" si="1493"/>
        <v>35271</v>
      </c>
      <c r="DA120" s="592">
        <f t="shared" si="1494"/>
        <v>36415</v>
      </c>
      <c r="DB120" s="592">
        <f t="shared" si="1495"/>
        <v>322333</v>
      </c>
      <c r="DC120" s="592">
        <f t="shared" si="1496"/>
        <v>645159</v>
      </c>
      <c r="DD120" s="592">
        <f t="shared" si="1497"/>
        <v>1046846</v>
      </c>
      <c r="DE120" s="592">
        <f>AT120</f>
        <v>1395469</v>
      </c>
      <c r="DF120" s="592">
        <f>+AX120</f>
        <v>1196423</v>
      </c>
      <c r="DG120" s="592">
        <f>+BB120</f>
        <v>879749</v>
      </c>
      <c r="DH120" s="592">
        <f>+BF120</f>
        <v>1353977</v>
      </c>
      <c r="DI120" s="939">
        <f>+BJ120</f>
        <v>499753</v>
      </c>
      <c r="DJ120" s="939">
        <f>+BN120</f>
        <v>444641</v>
      </c>
      <c r="DK120" s="939">
        <f t="shared" ref="DK120:DK126" si="1596">+BR120</f>
        <v>1545933</v>
      </c>
      <c r="DL120" s="939">
        <f t="shared" si="1479"/>
        <v>1054027</v>
      </c>
      <c r="DM120" s="939">
        <f t="shared" si="1480"/>
        <v>1046319</v>
      </c>
      <c r="DN120" s="939">
        <f t="shared" si="1481"/>
        <v>499921</v>
      </c>
      <c r="DO120" s="939">
        <f t="shared" si="1482"/>
        <v>0</v>
      </c>
      <c r="DP120" s="939">
        <f t="shared" si="1483"/>
        <v>0</v>
      </c>
      <c r="DQ120" s="939">
        <f t="shared" si="1484"/>
        <v>0</v>
      </c>
      <c r="DR120" s="599">
        <f>+DQ120+DR65</f>
        <v>0</v>
      </c>
      <c r="DS120" s="599">
        <f t="shared" ref="DS120:DU120" si="1597">+DR120+DS65</f>
        <v>0</v>
      </c>
      <c r="DT120" s="599">
        <f t="shared" si="1597"/>
        <v>0</v>
      </c>
      <c r="DU120" s="599">
        <f t="shared" si="1597"/>
        <v>0</v>
      </c>
      <c r="DX120" s="599">
        <v>0</v>
      </c>
      <c r="DY120" s="599">
        <v>0</v>
      </c>
    </row>
    <row r="121" spans="1:129" s="904" customFormat="1">
      <c r="A121" s="939"/>
      <c r="B121" s="949" t="s">
        <v>428</v>
      </c>
      <c r="C121" s="939"/>
      <c r="D121" s="939"/>
      <c r="E121" s="939"/>
      <c r="F121" s="939"/>
      <c r="G121" s="939"/>
      <c r="H121" s="939"/>
      <c r="I121" s="939"/>
      <c r="J121" s="939"/>
      <c r="K121" s="939"/>
      <c r="L121" s="939"/>
      <c r="M121" s="939"/>
      <c r="N121" s="939"/>
      <c r="O121" s="939"/>
      <c r="P121" s="939"/>
      <c r="Q121" s="939"/>
      <c r="R121" s="939"/>
      <c r="S121" s="939"/>
      <c r="T121" s="939"/>
      <c r="U121" s="939"/>
      <c r="V121" s="939"/>
      <c r="W121" s="939"/>
      <c r="X121" s="939"/>
      <c r="Y121" s="939"/>
      <c r="Z121" s="939"/>
      <c r="AA121" s="939"/>
      <c r="AB121" s="939"/>
      <c r="AC121" s="939"/>
      <c r="AD121" s="939"/>
      <c r="AE121" s="939"/>
      <c r="AF121" s="939"/>
      <c r="AG121" s="939"/>
      <c r="AH121" s="939"/>
      <c r="AI121" s="939"/>
      <c r="AJ121" s="939"/>
      <c r="AK121" s="939"/>
      <c r="AL121" s="939"/>
      <c r="AM121" s="939"/>
      <c r="AN121" s="939"/>
      <c r="AO121" s="968"/>
      <c r="AP121" s="939"/>
      <c r="AQ121" s="939"/>
      <c r="AR121" s="939"/>
      <c r="AS121" s="939"/>
      <c r="AT121" s="939"/>
      <c r="AU121" s="952"/>
      <c r="AV121" s="952"/>
      <c r="AW121" s="952"/>
      <c r="AX121" s="952"/>
      <c r="AY121" s="952"/>
      <c r="AZ121" s="952"/>
      <c r="BA121" s="952"/>
      <c r="BB121" s="952"/>
      <c r="BC121" s="952"/>
      <c r="BD121" s="952"/>
      <c r="BE121" s="952"/>
      <c r="BF121" s="952"/>
      <c r="BG121" s="952"/>
      <c r="BH121" s="952"/>
      <c r="BI121" s="952"/>
      <c r="BJ121" s="952"/>
      <c r="BK121" s="952">
        <v>141124</v>
      </c>
      <c r="BL121" s="952">
        <v>143295</v>
      </c>
      <c r="BM121" s="952">
        <v>447909</v>
      </c>
      <c r="BN121" s="952">
        <v>306370</v>
      </c>
      <c r="BO121" s="952">
        <v>309609</v>
      </c>
      <c r="BP121" s="952">
        <v>342663</v>
      </c>
      <c r="BQ121" s="952">
        <v>399573</v>
      </c>
      <c r="BR121" s="952">
        <v>420575</v>
      </c>
      <c r="BS121" s="952">
        <v>502141</v>
      </c>
      <c r="BT121" s="952">
        <v>692078</v>
      </c>
      <c r="BU121" s="952">
        <v>327395</v>
      </c>
      <c r="BV121" s="952">
        <v>327101</v>
      </c>
      <c r="BW121" s="952">
        <v>308284</v>
      </c>
      <c r="BX121" s="952">
        <v>82536</v>
      </c>
      <c r="BY121" s="952">
        <v>347160</v>
      </c>
      <c r="BZ121" s="952">
        <v>654881</v>
      </c>
      <c r="CA121" s="952">
        <v>615752</v>
      </c>
      <c r="CB121" s="952">
        <v>648224</v>
      </c>
      <c r="CC121" s="952">
        <v>664389</v>
      </c>
      <c r="CD121" s="952">
        <v>336248</v>
      </c>
      <c r="CE121" s="952">
        <v>348962</v>
      </c>
      <c r="CF121" s="952">
        <v>214660</v>
      </c>
      <c r="CG121" s="952">
        <v>18570</v>
      </c>
      <c r="CH121" s="952">
        <v>13740</v>
      </c>
      <c r="CI121" s="952">
        <v>11011</v>
      </c>
      <c r="CJ121" s="952">
        <v>329522</v>
      </c>
      <c r="CK121" s="952">
        <v>343990</v>
      </c>
      <c r="CL121" s="595">
        <f>+CK121</f>
        <v>343990</v>
      </c>
      <c r="CM121" s="595">
        <f t="shared" ref="CM121:CP121" si="1598">+CL121</f>
        <v>343990</v>
      </c>
      <c r="CN121" s="595">
        <f t="shared" si="1598"/>
        <v>343990</v>
      </c>
      <c r="CO121" s="595">
        <f t="shared" si="1598"/>
        <v>343990</v>
      </c>
      <c r="CP121" s="595">
        <f t="shared" si="1598"/>
        <v>343990</v>
      </c>
      <c r="CQ121" s="941"/>
      <c r="CR121" s="941">
        <v>343990</v>
      </c>
      <c r="CT121" s="942"/>
      <c r="CU121" s="942"/>
      <c r="CV121" s="942"/>
      <c r="CW121" s="942"/>
      <c r="CX121" s="592"/>
      <c r="CY121" s="592"/>
      <c r="CZ121" s="592"/>
      <c r="DA121" s="592"/>
      <c r="DB121" s="592"/>
      <c r="DC121" s="592"/>
      <c r="DD121" s="592"/>
      <c r="DE121" s="592"/>
      <c r="DF121" s="592">
        <f>+AX121</f>
        <v>0</v>
      </c>
      <c r="DG121" s="592">
        <f>+BB121</f>
        <v>0</v>
      </c>
      <c r="DH121" s="592">
        <f>+BF121</f>
        <v>0</v>
      </c>
      <c r="DI121" s="939">
        <f>+BJ121</f>
        <v>0</v>
      </c>
      <c r="DJ121" s="939">
        <f>+BN121</f>
        <v>306370</v>
      </c>
      <c r="DK121" s="939">
        <f t="shared" ref="DK121" si="1599">+BR121</f>
        <v>420575</v>
      </c>
      <c r="DL121" s="939">
        <f t="shared" ref="DL121" si="1600">+BV121</f>
        <v>327101</v>
      </c>
      <c r="DM121" s="939">
        <f t="shared" ref="DM121" si="1601">+BZ121</f>
        <v>654881</v>
      </c>
      <c r="DN121" s="939">
        <f t="shared" ref="DN121" si="1602">+CD121</f>
        <v>336248</v>
      </c>
      <c r="DO121" s="939">
        <f t="shared" ref="DO121" si="1603">+CH121</f>
        <v>13740</v>
      </c>
      <c r="DP121" s="939">
        <f t="shared" ref="DP121" si="1604">+CL121</f>
        <v>343990</v>
      </c>
      <c r="DQ121" s="939">
        <f t="shared" si="1484"/>
        <v>343990</v>
      </c>
      <c r="DR121" s="595">
        <f t="shared" ref="DR121" si="1605">+DQ121</f>
        <v>343990</v>
      </c>
      <c r="DS121" s="595">
        <f t="shared" ref="DS121" si="1606">+DR121</f>
        <v>343990</v>
      </c>
      <c r="DT121" s="595">
        <f t="shared" ref="DT121" si="1607">+DS121</f>
        <v>343990</v>
      </c>
      <c r="DU121" s="595">
        <f t="shared" ref="DU121" si="1608">+DT121</f>
        <v>343990</v>
      </c>
      <c r="DX121" s="599">
        <v>343990</v>
      </c>
      <c r="DY121" s="599">
        <v>343990</v>
      </c>
    </row>
    <row r="122" spans="1:129" s="904" customFormat="1">
      <c r="A122" s="939"/>
      <c r="B122" s="949" t="s">
        <v>427</v>
      </c>
      <c r="C122" s="939"/>
      <c r="D122" s="939"/>
      <c r="E122" s="939"/>
      <c r="F122" s="939"/>
      <c r="G122" s="939"/>
      <c r="H122" s="939"/>
      <c r="I122" s="939"/>
      <c r="J122" s="939"/>
      <c r="K122" s="939"/>
      <c r="L122" s="939"/>
      <c r="M122" s="939"/>
      <c r="N122" s="939"/>
      <c r="O122" s="939"/>
      <c r="P122" s="939"/>
      <c r="Q122" s="939"/>
      <c r="R122" s="939"/>
      <c r="S122" s="939"/>
      <c r="T122" s="939"/>
      <c r="U122" s="939"/>
      <c r="V122" s="939"/>
      <c r="W122" s="939"/>
      <c r="X122" s="939"/>
      <c r="Y122" s="939"/>
      <c r="Z122" s="939"/>
      <c r="AA122" s="939"/>
      <c r="AB122" s="939"/>
      <c r="AC122" s="939"/>
      <c r="AD122" s="939">
        <v>340661</v>
      </c>
      <c r="AE122" s="939">
        <v>341224</v>
      </c>
      <c r="AF122" s="939">
        <v>342038</v>
      </c>
      <c r="AG122" s="939">
        <v>342853</v>
      </c>
      <c r="AH122" s="939">
        <v>343670</v>
      </c>
      <c r="AI122" s="939">
        <v>344489</v>
      </c>
      <c r="AJ122" s="939">
        <v>345310</v>
      </c>
      <c r="AK122" s="939">
        <v>346133</v>
      </c>
      <c r="AL122" s="939">
        <v>0</v>
      </c>
      <c r="AM122" s="939">
        <v>0</v>
      </c>
      <c r="AN122" s="939">
        <v>0</v>
      </c>
      <c r="AO122" s="939">
        <v>0</v>
      </c>
      <c r="AP122" s="939">
        <v>0</v>
      </c>
      <c r="AQ122" s="939">
        <v>0</v>
      </c>
      <c r="AR122" s="939">
        <v>0</v>
      </c>
      <c r="AS122" s="939">
        <f>+AR122</f>
        <v>0</v>
      </c>
      <c r="AT122" s="939"/>
      <c r="AU122" s="952"/>
      <c r="AV122" s="952"/>
      <c r="AW122" s="952"/>
      <c r="AX122" s="952"/>
      <c r="AY122" s="952"/>
      <c r="AZ122" s="952"/>
      <c r="BA122" s="952"/>
      <c r="BB122" s="952"/>
      <c r="BC122" s="952"/>
      <c r="BD122" s="952"/>
      <c r="BE122" s="952"/>
      <c r="BF122" s="952"/>
      <c r="BG122" s="952"/>
      <c r="BH122" s="952"/>
      <c r="BI122" s="952"/>
      <c r="BJ122" s="952"/>
      <c r="BK122" s="952">
        <v>1317296</v>
      </c>
      <c r="BL122" s="952">
        <v>1298440</v>
      </c>
      <c r="BM122" s="952">
        <v>1292705</v>
      </c>
      <c r="BN122" s="952">
        <v>1291676</v>
      </c>
      <c r="BO122" s="952">
        <v>1277335</v>
      </c>
      <c r="BP122" s="952">
        <v>1221502</v>
      </c>
      <c r="BQ122" s="952">
        <v>1308448</v>
      </c>
      <c r="BR122" s="952">
        <v>1365804</v>
      </c>
      <c r="BS122" s="952">
        <v>1709354</v>
      </c>
      <c r="BT122" s="952">
        <v>1879129</v>
      </c>
      <c r="BU122" s="952">
        <v>1889619</v>
      </c>
      <c r="BV122" s="952">
        <v>1994936</v>
      </c>
      <c r="BW122" s="952">
        <v>1988766</v>
      </c>
      <c r="BX122" s="952">
        <v>2083264</v>
      </c>
      <c r="BY122" s="952">
        <v>2104539</v>
      </c>
      <c r="BZ122" s="952">
        <v>2190081</v>
      </c>
      <c r="CA122" s="952">
        <v>2079567</v>
      </c>
      <c r="CB122" s="952">
        <v>2065618</v>
      </c>
      <c r="CC122" s="952">
        <v>2011770</v>
      </c>
      <c r="CD122" s="952">
        <v>2008945</v>
      </c>
      <c r="CE122" s="952">
        <v>1939696</v>
      </c>
      <c r="CF122" s="952">
        <v>1893390</v>
      </c>
      <c r="CG122" s="952">
        <v>1844607</v>
      </c>
      <c r="CH122" s="952">
        <v>1847561</v>
      </c>
      <c r="CI122" s="952">
        <v>1778556</v>
      </c>
      <c r="CJ122" s="952">
        <v>1713902</v>
      </c>
      <c r="CK122" s="952">
        <v>1750167</v>
      </c>
      <c r="CL122" s="813">
        <f>+FAT!CL146</f>
        <v>2088368.6256268492</v>
      </c>
      <c r="CM122" s="813">
        <f>+FAT!CM146</f>
        <v>2024366.9284415145</v>
      </c>
      <c r="CN122" s="813">
        <f>+FAT!CN146</f>
        <v>1933817.6815740366</v>
      </c>
      <c r="CO122" s="813">
        <f>+FAT!CO146</f>
        <v>1932951.0117579252</v>
      </c>
      <c r="CP122" s="813">
        <f>+FAT!CP146</f>
        <v>2292732.4872389566</v>
      </c>
      <c r="CQ122" s="595"/>
      <c r="CR122" s="595">
        <v>2088368.6256268492</v>
      </c>
      <c r="CT122" s="948"/>
      <c r="CU122" s="948"/>
      <c r="CV122" s="948"/>
      <c r="CW122" s="948"/>
      <c r="CX122" s="592"/>
      <c r="CY122" s="592"/>
      <c r="CZ122" s="592"/>
      <c r="DA122" s="592"/>
      <c r="DB122" s="592"/>
      <c r="DC122" s="592"/>
      <c r="DD122" s="592"/>
      <c r="DE122" s="592"/>
      <c r="DF122" s="592"/>
      <c r="DG122" s="592"/>
      <c r="DH122" s="592"/>
      <c r="DI122" s="939"/>
      <c r="DJ122" s="939">
        <f>+BN122</f>
        <v>1291676</v>
      </c>
      <c r="DK122" s="939">
        <f t="shared" si="1596"/>
        <v>1365804</v>
      </c>
      <c r="DL122" s="939">
        <f t="shared" si="1479"/>
        <v>1994936</v>
      </c>
      <c r="DM122" s="939">
        <f t="shared" si="1480"/>
        <v>2190081</v>
      </c>
      <c r="DN122" s="939">
        <f t="shared" si="1481"/>
        <v>2008945</v>
      </c>
      <c r="DO122" s="939">
        <f t="shared" si="1482"/>
        <v>1847561</v>
      </c>
      <c r="DP122" s="939">
        <f t="shared" si="1483"/>
        <v>2088368.6256268492</v>
      </c>
      <c r="DQ122" s="939">
        <f t="shared" si="1484"/>
        <v>2292732.4872389566</v>
      </c>
      <c r="DR122" s="595">
        <f>+FAT!DP146</f>
        <v>1847561</v>
      </c>
      <c r="DS122" s="595">
        <f>+FAT!DQ146</f>
        <v>2088368.6256268492</v>
      </c>
      <c r="DT122" s="595">
        <f>+FAT!DR146</f>
        <v>2292732.4872389566</v>
      </c>
      <c r="DU122" s="595">
        <f>+FAT!DS146</f>
        <v>2510104.0679790294</v>
      </c>
      <c r="DX122" s="595">
        <v>2008945</v>
      </c>
      <c r="DY122" s="595">
        <v>1847561</v>
      </c>
    </row>
    <row r="123" spans="1:129" s="904" customFormat="1">
      <c r="A123" s="939"/>
      <c r="B123" s="949" t="s">
        <v>436</v>
      </c>
      <c r="C123" s="939"/>
      <c r="D123" s="939">
        <v>7120</v>
      </c>
      <c r="E123" s="939">
        <v>7048</v>
      </c>
      <c r="F123" s="939">
        <v>6966</v>
      </c>
      <c r="G123" s="939">
        <v>6874</v>
      </c>
      <c r="H123" s="939">
        <v>6771</v>
      </c>
      <c r="I123" s="939">
        <v>6624</v>
      </c>
      <c r="J123" s="939">
        <v>6537</v>
      </c>
      <c r="K123" s="939">
        <v>6395</v>
      </c>
      <c r="L123" s="939">
        <v>6234</v>
      </c>
      <c r="M123" s="939">
        <v>6056</v>
      </c>
      <c r="N123" s="939">
        <v>5864</v>
      </c>
      <c r="O123" s="939">
        <v>5661</v>
      </c>
      <c r="P123" s="939">
        <v>5451</v>
      </c>
      <c r="Q123" s="939">
        <v>7732</v>
      </c>
      <c r="R123" s="939">
        <v>13707</v>
      </c>
      <c r="S123" s="939">
        <v>16729</v>
      </c>
      <c r="T123" s="939">
        <v>17835</v>
      </c>
      <c r="U123" s="939">
        <v>21837</v>
      </c>
      <c r="V123" s="939">
        <v>18492</v>
      </c>
      <c r="W123" s="939">
        <v>15572</v>
      </c>
      <c r="X123" s="939">
        <v>11079</v>
      </c>
      <c r="Y123" s="939">
        <v>10001</v>
      </c>
      <c r="Z123" s="939">
        <v>13720</v>
      </c>
      <c r="AA123" s="939">
        <v>15953</v>
      </c>
      <c r="AB123" s="939">
        <v>21969</v>
      </c>
      <c r="AC123" s="939">
        <v>25701</v>
      </c>
      <c r="AD123" s="939">
        <v>28964</v>
      </c>
      <c r="AE123" s="939">
        <v>31203</v>
      </c>
      <c r="AF123" s="939">
        <v>27813</v>
      </c>
      <c r="AG123" s="939">
        <v>27112</v>
      </c>
      <c r="AH123" s="939">
        <v>23383</v>
      </c>
      <c r="AI123" s="939">
        <v>26494</v>
      </c>
      <c r="AJ123" s="939">
        <v>24535</v>
      </c>
      <c r="AK123" s="939">
        <v>20636</v>
      </c>
      <c r="AL123" s="939">
        <v>541</v>
      </c>
      <c r="AM123" s="939">
        <v>487</v>
      </c>
      <c r="AN123" s="939">
        <v>433</v>
      </c>
      <c r="AO123" s="939">
        <v>377</v>
      </c>
      <c r="AP123" s="939">
        <v>432</v>
      </c>
      <c r="AQ123" s="939">
        <v>375</v>
      </c>
      <c r="AR123" s="939">
        <v>335</v>
      </c>
      <c r="AS123" s="939">
        <v>315</v>
      </c>
      <c r="AT123" s="939">
        <v>300</v>
      </c>
      <c r="AU123" s="952">
        <v>268</v>
      </c>
      <c r="AV123" s="952">
        <v>243</v>
      </c>
      <c r="AW123" s="952">
        <v>169</v>
      </c>
      <c r="AX123" s="952">
        <v>169</v>
      </c>
      <c r="AY123" s="952">
        <v>279</v>
      </c>
      <c r="AZ123" s="952">
        <v>279</v>
      </c>
      <c r="BA123" s="952">
        <v>95</v>
      </c>
      <c r="BB123" s="952">
        <v>52</v>
      </c>
      <c r="BC123" s="952">
        <v>11</v>
      </c>
      <c r="BD123" s="952">
        <v>11</v>
      </c>
      <c r="BE123" s="952">
        <v>11</v>
      </c>
      <c r="BF123" s="952">
        <v>11</v>
      </c>
      <c r="BG123" s="952">
        <v>11</v>
      </c>
      <c r="BH123" s="952">
        <v>11</v>
      </c>
      <c r="BI123" s="952">
        <v>6797</v>
      </c>
      <c r="BJ123" s="952">
        <v>0</v>
      </c>
      <c r="BK123" s="952">
        <v>9120</v>
      </c>
      <c r="BL123" s="952">
        <v>7625</v>
      </c>
      <c r="BM123" s="952">
        <v>3188</v>
      </c>
      <c r="BN123" s="952">
        <v>5287</v>
      </c>
      <c r="BO123" s="952">
        <v>1510</v>
      </c>
      <c r="BP123" s="952">
        <v>0</v>
      </c>
      <c r="BQ123" s="952">
        <v>0</v>
      </c>
      <c r="BR123" s="952">
        <v>0</v>
      </c>
      <c r="BS123" s="952">
        <v>0</v>
      </c>
      <c r="BT123" s="952">
        <v>0</v>
      </c>
      <c r="BU123" s="952">
        <v>0</v>
      </c>
      <c r="BV123" s="952">
        <v>3392</v>
      </c>
      <c r="BW123" s="952">
        <v>0</v>
      </c>
      <c r="BX123" s="952">
        <v>9095</v>
      </c>
      <c r="BY123" s="952">
        <v>11605</v>
      </c>
      <c r="BZ123" s="952">
        <v>3618</v>
      </c>
      <c r="CA123" s="952">
        <v>5494</v>
      </c>
      <c r="CB123" s="952">
        <v>4782</v>
      </c>
      <c r="CC123" s="952">
        <v>620</v>
      </c>
      <c r="CD123" s="952">
        <v>0</v>
      </c>
      <c r="CE123" s="952">
        <v>847</v>
      </c>
      <c r="CF123" s="952">
        <v>6161</v>
      </c>
      <c r="CG123" s="952">
        <v>6392</v>
      </c>
      <c r="CH123" s="952">
        <v>5660</v>
      </c>
      <c r="CI123" s="952">
        <v>5987</v>
      </c>
      <c r="CJ123" s="952">
        <v>2764</v>
      </c>
      <c r="CK123" s="952">
        <v>1421</v>
      </c>
      <c r="CL123" s="941">
        <f t="shared" ref="CL123" si="1609">+CK123*CL3/CK3</f>
        <v>1942.3626157999558</v>
      </c>
      <c r="CM123" s="941">
        <f t="shared" ref="CM123" si="1610">+CL123*CM3/CL3</f>
        <v>1368.1358395883735</v>
      </c>
      <c r="CN123" s="941">
        <f t="shared" ref="CN123" si="1611">+CM123*CN3/CM3</f>
        <v>1745.1655721461186</v>
      </c>
      <c r="CO123" s="941">
        <f t="shared" ref="CO123" si="1612">+CN123*CO3/CN3</f>
        <v>1533.8668510983111</v>
      </c>
      <c r="CP123" s="941">
        <f t="shared" ref="CP123" si="1613">+CO123*CP3/CO3</f>
        <v>2110.343431132374</v>
      </c>
      <c r="CQ123" s="941"/>
      <c r="CR123" s="941">
        <v>1942.3626157999558</v>
      </c>
      <c r="CT123" s="948"/>
      <c r="CU123" s="948"/>
      <c r="CV123" s="948"/>
      <c r="CW123" s="948"/>
      <c r="CX123" s="592">
        <f>R123</f>
        <v>13707</v>
      </c>
      <c r="CY123" s="592">
        <f>V123</f>
        <v>18492</v>
      </c>
      <c r="CZ123" s="592">
        <f>Z123</f>
        <v>13720</v>
      </c>
      <c r="DA123" s="592">
        <f>+AD123</f>
        <v>28964</v>
      </c>
      <c r="DB123" s="592">
        <f>+AH123</f>
        <v>23383</v>
      </c>
      <c r="DC123" s="592">
        <f>+AL123</f>
        <v>541</v>
      </c>
      <c r="DD123" s="592">
        <f>+AP123</f>
        <v>432</v>
      </c>
      <c r="DE123" s="592">
        <f>AT123</f>
        <v>300</v>
      </c>
      <c r="DF123" s="592">
        <f>+AX123</f>
        <v>169</v>
      </c>
      <c r="DG123" s="592">
        <f>+BB123</f>
        <v>52</v>
      </c>
      <c r="DH123" s="592">
        <f>+BF123</f>
        <v>11</v>
      </c>
      <c r="DI123" s="939">
        <f>+BJ123</f>
        <v>0</v>
      </c>
      <c r="DJ123" s="939">
        <f>+BN123</f>
        <v>5287</v>
      </c>
      <c r="DK123" s="939">
        <f t="shared" si="1596"/>
        <v>0</v>
      </c>
      <c r="DL123" s="939">
        <f t="shared" si="1479"/>
        <v>3392</v>
      </c>
      <c r="DM123" s="939">
        <f t="shared" si="1480"/>
        <v>3618</v>
      </c>
      <c r="DN123" s="939">
        <f t="shared" si="1481"/>
        <v>0</v>
      </c>
      <c r="DO123" s="939">
        <f t="shared" si="1482"/>
        <v>5660</v>
      </c>
      <c r="DP123" s="939">
        <f t="shared" si="1483"/>
        <v>1942.3626157999558</v>
      </c>
      <c r="DQ123" s="939">
        <f t="shared" si="1484"/>
        <v>2110.343431132374</v>
      </c>
      <c r="DR123" s="599">
        <f t="shared" ref="DR123:DU123" si="1614">+DQ123*DR3/DQ3</f>
        <v>2286.6126240965541</v>
      </c>
      <c r="DS123" s="599">
        <f t="shared" si="1614"/>
        <v>2446.1803712572587</v>
      </c>
      <c r="DT123" s="599">
        <f t="shared" si="1614"/>
        <v>2616.0573583781234</v>
      </c>
      <c r="DU123" s="599">
        <f t="shared" si="1614"/>
        <v>2797.6884405388123</v>
      </c>
      <c r="DX123" s="599">
        <v>2174.8707549621422</v>
      </c>
      <c r="DY123" s="599">
        <v>2353.1610936303932</v>
      </c>
    </row>
    <row r="124" spans="1:129" s="904" customFormat="1">
      <c r="A124" s="939"/>
      <c r="B124" s="949" t="s">
        <v>437</v>
      </c>
      <c r="C124" s="939"/>
      <c r="D124" s="939">
        <v>0</v>
      </c>
      <c r="E124" s="939">
        <v>0</v>
      </c>
      <c r="F124" s="939">
        <v>0</v>
      </c>
      <c r="G124" s="939">
        <v>0</v>
      </c>
      <c r="H124" s="939">
        <v>0</v>
      </c>
      <c r="I124" s="939">
        <v>0</v>
      </c>
      <c r="J124" s="939">
        <v>0</v>
      </c>
      <c r="K124" s="939">
        <v>0</v>
      </c>
      <c r="L124" s="939">
        <v>0</v>
      </c>
      <c r="M124" s="939">
        <v>0</v>
      </c>
      <c r="N124" s="939">
        <v>0</v>
      </c>
      <c r="O124" s="939">
        <v>0</v>
      </c>
      <c r="P124" s="939">
        <v>0</v>
      </c>
      <c r="Q124" s="939">
        <v>0</v>
      </c>
      <c r="R124" s="939">
        <v>0</v>
      </c>
      <c r="S124" s="939">
        <v>0</v>
      </c>
      <c r="T124" s="939">
        <v>0</v>
      </c>
      <c r="U124" s="939">
        <v>0</v>
      </c>
      <c r="V124" s="939">
        <v>0</v>
      </c>
      <c r="W124" s="939">
        <f>+V124/(V6)*(W6)</f>
        <v>0</v>
      </c>
      <c r="X124" s="939">
        <v>0</v>
      </c>
      <c r="Y124" s="939">
        <v>0</v>
      </c>
      <c r="Z124" s="939">
        <v>0</v>
      </c>
      <c r="AA124" s="939">
        <v>0</v>
      </c>
      <c r="AB124" s="939">
        <v>0</v>
      </c>
      <c r="AC124" s="939">
        <v>0</v>
      </c>
      <c r="AD124" s="939">
        <v>0</v>
      </c>
      <c r="AE124" s="939">
        <v>0</v>
      </c>
      <c r="AF124" s="939">
        <v>0</v>
      </c>
      <c r="AG124" s="939">
        <v>0</v>
      </c>
      <c r="AH124" s="939">
        <v>0</v>
      </c>
      <c r="AI124" s="939">
        <v>0</v>
      </c>
      <c r="AJ124" s="939">
        <v>0</v>
      </c>
      <c r="AK124" s="939">
        <v>0</v>
      </c>
      <c r="AL124" s="939">
        <v>0</v>
      </c>
      <c r="AM124" s="939">
        <v>0</v>
      </c>
      <c r="AN124" s="939">
        <v>0</v>
      </c>
      <c r="AO124" s="939">
        <v>0</v>
      </c>
      <c r="AP124" s="939">
        <f>+AO124</f>
        <v>0</v>
      </c>
      <c r="AQ124" s="939">
        <v>0</v>
      </c>
      <c r="AR124" s="939">
        <f>+AQ124</f>
        <v>0</v>
      </c>
      <c r="AS124" s="939">
        <v>0</v>
      </c>
      <c r="AT124" s="939"/>
      <c r="AU124" s="952"/>
      <c r="AV124" s="952"/>
      <c r="AW124" s="952"/>
      <c r="AX124" s="952"/>
      <c r="AY124" s="952"/>
      <c r="AZ124" s="952"/>
      <c r="BA124" s="952"/>
      <c r="BB124" s="952"/>
      <c r="BC124" s="952"/>
      <c r="BD124" s="952"/>
      <c r="BE124" s="952"/>
      <c r="BF124" s="952"/>
      <c r="BG124" s="952"/>
      <c r="BH124" s="952"/>
      <c r="BI124" s="952"/>
      <c r="BJ124" s="952"/>
      <c r="BK124" s="952"/>
      <c r="BL124" s="952"/>
      <c r="BM124" s="952"/>
      <c r="BN124" s="952"/>
      <c r="BO124" s="952"/>
      <c r="BP124" s="952"/>
      <c r="BQ124" s="952"/>
      <c r="BR124" s="952"/>
      <c r="BS124" s="952"/>
      <c r="BT124" s="952"/>
      <c r="BU124" s="952"/>
      <c r="BV124" s="952"/>
      <c r="BW124" s="952"/>
      <c r="BX124" s="952"/>
      <c r="BY124" s="952"/>
      <c r="BZ124" s="952"/>
      <c r="CA124" s="952"/>
      <c r="CB124" s="952"/>
      <c r="CC124" s="952"/>
      <c r="CD124" s="952"/>
      <c r="CE124" s="952"/>
      <c r="CF124" s="952"/>
      <c r="CG124" s="952"/>
      <c r="CH124" s="952"/>
      <c r="CI124" s="952"/>
      <c r="CJ124" s="952"/>
      <c r="CK124" s="952"/>
      <c r="CL124" s="941"/>
      <c r="CM124" s="941"/>
      <c r="CN124" s="941"/>
      <c r="CO124" s="941"/>
      <c r="CP124" s="941"/>
      <c r="CQ124" s="941"/>
      <c r="CR124" s="941"/>
      <c r="CT124" s="967"/>
      <c r="CU124" s="967"/>
      <c r="CV124" s="967"/>
      <c r="CW124" s="967"/>
      <c r="CX124" s="592"/>
      <c r="CY124" s="592"/>
      <c r="CZ124" s="592"/>
      <c r="DA124" s="592"/>
      <c r="DB124" s="592"/>
      <c r="DC124" s="592"/>
      <c r="DD124" s="592"/>
      <c r="DE124" s="592"/>
      <c r="DF124" s="592"/>
      <c r="DG124" s="592"/>
      <c r="DH124" s="592"/>
      <c r="DI124" s="939"/>
      <c r="DJ124" s="939"/>
      <c r="DK124" s="939">
        <f t="shared" si="1596"/>
        <v>0</v>
      </c>
      <c r="DL124" s="939">
        <f t="shared" si="1479"/>
        <v>0</v>
      </c>
      <c r="DM124" s="939">
        <f t="shared" si="1480"/>
        <v>0</v>
      </c>
      <c r="DN124" s="939">
        <f t="shared" si="1481"/>
        <v>0</v>
      </c>
      <c r="DO124" s="939">
        <f t="shared" si="1482"/>
        <v>0</v>
      </c>
      <c r="DP124" s="939">
        <f t="shared" si="1483"/>
        <v>0</v>
      </c>
      <c r="DQ124" s="939">
        <f t="shared" si="1484"/>
        <v>0</v>
      </c>
      <c r="DR124" s="599"/>
      <c r="DS124" s="599"/>
      <c r="DT124" s="599"/>
      <c r="DU124" s="599"/>
      <c r="DX124" s="599"/>
      <c r="DY124" s="599"/>
    </row>
    <row r="125" spans="1:129" s="904" customFormat="1">
      <c r="A125" s="939"/>
      <c r="B125" s="949" t="s">
        <v>438</v>
      </c>
      <c r="C125" s="939"/>
      <c r="D125" s="939">
        <v>0</v>
      </c>
      <c r="E125" s="939">
        <v>0</v>
      </c>
      <c r="F125" s="939">
        <v>29139</v>
      </c>
      <c r="G125" s="939">
        <v>30828</v>
      </c>
      <c r="H125" s="939">
        <f>35289+6380</f>
        <v>41669</v>
      </c>
      <c r="I125" s="939">
        <v>37465</v>
      </c>
      <c r="J125" s="939">
        <v>40332</v>
      </c>
      <c r="K125" s="939">
        <v>12940</v>
      </c>
      <c r="L125" s="939">
        <f>14741+4500</f>
        <v>19241</v>
      </c>
      <c r="M125" s="939">
        <f>16043+4200</f>
        <v>20243</v>
      </c>
      <c r="N125" s="939">
        <f>19033+3900</f>
        <v>22933</v>
      </c>
      <c r="O125" s="939">
        <f>3600+41322</f>
        <v>44922</v>
      </c>
      <c r="P125" s="939">
        <f>43646+3300</f>
        <v>46946</v>
      </c>
      <c r="Q125" s="939">
        <f>21087+10500</f>
        <v>31587</v>
      </c>
      <c r="R125" s="939">
        <f>20387+9843</f>
        <v>30230</v>
      </c>
      <c r="S125" s="939">
        <f>20428+9066</f>
        <v>29494</v>
      </c>
      <c r="T125" s="939">
        <f>19974+8290</f>
        <v>28264</v>
      </c>
      <c r="U125" s="939">
        <f>20845+11125</f>
        <v>31970</v>
      </c>
      <c r="V125" s="939">
        <f>22530+10289</f>
        <v>32819</v>
      </c>
      <c r="W125" s="939">
        <f>23243+9256</f>
        <v>32499</v>
      </c>
      <c r="X125" s="939">
        <f>24048+8222</f>
        <v>32270</v>
      </c>
      <c r="Y125" s="939">
        <f>24991+7191</f>
        <v>32182</v>
      </c>
      <c r="Z125" s="939">
        <f>26277+6159</f>
        <v>32436</v>
      </c>
      <c r="AA125" s="939">
        <f>28911+5126</f>
        <v>34037</v>
      </c>
      <c r="AB125" s="939">
        <f>31588+8947</f>
        <v>40535</v>
      </c>
      <c r="AC125" s="939">
        <f>36248+8794</f>
        <v>45042</v>
      </c>
      <c r="AD125" s="939">
        <f>43414+7678</f>
        <v>51092</v>
      </c>
      <c r="AE125" s="939">
        <f>32164+8815</f>
        <v>40979</v>
      </c>
      <c r="AF125" s="939">
        <f>33324+23319</f>
        <v>56643</v>
      </c>
      <c r="AG125" s="939">
        <f>35361+27286</f>
        <v>62647</v>
      </c>
      <c r="AH125" s="939">
        <f>47286+26259</f>
        <v>73545</v>
      </c>
      <c r="AI125" s="939">
        <f>52486+22597</f>
        <v>75083</v>
      </c>
      <c r="AJ125" s="939">
        <f>51299+18943</f>
        <v>70242</v>
      </c>
      <c r="AK125" s="939">
        <f>57865+19159</f>
        <v>77024</v>
      </c>
      <c r="AL125" s="939">
        <f>17539+75894</f>
        <v>93433</v>
      </c>
      <c r="AM125" s="939">
        <f>47534+16623</f>
        <v>64157</v>
      </c>
      <c r="AN125" s="939">
        <f>12046+48299</f>
        <v>60345</v>
      </c>
      <c r="AO125" s="939">
        <f>47801+10932</f>
        <v>58733</v>
      </c>
      <c r="AP125" s="939">
        <f>10132+32272</f>
        <v>42404</v>
      </c>
      <c r="AQ125" s="939">
        <f>32675+9292</f>
        <v>41967</v>
      </c>
      <c r="AR125" s="939">
        <f>4804+34211</f>
        <v>39015</v>
      </c>
      <c r="AS125" s="939">
        <f>33789+4106</f>
        <v>37895</v>
      </c>
      <c r="AT125" s="939">
        <f>26259+6882</f>
        <v>33141</v>
      </c>
      <c r="AU125" s="952">
        <v>35000</v>
      </c>
      <c r="AV125" s="952">
        <v>32262</v>
      </c>
      <c r="AW125" s="952">
        <v>36293</v>
      </c>
      <c r="AX125" s="952">
        <v>37104</v>
      </c>
      <c r="AY125" s="952">
        <f>37135+834</f>
        <v>37969</v>
      </c>
      <c r="AZ125" s="952">
        <f>37199+4613</f>
        <v>41812</v>
      </c>
      <c r="BA125" s="952">
        <v>41529</v>
      </c>
      <c r="BB125" s="952">
        <v>40864</v>
      </c>
      <c r="BC125" s="952">
        <v>41651</v>
      </c>
      <c r="BD125" s="952">
        <v>41881</v>
      </c>
      <c r="BE125" s="952">
        <v>28794</v>
      </c>
      <c r="BF125" s="952">
        <v>28512</v>
      </c>
      <c r="BG125" s="952">
        <v>28329</v>
      </c>
      <c r="BH125" s="952">
        <v>28260</v>
      </c>
      <c r="BI125" s="952">
        <f>30394+7082</f>
        <v>37476</v>
      </c>
      <c r="BJ125" s="952">
        <v>42428</v>
      </c>
      <c r="BK125" s="952">
        <v>31455</v>
      </c>
      <c r="BL125" s="952">
        <v>58011</v>
      </c>
      <c r="BM125" s="952">
        <v>57040</v>
      </c>
      <c r="BN125" s="952">
        <v>48592</v>
      </c>
      <c r="BO125" s="952">
        <v>48194</v>
      </c>
      <c r="BP125" s="952">
        <v>155244</v>
      </c>
      <c r="BQ125" s="952">
        <v>169668</v>
      </c>
      <c r="BR125" s="952">
        <v>175544</v>
      </c>
      <c r="BS125" s="952">
        <v>203859</v>
      </c>
      <c r="BT125" s="952">
        <v>208314</v>
      </c>
      <c r="BU125" s="952">
        <v>241900</v>
      </c>
      <c r="BV125" s="952">
        <v>271808</v>
      </c>
      <c r="BW125" s="952">
        <v>250890</v>
      </c>
      <c r="BX125" s="952">
        <v>196608</v>
      </c>
      <c r="BY125" s="952">
        <v>162889</v>
      </c>
      <c r="BZ125" s="952">
        <v>160899</v>
      </c>
      <c r="CA125" s="952">
        <v>119566</v>
      </c>
      <c r="CB125" s="952">
        <v>140909</v>
      </c>
      <c r="CC125" s="952">
        <v>116417</v>
      </c>
      <c r="CD125" s="952">
        <v>105750</v>
      </c>
      <c r="CE125" s="952">
        <v>100216</v>
      </c>
      <c r="CF125" s="952">
        <v>88655</v>
      </c>
      <c r="CG125" s="952">
        <v>82289</v>
      </c>
      <c r="CH125" s="952">
        <v>77121</v>
      </c>
      <c r="CI125" s="952">
        <v>73207</v>
      </c>
      <c r="CJ125" s="952">
        <v>75335</v>
      </c>
      <c r="CK125" s="952">
        <v>73966</v>
      </c>
      <c r="CL125" s="941">
        <f t="shared" ref="CL125" si="1615">+CK125*CL6/CK6</f>
        <v>100209.66665391524</v>
      </c>
      <c r="CM125" s="941">
        <f t="shared" ref="CM125" si="1616">+CL125*CM6/CL6</f>
        <v>71283.439779371358</v>
      </c>
      <c r="CN125" s="941">
        <f t="shared" ref="CN125" si="1617">+CM125*CN6/CM6</f>
        <v>90417.347350116237</v>
      </c>
      <c r="CO125" s="941">
        <f t="shared" ref="CO125" si="1618">+CN125*CO6/CN6</f>
        <v>79720.526111914543</v>
      </c>
      <c r="CP125" s="941">
        <f t="shared" ref="CP125" si="1619">+CO125*CP6/CO6</f>
        <v>108976.56896420087</v>
      </c>
      <c r="CQ125" s="941"/>
      <c r="CR125" s="941">
        <v>100209.66665391524</v>
      </c>
      <c r="CT125" s="948"/>
      <c r="CU125" s="948"/>
      <c r="CV125" s="948"/>
      <c r="CW125" s="948"/>
      <c r="CX125" s="592">
        <f>R125</f>
        <v>30230</v>
      </c>
      <c r="CY125" s="592">
        <f>V125</f>
        <v>32819</v>
      </c>
      <c r="CZ125" s="592">
        <f>Z125</f>
        <v>32436</v>
      </c>
      <c r="DA125" s="592">
        <f>+AD125</f>
        <v>51092</v>
      </c>
      <c r="DB125" s="592">
        <f>+AH125</f>
        <v>73545</v>
      </c>
      <c r="DC125" s="592">
        <f>+AL125</f>
        <v>93433</v>
      </c>
      <c r="DD125" s="592">
        <f>+AP125</f>
        <v>42404</v>
      </c>
      <c r="DE125" s="592">
        <f>AT125</f>
        <v>33141</v>
      </c>
      <c r="DF125" s="592">
        <f>+AX125</f>
        <v>37104</v>
      </c>
      <c r="DG125" s="592">
        <f>+BB125</f>
        <v>40864</v>
      </c>
      <c r="DH125" s="592">
        <f>+BF125</f>
        <v>28512</v>
      </c>
      <c r="DI125" s="939">
        <f>+BJ125</f>
        <v>42428</v>
      </c>
      <c r="DJ125" s="939">
        <f>+BN125</f>
        <v>48592</v>
      </c>
      <c r="DK125" s="939">
        <f t="shared" si="1596"/>
        <v>175544</v>
      </c>
      <c r="DL125" s="939">
        <f t="shared" si="1479"/>
        <v>271808</v>
      </c>
      <c r="DM125" s="939">
        <f t="shared" si="1480"/>
        <v>160899</v>
      </c>
      <c r="DN125" s="939">
        <f t="shared" si="1481"/>
        <v>105750</v>
      </c>
      <c r="DO125" s="939">
        <f t="shared" si="1482"/>
        <v>77121</v>
      </c>
      <c r="DP125" s="939">
        <f t="shared" si="1483"/>
        <v>100209.66665391524</v>
      </c>
      <c r="DQ125" s="939">
        <f t="shared" si="1484"/>
        <v>108976.56896420087</v>
      </c>
      <c r="DR125" s="599">
        <f t="shared" ref="DR125:DU125" si="1620">+DQ125*DR6/DQ6</f>
        <v>118083.34808954218</v>
      </c>
      <c r="DS125" s="599">
        <f t="shared" si="1620"/>
        <v>126141.83954712916</v>
      </c>
      <c r="DT125" s="599">
        <f t="shared" si="1620"/>
        <v>134750.47820212677</v>
      </c>
      <c r="DU125" s="599">
        <f t="shared" si="1620"/>
        <v>143939.66534921693</v>
      </c>
      <c r="DX125" s="599">
        <v>112289.80063386506</v>
      </c>
      <c r="DY125" s="599">
        <v>121189.00027699889</v>
      </c>
    </row>
    <row r="126" spans="1:129" s="590" customFormat="1">
      <c r="A126" s="943"/>
      <c r="B126" s="944" t="s">
        <v>439</v>
      </c>
      <c r="C126" s="943"/>
      <c r="D126" s="943">
        <v>90736</v>
      </c>
      <c r="E126" s="943">
        <v>110790</v>
      </c>
      <c r="F126" s="943">
        <v>148334</v>
      </c>
      <c r="G126" s="943">
        <v>150841</v>
      </c>
      <c r="H126" s="943">
        <v>195046</v>
      </c>
      <c r="I126" s="943">
        <v>537558</v>
      </c>
      <c r="J126" s="943">
        <v>517579</v>
      </c>
      <c r="K126" s="943">
        <v>531048</v>
      </c>
      <c r="L126" s="943">
        <v>553921</v>
      </c>
      <c r="M126" s="943">
        <v>554584</v>
      </c>
      <c r="N126" s="943">
        <v>543966</v>
      </c>
      <c r="O126" s="943">
        <v>560743</v>
      </c>
      <c r="P126" s="943">
        <v>601189</v>
      </c>
      <c r="Q126" s="943">
        <v>637020</v>
      </c>
      <c r="R126" s="943">
        <v>582928</v>
      </c>
      <c r="S126" s="943">
        <v>610100</v>
      </c>
      <c r="T126" s="943">
        <v>656666</v>
      </c>
      <c r="U126" s="943">
        <v>688174</v>
      </c>
      <c r="V126" s="943">
        <v>711493</v>
      </c>
      <c r="W126" s="943">
        <v>726050</v>
      </c>
      <c r="X126" s="943">
        <v>778803</v>
      </c>
      <c r="Y126" s="943">
        <v>814652</v>
      </c>
      <c r="Z126" s="943">
        <v>777640</v>
      </c>
      <c r="AA126" s="943">
        <v>908002</v>
      </c>
      <c r="AB126" s="943">
        <v>915642</v>
      </c>
      <c r="AC126" s="943">
        <v>976796</v>
      </c>
      <c r="AD126" s="943">
        <v>1021308</v>
      </c>
      <c r="AE126" s="943">
        <v>1056786</v>
      </c>
      <c r="AF126" s="943">
        <v>1016945</v>
      </c>
      <c r="AG126" s="943">
        <v>1068589</v>
      </c>
      <c r="AH126" s="943">
        <v>1154998</v>
      </c>
      <c r="AI126" s="943">
        <v>1170182</v>
      </c>
      <c r="AJ126" s="943">
        <v>1119851</v>
      </c>
      <c r="AK126" s="943">
        <v>1170234</v>
      </c>
      <c r="AL126" s="943">
        <v>1305683</v>
      </c>
      <c r="AM126" s="943">
        <v>1317146</v>
      </c>
      <c r="AN126" s="943">
        <v>1266367</v>
      </c>
      <c r="AO126" s="943">
        <v>1315462</v>
      </c>
      <c r="AP126" s="943">
        <v>1493253</v>
      </c>
      <c r="AQ126" s="943">
        <v>1518174</v>
      </c>
      <c r="AR126" s="943">
        <v>1567884</v>
      </c>
      <c r="AS126" s="943">
        <v>1668362</v>
      </c>
      <c r="AT126" s="943">
        <v>1855268</v>
      </c>
      <c r="AU126" s="951">
        <v>1944684</v>
      </c>
      <c r="AV126" s="951">
        <v>2003513</v>
      </c>
      <c r="AW126" s="951">
        <v>2173684</v>
      </c>
      <c r="AX126" s="951">
        <v>2310896</v>
      </c>
      <c r="AY126" s="951">
        <v>2260818</v>
      </c>
      <c r="AZ126" s="951">
        <v>2297204</v>
      </c>
      <c r="BA126" s="951">
        <v>2366123</v>
      </c>
      <c r="BB126" s="951">
        <v>2636796</v>
      </c>
      <c r="BC126" s="951">
        <v>2670814</v>
      </c>
      <c r="BD126" s="951">
        <v>2814012</v>
      </c>
      <c r="BE126" s="951">
        <v>2918668</v>
      </c>
      <c r="BF126" s="951">
        <v>3223446</v>
      </c>
      <c r="BG126" s="951">
        <v>3268398</v>
      </c>
      <c r="BH126" s="951">
        <v>3461783</v>
      </c>
      <c r="BI126" s="951">
        <v>3607482</v>
      </c>
      <c r="BJ126" s="951">
        <v>3954512</v>
      </c>
      <c r="BK126" s="951">
        <v>4060519</v>
      </c>
      <c r="BL126" s="951">
        <v>4112250</v>
      </c>
      <c r="BM126" s="951">
        <v>4273031</v>
      </c>
      <c r="BN126" s="951">
        <v>4704614</v>
      </c>
      <c r="BO126" s="951">
        <v>4688165</v>
      </c>
      <c r="BP126" s="951">
        <v>5425952</v>
      </c>
      <c r="BQ126" s="951">
        <v>5287763</v>
      </c>
      <c r="BR126" s="951">
        <v>5501316</v>
      </c>
      <c r="BS126" s="951">
        <v>5365471</v>
      </c>
      <c r="BT126" s="951">
        <v>9341825</v>
      </c>
      <c r="BU126" s="951">
        <v>9497615</v>
      </c>
      <c r="BV126" s="951">
        <v>9806621</v>
      </c>
      <c r="BW126" s="951">
        <v>9624740</v>
      </c>
      <c r="BX126" s="951">
        <v>9648345</v>
      </c>
      <c r="BY126" s="951">
        <v>9790803</v>
      </c>
      <c r="BZ126" s="951">
        <v>10087515</v>
      </c>
      <c r="CA126" s="951">
        <v>9665782</v>
      </c>
      <c r="CB126" s="951">
        <v>9712480</v>
      </c>
      <c r="CC126" s="951">
        <v>9765091</v>
      </c>
      <c r="CD126" s="951">
        <v>10047221</v>
      </c>
      <c r="CE126" s="951">
        <v>10099825</v>
      </c>
      <c r="CF126" s="951">
        <v>10317141</v>
      </c>
      <c r="CG126" s="951">
        <v>10394696</v>
      </c>
      <c r="CH126" s="951">
        <v>10772951</v>
      </c>
      <c r="CI126" s="951">
        <v>10265765</v>
      </c>
      <c r="CJ126" s="951">
        <v>10300491</v>
      </c>
      <c r="CK126" s="951">
        <v>10143083</v>
      </c>
      <c r="CL126" s="946">
        <f t="shared" ref="CL126" si="1621">+CK126+CL25+CL47+CL66-CL197</f>
        <v>10429031.799776644</v>
      </c>
      <c r="CM126" s="946">
        <f t="shared" ref="CM126" si="1622">+CL126+CM25+CM47+CM66-CM197</f>
        <v>10417372.770724541</v>
      </c>
      <c r="CN126" s="946">
        <f t="shared" ref="CN126" si="1623">+CM126+CN25+CN47+CN66-CN197</f>
        <v>10594800.873983059</v>
      </c>
      <c r="CO126" s="946">
        <f t="shared" ref="CO126" si="1624">+CN126+CO25+CO47+CO66-CO197</f>
        <v>10635463.931942485</v>
      </c>
      <c r="CP126" s="946">
        <f t="shared" ref="CP126" si="1625">+CO126+CP25+CP47+CP66-CP197</f>
        <v>10979575.25955922</v>
      </c>
      <c r="CQ126" s="946"/>
      <c r="CR126" s="946">
        <v>10429031.799776644</v>
      </c>
      <c r="CT126" s="943"/>
      <c r="CU126" s="943"/>
      <c r="CV126" s="943"/>
      <c r="CW126" s="943"/>
      <c r="CX126" s="589">
        <f>R126</f>
        <v>582928</v>
      </c>
      <c r="CY126" s="589">
        <f>V126</f>
        <v>711493</v>
      </c>
      <c r="CZ126" s="589">
        <f>Z126</f>
        <v>777640</v>
      </c>
      <c r="DA126" s="589">
        <f>+AD126</f>
        <v>1021308</v>
      </c>
      <c r="DB126" s="589">
        <f>+AH126</f>
        <v>1154998</v>
      </c>
      <c r="DC126" s="589">
        <f>+AL126</f>
        <v>1305683</v>
      </c>
      <c r="DD126" s="589">
        <f>+AP126</f>
        <v>1493253</v>
      </c>
      <c r="DE126" s="589">
        <f>AT126</f>
        <v>1855268</v>
      </c>
      <c r="DF126" s="589">
        <f>+AX126</f>
        <v>2310896</v>
      </c>
      <c r="DG126" s="589">
        <f>+BB126</f>
        <v>2636796</v>
      </c>
      <c r="DH126" s="589">
        <f>+BF126</f>
        <v>3223446</v>
      </c>
      <c r="DI126" s="943">
        <f>+BJ126</f>
        <v>3954512</v>
      </c>
      <c r="DJ126" s="943">
        <f>+BN126</f>
        <v>4704614</v>
      </c>
      <c r="DK126" s="943">
        <f t="shared" si="1596"/>
        <v>5501316</v>
      </c>
      <c r="DL126" s="943">
        <f t="shared" si="1479"/>
        <v>9806621</v>
      </c>
      <c r="DM126" s="943">
        <f t="shared" si="1480"/>
        <v>10087515</v>
      </c>
      <c r="DN126" s="943">
        <f t="shared" si="1481"/>
        <v>10047221</v>
      </c>
      <c r="DO126" s="943">
        <f t="shared" si="1482"/>
        <v>10772951</v>
      </c>
      <c r="DP126" s="943">
        <f t="shared" si="1483"/>
        <v>10429031.799776644</v>
      </c>
      <c r="DQ126" s="943">
        <f t="shared" si="1484"/>
        <v>10979575.25955922</v>
      </c>
      <c r="DR126" s="966">
        <f t="shared" ref="DR126:DU126" si="1626">+DQ126+DR25+DR47+DR66-DR197</f>
        <v>11968150.879654458</v>
      </c>
      <c r="DS126" s="966">
        <f t="shared" si="1626"/>
        <v>13156347.265378561</v>
      </c>
      <c r="DT126" s="966">
        <f t="shared" si="1626"/>
        <v>14498044.676558672</v>
      </c>
      <c r="DU126" s="966">
        <f t="shared" si="1626"/>
        <v>15987414.858300511</v>
      </c>
      <c r="DX126" s="966">
        <v>11312213.72012607</v>
      </c>
      <c r="DY126" s="966">
        <v>12433679.472300746</v>
      </c>
    </row>
    <row r="127" spans="1:129" s="904" customFormat="1">
      <c r="A127" s="939"/>
      <c r="B127" s="949" t="s">
        <v>440</v>
      </c>
      <c r="C127" s="939"/>
      <c r="D127" s="939">
        <v>0</v>
      </c>
      <c r="E127" s="939">
        <v>0</v>
      </c>
      <c r="F127" s="939">
        <v>0</v>
      </c>
      <c r="G127" s="939">
        <v>0</v>
      </c>
      <c r="H127" s="939">
        <v>0</v>
      </c>
      <c r="I127" s="939">
        <v>0</v>
      </c>
      <c r="J127" s="939">
        <v>0</v>
      </c>
      <c r="K127" s="939">
        <v>0</v>
      </c>
      <c r="L127" s="939">
        <v>0</v>
      </c>
      <c r="M127" s="939">
        <v>0</v>
      </c>
      <c r="N127" s="939">
        <v>0</v>
      </c>
      <c r="O127" s="939">
        <v>0</v>
      </c>
      <c r="P127" s="939">
        <v>0</v>
      </c>
      <c r="Q127" s="939">
        <v>0</v>
      </c>
      <c r="R127" s="939">
        <v>0</v>
      </c>
      <c r="S127" s="939">
        <v>0</v>
      </c>
      <c r="T127" s="939">
        <v>0</v>
      </c>
      <c r="U127" s="939">
        <v>0</v>
      </c>
      <c r="V127" s="939">
        <v>0</v>
      </c>
      <c r="W127" s="939">
        <v>0</v>
      </c>
      <c r="X127" s="939">
        <v>0</v>
      </c>
      <c r="Y127" s="939">
        <v>0</v>
      </c>
      <c r="Z127" s="939">
        <v>0</v>
      </c>
      <c r="AA127" s="939">
        <v>0</v>
      </c>
      <c r="AB127" s="939">
        <v>0</v>
      </c>
      <c r="AC127" s="939">
        <v>0</v>
      </c>
      <c r="AD127" s="939">
        <v>0</v>
      </c>
      <c r="AE127" s="939">
        <v>0</v>
      </c>
      <c r="AF127" s="939">
        <f>+AE127-AF33-AF195</f>
        <v>0</v>
      </c>
      <c r="AG127" s="939">
        <v>0</v>
      </c>
      <c r="AH127" s="939">
        <v>0</v>
      </c>
      <c r="AI127" s="939">
        <v>0</v>
      </c>
      <c r="AJ127" s="939">
        <v>0</v>
      </c>
      <c r="AK127" s="939">
        <v>0</v>
      </c>
      <c r="AL127" s="939">
        <v>0</v>
      </c>
      <c r="AM127" s="939">
        <f>+AL127-AM33-AM195</f>
        <v>0</v>
      </c>
      <c r="AN127" s="939">
        <v>0</v>
      </c>
      <c r="AO127" s="939">
        <f>+AN127-AO33-AO195</f>
        <v>0</v>
      </c>
      <c r="AP127" s="939">
        <f>+AO127-AP33-AP195</f>
        <v>0</v>
      </c>
      <c r="AQ127" s="939">
        <v>0</v>
      </c>
      <c r="AR127" s="939">
        <v>0</v>
      </c>
      <c r="AS127" s="939">
        <v>0</v>
      </c>
      <c r="AT127" s="939">
        <v>0</v>
      </c>
      <c r="AU127" s="939">
        <f>+AT127-AU33-AU195</f>
        <v>0</v>
      </c>
      <c r="AV127" s="939">
        <f>+AU127-AV33-AV195</f>
        <v>0</v>
      </c>
      <c r="AW127" s="939">
        <f>+AV127-AW33-AW195</f>
        <v>0</v>
      </c>
      <c r="AX127" s="939"/>
      <c r="AY127" s="939"/>
      <c r="AZ127" s="940"/>
      <c r="BA127" s="940"/>
      <c r="BB127" s="942"/>
      <c r="BC127" s="942"/>
      <c r="BD127" s="942"/>
      <c r="BE127" s="942"/>
      <c r="BF127" s="942">
        <f>+BE127-BF33-BF195</f>
        <v>0</v>
      </c>
      <c r="BG127" s="939"/>
      <c r="BH127" s="939">
        <f>+BG127-BH33-BH195</f>
        <v>0</v>
      </c>
      <c r="BI127" s="939">
        <f>+BH127-BI33-BI195</f>
        <v>0</v>
      </c>
      <c r="BJ127" s="939"/>
      <c r="BK127" s="939"/>
      <c r="BL127" s="939"/>
      <c r="BM127" s="939"/>
      <c r="BN127" s="939"/>
      <c r="BO127" s="939"/>
      <c r="BP127" s="939"/>
      <c r="BQ127" s="939">
        <f t="shared" ref="BQ127:CF127" si="1627">+BP127-BQ33-BQ195</f>
        <v>0</v>
      </c>
      <c r="BR127" s="939">
        <f t="shared" si="1627"/>
        <v>0</v>
      </c>
      <c r="BS127" s="939">
        <f t="shared" si="1627"/>
        <v>0</v>
      </c>
      <c r="BT127" s="939">
        <f t="shared" si="1627"/>
        <v>0</v>
      </c>
      <c r="BU127" s="939">
        <f t="shared" si="1627"/>
        <v>0</v>
      </c>
      <c r="BV127" s="939">
        <f t="shared" si="1627"/>
        <v>0</v>
      </c>
      <c r="BW127" s="939">
        <f t="shared" si="1627"/>
        <v>0</v>
      </c>
      <c r="BX127" s="939">
        <f t="shared" si="1627"/>
        <v>0</v>
      </c>
      <c r="BY127" s="939">
        <f t="shared" si="1627"/>
        <v>0</v>
      </c>
      <c r="BZ127" s="939">
        <f t="shared" si="1627"/>
        <v>0</v>
      </c>
      <c r="CA127" s="939">
        <f t="shared" si="1627"/>
        <v>0</v>
      </c>
      <c r="CB127" s="939">
        <f t="shared" si="1627"/>
        <v>0</v>
      </c>
      <c r="CC127" s="939">
        <f t="shared" si="1627"/>
        <v>0</v>
      </c>
      <c r="CD127" s="939">
        <f t="shared" si="1627"/>
        <v>0</v>
      </c>
      <c r="CE127" s="939">
        <f t="shared" si="1627"/>
        <v>0</v>
      </c>
      <c r="CF127" s="939">
        <f t="shared" si="1627"/>
        <v>0</v>
      </c>
      <c r="CG127" s="939">
        <v>0</v>
      </c>
      <c r="CH127" s="939">
        <f t="shared" ref="CH127:CI127" si="1628">+CG127-CH33-CH195</f>
        <v>0</v>
      </c>
      <c r="CI127" s="939">
        <f t="shared" si="1628"/>
        <v>0</v>
      </c>
      <c r="CJ127" s="939">
        <f t="shared" ref="CJ127:CK127" si="1629">+CI127-CJ33-CJ195</f>
        <v>0</v>
      </c>
      <c r="CK127" s="939">
        <f t="shared" si="1629"/>
        <v>0</v>
      </c>
      <c r="CL127" s="941">
        <f t="shared" ref="CL127" si="1630">+CK127-CL33-CL195</f>
        <v>0</v>
      </c>
      <c r="CM127" s="941">
        <f t="shared" ref="CM127" si="1631">+CL127-CM33-CM195</f>
        <v>0</v>
      </c>
      <c r="CN127" s="941">
        <f t="shared" ref="CN127" si="1632">+CM127-CN33-CN195</f>
        <v>0</v>
      </c>
      <c r="CO127" s="941">
        <f t="shared" ref="CO127" si="1633">+CN127-CO33-CO195</f>
        <v>0</v>
      </c>
      <c r="CP127" s="941">
        <f t="shared" ref="CP127" si="1634">+CO127-CP33-CP195</f>
        <v>0</v>
      </c>
      <c r="CQ127" s="941"/>
      <c r="CR127" s="941">
        <v>0</v>
      </c>
      <c r="CT127" s="942"/>
      <c r="CU127" s="942"/>
      <c r="CV127" s="942"/>
      <c r="CW127" s="942"/>
      <c r="CX127" s="592">
        <f>R127</f>
        <v>0</v>
      </c>
      <c r="CY127" s="592">
        <f>V127</f>
        <v>0</v>
      </c>
      <c r="CZ127" s="592">
        <f>Z127</f>
        <v>0</v>
      </c>
      <c r="DA127" s="592">
        <f>+AD127</f>
        <v>0</v>
      </c>
      <c r="DB127" s="592">
        <f>+AH127</f>
        <v>0</v>
      </c>
      <c r="DC127" s="592">
        <f>+AL127</f>
        <v>0</v>
      </c>
      <c r="DD127" s="592">
        <f>+AP127</f>
        <v>0</v>
      </c>
      <c r="DE127" s="592">
        <f>AT127</f>
        <v>0</v>
      </c>
      <c r="DF127" s="592">
        <f>+AX127</f>
        <v>0</v>
      </c>
      <c r="DG127" s="592">
        <f>+BB127</f>
        <v>0</v>
      </c>
      <c r="DH127" s="592">
        <f>+BF127</f>
        <v>0</v>
      </c>
      <c r="DI127" s="939">
        <f>+BJ127</f>
        <v>0</v>
      </c>
      <c r="DJ127" s="939">
        <f>+BN127</f>
        <v>0</v>
      </c>
      <c r="DK127" s="942">
        <f>+DJ127-DK33-DK195</f>
        <v>0</v>
      </c>
      <c r="DL127" s="942">
        <f t="shared" si="1479"/>
        <v>0</v>
      </c>
      <c r="DM127" s="942">
        <f t="shared" si="1480"/>
        <v>0</v>
      </c>
      <c r="DN127" s="942">
        <f t="shared" si="1481"/>
        <v>0</v>
      </c>
      <c r="DO127" s="942">
        <f t="shared" si="1482"/>
        <v>0</v>
      </c>
      <c r="DP127" s="942">
        <f t="shared" si="1483"/>
        <v>0</v>
      </c>
      <c r="DQ127" s="942">
        <f t="shared" si="1484"/>
        <v>0</v>
      </c>
      <c r="DR127" s="599">
        <f t="shared" ref="DR127:DU127" si="1635">+DQ127-DR33-DR195</f>
        <v>0</v>
      </c>
      <c r="DS127" s="599">
        <f t="shared" si="1635"/>
        <v>0</v>
      </c>
      <c r="DT127" s="599">
        <f t="shared" si="1635"/>
        <v>0</v>
      </c>
      <c r="DU127" s="599">
        <f t="shared" si="1635"/>
        <v>0</v>
      </c>
      <c r="DX127" s="599">
        <v>0</v>
      </c>
      <c r="DY127" s="599">
        <v>0</v>
      </c>
    </row>
    <row r="128" spans="1:129" s="904" customFormat="1">
      <c r="A128" s="943"/>
      <c r="B128" s="944" t="s">
        <v>441</v>
      </c>
      <c r="C128" s="943">
        <f t="shared" ref="C128:AH128" si="1636">+C119+C108+C126+C127</f>
        <v>0</v>
      </c>
      <c r="D128" s="943">
        <f t="shared" si="1636"/>
        <v>622364</v>
      </c>
      <c r="E128" s="943">
        <f t="shared" si="1636"/>
        <v>632872</v>
      </c>
      <c r="F128" s="943">
        <f t="shared" si="1636"/>
        <v>742334</v>
      </c>
      <c r="G128" s="943">
        <f t="shared" si="1636"/>
        <v>690837</v>
      </c>
      <c r="H128" s="943">
        <f t="shared" si="1636"/>
        <v>731929</v>
      </c>
      <c r="I128" s="943">
        <f t="shared" si="1636"/>
        <v>901572</v>
      </c>
      <c r="J128" s="943">
        <f t="shared" si="1636"/>
        <v>1059424</v>
      </c>
      <c r="K128" s="943">
        <f t="shared" si="1636"/>
        <v>880920</v>
      </c>
      <c r="L128" s="943">
        <f t="shared" si="1636"/>
        <v>954478</v>
      </c>
      <c r="M128" s="943">
        <f t="shared" si="1636"/>
        <v>963209</v>
      </c>
      <c r="N128" s="943">
        <f t="shared" si="1636"/>
        <v>1200396</v>
      </c>
      <c r="O128" s="943">
        <f t="shared" si="1636"/>
        <v>1058047</v>
      </c>
      <c r="P128" s="943">
        <f t="shared" si="1636"/>
        <v>1093191</v>
      </c>
      <c r="Q128" s="943">
        <f t="shared" si="1636"/>
        <v>1166322</v>
      </c>
      <c r="R128" s="943">
        <f t="shared" si="1636"/>
        <v>1540408</v>
      </c>
      <c r="S128" s="943">
        <f t="shared" si="1636"/>
        <v>1212372</v>
      </c>
      <c r="T128" s="943">
        <f t="shared" si="1636"/>
        <v>1243715</v>
      </c>
      <c r="U128" s="943">
        <f t="shared" si="1636"/>
        <v>1199471</v>
      </c>
      <c r="V128" s="943">
        <f t="shared" si="1636"/>
        <v>1559105</v>
      </c>
      <c r="W128" s="943">
        <f t="shared" si="1636"/>
        <v>1382198</v>
      </c>
      <c r="X128" s="943">
        <f t="shared" si="1636"/>
        <v>1520286</v>
      </c>
      <c r="Y128" s="943">
        <f t="shared" si="1636"/>
        <v>1560587</v>
      </c>
      <c r="Z128" s="943">
        <f t="shared" si="1636"/>
        <v>1921197</v>
      </c>
      <c r="AA128" s="943">
        <f t="shared" si="1636"/>
        <v>1832162</v>
      </c>
      <c r="AB128" s="943">
        <f t="shared" si="1636"/>
        <v>1871871</v>
      </c>
      <c r="AC128" s="943">
        <f t="shared" si="1636"/>
        <v>1905562</v>
      </c>
      <c r="AD128" s="943">
        <f t="shared" si="1636"/>
        <v>2456015</v>
      </c>
      <c r="AE128" s="943">
        <f t="shared" si="1636"/>
        <v>2212079</v>
      </c>
      <c r="AF128" s="943">
        <f t="shared" si="1636"/>
        <v>2228907</v>
      </c>
      <c r="AG128" s="943">
        <f t="shared" si="1636"/>
        <v>2641337</v>
      </c>
      <c r="AH128" s="943">
        <f t="shared" si="1636"/>
        <v>2983504</v>
      </c>
      <c r="AI128" s="943">
        <f t="shared" ref="AI128:BD128" si="1637">+AI119+AI108+AI126+AI127</f>
        <v>2859507</v>
      </c>
      <c r="AJ128" s="943">
        <f t="shared" si="1637"/>
        <v>2909729</v>
      </c>
      <c r="AK128" s="943">
        <f t="shared" si="1637"/>
        <v>3322175</v>
      </c>
      <c r="AL128" s="943">
        <f t="shared" si="1637"/>
        <v>3770028</v>
      </c>
      <c r="AM128" s="943">
        <f t="shared" si="1637"/>
        <v>3485527</v>
      </c>
      <c r="AN128" s="943">
        <f t="shared" si="1637"/>
        <v>3513137</v>
      </c>
      <c r="AO128" s="943">
        <f t="shared" si="1637"/>
        <v>4012280</v>
      </c>
      <c r="AP128" s="943">
        <f t="shared" si="1637"/>
        <v>4515524</v>
      </c>
      <c r="AQ128" s="943">
        <f t="shared" si="1637"/>
        <v>4302066</v>
      </c>
      <c r="AR128" s="943">
        <f t="shared" si="1637"/>
        <v>4407842</v>
      </c>
      <c r="AS128" s="943">
        <f t="shared" si="1637"/>
        <v>4511948</v>
      </c>
      <c r="AT128" s="943">
        <f t="shared" si="1637"/>
        <v>5321540</v>
      </c>
      <c r="AU128" s="943">
        <f t="shared" si="1637"/>
        <v>5075915</v>
      </c>
      <c r="AV128" s="943">
        <f t="shared" si="1637"/>
        <v>5231240</v>
      </c>
      <c r="AW128" s="943">
        <f t="shared" si="1637"/>
        <v>5291778</v>
      </c>
      <c r="AX128" s="943">
        <f t="shared" si="1637"/>
        <v>5863719</v>
      </c>
      <c r="AY128" s="943">
        <f t="shared" si="1637"/>
        <v>5571244</v>
      </c>
      <c r="AZ128" s="945">
        <f t="shared" si="1637"/>
        <v>5812619</v>
      </c>
      <c r="BA128" s="945">
        <f t="shared" si="1637"/>
        <v>5674332</v>
      </c>
      <c r="BB128" s="943">
        <f t="shared" si="1637"/>
        <v>6475212</v>
      </c>
      <c r="BC128" s="943">
        <f t="shared" si="1637"/>
        <v>6251926</v>
      </c>
      <c r="BD128" s="943">
        <f t="shared" si="1637"/>
        <v>6596513</v>
      </c>
      <c r="BE128" s="943">
        <f t="shared" ref="BE128:BV128" si="1638">+BE119+BE108+BE126+BE127</f>
        <v>6486567</v>
      </c>
      <c r="BF128" s="943">
        <f t="shared" si="1638"/>
        <v>7547658</v>
      </c>
      <c r="BG128" s="943">
        <f t="shared" si="1638"/>
        <v>7026755</v>
      </c>
      <c r="BH128" s="943">
        <f t="shared" si="1638"/>
        <v>7298225</v>
      </c>
      <c r="BI128" s="943">
        <f t="shared" si="1638"/>
        <v>7554334</v>
      </c>
      <c r="BJ128" s="943">
        <f t="shared" si="1638"/>
        <v>8821048</v>
      </c>
      <c r="BK128" s="943">
        <f t="shared" si="1638"/>
        <v>10068747</v>
      </c>
      <c r="BL128" s="943">
        <f t="shared" si="1638"/>
        <v>9934016</v>
      </c>
      <c r="BM128" s="943">
        <f t="shared" si="1638"/>
        <v>10214888</v>
      </c>
      <c r="BN128" s="943">
        <f t="shared" si="1638"/>
        <v>11566497</v>
      </c>
      <c r="BO128" s="943">
        <f>+BO119+BO108+BO126+BO127</f>
        <v>11520672</v>
      </c>
      <c r="BP128" s="943">
        <f>+BP119+BP108+BP126+BP127</f>
        <v>12828071</v>
      </c>
      <c r="BQ128" s="943">
        <f t="shared" si="1638"/>
        <v>12982090</v>
      </c>
      <c r="BR128" s="943">
        <f t="shared" si="1638"/>
        <v>14642583</v>
      </c>
      <c r="BS128" s="943">
        <f t="shared" si="1638"/>
        <v>14736953</v>
      </c>
      <c r="BT128" s="943">
        <f t="shared" si="1638"/>
        <v>18744081</v>
      </c>
      <c r="BU128" s="943">
        <f t="shared" si="1638"/>
        <v>19462761</v>
      </c>
      <c r="BV128" s="943">
        <f t="shared" si="1638"/>
        <v>21411985</v>
      </c>
      <c r="BW128" s="943">
        <f t="shared" ref="BW128:CD128" si="1639">+BW119+BW108+BW126+BW127</f>
        <v>21054974</v>
      </c>
      <c r="BX128" s="943">
        <f>+BX119+BX108+BX126+BX127</f>
        <v>20949309</v>
      </c>
      <c r="BY128" s="943">
        <f t="shared" si="1639"/>
        <v>20816608</v>
      </c>
      <c r="BZ128" s="943">
        <f t="shared" si="1639"/>
        <v>21148892</v>
      </c>
      <c r="CA128" s="943">
        <f t="shared" si="1639"/>
        <v>19691820</v>
      </c>
      <c r="CB128" s="943">
        <f t="shared" si="1639"/>
        <v>19953683</v>
      </c>
      <c r="CC128" s="943">
        <f t="shared" si="1639"/>
        <v>19959761</v>
      </c>
      <c r="CD128" s="943">
        <f t="shared" si="1639"/>
        <v>20490638</v>
      </c>
      <c r="CE128" s="943">
        <f t="shared" ref="CE128:CH128" si="1640">+CE119+CE108+CE126+CE127</f>
        <v>19050366</v>
      </c>
      <c r="CF128" s="943">
        <f t="shared" ref="CF128" si="1641">+CF119+CF108+CF126+CF127</f>
        <v>19244851</v>
      </c>
      <c r="CG128" s="943">
        <f t="shared" si="1640"/>
        <v>19171858</v>
      </c>
      <c r="CH128" s="943">
        <f t="shared" si="1640"/>
        <v>20364590</v>
      </c>
      <c r="CI128" s="943">
        <f t="shared" ref="CI128" si="1642">+CI119+CI108+CI126+CI127</f>
        <v>18457504</v>
      </c>
      <c r="CJ128" s="943">
        <f t="shared" ref="CJ128:CL128" si="1643">+CJ119+CJ108+CJ126+CJ127</f>
        <v>18735315</v>
      </c>
      <c r="CK128" s="943">
        <f t="shared" ref="CK128" si="1644">+CK119+CK108+CK126+CK127</f>
        <v>18348667</v>
      </c>
      <c r="CL128" s="946">
        <f t="shared" si="1643"/>
        <v>19997805.130181845</v>
      </c>
      <c r="CM128" s="946">
        <f t="shared" ref="CM128:CP128" si="1645">+CM119+CM108+CM126+CM127</f>
        <v>19100705.119548626</v>
      </c>
      <c r="CN128" s="946">
        <f t="shared" si="1645"/>
        <v>19203694.886700116</v>
      </c>
      <c r="CO128" s="946">
        <f t="shared" si="1645"/>
        <v>19289882.60569777</v>
      </c>
      <c r="CP128" s="946">
        <f t="shared" si="1645"/>
        <v>21256574.163920134</v>
      </c>
      <c r="CQ128" s="946"/>
      <c r="CR128" s="946">
        <v>19997805.130181845</v>
      </c>
      <c r="CT128" s="943"/>
      <c r="CU128" s="943"/>
      <c r="CV128" s="943"/>
      <c r="CW128" s="943"/>
      <c r="CX128" s="943">
        <f>R128</f>
        <v>1540408</v>
      </c>
      <c r="CY128" s="943">
        <f>V128</f>
        <v>1559105</v>
      </c>
      <c r="CZ128" s="943">
        <f>Z128</f>
        <v>1921197</v>
      </c>
      <c r="DA128" s="943">
        <f>+AD128</f>
        <v>2456015</v>
      </c>
      <c r="DB128" s="943">
        <f>+AH128</f>
        <v>2983504</v>
      </c>
      <c r="DC128" s="943">
        <f>+AL128</f>
        <v>3770028</v>
      </c>
      <c r="DD128" s="943">
        <f>+AP128</f>
        <v>4515524</v>
      </c>
      <c r="DE128" s="943">
        <f>AT128</f>
        <v>5321540</v>
      </c>
      <c r="DF128" s="943">
        <f>+AX128</f>
        <v>5863719</v>
      </c>
      <c r="DG128" s="943">
        <f>+BB128</f>
        <v>6475212</v>
      </c>
      <c r="DH128" s="943">
        <f>+BF128</f>
        <v>7547658</v>
      </c>
      <c r="DI128" s="943">
        <f>+DI119+DI108+DI126+DI127</f>
        <v>8821048</v>
      </c>
      <c r="DJ128" s="943">
        <f>+DJ119+DJ108+DJ126+DJ127</f>
        <v>11491098</v>
      </c>
      <c r="DK128" s="943">
        <f>+DK119+DK108+DK126+DK127</f>
        <v>14544096</v>
      </c>
      <c r="DL128" s="943">
        <f t="shared" si="1479"/>
        <v>21411985</v>
      </c>
      <c r="DM128" s="943">
        <f t="shared" si="1480"/>
        <v>21148892</v>
      </c>
      <c r="DN128" s="943">
        <f t="shared" si="1481"/>
        <v>20490638</v>
      </c>
      <c r="DO128" s="943">
        <f t="shared" si="1482"/>
        <v>20364590</v>
      </c>
      <c r="DP128" s="943">
        <f t="shared" si="1483"/>
        <v>19997805.130181845</v>
      </c>
      <c r="DQ128" s="943">
        <f t="shared" si="1484"/>
        <v>21256574.163920134</v>
      </c>
      <c r="DR128" s="966">
        <f>+DR119+DR108+DR126+DR127</f>
        <v>22092082.503317833</v>
      </c>
      <c r="DS128" s="966">
        <f t="shared" ref="DS128:DU128" si="1646">+DS119+DS108+DS126+DS127</f>
        <v>24072062.617375199</v>
      </c>
      <c r="DT128" s="966">
        <f t="shared" si="1646"/>
        <v>26181160.823971316</v>
      </c>
      <c r="DU128" s="966">
        <f t="shared" si="1646"/>
        <v>28488541.84661657</v>
      </c>
      <c r="DX128" s="966">
        <v>21138614.573733434</v>
      </c>
      <c r="DY128" s="966">
        <v>22630554.691689774</v>
      </c>
    </row>
    <row r="129" spans="1:129" s="904" customFormat="1">
      <c r="A129" s="592"/>
      <c r="B129" s="949" t="s">
        <v>442</v>
      </c>
      <c r="C129" s="592">
        <f t="shared" ref="C129:AH129" si="1647">+C107-C128</f>
        <v>0</v>
      </c>
      <c r="D129" s="592">
        <f t="shared" si="1647"/>
        <v>0</v>
      </c>
      <c r="E129" s="592">
        <f t="shared" si="1647"/>
        <v>0</v>
      </c>
      <c r="F129" s="592">
        <f t="shared" si="1647"/>
        <v>0</v>
      </c>
      <c r="G129" s="592">
        <f t="shared" si="1647"/>
        <v>0</v>
      </c>
      <c r="H129" s="592">
        <f t="shared" si="1647"/>
        <v>0</v>
      </c>
      <c r="I129" s="592">
        <f t="shared" si="1647"/>
        <v>0</v>
      </c>
      <c r="J129" s="592">
        <f t="shared" si="1647"/>
        <v>0</v>
      </c>
      <c r="K129" s="592">
        <f t="shared" si="1647"/>
        <v>0</v>
      </c>
      <c r="L129" s="592">
        <f t="shared" si="1647"/>
        <v>0</v>
      </c>
      <c r="M129" s="592">
        <f t="shared" si="1647"/>
        <v>0</v>
      </c>
      <c r="N129" s="592">
        <f t="shared" si="1647"/>
        <v>0</v>
      </c>
      <c r="O129" s="592">
        <f t="shared" si="1647"/>
        <v>0</v>
      </c>
      <c r="P129" s="592">
        <f t="shared" si="1647"/>
        <v>0</v>
      </c>
      <c r="Q129" s="592">
        <f t="shared" si="1647"/>
        <v>0</v>
      </c>
      <c r="R129" s="592">
        <f t="shared" si="1647"/>
        <v>0</v>
      </c>
      <c r="S129" s="592">
        <f t="shared" si="1647"/>
        <v>0</v>
      </c>
      <c r="T129" s="592">
        <f t="shared" si="1647"/>
        <v>0</v>
      </c>
      <c r="U129" s="592">
        <f t="shared" si="1647"/>
        <v>0</v>
      </c>
      <c r="V129" s="592">
        <f t="shared" si="1647"/>
        <v>0</v>
      </c>
      <c r="W129" s="592">
        <f t="shared" si="1647"/>
        <v>0</v>
      </c>
      <c r="X129" s="592">
        <f t="shared" si="1647"/>
        <v>0</v>
      </c>
      <c r="Y129" s="592">
        <f t="shared" si="1647"/>
        <v>0</v>
      </c>
      <c r="Z129" s="592">
        <f t="shared" si="1647"/>
        <v>0</v>
      </c>
      <c r="AA129" s="592">
        <f t="shared" si="1647"/>
        <v>0</v>
      </c>
      <c r="AB129" s="592">
        <f t="shared" si="1647"/>
        <v>0</v>
      </c>
      <c r="AC129" s="592">
        <f t="shared" si="1647"/>
        <v>0</v>
      </c>
      <c r="AD129" s="592">
        <f t="shared" si="1647"/>
        <v>0</v>
      </c>
      <c r="AE129" s="592">
        <f t="shared" si="1647"/>
        <v>0</v>
      </c>
      <c r="AF129" s="592">
        <f t="shared" si="1647"/>
        <v>0</v>
      </c>
      <c r="AG129" s="592">
        <f t="shared" si="1647"/>
        <v>0</v>
      </c>
      <c r="AH129" s="592">
        <f t="shared" si="1647"/>
        <v>0</v>
      </c>
      <c r="AI129" s="592">
        <f t="shared" ref="AI129:BD129" si="1648">+AI107-AI128</f>
        <v>0</v>
      </c>
      <c r="AJ129" s="592">
        <f t="shared" si="1648"/>
        <v>0</v>
      </c>
      <c r="AK129" s="592">
        <f t="shared" si="1648"/>
        <v>0</v>
      </c>
      <c r="AL129" s="592">
        <f t="shared" si="1648"/>
        <v>0</v>
      </c>
      <c r="AM129" s="592">
        <f t="shared" si="1648"/>
        <v>0</v>
      </c>
      <c r="AN129" s="592">
        <f t="shared" si="1648"/>
        <v>0</v>
      </c>
      <c r="AO129" s="592">
        <f t="shared" si="1648"/>
        <v>0</v>
      </c>
      <c r="AP129" s="592" t="e">
        <f t="shared" si="1648"/>
        <v>#REF!</v>
      </c>
      <c r="AQ129" s="592">
        <f t="shared" si="1648"/>
        <v>0</v>
      </c>
      <c r="AR129" s="592">
        <f t="shared" si="1648"/>
        <v>0</v>
      </c>
      <c r="AS129" s="592">
        <f t="shared" si="1648"/>
        <v>0</v>
      </c>
      <c r="AT129" s="592">
        <f t="shared" si="1648"/>
        <v>0</v>
      </c>
      <c r="AU129" s="592">
        <f t="shared" si="1648"/>
        <v>0</v>
      </c>
      <c r="AV129" s="592">
        <f t="shared" si="1648"/>
        <v>473</v>
      </c>
      <c r="AW129" s="592">
        <f t="shared" si="1648"/>
        <v>967</v>
      </c>
      <c r="AX129" s="592">
        <f t="shared" si="1648"/>
        <v>0</v>
      </c>
      <c r="AY129" s="592">
        <f t="shared" si="1648"/>
        <v>0</v>
      </c>
      <c r="AZ129" s="910">
        <f t="shared" si="1648"/>
        <v>0</v>
      </c>
      <c r="BA129" s="910">
        <f t="shared" si="1648"/>
        <v>0</v>
      </c>
      <c r="BB129" s="592">
        <f t="shared" si="1648"/>
        <v>0</v>
      </c>
      <c r="BC129" s="592">
        <f t="shared" si="1648"/>
        <v>0</v>
      </c>
      <c r="BD129" s="592">
        <f t="shared" si="1648"/>
        <v>0</v>
      </c>
      <c r="BE129" s="592">
        <f t="shared" ref="BE129:BV129" si="1649">+BE107-BE128</f>
        <v>94</v>
      </c>
      <c r="BF129" s="592">
        <f t="shared" si="1649"/>
        <v>-94</v>
      </c>
      <c r="BG129" s="939">
        <f t="shared" si="1649"/>
        <v>0</v>
      </c>
      <c r="BH129" s="939">
        <f t="shared" si="1649"/>
        <v>7082</v>
      </c>
      <c r="BI129" s="939">
        <f t="shared" si="1649"/>
        <v>-7082</v>
      </c>
      <c r="BJ129" s="939">
        <f t="shared" si="1649"/>
        <v>0</v>
      </c>
      <c r="BK129" s="939">
        <f t="shared" si="1649"/>
        <v>279068</v>
      </c>
      <c r="BL129" s="939">
        <f t="shared" si="1649"/>
        <v>384412</v>
      </c>
      <c r="BM129" s="939">
        <f t="shared" si="1649"/>
        <v>327740</v>
      </c>
      <c r="BN129" s="939">
        <f t="shared" si="1649"/>
        <v>225238</v>
      </c>
      <c r="BO129" s="939">
        <f>+BO107-BO128</f>
        <v>221407</v>
      </c>
      <c r="BP129" s="939">
        <f>+BP107-BP128</f>
        <v>0</v>
      </c>
      <c r="BQ129" s="939">
        <f t="shared" si="1649"/>
        <v>0</v>
      </c>
      <c r="BR129" s="939">
        <f t="shared" si="1649"/>
        <v>0</v>
      </c>
      <c r="BS129" s="939">
        <f t="shared" si="1649"/>
        <v>0</v>
      </c>
      <c r="BT129" s="939">
        <f t="shared" si="1649"/>
        <v>381</v>
      </c>
      <c r="BU129" s="939">
        <f t="shared" si="1649"/>
        <v>0</v>
      </c>
      <c r="BV129" s="939">
        <f t="shared" si="1649"/>
        <v>0</v>
      </c>
      <c r="BW129" s="939">
        <f t="shared" ref="BW129:CD129" si="1650">+BW107-BW128</f>
        <v>5658</v>
      </c>
      <c r="BX129" s="939">
        <f>+BX107-BX128</f>
        <v>0</v>
      </c>
      <c r="BY129" s="939">
        <f t="shared" si="1650"/>
        <v>0</v>
      </c>
      <c r="BZ129" s="939">
        <f t="shared" si="1650"/>
        <v>-1.9999966025352478E-4</v>
      </c>
      <c r="CA129" s="939">
        <f t="shared" si="1650"/>
        <v>0</v>
      </c>
      <c r="CB129" s="939">
        <f t="shared" si="1650"/>
        <v>0</v>
      </c>
      <c r="CC129" s="939">
        <f t="shared" si="1650"/>
        <v>0</v>
      </c>
      <c r="CD129" s="939">
        <f t="shared" si="1650"/>
        <v>0</v>
      </c>
      <c r="CE129" s="939">
        <f t="shared" ref="CE129:CH129" si="1651">+CE107-CE128</f>
        <v>0</v>
      </c>
      <c r="CF129" s="939">
        <f t="shared" ref="CF129" si="1652">+CF107-CF128</f>
        <v>0</v>
      </c>
      <c r="CG129" s="939">
        <f t="shared" si="1651"/>
        <v>0</v>
      </c>
      <c r="CH129" s="939">
        <f t="shared" si="1651"/>
        <v>0</v>
      </c>
      <c r="CI129" s="939">
        <f t="shared" ref="CI129" si="1653">+CI107-CI128</f>
        <v>0</v>
      </c>
      <c r="CJ129" s="939">
        <f t="shared" ref="CJ129:CL129" si="1654">+CJ107-CJ128</f>
        <v>0</v>
      </c>
      <c r="CK129" s="939">
        <f t="shared" ref="CK129" si="1655">+CK107-CK128</f>
        <v>0</v>
      </c>
      <c r="CL129" s="941">
        <f t="shared" si="1654"/>
        <v>0</v>
      </c>
      <c r="CM129" s="941">
        <f t="shared" ref="CM129:CP129" si="1656">+CM107-CM128</f>
        <v>0</v>
      </c>
      <c r="CN129" s="941">
        <f t="shared" si="1656"/>
        <v>0</v>
      </c>
      <c r="CO129" s="941">
        <f t="shared" si="1656"/>
        <v>0</v>
      </c>
      <c r="CP129" s="941">
        <f t="shared" si="1656"/>
        <v>0</v>
      </c>
      <c r="CQ129" s="941"/>
      <c r="CR129" s="941">
        <v>0</v>
      </c>
      <c r="CT129" s="592"/>
      <c r="CU129" s="592"/>
      <c r="CV129" s="592"/>
      <c r="CW129" s="592"/>
      <c r="CX129" s="592">
        <f>R129</f>
        <v>0</v>
      </c>
      <c r="CY129" s="592">
        <f>V129</f>
        <v>0</v>
      </c>
      <c r="CZ129" s="592">
        <f>Z129</f>
        <v>0</v>
      </c>
      <c r="DA129" s="592">
        <f t="shared" ref="DA129:DK129" si="1657">+DA107-DA128</f>
        <v>0</v>
      </c>
      <c r="DB129" s="592">
        <f t="shared" si="1657"/>
        <v>0</v>
      </c>
      <c r="DC129" s="592">
        <f t="shared" si="1657"/>
        <v>0</v>
      </c>
      <c r="DD129" s="592" t="e">
        <f t="shared" si="1657"/>
        <v>#REF!</v>
      </c>
      <c r="DE129" s="592">
        <f t="shared" si="1657"/>
        <v>0</v>
      </c>
      <c r="DF129" s="592">
        <f t="shared" si="1657"/>
        <v>0</v>
      </c>
      <c r="DG129" s="592">
        <f t="shared" si="1657"/>
        <v>0</v>
      </c>
      <c r="DH129" s="592">
        <f t="shared" si="1657"/>
        <v>-94</v>
      </c>
      <c r="DI129" s="592">
        <f t="shared" si="1657"/>
        <v>0</v>
      </c>
      <c r="DJ129" s="592">
        <f t="shared" si="1657"/>
        <v>300637</v>
      </c>
      <c r="DK129" s="592">
        <f t="shared" si="1657"/>
        <v>98487</v>
      </c>
      <c r="DL129" s="592">
        <f t="shared" si="1479"/>
        <v>0</v>
      </c>
      <c r="DM129" s="592">
        <f t="shared" si="1480"/>
        <v>-1.9999966025352478E-4</v>
      </c>
      <c r="DN129" s="592">
        <f t="shared" si="1481"/>
        <v>0</v>
      </c>
      <c r="DO129" s="592">
        <f t="shared" si="1482"/>
        <v>0</v>
      </c>
      <c r="DP129" s="592">
        <f t="shared" si="1483"/>
        <v>0</v>
      </c>
      <c r="DQ129" s="592">
        <f t="shared" si="1484"/>
        <v>0</v>
      </c>
      <c r="DR129" s="599">
        <f>+DR107-DR128</f>
        <v>0</v>
      </c>
      <c r="DS129" s="599">
        <f t="shared" ref="DS129:DU129" si="1658">+DS107-DS128</f>
        <v>0</v>
      </c>
      <c r="DT129" s="599">
        <f t="shared" si="1658"/>
        <v>0</v>
      </c>
      <c r="DU129" s="599">
        <f t="shared" si="1658"/>
        <v>0</v>
      </c>
      <c r="DX129" s="599">
        <v>0</v>
      </c>
      <c r="DY129" s="599">
        <v>0</v>
      </c>
    </row>
    <row r="130" spans="1:129" s="904" customFormat="1">
      <c r="A130" s="592"/>
      <c r="B130" s="592"/>
      <c r="C130" s="592"/>
      <c r="D130" s="592"/>
      <c r="E130" s="592"/>
      <c r="F130" s="592"/>
      <c r="G130" s="592"/>
      <c r="H130" s="592"/>
      <c r="I130" s="592"/>
      <c r="J130" s="592"/>
      <c r="K130" s="592"/>
      <c r="L130" s="592"/>
      <c r="M130" s="592"/>
      <c r="N130" s="592"/>
      <c r="O130" s="592"/>
      <c r="P130" s="592"/>
      <c r="Q130" s="592"/>
      <c r="R130" s="592"/>
      <c r="S130" s="592"/>
      <c r="T130" s="592"/>
      <c r="U130" s="592"/>
      <c r="V130" s="592"/>
      <c r="W130" s="592"/>
      <c r="X130" s="592"/>
      <c r="Y130" s="592"/>
      <c r="Z130" s="592"/>
      <c r="AA130" s="592"/>
      <c r="AB130" s="592"/>
      <c r="AC130" s="592"/>
      <c r="AD130" s="592"/>
      <c r="AE130" s="592"/>
      <c r="AF130" s="592"/>
      <c r="AG130" s="592"/>
      <c r="AH130" s="592"/>
      <c r="AI130" s="592"/>
      <c r="AJ130" s="592"/>
      <c r="AK130" s="592"/>
      <c r="AL130" s="592"/>
      <c r="AM130" s="592"/>
      <c r="AN130" s="592"/>
      <c r="AO130" s="592"/>
      <c r="AP130" s="592"/>
      <c r="AQ130" s="592"/>
      <c r="AR130" s="592"/>
      <c r="AS130" s="592"/>
      <c r="AT130" s="592"/>
      <c r="AU130" s="592"/>
      <c r="AV130" s="592"/>
      <c r="AW130" s="592"/>
      <c r="AX130" s="592"/>
      <c r="AY130" s="592"/>
      <c r="AZ130" s="910"/>
      <c r="BA130" s="592"/>
      <c r="BB130" s="592"/>
      <c r="BC130" s="592"/>
      <c r="BD130" s="592"/>
      <c r="BE130" s="941"/>
      <c r="BF130" s="941"/>
      <c r="BG130" s="941"/>
      <c r="BH130" s="941"/>
      <c r="BI130" s="941"/>
      <c r="BJ130" s="941"/>
      <c r="BK130" s="941"/>
      <c r="BL130" s="941"/>
      <c r="BM130" s="941"/>
      <c r="BN130" s="941"/>
      <c r="BO130" s="941"/>
      <c r="BP130" s="941"/>
      <c r="BQ130" s="941"/>
      <c r="BR130" s="941"/>
      <c r="BS130" s="941"/>
      <c r="BT130" s="941"/>
      <c r="BU130" s="941"/>
      <c r="BV130" s="941"/>
      <c r="BW130" s="941"/>
      <c r="BX130" s="941"/>
      <c r="BY130" s="941"/>
      <c r="BZ130" s="941"/>
      <c r="CA130" s="941"/>
      <c r="CB130" s="941"/>
      <c r="CC130" s="941"/>
      <c r="CD130" s="941"/>
      <c r="CE130" s="941"/>
      <c r="CF130" s="941"/>
      <c r="CG130" s="941"/>
      <c r="CH130" s="941"/>
      <c r="CI130" s="941"/>
      <c r="CJ130" s="941"/>
      <c r="CK130" s="941"/>
      <c r="CL130" s="941"/>
      <c r="CM130" s="941"/>
      <c r="CN130" s="941"/>
      <c r="CO130" s="941"/>
      <c r="CP130" s="941"/>
      <c r="CQ130" s="941"/>
      <c r="CR130" s="941"/>
      <c r="CT130" s="592"/>
      <c r="CU130" s="592"/>
      <c r="CV130" s="592"/>
      <c r="CW130" s="592"/>
      <c r="CX130" s="911"/>
      <c r="CY130" s="911"/>
      <c r="CZ130" s="911"/>
      <c r="DA130" s="911"/>
      <c r="DB130" s="911"/>
      <c r="DC130" s="911"/>
      <c r="DD130" s="911"/>
      <c r="DE130" s="911"/>
      <c r="DF130" s="911"/>
      <c r="DG130" s="911"/>
      <c r="DH130" s="911"/>
      <c r="DI130" s="911"/>
      <c r="DJ130" s="911"/>
      <c r="DK130" s="911"/>
      <c r="DL130" s="911"/>
      <c r="DM130" s="911"/>
      <c r="DN130" s="911"/>
      <c r="DO130" s="911"/>
      <c r="DP130" s="911"/>
      <c r="DQ130" s="911"/>
      <c r="DR130" s="911"/>
      <c r="DS130" s="911"/>
      <c r="DT130" s="911"/>
      <c r="DU130" s="911"/>
      <c r="DX130" s="911"/>
      <c r="DY130" s="911"/>
    </row>
    <row r="131" spans="1:129" s="590" customFormat="1">
      <c r="A131" s="943"/>
      <c r="B131" s="818" t="s">
        <v>443</v>
      </c>
      <c r="C131" s="589">
        <f t="shared" ref="C131:AH131" si="1659">+C132+C135</f>
        <v>0</v>
      </c>
      <c r="D131" s="589">
        <f t="shared" si="1659"/>
        <v>260437</v>
      </c>
      <c r="E131" s="589">
        <f t="shared" si="1659"/>
        <v>256951</v>
      </c>
      <c r="F131" s="589">
        <f t="shared" si="1659"/>
        <v>290255</v>
      </c>
      <c r="G131" s="589">
        <f t="shared" si="1659"/>
        <v>354635</v>
      </c>
      <c r="H131" s="589">
        <f t="shared" si="1659"/>
        <v>318857</v>
      </c>
      <c r="I131" s="589">
        <f t="shared" si="1659"/>
        <v>318655</v>
      </c>
      <c r="J131" s="589">
        <f t="shared" si="1659"/>
        <v>304435</v>
      </c>
      <c r="K131" s="589">
        <f t="shared" si="1659"/>
        <v>413191</v>
      </c>
      <c r="L131" s="589">
        <f t="shared" si="1659"/>
        <v>398372</v>
      </c>
      <c r="M131" s="589">
        <f t="shared" si="1659"/>
        <v>400762</v>
      </c>
      <c r="N131" s="589">
        <f t="shared" si="1659"/>
        <v>374657</v>
      </c>
      <c r="O131" s="589">
        <f t="shared" si="1659"/>
        <v>509402</v>
      </c>
      <c r="P131" s="589">
        <f t="shared" si="1659"/>
        <v>457079</v>
      </c>
      <c r="Q131" s="589">
        <f t="shared" si="1659"/>
        <v>469021</v>
      </c>
      <c r="R131" s="589">
        <f t="shared" si="1659"/>
        <v>641341</v>
      </c>
      <c r="S131" s="589">
        <f t="shared" si="1659"/>
        <v>582990</v>
      </c>
      <c r="T131" s="589">
        <f t="shared" si="1659"/>
        <v>632174</v>
      </c>
      <c r="U131" s="589">
        <f t="shared" si="1659"/>
        <v>691727</v>
      </c>
      <c r="V131" s="589">
        <f t="shared" si="1659"/>
        <v>888703</v>
      </c>
      <c r="W131" s="589">
        <f t="shared" si="1659"/>
        <v>928788</v>
      </c>
      <c r="X131" s="589">
        <f t="shared" si="1659"/>
        <v>857271</v>
      </c>
      <c r="Y131" s="589">
        <f t="shared" si="1659"/>
        <v>791341</v>
      </c>
      <c r="Z131" s="589">
        <f t="shared" si="1659"/>
        <v>879366</v>
      </c>
      <c r="AA131" s="589">
        <f t="shared" si="1659"/>
        <v>894812</v>
      </c>
      <c r="AB131" s="589">
        <f t="shared" si="1659"/>
        <v>960766</v>
      </c>
      <c r="AC131" s="589">
        <f t="shared" si="1659"/>
        <v>966447</v>
      </c>
      <c r="AD131" s="589">
        <f t="shared" si="1659"/>
        <v>1054168</v>
      </c>
      <c r="AE131" s="589">
        <f t="shared" si="1659"/>
        <v>1151930</v>
      </c>
      <c r="AF131" s="589">
        <f t="shared" si="1659"/>
        <v>1311149</v>
      </c>
      <c r="AG131" s="589">
        <f t="shared" si="1659"/>
        <v>1367602</v>
      </c>
      <c r="AH131" s="589">
        <f t="shared" si="1659"/>
        <v>1454995</v>
      </c>
      <c r="AI131" s="589">
        <f t="shared" ref="AI131:DF131" si="1660">+AI132+AI135</f>
        <v>1662090</v>
      </c>
      <c r="AJ131" s="589">
        <f t="shared" si="1660"/>
        <v>1709469</v>
      </c>
      <c r="AK131" s="589">
        <f t="shared" si="1660"/>
        <v>1856346</v>
      </c>
      <c r="AL131" s="589">
        <f t="shared" si="1660"/>
        <v>1955137</v>
      </c>
      <c r="AM131" s="589">
        <f t="shared" si="1660"/>
        <v>2131481</v>
      </c>
      <c r="AN131" s="589">
        <f t="shared" si="1660"/>
        <v>2191548</v>
      </c>
      <c r="AO131" s="589">
        <f t="shared" si="1660"/>
        <v>2349175</v>
      </c>
      <c r="AP131" s="589">
        <f t="shared" si="1660"/>
        <v>2488148</v>
      </c>
      <c r="AQ131" s="589">
        <f t="shared" si="1660"/>
        <v>2597199</v>
      </c>
      <c r="AR131" s="589">
        <f t="shared" si="1660"/>
        <v>2668495</v>
      </c>
      <c r="AS131" s="589">
        <f t="shared" si="1660"/>
        <v>2805854</v>
      </c>
      <c r="AT131" s="589">
        <f t="shared" si="1660"/>
        <v>2980242</v>
      </c>
      <c r="AU131" s="589">
        <f t="shared" si="1660"/>
        <v>3246528</v>
      </c>
      <c r="AV131" s="589">
        <f t="shared" si="1660"/>
        <v>3277384</v>
      </c>
      <c r="AW131" s="589">
        <f t="shared" si="1660"/>
        <v>3513122</v>
      </c>
      <c r="AX131" s="589">
        <f t="shared" si="1660"/>
        <v>3479667</v>
      </c>
      <c r="AY131" s="589">
        <f t="shared" si="1660"/>
        <v>3450198</v>
      </c>
      <c r="AZ131" s="1421">
        <f t="shared" si="1660"/>
        <v>3455372</v>
      </c>
      <c r="BA131" s="589">
        <f t="shared" si="1660"/>
        <v>3439534</v>
      </c>
      <c r="BB131" s="589">
        <f t="shared" si="1660"/>
        <v>3564444</v>
      </c>
      <c r="BC131" s="589">
        <f t="shared" si="1660"/>
        <v>3840601</v>
      </c>
      <c r="BD131" s="589">
        <f t="shared" si="1660"/>
        <v>3878803</v>
      </c>
      <c r="BE131" s="589">
        <f t="shared" si="1660"/>
        <v>3714570</v>
      </c>
      <c r="BF131" s="589">
        <f t="shared" si="1660"/>
        <v>3856364</v>
      </c>
      <c r="BG131" s="589">
        <f t="shared" si="1660"/>
        <v>4201493</v>
      </c>
      <c r="BH131" s="589">
        <f t="shared" si="1660"/>
        <v>4347483</v>
      </c>
      <c r="BI131" s="589">
        <f t="shared" si="1660"/>
        <v>4318199</v>
      </c>
      <c r="BJ131" s="589">
        <f t="shared" si="1660"/>
        <v>4507111</v>
      </c>
      <c r="BK131" s="589">
        <f t="shared" si="1660"/>
        <v>4986533</v>
      </c>
      <c r="BL131" s="589">
        <f t="shared" si="1660"/>
        <v>4990041</v>
      </c>
      <c r="BM131" s="589">
        <f t="shared" si="1660"/>
        <v>5000797</v>
      </c>
      <c r="BN131" s="589">
        <f t="shared" si="1660"/>
        <v>5132369</v>
      </c>
      <c r="BO131" s="589">
        <f t="shared" si="1660"/>
        <v>5542280</v>
      </c>
      <c r="BP131" s="589">
        <f t="shared" si="1660"/>
        <v>5870001</v>
      </c>
      <c r="BQ131" s="589">
        <f t="shared" si="1660"/>
        <v>5852933</v>
      </c>
      <c r="BR131" s="589">
        <f t="shared" si="1660"/>
        <v>5876622</v>
      </c>
      <c r="BS131" s="589">
        <f t="shared" si="1660"/>
        <v>5800954</v>
      </c>
      <c r="BT131" s="589">
        <f t="shared" si="1660"/>
        <v>6601068</v>
      </c>
      <c r="BU131" s="589">
        <f t="shared" si="1660"/>
        <v>6554212</v>
      </c>
      <c r="BV131" s="589">
        <f t="shared" si="1660"/>
        <v>6948753</v>
      </c>
      <c r="BW131" s="589">
        <f t="shared" ref="BW131:CB131" si="1661">+BW132+BW135</f>
        <v>7642271</v>
      </c>
      <c r="BX131" s="589">
        <f t="shared" si="1661"/>
        <v>8072415</v>
      </c>
      <c r="BY131" s="589">
        <f t="shared" si="1661"/>
        <v>8319317</v>
      </c>
      <c r="BZ131" s="589">
        <f t="shared" si="1661"/>
        <v>8506989</v>
      </c>
      <c r="CA131" s="589">
        <f t="shared" si="1661"/>
        <v>8719978</v>
      </c>
      <c r="CB131" s="589">
        <f t="shared" si="1661"/>
        <v>8739447</v>
      </c>
      <c r="CC131" s="589">
        <f t="shared" ref="CC131:CD131" si="1662">+CC132+CC135</f>
        <v>8230096</v>
      </c>
      <c r="CD131" s="589">
        <f t="shared" si="1662"/>
        <v>8294547</v>
      </c>
      <c r="CE131" s="589">
        <f t="shared" ref="CE131" si="1663">+CE132+CE135</f>
        <v>8244871</v>
      </c>
      <c r="CF131" s="589">
        <f t="shared" ref="CF131:CH131" si="1664">+CF132+CF135</f>
        <v>8370098</v>
      </c>
      <c r="CG131" s="589">
        <f t="shared" si="1664"/>
        <v>8310829</v>
      </c>
      <c r="CH131" s="589">
        <f t="shared" si="1664"/>
        <v>8253587</v>
      </c>
      <c r="CI131" s="589">
        <f t="shared" ref="CI131:CJ131" si="1665">+CI132+CI135</f>
        <v>8349684</v>
      </c>
      <c r="CJ131" s="589">
        <f t="shared" si="1665"/>
        <v>8541430</v>
      </c>
      <c r="CK131" s="589">
        <f t="shared" ref="CK131" si="1666">+CK132+CK135</f>
        <v>8546559</v>
      </c>
      <c r="CL131" s="946">
        <f t="shared" ref="CL131:CP131" si="1667">+CL132+CL135</f>
        <v>9044992.6142821312</v>
      </c>
      <c r="CM131" s="946">
        <f t="shared" si="1667"/>
        <v>8940983.2319153063</v>
      </c>
      <c r="CN131" s="946">
        <f t="shared" si="1667"/>
        <v>8908748.8454079349</v>
      </c>
      <c r="CO131" s="946">
        <f t="shared" si="1667"/>
        <v>8641893.8643697649</v>
      </c>
      <c r="CP131" s="946">
        <f t="shared" si="1667"/>
        <v>9315289.7133107968</v>
      </c>
      <c r="CQ131" s="946"/>
      <c r="CR131" s="946">
        <v>9044992.6142821312</v>
      </c>
      <c r="CT131" s="589"/>
      <c r="CU131" s="589">
        <f t="shared" si="1660"/>
        <v>0</v>
      </c>
      <c r="CV131" s="589"/>
      <c r="CW131" s="589">
        <f t="shared" si="1660"/>
        <v>0</v>
      </c>
      <c r="CX131" s="589">
        <f t="shared" si="1660"/>
        <v>641341</v>
      </c>
      <c r="CY131" s="589">
        <f t="shared" si="1660"/>
        <v>888703</v>
      </c>
      <c r="CZ131" s="589">
        <f t="shared" si="1660"/>
        <v>879366</v>
      </c>
      <c r="DA131" s="589">
        <f t="shared" si="1660"/>
        <v>1054168</v>
      </c>
      <c r="DB131" s="589">
        <f t="shared" si="1660"/>
        <v>1454995</v>
      </c>
      <c r="DC131" s="589">
        <f t="shared" si="1660"/>
        <v>1955137</v>
      </c>
      <c r="DD131" s="589">
        <f t="shared" si="1660"/>
        <v>2488148</v>
      </c>
      <c r="DE131" s="589">
        <f t="shared" si="1660"/>
        <v>2980242</v>
      </c>
      <c r="DF131" s="589">
        <f t="shared" si="1660"/>
        <v>3479667</v>
      </c>
      <c r="DG131" s="589">
        <f t="shared" ref="DG131:DR131" si="1668">+DG132+DG135</f>
        <v>3564444</v>
      </c>
      <c r="DH131" s="589">
        <f t="shared" si="1668"/>
        <v>3856364</v>
      </c>
      <c r="DI131" s="589">
        <f t="shared" si="1668"/>
        <v>4507111</v>
      </c>
      <c r="DJ131" s="589">
        <f t="shared" si="1668"/>
        <v>5132369</v>
      </c>
      <c r="DK131" s="589">
        <f t="shared" si="1668"/>
        <v>5876622</v>
      </c>
      <c r="DL131" s="589">
        <f t="shared" si="1668"/>
        <v>6948753</v>
      </c>
      <c r="DM131" s="589">
        <f t="shared" si="1668"/>
        <v>8506989</v>
      </c>
      <c r="DN131" s="589">
        <f t="shared" si="1668"/>
        <v>8294547</v>
      </c>
      <c r="DO131" s="589">
        <f t="shared" ref="DO131:DP131" si="1669">+DO132+DO135</f>
        <v>8253587</v>
      </c>
      <c r="DP131" s="589">
        <f t="shared" si="1669"/>
        <v>9044992.6142821312</v>
      </c>
      <c r="DQ131" s="589">
        <f t="shared" ref="DQ131" si="1670">+DQ132+DQ135</f>
        <v>9315289.7133107968</v>
      </c>
      <c r="DR131" s="966">
        <f t="shared" si="1668"/>
        <v>9798463.4687692989</v>
      </c>
      <c r="DS131" s="966">
        <f t="shared" ref="DS131:DU131" si="1671">+DS132+DS135</f>
        <v>10275293.691642847</v>
      </c>
      <c r="DT131" s="966">
        <f t="shared" si="1671"/>
        <v>10815943.030786702</v>
      </c>
      <c r="DU131" s="966">
        <f t="shared" si="1671"/>
        <v>11416558.267868118</v>
      </c>
      <c r="DX131" s="966">
        <v>9546517.7197006717</v>
      </c>
      <c r="DY131" s="966">
        <v>10090568.390682416</v>
      </c>
    </row>
    <row r="132" spans="1:129" s="1428" customFormat="1">
      <c r="A132" s="1422"/>
      <c r="B132" s="1423" t="s">
        <v>444</v>
      </c>
      <c r="C132" s="1424">
        <f t="shared" ref="C132:AH132" si="1672">+C133-C134</f>
        <v>0</v>
      </c>
      <c r="D132" s="1424">
        <f t="shared" si="1672"/>
        <v>95448</v>
      </c>
      <c r="E132" s="1424">
        <f t="shared" si="1672"/>
        <v>91451</v>
      </c>
      <c r="F132" s="1424">
        <f t="shared" si="1672"/>
        <v>125466</v>
      </c>
      <c r="G132" s="1424">
        <f t="shared" si="1672"/>
        <v>193186</v>
      </c>
      <c r="H132" s="1424">
        <f t="shared" si="1672"/>
        <v>147294</v>
      </c>
      <c r="I132" s="1424">
        <f t="shared" si="1672"/>
        <v>148680</v>
      </c>
      <c r="J132" s="1424">
        <f t="shared" si="1672"/>
        <v>110310</v>
      </c>
      <c r="K132" s="1424">
        <f t="shared" si="1672"/>
        <v>211239</v>
      </c>
      <c r="L132" s="1424">
        <f t="shared" si="1672"/>
        <v>165946</v>
      </c>
      <c r="M132" s="1424">
        <f t="shared" si="1672"/>
        <v>156670</v>
      </c>
      <c r="N132" s="1424">
        <f t="shared" si="1672"/>
        <v>94287</v>
      </c>
      <c r="O132" s="1424">
        <f t="shared" si="1672"/>
        <v>229214</v>
      </c>
      <c r="P132" s="1424">
        <f t="shared" si="1672"/>
        <v>165425</v>
      </c>
      <c r="Q132" s="1424">
        <f t="shared" si="1672"/>
        <v>175307</v>
      </c>
      <c r="R132" s="1424">
        <f t="shared" si="1672"/>
        <v>306164</v>
      </c>
      <c r="S132" s="1424">
        <f t="shared" si="1672"/>
        <v>244277</v>
      </c>
      <c r="T132" s="1424">
        <f t="shared" si="1672"/>
        <v>278599</v>
      </c>
      <c r="U132" s="1424">
        <f t="shared" si="1672"/>
        <v>317629</v>
      </c>
      <c r="V132" s="1424">
        <f t="shared" si="1672"/>
        <v>479595</v>
      </c>
      <c r="W132" s="1424">
        <f t="shared" si="1672"/>
        <v>531432</v>
      </c>
      <c r="X132" s="1424">
        <f t="shared" si="1672"/>
        <v>456851</v>
      </c>
      <c r="Y132" s="1424">
        <f t="shared" si="1672"/>
        <v>395642</v>
      </c>
      <c r="Z132" s="1424">
        <f t="shared" si="1672"/>
        <v>475681</v>
      </c>
      <c r="AA132" s="1424">
        <f t="shared" si="1672"/>
        <v>494493</v>
      </c>
      <c r="AB132" s="1424">
        <f t="shared" si="1672"/>
        <v>558301</v>
      </c>
      <c r="AC132" s="1424">
        <f t="shared" si="1672"/>
        <v>561148</v>
      </c>
      <c r="AD132" s="1424">
        <f t="shared" si="1672"/>
        <v>574588</v>
      </c>
      <c r="AE132" s="1424">
        <f t="shared" si="1672"/>
        <v>669975</v>
      </c>
      <c r="AF132" s="1424">
        <f t="shared" si="1672"/>
        <v>621223</v>
      </c>
      <c r="AG132" s="1424">
        <f t="shared" si="1672"/>
        <v>646230</v>
      </c>
      <c r="AH132" s="1424">
        <f t="shared" si="1672"/>
        <v>650656</v>
      </c>
      <c r="AI132" s="1424">
        <f t="shared" ref="AI132:DF132" si="1673">+AI133-AI134</f>
        <v>818998</v>
      </c>
      <c r="AJ132" s="1424">
        <f t="shared" si="1673"/>
        <v>811863</v>
      </c>
      <c r="AK132" s="1424">
        <f t="shared" si="1673"/>
        <v>875183</v>
      </c>
      <c r="AL132" s="1424">
        <f t="shared" si="1673"/>
        <v>852768</v>
      </c>
      <c r="AM132" s="1424">
        <f t="shared" si="1673"/>
        <v>1031662</v>
      </c>
      <c r="AN132" s="1424">
        <f t="shared" si="1673"/>
        <v>1067549</v>
      </c>
      <c r="AO132" s="1424">
        <f t="shared" si="1673"/>
        <v>1104398</v>
      </c>
      <c r="AP132" s="1424">
        <f t="shared" si="1673"/>
        <v>1102597</v>
      </c>
      <c r="AQ132" s="1424">
        <f t="shared" si="1673"/>
        <v>1182732</v>
      </c>
      <c r="AR132" s="1424">
        <f t="shared" si="1673"/>
        <v>1189774</v>
      </c>
      <c r="AS132" s="1424">
        <f t="shared" si="1673"/>
        <v>1250788</v>
      </c>
      <c r="AT132" s="1424">
        <f t="shared" si="1673"/>
        <v>1308093</v>
      </c>
      <c r="AU132" s="1424">
        <f t="shared" si="1673"/>
        <v>1564661</v>
      </c>
      <c r="AV132" s="1424">
        <f t="shared" si="1673"/>
        <v>1513664</v>
      </c>
      <c r="AW132" s="1424">
        <f t="shared" si="1673"/>
        <v>1651347</v>
      </c>
      <c r="AX132" s="1424">
        <f t="shared" si="1673"/>
        <v>1513668</v>
      </c>
      <c r="AY132" s="1424">
        <f t="shared" si="1673"/>
        <v>1470386</v>
      </c>
      <c r="AZ132" s="1425">
        <f t="shared" si="1673"/>
        <v>1395484</v>
      </c>
      <c r="BA132" s="1424">
        <f t="shared" si="1673"/>
        <v>1363647</v>
      </c>
      <c r="BB132" s="1424">
        <f t="shared" si="1673"/>
        <v>1419131</v>
      </c>
      <c r="BC132" s="1424">
        <f t="shared" si="1673"/>
        <v>1708435</v>
      </c>
      <c r="BD132" s="1424">
        <f t="shared" si="1673"/>
        <v>1708534</v>
      </c>
      <c r="BE132" s="1424">
        <f t="shared" si="1673"/>
        <v>1496399</v>
      </c>
      <c r="BF132" s="1424">
        <f t="shared" si="1673"/>
        <v>1516502</v>
      </c>
      <c r="BG132" s="1424">
        <f t="shared" si="1673"/>
        <v>1841105</v>
      </c>
      <c r="BH132" s="1424">
        <f t="shared" si="1673"/>
        <v>1928426</v>
      </c>
      <c r="BI132" s="1424">
        <f t="shared" si="1673"/>
        <v>1824974</v>
      </c>
      <c r="BJ132" s="1424">
        <f t="shared" si="1673"/>
        <v>1877586</v>
      </c>
      <c r="BK132" s="1424">
        <f t="shared" si="1673"/>
        <v>2398253</v>
      </c>
      <c r="BL132" s="1424">
        <f t="shared" si="1673"/>
        <v>2331570</v>
      </c>
      <c r="BM132" s="1424">
        <f t="shared" si="1673"/>
        <v>2178176</v>
      </c>
      <c r="BN132" s="1424">
        <f t="shared" si="1673"/>
        <v>2174424</v>
      </c>
      <c r="BO132" s="1424">
        <f t="shared" si="1673"/>
        <v>2559598</v>
      </c>
      <c r="BP132" s="1424">
        <f t="shared" si="1673"/>
        <v>2848221</v>
      </c>
      <c r="BQ132" s="1424">
        <f t="shared" si="1673"/>
        <v>2756788</v>
      </c>
      <c r="BR132" s="1424">
        <f t="shared" si="1673"/>
        <v>2781726</v>
      </c>
      <c r="BS132" s="1424">
        <f t="shared" si="1673"/>
        <v>2536873</v>
      </c>
      <c r="BT132" s="1424">
        <f t="shared" si="1673"/>
        <v>3236482</v>
      </c>
      <c r="BU132" s="1424">
        <f t="shared" si="1673"/>
        <v>2964455</v>
      </c>
      <c r="BV132" s="1424">
        <f t="shared" si="1673"/>
        <v>3090254</v>
      </c>
      <c r="BW132" s="1424">
        <f t="shared" ref="BW132:CB132" si="1674">+BW133-BW134</f>
        <v>3802510</v>
      </c>
      <c r="BX132" s="1424">
        <f t="shared" si="1674"/>
        <v>4020262</v>
      </c>
      <c r="BY132" s="1424">
        <f t="shared" si="1674"/>
        <v>4126871</v>
      </c>
      <c r="BZ132" s="1424">
        <f t="shared" si="1674"/>
        <v>4037038</v>
      </c>
      <c r="CA132" s="1424">
        <f t="shared" si="1674"/>
        <v>4324241</v>
      </c>
      <c r="CB132" s="1424">
        <f t="shared" si="1674"/>
        <v>4253950</v>
      </c>
      <c r="CC132" s="1424">
        <f t="shared" ref="CC132:CD132" si="1675">+CC133-CC134</f>
        <v>3646705</v>
      </c>
      <c r="CD132" s="1424">
        <f t="shared" si="1675"/>
        <v>3702680</v>
      </c>
      <c r="CE132" s="1424">
        <f t="shared" ref="CE132" si="1676">+CE133-CE134</f>
        <v>3719941</v>
      </c>
      <c r="CF132" s="1424">
        <f t="shared" ref="CF132:CH132" si="1677">+CF133-CF134</f>
        <v>3868725</v>
      </c>
      <c r="CG132" s="1424">
        <f t="shared" si="1677"/>
        <v>3819008</v>
      </c>
      <c r="CH132" s="1424">
        <f t="shared" si="1677"/>
        <v>3739715</v>
      </c>
      <c r="CI132" s="1424">
        <f t="shared" ref="CI132:CJ132" si="1678">+CI133-CI134</f>
        <v>3957936</v>
      </c>
      <c r="CJ132" s="1424">
        <f t="shared" si="1678"/>
        <v>4175263</v>
      </c>
      <c r="CK132" s="1424">
        <f t="shared" ref="CK132" si="1679">+CK133-CK134</f>
        <v>4171572</v>
      </c>
      <c r="CL132" s="1426">
        <f t="shared" ref="CL132:CP132" si="1680">+CL133-CL134</f>
        <v>4546023.4121686816</v>
      </c>
      <c r="CM132" s="1426">
        <f t="shared" si="1680"/>
        <v>4533644.6404086575</v>
      </c>
      <c r="CN132" s="1426">
        <f t="shared" si="1680"/>
        <v>4527173.8587563615</v>
      </c>
      <c r="CO132" s="1426">
        <f t="shared" si="1680"/>
        <v>4265732.9217590243</v>
      </c>
      <c r="CP132" s="1426">
        <f t="shared" si="1680"/>
        <v>4844675.8601696808</v>
      </c>
      <c r="CQ132" s="1426"/>
      <c r="CR132" s="1426">
        <v>4546023.4121686816</v>
      </c>
      <c r="CT132" s="1424"/>
      <c r="CU132" s="1424">
        <f t="shared" si="1673"/>
        <v>0</v>
      </c>
      <c r="CV132" s="1424"/>
      <c r="CW132" s="1424">
        <f t="shared" si="1673"/>
        <v>0</v>
      </c>
      <c r="CX132" s="1424">
        <f t="shared" si="1673"/>
        <v>306164</v>
      </c>
      <c r="CY132" s="1424">
        <f t="shared" si="1673"/>
        <v>479595</v>
      </c>
      <c r="CZ132" s="1424">
        <f t="shared" si="1673"/>
        <v>475681</v>
      </c>
      <c r="DA132" s="1424">
        <f t="shared" si="1673"/>
        <v>574588</v>
      </c>
      <c r="DB132" s="1424">
        <f t="shared" si="1673"/>
        <v>650656</v>
      </c>
      <c r="DC132" s="1424">
        <f t="shared" si="1673"/>
        <v>852768</v>
      </c>
      <c r="DD132" s="1424">
        <f t="shared" si="1673"/>
        <v>1102597</v>
      </c>
      <c r="DE132" s="1424">
        <f t="shared" si="1673"/>
        <v>1308093</v>
      </c>
      <c r="DF132" s="1424">
        <f t="shared" si="1673"/>
        <v>1513668</v>
      </c>
      <c r="DG132" s="1424">
        <f t="shared" ref="DG132:DR132" si="1681">+DG133-DG134</f>
        <v>1419131</v>
      </c>
      <c r="DH132" s="1424">
        <f t="shared" si="1681"/>
        <v>1516502</v>
      </c>
      <c r="DI132" s="1424">
        <f t="shared" si="1681"/>
        <v>1877586</v>
      </c>
      <c r="DJ132" s="1424">
        <f t="shared" si="1681"/>
        <v>2174424</v>
      </c>
      <c r="DK132" s="1424">
        <f t="shared" si="1681"/>
        <v>2781726</v>
      </c>
      <c r="DL132" s="1424">
        <f t="shared" si="1681"/>
        <v>3090254</v>
      </c>
      <c r="DM132" s="1424">
        <f t="shared" si="1681"/>
        <v>4037038</v>
      </c>
      <c r="DN132" s="1424">
        <f t="shared" si="1681"/>
        <v>3702680</v>
      </c>
      <c r="DO132" s="1424">
        <f t="shared" ref="DO132:DP132" si="1682">+DO133-DO134</f>
        <v>3739715</v>
      </c>
      <c r="DP132" s="1424">
        <f t="shared" si="1682"/>
        <v>4546023.4121686816</v>
      </c>
      <c r="DQ132" s="1424">
        <f t="shared" ref="DQ132" si="1683">+DQ133-DQ134</f>
        <v>4844675.8601696808</v>
      </c>
      <c r="DR132" s="1427">
        <f t="shared" si="1681"/>
        <v>5292773.3234995203</v>
      </c>
      <c r="DS132" s="1427">
        <f t="shared" ref="DS132:DU132" si="1684">+DS133-DS134</f>
        <v>5690452.4594728099</v>
      </c>
      <c r="DT132" s="1427">
        <f t="shared" si="1684"/>
        <v>6115271.8085170425</v>
      </c>
      <c r="DU132" s="1427">
        <f t="shared" si="1684"/>
        <v>6568737.4754012059</v>
      </c>
      <c r="DX132" s="1427">
        <v>4982893.9337544739</v>
      </c>
      <c r="DY132" s="1427">
        <v>5419894.015935855</v>
      </c>
    </row>
    <row r="133" spans="1:129" s="904" customFormat="1">
      <c r="A133" s="939"/>
      <c r="B133" s="912" t="s">
        <v>445</v>
      </c>
      <c r="C133" s="592">
        <f t="shared" ref="C133:AH133" si="1685">+C92+C93+C94+C98</f>
        <v>0</v>
      </c>
      <c r="D133" s="592">
        <f t="shared" si="1685"/>
        <v>307937</v>
      </c>
      <c r="E133" s="592">
        <f t="shared" si="1685"/>
        <v>312960</v>
      </c>
      <c r="F133" s="592">
        <f t="shared" si="1685"/>
        <v>412698</v>
      </c>
      <c r="G133" s="592">
        <f t="shared" si="1685"/>
        <v>378109</v>
      </c>
      <c r="H133" s="592">
        <f t="shared" si="1685"/>
        <v>373122</v>
      </c>
      <c r="I133" s="592">
        <f t="shared" si="1685"/>
        <v>380276</v>
      </c>
      <c r="J133" s="592">
        <f t="shared" si="1685"/>
        <v>496897</v>
      </c>
      <c r="K133" s="592">
        <f t="shared" si="1685"/>
        <v>449898</v>
      </c>
      <c r="L133" s="592">
        <f t="shared" si="1685"/>
        <v>447043</v>
      </c>
      <c r="M133" s="592">
        <f t="shared" si="1685"/>
        <v>444836</v>
      </c>
      <c r="N133" s="592">
        <f t="shared" si="1685"/>
        <v>559169</v>
      </c>
      <c r="O133" s="592">
        <f t="shared" si="1685"/>
        <v>537234</v>
      </c>
      <c r="P133" s="592">
        <f t="shared" si="1685"/>
        <v>498704</v>
      </c>
      <c r="Q133" s="592">
        <f t="shared" si="1685"/>
        <v>535460</v>
      </c>
      <c r="R133" s="592">
        <f t="shared" si="1685"/>
        <v>821510</v>
      </c>
      <c r="S133" s="592">
        <f t="shared" si="1685"/>
        <v>601660</v>
      </c>
      <c r="T133" s="592">
        <f t="shared" si="1685"/>
        <v>596732</v>
      </c>
      <c r="U133" s="592">
        <f t="shared" si="1685"/>
        <v>585422</v>
      </c>
      <c r="V133" s="592">
        <f t="shared" si="1685"/>
        <v>884787</v>
      </c>
      <c r="W133" s="592">
        <f t="shared" si="1685"/>
        <v>818188</v>
      </c>
      <c r="X133" s="592">
        <f t="shared" si="1685"/>
        <v>839839</v>
      </c>
      <c r="Y133" s="592">
        <f t="shared" si="1685"/>
        <v>783583</v>
      </c>
      <c r="Z133" s="592">
        <f t="shared" si="1685"/>
        <v>1012942</v>
      </c>
      <c r="AA133" s="592">
        <f t="shared" si="1685"/>
        <v>953683</v>
      </c>
      <c r="AB133" s="592">
        <f t="shared" si="1685"/>
        <v>1016835</v>
      </c>
      <c r="AC133" s="592">
        <f t="shared" si="1685"/>
        <v>1001984</v>
      </c>
      <c r="AD133" s="592">
        <f t="shared" si="1685"/>
        <v>1188308</v>
      </c>
      <c r="AE133" s="592">
        <f t="shared" si="1685"/>
        <v>1135392</v>
      </c>
      <c r="AF133" s="592">
        <f t="shared" si="1685"/>
        <v>1197817</v>
      </c>
      <c r="AG133" s="592">
        <f t="shared" si="1685"/>
        <v>1176371</v>
      </c>
      <c r="AH133" s="592">
        <f t="shared" si="1685"/>
        <v>1455644</v>
      </c>
      <c r="AI133" s="592">
        <f t="shared" ref="AI133:AT133" si="1686">+AI92+AI93+AI94+AI98</f>
        <v>1373571</v>
      </c>
      <c r="AJ133" s="592">
        <f t="shared" si="1686"/>
        <v>1504999</v>
      </c>
      <c r="AK133" s="592">
        <f t="shared" si="1686"/>
        <v>1541030</v>
      </c>
      <c r="AL133" s="592">
        <f t="shared" si="1686"/>
        <v>1811764</v>
      </c>
      <c r="AM133" s="592">
        <f t="shared" si="1686"/>
        <v>1699988</v>
      </c>
      <c r="AN133" s="592">
        <f t="shared" si="1686"/>
        <v>1789409</v>
      </c>
      <c r="AO133" s="592">
        <f t="shared" si="1686"/>
        <v>1830727</v>
      </c>
      <c r="AP133" s="592">
        <f t="shared" si="1686"/>
        <v>2196494</v>
      </c>
      <c r="AQ133" s="592">
        <f t="shared" si="1686"/>
        <v>1994305</v>
      </c>
      <c r="AR133" s="592">
        <f t="shared" si="1686"/>
        <v>2053065</v>
      </c>
      <c r="AS133" s="592">
        <f t="shared" si="1686"/>
        <v>2177771</v>
      </c>
      <c r="AT133" s="592">
        <f t="shared" si="1686"/>
        <v>2661606</v>
      </c>
      <c r="AU133" s="592">
        <f t="shared" ref="AU133:BV133" si="1687">+AU92+AU93+AU94</f>
        <v>2516944</v>
      </c>
      <c r="AV133" s="592">
        <f t="shared" si="1687"/>
        <v>2608854</v>
      </c>
      <c r="AW133" s="592">
        <f t="shared" si="1687"/>
        <v>2736201</v>
      </c>
      <c r="AX133" s="592">
        <f t="shared" si="1687"/>
        <v>2978348</v>
      </c>
      <c r="AY133" s="592">
        <f t="shared" si="1687"/>
        <v>2546559</v>
      </c>
      <c r="AZ133" s="910">
        <f t="shared" si="1687"/>
        <v>2716496</v>
      </c>
      <c r="BA133" s="592">
        <f t="shared" si="1687"/>
        <v>2630003</v>
      </c>
      <c r="BB133" s="592">
        <f t="shared" si="1687"/>
        <v>3184032</v>
      </c>
      <c r="BC133" s="592">
        <f t="shared" si="1687"/>
        <v>2969546</v>
      </c>
      <c r="BD133" s="592">
        <f t="shared" si="1687"/>
        <v>3218999</v>
      </c>
      <c r="BE133" s="592">
        <f t="shared" si="1687"/>
        <v>3137970</v>
      </c>
      <c r="BF133" s="592">
        <f t="shared" si="1687"/>
        <v>3760442</v>
      </c>
      <c r="BG133" s="592">
        <f t="shared" si="1687"/>
        <v>3471914</v>
      </c>
      <c r="BH133" s="592">
        <f t="shared" si="1687"/>
        <v>3718907</v>
      </c>
      <c r="BI133" s="592">
        <f t="shared" si="1687"/>
        <v>3798879</v>
      </c>
      <c r="BJ133" s="592">
        <f t="shared" si="1687"/>
        <v>4535111</v>
      </c>
      <c r="BK133" s="592">
        <f t="shared" si="1687"/>
        <v>4233487</v>
      </c>
      <c r="BL133" s="592">
        <f t="shared" si="1687"/>
        <v>4423157</v>
      </c>
      <c r="BM133" s="592">
        <f t="shared" si="1687"/>
        <v>4462492</v>
      </c>
      <c r="BN133" s="592">
        <f t="shared" si="1687"/>
        <v>5279525</v>
      </c>
      <c r="BO133" s="592">
        <f t="shared" si="1687"/>
        <v>4760057</v>
      </c>
      <c r="BP133" s="592">
        <f t="shared" si="1687"/>
        <v>4822880</v>
      </c>
      <c r="BQ133" s="592">
        <f t="shared" si="1687"/>
        <v>5230490</v>
      </c>
      <c r="BR133" s="592">
        <f t="shared" si="1687"/>
        <v>6155327</v>
      </c>
      <c r="BS133" s="592">
        <f t="shared" si="1687"/>
        <v>5228175</v>
      </c>
      <c r="BT133" s="592">
        <f t="shared" si="1687"/>
        <v>6309994</v>
      </c>
      <c r="BU133" s="592">
        <f t="shared" si="1687"/>
        <v>6508333</v>
      </c>
      <c r="BV133" s="592">
        <f t="shared" si="1687"/>
        <v>7871830</v>
      </c>
      <c r="BW133" s="592">
        <f t="shared" ref="BW133:CB133" si="1688">+BW92+BW93+BW94</f>
        <v>7992344</v>
      </c>
      <c r="BX133" s="592">
        <f t="shared" si="1688"/>
        <v>8531865</v>
      </c>
      <c r="BY133" s="592">
        <f t="shared" si="1688"/>
        <v>8527038</v>
      </c>
      <c r="BZ133" s="592">
        <f t="shared" si="1688"/>
        <v>9365628</v>
      </c>
      <c r="CA133" s="592">
        <f t="shared" si="1688"/>
        <v>8757141</v>
      </c>
      <c r="CB133" s="592">
        <f t="shared" si="1688"/>
        <v>8787357</v>
      </c>
      <c r="CC133" s="592">
        <f t="shared" ref="CC133:CD133" si="1689">+CC92+CC93+CC94</f>
        <v>8258194</v>
      </c>
      <c r="CD133" s="592">
        <f t="shared" si="1689"/>
        <v>8959569</v>
      </c>
      <c r="CE133" s="592">
        <f t="shared" ref="CE133" si="1690">+CE92+CE93+CE94</f>
        <v>8239941</v>
      </c>
      <c r="CF133" s="592">
        <f t="shared" ref="CF133:CH133" si="1691">+CF92+CF93+CF94</f>
        <v>8586594</v>
      </c>
      <c r="CG133" s="592">
        <f t="shared" si="1691"/>
        <v>8528996</v>
      </c>
      <c r="CH133" s="592">
        <f t="shared" si="1691"/>
        <v>9411075</v>
      </c>
      <c r="CI133" s="592">
        <f t="shared" ref="CI133:CJ133" si="1692">+CI92+CI93+CI94</f>
        <v>8786553</v>
      </c>
      <c r="CJ133" s="592">
        <f t="shared" si="1692"/>
        <v>9095745</v>
      </c>
      <c r="CK133" s="592">
        <f t="shared" ref="CK133" si="1693">+CK92+CK93+CK94</f>
        <v>8870879</v>
      </c>
      <c r="CL133" s="941">
        <f t="shared" ref="CL133:CP133" si="1694">+CL92+CL93+CL94</f>
        <v>10291421.079028819</v>
      </c>
      <c r="CM133" s="941">
        <f t="shared" si="1694"/>
        <v>9514351.189789407</v>
      </c>
      <c r="CN133" s="941">
        <f t="shared" si="1694"/>
        <v>9543030.2954804394</v>
      </c>
      <c r="CO133" s="941">
        <f t="shared" si="1694"/>
        <v>9339257.7803034578</v>
      </c>
      <c r="CP133" s="941">
        <f t="shared" si="1694"/>
        <v>10997995.664998144</v>
      </c>
      <c r="CQ133" s="941"/>
      <c r="CR133" s="941">
        <v>10291421.079028819</v>
      </c>
      <c r="CT133" s="592"/>
      <c r="CU133" s="592">
        <f t="shared" ref="CU133:DR133" si="1695">+CU92+CU93+CU94</f>
        <v>0</v>
      </c>
      <c r="CV133" s="592"/>
      <c r="CW133" s="592">
        <f t="shared" si="1695"/>
        <v>0</v>
      </c>
      <c r="CX133" s="592">
        <f t="shared" si="1695"/>
        <v>821510</v>
      </c>
      <c r="CY133" s="592">
        <f t="shared" si="1695"/>
        <v>884787</v>
      </c>
      <c r="CZ133" s="592">
        <f t="shared" si="1695"/>
        <v>1012942</v>
      </c>
      <c r="DA133" s="592">
        <f t="shared" si="1695"/>
        <v>1188308</v>
      </c>
      <c r="DB133" s="592">
        <f t="shared" si="1695"/>
        <v>1455644</v>
      </c>
      <c r="DC133" s="592">
        <f t="shared" si="1695"/>
        <v>1811764</v>
      </c>
      <c r="DD133" s="592">
        <f t="shared" si="1695"/>
        <v>2196494</v>
      </c>
      <c r="DE133" s="592">
        <f t="shared" si="1695"/>
        <v>2661606</v>
      </c>
      <c r="DF133" s="592">
        <f t="shared" si="1695"/>
        <v>2978348</v>
      </c>
      <c r="DG133" s="592">
        <f t="shared" si="1695"/>
        <v>3184032</v>
      </c>
      <c r="DH133" s="592">
        <f t="shared" si="1695"/>
        <v>3760442</v>
      </c>
      <c r="DI133" s="592">
        <f t="shared" si="1695"/>
        <v>4535111</v>
      </c>
      <c r="DJ133" s="592">
        <f t="shared" si="1695"/>
        <v>5279525</v>
      </c>
      <c r="DK133" s="592">
        <f t="shared" si="1695"/>
        <v>6155327</v>
      </c>
      <c r="DL133" s="592">
        <f t="shared" si="1695"/>
        <v>7871830</v>
      </c>
      <c r="DM133" s="592">
        <f t="shared" si="1695"/>
        <v>9365628</v>
      </c>
      <c r="DN133" s="592">
        <f t="shared" si="1695"/>
        <v>8959569</v>
      </c>
      <c r="DO133" s="592">
        <f t="shared" ref="DO133:DP133" si="1696">+DO92+DO93+DO94</f>
        <v>9411075</v>
      </c>
      <c r="DP133" s="592">
        <f t="shared" si="1696"/>
        <v>10291421.079028819</v>
      </c>
      <c r="DQ133" s="592">
        <f t="shared" ref="DQ133" si="1697">+DQ92+DQ93+DQ94</f>
        <v>10997995.664998144</v>
      </c>
      <c r="DR133" s="599">
        <f t="shared" si="1695"/>
        <v>11921158.986449255</v>
      </c>
      <c r="DS133" s="599">
        <f t="shared" ref="DS133:DU133" si="1698">+DS92+DS93+DS94</f>
        <v>12756356.15727571</v>
      </c>
      <c r="DT133" s="599">
        <f t="shared" si="1698"/>
        <v>13648429.233232062</v>
      </c>
      <c r="DU133" s="599">
        <f t="shared" si="1698"/>
        <v>14600620.819514515</v>
      </c>
      <c r="DX133" s="599">
        <v>11208798.115973013</v>
      </c>
      <c r="DY133" s="599">
        <v>12118051.073954256</v>
      </c>
    </row>
    <row r="134" spans="1:129" s="904" customFormat="1">
      <c r="A134" s="939"/>
      <c r="B134" s="912" t="s">
        <v>446</v>
      </c>
      <c r="C134" s="592">
        <f t="shared" ref="C134:BN134" si="1699">+C109+C114+C115+C117+C110</f>
        <v>0</v>
      </c>
      <c r="D134" s="592">
        <f t="shared" si="1699"/>
        <v>212489</v>
      </c>
      <c r="E134" s="592">
        <f t="shared" si="1699"/>
        <v>221509</v>
      </c>
      <c r="F134" s="592">
        <f t="shared" si="1699"/>
        <v>287232</v>
      </c>
      <c r="G134" s="592">
        <f t="shared" si="1699"/>
        <v>184923</v>
      </c>
      <c r="H134" s="592">
        <f t="shared" si="1699"/>
        <v>225828</v>
      </c>
      <c r="I134" s="592">
        <f t="shared" si="1699"/>
        <v>231596</v>
      </c>
      <c r="J134" s="592">
        <f t="shared" si="1699"/>
        <v>386587</v>
      </c>
      <c r="K134" s="592">
        <f t="shared" si="1699"/>
        <v>238659</v>
      </c>
      <c r="L134" s="592">
        <f t="shared" si="1699"/>
        <v>281097</v>
      </c>
      <c r="M134" s="592">
        <f t="shared" si="1699"/>
        <v>288166</v>
      </c>
      <c r="N134" s="592">
        <f t="shared" si="1699"/>
        <v>464882</v>
      </c>
      <c r="O134" s="592">
        <f t="shared" si="1699"/>
        <v>308020</v>
      </c>
      <c r="P134" s="592">
        <f t="shared" si="1699"/>
        <v>333279</v>
      </c>
      <c r="Q134" s="592">
        <f t="shared" si="1699"/>
        <v>360153</v>
      </c>
      <c r="R134" s="592">
        <f t="shared" si="1699"/>
        <v>515346</v>
      </c>
      <c r="S134" s="592">
        <f t="shared" si="1699"/>
        <v>357383</v>
      </c>
      <c r="T134" s="592">
        <f t="shared" si="1699"/>
        <v>318133</v>
      </c>
      <c r="U134" s="592">
        <f t="shared" si="1699"/>
        <v>267793</v>
      </c>
      <c r="V134" s="592">
        <f t="shared" si="1699"/>
        <v>405192</v>
      </c>
      <c r="W134" s="592">
        <f t="shared" si="1699"/>
        <v>286756</v>
      </c>
      <c r="X134" s="592">
        <f t="shared" si="1699"/>
        <v>382988</v>
      </c>
      <c r="Y134" s="592">
        <f t="shared" si="1699"/>
        <v>387941</v>
      </c>
      <c r="Z134" s="592">
        <f t="shared" si="1699"/>
        <v>537261</v>
      </c>
      <c r="AA134" s="592">
        <f t="shared" si="1699"/>
        <v>459190</v>
      </c>
      <c r="AB134" s="592">
        <f t="shared" si="1699"/>
        <v>458534</v>
      </c>
      <c r="AC134" s="592">
        <f t="shared" si="1699"/>
        <v>440836</v>
      </c>
      <c r="AD134" s="592">
        <f t="shared" si="1699"/>
        <v>613720</v>
      </c>
      <c r="AE134" s="592">
        <f t="shared" si="1699"/>
        <v>465417</v>
      </c>
      <c r="AF134" s="592">
        <f t="shared" si="1699"/>
        <v>576594</v>
      </c>
      <c r="AG134" s="592">
        <f t="shared" si="1699"/>
        <v>530141</v>
      </c>
      <c r="AH134" s="592">
        <f t="shared" si="1699"/>
        <v>804988</v>
      </c>
      <c r="AI134" s="592">
        <f t="shared" si="1699"/>
        <v>554573</v>
      </c>
      <c r="AJ134" s="592">
        <f t="shared" si="1699"/>
        <v>693136</v>
      </c>
      <c r="AK134" s="592">
        <f t="shared" si="1699"/>
        <v>665847</v>
      </c>
      <c r="AL134" s="592">
        <f t="shared" si="1699"/>
        <v>958996</v>
      </c>
      <c r="AM134" s="592">
        <f t="shared" si="1699"/>
        <v>668326</v>
      </c>
      <c r="AN134" s="592">
        <f t="shared" si="1699"/>
        <v>721860</v>
      </c>
      <c r="AO134" s="592">
        <f t="shared" si="1699"/>
        <v>726329</v>
      </c>
      <c r="AP134" s="592">
        <f t="shared" si="1699"/>
        <v>1093897</v>
      </c>
      <c r="AQ134" s="592">
        <f t="shared" si="1699"/>
        <v>811573</v>
      </c>
      <c r="AR134" s="592">
        <f t="shared" si="1699"/>
        <v>863291</v>
      </c>
      <c r="AS134" s="592">
        <f t="shared" si="1699"/>
        <v>926983</v>
      </c>
      <c r="AT134" s="592">
        <f t="shared" si="1699"/>
        <v>1353513</v>
      </c>
      <c r="AU134" s="592">
        <f t="shared" si="1699"/>
        <v>952283</v>
      </c>
      <c r="AV134" s="592">
        <f t="shared" si="1699"/>
        <v>1095190</v>
      </c>
      <c r="AW134" s="592">
        <f t="shared" si="1699"/>
        <v>1084854</v>
      </c>
      <c r="AX134" s="592">
        <f t="shared" si="1699"/>
        <v>1464680</v>
      </c>
      <c r="AY134" s="592">
        <f t="shared" si="1699"/>
        <v>1076173</v>
      </c>
      <c r="AZ134" s="592">
        <f t="shared" si="1699"/>
        <v>1321012</v>
      </c>
      <c r="BA134" s="592">
        <f t="shared" si="1699"/>
        <v>1266356</v>
      </c>
      <c r="BB134" s="592">
        <f t="shared" si="1699"/>
        <v>1764901</v>
      </c>
      <c r="BC134" s="592">
        <f t="shared" si="1699"/>
        <v>1261111</v>
      </c>
      <c r="BD134" s="592">
        <f t="shared" si="1699"/>
        <v>1510465</v>
      </c>
      <c r="BE134" s="592">
        <f t="shared" si="1699"/>
        <v>1641571</v>
      </c>
      <c r="BF134" s="592">
        <f t="shared" si="1699"/>
        <v>2243940</v>
      </c>
      <c r="BG134" s="592">
        <f t="shared" si="1699"/>
        <v>1630809</v>
      </c>
      <c r="BH134" s="592">
        <f t="shared" si="1699"/>
        <v>1790481</v>
      </c>
      <c r="BI134" s="592">
        <f t="shared" si="1699"/>
        <v>1973905</v>
      </c>
      <c r="BJ134" s="592">
        <f t="shared" si="1699"/>
        <v>2657525</v>
      </c>
      <c r="BK134" s="592">
        <f t="shared" si="1699"/>
        <v>1835234</v>
      </c>
      <c r="BL134" s="592">
        <f t="shared" si="1699"/>
        <v>2091587</v>
      </c>
      <c r="BM134" s="592">
        <f t="shared" si="1699"/>
        <v>2284316</v>
      </c>
      <c r="BN134" s="592">
        <f t="shared" si="1699"/>
        <v>3105101</v>
      </c>
      <c r="BO134" s="592">
        <f t="shared" ref="BO134:BY134" si="1700">+BO109+BO114+BO115+BO117+BO110</f>
        <v>2200459</v>
      </c>
      <c r="BP134" s="592">
        <f t="shared" si="1700"/>
        <v>1974659</v>
      </c>
      <c r="BQ134" s="592">
        <f t="shared" si="1700"/>
        <v>2473702</v>
      </c>
      <c r="BR134" s="592">
        <f t="shared" si="1700"/>
        <v>3373601</v>
      </c>
      <c r="BS134" s="592">
        <f t="shared" si="1700"/>
        <v>2691302</v>
      </c>
      <c r="BT134" s="592">
        <f t="shared" si="1700"/>
        <v>3073512</v>
      </c>
      <c r="BU134" s="592">
        <f t="shared" si="1700"/>
        <v>3543878</v>
      </c>
      <c r="BV134" s="592">
        <f t="shared" si="1700"/>
        <v>4781576</v>
      </c>
      <c r="BW134" s="592">
        <f t="shared" si="1700"/>
        <v>4189834</v>
      </c>
      <c r="BX134" s="592">
        <f t="shared" si="1700"/>
        <v>4511603</v>
      </c>
      <c r="BY134" s="592">
        <f t="shared" si="1700"/>
        <v>4400167</v>
      </c>
      <c r="BZ134" s="592">
        <f>+BZ109+BZ114+BZ115+BZ117+BZ110</f>
        <v>5328590</v>
      </c>
      <c r="CA134" s="592">
        <f>+CA109+CA114+CA115+CA117+CA110</f>
        <v>4432900</v>
      </c>
      <c r="CB134" s="592">
        <f>+CB109+CB114+CB115+CB117+CB110</f>
        <v>4533407</v>
      </c>
      <c r="CC134" s="592">
        <f>+CC109+CC114+CC115+CC117+CC110</f>
        <v>4611489</v>
      </c>
      <c r="CD134" s="592">
        <f>+CD109+CD114+CD115+CD117+CD110</f>
        <v>5256889</v>
      </c>
      <c r="CE134" s="592">
        <f t="shared" ref="CE134" si="1701">+CE109+CE114+CE115+CE117+CE110</f>
        <v>4520000</v>
      </c>
      <c r="CF134" s="592">
        <f t="shared" ref="CF134:CH134" si="1702">+CF109+CF114+CF115+CF117+CF110</f>
        <v>4717869</v>
      </c>
      <c r="CG134" s="592">
        <f t="shared" si="1702"/>
        <v>4709988</v>
      </c>
      <c r="CH134" s="592">
        <f t="shared" si="1702"/>
        <v>5671360</v>
      </c>
      <c r="CI134" s="592">
        <f t="shared" ref="CI134:CJ134" si="1703">+CI109+CI114+CI115+CI117+CI110</f>
        <v>4828617</v>
      </c>
      <c r="CJ134" s="592">
        <f t="shared" si="1703"/>
        <v>4920482</v>
      </c>
      <c r="CK134" s="592">
        <f t="shared" ref="CK134" si="1704">+CK109+CK114+CK115+CK117+CK110</f>
        <v>4699307</v>
      </c>
      <c r="CL134" s="941">
        <f t="shared" ref="CL134:CP134" si="1705">+CL109+CL114+CL115+CL117+CL110</f>
        <v>5745397.6668601371</v>
      </c>
      <c r="CM134" s="941">
        <f t="shared" si="1705"/>
        <v>4980706.5493807495</v>
      </c>
      <c r="CN134" s="941">
        <f t="shared" si="1705"/>
        <v>5015856.4367240779</v>
      </c>
      <c r="CO134" s="941">
        <f t="shared" si="1705"/>
        <v>5073524.8585444335</v>
      </c>
      <c r="CP134" s="941">
        <f t="shared" si="1705"/>
        <v>6153319.8048284631</v>
      </c>
      <c r="CQ134" s="941"/>
      <c r="CR134" s="941">
        <v>5745397.6668601371</v>
      </c>
      <c r="CT134" s="592"/>
      <c r="CU134" s="592">
        <f t="shared" ref="CU134:DR134" si="1706">+CU109+CU114+CU115+CU117+CU110</f>
        <v>0</v>
      </c>
      <c r="CV134" s="592"/>
      <c r="CW134" s="592">
        <f t="shared" si="1706"/>
        <v>0</v>
      </c>
      <c r="CX134" s="592">
        <f t="shared" si="1706"/>
        <v>515346</v>
      </c>
      <c r="CY134" s="592">
        <f t="shared" si="1706"/>
        <v>405192</v>
      </c>
      <c r="CZ134" s="592">
        <f t="shared" si="1706"/>
        <v>537261</v>
      </c>
      <c r="DA134" s="592">
        <f t="shared" si="1706"/>
        <v>613720</v>
      </c>
      <c r="DB134" s="592">
        <f t="shared" si="1706"/>
        <v>804988</v>
      </c>
      <c r="DC134" s="592">
        <f t="shared" si="1706"/>
        <v>958996</v>
      </c>
      <c r="DD134" s="592">
        <f t="shared" si="1706"/>
        <v>1093897</v>
      </c>
      <c r="DE134" s="592">
        <f t="shared" si="1706"/>
        <v>1353513</v>
      </c>
      <c r="DF134" s="592">
        <f t="shared" si="1706"/>
        <v>1464680</v>
      </c>
      <c r="DG134" s="592">
        <f t="shared" si="1706"/>
        <v>1764901</v>
      </c>
      <c r="DH134" s="592">
        <f t="shared" si="1706"/>
        <v>2243940</v>
      </c>
      <c r="DI134" s="592">
        <f t="shared" si="1706"/>
        <v>2657525</v>
      </c>
      <c r="DJ134" s="592">
        <f t="shared" si="1706"/>
        <v>3105101</v>
      </c>
      <c r="DK134" s="592">
        <f t="shared" si="1706"/>
        <v>3373601</v>
      </c>
      <c r="DL134" s="592">
        <f t="shared" si="1706"/>
        <v>4781576</v>
      </c>
      <c r="DM134" s="592">
        <f t="shared" si="1706"/>
        <v>5328590</v>
      </c>
      <c r="DN134" s="592">
        <f t="shared" si="1706"/>
        <v>5256889</v>
      </c>
      <c r="DO134" s="592">
        <f t="shared" ref="DO134:DP134" si="1707">+DO109+DO114+DO115+DO117+DO110</f>
        <v>5671360</v>
      </c>
      <c r="DP134" s="592">
        <f t="shared" si="1707"/>
        <v>5745397.6668601371</v>
      </c>
      <c r="DQ134" s="592">
        <f t="shared" ref="DQ134" si="1708">+DQ109+DQ114+DQ115+DQ117+DQ110</f>
        <v>6153319.8048284631</v>
      </c>
      <c r="DR134" s="599">
        <f t="shared" si="1706"/>
        <v>6628385.6629497344</v>
      </c>
      <c r="DS134" s="599">
        <f t="shared" ref="DS134:DU134" si="1709">+DS109+DS114+DS115+DS117+DS110</f>
        <v>7065903.6978029003</v>
      </c>
      <c r="DT134" s="599">
        <f t="shared" si="1709"/>
        <v>7533157.4247150198</v>
      </c>
      <c r="DU134" s="599">
        <f t="shared" si="1709"/>
        <v>8031883.3441133089</v>
      </c>
      <c r="DX134" s="599">
        <v>6225904.1822185386</v>
      </c>
      <c r="DY134" s="599">
        <v>6698157.0580184013</v>
      </c>
    </row>
    <row r="135" spans="1:129" s="1428" customFormat="1">
      <c r="A135" s="1422"/>
      <c r="B135" s="1423" t="s">
        <v>447</v>
      </c>
      <c r="C135" s="1424">
        <f t="shared" ref="C135:AH135" si="1710">+C104+C106</f>
        <v>0</v>
      </c>
      <c r="D135" s="1424">
        <f t="shared" si="1710"/>
        <v>164989</v>
      </c>
      <c r="E135" s="1424">
        <f t="shared" si="1710"/>
        <v>165500</v>
      </c>
      <c r="F135" s="1424">
        <f t="shared" si="1710"/>
        <v>164789</v>
      </c>
      <c r="G135" s="1424">
        <f t="shared" si="1710"/>
        <v>161449</v>
      </c>
      <c r="H135" s="1424">
        <f t="shared" si="1710"/>
        <v>171563</v>
      </c>
      <c r="I135" s="1424">
        <f t="shared" si="1710"/>
        <v>169975</v>
      </c>
      <c r="J135" s="1424">
        <f t="shared" si="1710"/>
        <v>194125</v>
      </c>
      <c r="K135" s="1424">
        <f t="shared" si="1710"/>
        <v>201952</v>
      </c>
      <c r="L135" s="1424">
        <f t="shared" si="1710"/>
        <v>232426</v>
      </c>
      <c r="M135" s="1424">
        <f t="shared" si="1710"/>
        <v>244092</v>
      </c>
      <c r="N135" s="1424">
        <f t="shared" si="1710"/>
        <v>280370</v>
      </c>
      <c r="O135" s="1424">
        <f t="shared" si="1710"/>
        <v>280188</v>
      </c>
      <c r="P135" s="1424">
        <f t="shared" si="1710"/>
        <v>291654</v>
      </c>
      <c r="Q135" s="1424">
        <f t="shared" si="1710"/>
        <v>293714</v>
      </c>
      <c r="R135" s="1424">
        <f t="shared" si="1710"/>
        <v>335177</v>
      </c>
      <c r="S135" s="1424">
        <f t="shared" si="1710"/>
        <v>338713</v>
      </c>
      <c r="T135" s="1424">
        <f t="shared" si="1710"/>
        <v>353575</v>
      </c>
      <c r="U135" s="1424">
        <f t="shared" si="1710"/>
        <v>374098</v>
      </c>
      <c r="V135" s="1424">
        <f t="shared" si="1710"/>
        <v>409108</v>
      </c>
      <c r="W135" s="1424">
        <f t="shared" si="1710"/>
        <v>397356</v>
      </c>
      <c r="X135" s="1424">
        <f t="shared" si="1710"/>
        <v>400420</v>
      </c>
      <c r="Y135" s="1424">
        <f t="shared" si="1710"/>
        <v>395699</v>
      </c>
      <c r="Z135" s="1424">
        <f t="shared" si="1710"/>
        <v>403685</v>
      </c>
      <c r="AA135" s="1424">
        <f t="shared" si="1710"/>
        <v>400319</v>
      </c>
      <c r="AB135" s="1424">
        <f t="shared" si="1710"/>
        <v>402465</v>
      </c>
      <c r="AC135" s="1424">
        <f t="shared" si="1710"/>
        <v>405299</v>
      </c>
      <c r="AD135" s="1424">
        <f t="shared" si="1710"/>
        <v>479580</v>
      </c>
      <c r="AE135" s="1424">
        <f t="shared" si="1710"/>
        <v>481955</v>
      </c>
      <c r="AF135" s="1424">
        <f t="shared" si="1710"/>
        <v>689926</v>
      </c>
      <c r="AG135" s="1424">
        <f t="shared" si="1710"/>
        <v>721372</v>
      </c>
      <c r="AH135" s="1424">
        <f t="shared" si="1710"/>
        <v>804339</v>
      </c>
      <c r="AI135" s="1424">
        <f t="shared" ref="AI135:BV135" si="1711">+AI104+AI106</f>
        <v>843092</v>
      </c>
      <c r="AJ135" s="1424">
        <f t="shared" si="1711"/>
        <v>897606</v>
      </c>
      <c r="AK135" s="1424">
        <f t="shared" si="1711"/>
        <v>981163</v>
      </c>
      <c r="AL135" s="1424">
        <f t="shared" si="1711"/>
        <v>1102369</v>
      </c>
      <c r="AM135" s="1424">
        <f t="shared" si="1711"/>
        <v>1099819</v>
      </c>
      <c r="AN135" s="1424">
        <f t="shared" si="1711"/>
        <v>1123999</v>
      </c>
      <c r="AO135" s="1424">
        <f t="shared" si="1711"/>
        <v>1244777</v>
      </c>
      <c r="AP135" s="1424">
        <f t="shared" si="1711"/>
        <v>1385551</v>
      </c>
      <c r="AQ135" s="1424">
        <f t="shared" si="1711"/>
        <v>1414467</v>
      </c>
      <c r="AR135" s="1424">
        <f t="shared" si="1711"/>
        <v>1478721</v>
      </c>
      <c r="AS135" s="1424">
        <f t="shared" si="1711"/>
        <v>1555066</v>
      </c>
      <c r="AT135" s="1424">
        <f t="shared" si="1711"/>
        <v>1672149</v>
      </c>
      <c r="AU135" s="1424">
        <f t="shared" si="1711"/>
        <v>1681867</v>
      </c>
      <c r="AV135" s="1424">
        <f t="shared" si="1711"/>
        <v>1763720</v>
      </c>
      <c r="AW135" s="1424">
        <f t="shared" si="1711"/>
        <v>1861775</v>
      </c>
      <c r="AX135" s="1424">
        <f t="shared" si="1711"/>
        <v>1965999</v>
      </c>
      <c r="AY135" s="1424">
        <f t="shared" si="1711"/>
        <v>1979812</v>
      </c>
      <c r="AZ135" s="1425">
        <f t="shared" si="1711"/>
        <v>2059888</v>
      </c>
      <c r="BA135" s="1424">
        <f t="shared" si="1711"/>
        <v>2075887</v>
      </c>
      <c r="BB135" s="1424">
        <f t="shared" si="1711"/>
        <v>2145313</v>
      </c>
      <c r="BC135" s="1424">
        <f t="shared" si="1711"/>
        <v>2132166</v>
      </c>
      <c r="BD135" s="1424">
        <f t="shared" si="1711"/>
        <v>2170269</v>
      </c>
      <c r="BE135" s="1424">
        <f t="shared" si="1711"/>
        <v>2218171</v>
      </c>
      <c r="BF135" s="1424">
        <f t="shared" si="1711"/>
        <v>2339862</v>
      </c>
      <c r="BG135" s="1424">
        <f t="shared" si="1711"/>
        <v>2360388</v>
      </c>
      <c r="BH135" s="1424">
        <f t="shared" si="1711"/>
        <v>2419057</v>
      </c>
      <c r="BI135" s="1424">
        <f t="shared" si="1711"/>
        <v>2493225</v>
      </c>
      <c r="BJ135" s="1424">
        <f t="shared" si="1711"/>
        <v>2629525</v>
      </c>
      <c r="BK135" s="1424">
        <f t="shared" si="1711"/>
        <v>2588280</v>
      </c>
      <c r="BL135" s="1424">
        <f t="shared" si="1711"/>
        <v>2658471</v>
      </c>
      <c r="BM135" s="1424">
        <f t="shared" si="1711"/>
        <v>2822621</v>
      </c>
      <c r="BN135" s="1424">
        <f t="shared" si="1711"/>
        <v>2957945</v>
      </c>
      <c r="BO135" s="1424">
        <f t="shared" si="1711"/>
        <v>2982682</v>
      </c>
      <c r="BP135" s="1424">
        <f t="shared" si="1711"/>
        <v>3021780</v>
      </c>
      <c r="BQ135" s="1424">
        <f t="shared" si="1711"/>
        <v>3096145</v>
      </c>
      <c r="BR135" s="1424">
        <f t="shared" si="1711"/>
        <v>3094896</v>
      </c>
      <c r="BS135" s="1424">
        <f t="shared" si="1711"/>
        <v>3264081</v>
      </c>
      <c r="BT135" s="1424">
        <f t="shared" si="1711"/>
        <v>3364586</v>
      </c>
      <c r="BU135" s="1424">
        <f t="shared" si="1711"/>
        <v>3589757</v>
      </c>
      <c r="BV135" s="1424">
        <f t="shared" si="1711"/>
        <v>3858499</v>
      </c>
      <c r="BW135" s="1424">
        <f t="shared" ref="BW135:CB135" si="1712">+BW104+BW106</f>
        <v>3839761</v>
      </c>
      <c r="BX135" s="1424">
        <f t="shared" si="1712"/>
        <v>4052153</v>
      </c>
      <c r="BY135" s="1424">
        <f t="shared" si="1712"/>
        <v>4192446</v>
      </c>
      <c r="BZ135" s="1424">
        <f t="shared" si="1712"/>
        <v>4469951</v>
      </c>
      <c r="CA135" s="1424">
        <f t="shared" si="1712"/>
        <v>4395737</v>
      </c>
      <c r="CB135" s="1424">
        <f t="shared" si="1712"/>
        <v>4485497</v>
      </c>
      <c r="CC135" s="1424">
        <f t="shared" ref="CC135:CD135" si="1713">+CC104+CC106</f>
        <v>4583391</v>
      </c>
      <c r="CD135" s="1424">
        <f t="shared" si="1713"/>
        <v>4591867</v>
      </c>
      <c r="CE135" s="1424">
        <f t="shared" ref="CE135" si="1714">+CE104+CE106</f>
        <v>4524930</v>
      </c>
      <c r="CF135" s="1424">
        <f t="shared" ref="CF135:CH135" si="1715">+CF104+CF106</f>
        <v>4501373</v>
      </c>
      <c r="CG135" s="1424">
        <f t="shared" si="1715"/>
        <v>4491821</v>
      </c>
      <c r="CH135" s="1424">
        <f t="shared" si="1715"/>
        <v>4513872</v>
      </c>
      <c r="CI135" s="1424">
        <f t="shared" ref="CI135:CJ135" si="1716">+CI104+CI106</f>
        <v>4391748</v>
      </c>
      <c r="CJ135" s="1424">
        <f t="shared" si="1716"/>
        <v>4366167</v>
      </c>
      <c r="CK135" s="1424">
        <f t="shared" ref="CK135" si="1717">+CK104+CK106</f>
        <v>4374987</v>
      </c>
      <c r="CL135" s="1426">
        <f t="shared" ref="CL135:CP135" si="1718">+CL104+CL106</f>
        <v>4498969.2021134496</v>
      </c>
      <c r="CM135" s="1426">
        <f t="shared" si="1718"/>
        <v>4407338.5915066488</v>
      </c>
      <c r="CN135" s="1426">
        <f t="shared" si="1718"/>
        <v>4381574.9866515733</v>
      </c>
      <c r="CO135" s="1426">
        <f t="shared" si="1718"/>
        <v>4376160.9426107407</v>
      </c>
      <c r="CP135" s="1426">
        <f t="shared" si="1718"/>
        <v>4470613.853141116</v>
      </c>
      <c r="CQ135" s="1426"/>
      <c r="CR135" s="1426">
        <v>4498969.2021134496</v>
      </c>
      <c r="CT135" s="1424"/>
      <c r="CU135" s="1424">
        <f t="shared" ref="CU135:DR135" si="1719">+CU104+CU106</f>
        <v>0</v>
      </c>
      <c r="CV135" s="1424"/>
      <c r="CW135" s="1424">
        <f t="shared" si="1719"/>
        <v>0</v>
      </c>
      <c r="CX135" s="1424">
        <f t="shared" si="1719"/>
        <v>335177</v>
      </c>
      <c r="CY135" s="1424">
        <f t="shared" si="1719"/>
        <v>409108</v>
      </c>
      <c r="CZ135" s="1424">
        <f t="shared" si="1719"/>
        <v>403685</v>
      </c>
      <c r="DA135" s="1424">
        <f t="shared" si="1719"/>
        <v>479580</v>
      </c>
      <c r="DB135" s="1424">
        <f t="shared" si="1719"/>
        <v>804339</v>
      </c>
      <c r="DC135" s="1424">
        <f t="shared" si="1719"/>
        <v>1102369</v>
      </c>
      <c r="DD135" s="1424">
        <f t="shared" si="1719"/>
        <v>1385551</v>
      </c>
      <c r="DE135" s="1424">
        <f t="shared" si="1719"/>
        <v>1672149</v>
      </c>
      <c r="DF135" s="1424">
        <f t="shared" si="1719"/>
        <v>1965999</v>
      </c>
      <c r="DG135" s="1424">
        <f t="shared" si="1719"/>
        <v>2145313</v>
      </c>
      <c r="DH135" s="1424">
        <f t="shared" si="1719"/>
        <v>2339862</v>
      </c>
      <c r="DI135" s="1424">
        <f t="shared" si="1719"/>
        <v>2629525</v>
      </c>
      <c r="DJ135" s="1424">
        <f t="shared" si="1719"/>
        <v>2957945</v>
      </c>
      <c r="DK135" s="1424">
        <f t="shared" si="1719"/>
        <v>3094896</v>
      </c>
      <c r="DL135" s="1424">
        <f t="shared" si="1719"/>
        <v>3858499</v>
      </c>
      <c r="DM135" s="1424">
        <f t="shared" si="1719"/>
        <v>4469951</v>
      </c>
      <c r="DN135" s="1424">
        <f t="shared" si="1719"/>
        <v>4591867</v>
      </c>
      <c r="DO135" s="1424">
        <f t="shared" ref="DO135:DP135" si="1720">+DO104+DO106</f>
        <v>4513872</v>
      </c>
      <c r="DP135" s="1424">
        <f t="shared" si="1720"/>
        <v>4498969.2021134496</v>
      </c>
      <c r="DQ135" s="1424">
        <f t="shared" ref="DQ135" si="1721">+DQ104+DQ106</f>
        <v>4470613.853141116</v>
      </c>
      <c r="DR135" s="1427">
        <f t="shared" si="1719"/>
        <v>4505690.1452697786</v>
      </c>
      <c r="DS135" s="1427">
        <f t="shared" ref="DS135:DU135" si="1722">+DS104+DS106</f>
        <v>4584841.232170037</v>
      </c>
      <c r="DT135" s="1427">
        <f t="shared" si="1722"/>
        <v>4700671.2222696599</v>
      </c>
      <c r="DU135" s="1427">
        <f t="shared" si="1722"/>
        <v>4847820.7924669124</v>
      </c>
      <c r="DX135" s="1427">
        <v>4563623.7859461969</v>
      </c>
      <c r="DY135" s="1427">
        <v>4670674.3747465611</v>
      </c>
    </row>
    <row r="136" spans="1:129" s="904" customFormat="1">
      <c r="A136" s="592"/>
      <c r="B136" s="912"/>
      <c r="C136" s="592"/>
      <c r="D136" s="592"/>
      <c r="E136" s="592"/>
      <c r="F136" s="592"/>
      <c r="G136" s="592"/>
      <c r="H136" s="592"/>
      <c r="I136" s="592"/>
      <c r="J136" s="592"/>
      <c r="K136" s="592"/>
      <c r="L136" s="592"/>
      <c r="M136" s="592"/>
      <c r="N136" s="592"/>
      <c r="O136" s="592"/>
      <c r="P136" s="592"/>
      <c r="Q136" s="592"/>
      <c r="R136" s="592"/>
      <c r="S136" s="592"/>
      <c r="T136" s="592"/>
      <c r="U136" s="592"/>
      <c r="V136" s="592"/>
      <c r="W136" s="592"/>
      <c r="X136" s="592"/>
      <c r="Y136" s="592"/>
      <c r="Z136" s="592"/>
      <c r="AA136" s="592"/>
      <c r="AB136" s="592"/>
      <c r="AC136" s="592"/>
      <c r="AD136" s="592"/>
      <c r="AE136" s="592"/>
      <c r="AF136" s="592"/>
      <c r="AG136" s="592"/>
      <c r="AH136" s="592"/>
      <c r="AI136" s="592"/>
      <c r="AJ136" s="592"/>
      <c r="AK136" s="592"/>
      <c r="AL136" s="592"/>
      <c r="AM136" s="592"/>
      <c r="AN136" s="592"/>
      <c r="AO136" s="592"/>
      <c r="AP136" s="592"/>
      <c r="AQ136" s="592"/>
      <c r="AR136" s="592"/>
      <c r="AS136" s="592"/>
      <c r="AT136" s="592"/>
      <c r="AU136" s="592"/>
      <c r="AV136" s="592"/>
      <c r="AW136" s="592"/>
      <c r="AX136" s="592"/>
      <c r="AY136" s="592"/>
      <c r="AZ136" s="910"/>
      <c r="BA136" s="592"/>
      <c r="BB136" s="592"/>
      <c r="BC136" s="592"/>
      <c r="BD136" s="592"/>
      <c r="BE136" s="592"/>
      <c r="BF136" s="592"/>
      <c r="BG136" s="592"/>
      <c r="BH136" s="592"/>
      <c r="BI136" s="592"/>
      <c r="BJ136" s="592"/>
      <c r="BK136" s="592"/>
      <c r="BL136" s="592"/>
      <c r="BM136" s="592"/>
      <c r="BN136" s="592"/>
      <c r="BO136" s="592"/>
      <c r="BP136" s="592"/>
      <c r="BQ136" s="592"/>
      <c r="BR136" s="592"/>
      <c r="BS136" s="592"/>
      <c r="BT136" s="592"/>
      <c r="BU136" s="592"/>
      <c r="BV136" s="592"/>
      <c r="BW136" s="592"/>
      <c r="BX136" s="592"/>
      <c r="BY136" s="592"/>
      <c r="BZ136" s="592"/>
      <c r="CA136" s="592"/>
      <c r="CB136" s="592"/>
      <c r="CC136" s="592"/>
      <c r="CD136" s="592"/>
      <c r="CE136" s="592"/>
      <c r="CF136" s="592"/>
      <c r="CG136" s="592"/>
      <c r="CH136" s="592"/>
      <c r="CI136" s="592"/>
      <c r="CJ136" s="592"/>
      <c r="CK136" s="592"/>
      <c r="CL136" s="941"/>
      <c r="CM136" s="941"/>
      <c r="CN136" s="941"/>
      <c r="CO136" s="941"/>
      <c r="CP136" s="941"/>
      <c r="CQ136" s="941"/>
      <c r="CR136" s="941"/>
      <c r="CT136" s="592"/>
      <c r="CU136" s="592"/>
      <c r="CV136" s="592"/>
      <c r="CW136" s="592"/>
      <c r="CX136" s="592"/>
      <c r="CY136" s="592"/>
      <c r="CZ136" s="592"/>
      <c r="DA136" s="592"/>
      <c r="DB136" s="592"/>
      <c r="DC136" s="592"/>
      <c r="DD136" s="592"/>
      <c r="DE136" s="592"/>
      <c r="DF136" s="592"/>
      <c r="DG136" s="592"/>
      <c r="DH136" s="592"/>
      <c r="DI136" s="592"/>
      <c r="DJ136" s="592"/>
      <c r="DK136" s="592"/>
      <c r="DL136" s="592"/>
      <c r="DM136" s="592"/>
      <c r="DN136" s="592"/>
      <c r="DO136" s="592"/>
      <c r="DP136" s="592"/>
      <c r="DQ136" s="592"/>
      <c r="DR136" s="599"/>
      <c r="DS136" s="599"/>
      <c r="DT136" s="599"/>
      <c r="DU136" s="599"/>
      <c r="DX136" s="599"/>
      <c r="DY136" s="599"/>
    </row>
    <row r="137" spans="1:129" s="1434" customFormat="1" ht="11.25">
      <c r="A137" s="1431"/>
      <c r="B137" s="1432"/>
      <c r="C137" s="1431"/>
      <c r="D137" s="1431"/>
      <c r="E137" s="1431"/>
      <c r="F137" s="1431"/>
      <c r="G137" s="1431"/>
      <c r="H137" s="1431"/>
      <c r="I137" s="1431"/>
      <c r="J137" s="1431"/>
      <c r="K137" s="1431"/>
      <c r="L137" s="1431"/>
      <c r="M137" s="1431"/>
      <c r="N137" s="1431"/>
      <c r="O137" s="1431"/>
      <c r="P137" s="1431"/>
      <c r="Q137" s="1431"/>
      <c r="R137" s="1431"/>
      <c r="S137" s="1431"/>
      <c r="T137" s="1431"/>
      <c r="U137" s="1431"/>
      <c r="V137" s="1431"/>
      <c r="W137" s="1431"/>
      <c r="X137" s="1431"/>
      <c r="Y137" s="1431"/>
      <c r="Z137" s="1431"/>
      <c r="AA137" s="1431"/>
      <c r="AB137" s="1431"/>
      <c r="AC137" s="1431"/>
      <c r="AD137" s="1431"/>
      <c r="AE137" s="1431"/>
      <c r="AF137" s="1431"/>
      <c r="AG137" s="1431"/>
      <c r="AH137" s="1431"/>
      <c r="AI137" s="1431"/>
      <c r="AJ137" s="1431"/>
      <c r="AK137" s="1431"/>
      <c r="AL137" s="1431"/>
      <c r="AM137" s="1431"/>
      <c r="AN137" s="1431"/>
      <c r="AO137" s="1431"/>
      <c r="AP137" s="1431"/>
      <c r="AQ137" s="1431"/>
      <c r="AR137" s="1431"/>
      <c r="AS137" s="1431"/>
      <c r="AT137" s="1431"/>
      <c r="AU137" s="1431">
        <f t="shared" ref="AU137:CC137" si="1723">+AU138-AU131</f>
        <v>0</v>
      </c>
      <c r="AV137" s="1431">
        <f t="shared" si="1723"/>
        <v>-473</v>
      </c>
      <c r="AW137" s="1431">
        <f t="shared" si="1723"/>
        <v>-967</v>
      </c>
      <c r="AX137" s="1431">
        <f t="shared" si="1723"/>
        <v>0</v>
      </c>
      <c r="AY137" s="1431">
        <f t="shared" si="1723"/>
        <v>0</v>
      </c>
      <c r="AZ137" s="1433">
        <f t="shared" si="1723"/>
        <v>0</v>
      </c>
      <c r="BA137" s="1431">
        <f t="shared" si="1723"/>
        <v>0</v>
      </c>
      <c r="BB137" s="1431">
        <f t="shared" si="1723"/>
        <v>0</v>
      </c>
      <c r="BC137" s="1431">
        <f t="shared" si="1723"/>
        <v>0</v>
      </c>
      <c r="BD137" s="1431">
        <f t="shared" si="1723"/>
        <v>0</v>
      </c>
      <c r="BE137" s="1431">
        <f t="shared" si="1723"/>
        <v>-94</v>
      </c>
      <c r="BF137" s="1431">
        <f t="shared" si="1723"/>
        <v>94</v>
      </c>
      <c r="BG137" s="1431">
        <f t="shared" si="1723"/>
        <v>0</v>
      </c>
      <c r="BH137" s="1431">
        <f t="shared" si="1723"/>
        <v>-7082</v>
      </c>
      <c r="BI137" s="1431">
        <f t="shared" si="1723"/>
        <v>7082</v>
      </c>
      <c r="BJ137" s="1431">
        <f t="shared" si="1723"/>
        <v>0</v>
      </c>
      <c r="BK137" s="1431">
        <f t="shared" si="1723"/>
        <v>-279068</v>
      </c>
      <c r="BL137" s="1431">
        <f t="shared" si="1723"/>
        <v>-384412</v>
      </c>
      <c r="BM137" s="1431">
        <f t="shared" si="1723"/>
        <v>-327740</v>
      </c>
      <c r="BN137" s="1431">
        <f t="shared" si="1723"/>
        <v>-225238</v>
      </c>
      <c r="BO137" s="1431">
        <f t="shared" si="1723"/>
        <v>-221407</v>
      </c>
      <c r="BP137" s="1431">
        <f t="shared" si="1723"/>
        <v>0</v>
      </c>
      <c r="BQ137" s="1431">
        <f t="shared" si="1723"/>
        <v>0</v>
      </c>
      <c r="BR137" s="1431">
        <f t="shared" si="1723"/>
        <v>0</v>
      </c>
      <c r="BS137" s="1431">
        <f t="shared" si="1723"/>
        <v>0</v>
      </c>
      <c r="BT137" s="1431">
        <f t="shared" si="1723"/>
        <v>-381</v>
      </c>
      <c r="BU137" s="1431">
        <f t="shared" si="1723"/>
        <v>0</v>
      </c>
      <c r="BV137" s="1431">
        <f t="shared" si="1723"/>
        <v>0</v>
      </c>
      <c r="BW137" s="1431">
        <f t="shared" si="1723"/>
        <v>-5658</v>
      </c>
      <c r="BX137" s="1431">
        <f t="shared" si="1723"/>
        <v>0</v>
      </c>
      <c r="BY137" s="1431">
        <f t="shared" si="1723"/>
        <v>0</v>
      </c>
      <c r="BZ137" s="1431">
        <f t="shared" si="1723"/>
        <v>1.9999966025352478E-4</v>
      </c>
      <c r="CA137" s="1431">
        <f t="shared" si="1723"/>
        <v>0</v>
      </c>
      <c r="CB137" s="1431">
        <f t="shared" si="1723"/>
        <v>0</v>
      </c>
      <c r="CC137" s="1431">
        <f t="shared" si="1723"/>
        <v>0</v>
      </c>
      <c r="CD137" s="1431">
        <f t="shared" ref="CD137" si="1724">+CD138-CD131</f>
        <v>0</v>
      </c>
      <c r="CE137" s="1431">
        <f t="shared" ref="CE137" si="1725">+CE138-CE131</f>
        <v>0</v>
      </c>
      <c r="CF137" s="1431">
        <f t="shared" ref="CF137:CH137" si="1726">+CF138-CF131</f>
        <v>0</v>
      </c>
      <c r="CG137" s="1431">
        <f t="shared" si="1726"/>
        <v>0</v>
      </c>
      <c r="CH137" s="1431">
        <f t="shared" si="1726"/>
        <v>0</v>
      </c>
      <c r="CI137" s="1431">
        <f t="shared" ref="CI137:CJ137" si="1727">+CI138-CI131</f>
        <v>0</v>
      </c>
      <c r="CJ137" s="1431">
        <f t="shared" si="1727"/>
        <v>0</v>
      </c>
      <c r="CK137" s="1431">
        <f t="shared" ref="CK137" si="1728">+CK138-CK131</f>
        <v>0</v>
      </c>
      <c r="CL137" s="1431">
        <f t="shared" ref="CL137:CP137" si="1729">+CL138-CL131</f>
        <v>0</v>
      </c>
      <c r="CM137" s="1431">
        <f t="shared" si="1729"/>
        <v>0</v>
      </c>
      <c r="CN137" s="1431">
        <f t="shared" si="1729"/>
        <v>0</v>
      </c>
      <c r="CO137" s="1431">
        <f t="shared" si="1729"/>
        <v>0</v>
      </c>
      <c r="CP137" s="1431">
        <f t="shared" si="1729"/>
        <v>0</v>
      </c>
      <c r="CQ137" s="1431"/>
      <c r="CR137" s="1431">
        <v>0</v>
      </c>
      <c r="CT137" s="1431"/>
      <c r="CU137" s="1431">
        <f t="shared" ref="CU137:DU137" si="1730">+CU138-CU131</f>
        <v>0</v>
      </c>
      <c r="CV137" s="1431"/>
      <c r="CW137" s="1431">
        <f t="shared" si="1730"/>
        <v>0</v>
      </c>
      <c r="CX137" s="1431">
        <f t="shared" si="1730"/>
        <v>0</v>
      </c>
      <c r="CY137" s="1431">
        <f t="shared" si="1730"/>
        <v>0</v>
      </c>
      <c r="CZ137" s="1431">
        <f t="shared" si="1730"/>
        <v>0</v>
      </c>
      <c r="DA137" s="1431">
        <f t="shared" si="1730"/>
        <v>-340661</v>
      </c>
      <c r="DB137" s="1431">
        <f t="shared" si="1730"/>
        <v>-343670</v>
      </c>
      <c r="DC137" s="1431">
        <f t="shared" si="1730"/>
        <v>0</v>
      </c>
      <c r="DD137" s="1431" t="e">
        <f t="shared" si="1730"/>
        <v>#REF!</v>
      </c>
      <c r="DE137" s="1431">
        <f t="shared" si="1730"/>
        <v>0</v>
      </c>
      <c r="DF137" s="1431">
        <f t="shared" si="1730"/>
        <v>0</v>
      </c>
      <c r="DG137" s="1431">
        <f t="shared" si="1730"/>
        <v>0</v>
      </c>
      <c r="DH137" s="1431">
        <f t="shared" si="1730"/>
        <v>94</v>
      </c>
      <c r="DI137" s="1431">
        <f t="shared" si="1730"/>
        <v>0</v>
      </c>
      <c r="DJ137" s="1431">
        <f t="shared" si="1730"/>
        <v>-300637</v>
      </c>
      <c r="DK137" s="1431">
        <f t="shared" si="1730"/>
        <v>-98487</v>
      </c>
      <c r="DL137" s="1431">
        <f t="shared" si="1730"/>
        <v>0</v>
      </c>
      <c r="DM137" s="1431">
        <f t="shared" si="1730"/>
        <v>1.9999966025352478E-4</v>
      </c>
      <c r="DN137" s="1431">
        <f t="shared" si="1730"/>
        <v>0</v>
      </c>
      <c r="DO137" s="1431">
        <f t="shared" si="1730"/>
        <v>0</v>
      </c>
      <c r="DP137" s="1431">
        <f t="shared" ref="DP137:DQ137" si="1731">+DP138-DP131</f>
        <v>0</v>
      </c>
      <c r="DQ137" s="1431">
        <f t="shared" si="1731"/>
        <v>0</v>
      </c>
      <c r="DR137" s="1431">
        <f t="shared" si="1730"/>
        <v>0</v>
      </c>
      <c r="DS137" s="1431">
        <f t="shared" si="1730"/>
        <v>0</v>
      </c>
      <c r="DT137" s="1431">
        <f t="shared" si="1730"/>
        <v>0</v>
      </c>
      <c r="DU137" s="1431">
        <f t="shared" si="1730"/>
        <v>0</v>
      </c>
      <c r="DX137" s="1431">
        <v>0</v>
      </c>
      <c r="DY137" s="1431">
        <v>0</v>
      </c>
    </row>
    <row r="138" spans="1:129" s="590" customFormat="1">
      <c r="A138" s="943"/>
      <c r="B138" s="818" t="s">
        <v>443</v>
      </c>
      <c r="C138" s="589" t="e">
        <f t="shared" ref="C138:AH138" si="1732">+C143+C139</f>
        <v>#REF!</v>
      </c>
      <c r="D138" s="589" t="e">
        <f t="shared" si="1732"/>
        <v>#REF!</v>
      </c>
      <c r="E138" s="589" t="e">
        <f t="shared" si="1732"/>
        <v>#REF!</v>
      </c>
      <c r="F138" s="589" t="e">
        <f t="shared" si="1732"/>
        <v>#REF!</v>
      </c>
      <c r="G138" s="589" t="e">
        <f t="shared" si="1732"/>
        <v>#REF!</v>
      </c>
      <c r="H138" s="589" t="e">
        <f t="shared" si="1732"/>
        <v>#REF!</v>
      </c>
      <c r="I138" s="589" t="e">
        <f t="shared" si="1732"/>
        <v>#REF!</v>
      </c>
      <c r="J138" s="589" t="e">
        <f t="shared" si="1732"/>
        <v>#REF!</v>
      </c>
      <c r="K138" s="589" t="e">
        <f t="shared" si="1732"/>
        <v>#REF!</v>
      </c>
      <c r="L138" s="589" t="e">
        <f t="shared" si="1732"/>
        <v>#REF!</v>
      </c>
      <c r="M138" s="589" t="e">
        <f t="shared" si="1732"/>
        <v>#REF!</v>
      </c>
      <c r="N138" s="589" t="e">
        <f t="shared" si="1732"/>
        <v>#REF!</v>
      </c>
      <c r="O138" s="589" t="e">
        <f t="shared" si="1732"/>
        <v>#REF!</v>
      </c>
      <c r="P138" s="589" t="e">
        <f t="shared" si="1732"/>
        <v>#REF!</v>
      </c>
      <c r="Q138" s="589" t="e">
        <f t="shared" si="1732"/>
        <v>#REF!</v>
      </c>
      <c r="R138" s="589" t="e">
        <f t="shared" si="1732"/>
        <v>#REF!</v>
      </c>
      <c r="S138" s="589" t="e">
        <f t="shared" si="1732"/>
        <v>#REF!</v>
      </c>
      <c r="T138" s="589" t="e">
        <f t="shared" si="1732"/>
        <v>#REF!</v>
      </c>
      <c r="U138" s="589" t="e">
        <f t="shared" si="1732"/>
        <v>#REF!</v>
      </c>
      <c r="V138" s="589" t="e">
        <f t="shared" si="1732"/>
        <v>#REF!</v>
      </c>
      <c r="W138" s="589" t="e">
        <f t="shared" si="1732"/>
        <v>#REF!</v>
      </c>
      <c r="X138" s="589" t="e">
        <f t="shared" si="1732"/>
        <v>#REF!</v>
      </c>
      <c r="Y138" s="589" t="e">
        <f t="shared" si="1732"/>
        <v>#REF!</v>
      </c>
      <c r="Z138" s="589" t="e">
        <f t="shared" si="1732"/>
        <v>#REF!</v>
      </c>
      <c r="AA138" s="589" t="e">
        <f t="shared" si="1732"/>
        <v>#REF!</v>
      </c>
      <c r="AB138" s="589" t="e">
        <f t="shared" si="1732"/>
        <v>#REF!</v>
      </c>
      <c r="AC138" s="589" t="e">
        <f t="shared" si="1732"/>
        <v>#REF!</v>
      </c>
      <c r="AD138" s="589" t="e">
        <f t="shared" si="1732"/>
        <v>#REF!</v>
      </c>
      <c r="AE138" s="589" t="e">
        <f t="shared" si="1732"/>
        <v>#REF!</v>
      </c>
      <c r="AF138" s="589" t="e">
        <f t="shared" si="1732"/>
        <v>#REF!</v>
      </c>
      <c r="AG138" s="589" t="e">
        <f t="shared" si="1732"/>
        <v>#REF!</v>
      </c>
      <c r="AH138" s="589" t="e">
        <f t="shared" si="1732"/>
        <v>#REF!</v>
      </c>
      <c r="AI138" s="589" t="e">
        <f t="shared" ref="AI138:DF138" si="1733">+AI143+AI139</f>
        <v>#REF!</v>
      </c>
      <c r="AJ138" s="589" t="e">
        <f t="shared" si="1733"/>
        <v>#REF!</v>
      </c>
      <c r="AK138" s="589" t="e">
        <f t="shared" si="1733"/>
        <v>#REF!</v>
      </c>
      <c r="AL138" s="589" t="e">
        <f t="shared" si="1733"/>
        <v>#REF!</v>
      </c>
      <c r="AM138" s="589" t="e">
        <f t="shared" si="1733"/>
        <v>#REF!</v>
      </c>
      <c r="AN138" s="589" t="e">
        <f t="shared" si="1733"/>
        <v>#REF!</v>
      </c>
      <c r="AO138" s="589" t="e">
        <f t="shared" si="1733"/>
        <v>#REF!</v>
      </c>
      <c r="AP138" s="589" t="e">
        <f t="shared" si="1733"/>
        <v>#REF!</v>
      </c>
      <c r="AQ138" s="589" t="e">
        <f t="shared" si="1733"/>
        <v>#REF!</v>
      </c>
      <c r="AR138" s="589" t="e">
        <f t="shared" si="1733"/>
        <v>#REF!</v>
      </c>
      <c r="AS138" s="589" t="e">
        <f t="shared" si="1733"/>
        <v>#REF!</v>
      </c>
      <c r="AT138" s="589" t="e">
        <f t="shared" si="1733"/>
        <v>#REF!</v>
      </c>
      <c r="AU138" s="589">
        <f t="shared" si="1733"/>
        <v>3246528</v>
      </c>
      <c r="AV138" s="589">
        <f t="shared" si="1733"/>
        <v>3276911</v>
      </c>
      <c r="AW138" s="589">
        <f t="shared" si="1733"/>
        <v>3512155</v>
      </c>
      <c r="AX138" s="589">
        <f t="shared" si="1733"/>
        <v>3479667</v>
      </c>
      <c r="AY138" s="589">
        <f t="shared" si="1733"/>
        <v>3450198</v>
      </c>
      <c r="AZ138" s="1421">
        <f t="shared" si="1733"/>
        <v>3455372</v>
      </c>
      <c r="BA138" s="589">
        <f t="shared" si="1733"/>
        <v>3439534</v>
      </c>
      <c r="BB138" s="589">
        <f t="shared" si="1733"/>
        <v>3564444</v>
      </c>
      <c r="BC138" s="589">
        <f t="shared" si="1733"/>
        <v>3840601</v>
      </c>
      <c r="BD138" s="589">
        <f t="shared" si="1733"/>
        <v>3878803</v>
      </c>
      <c r="BE138" s="589">
        <f t="shared" si="1733"/>
        <v>3714476</v>
      </c>
      <c r="BF138" s="589">
        <f t="shared" si="1733"/>
        <v>3856458</v>
      </c>
      <c r="BG138" s="589">
        <f t="shared" si="1733"/>
        <v>4201493</v>
      </c>
      <c r="BH138" s="589">
        <f t="shared" si="1733"/>
        <v>4340401</v>
      </c>
      <c r="BI138" s="589">
        <f t="shared" si="1733"/>
        <v>4325281</v>
      </c>
      <c r="BJ138" s="589">
        <f t="shared" si="1733"/>
        <v>4507111</v>
      </c>
      <c r="BK138" s="589">
        <f t="shared" si="1733"/>
        <v>4707465</v>
      </c>
      <c r="BL138" s="589">
        <f t="shared" si="1733"/>
        <v>4605629</v>
      </c>
      <c r="BM138" s="589">
        <f t="shared" si="1733"/>
        <v>4673057</v>
      </c>
      <c r="BN138" s="589">
        <f t="shared" si="1733"/>
        <v>4907131</v>
      </c>
      <c r="BO138" s="589">
        <f t="shared" si="1733"/>
        <v>5320873</v>
      </c>
      <c r="BP138" s="589">
        <f t="shared" si="1733"/>
        <v>5870001</v>
      </c>
      <c r="BQ138" s="589">
        <f t="shared" si="1733"/>
        <v>5852933</v>
      </c>
      <c r="BR138" s="589">
        <f t="shared" si="1733"/>
        <v>5876622</v>
      </c>
      <c r="BS138" s="589">
        <f t="shared" si="1733"/>
        <v>5800954</v>
      </c>
      <c r="BT138" s="589">
        <f t="shared" si="1733"/>
        <v>6600687</v>
      </c>
      <c r="BU138" s="589">
        <f t="shared" si="1733"/>
        <v>6554212</v>
      </c>
      <c r="BV138" s="589">
        <f t="shared" si="1733"/>
        <v>6948753</v>
      </c>
      <c r="BW138" s="589">
        <f t="shared" si="1733"/>
        <v>7636613</v>
      </c>
      <c r="BX138" s="589">
        <f t="shared" si="1733"/>
        <v>8072415</v>
      </c>
      <c r="BY138" s="589">
        <f t="shared" si="1733"/>
        <v>8319317</v>
      </c>
      <c r="BZ138" s="589">
        <f t="shared" si="1733"/>
        <v>8506989.0001999997</v>
      </c>
      <c r="CA138" s="589">
        <f t="shared" si="1733"/>
        <v>8719978</v>
      </c>
      <c r="CB138" s="589">
        <f t="shared" si="1733"/>
        <v>8739447</v>
      </c>
      <c r="CC138" s="589">
        <f t="shared" si="1733"/>
        <v>8230096</v>
      </c>
      <c r="CD138" s="589">
        <f t="shared" ref="CD138" si="1734">+CD143+CD139</f>
        <v>8294547</v>
      </c>
      <c r="CE138" s="589">
        <f t="shared" ref="CE138" si="1735">+CE143+CE139</f>
        <v>8244871</v>
      </c>
      <c r="CF138" s="589">
        <f t="shared" ref="CF138:CH138" si="1736">+CF143+CF139</f>
        <v>8370098</v>
      </c>
      <c r="CG138" s="589">
        <f t="shared" si="1736"/>
        <v>8310829</v>
      </c>
      <c r="CH138" s="589">
        <f t="shared" si="1736"/>
        <v>8253587</v>
      </c>
      <c r="CI138" s="589">
        <f t="shared" ref="CI138:CJ138" si="1737">+CI143+CI139</f>
        <v>8349684</v>
      </c>
      <c r="CJ138" s="589">
        <f t="shared" si="1737"/>
        <v>8541430</v>
      </c>
      <c r="CK138" s="589">
        <f t="shared" ref="CK138" si="1738">+CK143+CK139</f>
        <v>8546559</v>
      </c>
      <c r="CL138" s="946">
        <f t="shared" ref="CL138:CP138" si="1739">+CL143+CL139</f>
        <v>9044992.6142821293</v>
      </c>
      <c r="CM138" s="946">
        <f t="shared" si="1739"/>
        <v>8940983.23191531</v>
      </c>
      <c r="CN138" s="946">
        <f t="shared" si="1739"/>
        <v>8908748.8454079386</v>
      </c>
      <c r="CO138" s="946">
        <f t="shared" si="1739"/>
        <v>8641893.8643697649</v>
      </c>
      <c r="CP138" s="946">
        <f t="shared" si="1739"/>
        <v>9315289.7133108005</v>
      </c>
      <c r="CQ138" s="946"/>
      <c r="CR138" s="946">
        <v>9044992.6142821293</v>
      </c>
      <c r="CT138" s="589"/>
      <c r="CU138" s="589">
        <f t="shared" si="1733"/>
        <v>0</v>
      </c>
      <c r="CV138" s="589"/>
      <c r="CW138" s="589">
        <f t="shared" si="1733"/>
        <v>0</v>
      </c>
      <c r="CX138" s="589">
        <f t="shared" si="1733"/>
        <v>641341</v>
      </c>
      <c r="CY138" s="589">
        <f t="shared" si="1733"/>
        <v>888703</v>
      </c>
      <c r="CZ138" s="589">
        <f t="shared" si="1733"/>
        <v>879366</v>
      </c>
      <c r="DA138" s="589">
        <f t="shared" si="1733"/>
        <v>713507</v>
      </c>
      <c r="DB138" s="589">
        <f t="shared" si="1733"/>
        <v>1111325</v>
      </c>
      <c r="DC138" s="589">
        <f t="shared" si="1733"/>
        <v>1955137</v>
      </c>
      <c r="DD138" s="589" t="e">
        <f t="shared" si="1733"/>
        <v>#REF!</v>
      </c>
      <c r="DE138" s="589">
        <f t="shared" si="1733"/>
        <v>2980242</v>
      </c>
      <c r="DF138" s="589">
        <f t="shared" si="1733"/>
        <v>3479667</v>
      </c>
      <c r="DG138" s="589">
        <f t="shared" ref="DG138:DU138" si="1740">+DG143+DG139</f>
        <v>3564444</v>
      </c>
      <c r="DH138" s="589">
        <f t="shared" si="1740"/>
        <v>3856458</v>
      </c>
      <c r="DI138" s="589">
        <f t="shared" si="1740"/>
        <v>4507111</v>
      </c>
      <c r="DJ138" s="589">
        <f t="shared" si="1740"/>
        <v>4831732</v>
      </c>
      <c r="DK138" s="589">
        <f t="shared" si="1740"/>
        <v>5778135</v>
      </c>
      <c r="DL138" s="589">
        <f t="shared" si="1740"/>
        <v>6948753</v>
      </c>
      <c r="DM138" s="589">
        <f t="shared" si="1740"/>
        <v>8506989.0001999997</v>
      </c>
      <c r="DN138" s="589">
        <f t="shared" si="1740"/>
        <v>8294547</v>
      </c>
      <c r="DO138" s="589">
        <f t="shared" si="1740"/>
        <v>8253587</v>
      </c>
      <c r="DP138" s="589">
        <f t="shared" ref="DP138:DQ138" si="1741">+DP143+DP139</f>
        <v>9044992.6142821293</v>
      </c>
      <c r="DQ138" s="589">
        <f t="shared" si="1741"/>
        <v>9315289.7133108005</v>
      </c>
      <c r="DR138" s="966">
        <f t="shared" si="1740"/>
        <v>9798463.468769297</v>
      </c>
      <c r="DS138" s="966">
        <f t="shared" si="1740"/>
        <v>10275293.691642845</v>
      </c>
      <c r="DT138" s="966">
        <f t="shared" si="1740"/>
        <v>10815943.030786704</v>
      </c>
      <c r="DU138" s="966">
        <f t="shared" si="1740"/>
        <v>11416558.267868118</v>
      </c>
      <c r="DX138" s="966">
        <v>9546517.7197006736</v>
      </c>
      <c r="DY138" s="966">
        <v>10090568.390682416</v>
      </c>
    </row>
    <row r="139" spans="1:129" s="1428" customFormat="1">
      <c r="A139" s="1422"/>
      <c r="B139" s="1423" t="s">
        <v>448</v>
      </c>
      <c r="C139" s="1424">
        <f t="shared" ref="C139:AH139" si="1742">+C142-C140-C141</f>
        <v>0</v>
      </c>
      <c r="D139" s="1424">
        <f t="shared" si="1742"/>
        <v>194484</v>
      </c>
      <c r="E139" s="1424">
        <f t="shared" si="1742"/>
        <v>170377</v>
      </c>
      <c r="F139" s="1424">
        <f t="shared" si="1742"/>
        <v>144307</v>
      </c>
      <c r="G139" s="1424">
        <f t="shared" si="1742"/>
        <v>203556</v>
      </c>
      <c r="H139" s="1424">
        <f t="shared" si="1742"/>
        <v>123549</v>
      </c>
      <c r="I139" s="1424">
        <f t="shared" si="1742"/>
        <v>-215094</v>
      </c>
      <c r="J139" s="1424">
        <f t="shared" si="1742"/>
        <v>-255547</v>
      </c>
      <c r="K139" s="1424">
        <f t="shared" si="1742"/>
        <v>-89780</v>
      </c>
      <c r="L139" s="1424">
        <f t="shared" si="1742"/>
        <v>-141319</v>
      </c>
      <c r="M139" s="1424">
        <f t="shared" si="1742"/>
        <v>-138025</v>
      </c>
      <c r="N139" s="1424">
        <f t="shared" si="1742"/>
        <v>-209567</v>
      </c>
      <c r="O139" s="1424">
        <f t="shared" si="1742"/>
        <v>-83821</v>
      </c>
      <c r="P139" s="1424">
        <f t="shared" si="1742"/>
        <v>-131470</v>
      </c>
      <c r="Q139" s="1424">
        <f t="shared" si="1742"/>
        <v>-148739</v>
      </c>
      <c r="R139" s="1424">
        <f t="shared" si="1742"/>
        <v>-33302</v>
      </c>
      <c r="S139" s="1424">
        <f t="shared" si="1742"/>
        <v>-100154</v>
      </c>
      <c r="T139" s="1424">
        <f t="shared" si="1742"/>
        <v>-66720</v>
      </c>
      <c r="U139" s="1424">
        <f t="shared" si="1742"/>
        <v>-21606</v>
      </c>
      <c r="V139" s="1424">
        <f t="shared" si="1742"/>
        <v>143563</v>
      </c>
      <c r="W139" s="1424">
        <f t="shared" si="1742"/>
        <v>182180</v>
      </c>
      <c r="X139" s="1424">
        <f t="shared" si="1742"/>
        <v>107954</v>
      </c>
      <c r="Y139" s="1424">
        <f t="shared" si="1742"/>
        <v>5319</v>
      </c>
      <c r="Z139" s="1424">
        <f t="shared" si="1742"/>
        <v>-3125</v>
      </c>
      <c r="AA139" s="1424">
        <f t="shared" si="1742"/>
        <v>14853</v>
      </c>
      <c r="AB139" s="1424">
        <f t="shared" si="1742"/>
        <v>66782</v>
      </c>
      <c r="AC139" s="1424">
        <f t="shared" si="1742"/>
        <v>8480</v>
      </c>
      <c r="AD139" s="1424">
        <f t="shared" si="1742"/>
        <v>-377335</v>
      </c>
      <c r="AE139" s="1424">
        <f t="shared" si="1742"/>
        <v>-338490</v>
      </c>
      <c r="AF139" s="1424">
        <f t="shared" si="1742"/>
        <v>-76495</v>
      </c>
      <c r="AG139" s="1424">
        <f t="shared" si="1742"/>
        <v>-105387</v>
      </c>
      <c r="AH139" s="1424">
        <f t="shared" si="1742"/>
        <v>-89961</v>
      </c>
      <c r="AI139" s="1424">
        <f t="shared" ref="AI139:AT139" si="1743">+AI142-AI140-AI141</f>
        <v>76679</v>
      </c>
      <c r="AJ139" s="1424">
        <f t="shared" si="1743"/>
        <v>256961</v>
      </c>
      <c r="AK139" s="1424">
        <f t="shared" si="1743"/>
        <v>337616</v>
      </c>
      <c r="AL139" s="1424">
        <f t="shared" si="1743"/>
        <v>625116</v>
      </c>
      <c r="AM139" s="1424">
        <f t="shared" si="1743"/>
        <v>802339</v>
      </c>
      <c r="AN139" s="1424">
        <f t="shared" si="1743"/>
        <v>982987</v>
      </c>
      <c r="AO139" s="1424">
        <f t="shared" si="1743"/>
        <v>1050598</v>
      </c>
      <c r="AP139" s="1424">
        <f t="shared" si="1743"/>
        <v>973960</v>
      </c>
      <c r="AQ139" s="1424">
        <f t="shared" si="1743"/>
        <v>1051514</v>
      </c>
      <c r="AR139" s="1424">
        <f t="shared" si="1743"/>
        <v>1179360</v>
      </c>
      <c r="AS139" s="1424">
        <f t="shared" si="1743"/>
        <v>1198633</v>
      </c>
      <c r="AT139" s="1424">
        <f t="shared" si="1743"/>
        <v>1113833</v>
      </c>
      <c r="AU139" s="1424">
        <f t="shared" ref="AU139:CC139" si="1744">+AU142-AU141-AU140</f>
        <v>1245356</v>
      </c>
      <c r="AV139" s="1424">
        <f t="shared" si="1744"/>
        <v>1350850</v>
      </c>
      <c r="AW139" s="1424">
        <f t="shared" si="1744"/>
        <v>1356079</v>
      </c>
      <c r="AX139" s="1424">
        <f t="shared" si="1744"/>
        <v>1154660</v>
      </c>
      <c r="AY139" s="1424">
        <f t="shared" si="1744"/>
        <v>1175076</v>
      </c>
      <c r="AZ139" s="1425">
        <f t="shared" si="1744"/>
        <v>1285846</v>
      </c>
      <c r="BA139" s="1424">
        <f t="shared" si="1744"/>
        <v>1162072</v>
      </c>
      <c r="BB139" s="1424">
        <f t="shared" si="1744"/>
        <v>970595</v>
      </c>
      <c r="BC139" s="1424">
        <f t="shared" si="1744"/>
        <v>1164303</v>
      </c>
      <c r="BD139" s="1424">
        <f t="shared" si="1744"/>
        <v>1167510</v>
      </c>
      <c r="BE139" s="1424">
        <f t="shared" si="1744"/>
        <v>899263</v>
      </c>
      <c r="BF139" s="1424">
        <f t="shared" si="1744"/>
        <v>718062</v>
      </c>
      <c r="BG139" s="1424">
        <f t="shared" si="1744"/>
        <v>978387</v>
      </c>
      <c r="BH139" s="1424">
        <f t="shared" si="1744"/>
        <v>1070421</v>
      </c>
      <c r="BI139" s="1424">
        <f t="shared" si="1744"/>
        <v>823172</v>
      </c>
      <c r="BJ139" s="1424">
        <f t="shared" si="1744"/>
        <v>539224</v>
      </c>
      <c r="BK139" s="1424">
        <f t="shared" si="1744"/>
        <v>748713</v>
      </c>
      <c r="BL139" s="1424">
        <f t="shared" si="1744"/>
        <v>859900</v>
      </c>
      <c r="BM139" s="1424">
        <f t="shared" si="1744"/>
        <v>659492</v>
      </c>
      <c r="BN139" s="1424">
        <f t="shared" si="1744"/>
        <v>272727</v>
      </c>
      <c r="BO139" s="1424">
        <f t="shared" si="1744"/>
        <v>768195</v>
      </c>
      <c r="BP139" s="1424">
        <f t="shared" si="1744"/>
        <v>1116262</v>
      </c>
      <c r="BQ139" s="1424">
        <f t="shared" si="1744"/>
        <v>1102596</v>
      </c>
      <c r="BR139" s="1424">
        <f t="shared" si="1744"/>
        <v>712626</v>
      </c>
      <c r="BS139" s="1424">
        <f t="shared" si="1744"/>
        <v>975298</v>
      </c>
      <c r="BT139" s="1424">
        <f t="shared" si="1744"/>
        <v>-2225878</v>
      </c>
      <c r="BU139" s="1424">
        <f t="shared" si="1744"/>
        <v>-2421419</v>
      </c>
      <c r="BV139" s="1424">
        <f t="shared" si="1744"/>
        <v>-2480400</v>
      </c>
      <c r="BW139" s="1424">
        <f t="shared" si="1744"/>
        <v>-1969974</v>
      </c>
      <c r="BX139" s="1424">
        <f t="shared" si="1744"/>
        <v>-1277964</v>
      </c>
      <c r="BY139" s="1424">
        <f t="shared" si="1744"/>
        <v>-998612</v>
      </c>
      <c r="BZ139" s="1424">
        <f t="shared" si="1744"/>
        <v>-1098106.9998000001</v>
      </c>
      <c r="CA139" s="1424">
        <f t="shared" si="1744"/>
        <v>-372209</v>
      </c>
      <c r="CB139" s="1424">
        <f t="shared" si="1744"/>
        <v>-574857</v>
      </c>
      <c r="CC139" s="1424">
        <f t="shared" si="1744"/>
        <v>-1112992</v>
      </c>
      <c r="CD139" s="1424">
        <f t="shared" ref="CD139" si="1745">+CD142-CD141-CD140</f>
        <v>-1176941.9999999998</v>
      </c>
      <c r="CE139" s="1424">
        <f t="shared" ref="CE139" si="1746">+CE142-CE141-CE140</f>
        <v>-1019962</v>
      </c>
      <c r="CF139" s="1424">
        <f t="shared" ref="CF139:CH139" si="1747">+CF142-CF141-CF140</f>
        <v>-1146882</v>
      </c>
      <c r="CG139" s="1424">
        <f t="shared" si="1747"/>
        <v>-1393516</v>
      </c>
      <c r="CH139" s="1424">
        <f t="shared" si="1747"/>
        <v>-1825807</v>
      </c>
      <c r="CI139" s="1424">
        <f t="shared" ref="CI139:CJ139" si="1748">+CI142-CI141-CI140</f>
        <v>-1206351</v>
      </c>
      <c r="CJ139" s="1424">
        <f t="shared" si="1748"/>
        <v>-1200189</v>
      </c>
      <c r="CK139" s="1424">
        <f t="shared" ref="CK139" si="1749">+CK142-CK141-CK140</f>
        <v>-1260291</v>
      </c>
      <c r="CL139" s="1426">
        <f t="shared" ref="CL139:CP139" si="1750">+CL142-CL141-CL140</f>
        <v>-912910.96207645349</v>
      </c>
      <c r="CM139" s="1426">
        <f t="shared" si="1750"/>
        <v>-1002940.8814139431</v>
      </c>
      <c r="CN139" s="1426">
        <f t="shared" si="1750"/>
        <v>-1187132.7263125349</v>
      </c>
      <c r="CO139" s="1426">
        <f t="shared" si="1750"/>
        <v>-1493898.6023473395</v>
      </c>
      <c r="CP139" s="1426">
        <f t="shared" si="1750"/>
        <v>-1238019.9973007375</v>
      </c>
      <c r="CQ139" s="1426"/>
      <c r="CR139" s="1426">
        <v>-912910.96207645349</v>
      </c>
      <c r="CT139" s="1424"/>
      <c r="CU139" s="1424">
        <f t="shared" ref="CU139:DU139" si="1751">+CU142-CU141-CU140</f>
        <v>0</v>
      </c>
      <c r="CV139" s="1424"/>
      <c r="CW139" s="1424">
        <f t="shared" si="1751"/>
        <v>0</v>
      </c>
      <c r="CX139" s="1424">
        <f t="shared" si="1751"/>
        <v>-33302</v>
      </c>
      <c r="CY139" s="1424">
        <f t="shared" si="1751"/>
        <v>143563</v>
      </c>
      <c r="CZ139" s="1424">
        <f t="shared" si="1751"/>
        <v>-3125</v>
      </c>
      <c r="DA139" s="1424">
        <f t="shared" si="1751"/>
        <v>-377335</v>
      </c>
      <c r="DB139" s="1424">
        <f t="shared" si="1751"/>
        <v>-89961</v>
      </c>
      <c r="DC139" s="1424">
        <f t="shared" si="1751"/>
        <v>625116</v>
      </c>
      <c r="DD139" s="1424">
        <f t="shared" si="1751"/>
        <v>973960</v>
      </c>
      <c r="DE139" s="1424">
        <f t="shared" si="1751"/>
        <v>1113833</v>
      </c>
      <c r="DF139" s="1424">
        <f t="shared" si="1751"/>
        <v>1154660</v>
      </c>
      <c r="DG139" s="1424">
        <f t="shared" si="1751"/>
        <v>970595</v>
      </c>
      <c r="DH139" s="1424">
        <f t="shared" si="1751"/>
        <v>718062</v>
      </c>
      <c r="DI139" s="1424">
        <f t="shared" si="1751"/>
        <v>539224</v>
      </c>
      <c r="DJ139" s="1424">
        <f t="shared" si="1751"/>
        <v>272727</v>
      </c>
      <c r="DK139" s="1424">
        <f t="shared" si="1751"/>
        <v>712626</v>
      </c>
      <c r="DL139" s="1424">
        <f t="shared" si="1751"/>
        <v>-2480400</v>
      </c>
      <c r="DM139" s="1424">
        <f t="shared" si="1751"/>
        <v>-1098106.9998000001</v>
      </c>
      <c r="DN139" s="1424">
        <f t="shared" si="1751"/>
        <v>-1176941.9999999998</v>
      </c>
      <c r="DO139" s="1424">
        <f t="shared" si="1751"/>
        <v>-1825807</v>
      </c>
      <c r="DP139" s="1424">
        <f t="shared" ref="DP139:DQ139" si="1752">+DP142-DP141-DP140</f>
        <v>-912910.96207645349</v>
      </c>
      <c r="DQ139" s="1424">
        <f t="shared" si="1752"/>
        <v>-1238019.9973007375</v>
      </c>
      <c r="DR139" s="1427">
        <f t="shared" si="1751"/>
        <v>-1534537.390235126</v>
      </c>
      <c r="DS139" s="1427">
        <f t="shared" si="1751"/>
        <v>-2376296.0835547391</v>
      </c>
      <c r="DT139" s="1427">
        <f t="shared" si="1751"/>
        <v>-3214698.8253240073</v>
      </c>
      <c r="DU139" s="1427">
        <f t="shared" si="1751"/>
        <v>-4143134.3098203298</v>
      </c>
      <c r="DX139" s="1427">
        <v>-1102312.0615780409</v>
      </c>
      <c r="DY139" s="1427">
        <v>-1698482.5196300019</v>
      </c>
    </row>
    <row r="140" spans="1:129" s="904" customFormat="1">
      <c r="A140" s="939"/>
      <c r="B140" s="912" t="s">
        <v>449</v>
      </c>
      <c r="C140" s="592">
        <f t="shared" ref="C140:AH140" si="1753">+C90</f>
        <v>0</v>
      </c>
      <c r="D140" s="592">
        <f t="shared" si="1753"/>
        <v>97531</v>
      </c>
      <c r="E140" s="592">
        <f t="shared" si="1753"/>
        <v>101924</v>
      </c>
      <c r="F140" s="592">
        <f t="shared" si="1753"/>
        <v>99751</v>
      </c>
      <c r="G140" s="592">
        <f t="shared" si="1753"/>
        <v>85882</v>
      </c>
      <c r="H140" s="592">
        <f t="shared" si="1753"/>
        <v>110136</v>
      </c>
      <c r="I140" s="592">
        <f t="shared" si="1753"/>
        <v>266313</v>
      </c>
      <c r="J140" s="592">
        <f t="shared" si="1753"/>
        <v>276516</v>
      </c>
      <c r="K140" s="592">
        <f t="shared" si="1753"/>
        <v>167074</v>
      </c>
      <c r="L140" s="592">
        <f t="shared" si="1753"/>
        <v>219862</v>
      </c>
      <c r="M140" s="592">
        <f t="shared" si="1753"/>
        <v>217485</v>
      </c>
      <c r="N140" s="592">
        <f t="shared" si="1753"/>
        <v>287203</v>
      </c>
      <c r="O140" s="592">
        <f t="shared" si="1753"/>
        <v>168508</v>
      </c>
      <c r="P140" s="592">
        <f t="shared" si="1753"/>
        <v>220800</v>
      </c>
      <c r="Q140" s="592">
        <f t="shared" si="1753"/>
        <v>261762</v>
      </c>
      <c r="R140" s="592">
        <f t="shared" si="1753"/>
        <v>296432</v>
      </c>
      <c r="S140" s="592">
        <f t="shared" si="1753"/>
        <v>190600</v>
      </c>
      <c r="T140" s="592">
        <f t="shared" si="1753"/>
        <v>210317</v>
      </c>
      <c r="U140" s="592">
        <f t="shared" si="1753"/>
        <v>157877</v>
      </c>
      <c r="V140" s="592">
        <f t="shared" si="1753"/>
        <v>178700</v>
      </c>
      <c r="W140" s="592">
        <f t="shared" si="1753"/>
        <v>83339</v>
      </c>
      <c r="X140" s="592">
        <f t="shared" si="1753"/>
        <v>194402</v>
      </c>
      <c r="Y140" s="592">
        <f t="shared" si="1753"/>
        <v>297666</v>
      </c>
      <c r="Z140" s="592">
        <f t="shared" si="1753"/>
        <v>411370</v>
      </c>
      <c r="AA140" s="592">
        <f t="shared" si="1753"/>
        <v>390846</v>
      </c>
      <c r="AB140" s="592">
        <f t="shared" si="1753"/>
        <v>359077</v>
      </c>
      <c r="AC140" s="592">
        <f t="shared" si="1753"/>
        <v>399221</v>
      </c>
      <c r="AD140" s="592">
        <f t="shared" si="1753"/>
        <v>683661</v>
      </c>
      <c r="AE140" s="592">
        <f t="shared" si="1753"/>
        <v>504977</v>
      </c>
      <c r="AF140" s="592">
        <f t="shared" si="1753"/>
        <v>242212</v>
      </c>
      <c r="AG140" s="592">
        <f t="shared" si="1753"/>
        <v>659093</v>
      </c>
      <c r="AH140" s="592">
        <f t="shared" si="1753"/>
        <v>578264</v>
      </c>
      <c r="AI140" s="592">
        <f t="shared" ref="AI140:DF140" si="1754">+AI90</f>
        <v>499359</v>
      </c>
      <c r="AJ140" s="592">
        <f t="shared" si="1754"/>
        <v>356209</v>
      </c>
      <c r="AK140" s="592">
        <f t="shared" si="1754"/>
        <v>643715</v>
      </c>
      <c r="AL140" s="592">
        <f t="shared" si="1754"/>
        <v>683270</v>
      </c>
      <c r="AM140" s="592">
        <f t="shared" si="1754"/>
        <v>518146</v>
      </c>
      <c r="AN140" s="592">
        <f t="shared" si="1754"/>
        <v>448708</v>
      </c>
      <c r="AO140" s="592">
        <f t="shared" si="1754"/>
        <v>815695</v>
      </c>
      <c r="AP140" s="592">
        <f t="shared" si="1754"/>
        <v>801592</v>
      </c>
      <c r="AQ140" s="592">
        <f t="shared" si="1754"/>
        <v>753394</v>
      </c>
      <c r="AR140" s="592">
        <f t="shared" si="1754"/>
        <v>719629</v>
      </c>
      <c r="AS140" s="592">
        <f t="shared" si="1754"/>
        <v>626461</v>
      </c>
      <c r="AT140" s="592">
        <f t="shared" si="1754"/>
        <v>834340</v>
      </c>
      <c r="AU140" s="592">
        <f t="shared" si="1754"/>
        <v>748236</v>
      </c>
      <c r="AV140" s="592">
        <f t="shared" si="1754"/>
        <v>696597</v>
      </c>
      <c r="AW140" s="592">
        <f t="shared" si="1754"/>
        <v>559617</v>
      </c>
      <c r="AX140" s="592">
        <f t="shared" si="1754"/>
        <v>737527</v>
      </c>
      <c r="AY140" s="592">
        <f t="shared" si="1754"/>
        <v>827183</v>
      </c>
      <c r="AZ140" s="910">
        <f t="shared" si="1754"/>
        <v>784706</v>
      </c>
      <c r="BA140" s="592">
        <f t="shared" si="1754"/>
        <v>717775</v>
      </c>
      <c r="BB140" s="592">
        <f t="shared" si="1754"/>
        <v>894881</v>
      </c>
      <c r="BC140" s="592">
        <f t="shared" si="1754"/>
        <v>905490</v>
      </c>
      <c r="BD140" s="592">
        <f t="shared" si="1754"/>
        <v>970338</v>
      </c>
      <c r="BE140" s="592">
        <f t="shared" si="1754"/>
        <v>862824</v>
      </c>
      <c r="BF140" s="592">
        <f t="shared" si="1754"/>
        <v>1142233</v>
      </c>
      <c r="BG140" s="592">
        <f t="shared" si="1754"/>
        <v>884855</v>
      </c>
      <c r="BH140" s="592">
        <f t="shared" si="1754"/>
        <v>845874</v>
      </c>
      <c r="BI140" s="592">
        <f t="shared" si="1754"/>
        <v>954561</v>
      </c>
      <c r="BJ140" s="592">
        <f t="shared" si="1754"/>
        <v>1384364</v>
      </c>
      <c r="BK140" s="592">
        <f t="shared" si="1754"/>
        <v>1325378</v>
      </c>
      <c r="BL140" s="592">
        <f t="shared" si="1754"/>
        <v>947689</v>
      </c>
      <c r="BM140" s="592">
        <f t="shared" si="1754"/>
        <v>1038226</v>
      </c>
      <c r="BN140" s="592">
        <f t="shared" si="1754"/>
        <v>1372302</v>
      </c>
      <c r="BO140" s="592">
        <f t="shared" si="1754"/>
        <v>1743640</v>
      </c>
      <c r="BP140" s="592">
        <f t="shared" si="1754"/>
        <v>2339172</v>
      </c>
      <c r="BQ140" s="592">
        <f t="shared" si="1754"/>
        <v>1931348</v>
      </c>
      <c r="BR140" s="592">
        <f t="shared" si="1754"/>
        <v>2672353</v>
      </c>
      <c r="BS140" s="592">
        <f t="shared" si="1754"/>
        <v>2872234</v>
      </c>
      <c r="BT140" s="592">
        <f t="shared" si="1754"/>
        <v>5614765</v>
      </c>
      <c r="BU140" s="592">
        <f t="shared" si="1754"/>
        <v>5790719</v>
      </c>
      <c r="BV140" s="592">
        <f t="shared" si="1754"/>
        <v>5489417</v>
      </c>
      <c r="BW140" s="592">
        <f t="shared" si="1754"/>
        <v>5312889</v>
      </c>
      <c r="BX140" s="592">
        <f t="shared" si="1754"/>
        <v>4365617</v>
      </c>
      <c r="BY140" s="592">
        <f t="shared" si="1754"/>
        <v>3940208</v>
      </c>
      <c r="BZ140" s="592">
        <f t="shared" si="1754"/>
        <v>2848351.31</v>
      </c>
      <c r="CA140" s="592">
        <f t="shared" si="1754"/>
        <v>2209804</v>
      </c>
      <c r="CB140" s="592">
        <f t="shared" si="1754"/>
        <v>2319961</v>
      </c>
      <c r="CC140" s="592">
        <f t="shared" si="1754"/>
        <v>2647874</v>
      </c>
      <c r="CD140" s="592">
        <f t="shared" ref="CD140" si="1755">+CD90</f>
        <v>2532187.1898499997</v>
      </c>
      <c r="CE140" s="592">
        <f t="shared" ref="CE140" si="1756">+CE90</f>
        <v>1965873.8107</v>
      </c>
      <c r="CF140" s="592">
        <f t="shared" ref="CF140:CH140" si="1757">+CF90</f>
        <v>1832734</v>
      </c>
      <c r="CG140" s="592">
        <f t="shared" si="1757"/>
        <v>1784367</v>
      </c>
      <c r="CH140" s="592">
        <f t="shared" si="1757"/>
        <v>1926110</v>
      </c>
      <c r="CI140" s="592">
        <f t="shared" ref="CI140:CJ140" si="1758">+CI90</f>
        <v>915570</v>
      </c>
      <c r="CJ140" s="592">
        <f t="shared" si="1758"/>
        <v>833472</v>
      </c>
      <c r="CK140" s="592">
        <f t="shared" ref="CK140" si="1759">+CK90</f>
        <v>866881</v>
      </c>
      <c r="CL140" s="941">
        <f t="shared" ref="CL140:CP140" si="1760">+CL90</f>
        <v>519500.96207645349</v>
      </c>
      <c r="CM140" s="941">
        <f t="shared" si="1760"/>
        <v>609530.88141394313</v>
      </c>
      <c r="CN140" s="941">
        <f t="shared" si="1760"/>
        <v>793722.72631253488</v>
      </c>
      <c r="CO140" s="941">
        <f t="shared" si="1760"/>
        <v>1100488.6023473395</v>
      </c>
      <c r="CP140" s="941">
        <f t="shared" si="1760"/>
        <v>844609.99730073754</v>
      </c>
      <c r="CQ140" s="941"/>
      <c r="CR140" s="941">
        <v>519500.96207645349</v>
      </c>
      <c r="CT140" s="592"/>
      <c r="CU140" s="592">
        <f t="shared" si="1754"/>
        <v>0</v>
      </c>
      <c r="CV140" s="592"/>
      <c r="CW140" s="592">
        <f t="shared" si="1754"/>
        <v>0</v>
      </c>
      <c r="CX140" s="592">
        <f t="shared" si="1754"/>
        <v>296432</v>
      </c>
      <c r="CY140" s="592">
        <f t="shared" si="1754"/>
        <v>178700</v>
      </c>
      <c r="CZ140" s="592">
        <f t="shared" si="1754"/>
        <v>411370</v>
      </c>
      <c r="DA140" s="592">
        <f t="shared" si="1754"/>
        <v>683661</v>
      </c>
      <c r="DB140" s="592">
        <f t="shared" si="1754"/>
        <v>578264</v>
      </c>
      <c r="DC140" s="592">
        <f t="shared" si="1754"/>
        <v>683270</v>
      </c>
      <c r="DD140" s="592">
        <f t="shared" si="1754"/>
        <v>801592</v>
      </c>
      <c r="DE140" s="592">
        <f t="shared" si="1754"/>
        <v>834340</v>
      </c>
      <c r="DF140" s="592">
        <f t="shared" si="1754"/>
        <v>737527</v>
      </c>
      <c r="DG140" s="592">
        <f t="shared" ref="DG140:DU140" si="1761">+DG90</f>
        <v>894881</v>
      </c>
      <c r="DH140" s="592">
        <f t="shared" si="1761"/>
        <v>1142233</v>
      </c>
      <c r="DI140" s="592">
        <f t="shared" si="1761"/>
        <v>1384364</v>
      </c>
      <c r="DJ140" s="592">
        <f t="shared" si="1761"/>
        <v>1372302</v>
      </c>
      <c r="DK140" s="592">
        <f t="shared" si="1761"/>
        <v>2672353</v>
      </c>
      <c r="DL140" s="592">
        <f t="shared" si="1761"/>
        <v>5489417</v>
      </c>
      <c r="DM140" s="592">
        <f t="shared" si="1761"/>
        <v>2848351.31</v>
      </c>
      <c r="DN140" s="592">
        <f t="shared" si="1761"/>
        <v>2532187.1898499997</v>
      </c>
      <c r="DO140" s="592">
        <f t="shared" si="1761"/>
        <v>1926110</v>
      </c>
      <c r="DP140" s="592">
        <f t="shared" ref="DP140:DQ140" si="1762">+DP90</f>
        <v>519500.96207645349</v>
      </c>
      <c r="DQ140" s="592">
        <f t="shared" si="1762"/>
        <v>844609.99730073754</v>
      </c>
      <c r="DR140" s="599">
        <f t="shared" si="1761"/>
        <v>1141127.390235126</v>
      </c>
      <c r="DS140" s="599">
        <f t="shared" si="1761"/>
        <v>1982886.0835547391</v>
      </c>
      <c r="DT140" s="599">
        <f t="shared" si="1761"/>
        <v>2821288.8253240073</v>
      </c>
      <c r="DU140" s="599">
        <f t="shared" si="1761"/>
        <v>3749724.3098203298</v>
      </c>
      <c r="DX140" s="599">
        <v>708902.06157804094</v>
      </c>
      <c r="DY140" s="599">
        <v>1305072.5196300019</v>
      </c>
    </row>
    <row r="141" spans="1:129" s="904" customFormat="1">
      <c r="A141" s="939"/>
      <c r="B141" s="912" t="s">
        <v>450</v>
      </c>
      <c r="C141" s="592">
        <f t="shared" ref="C141:AH141" si="1763">+C91+C97</f>
        <v>0</v>
      </c>
      <c r="D141" s="592">
        <f t="shared" si="1763"/>
        <v>20004</v>
      </c>
      <c r="E141" s="592">
        <f t="shared" si="1763"/>
        <v>21224</v>
      </c>
      <c r="F141" s="592">
        <f t="shared" si="1763"/>
        <v>26587</v>
      </c>
      <c r="G141" s="592">
        <f t="shared" si="1763"/>
        <v>27933</v>
      </c>
      <c r="H141" s="592">
        <f t="shared" si="1763"/>
        <v>28930</v>
      </c>
      <c r="I141" s="592">
        <f t="shared" si="1763"/>
        <v>37110</v>
      </c>
      <c r="J141" s="592">
        <f t="shared" si="1763"/>
        <v>42212</v>
      </c>
      <c r="K141" s="592">
        <f t="shared" si="1763"/>
        <v>14505</v>
      </c>
      <c r="L141" s="592">
        <f t="shared" si="1763"/>
        <v>15364</v>
      </c>
      <c r="M141" s="592">
        <f t="shared" si="1763"/>
        <v>14605</v>
      </c>
      <c r="N141" s="592">
        <f t="shared" si="1763"/>
        <v>15729</v>
      </c>
      <c r="O141" s="592">
        <f t="shared" si="1763"/>
        <v>16197</v>
      </c>
      <c r="P141" s="592">
        <f t="shared" si="1763"/>
        <v>16858</v>
      </c>
      <c r="Q141" s="592">
        <f t="shared" si="1763"/>
        <v>16670</v>
      </c>
      <c r="R141" s="592">
        <f t="shared" si="1763"/>
        <v>17429</v>
      </c>
      <c r="S141" s="592">
        <f t="shared" si="1763"/>
        <v>20464</v>
      </c>
      <c r="T141" s="592">
        <f t="shared" si="1763"/>
        <v>21828</v>
      </c>
      <c r="U141" s="592">
        <f t="shared" si="1763"/>
        <v>23469</v>
      </c>
      <c r="V141" s="592">
        <f t="shared" si="1763"/>
        <v>25307</v>
      </c>
      <c r="W141" s="592">
        <f t="shared" si="1763"/>
        <v>12263</v>
      </c>
      <c r="X141" s="592">
        <f t="shared" si="1763"/>
        <v>12790</v>
      </c>
      <c r="Y141" s="592">
        <f t="shared" si="1763"/>
        <v>12826</v>
      </c>
      <c r="Z141" s="592">
        <f t="shared" si="1763"/>
        <v>9443</v>
      </c>
      <c r="AA141" s="592">
        <f t="shared" si="1763"/>
        <v>9281</v>
      </c>
      <c r="AB141" s="592">
        <f t="shared" si="1763"/>
        <v>9332</v>
      </c>
      <c r="AC141" s="592">
        <f t="shared" si="1763"/>
        <v>9486</v>
      </c>
      <c r="AD141" s="592">
        <f t="shared" si="1763"/>
        <v>9515</v>
      </c>
      <c r="AE141" s="592">
        <f t="shared" si="1763"/>
        <v>9480</v>
      </c>
      <c r="AF141" s="592">
        <f t="shared" si="1763"/>
        <v>10089</v>
      </c>
      <c r="AG141" s="592">
        <f t="shared" si="1763"/>
        <v>6460</v>
      </c>
      <c r="AH141" s="592">
        <f t="shared" si="1763"/>
        <v>6189</v>
      </c>
      <c r="AI141" s="592">
        <f t="shared" ref="AI141:DF141" si="1764">+AI91+AI97</f>
        <v>6598</v>
      </c>
      <c r="AJ141" s="592">
        <f t="shared" si="1764"/>
        <v>6653</v>
      </c>
      <c r="AK141" s="592">
        <f t="shared" si="1764"/>
        <v>6844</v>
      </c>
      <c r="AL141" s="592">
        <f t="shared" si="1764"/>
        <v>7021</v>
      </c>
      <c r="AM141" s="592">
        <f t="shared" si="1764"/>
        <v>6919</v>
      </c>
      <c r="AN141" s="592">
        <f t="shared" si="1764"/>
        <v>7125</v>
      </c>
      <c r="AO141" s="592">
        <f t="shared" si="1764"/>
        <v>7111</v>
      </c>
      <c r="AP141" s="592">
        <f t="shared" si="1764"/>
        <v>6893</v>
      </c>
      <c r="AQ141" s="592">
        <f t="shared" si="1764"/>
        <v>6941</v>
      </c>
      <c r="AR141" s="592">
        <f t="shared" si="1764"/>
        <v>7072</v>
      </c>
      <c r="AS141" s="592">
        <f t="shared" si="1764"/>
        <v>6194</v>
      </c>
      <c r="AT141" s="592">
        <f t="shared" si="1764"/>
        <v>6833</v>
      </c>
      <c r="AU141" s="592">
        <f t="shared" si="1764"/>
        <v>5267</v>
      </c>
      <c r="AV141" s="592">
        <f t="shared" si="1764"/>
        <v>8151</v>
      </c>
      <c r="AW141" s="592">
        <f t="shared" si="1764"/>
        <v>10844</v>
      </c>
      <c r="AX141" s="592">
        <f t="shared" si="1764"/>
        <v>10825</v>
      </c>
      <c r="AY141" s="592">
        <f t="shared" si="1764"/>
        <v>10799</v>
      </c>
      <c r="AZ141" s="910">
        <f t="shared" si="1764"/>
        <v>10481</v>
      </c>
      <c r="BA141" s="592">
        <f t="shared" si="1764"/>
        <v>10293</v>
      </c>
      <c r="BB141" s="592">
        <f t="shared" si="1764"/>
        <v>10444</v>
      </c>
      <c r="BC141" s="592">
        <f t="shared" si="1764"/>
        <v>10524</v>
      </c>
      <c r="BD141" s="592">
        <f t="shared" si="1764"/>
        <v>10583</v>
      </c>
      <c r="BE141" s="592">
        <f t="shared" si="1764"/>
        <v>10615</v>
      </c>
      <c r="BF141" s="592">
        <f t="shared" si="1764"/>
        <v>10521</v>
      </c>
      <c r="BG141" s="592">
        <f t="shared" si="1764"/>
        <v>10012</v>
      </c>
      <c r="BH141" s="592">
        <f t="shared" si="1764"/>
        <v>10007</v>
      </c>
      <c r="BI141" s="592">
        <f t="shared" si="1764"/>
        <v>10091</v>
      </c>
      <c r="BJ141" s="592">
        <f t="shared" si="1764"/>
        <v>0</v>
      </c>
      <c r="BK141" s="592">
        <f t="shared" si="1764"/>
        <v>0</v>
      </c>
      <c r="BL141" s="592">
        <f t="shared" si="1764"/>
        <v>0</v>
      </c>
      <c r="BM141" s="592">
        <f t="shared" si="1764"/>
        <v>0</v>
      </c>
      <c r="BN141" s="592">
        <f t="shared" si="1764"/>
        <v>0</v>
      </c>
      <c r="BO141" s="592">
        <f t="shared" si="1764"/>
        <v>0</v>
      </c>
      <c r="BP141" s="592">
        <f t="shared" si="1764"/>
        <v>0</v>
      </c>
      <c r="BQ141" s="592">
        <f t="shared" si="1764"/>
        <v>0</v>
      </c>
      <c r="BR141" s="592">
        <f t="shared" si="1764"/>
        <v>0</v>
      </c>
      <c r="BS141" s="592">
        <f t="shared" si="1764"/>
        <v>0</v>
      </c>
      <c r="BT141" s="592">
        <f t="shared" si="1764"/>
        <v>0</v>
      </c>
      <c r="BU141" s="592">
        <f t="shared" si="1764"/>
        <v>0</v>
      </c>
      <c r="BV141" s="592">
        <f t="shared" si="1764"/>
        <v>458085</v>
      </c>
      <c r="BW141" s="592">
        <f t="shared" si="1764"/>
        <v>344359</v>
      </c>
      <c r="BX141" s="592">
        <f t="shared" si="1764"/>
        <v>354679</v>
      </c>
      <c r="BY141" s="592">
        <f t="shared" si="1764"/>
        <v>466108</v>
      </c>
      <c r="BZ141" s="592">
        <f t="shared" si="1764"/>
        <v>655130.68980000005</v>
      </c>
      <c r="CA141" s="592">
        <f t="shared" si="1764"/>
        <v>553724</v>
      </c>
      <c r="CB141" s="592">
        <f t="shared" si="1764"/>
        <v>581479</v>
      </c>
      <c r="CC141" s="592">
        <f t="shared" si="1764"/>
        <v>625935</v>
      </c>
      <c r="CD141" s="592">
        <f t="shared" ref="CD141" si="1765">+CD91+CD97</f>
        <v>571654.81015000003</v>
      </c>
      <c r="CE141" s="592">
        <f t="shared" ref="CE141" si="1766">+CE91+CE97</f>
        <v>468663.18929999997</v>
      </c>
      <c r="CF141" s="592">
        <f t="shared" ref="CF141:CH141" si="1767">+CF91+CF97</f>
        <v>569157</v>
      </c>
      <c r="CG141" s="592">
        <f t="shared" si="1767"/>
        <v>795234</v>
      </c>
      <c r="CH141" s="592">
        <f t="shared" si="1767"/>
        <v>845197</v>
      </c>
      <c r="CI141" s="592">
        <f t="shared" ref="CI141:CJ141" si="1768">+CI91+CI97</f>
        <v>715237</v>
      </c>
      <c r="CJ141" s="592">
        <f t="shared" si="1768"/>
        <v>957314</v>
      </c>
      <c r="CK141" s="592">
        <f t="shared" ref="CK141" si="1769">+CK91+CK97</f>
        <v>767289</v>
      </c>
      <c r="CL141" s="941">
        <f t="shared" ref="CL141:CP141" si="1770">+CL91+CL97</f>
        <v>767289</v>
      </c>
      <c r="CM141" s="941">
        <f t="shared" si="1770"/>
        <v>767289</v>
      </c>
      <c r="CN141" s="941">
        <f t="shared" si="1770"/>
        <v>767289</v>
      </c>
      <c r="CO141" s="941">
        <f t="shared" si="1770"/>
        <v>767289</v>
      </c>
      <c r="CP141" s="941">
        <f t="shared" si="1770"/>
        <v>767289</v>
      </c>
      <c r="CQ141" s="941"/>
      <c r="CR141" s="941">
        <v>767289</v>
      </c>
      <c r="CT141" s="592"/>
      <c r="CU141" s="592">
        <f t="shared" si="1764"/>
        <v>0</v>
      </c>
      <c r="CV141" s="592"/>
      <c r="CW141" s="592">
        <f t="shared" si="1764"/>
        <v>0</v>
      </c>
      <c r="CX141" s="592">
        <f t="shared" si="1764"/>
        <v>17429</v>
      </c>
      <c r="CY141" s="592">
        <f t="shared" si="1764"/>
        <v>25307</v>
      </c>
      <c r="CZ141" s="592">
        <f t="shared" si="1764"/>
        <v>9443</v>
      </c>
      <c r="DA141" s="592">
        <f t="shared" si="1764"/>
        <v>9515</v>
      </c>
      <c r="DB141" s="592">
        <f t="shared" si="1764"/>
        <v>6189</v>
      </c>
      <c r="DC141" s="592">
        <f t="shared" si="1764"/>
        <v>7021</v>
      </c>
      <c r="DD141" s="592">
        <f t="shared" si="1764"/>
        <v>6893</v>
      </c>
      <c r="DE141" s="592">
        <f t="shared" si="1764"/>
        <v>6833</v>
      </c>
      <c r="DF141" s="592">
        <f t="shared" si="1764"/>
        <v>10825</v>
      </c>
      <c r="DG141" s="592">
        <f t="shared" ref="DG141:DU141" si="1771">+DG91+DG97</f>
        <v>10444</v>
      </c>
      <c r="DH141" s="592">
        <f t="shared" si="1771"/>
        <v>10521</v>
      </c>
      <c r="DI141" s="592">
        <f t="shared" si="1771"/>
        <v>0</v>
      </c>
      <c r="DJ141" s="592">
        <f t="shared" si="1771"/>
        <v>0</v>
      </c>
      <c r="DK141" s="592">
        <f t="shared" si="1771"/>
        <v>0</v>
      </c>
      <c r="DL141" s="592">
        <f t="shared" si="1771"/>
        <v>458085</v>
      </c>
      <c r="DM141" s="592">
        <f t="shared" si="1771"/>
        <v>655130.68980000005</v>
      </c>
      <c r="DN141" s="592">
        <f t="shared" si="1771"/>
        <v>571654.81015000003</v>
      </c>
      <c r="DO141" s="592">
        <f t="shared" si="1771"/>
        <v>845197</v>
      </c>
      <c r="DP141" s="592">
        <f t="shared" ref="DP141:DQ141" si="1772">+DP91+DP97</f>
        <v>767289</v>
      </c>
      <c r="DQ141" s="592">
        <f t="shared" si="1772"/>
        <v>767289</v>
      </c>
      <c r="DR141" s="599">
        <f t="shared" si="1771"/>
        <v>767289</v>
      </c>
      <c r="DS141" s="599">
        <f t="shared" si="1771"/>
        <v>767289</v>
      </c>
      <c r="DT141" s="599">
        <f t="shared" si="1771"/>
        <v>767289</v>
      </c>
      <c r="DU141" s="599">
        <f t="shared" si="1771"/>
        <v>767289</v>
      </c>
      <c r="DX141" s="599">
        <v>767289</v>
      </c>
      <c r="DY141" s="599">
        <v>767289</v>
      </c>
    </row>
    <row r="142" spans="1:129" s="904" customFormat="1">
      <c r="A142" s="939"/>
      <c r="B142" s="912" t="s">
        <v>451</v>
      </c>
      <c r="C142" s="592">
        <f t="shared" ref="C142:BN142" si="1773">+C111+C120+C113+C121</f>
        <v>0</v>
      </c>
      <c r="D142" s="592">
        <f t="shared" si="1773"/>
        <v>312019</v>
      </c>
      <c r="E142" s="592">
        <f t="shared" si="1773"/>
        <v>293525</v>
      </c>
      <c r="F142" s="592">
        <f t="shared" si="1773"/>
        <v>270645</v>
      </c>
      <c r="G142" s="592">
        <f t="shared" si="1773"/>
        <v>317371</v>
      </c>
      <c r="H142" s="592">
        <f t="shared" si="1773"/>
        <v>262615</v>
      </c>
      <c r="I142" s="592">
        <f t="shared" si="1773"/>
        <v>88329</v>
      </c>
      <c r="J142" s="592">
        <f t="shared" si="1773"/>
        <v>63181</v>
      </c>
      <c r="K142" s="592">
        <f t="shared" si="1773"/>
        <v>91799</v>
      </c>
      <c r="L142" s="592">
        <f t="shared" si="1773"/>
        <v>93907</v>
      </c>
      <c r="M142" s="592">
        <f t="shared" si="1773"/>
        <v>94065</v>
      </c>
      <c r="N142" s="592">
        <f t="shared" si="1773"/>
        <v>93365</v>
      </c>
      <c r="O142" s="592">
        <f t="shared" si="1773"/>
        <v>100884</v>
      </c>
      <c r="P142" s="592">
        <f t="shared" si="1773"/>
        <v>106188</v>
      </c>
      <c r="Q142" s="592">
        <f t="shared" si="1773"/>
        <v>129693</v>
      </c>
      <c r="R142" s="592">
        <f t="shared" si="1773"/>
        <v>280559</v>
      </c>
      <c r="S142" s="592">
        <f t="shared" si="1773"/>
        <v>110910</v>
      </c>
      <c r="T142" s="592">
        <f t="shared" si="1773"/>
        <v>165425</v>
      </c>
      <c r="U142" s="592">
        <f t="shared" si="1773"/>
        <v>159740</v>
      </c>
      <c r="V142" s="592">
        <f t="shared" si="1773"/>
        <v>347570</v>
      </c>
      <c r="W142" s="592">
        <f t="shared" si="1773"/>
        <v>277782</v>
      </c>
      <c r="X142" s="592">
        <f t="shared" si="1773"/>
        <v>315146</v>
      </c>
      <c r="Y142" s="592">
        <f t="shared" si="1773"/>
        <v>315811</v>
      </c>
      <c r="Z142" s="592">
        <f t="shared" si="1773"/>
        <v>417688</v>
      </c>
      <c r="AA142" s="592">
        <f t="shared" si="1773"/>
        <v>414980</v>
      </c>
      <c r="AB142" s="592">
        <f t="shared" si="1773"/>
        <v>435191</v>
      </c>
      <c r="AC142" s="592">
        <f t="shared" si="1773"/>
        <v>417187</v>
      </c>
      <c r="AD142" s="592">
        <f t="shared" si="1773"/>
        <v>315841</v>
      </c>
      <c r="AE142" s="592">
        <f t="shared" si="1773"/>
        <v>175967</v>
      </c>
      <c r="AF142" s="592">
        <f t="shared" si="1773"/>
        <v>175806</v>
      </c>
      <c r="AG142" s="592">
        <f t="shared" si="1773"/>
        <v>560166</v>
      </c>
      <c r="AH142" s="592">
        <f t="shared" si="1773"/>
        <v>494492</v>
      </c>
      <c r="AI142" s="592">
        <f t="shared" si="1773"/>
        <v>582636</v>
      </c>
      <c r="AJ142" s="592">
        <f t="shared" si="1773"/>
        <v>619823</v>
      </c>
      <c r="AK142" s="592">
        <f t="shared" si="1773"/>
        <v>988175</v>
      </c>
      <c r="AL142" s="592">
        <f t="shared" si="1773"/>
        <v>1315407</v>
      </c>
      <c r="AM142" s="592">
        <f t="shared" si="1773"/>
        <v>1327404</v>
      </c>
      <c r="AN142" s="592">
        <f t="shared" si="1773"/>
        <v>1438820</v>
      </c>
      <c r="AO142" s="592">
        <f t="shared" si="1773"/>
        <v>1873404</v>
      </c>
      <c r="AP142" s="592">
        <f t="shared" si="1773"/>
        <v>1782445</v>
      </c>
      <c r="AQ142" s="592">
        <f t="shared" si="1773"/>
        <v>1811849</v>
      </c>
      <c r="AR142" s="592">
        <f t="shared" si="1773"/>
        <v>1906061</v>
      </c>
      <c r="AS142" s="592">
        <f t="shared" si="1773"/>
        <v>1831288</v>
      </c>
      <c r="AT142" s="592">
        <f t="shared" si="1773"/>
        <v>1955006</v>
      </c>
      <c r="AU142" s="592">
        <f t="shared" si="1773"/>
        <v>1998859</v>
      </c>
      <c r="AV142" s="592">
        <f t="shared" si="1773"/>
        <v>2055598</v>
      </c>
      <c r="AW142" s="592">
        <f t="shared" si="1773"/>
        <v>1926540</v>
      </c>
      <c r="AX142" s="592">
        <f t="shared" si="1773"/>
        <v>1903012</v>
      </c>
      <c r="AY142" s="592">
        <f t="shared" si="1773"/>
        <v>2013058</v>
      </c>
      <c r="AZ142" s="592">
        <f t="shared" si="1773"/>
        <v>2081033</v>
      </c>
      <c r="BA142" s="592">
        <f t="shared" si="1773"/>
        <v>1890140</v>
      </c>
      <c r="BB142" s="592">
        <f t="shared" si="1773"/>
        <v>1875920</v>
      </c>
      <c r="BC142" s="592">
        <f t="shared" si="1773"/>
        <v>2080317</v>
      </c>
      <c r="BD142" s="592">
        <f t="shared" si="1773"/>
        <v>2148431</v>
      </c>
      <c r="BE142" s="592">
        <f t="shared" si="1773"/>
        <v>1772702</v>
      </c>
      <c r="BF142" s="592">
        <f t="shared" si="1773"/>
        <v>1870816</v>
      </c>
      <c r="BG142" s="592">
        <f t="shared" si="1773"/>
        <v>1873254</v>
      </c>
      <c r="BH142" s="592">
        <f t="shared" si="1773"/>
        <v>1926302</v>
      </c>
      <c r="BI142" s="592">
        <f t="shared" si="1773"/>
        <v>1787824</v>
      </c>
      <c r="BJ142" s="592">
        <f t="shared" si="1773"/>
        <v>1923588</v>
      </c>
      <c r="BK142" s="592">
        <f t="shared" si="1773"/>
        <v>2074091</v>
      </c>
      <c r="BL142" s="592">
        <f t="shared" si="1773"/>
        <v>1807589</v>
      </c>
      <c r="BM142" s="592">
        <f t="shared" si="1773"/>
        <v>1697718</v>
      </c>
      <c r="BN142" s="592">
        <f t="shared" si="1773"/>
        <v>1645029</v>
      </c>
      <c r="BO142" s="592">
        <f t="shared" ref="BO142:CH142" si="1774">+BO111+BO120+BO113+BO121</f>
        <v>2511835</v>
      </c>
      <c r="BP142" s="592">
        <f t="shared" si="1774"/>
        <v>3455434</v>
      </c>
      <c r="BQ142" s="592">
        <f t="shared" si="1774"/>
        <v>3033944</v>
      </c>
      <c r="BR142" s="592">
        <f t="shared" si="1774"/>
        <v>3384979</v>
      </c>
      <c r="BS142" s="592">
        <f t="shared" si="1774"/>
        <v>3847532</v>
      </c>
      <c r="BT142" s="592">
        <f t="shared" si="1774"/>
        <v>3388887</v>
      </c>
      <c r="BU142" s="592">
        <f t="shared" si="1774"/>
        <v>3369300</v>
      </c>
      <c r="BV142" s="592">
        <f t="shared" si="1774"/>
        <v>3467102</v>
      </c>
      <c r="BW142" s="592">
        <f t="shared" si="1774"/>
        <v>3687274</v>
      </c>
      <c r="BX142" s="592">
        <f t="shared" si="1774"/>
        <v>3442332</v>
      </c>
      <c r="BY142" s="592">
        <f t="shared" si="1774"/>
        <v>3407704</v>
      </c>
      <c r="BZ142" s="592">
        <f t="shared" si="1774"/>
        <v>2405375</v>
      </c>
      <c r="CA142" s="592">
        <f t="shared" si="1774"/>
        <v>2391319</v>
      </c>
      <c r="CB142" s="592">
        <f t="shared" si="1774"/>
        <v>2326583</v>
      </c>
      <c r="CC142" s="592">
        <f t="shared" si="1774"/>
        <v>2160817</v>
      </c>
      <c r="CD142" s="592">
        <f t="shared" si="1774"/>
        <v>1926900</v>
      </c>
      <c r="CE142" s="592">
        <f t="shared" si="1774"/>
        <v>1414575</v>
      </c>
      <c r="CF142" s="592">
        <f t="shared" si="1774"/>
        <v>1255009</v>
      </c>
      <c r="CG142" s="592">
        <f t="shared" si="1774"/>
        <v>1186085</v>
      </c>
      <c r="CH142" s="592">
        <f t="shared" si="1774"/>
        <v>945500</v>
      </c>
      <c r="CI142" s="592">
        <f>+CI111+CI120+CI113+CI121</f>
        <v>424456</v>
      </c>
      <c r="CJ142" s="592">
        <f t="shared" ref="CJ142:CL142" si="1775">+CJ111+CJ120+CJ113+CJ121</f>
        <v>590597</v>
      </c>
      <c r="CK142" s="592">
        <f t="shared" si="1775"/>
        <v>373879</v>
      </c>
      <c r="CL142" s="592">
        <f t="shared" si="1775"/>
        <v>373879</v>
      </c>
      <c r="CM142" s="592">
        <f t="shared" ref="CM142:CP142" si="1776">+CM111+CM120+CM113+CM121</f>
        <v>373879</v>
      </c>
      <c r="CN142" s="592">
        <f t="shared" si="1776"/>
        <v>373879</v>
      </c>
      <c r="CO142" s="592">
        <f t="shared" si="1776"/>
        <v>373879</v>
      </c>
      <c r="CP142" s="592">
        <f t="shared" si="1776"/>
        <v>373879</v>
      </c>
      <c r="CQ142" s="941"/>
      <c r="CR142" s="941">
        <v>373879</v>
      </c>
      <c r="CT142" s="592"/>
      <c r="CU142" s="592">
        <f t="shared" ref="CU142:DE142" si="1777">+CU111+CU120</f>
        <v>0</v>
      </c>
      <c r="CV142" s="592"/>
      <c r="CW142" s="592">
        <f t="shared" si="1777"/>
        <v>0</v>
      </c>
      <c r="CX142" s="592">
        <f t="shared" si="1777"/>
        <v>280559</v>
      </c>
      <c r="CY142" s="592">
        <f t="shared" si="1777"/>
        <v>347570</v>
      </c>
      <c r="CZ142" s="592">
        <f t="shared" si="1777"/>
        <v>417688</v>
      </c>
      <c r="DA142" s="592">
        <f t="shared" si="1777"/>
        <v>315841</v>
      </c>
      <c r="DB142" s="592">
        <f t="shared" si="1777"/>
        <v>494492</v>
      </c>
      <c r="DC142" s="592">
        <f t="shared" si="1777"/>
        <v>1315407</v>
      </c>
      <c r="DD142" s="592">
        <f t="shared" si="1777"/>
        <v>1782445</v>
      </c>
      <c r="DE142" s="592">
        <f t="shared" si="1777"/>
        <v>1955006</v>
      </c>
      <c r="DF142" s="592">
        <f t="shared" ref="DF142:DU142" si="1778">+DF111+DF120+DF113+DF121</f>
        <v>1903012</v>
      </c>
      <c r="DG142" s="592">
        <f t="shared" si="1778"/>
        <v>1875920</v>
      </c>
      <c r="DH142" s="592">
        <f t="shared" si="1778"/>
        <v>1870816</v>
      </c>
      <c r="DI142" s="592">
        <f t="shared" si="1778"/>
        <v>1923588</v>
      </c>
      <c r="DJ142" s="592">
        <f t="shared" si="1778"/>
        <v>1645029</v>
      </c>
      <c r="DK142" s="592">
        <f t="shared" si="1778"/>
        <v>3384979</v>
      </c>
      <c r="DL142" s="592">
        <f t="shared" si="1778"/>
        <v>3467102</v>
      </c>
      <c r="DM142" s="592">
        <f t="shared" si="1778"/>
        <v>2405375</v>
      </c>
      <c r="DN142" s="592">
        <f t="shared" si="1778"/>
        <v>1926900</v>
      </c>
      <c r="DO142" s="592">
        <f t="shared" si="1778"/>
        <v>945500</v>
      </c>
      <c r="DP142" s="592">
        <f t="shared" si="1778"/>
        <v>373879</v>
      </c>
      <c r="DQ142" s="592">
        <f t="shared" ref="DQ142" si="1779">+DQ111+DQ120+DQ113+DQ121</f>
        <v>373879</v>
      </c>
      <c r="DR142" s="592">
        <f t="shared" si="1778"/>
        <v>373879</v>
      </c>
      <c r="DS142" s="592">
        <f t="shared" si="1778"/>
        <v>373879</v>
      </c>
      <c r="DT142" s="592">
        <f t="shared" si="1778"/>
        <v>373879</v>
      </c>
      <c r="DU142" s="592">
        <f t="shared" si="1778"/>
        <v>373879</v>
      </c>
      <c r="DX142" s="599">
        <v>373879</v>
      </c>
      <c r="DY142" s="599">
        <v>373879</v>
      </c>
    </row>
    <row r="143" spans="1:129" s="1428" customFormat="1">
      <c r="A143" s="1422"/>
      <c r="B143" s="1423" t="s">
        <v>452</v>
      </c>
      <c r="C143" s="1424" t="e">
        <f>+C144+C145+C146+C147-C150-#REF!</f>
        <v>#REF!</v>
      </c>
      <c r="D143" s="1424" t="e">
        <f>+D144+D145+D146+D147-D150-#REF!</f>
        <v>#REF!</v>
      </c>
      <c r="E143" s="1424" t="e">
        <f>+E144+E145+E146+E147-E150-#REF!</f>
        <v>#REF!</v>
      </c>
      <c r="F143" s="1424" t="e">
        <f>+F144+F145+F146+F147-F150-#REF!</f>
        <v>#REF!</v>
      </c>
      <c r="G143" s="1424" t="e">
        <f>+G144+G145+G146+G147-G150-#REF!</f>
        <v>#REF!</v>
      </c>
      <c r="H143" s="1424" t="e">
        <f>+H144+H145+H146+H147-H150-#REF!</f>
        <v>#REF!</v>
      </c>
      <c r="I143" s="1424" t="e">
        <f>+I144+I145+I146+I147-I150-#REF!</f>
        <v>#REF!</v>
      </c>
      <c r="J143" s="1424" t="e">
        <f>+J144+J145+J146+J147-J150-#REF!</f>
        <v>#REF!</v>
      </c>
      <c r="K143" s="1424" t="e">
        <f>+K144+K145+K146+K147-K150-#REF!</f>
        <v>#REF!</v>
      </c>
      <c r="L143" s="1424" t="e">
        <f>+L144+L145+L146+L147-L150-#REF!</f>
        <v>#REF!</v>
      </c>
      <c r="M143" s="1424" t="e">
        <f>+M144+M145+M146+M147-M150-#REF!</f>
        <v>#REF!</v>
      </c>
      <c r="N143" s="1424" t="e">
        <f>+N144+N145+N146+N147-N150-#REF!</f>
        <v>#REF!</v>
      </c>
      <c r="O143" s="1424" t="e">
        <f>+O144+O145+O146+O147-O150-#REF!</f>
        <v>#REF!</v>
      </c>
      <c r="P143" s="1424" t="e">
        <f>+P144+P145+P146+P147-P150-#REF!</f>
        <v>#REF!</v>
      </c>
      <c r="Q143" s="1424" t="e">
        <f>+Q144+Q145+Q146+Q147-Q150-#REF!</f>
        <v>#REF!</v>
      </c>
      <c r="R143" s="1424" t="e">
        <f>+R144+R145+R146+R147-R150-#REF!</f>
        <v>#REF!</v>
      </c>
      <c r="S143" s="1424" t="e">
        <f>+S144+S145+S146+S147-S150-#REF!</f>
        <v>#REF!</v>
      </c>
      <c r="T143" s="1424" t="e">
        <f>+T144+T145+T146+T147-T150-#REF!</f>
        <v>#REF!</v>
      </c>
      <c r="U143" s="1424" t="e">
        <f>+U144+U145+U146+U147-U150-#REF!</f>
        <v>#REF!</v>
      </c>
      <c r="V143" s="1424" t="e">
        <f>+V144+V145+V146+V147-V150-#REF!</f>
        <v>#REF!</v>
      </c>
      <c r="W143" s="1424" t="e">
        <f>+W144+W145+W146+W147-W150-#REF!</f>
        <v>#REF!</v>
      </c>
      <c r="X143" s="1424" t="e">
        <f>+X144+X145+X146+X147-X150-#REF!</f>
        <v>#REF!</v>
      </c>
      <c r="Y143" s="1424" t="e">
        <f>+Y144+Y145+Y146+Y147-Y150-#REF!</f>
        <v>#REF!</v>
      </c>
      <c r="Z143" s="1424" t="e">
        <f>+Z144+Z145+Z146+Z147-Z150-#REF!</f>
        <v>#REF!</v>
      </c>
      <c r="AA143" s="1424" t="e">
        <f>+AA144+AA145+AA146+AA147-AA150-#REF!</f>
        <v>#REF!</v>
      </c>
      <c r="AB143" s="1424" t="e">
        <f>+AB144+AB145+AB146+AB147-AB150-#REF!</f>
        <v>#REF!</v>
      </c>
      <c r="AC143" s="1424" t="e">
        <f>+AC144+AC145+AC146+AC147-AC150-#REF!</f>
        <v>#REF!</v>
      </c>
      <c r="AD143" s="1424" t="e">
        <f>+AD144+AD145+AD146+AD147-AD150-#REF!</f>
        <v>#REF!</v>
      </c>
      <c r="AE143" s="1424" t="e">
        <f>+AE144+AE145+AE146+AE147-AE150-#REF!</f>
        <v>#REF!</v>
      </c>
      <c r="AF143" s="1424" t="e">
        <f>+AF144+AF145+AF146+AF147-AF150-#REF!</f>
        <v>#REF!</v>
      </c>
      <c r="AG143" s="1424" t="e">
        <f>+AG144+AG145+AG146+AG147-AG150-#REF!</f>
        <v>#REF!</v>
      </c>
      <c r="AH143" s="1424" t="e">
        <f>+AH144+AH145+AH146+AH147-AH150-#REF!</f>
        <v>#REF!</v>
      </c>
      <c r="AI143" s="1424" t="e">
        <f>+AI144+AI145+AI146+AI147-AI150-#REF!</f>
        <v>#REF!</v>
      </c>
      <c r="AJ143" s="1424" t="e">
        <f>+AJ144+AJ145+AJ146+AJ147-AJ150-#REF!</f>
        <v>#REF!</v>
      </c>
      <c r="AK143" s="1424" t="e">
        <f>+AK144+AK145+AK146+AK147-AK150-#REF!</f>
        <v>#REF!</v>
      </c>
      <c r="AL143" s="1424" t="e">
        <f>+AL144+AL145+AL146+AL147-AL150-#REF!</f>
        <v>#REF!</v>
      </c>
      <c r="AM143" s="1424" t="e">
        <f>+AM144+AM145+AM146+AM147-AM150-#REF!</f>
        <v>#REF!</v>
      </c>
      <c r="AN143" s="1424" t="e">
        <f>+AN144+AN145+AN146+AN147-AN150-#REF!</f>
        <v>#REF!</v>
      </c>
      <c r="AO143" s="1424" t="e">
        <f>+AO144+AO145+AO146+AO147-AO150-#REF!</f>
        <v>#REF!</v>
      </c>
      <c r="AP143" s="1424" t="e">
        <f>+AP144+AP145+AP146+AP147-AP150-#REF!</f>
        <v>#REF!</v>
      </c>
      <c r="AQ143" s="1424" t="e">
        <f>+AQ144+AQ145+AQ146+AQ147-AQ150-#REF!</f>
        <v>#REF!</v>
      </c>
      <c r="AR143" s="1424" t="e">
        <f>+AR144+AR145+AR146+AR147-AR150-#REF!</f>
        <v>#REF!</v>
      </c>
      <c r="AS143" s="1424" t="e">
        <f>+AS144+AS145+AS146+AS147-AS150-#REF!</f>
        <v>#REF!</v>
      </c>
      <c r="AT143" s="1424" t="e">
        <f>+AT144+AT145+AT146+AT147-AT150-#REF!</f>
        <v>#REF!</v>
      </c>
      <c r="AU143" s="1424">
        <f t="shared" ref="AU143:CC143" si="1780">+AU144+AU145+AU146+AU147-AU148-AU150+AU149</f>
        <v>2001172</v>
      </c>
      <c r="AV143" s="1424">
        <f t="shared" si="1780"/>
        <v>1926061</v>
      </c>
      <c r="AW143" s="1424">
        <f t="shared" si="1780"/>
        <v>2156076</v>
      </c>
      <c r="AX143" s="1424">
        <f t="shared" si="1780"/>
        <v>2325007</v>
      </c>
      <c r="AY143" s="1424">
        <f t="shared" si="1780"/>
        <v>2275122</v>
      </c>
      <c r="AZ143" s="1425">
        <f t="shared" si="1780"/>
        <v>2169526</v>
      </c>
      <c r="BA143" s="1424">
        <f t="shared" si="1780"/>
        <v>2277462</v>
      </c>
      <c r="BB143" s="1424">
        <f t="shared" si="1780"/>
        <v>2593849</v>
      </c>
      <c r="BC143" s="1424">
        <f t="shared" si="1780"/>
        <v>2676298</v>
      </c>
      <c r="BD143" s="1424">
        <f t="shared" si="1780"/>
        <v>2711293</v>
      </c>
      <c r="BE143" s="1424">
        <f t="shared" si="1780"/>
        <v>2815213</v>
      </c>
      <c r="BF143" s="1424">
        <f t="shared" si="1780"/>
        <v>3138396</v>
      </c>
      <c r="BG143" s="1424">
        <f t="shared" si="1780"/>
        <v>3223106</v>
      </c>
      <c r="BH143" s="1424">
        <f t="shared" si="1780"/>
        <v>3269980</v>
      </c>
      <c r="BI143" s="1424">
        <f t="shared" si="1780"/>
        <v>3502109</v>
      </c>
      <c r="BJ143" s="1424">
        <f t="shared" si="1780"/>
        <v>3967887</v>
      </c>
      <c r="BK143" s="1424">
        <f t="shared" si="1780"/>
        <v>3958752</v>
      </c>
      <c r="BL143" s="1424">
        <f t="shared" si="1780"/>
        <v>3745729</v>
      </c>
      <c r="BM143" s="1424">
        <f t="shared" si="1780"/>
        <v>4013565</v>
      </c>
      <c r="BN143" s="1424">
        <f t="shared" si="1780"/>
        <v>4634404</v>
      </c>
      <c r="BO143" s="1424">
        <f t="shared" si="1780"/>
        <v>4552678</v>
      </c>
      <c r="BP143" s="1424">
        <f t="shared" si="1780"/>
        <v>4753739</v>
      </c>
      <c r="BQ143" s="1424">
        <f t="shared" si="1780"/>
        <v>4750337</v>
      </c>
      <c r="BR143" s="1424">
        <f t="shared" si="1780"/>
        <v>5163996</v>
      </c>
      <c r="BS143" s="1424">
        <f t="shared" si="1780"/>
        <v>4825656</v>
      </c>
      <c r="BT143" s="1424">
        <f t="shared" si="1780"/>
        <v>8826565</v>
      </c>
      <c r="BU143" s="1424">
        <f t="shared" si="1780"/>
        <v>8975631</v>
      </c>
      <c r="BV143" s="1424">
        <f t="shared" si="1780"/>
        <v>9429153</v>
      </c>
      <c r="BW143" s="1424">
        <f t="shared" si="1780"/>
        <v>9606587</v>
      </c>
      <c r="BX143" s="1424">
        <f t="shared" si="1780"/>
        <v>9350379</v>
      </c>
      <c r="BY143" s="1424">
        <f t="shared" si="1780"/>
        <v>9317929</v>
      </c>
      <c r="BZ143" s="1424">
        <f t="shared" si="1780"/>
        <v>9605096</v>
      </c>
      <c r="CA143" s="1424">
        <f t="shared" si="1780"/>
        <v>9092187</v>
      </c>
      <c r="CB143" s="1424">
        <f t="shared" si="1780"/>
        <v>9314304</v>
      </c>
      <c r="CC143" s="1424">
        <f t="shared" si="1780"/>
        <v>9343088</v>
      </c>
      <c r="CD143" s="1424">
        <f>+CD144+CD145+CD146+CD147-CD148-CD150+CD149</f>
        <v>9471489</v>
      </c>
      <c r="CE143" s="1424">
        <f t="shared" ref="CE143" si="1781">+CE144+CE145+CE146+CE147-CE148-CE150+CE149</f>
        <v>9264833</v>
      </c>
      <c r="CF143" s="1424">
        <f t="shared" ref="CF143:CH143" si="1782">+CF144+CF145+CF146+CF147-CF148-CF150+CF149</f>
        <v>9516980</v>
      </c>
      <c r="CG143" s="1424">
        <f t="shared" si="1782"/>
        <v>9704345</v>
      </c>
      <c r="CH143" s="1424">
        <f t="shared" si="1782"/>
        <v>10079394</v>
      </c>
      <c r="CI143" s="1424">
        <f t="shared" ref="CI143:CJ143" si="1783">+CI144+CI145+CI146+CI147-CI148-CI150+CI149</f>
        <v>9556035</v>
      </c>
      <c r="CJ143" s="1424">
        <f t="shared" si="1783"/>
        <v>9741619</v>
      </c>
      <c r="CK143" s="1424">
        <f t="shared" ref="CK143" si="1784">+CK144+CK145+CK146+CK147-CK148-CK150+CK149</f>
        <v>9806850</v>
      </c>
      <c r="CL143" s="1426">
        <f t="shared" ref="CL143:CP143" si="1785">+CL144+CL145+CL146+CL147-CL148-CL150+CL149</f>
        <v>9957903.5763585828</v>
      </c>
      <c r="CM143" s="1426">
        <f t="shared" si="1785"/>
        <v>9943924.1133292522</v>
      </c>
      <c r="CN143" s="1426">
        <f t="shared" si="1785"/>
        <v>10095881.571720473</v>
      </c>
      <c r="CO143" s="1426">
        <f t="shared" si="1785"/>
        <v>10135792.466717105</v>
      </c>
      <c r="CP143" s="1426">
        <f t="shared" si="1785"/>
        <v>10553309.710611537</v>
      </c>
      <c r="CQ143" s="1426"/>
      <c r="CR143" s="1426">
        <v>9957903.5763585828</v>
      </c>
      <c r="CT143" s="1424"/>
      <c r="CU143" s="1424">
        <f t="shared" ref="CU143:DE143" si="1786">+CU144+CU145+CU146+CU147-CU150+CU149</f>
        <v>0</v>
      </c>
      <c r="CV143" s="1424"/>
      <c r="CW143" s="1424">
        <f t="shared" si="1786"/>
        <v>0</v>
      </c>
      <c r="CX143" s="1424">
        <f t="shared" si="1786"/>
        <v>674643</v>
      </c>
      <c r="CY143" s="1424">
        <f t="shared" si="1786"/>
        <v>745140</v>
      </c>
      <c r="CZ143" s="1424">
        <f t="shared" si="1786"/>
        <v>882491</v>
      </c>
      <c r="DA143" s="1424">
        <f t="shared" si="1786"/>
        <v>1090842</v>
      </c>
      <c r="DB143" s="1424">
        <f t="shared" si="1786"/>
        <v>1201286</v>
      </c>
      <c r="DC143" s="1424">
        <f t="shared" si="1786"/>
        <v>1330021</v>
      </c>
      <c r="DD143" s="1424" t="e">
        <f t="shared" si="1786"/>
        <v>#REF!</v>
      </c>
      <c r="DE143" s="1424">
        <f t="shared" si="1786"/>
        <v>1866409</v>
      </c>
      <c r="DF143" s="1424">
        <f t="shared" ref="DF143:DU143" si="1787">+DF144+DF145+DF146+DF147-DF148-DF150+DF149</f>
        <v>2325007</v>
      </c>
      <c r="DG143" s="1424">
        <f t="shared" si="1787"/>
        <v>2593849</v>
      </c>
      <c r="DH143" s="1424">
        <f t="shared" si="1787"/>
        <v>3138396</v>
      </c>
      <c r="DI143" s="1424">
        <f t="shared" si="1787"/>
        <v>3967887</v>
      </c>
      <c r="DJ143" s="1424">
        <f t="shared" si="1787"/>
        <v>4559005</v>
      </c>
      <c r="DK143" s="1424">
        <f t="shared" si="1787"/>
        <v>5065509</v>
      </c>
      <c r="DL143" s="1424">
        <f t="shared" si="1787"/>
        <v>9429153</v>
      </c>
      <c r="DM143" s="1424">
        <f t="shared" si="1787"/>
        <v>9605096</v>
      </c>
      <c r="DN143" s="1424">
        <f t="shared" si="1787"/>
        <v>9471489</v>
      </c>
      <c r="DO143" s="1424">
        <f t="shared" si="1787"/>
        <v>10079394</v>
      </c>
      <c r="DP143" s="1424">
        <f t="shared" ref="DP143:DQ143" si="1788">+DP144+DP145+DP146+DP147-DP148-DP150+DP149</f>
        <v>9957903.5763585828</v>
      </c>
      <c r="DQ143" s="1424">
        <f t="shared" si="1788"/>
        <v>10553309.710611537</v>
      </c>
      <c r="DR143" s="1427">
        <f t="shared" si="1787"/>
        <v>11333000.859004423</v>
      </c>
      <c r="DS143" s="1427">
        <f t="shared" si="1787"/>
        <v>12651589.775197584</v>
      </c>
      <c r="DT143" s="1427">
        <f t="shared" si="1787"/>
        <v>14030641.856110711</v>
      </c>
      <c r="DU143" s="1427">
        <f t="shared" si="1787"/>
        <v>15559692.577688448</v>
      </c>
      <c r="DX143" s="1427">
        <v>10648829.781278715</v>
      </c>
      <c r="DY143" s="1427">
        <v>11789050.910312418</v>
      </c>
    </row>
    <row r="144" spans="1:129" s="904" customFormat="1">
      <c r="A144" s="939"/>
      <c r="B144" s="912" t="s">
        <v>439</v>
      </c>
      <c r="C144" s="592">
        <f t="shared" ref="C144:AH144" si="1789">+C126</f>
        <v>0</v>
      </c>
      <c r="D144" s="592">
        <f t="shared" si="1789"/>
        <v>90736</v>
      </c>
      <c r="E144" s="592">
        <f t="shared" si="1789"/>
        <v>110790</v>
      </c>
      <c r="F144" s="592">
        <f t="shared" si="1789"/>
        <v>148334</v>
      </c>
      <c r="G144" s="592">
        <f t="shared" si="1789"/>
        <v>150841</v>
      </c>
      <c r="H144" s="592">
        <f t="shared" si="1789"/>
        <v>195046</v>
      </c>
      <c r="I144" s="592">
        <f t="shared" si="1789"/>
        <v>537558</v>
      </c>
      <c r="J144" s="592">
        <f t="shared" si="1789"/>
        <v>517579</v>
      </c>
      <c r="K144" s="592">
        <f t="shared" si="1789"/>
        <v>531048</v>
      </c>
      <c r="L144" s="592">
        <f t="shared" si="1789"/>
        <v>553921</v>
      </c>
      <c r="M144" s="592">
        <f t="shared" si="1789"/>
        <v>554584</v>
      </c>
      <c r="N144" s="592">
        <f t="shared" si="1789"/>
        <v>543966</v>
      </c>
      <c r="O144" s="592">
        <f t="shared" si="1789"/>
        <v>560743</v>
      </c>
      <c r="P144" s="592">
        <f t="shared" si="1789"/>
        <v>601189</v>
      </c>
      <c r="Q144" s="592">
        <f t="shared" si="1789"/>
        <v>637020</v>
      </c>
      <c r="R144" s="592">
        <f t="shared" si="1789"/>
        <v>582928</v>
      </c>
      <c r="S144" s="592">
        <f t="shared" si="1789"/>
        <v>610100</v>
      </c>
      <c r="T144" s="592">
        <f t="shared" si="1789"/>
        <v>656666</v>
      </c>
      <c r="U144" s="592">
        <f t="shared" si="1789"/>
        <v>688174</v>
      </c>
      <c r="V144" s="592">
        <f t="shared" si="1789"/>
        <v>711493</v>
      </c>
      <c r="W144" s="592">
        <f t="shared" si="1789"/>
        <v>726050</v>
      </c>
      <c r="X144" s="592">
        <f t="shared" si="1789"/>
        <v>778803</v>
      </c>
      <c r="Y144" s="592">
        <f t="shared" si="1789"/>
        <v>814652</v>
      </c>
      <c r="Z144" s="592">
        <f t="shared" si="1789"/>
        <v>777640</v>
      </c>
      <c r="AA144" s="592">
        <f t="shared" si="1789"/>
        <v>908002</v>
      </c>
      <c r="AB144" s="592">
        <f t="shared" si="1789"/>
        <v>915642</v>
      </c>
      <c r="AC144" s="592">
        <f t="shared" si="1789"/>
        <v>976796</v>
      </c>
      <c r="AD144" s="592">
        <f t="shared" si="1789"/>
        <v>1021308</v>
      </c>
      <c r="AE144" s="592">
        <f t="shared" si="1789"/>
        <v>1056786</v>
      </c>
      <c r="AF144" s="592">
        <f t="shared" si="1789"/>
        <v>1016945</v>
      </c>
      <c r="AG144" s="592">
        <f t="shared" si="1789"/>
        <v>1068589</v>
      </c>
      <c r="AH144" s="592">
        <f t="shared" si="1789"/>
        <v>1154998</v>
      </c>
      <c r="AI144" s="592">
        <f t="shared" ref="AI144:DF145" si="1790">+AI126</f>
        <v>1170182</v>
      </c>
      <c r="AJ144" s="592">
        <f t="shared" si="1790"/>
        <v>1119851</v>
      </c>
      <c r="AK144" s="592">
        <f t="shared" si="1790"/>
        <v>1170234</v>
      </c>
      <c r="AL144" s="592">
        <f t="shared" si="1790"/>
        <v>1305683</v>
      </c>
      <c r="AM144" s="592">
        <f t="shared" si="1790"/>
        <v>1317146</v>
      </c>
      <c r="AN144" s="592">
        <f t="shared" si="1790"/>
        <v>1266367</v>
      </c>
      <c r="AO144" s="592">
        <f t="shared" si="1790"/>
        <v>1315462</v>
      </c>
      <c r="AP144" s="592">
        <f t="shared" si="1790"/>
        <v>1493253</v>
      </c>
      <c r="AQ144" s="592">
        <f t="shared" si="1790"/>
        <v>1518174</v>
      </c>
      <c r="AR144" s="592">
        <f t="shared" si="1790"/>
        <v>1567884</v>
      </c>
      <c r="AS144" s="592">
        <f t="shared" si="1790"/>
        <v>1668362</v>
      </c>
      <c r="AT144" s="592">
        <f t="shared" si="1790"/>
        <v>1855268</v>
      </c>
      <c r="AU144" s="592">
        <f t="shared" si="1790"/>
        <v>1944684</v>
      </c>
      <c r="AV144" s="592">
        <f t="shared" si="1790"/>
        <v>2003513</v>
      </c>
      <c r="AW144" s="592">
        <f t="shared" si="1790"/>
        <v>2173684</v>
      </c>
      <c r="AX144" s="592">
        <f t="shared" si="1790"/>
        <v>2310896</v>
      </c>
      <c r="AY144" s="592">
        <f t="shared" si="1790"/>
        <v>2260818</v>
      </c>
      <c r="AZ144" s="910">
        <f t="shared" si="1790"/>
        <v>2297204</v>
      </c>
      <c r="BA144" s="592">
        <f t="shared" si="1790"/>
        <v>2366123</v>
      </c>
      <c r="BB144" s="592">
        <f t="shared" si="1790"/>
        <v>2636796</v>
      </c>
      <c r="BC144" s="592">
        <f t="shared" si="1790"/>
        <v>2670814</v>
      </c>
      <c r="BD144" s="592">
        <f t="shared" si="1790"/>
        <v>2814012</v>
      </c>
      <c r="BE144" s="592">
        <f t="shared" si="1790"/>
        <v>2918668</v>
      </c>
      <c r="BF144" s="592">
        <f t="shared" si="1790"/>
        <v>3223446</v>
      </c>
      <c r="BG144" s="592">
        <f t="shared" si="1790"/>
        <v>3268398</v>
      </c>
      <c r="BH144" s="592">
        <f t="shared" si="1790"/>
        <v>3461783</v>
      </c>
      <c r="BI144" s="592">
        <f t="shared" si="1790"/>
        <v>3607482</v>
      </c>
      <c r="BJ144" s="592">
        <f t="shared" si="1790"/>
        <v>3954512</v>
      </c>
      <c r="BK144" s="592">
        <f t="shared" si="1790"/>
        <v>4060519</v>
      </c>
      <c r="BL144" s="592">
        <f t="shared" si="1790"/>
        <v>4112250</v>
      </c>
      <c r="BM144" s="592">
        <f t="shared" si="1790"/>
        <v>4273031</v>
      </c>
      <c r="BN144" s="592">
        <f t="shared" si="1790"/>
        <v>4704614</v>
      </c>
      <c r="BO144" s="592">
        <f t="shared" si="1790"/>
        <v>4688165</v>
      </c>
      <c r="BP144" s="592">
        <f t="shared" si="1790"/>
        <v>5425952</v>
      </c>
      <c r="BQ144" s="592">
        <f t="shared" si="1790"/>
        <v>5287763</v>
      </c>
      <c r="BR144" s="592">
        <f t="shared" si="1790"/>
        <v>5501316</v>
      </c>
      <c r="BS144" s="592">
        <f t="shared" si="1790"/>
        <v>5365471</v>
      </c>
      <c r="BT144" s="592">
        <f t="shared" si="1790"/>
        <v>9341825</v>
      </c>
      <c r="BU144" s="592">
        <f t="shared" si="1790"/>
        <v>9497615</v>
      </c>
      <c r="BV144" s="592">
        <f t="shared" si="1790"/>
        <v>9806621</v>
      </c>
      <c r="BW144" s="592">
        <f t="shared" si="1790"/>
        <v>9624740</v>
      </c>
      <c r="BX144" s="592">
        <f t="shared" si="1790"/>
        <v>9648345</v>
      </c>
      <c r="BY144" s="592">
        <f t="shared" si="1790"/>
        <v>9790803</v>
      </c>
      <c r="BZ144" s="592">
        <f t="shared" si="1790"/>
        <v>10087515</v>
      </c>
      <c r="CA144" s="592">
        <f t="shared" si="1790"/>
        <v>9665782</v>
      </c>
      <c r="CB144" s="592">
        <f t="shared" si="1790"/>
        <v>9712480</v>
      </c>
      <c r="CC144" s="592">
        <f t="shared" si="1790"/>
        <v>9765091</v>
      </c>
      <c r="CD144" s="592">
        <f t="shared" ref="CD144" si="1791">+CD126</f>
        <v>10047221</v>
      </c>
      <c r="CE144" s="592">
        <f t="shared" si="1790"/>
        <v>10099825</v>
      </c>
      <c r="CF144" s="592">
        <f t="shared" ref="CF144:CH145" si="1792">+CF126</f>
        <v>10317141</v>
      </c>
      <c r="CG144" s="592">
        <f t="shared" si="1792"/>
        <v>10394696</v>
      </c>
      <c r="CH144" s="592">
        <f t="shared" si="1792"/>
        <v>10772951</v>
      </c>
      <c r="CI144" s="592">
        <f t="shared" ref="CI144:CJ144" si="1793">+CI126</f>
        <v>10265765</v>
      </c>
      <c r="CJ144" s="592">
        <f t="shared" si="1793"/>
        <v>10300491</v>
      </c>
      <c r="CK144" s="592">
        <f t="shared" ref="CK144" si="1794">+CK126</f>
        <v>10143083</v>
      </c>
      <c r="CL144" s="941">
        <f t="shared" ref="CL144:CP144" si="1795">+CL126</f>
        <v>10429031.799776644</v>
      </c>
      <c r="CM144" s="941">
        <f t="shared" si="1795"/>
        <v>10417372.770724541</v>
      </c>
      <c r="CN144" s="941">
        <f t="shared" si="1795"/>
        <v>10594800.873983059</v>
      </c>
      <c r="CO144" s="941">
        <f t="shared" si="1795"/>
        <v>10635463.931942485</v>
      </c>
      <c r="CP144" s="941">
        <f t="shared" si="1795"/>
        <v>10979575.25955922</v>
      </c>
      <c r="CQ144" s="941"/>
      <c r="CR144" s="941">
        <v>10429031.799776644</v>
      </c>
      <c r="CT144" s="592"/>
      <c r="CU144" s="592">
        <f t="shared" si="1790"/>
        <v>0</v>
      </c>
      <c r="CV144" s="592"/>
      <c r="CW144" s="592">
        <f t="shared" si="1790"/>
        <v>0</v>
      </c>
      <c r="CX144" s="592">
        <f t="shared" si="1790"/>
        <v>582928</v>
      </c>
      <c r="CY144" s="592">
        <f t="shared" si="1790"/>
        <v>711493</v>
      </c>
      <c r="CZ144" s="592">
        <f t="shared" si="1790"/>
        <v>777640</v>
      </c>
      <c r="DA144" s="592">
        <f t="shared" si="1790"/>
        <v>1021308</v>
      </c>
      <c r="DB144" s="592">
        <f t="shared" si="1790"/>
        <v>1154998</v>
      </c>
      <c r="DC144" s="592">
        <f t="shared" si="1790"/>
        <v>1305683</v>
      </c>
      <c r="DD144" s="592">
        <f t="shared" si="1790"/>
        <v>1493253</v>
      </c>
      <c r="DE144" s="592">
        <f t="shared" si="1790"/>
        <v>1855268</v>
      </c>
      <c r="DF144" s="592">
        <f t="shared" si="1790"/>
        <v>2310896</v>
      </c>
      <c r="DG144" s="592">
        <f t="shared" ref="DG144:DU145" si="1796">+DG126</f>
        <v>2636796</v>
      </c>
      <c r="DH144" s="592">
        <f t="shared" si="1796"/>
        <v>3223446</v>
      </c>
      <c r="DI144" s="592">
        <f t="shared" si="1796"/>
        <v>3954512</v>
      </c>
      <c r="DJ144" s="592">
        <f t="shared" si="1796"/>
        <v>4704614</v>
      </c>
      <c r="DK144" s="592">
        <f t="shared" si="1796"/>
        <v>5501316</v>
      </c>
      <c r="DL144" s="592">
        <f t="shared" si="1796"/>
        <v>9806621</v>
      </c>
      <c r="DM144" s="592">
        <f t="shared" si="1796"/>
        <v>10087515</v>
      </c>
      <c r="DN144" s="592">
        <f t="shared" si="1796"/>
        <v>10047221</v>
      </c>
      <c r="DO144" s="592">
        <f t="shared" si="1796"/>
        <v>10772951</v>
      </c>
      <c r="DP144" s="592">
        <f t="shared" ref="DP144:DQ144" si="1797">+DP126</f>
        <v>10429031.799776644</v>
      </c>
      <c r="DQ144" s="592">
        <f t="shared" si="1797"/>
        <v>10979575.25955922</v>
      </c>
      <c r="DR144" s="599">
        <f t="shared" si="1796"/>
        <v>11968150.879654458</v>
      </c>
      <c r="DS144" s="599">
        <f t="shared" si="1796"/>
        <v>13156347.265378561</v>
      </c>
      <c r="DT144" s="599">
        <f t="shared" si="1796"/>
        <v>14498044.676558672</v>
      </c>
      <c r="DU144" s="599">
        <f t="shared" si="1796"/>
        <v>15987414.858300511</v>
      </c>
      <c r="DX144" s="599">
        <v>11312213.72012607</v>
      </c>
      <c r="DY144" s="599">
        <v>12433679.472300746</v>
      </c>
    </row>
    <row r="145" spans="1:129" s="904" customFormat="1">
      <c r="A145" s="939"/>
      <c r="B145" s="912" t="s">
        <v>453</v>
      </c>
      <c r="C145" s="592">
        <f t="shared" ref="C145:AH145" si="1798">+C127</f>
        <v>0</v>
      </c>
      <c r="D145" s="592">
        <f t="shared" si="1798"/>
        <v>0</v>
      </c>
      <c r="E145" s="592">
        <f t="shared" si="1798"/>
        <v>0</v>
      </c>
      <c r="F145" s="592">
        <f t="shared" si="1798"/>
        <v>0</v>
      </c>
      <c r="G145" s="592">
        <f t="shared" si="1798"/>
        <v>0</v>
      </c>
      <c r="H145" s="592">
        <f t="shared" si="1798"/>
        <v>0</v>
      </c>
      <c r="I145" s="592">
        <f t="shared" si="1798"/>
        <v>0</v>
      </c>
      <c r="J145" s="592">
        <f t="shared" si="1798"/>
        <v>0</v>
      </c>
      <c r="K145" s="592">
        <f t="shared" si="1798"/>
        <v>0</v>
      </c>
      <c r="L145" s="592">
        <f t="shared" si="1798"/>
        <v>0</v>
      </c>
      <c r="M145" s="592">
        <f t="shared" si="1798"/>
        <v>0</v>
      </c>
      <c r="N145" s="592">
        <f t="shared" si="1798"/>
        <v>0</v>
      </c>
      <c r="O145" s="592">
        <f t="shared" si="1798"/>
        <v>0</v>
      </c>
      <c r="P145" s="592">
        <f t="shared" si="1798"/>
        <v>0</v>
      </c>
      <c r="Q145" s="592">
        <f t="shared" si="1798"/>
        <v>0</v>
      </c>
      <c r="R145" s="592">
        <f t="shared" si="1798"/>
        <v>0</v>
      </c>
      <c r="S145" s="592">
        <f t="shared" si="1798"/>
        <v>0</v>
      </c>
      <c r="T145" s="592">
        <f t="shared" si="1798"/>
        <v>0</v>
      </c>
      <c r="U145" s="592">
        <f t="shared" si="1798"/>
        <v>0</v>
      </c>
      <c r="V145" s="592">
        <f t="shared" si="1798"/>
        <v>0</v>
      </c>
      <c r="W145" s="592">
        <f t="shared" si="1798"/>
        <v>0</v>
      </c>
      <c r="X145" s="592">
        <f t="shared" si="1798"/>
        <v>0</v>
      </c>
      <c r="Y145" s="592">
        <f t="shared" si="1798"/>
        <v>0</v>
      </c>
      <c r="Z145" s="592">
        <f t="shared" si="1798"/>
        <v>0</v>
      </c>
      <c r="AA145" s="592">
        <f t="shared" si="1798"/>
        <v>0</v>
      </c>
      <c r="AB145" s="592">
        <f t="shared" si="1798"/>
        <v>0</v>
      </c>
      <c r="AC145" s="592">
        <f t="shared" si="1798"/>
        <v>0</v>
      </c>
      <c r="AD145" s="592">
        <f t="shared" si="1798"/>
        <v>0</v>
      </c>
      <c r="AE145" s="592">
        <f t="shared" si="1798"/>
        <v>0</v>
      </c>
      <c r="AF145" s="592">
        <f t="shared" si="1798"/>
        <v>0</v>
      </c>
      <c r="AG145" s="592">
        <f t="shared" si="1798"/>
        <v>0</v>
      </c>
      <c r="AH145" s="592">
        <f t="shared" si="1798"/>
        <v>0</v>
      </c>
      <c r="AI145" s="592">
        <f t="shared" ref="AI145:AT145" si="1799">+AI127</f>
        <v>0</v>
      </c>
      <c r="AJ145" s="592">
        <f t="shared" si="1799"/>
        <v>0</v>
      </c>
      <c r="AK145" s="592">
        <f t="shared" si="1799"/>
        <v>0</v>
      </c>
      <c r="AL145" s="592">
        <f t="shared" si="1799"/>
        <v>0</v>
      </c>
      <c r="AM145" s="592">
        <f t="shared" si="1799"/>
        <v>0</v>
      </c>
      <c r="AN145" s="592">
        <f t="shared" si="1799"/>
        <v>0</v>
      </c>
      <c r="AO145" s="592">
        <f t="shared" si="1799"/>
        <v>0</v>
      </c>
      <c r="AP145" s="592">
        <f t="shared" si="1799"/>
        <v>0</v>
      </c>
      <c r="AQ145" s="592">
        <f t="shared" si="1799"/>
        <v>0</v>
      </c>
      <c r="AR145" s="592">
        <f t="shared" si="1799"/>
        <v>0</v>
      </c>
      <c r="AS145" s="592">
        <f t="shared" si="1799"/>
        <v>0</v>
      </c>
      <c r="AT145" s="592">
        <f t="shared" si="1799"/>
        <v>0</v>
      </c>
      <c r="AU145" s="592">
        <f t="shared" si="1790"/>
        <v>0</v>
      </c>
      <c r="AV145" s="592">
        <f t="shared" si="1790"/>
        <v>0</v>
      </c>
      <c r="AW145" s="592">
        <f t="shared" si="1790"/>
        <v>0</v>
      </c>
      <c r="AX145" s="592">
        <f t="shared" si="1790"/>
        <v>0</v>
      </c>
      <c r="AY145" s="592">
        <f t="shared" si="1790"/>
        <v>0</v>
      </c>
      <c r="AZ145" s="910">
        <f t="shared" si="1790"/>
        <v>0</v>
      </c>
      <c r="BA145" s="592">
        <f t="shared" si="1790"/>
        <v>0</v>
      </c>
      <c r="BB145" s="592">
        <f t="shared" si="1790"/>
        <v>0</v>
      </c>
      <c r="BC145" s="592">
        <f t="shared" si="1790"/>
        <v>0</v>
      </c>
      <c r="BD145" s="592">
        <f t="shared" si="1790"/>
        <v>0</v>
      </c>
      <c r="BE145" s="592">
        <f t="shared" si="1790"/>
        <v>0</v>
      </c>
      <c r="BF145" s="592">
        <f t="shared" si="1790"/>
        <v>0</v>
      </c>
      <c r="BG145" s="592">
        <f t="shared" si="1790"/>
        <v>0</v>
      </c>
      <c r="BH145" s="592">
        <f t="shared" si="1790"/>
        <v>0</v>
      </c>
      <c r="BI145" s="592">
        <f t="shared" si="1790"/>
        <v>0</v>
      </c>
      <c r="BJ145" s="592">
        <f t="shared" si="1790"/>
        <v>0</v>
      </c>
      <c r="BK145" s="592">
        <f t="shared" si="1790"/>
        <v>0</v>
      </c>
      <c r="BL145" s="592">
        <f t="shared" si="1790"/>
        <v>0</v>
      </c>
      <c r="BM145" s="592">
        <f t="shared" si="1790"/>
        <v>0</v>
      </c>
      <c r="BN145" s="592">
        <f t="shared" si="1790"/>
        <v>0</v>
      </c>
      <c r="BO145" s="592">
        <f t="shared" si="1790"/>
        <v>0</v>
      </c>
      <c r="BP145" s="592">
        <f t="shared" si="1790"/>
        <v>0</v>
      </c>
      <c r="BQ145" s="592">
        <f t="shared" si="1790"/>
        <v>0</v>
      </c>
      <c r="BR145" s="592">
        <f t="shared" si="1790"/>
        <v>0</v>
      </c>
      <c r="BS145" s="592">
        <f t="shared" si="1790"/>
        <v>0</v>
      </c>
      <c r="BT145" s="592">
        <f t="shared" si="1790"/>
        <v>0</v>
      </c>
      <c r="BU145" s="592">
        <f t="shared" si="1790"/>
        <v>0</v>
      </c>
      <c r="BV145" s="592">
        <f t="shared" si="1790"/>
        <v>0</v>
      </c>
      <c r="BW145" s="592">
        <f t="shared" si="1790"/>
        <v>0</v>
      </c>
      <c r="BX145" s="592">
        <f t="shared" si="1790"/>
        <v>0</v>
      </c>
      <c r="BY145" s="592">
        <f t="shared" si="1790"/>
        <v>0</v>
      </c>
      <c r="BZ145" s="592">
        <f t="shared" si="1790"/>
        <v>0</v>
      </c>
      <c r="CA145" s="592">
        <f t="shared" si="1790"/>
        <v>0</v>
      </c>
      <c r="CB145" s="592">
        <f t="shared" si="1790"/>
        <v>0</v>
      </c>
      <c r="CC145" s="592">
        <f t="shared" si="1790"/>
        <v>0</v>
      </c>
      <c r="CD145" s="592">
        <f t="shared" ref="CD145" si="1800">+CD127</f>
        <v>0</v>
      </c>
      <c r="CE145" s="592">
        <f t="shared" si="1790"/>
        <v>0</v>
      </c>
      <c r="CF145" s="592">
        <f t="shared" ref="CF145:CG145" si="1801">+CF127</f>
        <v>0</v>
      </c>
      <c r="CG145" s="592">
        <f t="shared" si="1801"/>
        <v>0</v>
      </c>
      <c r="CH145" s="592">
        <f t="shared" si="1792"/>
        <v>0</v>
      </c>
      <c r="CI145" s="592">
        <f t="shared" ref="CI145:CJ145" si="1802">+CI127</f>
        <v>0</v>
      </c>
      <c r="CJ145" s="592">
        <f t="shared" si="1802"/>
        <v>0</v>
      </c>
      <c r="CK145" s="592">
        <f t="shared" ref="CK145" si="1803">+CK127</f>
        <v>0</v>
      </c>
      <c r="CL145" s="941">
        <f t="shared" ref="CL145:CP145" si="1804">+CL127</f>
        <v>0</v>
      </c>
      <c r="CM145" s="941">
        <f t="shared" si="1804"/>
        <v>0</v>
      </c>
      <c r="CN145" s="941">
        <f t="shared" si="1804"/>
        <v>0</v>
      </c>
      <c r="CO145" s="941">
        <f t="shared" si="1804"/>
        <v>0</v>
      </c>
      <c r="CP145" s="941">
        <f t="shared" si="1804"/>
        <v>0</v>
      </c>
      <c r="CQ145" s="941"/>
      <c r="CR145" s="941">
        <v>0</v>
      </c>
      <c r="CT145" s="592"/>
      <c r="CU145" s="592">
        <f t="shared" si="1790"/>
        <v>0</v>
      </c>
      <c r="CV145" s="592"/>
      <c r="CW145" s="592">
        <f t="shared" si="1790"/>
        <v>0</v>
      </c>
      <c r="CX145" s="592">
        <f t="shared" si="1790"/>
        <v>0</v>
      </c>
      <c r="CY145" s="592">
        <f t="shared" si="1790"/>
        <v>0</v>
      </c>
      <c r="CZ145" s="592">
        <f t="shared" si="1790"/>
        <v>0</v>
      </c>
      <c r="DA145" s="592">
        <f t="shared" si="1790"/>
        <v>0</v>
      </c>
      <c r="DB145" s="592">
        <f t="shared" si="1790"/>
        <v>0</v>
      </c>
      <c r="DC145" s="592">
        <f t="shared" si="1790"/>
        <v>0</v>
      </c>
      <c r="DD145" s="592">
        <f t="shared" si="1790"/>
        <v>0</v>
      </c>
      <c r="DE145" s="592">
        <f t="shared" si="1790"/>
        <v>0</v>
      </c>
      <c r="DF145" s="592">
        <f t="shared" si="1790"/>
        <v>0</v>
      </c>
      <c r="DG145" s="592">
        <f t="shared" si="1796"/>
        <v>0</v>
      </c>
      <c r="DH145" s="592">
        <f t="shared" si="1796"/>
        <v>0</v>
      </c>
      <c r="DI145" s="592">
        <f t="shared" si="1796"/>
        <v>0</v>
      </c>
      <c r="DJ145" s="592">
        <f t="shared" si="1796"/>
        <v>0</v>
      </c>
      <c r="DK145" s="592">
        <f t="shared" si="1796"/>
        <v>0</v>
      </c>
      <c r="DL145" s="592">
        <f t="shared" si="1796"/>
        <v>0</v>
      </c>
      <c r="DM145" s="592">
        <f t="shared" si="1796"/>
        <v>0</v>
      </c>
      <c r="DN145" s="592">
        <f t="shared" si="1796"/>
        <v>0</v>
      </c>
      <c r="DO145" s="592">
        <f t="shared" si="1796"/>
        <v>0</v>
      </c>
      <c r="DP145" s="592">
        <f t="shared" ref="DP145:DQ145" si="1805">+DP127</f>
        <v>0</v>
      </c>
      <c r="DQ145" s="592">
        <f t="shared" si="1805"/>
        <v>0</v>
      </c>
      <c r="DR145" s="599">
        <f t="shared" si="1796"/>
        <v>0</v>
      </c>
      <c r="DS145" s="599">
        <f t="shared" si="1796"/>
        <v>0</v>
      </c>
      <c r="DT145" s="599">
        <f t="shared" si="1796"/>
        <v>0</v>
      </c>
      <c r="DU145" s="599">
        <f t="shared" si="1796"/>
        <v>0</v>
      </c>
      <c r="DX145" s="599">
        <v>0</v>
      </c>
      <c r="DY145" s="599">
        <v>0</v>
      </c>
    </row>
    <row r="146" spans="1:129" s="904" customFormat="1">
      <c r="A146" s="939"/>
      <c r="B146" s="912" t="s">
        <v>454</v>
      </c>
      <c r="C146" s="592">
        <f t="shared" ref="C146:AH146" si="1806">+C123-C100</f>
        <v>0</v>
      </c>
      <c r="D146" s="592">
        <f t="shared" si="1806"/>
        <v>-89</v>
      </c>
      <c r="E146" s="592">
        <f t="shared" si="1806"/>
        <v>-249</v>
      </c>
      <c r="F146" s="592">
        <f t="shared" si="1806"/>
        <v>-688</v>
      </c>
      <c r="G146" s="592">
        <f t="shared" si="1806"/>
        <v>-1328</v>
      </c>
      <c r="H146" s="592">
        <f t="shared" si="1806"/>
        <v>-1897</v>
      </c>
      <c r="I146" s="592">
        <f t="shared" si="1806"/>
        <v>-4331</v>
      </c>
      <c r="J146" s="592">
        <f t="shared" si="1806"/>
        <v>-6222</v>
      </c>
      <c r="K146" s="592">
        <f t="shared" si="1806"/>
        <v>-6948</v>
      </c>
      <c r="L146" s="592">
        <f t="shared" si="1806"/>
        <v>-7859</v>
      </c>
      <c r="M146" s="592">
        <f t="shared" si="1806"/>
        <v>-8476</v>
      </c>
      <c r="N146" s="592">
        <f t="shared" si="1806"/>
        <v>-9767</v>
      </c>
      <c r="O146" s="592">
        <f t="shared" si="1806"/>
        <v>-17628</v>
      </c>
      <c r="P146" s="592">
        <f t="shared" si="1806"/>
        <v>-18649</v>
      </c>
      <c r="Q146" s="592">
        <f t="shared" si="1806"/>
        <v>-8840</v>
      </c>
      <c r="R146" s="592">
        <f t="shared" si="1806"/>
        <v>335</v>
      </c>
      <c r="S146" s="592">
        <f t="shared" si="1806"/>
        <v>3095</v>
      </c>
      <c r="T146" s="592">
        <f t="shared" si="1806"/>
        <v>5434</v>
      </c>
      <c r="U146" s="592">
        <f t="shared" si="1806"/>
        <v>9476</v>
      </c>
      <c r="V146" s="592">
        <f t="shared" si="1806"/>
        <v>6500</v>
      </c>
      <c r="W146" s="592">
        <f t="shared" si="1806"/>
        <v>3100</v>
      </c>
      <c r="X146" s="592">
        <f t="shared" si="1806"/>
        <v>-1865</v>
      </c>
      <c r="Y146" s="592">
        <f t="shared" si="1806"/>
        <v>-3273</v>
      </c>
      <c r="Z146" s="592">
        <f t="shared" si="1806"/>
        <v>-17</v>
      </c>
      <c r="AA146" s="592">
        <f t="shared" si="1806"/>
        <v>-40638</v>
      </c>
      <c r="AB146" s="592">
        <f t="shared" si="1806"/>
        <v>-41818</v>
      </c>
      <c r="AC146" s="592">
        <f t="shared" si="1806"/>
        <v>-38896</v>
      </c>
      <c r="AD146" s="592">
        <f t="shared" si="1806"/>
        <v>-46493</v>
      </c>
      <c r="AE146" s="592">
        <f t="shared" si="1806"/>
        <v>-29751</v>
      </c>
      <c r="AF146" s="592">
        <f t="shared" si="1806"/>
        <v>-40234</v>
      </c>
      <c r="AG146" s="592">
        <f t="shared" si="1806"/>
        <v>-30287</v>
      </c>
      <c r="AH146" s="592">
        <f t="shared" si="1806"/>
        <v>-92134</v>
      </c>
      <c r="AI146" s="592">
        <f t="shared" ref="AI146:DF146" si="1807">+AI123-AI100</f>
        <v>-83759</v>
      </c>
      <c r="AJ146" s="592">
        <f t="shared" si="1807"/>
        <v>-91230</v>
      </c>
      <c r="AK146" s="592">
        <f t="shared" si="1807"/>
        <v>-99173</v>
      </c>
      <c r="AL146" s="592">
        <f t="shared" si="1807"/>
        <v>-132646</v>
      </c>
      <c r="AM146" s="592">
        <f t="shared" si="1807"/>
        <v>-126888</v>
      </c>
      <c r="AN146" s="592">
        <f t="shared" si="1807"/>
        <v>-110250</v>
      </c>
      <c r="AO146" s="592">
        <f t="shared" si="1807"/>
        <v>-74321</v>
      </c>
      <c r="AP146" s="592">
        <f t="shared" si="1807"/>
        <v>-84493</v>
      </c>
      <c r="AQ146" s="592">
        <f t="shared" si="1807"/>
        <v>-85578</v>
      </c>
      <c r="AR146" s="592">
        <f t="shared" si="1807"/>
        <v>-99784</v>
      </c>
      <c r="AS146" s="592">
        <f t="shared" si="1807"/>
        <v>-94974</v>
      </c>
      <c r="AT146" s="592">
        <f t="shared" si="1807"/>
        <v>-95370</v>
      </c>
      <c r="AU146" s="592">
        <f t="shared" si="1807"/>
        <v>-67763</v>
      </c>
      <c r="AV146" s="592">
        <f t="shared" si="1807"/>
        <v>-93913</v>
      </c>
      <c r="AW146" s="592">
        <f t="shared" si="1807"/>
        <v>-56437</v>
      </c>
      <c r="AX146" s="592">
        <f t="shared" si="1807"/>
        <v>-97730</v>
      </c>
      <c r="AY146" s="592">
        <f t="shared" si="1807"/>
        <v>-130449</v>
      </c>
      <c r="AZ146" s="910">
        <f t="shared" si="1807"/>
        <v>-157738</v>
      </c>
      <c r="BA146" s="592">
        <f t="shared" si="1807"/>
        <v>-155821</v>
      </c>
      <c r="BB146" s="592">
        <f t="shared" si="1807"/>
        <v>-156564</v>
      </c>
      <c r="BC146" s="592">
        <f t="shared" si="1807"/>
        <v>-142716</v>
      </c>
      <c r="BD146" s="592">
        <f t="shared" si="1807"/>
        <v>-128420</v>
      </c>
      <c r="BE146" s="592">
        <f t="shared" si="1807"/>
        <v>-163741</v>
      </c>
      <c r="BF146" s="592">
        <f t="shared" si="1807"/>
        <v>-199200</v>
      </c>
      <c r="BG146" s="592">
        <f t="shared" si="1807"/>
        <v>-207190</v>
      </c>
      <c r="BH146" s="592">
        <f t="shared" si="1807"/>
        <v>-173557</v>
      </c>
      <c r="BI146" s="592">
        <f t="shared" si="1807"/>
        <v>-162755</v>
      </c>
      <c r="BJ146" s="592">
        <f t="shared" si="1807"/>
        <v>-153458</v>
      </c>
      <c r="BK146" s="592">
        <f t="shared" si="1807"/>
        <v>-129725</v>
      </c>
      <c r="BL146" s="592">
        <f t="shared" si="1807"/>
        <v>-152766</v>
      </c>
      <c r="BM146" s="592">
        <f t="shared" si="1807"/>
        <v>-167098</v>
      </c>
      <c r="BN146" s="592">
        <f t="shared" si="1807"/>
        <v>-202780</v>
      </c>
      <c r="BO146" s="592">
        <f t="shared" si="1807"/>
        <v>-227398</v>
      </c>
      <c r="BP146" s="592">
        <f t="shared" si="1807"/>
        <v>-239731</v>
      </c>
      <c r="BQ146" s="592">
        <f t="shared" si="1807"/>
        <v>-284453</v>
      </c>
      <c r="BR146" s="592">
        <f t="shared" si="1807"/>
        <v>-276925</v>
      </c>
      <c r="BS146" s="592">
        <f t="shared" si="1807"/>
        <v>-399170</v>
      </c>
      <c r="BT146" s="592">
        <f t="shared" si="1807"/>
        <v>-463769</v>
      </c>
      <c r="BU146" s="592">
        <f t="shared" si="1807"/>
        <v>-430030</v>
      </c>
      <c r="BV146" s="592">
        <f t="shared" si="1807"/>
        <v>-454145</v>
      </c>
      <c r="BW146" s="592">
        <f t="shared" si="1807"/>
        <v>-576296</v>
      </c>
      <c r="BX146" s="592">
        <f t="shared" si="1807"/>
        <v>-530190</v>
      </c>
      <c r="BY146" s="592">
        <f t="shared" si="1807"/>
        <v>-480398</v>
      </c>
      <c r="BZ146" s="592">
        <f t="shared" si="1807"/>
        <v>-551977</v>
      </c>
      <c r="CA146" s="592">
        <f t="shared" si="1807"/>
        <v>-653311</v>
      </c>
      <c r="CB146" s="592">
        <f t="shared" si="1807"/>
        <v>-694063</v>
      </c>
      <c r="CC146" s="592">
        <f t="shared" si="1807"/>
        <v>-728681</v>
      </c>
      <c r="CD146" s="592">
        <f t="shared" ref="CD146" si="1808">+CD123-CD100</f>
        <v>-799610</v>
      </c>
      <c r="CE146" s="592">
        <f t="shared" ref="CE146" si="1809">+CE123-CE100</f>
        <v>-831740</v>
      </c>
      <c r="CF146" s="592">
        <f t="shared" ref="CF146:CH146" si="1810">+CF123-CF100</f>
        <v>-766044</v>
      </c>
      <c r="CG146" s="592">
        <f t="shared" si="1810"/>
        <v>-774460</v>
      </c>
      <c r="CH146" s="592">
        <f t="shared" si="1810"/>
        <v>-784569</v>
      </c>
      <c r="CI146" s="592">
        <f t="shared" ref="CI146:CJ146" si="1811">+CI123-CI100</f>
        <v>-840904</v>
      </c>
      <c r="CJ146" s="592">
        <f t="shared" si="1811"/>
        <v>-818639</v>
      </c>
      <c r="CK146" s="592">
        <f t="shared" ref="CK146" si="1812">+CK123-CK100</f>
        <v>-808635</v>
      </c>
      <c r="CL146" s="941">
        <f t="shared" ref="CL146:CP146" si="1813">+CL123-CL100</f>
        <v>-808113.6373842</v>
      </c>
      <c r="CM146" s="941">
        <f t="shared" si="1813"/>
        <v>-808687.86416041164</v>
      </c>
      <c r="CN146" s="941">
        <f t="shared" si="1813"/>
        <v>-808310.83442785393</v>
      </c>
      <c r="CO146" s="941">
        <f t="shared" si="1813"/>
        <v>-808522.13314890175</v>
      </c>
      <c r="CP146" s="941">
        <f t="shared" si="1813"/>
        <v>-807945.65656886762</v>
      </c>
      <c r="CQ146" s="941"/>
      <c r="CR146" s="941">
        <v>-808113.6373842</v>
      </c>
      <c r="CT146" s="592"/>
      <c r="CU146" s="592">
        <f t="shared" si="1807"/>
        <v>0</v>
      </c>
      <c r="CV146" s="592"/>
      <c r="CW146" s="592">
        <f t="shared" si="1807"/>
        <v>0</v>
      </c>
      <c r="CX146" s="592">
        <f t="shared" si="1807"/>
        <v>335</v>
      </c>
      <c r="CY146" s="592">
        <f t="shared" si="1807"/>
        <v>6500</v>
      </c>
      <c r="CZ146" s="592">
        <f t="shared" si="1807"/>
        <v>-17</v>
      </c>
      <c r="DA146" s="592">
        <f t="shared" si="1807"/>
        <v>-46493</v>
      </c>
      <c r="DB146" s="592">
        <f t="shared" si="1807"/>
        <v>-92134</v>
      </c>
      <c r="DC146" s="592">
        <f t="shared" si="1807"/>
        <v>-132646</v>
      </c>
      <c r="DD146" s="592">
        <f t="shared" si="1807"/>
        <v>-84493</v>
      </c>
      <c r="DE146" s="592">
        <f t="shared" si="1807"/>
        <v>-95370</v>
      </c>
      <c r="DF146" s="592">
        <f t="shared" si="1807"/>
        <v>-97730</v>
      </c>
      <c r="DG146" s="592">
        <f t="shared" ref="DG146:DU146" si="1814">+DG123-DG100</f>
        <v>-156564</v>
      </c>
      <c r="DH146" s="592">
        <f t="shared" si="1814"/>
        <v>-199200</v>
      </c>
      <c r="DI146" s="592">
        <f t="shared" si="1814"/>
        <v>-153458</v>
      </c>
      <c r="DJ146" s="592">
        <f t="shared" si="1814"/>
        <v>-202780</v>
      </c>
      <c r="DK146" s="592">
        <f t="shared" si="1814"/>
        <v>-276925</v>
      </c>
      <c r="DL146" s="592">
        <f t="shared" si="1814"/>
        <v>-454145</v>
      </c>
      <c r="DM146" s="592">
        <f t="shared" si="1814"/>
        <v>-551977</v>
      </c>
      <c r="DN146" s="592">
        <f t="shared" si="1814"/>
        <v>-799610</v>
      </c>
      <c r="DO146" s="592">
        <f t="shared" si="1814"/>
        <v>-784569</v>
      </c>
      <c r="DP146" s="592">
        <f t="shared" ref="DP146:DQ146" si="1815">+DP123-DP100</f>
        <v>-808113.6373842</v>
      </c>
      <c r="DQ146" s="592">
        <f t="shared" si="1815"/>
        <v>-807945.65656886762</v>
      </c>
      <c r="DR146" s="599">
        <f t="shared" si="1814"/>
        <v>-807769.38737590343</v>
      </c>
      <c r="DS146" s="599">
        <f t="shared" si="1814"/>
        <v>-807609.81962874276</v>
      </c>
      <c r="DT146" s="599">
        <f t="shared" si="1814"/>
        <v>-807439.94264162192</v>
      </c>
      <c r="DU146" s="599">
        <f t="shared" si="1814"/>
        <v>-807258.31155946117</v>
      </c>
      <c r="DX146" s="599">
        <v>-807881.12924503791</v>
      </c>
      <c r="DY146" s="599">
        <v>-807702.83890636964</v>
      </c>
    </row>
    <row r="147" spans="1:129" s="904" customFormat="1">
      <c r="A147" s="939"/>
      <c r="B147" s="912" t="s">
        <v>455</v>
      </c>
      <c r="C147" s="592">
        <f t="shared" ref="C147:AH147" si="1816">+C116</f>
        <v>0</v>
      </c>
      <c r="D147" s="592">
        <f t="shared" si="1816"/>
        <v>0</v>
      </c>
      <c r="E147" s="592">
        <f t="shared" si="1816"/>
        <v>0</v>
      </c>
      <c r="F147" s="592">
        <f t="shared" si="1816"/>
        <v>18</v>
      </c>
      <c r="G147" s="592">
        <f t="shared" si="1816"/>
        <v>0</v>
      </c>
      <c r="H147" s="592">
        <f t="shared" si="1816"/>
        <v>0</v>
      </c>
      <c r="I147" s="592">
        <f t="shared" si="1816"/>
        <v>0</v>
      </c>
      <c r="J147" s="592">
        <f t="shared" si="1816"/>
        <v>45208</v>
      </c>
      <c r="K147" s="592">
        <f t="shared" si="1816"/>
        <v>79</v>
      </c>
      <c r="L147" s="592">
        <f t="shared" si="1816"/>
        <v>78</v>
      </c>
      <c r="M147" s="592">
        <f t="shared" si="1816"/>
        <v>95</v>
      </c>
      <c r="N147" s="592">
        <f t="shared" si="1816"/>
        <v>69386</v>
      </c>
      <c r="O147" s="592">
        <f t="shared" si="1816"/>
        <v>37817</v>
      </c>
      <c r="P147" s="592">
        <f t="shared" si="1816"/>
        <v>138</v>
      </c>
      <c r="Q147" s="592">
        <f t="shared" si="1816"/>
        <v>137</v>
      </c>
      <c r="R147" s="592">
        <f t="shared" si="1816"/>
        <v>117638</v>
      </c>
      <c r="S147" s="592">
        <f t="shared" si="1816"/>
        <v>87756</v>
      </c>
      <c r="T147" s="592">
        <f t="shared" si="1816"/>
        <v>57392</v>
      </c>
      <c r="U147" s="592">
        <f t="shared" si="1816"/>
        <v>29957</v>
      </c>
      <c r="V147" s="592">
        <f t="shared" si="1816"/>
        <v>43539</v>
      </c>
      <c r="W147" s="592">
        <f t="shared" si="1816"/>
        <v>43539</v>
      </c>
      <c r="X147" s="592">
        <f t="shared" si="1816"/>
        <v>0</v>
      </c>
      <c r="Y147" s="592">
        <f t="shared" si="1816"/>
        <v>0</v>
      </c>
      <c r="Z147" s="592">
        <f t="shared" si="1816"/>
        <v>142452</v>
      </c>
      <c r="AA147" s="592">
        <f t="shared" si="1816"/>
        <v>0</v>
      </c>
      <c r="AB147" s="592">
        <f t="shared" si="1816"/>
        <v>0</v>
      </c>
      <c r="AC147" s="592">
        <f t="shared" si="1816"/>
        <v>0</v>
      </c>
      <c r="AD147" s="592">
        <f t="shared" si="1816"/>
        <v>84429</v>
      </c>
      <c r="AE147" s="592">
        <f t="shared" si="1816"/>
        <v>100503</v>
      </c>
      <c r="AF147" s="592">
        <f t="shared" si="1816"/>
        <v>33068</v>
      </c>
      <c r="AG147" s="592">
        <f t="shared" si="1816"/>
        <v>49829</v>
      </c>
      <c r="AH147" s="592">
        <f t="shared" si="1816"/>
        <v>88428</v>
      </c>
      <c r="AI147" s="592">
        <f t="shared" ref="AI147:DF147" si="1817">+AI116</f>
        <v>106050</v>
      </c>
      <c r="AJ147" s="592">
        <f t="shared" si="1817"/>
        <v>36832</v>
      </c>
      <c r="AK147" s="592">
        <f t="shared" si="1817"/>
        <v>54126</v>
      </c>
      <c r="AL147" s="592">
        <f t="shared" si="1817"/>
        <v>95968</v>
      </c>
      <c r="AM147" s="592">
        <f t="shared" si="1817"/>
        <v>108007</v>
      </c>
      <c r="AN147" s="592">
        <f t="shared" si="1817"/>
        <v>25312</v>
      </c>
      <c r="AO147" s="592">
        <f t="shared" si="1817"/>
        <v>37975</v>
      </c>
      <c r="AP147" s="592">
        <f t="shared" si="1817"/>
        <v>103093</v>
      </c>
      <c r="AQ147" s="592">
        <f t="shared" si="1817"/>
        <v>118128</v>
      </c>
      <c r="AR147" s="592">
        <f t="shared" si="1817"/>
        <v>31256</v>
      </c>
      <c r="AS147" s="592">
        <f t="shared" si="1817"/>
        <v>47105</v>
      </c>
      <c r="AT147" s="592">
        <f t="shared" si="1817"/>
        <v>124312</v>
      </c>
      <c r="AU147" s="592">
        <f t="shared" si="1817"/>
        <v>144821</v>
      </c>
      <c r="AV147" s="592">
        <f t="shared" si="1817"/>
        <v>44434</v>
      </c>
      <c r="AW147" s="592">
        <f t="shared" si="1817"/>
        <v>70238</v>
      </c>
      <c r="AX147" s="592">
        <f t="shared" si="1817"/>
        <v>147858</v>
      </c>
      <c r="AY147" s="592">
        <f t="shared" si="1817"/>
        <v>182947</v>
      </c>
      <c r="AZ147" s="910">
        <f t="shared" si="1817"/>
        <v>71279</v>
      </c>
      <c r="BA147" s="592">
        <f t="shared" si="1817"/>
        <v>110089</v>
      </c>
      <c r="BB147" s="592">
        <f t="shared" si="1817"/>
        <v>156679</v>
      </c>
      <c r="BC147" s="592">
        <f t="shared" si="1817"/>
        <v>198022</v>
      </c>
      <c r="BD147" s="592">
        <f t="shared" si="1817"/>
        <v>81713</v>
      </c>
      <c r="BE147" s="592">
        <f t="shared" si="1817"/>
        <v>124821</v>
      </c>
      <c r="BF147" s="592">
        <f t="shared" si="1817"/>
        <v>180933</v>
      </c>
      <c r="BG147" s="592">
        <f t="shared" si="1817"/>
        <v>225954</v>
      </c>
      <c r="BH147" s="592">
        <f t="shared" si="1817"/>
        <v>91388</v>
      </c>
      <c r="BI147" s="592">
        <f t="shared" si="1817"/>
        <v>140850</v>
      </c>
      <c r="BJ147" s="592">
        <f t="shared" si="1817"/>
        <v>242995</v>
      </c>
      <c r="BK147" s="592">
        <f t="shared" si="1817"/>
        <v>301036</v>
      </c>
      <c r="BL147" s="592">
        <f t="shared" si="1817"/>
        <v>112333</v>
      </c>
      <c r="BM147" s="592">
        <f t="shared" si="1817"/>
        <v>167698</v>
      </c>
      <c r="BN147" s="592">
        <f t="shared" si="1817"/>
        <v>243114</v>
      </c>
      <c r="BO147" s="592">
        <f t="shared" si="1817"/>
        <v>294646</v>
      </c>
      <c r="BP147" s="592">
        <f t="shared" si="1817"/>
        <v>101263</v>
      </c>
      <c r="BQ147" s="592">
        <f t="shared" si="1817"/>
        <v>160099</v>
      </c>
      <c r="BR147" s="592">
        <f t="shared" si="1817"/>
        <v>246269</v>
      </c>
      <c r="BS147" s="592">
        <f t="shared" si="1817"/>
        <v>297878</v>
      </c>
      <c r="BT147" s="592">
        <f t="shared" si="1817"/>
        <v>130725</v>
      </c>
      <c r="BU147" s="592">
        <f t="shared" si="1817"/>
        <v>233277</v>
      </c>
      <c r="BV147" s="592">
        <f t="shared" si="1817"/>
        <v>353522</v>
      </c>
      <c r="BW147" s="592">
        <f t="shared" si="1817"/>
        <v>480204</v>
      </c>
      <c r="BX147" s="592">
        <f t="shared" si="1817"/>
        <v>268848</v>
      </c>
      <c r="BY147" s="592">
        <f t="shared" si="1817"/>
        <v>151376</v>
      </c>
      <c r="BZ147" s="592">
        <f t="shared" si="1817"/>
        <v>160966</v>
      </c>
      <c r="CA147" s="592">
        <f t="shared" si="1817"/>
        <v>156537</v>
      </c>
      <c r="CB147" s="592">
        <f t="shared" si="1817"/>
        <v>306046</v>
      </c>
      <c r="CC147" s="592">
        <f t="shared" si="1817"/>
        <v>458342</v>
      </c>
      <c r="CD147" s="592">
        <f t="shared" ref="CD147" si="1818">+CD116</f>
        <v>297902</v>
      </c>
      <c r="CE147" s="592">
        <f t="shared" ref="CE147" si="1819">+CE116</f>
        <v>126760</v>
      </c>
      <c r="CF147" s="592">
        <f t="shared" ref="CF147:CH147" si="1820">+CF116</f>
        <v>131449</v>
      </c>
      <c r="CG147" s="592">
        <f t="shared" si="1820"/>
        <v>142962</v>
      </c>
      <c r="CH147" s="592">
        <f t="shared" si="1820"/>
        <v>170550</v>
      </c>
      <c r="CI147" s="592">
        <f t="shared" ref="CI147:CJ147" si="1821">+CI116</f>
        <v>179666</v>
      </c>
      <c r="CJ147" s="592">
        <f t="shared" si="1821"/>
        <v>178387</v>
      </c>
      <c r="CK147" s="592">
        <f t="shared" ref="CK147" si="1822">+CK116</f>
        <v>191852</v>
      </c>
      <c r="CL147" s="941">
        <f t="shared" ref="CL147:CP147" si="1823">+CL116</f>
        <v>0</v>
      </c>
      <c r="CM147" s="941">
        <f t="shared" si="1823"/>
        <v>0</v>
      </c>
      <c r="CN147" s="941">
        <f t="shared" si="1823"/>
        <v>0</v>
      </c>
      <c r="CO147" s="941">
        <f t="shared" si="1823"/>
        <v>0</v>
      </c>
      <c r="CP147" s="941">
        <f t="shared" si="1823"/>
        <v>0</v>
      </c>
      <c r="CQ147" s="941"/>
      <c r="CR147" s="941">
        <v>0</v>
      </c>
      <c r="CT147" s="592"/>
      <c r="CU147" s="592">
        <f t="shared" si="1817"/>
        <v>0</v>
      </c>
      <c r="CV147" s="592"/>
      <c r="CW147" s="592">
        <f t="shared" si="1817"/>
        <v>0</v>
      </c>
      <c r="CX147" s="592">
        <f t="shared" si="1817"/>
        <v>117638</v>
      </c>
      <c r="CY147" s="592">
        <f t="shared" si="1817"/>
        <v>43539</v>
      </c>
      <c r="CZ147" s="592">
        <f t="shared" si="1817"/>
        <v>142452</v>
      </c>
      <c r="DA147" s="592">
        <f t="shared" si="1817"/>
        <v>84429</v>
      </c>
      <c r="DB147" s="592">
        <f t="shared" si="1817"/>
        <v>88428</v>
      </c>
      <c r="DC147" s="592">
        <f t="shared" si="1817"/>
        <v>95968</v>
      </c>
      <c r="DD147" s="592">
        <f t="shared" si="1817"/>
        <v>103093</v>
      </c>
      <c r="DE147" s="592">
        <f t="shared" si="1817"/>
        <v>124312</v>
      </c>
      <c r="DF147" s="592">
        <f t="shared" si="1817"/>
        <v>147858</v>
      </c>
      <c r="DG147" s="592">
        <f t="shared" ref="DG147:DU147" si="1824">+DG116</f>
        <v>156679</v>
      </c>
      <c r="DH147" s="592">
        <f t="shared" si="1824"/>
        <v>180933</v>
      </c>
      <c r="DI147" s="592">
        <f t="shared" si="1824"/>
        <v>242995</v>
      </c>
      <c r="DJ147" s="592">
        <f t="shared" si="1824"/>
        <v>243114</v>
      </c>
      <c r="DK147" s="592">
        <f t="shared" si="1824"/>
        <v>246269</v>
      </c>
      <c r="DL147" s="592">
        <f t="shared" si="1824"/>
        <v>353522</v>
      </c>
      <c r="DM147" s="592">
        <f t="shared" si="1824"/>
        <v>160966</v>
      </c>
      <c r="DN147" s="592">
        <f t="shared" si="1824"/>
        <v>297902</v>
      </c>
      <c r="DO147" s="592">
        <f t="shared" si="1824"/>
        <v>170550</v>
      </c>
      <c r="DP147" s="592">
        <f t="shared" ref="DP147:DQ147" si="1825">+DP116</f>
        <v>0</v>
      </c>
      <c r="DQ147" s="592">
        <f t="shared" si="1825"/>
        <v>0</v>
      </c>
      <c r="DR147" s="599">
        <f t="shared" si="1824"/>
        <v>0</v>
      </c>
      <c r="DS147" s="599">
        <f t="shared" si="1824"/>
        <v>0</v>
      </c>
      <c r="DT147" s="599">
        <f t="shared" si="1824"/>
        <v>0</v>
      </c>
      <c r="DU147" s="599">
        <f t="shared" si="1824"/>
        <v>0</v>
      </c>
      <c r="DX147" s="599">
        <v>0</v>
      </c>
      <c r="DY147" s="599">
        <v>0</v>
      </c>
    </row>
    <row r="148" spans="1:129" s="904" customFormat="1">
      <c r="A148" s="939"/>
      <c r="B148" s="912" t="s">
        <v>456</v>
      </c>
      <c r="C148" s="592"/>
      <c r="D148" s="592"/>
      <c r="E148" s="592"/>
      <c r="F148" s="592"/>
      <c r="G148" s="592"/>
      <c r="H148" s="592"/>
      <c r="I148" s="592"/>
      <c r="J148" s="592"/>
      <c r="K148" s="592"/>
      <c r="L148" s="592"/>
      <c r="M148" s="592"/>
      <c r="N148" s="592"/>
      <c r="O148" s="592"/>
      <c r="P148" s="592"/>
      <c r="Q148" s="592"/>
      <c r="R148" s="592"/>
      <c r="S148" s="592"/>
      <c r="T148" s="592"/>
      <c r="U148" s="592"/>
      <c r="V148" s="592"/>
      <c r="W148" s="592"/>
      <c r="X148" s="592"/>
      <c r="Y148" s="592"/>
      <c r="Z148" s="592"/>
      <c r="AA148" s="592"/>
      <c r="AB148" s="592"/>
      <c r="AC148" s="592"/>
      <c r="AD148" s="592"/>
      <c r="AE148" s="592"/>
      <c r="AF148" s="592"/>
      <c r="AG148" s="592"/>
      <c r="AH148" s="592"/>
      <c r="AI148" s="592"/>
      <c r="AJ148" s="592"/>
      <c r="AK148" s="592"/>
      <c r="AL148" s="592"/>
      <c r="AM148" s="592"/>
      <c r="AN148" s="592"/>
      <c r="AO148" s="592"/>
      <c r="AP148" s="592"/>
      <c r="AQ148" s="592"/>
      <c r="AR148" s="592"/>
      <c r="AS148" s="592"/>
      <c r="AT148" s="592"/>
      <c r="AU148" s="592">
        <f t="shared" ref="AU148:CC148" si="1826">+AU103</f>
        <v>0</v>
      </c>
      <c r="AV148" s="592">
        <f t="shared" si="1826"/>
        <v>0</v>
      </c>
      <c r="AW148" s="592">
        <f t="shared" si="1826"/>
        <v>0</v>
      </c>
      <c r="AX148" s="592">
        <f t="shared" si="1826"/>
        <v>0</v>
      </c>
      <c r="AY148" s="592">
        <f t="shared" si="1826"/>
        <v>0</v>
      </c>
      <c r="AZ148" s="910">
        <f t="shared" si="1826"/>
        <v>0</v>
      </c>
      <c r="BA148" s="592">
        <f t="shared" si="1826"/>
        <v>0</v>
      </c>
      <c r="BB148" s="592">
        <f t="shared" si="1826"/>
        <v>0</v>
      </c>
      <c r="BC148" s="592">
        <f t="shared" si="1826"/>
        <v>0</v>
      </c>
      <c r="BD148" s="592">
        <f t="shared" si="1826"/>
        <v>0</v>
      </c>
      <c r="BE148" s="592">
        <f t="shared" si="1826"/>
        <v>0</v>
      </c>
      <c r="BF148" s="592">
        <f t="shared" si="1826"/>
        <v>0</v>
      </c>
      <c r="BG148" s="592">
        <f t="shared" si="1826"/>
        <v>0</v>
      </c>
      <c r="BH148" s="592">
        <f t="shared" si="1826"/>
        <v>0</v>
      </c>
      <c r="BI148" s="592">
        <f t="shared" si="1826"/>
        <v>0</v>
      </c>
      <c r="BJ148" s="592">
        <f t="shared" si="1826"/>
        <v>0</v>
      </c>
      <c r="BK148" s="592">
        <f t="shared" si="1826"/>
        <v>0</v>
      </c>
      <c r="BL148" s="592">
        <f t="shared" si="1826"/>
        <v>0</v>
      </c>
      <c r="BM148" s="592">
        <f t="shared" si="1826"/>
        <v>0</v>
      </c>
      <c r="BN148" s="592">
        <f t="shared" si="1826"/>
        <v>0</v>
      </c>
      <c r="BO148" s="592">
        <f t="shared" si="1826"/>
        <v>0</v>
      </c>
      <c r="BP148" s="592">
        <f t="shared" si="1826"/>
        <v>0</v>
      </c>
      <c r="BQ148" s="592">
        <f t="shared" si="1826"/>
        <v>0</v>
      </c>
      <c r="BR148" s="592">
        <f t="shared" si="1826"/>
        <v>0</v>
      </c>
      <c r="BS148" s="592">
        <f t="shared" si="1826"/>
        <v>0</v>
      </c>
      <c r="BT148" s="592">
        <f t="shared" si="1826"/>
        <v>0</v>
      </c>
      <c r="BU148" s="592">
        <f t="shared" si="1826"/>
        <v>0</v>
      </c>
      <c r="BV148" s="592">
        <f t="shared" si="1826"/>
        <v>0</v>
      </c>
      <c r="BW148" s="592">
        <f t="shared" si="1826"/>
        <v>0</v>
      </c>
      <c r="BX148" s="592">
        <f t="shared" si="1826"/>
        <v>0</v>
      </c>
      <c r="BY148" s="592">
        <f t="shared" si="1826"/>
        <v>0</v>
      </c>
      <c r="BZ148" s="592">
        <f t="shared" si="1826"/>
        <v>10365</v>
      </c>
      <c r="CA148" s="592">
        <f t="shared" si="1826"/>
        <v>0</v>
      </c>
      <c r="CB148" s="592">
        <f t="shared" si="1826"/>
        <v>0</v>
      </c>
      <c r="CC148" s="592">
        <f t="shared" si="1826"/>
        <v>0</v>
      </c>
      <c r="CD148" s="592">
        <f>+CD103</f>
        <v>25996</v>
      </c>
      <c r="CE148" s="592">
        <f t="shared" ref="CE148" si="1827">+CE103</f>
        <v>25850</v>
      </c>
      <c r="CF148" s="592">
        <f t="shared" ref="CF148:CH148" si="1828">+CF103</f>
        <v>37959</v>
      </c>
      <c r="CG148" s="592">
        <f t="shared" si="1828"/>
        <v>43862</v>
      </c>
      <c r="CH148" s="592">
        <f t="shared" si="1828"/>
        <v>56582</v>
      </c>
      <c r="CI148" s="592">
        <f t="shared" ref="CI148:CJ148" si="1829">+CI103</f>
        <v>55397</v>
      </c>
      <c r="CJ148" s="592">
        <f t="shared" si="1829"/>
        <v>54689</v>
      </c>
      <c r="CK148" s="592">
        <f t="shared" ref="CK148" si="1830">+CK103</f>
        <v>54414</v>
      </c>
      <c r="CL148" s="941">
        <f t="shared" ref="CL148:CP148" si="1831">+CL103</f>
        <v>54414</v>
      </c>
      <c r="CM148" s="941">
        <f t="shared" si="1831"/>
        <v>54414</v>
      </c>
      <c r="CN148" s="941">
        <f t="shared" si="1831"/>
        <v>54414</v>
      </c>
      <c r="CO148" s="941">
        <f t="shared" si="1831"/>
        <v>54414</v>
      </c>
      <c r="CP148" s="941">
        <f t="shared" si="1831"/>
        <v>54414</v>
      </c>
      <c r="CQ148" s="941"/>
      <c r="CR148" s="941">
        <v>54414</v>
      </c>
      <c r="CT148" s="592"/>
      <c r="CU148" s="592"/>
      <c r="CV148" s="592"/>
      <c r="CW148" s="592"/>
      <c r="CX148" s="592"/>
      <c r="CY148" s="592"/>
      <c r="CZ148" s="592"/>
      <c r="DA148" s="592"/>
      <c r="DB148" s="592"/>
      <c r="DC148" s="592"/>
      <c r="DD148" s="592"/>
      <c r="DE148" s="592"/>
      <c r="DF148" s="592">
        <f t="shared" ref="DF148:DU148" si="1832">+DF103</f>
        <v>0</v>
      </c>
      <c r="DG148" s="592">
        <f t="shared" si="1832"/>
        <v>0</v>
      </c>
      <c r="DH148" s="592">
        <f t="shared" si="1832"/>
        <v>0</v>
      </c>
      <c r="DI148" s="592">
        <f t="shared" si="1832"/>
        <v>0</v>
      </c>
      <c r="DJ148" s="592">
        <f t="shared" si="1832"/>
        <v>0</v>
      </c>
      <c r="DK148" s="592">
        <f t="shared" si="1832"/>
        <v>0</v>
      </c>
      <c r="DL148" s="592">
        <f t="shared" si="1832"/>
        <v>0</v>
      </c>
      <c r="DM148" s="592">
        <f t="shared" si="1832"/>
        <v>10365</v>
      </c>
      <c r="DN148" s="592">
        <f t="shared" si="1832"/>
        <v>25996</v>
      </c>
      <c r="DO148" s="592">
        <f t="shared" si="1832"/>
        <v>56582</v>
      </c>
      <c r="DP148" s="592">
        <f t="shared" ref="DP148:DQ148" si="1833">+DP103</f>
        <v>54414</v>
      </c>
      <c r="DQ148" s="592">
        <f t="shared" si="1833"/>
        <v>54414</v>
      </c>
      <c r="DR148" s="599">
        <f t="shared" si="1832"/>
        <v>54414</v>
      </c>
      <c r="DS148" s="599">
        <f t="shared" si="1832"/>
        <v>54414</v>
      </c>
      <c r="DT148" s="599">
        <f t="shared" si="1832"/>
        <v>54414</v>
      </c>
      <c r="DU148" s="599">
        <f t="shared" si="1832"/>
        <v>54414</v>
      </c>
      <c r="DX148" s="599">
        <v>54414</v>
      </c>
      <c r="DY148" s="599">
        <v>54414</v>
      </c>
    </row>
    <row r="149" spans="1:129" s="904" customFormat="1">
      <c r="A149" s="939"/>
      <c r="B149" s="912" t="s">
        <v>457</v>
      </c>
      <c r="C149" s="592">
        <f t="shared" ref="C149:AT149" si="1834">+C106</f>
        <v>0</v>
      </c>
      <c r="D149" s="592">
        <f t="shared" si="1834"/>
        <v>13405</v>
      </c>
      <c r="E149" s="592">
        <f t="shared" si="1834"/>
        <v>8077</v>
      </c>
      <c r="F149" s="592">
        <f t="shared" si="1834"/>
        <v>2750</v>
      </c>
      <c r="G149" s="592">
        <f t="shared" si="1834"/>
        <v>0</v>
      </c>
      <c r="H149" s="592">
        <f t="shared" si="1834"/>
        <v>0</v>
      </c>
      <c r="I149" s="592">
        <f t="shared" si="1834"/>
        <v>0</v>
      </c>
      <c r="J149" s="592">
        <f t="shared" si="1834"/>
        <v>0</v>
      </c>
      <c r="K149" s="592">
        <f t="shared" si="1834"/>
        <v>0</v>
      </c>
      <c r="L149" s="592">
        <f t="shared" si="1834"/>
        <v>37811</v>
      </c>
      <c r="M149" s="592">
        <f t="shared" si="1834"/>
        <v>38446</v>
      </c>
      <c r="N149" s="592">
        <f t="shared" si="1834"/>
        <v>39308</v>
      </c>
      <c r="O149" s="592">
        <f t="shared" si="1834"/>
        <v>39472</v>
      </c>
      <c r="P149" s="592">
        <f t="shared" si="1834"/>
        <v>38808</v>
      </c>
      <c r="Q149" s="592">
        <f t="shared" si="1834"/>
        <v>39568</v>
      </c>
      <c r="R149" s="592">
        <f t="shared" si="1834"/>
        <v>51409</v>
      </c>
      <c r="S149" s="592">
        <f t="shared" si="1834"/>
        <v>48979</v>
      </c>
      <c r="T149" s="592">
        <f t="shared" si="1834"/>
        <v>47796</v>
      </c>
      <c r="U149" s="592">
        <f t="shared" si="1834"/>
        <v>49544</v>
      </c>
      <c r="V149" s="592">
        <f t="shared" si="1834"/>
        <v>50480</v>
      </c>
      <c r="W149" s="592">
        <f t="shared" si="1834"/>
        <v>46528</v>
      </c>
      <c r="X149" s="592">
        <f t="shared" si="1834"/>
        <v>43842</v>
      </c>
      <c r="Y149" s="592">
        <f t="shared" si="1834"/>
        <v>41490</v>
      </c>
      <c r="Z149" s="592">
        <f t="shared" si="1834"/>
        <v>46113</v>
      </c>
      <c r="AA149" s="592">
        <f t="shared" si="1834"/>
        <v>43529</v>
      </c>
      <c r="AB149" s="592">
        <f t="shared" si="1834"/>
        <v>41974</v>
      </c>
      <c r="AC149" s="592">
        <f t="shared" si="1834"/>
        <v>41006</v>
      </c>
      <c r="AD149" s="592">
        <f t="shared" si="1834"/>
        <v>66977</v>
      </c>
      <c r="AE149" s="592">
        <f t="shared" si="1834"/>
        <v>67770</v>
      </c>
      <c r="AF149" s="592">
        <f t="shared" si="1834"/>
        <v>235930</v>
      </c>
      <c r="AG149" s="592">
        <f t="shared" si="1834"/>
        <v>247432</v>
      </c>
      <c r="AH149" s="592">
        <f t="shared" si="1834"/>
        <v>204858</v>
      </c>
      <c r="AI149" s="592">
        <f t="shared" si="1834"/>
        <v>209733</v>
      </c>
      <c r="AJ149" s="592">
        <f t="shared" si="1834"/>
        <v>226507</v>
      </c>
      <c r="AK149" s="592">
        <f t="shared" si="1834"/>
        <v>235544</v>
      </c>
      <c r="AL149" s="592">
        <f t="shared" si="1834"/>
        <v>256165</v>
      </c>
      <c r="AM149" s="592">
        <f t="shared" si="1834"/>
        <v>256630</v>
      </c>
      <c r="AN149" s="592">
        <f t="shared" si="1834"/>
        <v>258354</v>
      </c>
      <c r="AO149" s="592">
        <f t="shared" si="1834"/>
        <v>308051</v>
      </c>
      <c r="AP149" s="592">
        <f t="shared" si="1834"/>
        <v>322203</v>
      </c>
      <c r="AQ149" s="592">
        <f t="shared" si="1834"/>
        <v>313311</v>
      </c>
      <c r="AR149" s="592">
        <f t="shared" si="1834"/>
        <v>340559</v>
      </c>
      <c r="AS149" s="592">
        <f t="shared" si="1834"/>
        <v>350791</v>
      </c>
      <c r="AT149" s="592">
        <f t="shared" si="1834"/>
        <v>368084</v>
      </c>
      <c r="AU149" s="592">
        <f t="shared" ref="AU149:CC149" si="1835">+AU122+AU112-AU105</f>
        <v>-63</v>
      </c>
      <c r="AV149" s="592">
        <f t="shared" si="1835"/>
        <v>-63</v>
      </c>
      <c r="AW149" s="592">
        <f t="shared" si="1835"/>
        <v>-63</v>
      </c>
      <c r="AX149" s="592">
        <f t="shared" si="1835"/>
        <v>-63</v>
      </c>
      <c r="AY149" s="592">
        <f t="shared" si="1835"/>
        <v>-63</v>
      </c>
      <c r="AZ149" s="910">
        <f t="shared" si="1835"/>
        <v>-50</v>
      </c>
      <c r="BA149" s="592">
        <f t="shared" si="1835"/>
        <v>-50</v>
      </c>
      <c r="BB149" s="592">
        <f t="shared" si="1835"/>
        <v>-46</v>
      </c>
      <c r="BC149" s="592">
        <f t="shared" si="1835"/>
        <v>-46</v>
      </c>
      <c r="BD149" s="592">
        <f t="shared" si="1835"/>
        <v>-46</v>
      </c>
      <c r="BE149" s="592">
        <f t="shared" si="1835"/>
        <v>-46</v>
      </c>
      <c r="BF149" s="592">
        <f t="shared" si="1835"/>
        <v>-46</v>
      </c>
      <c r="BG149" s="592">
        <f t="shared" si="1835"/>
        <v>-46</v>
      </c>
      <c r="BH149" s="592">
        <f t="shared" si="1835"/>
        <v>-46</v>
      </c>
      <c r="BI149" s="592">
        <f t="shared" si="1835"/>
        <v>-46</v>
      </c>
      <c r="BJ149" s="592">
        <f t="shared" si="1835"/>
        <v>0</v>
      </c>
      <c r="BK149" s="592">
        <f t="shared" si="1835"/>
        <v>-231978</v>
      </c>
      <c r="BL149" s="592">
        <f t="shared" si="1835"/>
        <v>-325131</v>
      </c>
      <c r="BM149" s="592">
        <f t="shared" si="1835"/>
        <v>-255860</v>
      </c>
      <c r="BN149" s="592">
        <f t="shared" si="1835"/>
        <v>-140600</v>
      </c>
      <c r="BO149" s="592">
        <f t="shared" si="1835"/>
        <v>-132004</v>
      </c>
      <c r="BP149" s="592">
        <f t="shared" si="1835"/>
        <v>127121</v>
      </c>
      <c r="BQ149" s="592">
        <f t="shared" si="1835"/>
        <v>142728</v>
      </c>
      <c r="BR149" s="592">
        <f t="shared" si="1835"/>
        <v>162349</v>
      </c>
      <c r="BS149" s="592">
        <f t="shared" si="1835"/>
        <v>179168</v>
      </c>
      <c r="BT149" s="592">
        <f t="shared" si="1835"/>
        <v>192026</v>
      </c>
      <c r="BU149" s="592">
        <f t="shared" si="1835"/>
        <v>204915</v>
      </c>
      <c r="BV149" s="592">
        <f t="shared" si="1835"/>
        <v>226848</v>
      </c>
      <c r="BW149" s="592">
        <f t="shared" si="1835"/>
        <v>239354</v>
      </c>
      <c r="BX149" s="592">
        <f t="shared" si="1835"/>
        <v>257520</v>
      </c>
      <c r="BY149" s="592">
        <f t="shared" si="1835"/>
        <v>265909</v>
      </c>
      <c r="BZ149" s="592">
        <f t="shared" si="1835"/>
        <v>300405</v>
      </c>
      <c r="CA149" s="592">
        <f t="shared" si="1835"/>
        <v>297372</v>
      </c>
      <c r="CB149" s="592">
        <f t="shared" si="1835"/>
        <v>290944</v>
      </c>
      <c r="CC149" s="592">
        <f t="shared" si="1835"/>
        <v>302067</v>
      </c>
      <c r="CD149" s="592">
        <f t="shared" ref="CD149" si="1836">+CD122+CD112-CD105</f>
        <v>345580</v>
      </c>
      <c r="CE149" s="592">
        <f t="shared" ref="CE149" si="1837">+CE122+CE112-CE105</f>
        <v>327068</v>
      </c>
      <c r="CF149" s="592">
        <f t="shared" ref="CF149:CH149" si="1838">+CF122+CF112-CF105</f>
        <v>332435</v>
      </c>
      <c r="CG149" s="592">
        <f t="shared" si="1838"/>
        <v>328741</v>
      </c>
      <c r="CH149" s="592">
        <f t="shared" si="1838"/>
        <v>378868</v>
      </c>
      <c r="CI149" s="592">
        <f t="shared" ref="CI149:CJ149" si="1839">+CI122+CI112-CI105</f>
        <v>389047</v>
      </c>
      <c r="CJ149" s="592">
        <f t="shared" si="1839"/>
        <v>432976</v>
      </c>
      <c r="CK149" s="592">
        <f t="shared" ref="CK149" si="1840">+CK122+CK112-CK105</f>
        <v>437566</v>
      </c>
      <c r="CL149" s="941">
        <f t="shared" ref="CL149:CP149" si="1841">+CL122+CL112-CL105</f>
        <v>522121.09246776905</v>
      </c>
      <c r="CM149" s="941">
        <f t="shared" si="1841"/>
        <v>506119.78137540026</v>
      </c>
      <c r="CN149" s="941">
        <f t="shared" si="1841"/>
        <v>483481.21502440935</v>
      </c>
      <c r="CO149" s="941">
        <f t="shared" si="1841"/>
        <v>483264.53556195972</v>
      </c>
      <c r="CP149" s="941">
        <f t="shared" si="1841"/>
        <v>573214.88949980307</v>
      </c>
      <c r="CQ149" s="941"/>
      <c r="CR149" s="941">
        <v>522121.09246776905</v>
      </c>
      <c r="CT149" s="592"/>
      <c r="CU149" s="592">
        <f t="shared" ref="CU149:DU149" si="1842">+CU122+CU112-CU105</f>
        <v>0</v>
      </c>
      <c r="CV149" s="592"/>
      <c r="CW149" s="592">
        <f t="shared" si="1842"/>
        <v>0</v>
      </c>
      <c r="CX149" s="592">
        <f t="shared" si="1842"/>
        <v>-63</v>
      </c>
      <c r="CY149" s="592">
        <f t="shared" si="1842"/>
        <v>-63</v>
      </c>
      <c r="CZ149" s="592">
        <f t="shared" si="1842"/>
        <v>-63</v>
      </c>
      <c r="DA149" s="592">
        <f t="shared" si="1842"/>
        <v>-63</v>
      </c>
      <c r="DB149" s="592">
        <f t="shared" si="1842"/>
        <v>-63</v>
      </c>
      <c r="DC149" s="592">
        <f t="shared" si="1842"/>
        <v>-63</v>
      </c>
      <c r="DD149" s="592" t="e">
        <f t="shared" si="1842"/>
        <v>#REF!</v>
      </c>
      <c r="DE149" s="592">
        <f t="shared" si="1842"/>
        <v>-63</v>
      </c>
      <c r="DF149" s="592">
        <f t="shared" si="1842"/>
        <v>-63</v>
      </c>
      <c r="DG149" s="592">
        <f t="shared" si="1842"/>
        <v>-46</v>
      </c>
      <c r="DH149" s="592">
        <f t="shared" si="1842"/>
        <v>-46</v>
      </c>
      <c r="DI149" s="592">
        <f t="shared" si="1842"/>
        <v>0</v>
      </c>
      <c r="DJ149" s="592">
        <f t="shared" si="1842"/>
        <v>-140600</v>
      </c>
      <c r="DK149" s="592">
        <f t="shared" si="1842"/>
        <v>162349</v>
      </c>
      <c r="DL149" s="592">
        <f t="shared" si="1842"/>
        <v>226848</v>
      </c>
      <c r="DM149" s="592">
        <f t="shared" si="1842"/>
        <v>300405</v>
      </c>
      <c r="DN149" s="592">
        <f t="shared" si="1842"/>
        <v>345580</v>
      </c>
      <c r="DO149" s="592">
        <f t="shared" si="1842"/>
        <v>378868</v>
      </c>
      <c r="DP149" s="592">
        <f t="shared" ref="DP149:DQ149" si="1843">+DP122+DP112-DP105</f>
        <v>522121.09246776905</v>
      </c>
      <c r="DQ149" s="592">
        <f t="shared" si="1843"/>
        <v>573214.88949980307</v>
      </c>
      <c r="DR149" s="599">
        <f t="shared" si="1842"/>
        <v>378868</v>
      </c>
      <c r="DS149" s="599">
        <f t="shared" si="1842"/>
        <v>522121.09246776905</v>
      </c>
      <c r="DT149" s="599">
        <f t="shared" si="1842"/>
        <v>573214.88949980307</v>
      </c>
      <c r="DU149" s="599">
        <f t="shared" si="1842"/>
        <v>627560.79654645082</v>
      </c>
      <c r="DX149" s="599">
        <v>345580</v>
      </c>
      <c r="DY149" s="599">
        <v>378868</v>
      </c>
    </row>
    <row r="150" spans="1:129" s="904" customFormat="1">
      <c r="A150" s="939"/>
      <c r="B150" s="912" t="s">
        <v>458</v>
      </c>
      <c r="C150" s="592">
        <f t="shared" ref="C150:AH150" si="1844">+C95+C99+C101-C118-C125</f>
        <v>0</v>
      </c>
      <c r="D150" s="592">
        <f t="shared" si="1844"/>
        <v>24617</v>
      </c>
      <c r="E150" s="592">
        <f t="shared" si="1844"/>
        <v>23890</v>
      </c>
      <c r="F150" s="592">
        <f t="shared" si="1844"/>
        <v>1641</v>
      </c>
      <c r="G150" s="592">
        <f t="shared" si="1844"/>
        <v>-1642</v>
      </c>
      <c r="H150" s="592">
        <f t="shared" si="1844"/>
        <v>-18937</v>
      </c>
      <c r="I150" s="592">
        <f t="shared" si="1844"/>
        <v>-17775</v>
      </c>
      <c r="J150" s="592">
        <f t="shared" si="1844"/>
        <v>-13032</v>
      </c>
      <c r="K150" s="592">
        <f t="shared" si="1844"/>
        <v>11127</v>
      </c>
      <c r="L150" s="592">
        <f t="shared" si="1844"/>
        <v>6386</v>
      </c>
      <c r="M150" s="592">
        <f t="shared" si="1844"/>
        <v>7353</v>
      </c>
      <c r="N150" s="592">
        <f t="shared" si="1844"/>
        <v>19298</v>
      </c>
      <c r="O150" s="592">
        <f t="shared" si="1844"/>
        <v>-12354</v>
      </c>
      <c r="P150" s="592">
        <f t="shared" si="1844"/>
        <v>-5934</v>
      </c>
      <c r="Q150" s="592">
        <f t="shared" si="1844"/>
        <v>10494</v>
      </c>
      <c r="R150" s="592">
        <f t="shared" si="1844"/>
        <v>26195</v>
      </c>
      <c r="S150" s="592">
        <f t="shared" si="1844"/>
        <v>17744</v>
      </c>
      <c r="T150" s="592">
        <f t="shared" si="1844"/>
        <v>20535</v>
      </c>
      <c r="U150" s="592">
        <f t="shared" si="1844"/>
        <v>14211</v>
      </c>
      <c r="V150" s="592">
        <f t="shared" si="1844"/>
        <v>16329</v>
      </c>
      <c r="W150" s="592">
        <f t="shared" si="1844"/>
        <v>26018</v>
      </c>
      <c r="X150" s="592">
        <f t="shared" si="1844"/>
        <v>27558</v>
      </c>
      <c r="Y150" s="592">
        <f t="shared" si="1844"/>
        <v>25294</v>
      </c>
      <c r="Z150" s="592">
        <f t="shared" si="1844"/>
        <v>37521</v>
      </c>
      <c r="AA150" s="592">
        <f t="shared" si="1844"/>
        <v>-12658</v>
      </c>
      <c r="AB150" s="592">
        <f t="shared" si="1844"/>
        <v>-20223</v>
      </c>
      <c r="AC150" s="592">
        <f t="shared" si="1844"/>
        <v>-20130</v>
      </c>
      <c r="AD150" s="592">
        <f t="shared" si="1844"/>
        <v>-31661</v>
      </c>
      <c r="AE150" s="592">
        <f t="shared" si="1844"/>
        <v>-21721</v>
      </c>
      <c r="AF150" s="592">
        <f t="shared" si="1844"/>
        <v>-35890</v>
      </c>
      <c r="AG150" s="592">
        <f t="shared" si="1844"/>
        <v>-42068</v>
      </c>
      <c r="AH150" s="592">
        <f t="shared" si="1844"/>
        <v>-50057</v>
      </c>
      <c r="AI150" s="592">
        <f t="shared" ref="AI150:CC150" si="1845">+AI95+AI99+AI101-AI118-AI125</f>
        <v>-48512</v>
      </c>
      <c r="AJ150" s="592">
        <f t="shared" si="1845"/>
        <v>-41808</v>
      </c>
      <c r="AK150" s="592">
        <f t="shared" si="1845"/>
        <v>-47473</v>
      </c>
      <c r="AL150" s="592">
        <f t="shared" si="1845"/>
        <v>-61079</v>
      </c>
      <c r="AM150" s="592">
        <f t="shared" si="1845"/>
        <v>-30940</v>
      </c>
      <c r="AN150" s="592">
        <f t="shared" si="1845"/>
        <v>-27195</v>
      </c>
      <c r="AO150" s="592">
        <f t="shared" si="1845"/>
        <v>-19524</v>
      </c>
      <c r="AP150" s="592">
        <f t="shared" si="1845"/>
        <v>-2398</v>
      </c>
      <c r="AQ150" s="592">
        <f t="shared" si="1845"/>
        <v>4976</v>
      </c>
      <c r="AR150" s="592">
        <f t="shared" si="1845"/>
        <v>10158</v>
      </c>
      <c r="AS150" s="592">
        <f t="shared" si="1845"/>
        <v>13209</v>
      </c>
      <c r="AT150" s="592">
        <f t="shared" si="1845"/>
        <v>17738</v>
      </c>
      <c r="AU150" s="592">
        <f t="shared" si="1845"/>
        <v>20507</v>
      </c>
      <c r="AV150" s="592">
        <f t="shared" si="1845"/>
        <v>27910</v>
      </c>
      <c r="AW150" s="592">
        <f t="shared" si="1845"/>
        <v>31346</v>
      </c>
      <c r="AX150" s="592">
        <f t="shared" si="1845"/>
        <v>35954</v>
      </c>
      <c r="AY150" s="592">
        <f t="shared" si="1845"/>
        <v>38131</v>
      </c>
      <c r="AZ150" s="910">
        <f t="shared" si="1845"/>
        <v>41169</v>
      </c>
      <c r="BA150" s="592">
        <f t="shared" si="1845"/>
        <v>42879</v>
      </c>
      <c r="BB150" s="592">
        <f t="shared" si="1845"/>
        <v>43016</v>
      </c>
      <c r="BC150" s="592">
        <f t="shared" si="1845"/>
        <v>49776</v>
      </c>
      <c r="BD150" s="592">
        <f t="shared" si="1845"/>
        <v>55966</v>
      </c>
      <c r="BE150" s="592">
        <f t="shared" si="1845"/>
        <v>64489</v>
      </c>
      <c r="BF150" s="592">
        <f t="shared" si="1845"/>
        <v>66737</v>
      </c>
      <c r="BG150" s="592">
        <f t="shared" si="1845"/>
        <v>64010</v>
      </c>
      <c r="BH150" s="592">
        <f t="shared" si="1845"/>
        <v>109588</v>
      </c>
      <c r="BI150" s="592">
        <f t="shared" si="1845"/>
        <v>83422</v>
      </c>
      <c r="BJ150" s="592">
        <f t="shared" si="1845"/>
        <v>76162</v>
      </c>
      <c r="BK150" s="592">
        <f t="shared" si="1845"/>
        <v>41100</v>
      </c>
      <c r="BL150" s="592">
        <f t="shared" si="1845"/>
        <v>957</v>
      </c>
      <c r="BM150" s="592">
        <f t="shared" si="1845"/>
        <v>4206</v>
      </c>
      <c r="BN150" s="592">
        <f t="shared" si="1845"/>
        <v>-30056</v>
      </c>
      <c r="BO150" s="592">
        <f t="shared" si="1845"/>
        <v>70731</v>
      </c>
      <c r="BP150" s="592">
        <f t="shared" si="1845"/>
        <v>660866</v>
      </c>
      <c r="BQ150" s="592">
        <f t="shared" si="1845"/>
        <v>555800</v>
      </c>
      <c r="BR150" s="592">
        <f t="shared" si="1845"/>
        <v>469013</v>
      </c>
      <c r="BS150" s="592">
        <f t="shared" si="1845"/>
        <v>617691</v>
      </c>
      <c r="BT150" s="592">
        <f t="shared" si="1845"/>
        <v>374242</v>
      </c>
      <c r="BU150" s="592">
        <f t="shared" si="1845"/>
        <v>530146</v>
      </c>
      <c r="BV150" s="592">
        <f t="shared" si="1845"/>
        <v>503693</v>
      </c>
      <c r="BW150" s="592">
        <f t="shared" si="1845"/>
        <v>161415</v>
      </c>
      <c r="BX150" s="592">
        <f t="shared" si="1845"/>
        <v>294144</v>
      </c>
      <c r="BY150" s="592">
        <f t="shared" si="1845"/>
        <v>409761</v>
      </c>
      <c r="BZ150" s="592">
        <f t="shared" si="1845"/>
        <v>381448</v>
      </c>
      <c r="CA150" s="592">
        <f t="shared" si="1845"/>
        <v>374193</v>
      </c>
      <c r="CB150" s="592">
        <f t="shared" si="1845"/>
        <v>301103</v>
      </c>
      <c r="CC150" s="592">
        <f t="shared" si="1845"/>
        <v>453731</v>
      </c>
      <c r="CD150" s="592">
        <f t="shared" ref="CD150" si="1846">+CD95+CD99+CD101-CD118-CD125</f>
        <v>393608</v>
      </c>
      <c r="CE150" s="592">
        <f t="shared" ref="CE150" si="1847">+CE95+CE99+CE101-CE118-CE125</f>
        <v>431230</v>
      </c>
      <c r="CF150" s="592">
        <f t="shared" ref="CF150:CH150" si="1848">+CF95+CF99+CF101-CF118-CF125</f>
        <v>460042</v>
      </c>
      <c r="CG150" s="592">
        <f t="shared" si="1848"/>
        <v>343732</v>
      </c>
      <c r="CH150" s="592">
        <f t="shared" si="1848"/>
        <v>401824</v>
      </c>
      <c r="CI150" s="592">
        <f t="shared" ref="CI150:CJ150" si="1849">+CI95+CI99+CI101-CI118-CI125</f>
        <v>382142</v>
      </c>
      <c r="CJ150" s="592">
        <f t="shared" si="1849"/>
        <v>296907</v>
      </c>
      <c r="CK150" s="592">
        <f t="shared" ref="CK150" si="1850">+CK95+CK99+CK101-CK118-CK125</f>
        <v>102602</v>
      </c>
      <c r="CL150" s="941">
        <f t="shared" ref="CL150:CP150" si="1851">+CL95+CL99+CL101-CL118-CL125</f>
        <v>130721.67850162864</v>
      </c>
      <c r="CM150" s="941">
        <f t="shared" si="1851"/>
        <v>116466.57461027744</v>
      </c>
      <c r="CN150" s="941">
        <f t="shared" si="1851"/>
        <v>119675.68285914103</v>
      </c>
      <c r="CO150" s="941">
        <f t="shared" si="1851"/>
        <v>119999.86763843871</v>
      </c>
      <c r="CP150" s="941">
        <f t="shared" si="1851"/>
        <v>137120.78187861777</v>
      </c>
      <c r="CQ150" s="941"/>
      <c r="CR150" s="941">
        <v>130721.67850162864</v>
      </c>
      <c r="CT150" s="592"/>
      <c r="CU150" s="592">
        <f t="shared" ref="CU150:DU150" si="1852">+CU95+CU99+CU101-CU118-CU125</f>
        <v>0</v>
      </c>
      <c r="CV150" s="592"/>
      <c r="CW150" s="592">
        <f t="shared" si="1852"/>
        <v>0</v>
      </c>
      <c r="CX150" s="592">
        <f t="shared" si="1852"/>
        <v>26195</v>
      </c>
      <c r="CY150" s="592">
        <f t="shared" si="1852"/>
        <v>16329</v>
      </c>
      <c r="CZ150" s="592">
        <f t="shared" si="1852"/>
        <v>37521</v>
      </c>
      <c r="DA150" s="592">
        <f t="shared" si="1852"/>
        <v>-31661</v>
      </c>
      <c r="DB150" s="592">
        <f t="shared" si="1852"/>
        <v>-50057</v>
      </c>
      <c r="DC150" s="592">
        <f t="shared" si="1852"/>
        <v>-61079</v>
      </c>
      <c r="DD150" s="592">
        <f t="shared" si="1852"/>
        <v>-2398</v>
      </c>
      <c r="DE150" s="592">
        <f t="shared" si="1852"/>
        <v>17738</v>
      </c>
      <c r="DF150" s="592">
        <f t="shared" si="1852"/>
        <v>35954</v>
      </c>
      <c r="DG150" s="592">
        <f t="shared" si="1852"/>
        <v>43016</v>
      </c>
      <c r="DH150" s="592">
        <f t="shared" si="1852"/>
        <v>66737</v>
      </c>
      <c r="DI150" s="592">
        <f t="shared" si="1852"/>
        <v>76162</v>
      </c>
      <c r="DJ150" s="592">
        <f t="shared" si="1852"/>
        <v>45343</v>
      </c>
      <c r="DK150" s="592">
        <f t="shared" si="1852"/>
        <v>567500</v>
      </c>
      <c r="DL150" s="592">
        <f t="shared" si="1852"/>
        <v>503693</v>
      </c>
      <c r="DM150" s="592">
        <f t="shared" si="1852"/>
        <v>381448</v>
      </c>
      <c r="DN150" s="592">
        <f t="shared" si="1852"/>
        <v>393608</v>
      </c>
      <c r="DO150" s="592">
        <f t="shared" si="1852"/>
        <v>401824</v>
      </c>
      <c r="DP150" s="592">
        <f t="shared" ref="DP150:DQ150" si="1853">+DP95+DP99+DP101-DP118-DP125</f>
        <v>130721.67850162864</v>
      </c>
      <c r="DQ150" s="592">
        <f t="shared" si="1853"/>
        <v>137120.78187861777</v>
      </c>
      <c r="DR150" s="599">
        <f t="shared" si="1852"/>
        <v>151834.63327413046</v>
      </c>
      <c r="DS150" s="599">
        <f t="shared" si="1852"/>
        <v>164854.76302000257</v>
      </c>
      <c r="DT150" s="599">
        <f t="shared" si="1852"/>
        <v>178763.76730614252</v>
      </c>
      <c r="DU150" s="599">
        <f t="shared" si="1852"/>
        <v>193610.76559905134</v>
      </c>
      <c r="DX150" s="599">
        <v>146668.80960231752</v>
      </c>
      <c r="DY150" s="599">
        <v>161379.72308195737</v>
      </c>
    </row>
    <row r="151" spans="1:129" s="904" customFormat="1">
      <c r="A151" s="939"/>
      <c r="B151" s="913"/>
      <c r="C151" s="592"/>
      <c r="D151" s="592"/>
      <c r="E151" s="592"/>
      <c r="F151" s="592"/>
      <c r="G151" s="592"/>
      <c r="H151" s="592"/>
      <c r="I151" s="592"/>
      <c r="J151" s="592"/>
      <c r="K151" s="592"/>
      <c r="L151" s="592"/>
      <c r="M151" s="592"/>
      <c r="N151" s="592"/>
      <c r="O151" s="592"/>
      <c r="P151" s="592"/>
      <c r="Q151" s="592"/>
      <c r="R151" s="592"/>
      <c r="S151" s="592"/>
      <c r="T151" s="592"/>
      <c r="U151" s="592"/>
      <c r="V151" s="592"/>
      <c r="W151" s="592"/>
      <c r="X151" s="592"/>
      <c r="Y151" s="592"/>
      <c r="Z151" s="592"/>
      <c r="AA151" s="592"/>
      <c r="AB151" s="592"/>
      <c r="AC151" s="592"/>
      <c r="AD151" s="592"/>
      <c r="AE151" s="592"/>
      <c r="AF151" s="592"/>
      <c r="AG151" s="592"/>
      <c r="AH151" s="592"/>
      <c r="AI151" s="592"/>
      <c r="AJ151" s="592"/>
      <c r="AK151" s="592"/>
      <c r="AL151" s="592"/>
      <c r="AM151" s="592"/>
      <c r="AN151" s="592"/>
      <c r="AO151" s="592"/>
      <c r="AP151" s="592"/>
      <c r="AQ151" s="592"/>
      <c r="AR151" s="592"/>
      <c r="AS151" s="592"/>
      <c r="AT151" s="592"/>
      <c r="AU151" s="592"/>
      <c r="AV151" s="592"/>
      <c r="AW151" s="592"/>
      <c r="AX151" s="592"/>
      <c r="AY151" s="592"/>
      <c r="AZ151" s="910"/>
      <c r="BA151" s="592"/>
      <c r="BB151" s="592"/>
      <c r="BC151" s="592"/>
      <c r="BD151" s="592"/>
      <c r="BE151" s="592"/>
      <c r="BF151" s="592"/>
      <c r="BG151" s="592"/>
      <c r="BH151" s="592"/>
      <c r="BI151" s="592"/>
      <c r="BJ151" s="592"/>
      <c r="BK151" s="592"/>
      <c r="BL151" s="592"/>
      <c r="BM151" s="592"/>
      <c r="BN151" s="592"/>
      <c r="BO151" s="592"/>
      <c r="BP151" s="592"/>
      <c r="BQ151" s="592"/>
      <c r="BR151" s="592"/>
      <c r="BS151" s="592"/>
      <c r="BT151" s="592"/>
      <c r="BU151" s="592"/>
      <c r="BV151" s="592"/>
      <c r="BW151" s="592"/>
      <c r="BX151" s="592"/>
      <c r="BY151" s="592"/>
      <c r="BZ151" s="592"/>
      <c r="CA151" s="592"/>
      <c r="CB151" s="592"/>
      <c r="CC151" s="592"/>
      <c r="CD151" s="592"/>
      <c r="CE151" s="592"/>
      <c r="CF151" s="592"/>
      <c r="CG151" s="592"/>
      <c r="CH151" s="592"/>
      <c r="CI151" s="592"/>
      <c r="CJ151" s="592"/>
      <c r="CK151" s="592"/>
      <c r="CL151" s="941"/>
      <c r="CM151" s="941"/>
      <c r="CN151" s="941"/>
      <c r="CO151" s="941"/>
      <c r="CP151" s="941"/>
      <c r="CQ151" s="941"/>
      <c r="CR151" s="941"/>
      <c r="CT151" s="592"/>
      <c r="CU151" s="592"/>
      <c r="CV151" s="592"/>
      <c r="CW151" s="592"/>
      <c r="CX151" s="592"/>
      <c r="CY151" s="592"/>
      <c r="CZ151" s="592"/>
      <c r="DA151" s="592"/>
      <c r="DB151" s="592"/>
      <c r="DC151" s="592"/>
      <c r="DD151" s="592"/>
      <c r="DE151" s="592"/>
      <c r="DF151" s="592"/>
      <c r="DG151" s="592"/>
      <c r="DH151" s="592"/>
      <c r="DI151" s="592"/>
      <c r="DJ151" s="592"/>
      <c r="DK151" s="592"/>
      <c r="DL151" s="592"/>
      <c r="DM151" s="592"/>
      <c r="DN151" s="592"/>
      <c r="DO151" s="592"/>
      <c r="DP151" s="592"/>
      <c r="DQ151" s="592"/>
      <c r="DR151" s="599"/>
      <c r="DS151" s="599"/>
      <c r="DT151" s="599"/>
      <c r="DU151" s="599"/>
      <c r="DX151" s="599"/>
      <c r="DY151" s="599"/>
    </row>
    <row r="152" spans="1:129" s="904" customFormat="1">
      <c r="A152" s="939"/>
      <c r="B152" s="913"/>
      <c r="C152" s="592"/>
      <c r="D152" s="592"/>
      <c r="E152" s="592"/>
      <c r="F152" s="592"/>
      <c r="G152" s="592"/>
      <c r="H152" s="592"/>
      <c r="I152" s="592"/>
      <c r="J152" s="592"/>
      <c r="K152" s="592"/>
      <c r="L152" s="592"/>
      <c r="M152" s="592"/>
      <c r="N152" s="592"/>
      <c r="O152" s="592"/>
      <c r="P152" s="592"/>
      <c r="Q152" s="592"/>
      <c r="R152" s="592"/>
      <c r="S152" s="592"/>
      <c r="T152" s="592"/>
      <c r="U152" s="592"/>
      <c r="V152" s="592"/>
      <c r="W152" s="592"/>
      <c r="X152" s="592"/>
      <c r="Y152" s="592"/>
      <c r="Z152" s="592"/>
      <c r="AA152" s="592"/>
      <c r="AB152" s="592"/>
      <c r="AC152" s="592"/>
      <c r="AD152" s="592"/>
      <c r="AE152" s="592"/>
      <c r="AF152" s="592"/>
      <c r="AG152" s="592"/>
      <c r="AH152" s="592"/>
      <c r="AI152" s="592"/>
      <c r="AJ152" s="592"/>
      <c r="AK152" s="592"/>
      <c r="AL152" s="592"/>
      <c r="AM152" s="592"/>
      <c r="AN152" s="592"/>
      <c r="AO152" s="592"/>
      <c r="AP152" s="592"/>
      <c r="AQ152" s="592"/>
      <c r="AR152" s="592"/>
      <c r="AS152" s="592"/>
      <c r="AT152" s="592"/>
      <c r="AU152" s="592"/>
      <c r="AV152" s="592"/>
      <c r="AW152" s="592"/>
      <c r="AX152" s="592"/>
      <c r="AY152" s="592"/>
      <c r="AZ152" s="910"/>
      <c r="BA152" s="592"/>
      <c r="BB152" s="592"/>
      <c r="BC152" s="592"/>
      <c r="BD152" s="592"/>
      <c r="BE152" s="592"/>
      <c r="BF152" s="592"/>
      <c r="BG152" s="592"/>
      <c r="BH152" s="592"/>
      <c r="BI152" s="592"/>
      <c r="BJ152" s="592"/>
      <c r="BK152" s="592"/>
      <c r="BL152" s="592"/>
      <c r="BM152" s="592"/>
      <c r="BN152" s="592"/>
      <c r="BO152" s="592"/>
      <c r="BP152" s="592"/>
      <c r="BQ152" s="592"/>
      <c r="BR152" s="592"/>
      <c r="BS152" s="592"/>
      <c r="BT152" s="592"/>
      <c r="BU152" s="592"/>
      <c r="BV152" s="592"/>
      <c r="BW152" s="592"/>
      <c r="BX152" s="592"/>
      <c r="BY152" s="592"/>
      <c r="BZ152" s="592"/>
      <c r="CA152" s="592"/>
      <c r="CB152" s="592"/>
      <c r="CC152" s="592"/>
      <c r="CD152" s="592"/>
      <c r="CE152" s="592"/>
      <c r="CF152" s="592"/>
      <c r="CG152" s="592"/>
      <c r="CH152" s="592"/>
      <c r="CI152" s="592"/>
      <c r="CJ152" s="592"/>
      <c r="CK152" s="592"/>
      <c r="CL152" s="941"/>
      <c r="CM152" s="941"/>
      <c r="CN152" s="941"/>
      <c r="CO152" s="941"/>
      <c r="CP152" s="941"/>
      <c r="CQ152" s="941"/>
      <c r="CR152" s="941"/>
      <c r="CT152" s="592"/>
      <c r="CU152" s="592"/>
      <c r="CV152" s="592"/>
      <c r="CW152" s="592"/>
      <c r="CX152" s="592"/>
      <c r="CY152" s="592"/>
      <c r="CZ152" s="592"/>
      <c r="DA152" s="592"/>
      <c r="DB152" s="592"/>
      <c r="DC152" s="592"/>
      <c r="DD152" s="592"/>
      <c r="DE152" s="592"/>
      <c r="DF152" s="592"/>
      <c r="DG152" s="592"/>
      <c r="DH152" s="592"/>
      <c r="DI152" s="592"/>
      <c r="DJ152" s="592"/>
      <c r="DK152" s="592"/>
      <c r="DL152" s="592"/>
      <c r="DM152" s="592"/>
      <c r="DN152" s="592"/>
      <c r="DO152" s="592"/>
      <c r="DP152" s="592"/>
      <c r="DQ152" s="592"/>
      <c r="DR152" s="599"/>
      <c r="DS152" s="599"/>
      <c r="DT152" s="599"/>
      <c r="DU152" s="599"/>
      <c r="DX152" s="599"/>
      <c r="DY152" s="599"/>
    </row>
    <row r="153" spans="1:129" s="904" customFormat="1">
      <c r="A153" s="939"/>
      <c r="B153" s="913"/>
      <c r="C153" s="592"/>
      <c r="D153" s="592"/>
      <c r="E153" s="592"/>
      <c r="F153" s="592"/>
      <c r="G153" s="592"/>
      <c r="H153" s="592"/>
      <c r="I153" s="592"/>
      <c r="J153" s="592"/>
      <c r="K153" s="592"/>
      <c r="L153" s="592"/>
      <c r="M153" s="592"/>
      <c r="N153" s="592"/>
      <c r="O153" s="592"/>
      <c r="P153" s="592"/>
      <c r="Q153" s="592"/>
      <c r="R153" s="592"/>
      <c r="S153" s="592"/>
      <c r="T153" s="592"/>
      <c r="U153" s="592"/>
      <c r="V153" s="592"/>
      <c r="W153" s="592"/>
      <c r="X153" s="592"/>
      <c r="Y153" s="592"/>
      <c r="Z153" s="592"/>
      <c r="AA153" s="592"/>
      <c r="AB153" s="592"/>
      <c r="AC153" s="592"/>
      <c r="AD153" s="592"/>
      <c r="AE153" s="592"/>
      <c r="AF153" s="592"/>
      <c r="AG153" s="592"/>
      <c r="AH153" s="592"/>
      <c r="AI153" s="592"/>
      <c r="AJ153" s="592"/>
      <c r="AK153" s="592"/>
      <c r="AL153" s="592"/>
      <c r="AM153" s="592"/>
      <c r="AN153" s="592"/>
      <c r="AO153" s="592"/>
      <c r="AP153" s="592"/>
      <c r="AQ153" s="592"/>
      <c r="AR153" s="592"/>
      <c r="AS153" s="592"/>
      <c r="AT153" s="592"/>
      <c r="AU153" s="592"/>
      <c r="AV153" s="592"/>
      <c r="AW153" s="592"/>
      <c r="AX153" s="592"/>
      <c r="AY153" s="592"/>
      <c r="AZ153" s="910"/>
      <c r="BA153" s="592"/>
      <c r="BB153" s="592"/>
      <c r="BC153" s="592"/>
      <c r="BD153" s="592"/>
      <c r="BE153" s="592"/>
      <c r="BF153" s="592"/>
      <c r="BG153" s="592"/>
      <c r="BH153" s="592"/>
      <c r="BI153" s="592"/>
      <c r="BJ153" s="592"/>
      <c r="BK153" s="592"/>
      <c r="BL153" s="592"/>
      <c r="BM153" s="592"/>
      <c r="BN153" s="592"/>
      <c r="BO153" s="592"/>
      <c r="BP153" s="592"/>
      <c r="BQ153" s="592"/>
      <c r="BR153" s="592"/>
      <c r="BS153" s="592"/>
      <c r="BT153" s="592"/>
      <c r="BU153" s="592"/>
      <c r="BV153" s="592"/>
      <c r="BW153" s="592"/>
      <c r="BX153" s="592"/>
      <c r="BY153" s="592"/>
      <c r="BZ153" s="592"/>
      <c r="CA153" s="592"/>
      <c r="CB153" s="592"/>
      <c r="CC153" s="592"/>
      <c r="CD153" s="592"/>
      <c r="CE153" s="592"/>
      <c r="CF153" s="592"/>
      <c r="CG153" s="592"/>
      <c r="CH153" s="592"/>
      <c r="CI153" s="592"/>
      <c r="CJ153" s="592"/>
      <c r="CK153" s="592"/>
      <c r="CL153" s="592"/>
      <c r="CM153" s="592"/>
      <c r="CN153" s="592"/>
      <c r="CO153" s="592"/>
      <c r="CP153" s="592"/>
      <c r="CQ153" s="592"/>
      <c r="CR153" s="592"/>
      <c r="CT153" s="592"/>
      <c r="CU153" s="592"/>
      <c r="CV153" s="592"/>
      <c r="CW153" s="592"/>
      <c r="CX153" s="592"/>
      <c r="CY153" s="592"/>
      <c r="CZ153" s="592"/>
      <c r="DA153" s="592"/>
      <c r="DB153" s="592"/>
      <c r="DC153" s="592"/>
      <c r="DD153" s="592"/>
      <c r="DE153" s="592"/>
      <c r="DF153" s="592"/>
      <c r="DG153" s="592"/>
      <c r="DH153" s="592"/>
      <c r="DI153" s="592"/>
      <c r="DJ153" s="592"/>
      <c r="DK153" s="592"/>
      <c r="DL153" s="592"/>
      <c r="DM153" s="592"/>
      <c r="DN153" s="592"/>
      <c r="DO153" s="592"/>
      <c r="DP153" s="592"/>
      <c r="DQ153" s="592"/>
      <c r="DR153" s="592"/>
      <c r="DS153" s="592"/>
      <c r="DT153" s="592"/>
      <c r="DU153" s="592"/>
      <c r="DX153" s="592"/>
      <c r="DY153" s="592"/>
    </row>
    <row r="154" spans="1:129" s="590" customFormat="1">
      <c r="A154" s="969"/>
      <c r="B154" s="969" t="s">
        <v>459</v>
      </c>
      <c r="C154" s="969"/>
      <c r="D154" s="969"/>
      <c r="E154" s="969"/>
      <c r="F154" s="969"/>
      <c r="G154" s="969"/>
      <c r="H154" s="970"/>
      <c r="I154" s="970"/>
      <c r="J154" s="970"/>
      <c r="K154" s="970"/>
      <c r="L154" s="970"/>
      <c r="M154" s="970"/>
      <c r="N154" s="970"/>
      <c r="O154" s="969" t="e">
        <f t="shared" ref="O154:BD154" si="1854">O157+O158-O159</f>
        <v>#REF!</v>
      </c>
      <c r="P154" s="969" t="e">
        <f t="shared" si="1854"/>
        <v>#REF!</v>
      </c>
      <c r="Q154" s="969" t="e">
        <f t="shared" si="1854"/>
        <v>#REF!</v>
      </c>
      <c r="R154" s="969" t="e">
        <f t="shared" si="1854"/>
        <v>#REF!</v>
      </c>
      <c r="S154" s="969" t="e">
        <f t="shared" si="1854"/>
        <v>#REF!</v>
      </c>
      <c r="T154" s="969" t="e">
        <f t="shared" si="1854"/>
        <v>#REF!</v>
      </c>
      <c r="U154" s="969" t="e">
        <f t="shared" si="1854"/>
        <v>#REF!</v>
      </c>
      <c r="V154" s="969" t="e">
        <f t="shared" si="1854"/>
        <v>#REF!</v>
      </c>
      <c r="W154" s="969" t="e">
        <f t="shared" si="1854"/>
        <v>#REF!</v>
      </c>
      <c r="X154" s="969" t="e">
        <f t="shared" si="1854"/>
        <v>#REF!</v>
      </c>
      <c r="Y154" s="969" t="e">
        <f t="shared" si="1854"/>
        <v>#REF!</v>
      </c>
      <c r="Z154" s="969" t="e">
        <f t="shared" si="1854"/>
        <v>#REF!</v>
      </c>
      <c r="AA154" s="969" t="e">
        <f t="shared" si="1854"/>
        <v>#REF!</v>
      </c>
      <c r="AB154" s="969" t="e">
        <f t="shared" si="1854"/>
        <v>#REF!</v>
      </c>
      <c r="AC154" s="969" t="e">
        <f t="shared" si="1854"/>
        <v>#REF!</v>
      </c>
      <c r="AD154" s="969" t="e">
        <f t="shared" si="1854"/>
        <v>#REF!</v>
      </c>
      <c r="AE154" s="969" t="e">
        <f t="shared" si="1854"/>
        <v>#REF!</v>
      </c>
      <c r="AF154" s="969" t="e">
        <f t="shared" si="1854"/>
        <v>#REF!</v>
      </c>
      <c r="AG154" s="969" t="e">
        <f t="shared" si="1854"/>
        <v>#REF!</v>
      </c>
      <c r="AH154" s="969" t="e">
        <f t="shared" si="1854"/>
        <v>#REF!</v>
      </c>
      <c r="AI154" s="969" t="e">
        <f t="shared" si="1854"/>
        <v>#REF!</v>
      </c>
      <c r="AJ154" s="969" t="e">
        <f t="shared" si="1854"/>
        <v>#REF!</v>
      </c>
      <c r="AK154" s="969" t="e">
        <f t="shared" si="1854"/>
        <v>#REF!</v>
      </c>
      <c r="AL154" s="969" t="e">
        <f t="shared" si="1854"/>
        <v>#REF!</v>
      </c>
      <c r="AM154" s="969" t="e">
        <f t="shared" si="1854"/>
        <v>#REF!</v>
      </c>
      <c r="AN154" s="969" t="e">
        <f t="shared" si="1854"/>
        <v>#REF!</v>
      </c>
      <c r="AO154" s="969" t="e">
        <f t="shared" si="1854"/>
        <v>#REF!</v>
      </c>
      <c r="AP154" s="969" t="e">
        <f t="shared" si="1854"/>
        <v>#REF!</v>
      </c>
      <c r="AQ154" s="969" t="e">
        <f t="shared" si="1854"/>
        <v>#REF!</v>
      </c>
      <c r="AR154" s="969" t="e">
        <f t="shared" si="1854"/>
        <v>#REF!</v>
      </c>
      <c r="AS154" s="969" t="e">
        <f t="shared" si="1854"/>
        <v>#REF!</v>
      </c>
      <c r="AT154" s="969" t="e">
        <f t="shared" si="1854"/>
        <v>#REF!</v>
      </c>
      <c r="AU154" s="969">
        <f t="shared" si="1854"/>
        <v>156.35073826964094</v>
      </c>
      <c r="AV154" s="969">
        <f t="shared" si="1854"/>
        <v>142.02727560464751</v>
      </c>
      <c r="AW154" s="969">
        <f t="shared" si="1854"/>
        <v>139.71492672285535</v>
      </c>
      <c r="AX154" s="969">
        <f t="shared" si="1854"/>
        <v>135.94995212234579</v>
      </c>
      <c r="AY154" s="969">
        <f t="shared" si="1854"/>
        <v>138.95806008725199</v>
      </c>
      <c r="AZ154" s="969">
        <f t="shared" si="1854"/>
        <v>130.97008077534431</v>
      </c>
      <c r="BA154" s="969">
        <f t="shared" si="1854"/>
        <v>133.23760910316923</v>
      </c>
      <c r="BB154" s="969">
        <f t="shared" si="1854"/>
        <v>139.52518062113705</v>
      </c>
      <c r="BC154" s="969">
        <f t="shared" si="1854"/>
        <v>162.95902435658576</v>
      </c>
      <c r="BD154" s="969">
        <f t="shared" si="1854"/>
        <v>160.59318526274194</v>
      </c>
      <c r="BE154" s="969">
        <f t="shared" ref="BE154:BN154" si="1855">BE157+BE158-BE159</f>
        <v>142.95622514825254</v>
      </c>
      <c r="BF154" s="969">
        <f t="shared" si="1855"/>
        <v>139.67968188944997</v>
      </c>
      <c r="BG154" s="969">
        <f t="shared" si="1855"/>
        <v>164.45920422899599</v>
      </c>
      <c r="BH154" s="969">
        <f t="shared" si="1855"/>
        <v>157.61586007012556</v>
      </c>
      <c r="BI154" s="969">
        <f t="shared" si="1855"/>
        <v>152.83705429464538</v>
      </c>
      <c r="BJ154" s="969">
        <f t="shared" si="1855"/>
        <v>154.15866207107973</v>
      </c>
      <c r="BK154" s="969">
        <f t="shared" si="1855"/>
        <v>173.94216900620182</v>
      </c>
      <c r="BL154" s="969">
        <f t="shared" si="1855"/>
        <v>161.1983774012499</v>
      </c>
      <c r="BM154" s="969">
        <f t="shared" si="1855"/>
        <v>154.69247239096012</v>
      </c>
      <c r="BN154" s="969">
        <f t="shared" si="1855"/>
        <v>149.82153720204539</v>
      </c>
      <c r="BO154" s="969">
        <f t="shared" ref="BO154:BY154" si="1856">BO157+BO158-BO159</f>
        <v>169.92605714390481</v>
      </c>
      <c r="BP154" s="969">
        <f t="shared" si="1856"/>
        <v>211.51836630750608</v>
      </c>
      <c r="BQ154" s="969">
        <f t="shared" si="1856"/>
        <v>192.97288234289118</v>
      </c>
      <c r="BR154" s="969">
        <f t="shared" si="1856"/>
        <v>181.9603521235432</v>
      </c>
      <c r="BS154" s="969">
        <f t="shared" si="1856"/>
        <v>214.23655174974414</v>
      </c>
      <c r="BT154" s="969">
        <f t="shared" si="1856"/>
        <v>196.40489473842831</v>
      </c>
      <c r="BU154" s="969">
        <f t="shared" si="1856"/>
        <v>172.0566060953812</v>
      </c>
      <c r="BV154" s="969">
        <f t="shared" si="1856"/>
        <v>178.7627293841135</v>
      </c>
      <c r="BW154" s="969">
        <f t="shared" si="1856"/>
        <v>201.53509744131904</v>
      </c>
      <c r="BX154" s="969">
        <f t="shared" si="1856"/>
        <v>187.8055524160319</v>
      </c>
      <c r="BY154" s="969">
        <f t="shared" si="1856"/>
        <v>194.04306326006628</v>
      </c>
      <c r="BZ154" s="969">
        <f t="shared" ref="BZ154:CA154" si="1857">BZ157+BZ158-BZ159</f>
        <v>194.1518827397764</v>
      </c>
      <c r="CA154" s="969">
        <f t="shared" si="1857"/>
        <v>215.51448961481674</v>
      </c>
      <c r="CB154" s="969">
        <f t="shared" ref="CB154:CC154" si="1858">CB157+CB158-CB159</f>
        <v>208.45192259414688</v>
      </c>
      <c r="CC154" s="969">
        <f t="shared" si="1858"/>
        <v>185.91913932398174</v>
      </c>
      <c r="CD154" s="969">
        <f t="shared" ref="CD154:CE154" si="1859">CD157+CD158-CD159</f>
        <v>176.47788145380233</v>
      </c>
      <c r="CE154" s="969">
        <f t="shared" si="1859"/>
        <v>187.83456956116112</v>
      </c>
      <c r="CF154" s="969">
        <f t="shared" ref="CF154:CH154" si="1860">CF157+CF158-CF159</f>
        <v>191.65188504249198</v>
      </c>
      <c r="CG154" s="969">
        <f t="shared" si="1860"/>
        <v>186.07782005797026</v>
      </c>
      <c r="CH154" s="969">
        <f t="shared" si="1860"/>
        <v>182.38755969477643</v>
      </c>
      <c r="CI154" s="969">
        <f t="shared" ref="CI154:CJ154" si="1861">CI157+CI158-CI159</f>
        <v>198.63888901052024</v>
      </c>
      <c r="CJ154" s="969">
        <f t="shared" si="1861"/>
        <v>192.00391284305823</v>
      </c>
      <c r="CK154" s="969">
        <f t="shared" ref="CK154" si="1862">CK157+CK158-CK159</f>
        <v>178.46488303069157</v>
      </c>
      <c r="CL154" s="969">
        <f t="shared" ref="CL154:CP154" si="1863">CL157+CL158-CL159</f>
        <v>182.38755969477643</v>
      </c>
      <c r="CM154" s="969">
        <f t="shared" si="1863"/>
        <v>198.63888901052024</v>
      </c>
      <c r="CN154" s="969">
        <f t="shared" si="1863"/>
        <v>192.00391284305823</v>
      </c>
      <c r="CO154" s="969">
        <f t="shared" si="1863"/>
        <v>178.46488303069157</v>
      </c>
      <c r="CP154" s="969">
        <f t="shared" si="1863"/>
        <v>182.38755969477643</v>
      </c>
      <c r="CQ154" s="969"/>
      <c r="CR154" s="969">
        <v>182.38755969477643</v>
      </c>
      <c r="CT154" s="969"/>
      <c r="CU154" s="969"/>
      <c r="CV154" s="969"/>
      <c r="CW154" s="969"/>
      <c r="CX154" s="969"/>
      <c r="CY154" s="969"/>
      <c r="CZ154" s="969"/>
      <c r="DA154" s="969"/>
      <c r="DB154" s="969"/>
      <c r="DC154" s="969"/>
      <c r="DD154" s="969"/>
      <c r="DE154" s="969">
        <f t="shared" ref="DE154:DI154" si="1864">DE157+DE158-DE159</f>
        <v>142.11996585152724</v>
      </c>
      <c r="DF154" s="969">
        <f t="shared" si="1864"/>
        <v>135.94995212234579</v>
      </c>
      <c r="DG154" s="969">
        <f t="shared" si="1864"/>
        <v>139.52518062113705</v>
      </c>
      <c r="DH154" s="969">
        <f t="shared" si="1864"/>
        <v>139.67968188944997</v>
      </c>
      <c r="DI154" s="969">
        <f t="shared" si="1864"/>
        <v>154.15866207107973</v>
      </c>
      <c r="DJ154" s="969">
        <f t="shared" ref="DJ154:DO154" si="1865">DJ157+DJ158-DJ159</f>
        <v>149.82153720204539</v>
      </c>
      <c r="DK154" s="969">
        <f t="shared" si="1865"/>
        <v>181.9603521235432</v>
      </c>
      <c r="DL154" s="969">
        <f t="shared" si="1865"/>
        <v>178.7627293841135</v>
      </c>
      <c r="DM154" s="969">
        <f t="shared" si="1865"/>
        <v>194.1518827397764</v>
      </c>
      <c r="DN154" s="969">
        <f t="shared" si="1865"/>
        <v>176.47788145380233</v>
      </c>
      <c r="DO154" s="969">
        <f t="shared" si="1865"/>
        <v>182.38755969477643</v>
      </c>
      <c r="DP154" s="969">
        <f t="shared" ref="DP154:DQ154" si="1866">DP157+DP158-DP159</f>
        <v>182.38755969477643</v>
      </c>
      <c r="DQ154" s="969">
        <f t="shared" si="1866"/>
        <v>182.38755969477643</v>
      </c>
      <c r="DR154" s="969">
        <f>DR157+DR158-DR159</f>
        <v>182.38755969477643</v>
      </c>
      <c r="DS154" s="969">
        <f t="shared" ref="DS154:DU154" si="1867">DS157+DS158-DS159</f>
        <v>182.38755969477643</v>
      </c>
      <c r="DT154" s="969">
        <f t="shared" si="1867"/>
        <v>182.38755969477643</v>
      </c>
      <c r="DU154" s="969">
        <f t="shared" si="1867"/>
        <v>182.38755969477643</v>
      </c>
      <c r="DX154" s="969">
        <v>182.38755969477637</v>
      </c>
      <c r="DY154" s="969">
        <v>182.38755969477637</v>
      </c>
    </row>
    <row r="155" spans="1:129" s="904" customFormat="1">
      <c r="A155" s="592"/>
      <c r="B155" s="592"/>
      <c r="C155" s="592"/>
      <c r="D155" s="592"/>
      <c r="E155" s="592"/>
      <c r="F155" s="592"/>
      <c r="G155" s="592"/>
      <c r="H155" s="914"/>
      <c r="I155" s="914"/>
      <c r="J155" s="914"/>
      <c r="K155" s="914"/>
      <c r="L155" s="914"/>
      <c r="M155" s="914"/>
      <c r="N155" s="914"/>
      <c r="O155" s="914"/>
      <c r="P155" s="914"/>
      <c r="Q155" s="914"/>
      <c r="R155" s="914"/>
      <c r="S155" s="914"/>
      <c r="T155" s="914"/>
      <c r="U155" s="914"/>
      <c r="V155" s="914"/>
      <c r="W155" s="914"/>
      <c r="X155" s="914"/>
      <c r="Y155" s="914"/>
      <c r="Z155" s="914"/>
      <c r="AA155" s="914"/>
      <c r="AB155" s="914"/>
      <c r="AC155" s="914"/>
      <c r="AD155" s="914"/>
      <c r="AE155" s="914"/>
      <c r="AF155" s="914"/>
      <c r="AG155" s="914"/>
      <c r="AH155" s="914"/>
      <c r="AI155" s="914"/>
      <c r="AJ155" s="914"/>
      <c r="AK155" s="914"/>
      <c r="AL155" s="914"/>
      <c r="AM155" s="914"/>
      <c r="AN155" s="914"/>
      <c r="AO155" s="914"/>
      <c r="AP155" s="914"/>
      <c r="AQ155" s="914"/>
      <c r="AR155" s="914"/>
      <c r="AS155" s="914"/>
      <c r="AT155" s="914"/>
      <c r="AU155" s="914"/>
      <c r="AV155" s="914"/>
      <c r="AW155" s="914"/>
      <c r="AX155" s="914"/>
      <c r="AY155" s="914"/>
      <c r="AZ155" s="915"/>
      <c r="BA155" s="914"/>
      <c r="BB155" s="914"/>
      <c r="BC155" s="914"/>
      <c r="BD155" s="914"/>
      <c r="BE155" s="914"/>
      <c r="BF155" s="914"/>
      <c r="BG155" s="914"/>
      <c r="BH155" s="914"/>
      <c r="BI155" s="914"/>
      <c r="BJ155" s="914"/>
      <c r="BK155" s="914"/>
      <c r="BL155" s="914"/>
      <c r="BM155" s="914"/>
      <c r="BN155" s="914"/>
      <c r="BO155" s="914"/>
      <c r="BP155" s="914"/>
      <c r="BQ155" s="914"/>
      <c r="BR155" s="914"/>
      <c r="BS155" s="914"/>
      <c r="BT155" s="914"/>
      <c r="BU155" s="914"/>
      <c r="BV155" s="914"/>
      <c r="BW155" s="914"/>
      <c r="BX155" s="914"/>
      <c r="BY155" s="914"/>
      <c r="BZ155" s="914"/>
      <c r="CA155" s="914"/>
      <c r="CB155" s="914"/>
      <c r="CC155" s="914"/>
      <c r="CD155" s="914"/>
      <c r="CE155" s="914"/>
      <c r="CF155" s="914"/>
      <c r="CG155" s="914"/>
      <c r="CH155" s="914"/>
      <c r="CI155" s="914"/>
      <c r="CJ155" s="914"/>
      <c r="CK155" s="914"/>
      <c r="CL155" s="914"/>
      <c r="CM155" s="914"/>
      <c r="CN155" s="914"/>
      <c r="CO155" s="914"/>
      <c r="CP155" s="914"/>
      <c r="CQ155" s="914"/>
      <c r="CR155" s="914"/>
      <c r="CT155" s="914"/>
      <c r="CU155" s="914"/>
      <c r="CV155" s="914"/>
      <c r="CW155" s="914"/>
      <c r="CX155" s="592"/>
      <c r="CY155" s="592"/>
      <c r="CZ155" s="592"/>
      <c r="DA155" s="592"/>
      <c r="DB155" s="592"/>
      <c r="DC155" s="592"/>
      <c r="DD155" s="592"/>
      <c r="DE155" s="592"/>
      <c r="DF155" s="911"/>
      <c r="DG155" s="911"/>
      <c r="DH155" s="911"/>
      <c r="DI155" s="911"/>
      <c r="DJ155" s="911"/>
      <c r="DK155" s="911"/>
      <c r="DL155" s="911"/>
      <c r="DM155" s="911"/>
      <c r="DN155" s="911"/>
      <c r="DO155" s="911"/>
      <c r="DP155" s="911"/>
      <c r="DQ155" s="911"/>
      <c r="DR155" s="911"/>
      <c r="DS155" s="911"/>
      <c r="DT155" s="911"/>
      <c r="DU155" s="911"/>
      <c r="DX155" s="911"/>
      <c r="DY155" s="911"/>
    </row>
    <row r="156" spans="1:129" s="904" customFormat="1">
      <c r="A156" s="594"/>
      <c r="B156" s="916" t="s">
        <v>460</v>
      </c>
      <c r="C156" s="911">
        <f>+C132/(SUM(C6:C6))</f>
        <v>0</v>
      </c>
      <c r="D156" s="911">
        <f>+D132/(SUM(C6:D6))</f>
        <v>0.22954052455137053</v>
      </c>
      <c r="E156" s="911">
        <f>+E132/(SUM(C6:E6))</f>
        <v>0.14613991885288211</v>
      </c>
      <c r="F156" s="911">
        <f t="shared" ref="F156:AK156" si="1868">+F132/(SUM(C6:F6))</f>
        <v>0.13154274882470612</v>
      </c>
      <c r="G156" s="911">
        <f t="shared" si="1868"/>
        <v>0.19560069052452528</v>
      </c>
      <c r="H156" s="911">
        <f t="shared" si="1868"/>
        <v>0.14109053151054438</v>
      </c>
      <c r="I156" s="911">
        <f t="shared" si="1868"/>
        <v>0.13444496690418489</v>
      </c>
      <c r="J156" s="911">
        <f t="shared" si="1868"/>
        <v>9.1762274899178792E-2</v>
      </c>
      <c r="K156" s="911">
        <f t="shared" si="1868"/>
        <v>0.16782635086392367</v>
      </c>
      <c r="L156" s="911">
        <f t="shared" si="1868"/>
        <v>0.12349433006338958</v>
      </c>
      <c r="M156" s="911">
        <f t="shared" si="1868"/>
        <v>0.11043410959811768</v>
      </c>
      <c r="N156" s="911">
        <f t="shared" si="1868"/>
        <v>6.1575666225629197E-2</v>
      </c>
      <c r="O156" s="911">
        <f t="shared" si="1868"/>
        <v>0.14218869123055802</v>
      </c>
      <c r="P156" s="911">
        <f t="shared" si="1868"/>
        <v>9.6062664737961032E-2</v>
      </c>
      <c r="Q156" s="911">
        <f t="shared" si="1868"/>
        <v>9.6360754101352294E-2</v>
      </c>
      <c r="R156" s="911">
        <f t="shared" si="1868"/>
        <v>0.15855705436577747</v>
      </c>
      <c r="S156" s="911">
        <f t="shared" si="1868"/>
        <v>0.12121839179706438</v>
      </c>
      <c r="T156" s="911">
        <f t="shared" si="1868"/>
        <v>0.1332591301486232</v>
      </c>
      <c r="U156" s="911">
        <f t="shared" si="1868"/>
        <v>0.14718579212183053</v>
      </c>
      <c r="V156" s="911">
        <f t="shared" si="1868"/>
        <v>0.21969466886730094</v>
      </c>
      <c r="W156" s="911">
        <f t="shared" si="1868"/>
        <v>0.24486072253983701</v>
      </c>
      <c r="X156" s="911">
        <f t="shared" si="1868"/>
        <v>0.20602901311484428</v>
      </c>
      <c r="Y156" s="911">
        <f t="shared" si="1868"/>
        <v>0.17519058145054447</v>
      </c>
      <c r="Z156" s="911">
        <f t="shared" si="1868"/>
        <v>0.20125036596283341</v>
      </c>
      <c r="AA156" s="911">
        <f t="shared" si="1868"/>
        <v>0.20181830871006279</v>
      </c>
      <c r="AB156" s="911">
        <f t="shared" si="1868"/>
        <v>0.21990804291645677</v>
      </c>
      <c r="AC156" s="911">
        <f t="shared" si="1868"/>
        <v>0.21333546232352668</v>
      </c>
      <c r="AD156" s="911">
        <f t="shared" si="1868"/>
        <v>0.20883948100887642</v>
      </c>
      <c r="AE156" s="911">
        <f t="shared" si="1868"/>
        <v>0.2355409381910484</v>
      </c>
      <c r="AF156" s="911">
        <f t="shared" si="1868"/>
        <v>0.20854730293395587</v>
      </c>
      <c r="AG156" s="911">
        <f t="shared" si="1868"/>
        <v>0.21002905559563972</v>
      </c>
      <c r="AH156" s="911">
        <f t="shared" si="1868"/>
        <v>0.20091016265961659</v>
      </c>
      <c r="AI156" s="911">
        <f t="shared" si="1868"/>
        <v>0.24454629087463881</v>
      </c>
      <c r="AJ156" s="911">
        <f t="shared" si="1868"/>
        <v>0.23409540593860706</v>
      </c>
      <c r="AK156" s="911">
        <f t="shared" si="1868"/>
        <v>0.24101610972835041</v>
      </c>
      <c r="AL156" s="911">
        <f t="shared" ref="AL156:BQ156" si="1869">+AL132/(SUM(AI6:AL6))</f>
        <v>0.22078090194246847</v>
      </c>
      <c r="AM156" s="911">
        <f t="shared" si="1869"/>
        <v>0.25875094210431931</v>
      </c>
      <c r="AN156" s="911">
        <f t="shared" si="1869"/>
        <v>0.2608847484856549</v>
      </c>
      <c r="AO156" s="911">
        <f t="shared" si="1869"/>
        <v>0.26242642708291253</v>
      </c>
      <c r="AP156" s="911">
        <f t="shared" si="1869"/>
        <v>0.2522884727238946</v>
      </c>
      <c r="AQ156" s="911">
        <f t="shared" si="1869"/>
        <v>0.26428920818843105</v>
      </c>
      <c r="AR156" s="911">
        <f t="shared" si="1869"/>
        <v>0.25477128434899676</v>
      </c>
      <c r="AS156" s="911">
        <f t="shared" si="1869"/>
        <v>0.25777022494521712</v>
      </c>
      <c r="AT156" s="911">
        <f t="shared" si="1869"/>
        <v>0.25078258542297571</v>
      </c>
      <c r="AU156" s="911">
        <f t="shared" si="1869"/>
        <v>0.28702124252276079</v>
      </c>
      <c r="AV156" s="911">
        <f t="shared" si="1869"/>
        <v>0.26404723901230692</v>
      </c>
      <c r="AW156" s="911">
        <f t="shared" si="1869"/>
        <v>0.27756754012874008</v>
      </c>
      <c r="AX156" s="911">
        <f t="shared" si="1869"/>
        <v>0.2463172057271385</v>
      </c>
      <c r="AY156" s="911">
        <f t="shared" si="1869"/>
        <v>0.23644892275134999</v>
      </c>
      <c r="AZ156" s="911">
        <f t="shared" si="1869"/>
        <v>0.22046260868631057</v>
      </c>
      <c r="BA156" s="911">
        <f t="shared" si="1869"/>
        <v>0.21457782292841426</v>
      </c>
      <c r="BB156" s="911">
        <f t="shared" si="1869"/>
        <v>0.21996642682877682</v>
      </c>
      <c r="BC156" s="911">
        <f t="shared" si="1869"/>
        <v>0.25808988093574547</v>
      </c>
      <c r="BD156" s="911">
        <f t="shared" si="1869"/>
        <v>0.25114098937732238</v>
      </c>
      <c r="BE156" s="911">
        <f t="shared" si="1869"/>
        <v>0.21065257435101889</v>
      </c>
      <c r="BF156" s="911">
        <f t="shared" si="1869"/>
        <v>0.20371303969947496</v>
      </c>
      <c r="BG156" s="911">
        <f t="shared" si="1869"/>
        <v>0.24043895040344687</v>
      </c>
      <c r="BH156" s="911">
        <f t="shared" si="1869"/>
        <v>0.24577736750294504</v>
      </c>
      <c r="BI156" s="911">
        <f t="shared" si="1869"/>
        <v>0.22689814502839811</v>
      </c>
      <c r="BJ156" s="911">
        <f t="shared" si="1869"/>
        <v>0.22281811718473807</v>
      </c>
      <c r="BK156" s="911">
        <f t="shared" si="1869"/>
        <v>0.27596663572438146</v>
      </c>
      <c r="BL156" s="911">
        <f t="shared" si="1869"/>
        <v>0.26015366625456915</v>
      </c>
      <c r="BM156" s="911">
        <f t="shared" si="1869"/>
        <v>0.23561228879492321</v>
      </c>
      <c r="BN156" s="911">
        <f t="shared" si="1869"/>
        <v>0.22677564654176693</v>
      </c>
      <c r="BO156" s="911">
        <f t="shared" si="1869"/>
        <v>0.26773810807669934</v>
      </c>
      <c r="BP156" s="911">
        <f t="shared" si="1869"/>
        <v>0.3526517340315824</v>
      </c>
      <c r="BQ156" s="911">
        <f t="shared" si="1869"/>
        <v>0.36079518201272187</v>
      </c>
      <c r="BR156" s="911">
        <f t="shared" ref="BR156:CK156" si="1870">+BR132/(SUM(BO6:BR6))</f>
        <v>0.36906721081359339</v>
      </c>
      <c r="BS156" s="911">
        <f t="shared" si="1870"/>
        <v>0.34968137703893953</v>
      </c>
      <c r="BT156" s="911">
        <f t="shared" si="1870"/>
        <v>0.36216032943177495</v>
      </c>
      <c r="BU156" s="911">
        <f t="shared" si="1870"/>
        <v>0.30327369699255508</v>
      </c>
      <c r="BV156" s="911">
        <f t="shared" si="1870"/>
        <v>0.29231779647854395</v>
      </c>
      <c r="BW156" s="911">
        <f t="shared" si="1870"/>
        <v>0.32771257393042058</v>
      </c>
      <c r="BX156" s="911">
        <f t="shared" si="1870"/>
        <v>0.31558123620577999</v>
      </c>
      <c r="BY156" s="911">
        <f t="shared" si="1870"/>
        <v>0.31434269806849507</v>
      </c>
      <c r="BZ156" s="911">
        <f t="shared" si="1870"/>
        <v>0.30419684462604824</v>
      </c>
      <c r="CA156" s="911">
        <f t="shared" si="1870"/>
        <v>0.32190207918245595</v>
      </c>
      <c r="CB156" s="911">
        <f t="shared" si="1870"/>
        <v>0.31957792380238192</v>
      </c>
      <c r="CC156" s="911">
        <f t="shared" si="1870"/>
        <v>0.27233289882503531</v>
      </c>
      <c r="CD156" s="911">
        <f t="shared" si="1870"/>
        <v>0.27130136038287062</v>
      </c>
      <c r="CE156" s="911">
        <f t="shared" si="1870"/>
        <v>0.26993638833606687</v>
      </c>
      <c r="CF156" s="911">
        <f t="shared" si="1870"/>
        <v>0.28040103169401948</v>
      </c>
      <c r="CG156" s="911">
        <f t="shared" si="1870"/>
        <v>0.27103372357896904</v>
      </c>
      <c r="CH156" s="911">
        <f t="shared" si="1870"/>
        <v>0.25904822584852727</v>
      </c>
      <c r="CI156" s="911">
        <f t="shared" si="1870"/>
        <v>0.26768687811927383</v>
      </c>
      <c r="CJ156" s="911">
        <f t="shared" si="1870"/>
        <v>0.27054355677765146</v>
      </c>
      <c r="CK156" s="911">
        <f t="shared" si="1870"/>
        <v>0.26730854640166229</v>
      </c>
      <c r="CL156" s="911">
        <f t="shared" ref="CL156" si="1871">+CL132/(SUM(CI6:CL6))</f>
        <v>0.28742409076780662</v>
      </c>
      <c r="CM156" s="911">
        <f t="shared" ref="CM156" si="1872">+CM132/(SUM(CJ6:CM6))</f>
        <v>0.28347522912759177</v>
      </c>
      <c r="CN156" s="911">
        <f t="shared" ref="CN156" si="1873">+CN132/(SUM(CK6:CN6))</f>
        <v>0.27977338437318189</v>
      </c>
      <c r="CO156" s="911">
        <f t="shared" ref="CO156" si="1874">+CO132/(SUM(CL6:CO6))</f>
        <v>0.25917624687589935</v>
      </c>
      <c r="CP156" s="911">
        <f t="shared" ref="CP156" si="1875">+CP132/(SUM(CM6:CP6))</f>
        <v>0.2869868749195803</v>
      </c>
      <c r="CQ156" s="911"/>
      <c r="CR156" s="911">
        <v>0.28742409076780662</v>
      </c>
      <c r="CT156" s="911"/>
      <c r="CU156" s="911"/>
      <c r="CV156" s="911"/>
      <c r="CW156" s="911"/>
      <c r="CX156" s="911">
        <f t="shared" ref="CX156:DU156" si="1876">+CX132/(CX6)</f>
        <v>0.15855705436577747</v>
      </c>
      <c r="CY156" s="911">
        <f t="shared" si="1876"/>
        <v>0.21969466886730094</v>
      </c>
      <c r="CZ156" s="911">
        <f t="shared" si="1876"/>
        <v>0.20125036596283341</v>
      </c>
      <c r="DA156" s="911">
        <f t="shared" si="1876"/>
        <v>0.20883948100887642</v>
      </c>
      <c r="DB156" s="911">
        <f t="shared" si="1876"/>
        <v>0.20091016265961659</v>
      </c>
      <c r="DC156" s="911">
        <f t="shared" si="1876"/>
        <v>0.22078090194246847</v>
      </c>
      <c r="DD156" s="911">
        <f t="shared" si="1876"/>
        <v>0.2522884727238946</v>
      </c>
      <c r="DE156" s="911">
        <f t="shared" si="1876"/>
        <v>0.25078258542297571</v>
      </c>
      <c r="DF156" s="911">
        <f t="shared" si="1876"/>
        <v>0.2463172057271385</v>
      </c>
      <c r="DG156" s="911">
        <f t="shared" si="1876"/>
        <v>0.21996642682877682</v>
      </c>
      <c r="DH156" s="911">
        <f t="shared" si="1876"/>
        <v>0.20371303969947496</v>
      </c>
      <c r="DI156" s="911">
        <f t="shared" si="1876"/>
        <v>0.22281811718473807</v>
      </c>
      <c r="DJ156" s="911">
        <f t="shared" si="1876"/>
        <v>0.22677564654176693</v>
      </c>
      <c r="DK156" s="911">
        <f t="shared" si="1876"/>
        <v>0.36906721081359339</v>
      </c>
      <c r="DL156" s="911">
        <f t="shared" si="1876"/>
        <v>0.29231779647854395</v>
      </c>
      <c r="DM156" s="911">
        <f t="shared" si="1876"/>
        <v>0.30419684462604824</v>
      </c>
      <c r="DN156" s="911">
        <f t="shared" si="1876"/>
        <v>0.27130136038287062</v>
      </c>
      <c r="DO156" s="911">
        <f t="shared" si="1876"/>
        <v>0.25904822584852727</v>
      </c>
      <c r="DP156" s="911">
        <f t="shared" ref="DP156:DQ156" si="1877">+DP132/(DP6)</f>
        <v>0.28742409076780656</v>
      </c>
      <c r="DQ156" s="911">
        <f t="shared" si="1877"/>
        <v>0.2869868749195803</v>
      </c>
      <c r="DR156" s="911">
        <f t="shared" si="1876"/>
        <v>0.28935105913752401</v>
      </c>
      <c r="DS156" s="911">
        <f t="shared" si="1876"/>
        <v>0.29121790921868285</v>
      </c>
      <c r="DT156" s="911">
        <f t="shared" si="1876"/>
        <v>0.29296510198417036</v>
      </c>
      <c r="DU156" s="911">
        <f t="shared" si="1876"/>
        <v>0.29459939925562456</v>
      </c>
      <c r="DX156" s="911">
        <v>0.29011990398156212</v>
      </c>
      <c r="DY156" s="911">
        <v>0.29239085434180512</v>
      </c>
    </row>
    <row r="157" spans="1:129" s="2150" customFormat="1">
      <c r="A157" s="939"/>
      <c r="B157" s="912" t="s">
        <v>461</v>
      </c>
      <c r="C157" s="592" t="e">
        <f>365/(SUM(C6:C6)/C92)</f>
        <v>#DIV/0!</v>
      </c>
      <c r="D157" s="592">
        <f>365/(SUM(C6:D6)/D92)</f>
        <v>200.61736752745165</v>
      </c>
      <c r="E157" s="592">
        <f>365/(SUM(C6:E6)/E92)</f>
        <v>122.83127216244765</v>
      </c>
      <c r="F157" s="592">
        <f t="shared" ref="F157:AK157" si="1878">365/(SUM(C6:F6)/F92)</f>
        <v>124.99571190726815</v>
      </c>
      <c r="G157" s="592">
        <f t="shared" si="1878"/>
        <v>97.572193731616807</v>
      </c>
      <c r="H157" s="592">
        <f t="shared" si="1878"/>
        <v>95.289247371566944</v>
      </c>
      <c r="I157" s="592">
        <f t="shared" si="1878"/>
        <v>86.983723369624187</v>
      </c>
      <c r="J157" s="592">
        <f t="shared" si="1878"/>
        <v>115.86089002169486</v>
      </c>
      <c r="K157" s="592">
        <f t="shared" si="1878"/>
        <v>88.546158820856192</v>
      </c>
      <c r="L157" s="592">
        <f t="shared" si="1878"/>
        <v>82.829967389864521</v>
      </c>
      <c r="M157" s="592">
        <f t="shared" si="1878"/>
        <v>70.758348993496739</v>
      </c>
      <c r="N157" s="592">
        <f t="shared" si="1878"/>
        <v>95.853028725776142</v>
      </c>
      <c r="O157" s="592">
        <f t="shared" si="1878"/>
        <v>73.130373234923923</v>
      </c>
      <c r="P157" s="592">
        <f t="shared" si="1878"/>
        <v>74.180893387137331</v>
      </c>
      <c r="Q157" s="592">
        <f t="shared" si="1878"/>
        <v>70.496831710161942</v>
      </c>
      <c r="R157" s="592">
        <f t="shared" si="1878"/>
        <v>122.56977563765608</v>
      </c>
      <c r="S157" s="592">
        <f t="shared" si="1878"/>
        <v>64.367538201283168</v>
      </c>
      <c r="T157" s="592">
        <f t="shared" si="1878"/>
        <v>64.887461160516125</v>
      </c>
      <c r="U157" s="592">
        <f t="shared" si="1878"/>
        <v>56.068067677040091</v>
      </c>
      <c r="V157" s="592">
        <f t="shared" si="1878"/>
        <v>108.14850112711503</v>
      </c>
      <c r="W157" s="592">
        <f t="shared" si="1878"/>
        <v>84.678855057078508</v>
      </c>
      <c r="X157" s="592">
        <f t="shared" si="1878"/>
        <v>93.52967492269137</v>
      </c>
      <c r="Y157" s="592">
        <f t="shared" si="1878"/>
        <v>81.559451316712369</v>
      </c>
      <c r="Z157" s="592">
        <f t="shared" si="1878"/>
        <v>118.66096526187708</v>
      </c>
      <c r="AA157" s="592">
        <f t="shared" si="1878"/>
        <v>93.143198341025936</v>
      </c>
      <c r="AB157" s="592">
        <f t="shared" si="1878"/>
        <v>99.223686216245284</v>
      </c>
      <c r="AC157" s="592">
        <f t="shared" si="1878"/>
        <v>89.01301155167269</v>
      </c>
      <c r="AD157" s="592">
        <f t="shared" si="1878"/>
        <v>114.55333550439822</v>
      </c>
      <c r="AE157" s="592">
        <f t="shared" si="1878"/>
        <v>92.420102938746524</v>
      </c>
      <c r="AF157" s="592">
        <f t="shared" si="1878"/>
        <v>101.08384519863797</v>
      </c>
      <c r="AG157" s="592">
        <f t="shared" si="1878"/>
        <v>88.231287741398688</v>
      </c>
      <c r="AH157" s="592">
        <f t="shared" si="1878"/>
        <v>113.41677057144851</v>
      </c>
      <c r="AI157" s="592">
        <f t="shared" si="1878"/>
        <v>92.532139701664732</v>
      </c>
      <c r="AJ157" s="592">
        <f t="shared" si="1878"/>
        <v>101.13290875716461</v>
      </c>
      <c r="AK157" s="592">
        <f t="shared" si="1878"/>
        <v>95.68195086943183</v>
      </c>
      <c r="AL157" s="592">
        <f t="shared" ref="AL157:BQ157" si="1879">365/(SUM(AI6:AL6)/AL92)</f>
        <v>120.92913982314082</v>
      </c>
      <c r="AM157" s="592">
        <f t="shared" si="1879"/>
        <v>97.792281829958469</v>
      </c>
      <c r="AN157" s="592">
        <f t="shared" si="1879"/>
        <v>100.95897076098848</v>
      </c>
      <c r="AO157" s="592">
        <f t="shared" si="1879"/>
        <v>99.397128606765975</v>
      </c>
      <c r="AP157" s="592">
        <f t="shared" si="1879"/>
        <v>131.32529261744168</v>
      </c>
      <c r="AQ157" s="592">
        <f t="shared" si="1879"/>
        <v>109.94044100937109</v>
      </c>
      <c r="AR157" s="592">
        <f t="shared" si="1879"/>
        <v>110.54477449422042</v>
      </c>
      <c r="AS157" s="592">
        <f t="shared" si="1879"/>
        <v>104.94661026223035</v>
      </c>
      <c r="AT157" s="592">
        <f t="shared" si="1879"/>
        <v>133.55122579487443</v>
      </c>
      <c r="AU157" s="592">
        <f t="shared" si="1879"/>
        <v>107.83226421507813</v>
      </c>
      <c r="AV157" s="592">
        <f t="shared" si="1879"/>
        <v>111.17557893084229</v>
      </c>
      <c r="AW157" s="592">
        <f t="shared" si="1879"/>
        <v>102.5032247209444</v>
      </c>
      <c r="AX157" s="592">
        <f t="shared" si="1879"/>
        <v>125.909716822794</v>
      </c>
      <c r="AY157" s="592">
        <f t="shared" si="1879"/>
        <v>99.758265499419494</v>
      </c>
      <c r="AZ157" s="592">
        <f t="shared" si="1879"/>
        <v>107.09711082453013</v>
      </c>
      <c r="BA157" s="592">
        <f t="shared" si="1879"/>
        <v>97.773640630411563</v>
      </c>
      <c r="BB157" s="592">
        <f t="shared" si="1879"/>
        <v>124.99014427473581</v>
      </c>
      <c r="BC157" s="592">
        <f t="shared" si="1879"/>
        <v>102.6280063478779</v>
      </c>
      <c r="BD157" s="592">
        <f t="shared" si="1879"/>
        <v>114.90689373809272</v>
      </c>
      <c r="BE157" s="592">
        <f t="shared" si="1879"/>
        <v>104.04457788160569</v>
      </c>
      <c r="BF157" s="592">
        <f t="shared" si="1879"/>
        <v>129.6500035933509</v>
      </c>
      <c r="BG157" s="592">
        <f t="shared" si="1879"/>
        <v>103.35662036554561</v>
      </c>
      <c r="BH157" s="592">
        <f t="shared" si="1879"/>
        <v>109.7566787161887</v>
      </c>
      <c r="BI157" s="592">
        <f t="shared" si="1879"/>
        <v>103.52629482359009</v>
      </c>
      <c r="BJ157" s="592">
        <f t="shared" si="1879"/>
        <v>136.99269368059799</v>
      </c>
      <c r="BK157" s="592">
        <f t="shared" si="1879"/>
        <v>113.54188019317468</v>
      </c>
      <c r="BL157" s="592">
        <f t="shared" si="1879"/>
        <v>117.97513132818881</v>
      </c>
      <c r="BM157" s="592">
        <f t="shared" si="1879"/>
        <v>114.17161064548333</v>
      </c>
      <c r="BN157" s="592">
        <f t="shared" si="1879"/>
        <v>145.64164785146943</v>
      </c>
      <c r="BO157" s="592">
        <f t="shared" si="1879"/>
        <v>115.02152126116923</v>
      </c>
      <c r="BP157" s="592">
        <f t="shared" si="1879"/>
        <v>100.85682645742637</v>
      </c>
      <c r="BQ157" s="592">
        <f t="shared" si="1879"/>
        <v>127.96608748719223</v>
      </c>
      <c r="BR157" s="592">
        <f t="shared" ref="BR157:CK157" si="1880">365/(SUM(BO6:BR6)/BR92)</f>
        <v>184.58612106915317</v>
      </c>
      <c r="BS157" s="592">
        <f t="shared" si="1880"/>
        <v>135.14127448908746</v>
      </c>
      <c r="BT157" s="592">
        <f t="shared" si="1880"/>
        <v>150.86855907168274</v>
      </c>
      <c r="BU157" s="592">
        <f t="shared" si="1880"/>
        <v>145.01640288815494</v>
      </c>
      <c r="BV157" s="592">
        <f t="shared" si="1880"/>
        <v>186.88843311262141</v>
      </c>
      <c r="BW157" s="592">
        <f t="shared" si="1880"/>
        <v>158.58566179437454</v>
      </c>
      <c r="BX157" s="592">
        <f t="shared" si="1880"/>
        <v>163.76304886095767</v>
      </c>
      <c r="BY157" s="592">
        <f t="shared" si="1880"/>
        <v>152.62072644575571</v>
      </c>
      <c r="BZ157" s="592">
        <f t="shared" si="1880"/>
        <v>179.45438133899154</v>
      </c>
      <c r="CA157" s="592">
        <f t="shared" si="1880"/>
        <v>157.32275584633976</v>
      </c>
      <c r="CB157" s="592">
        <f t="shared" si="1880"/>
        <v>168.21420025961692</v>
      </c>
      <c r="CC157" s="592">
        <f t="shared" si="1880"/>
        <v>155.12727944160892</v>
      </c>
      <c r="CD157" s="592">
        <f t="shared" si="1880"/>
        <v>177.55938096911828</v>
      </c>
      <c r="CE157" s="592">
        <f t="shared" si="1880"/>
        <v>148.88618125819346</v>
      </c>
      <c r="CF157" s="592">
        <f t="shared" si="1880"/>
        <v>158.20319017440895</v>
      </c>
      <c r="CG157" s="592">
        <f t="shared" si="1880"/>
        <v>150.72521843931031</v>
      </c>
      <c r="CH157" s="592">
        <f t="shared" si="1880"/>
        <v>174.52941723699718</v>
      </c>
      <c r="CI157" s="592">
        <f t="shared" si="1880"/>
        <v>147.60824027659712</v>
      </c>
      <c r="CJ157" s="592">
        <f t="shared" si="1880"/>
        <v>153.63310857061694</v>
      </c>
      <c r="CK157" s="592">
        <f t="shared" si="1880"/>
        <v>141.7519256103696</v>
      </c>
      <c r="CL157" s="595">
        <f t="shared" ref="CL157:CL159" si="1881">+CH157</f>
        <v>174.52941723699718</v>
      </c>
      <c r="CM157" s="595">
        <f t="shared" ref="CM157:CM159" si="1882">+CI157</f>
        <v>147.60824027659712</v>
      </c>
      <c r="CN157" s="595">
        <f t="shared" ref="CN157:CN159" si="1883">+CJ157</f>
        <v>153.63310857061694</v>
      </c>
      <c r="CO157" s="595">
        <f t="shared" ref="CO157:CO159" si="1884">+CK157</f>
        <v>141.7519256103696</v>
      </c>
      <c r="CP157" s="595">
        <f t="shared" ref="CP157:CP159" si="1885">+CL157</f>
        <v>174.52941723699718</v>
      </c>
      <c r="CQ157" s="595"/>
      <c r="CR157" s="595">
        <v>174.52941723699718</v>
      </c>
      <c r="CT157" s="967"/>
      <c r="CU157" s="967"/>
      <c r="CV157" s="967"/>
      <c r="CW157" s="967"/>
      <c r="CX157" s="592">
        <f t="shared" ref="CX157:DO157" si="1886">365/((CX6)/CX92)</f>
        <v>122.56977563765608</v>
      </c>
      <c r="CY157" s="592">
        <f t="shared" si="1886"/>
        <v>108.14850112711503</v>
      </c>
      <c r="CZ157" s="592">
        <f t="shared" si="1886"/>
        <v>118.66096526187708</v>
      </c>
      <c r="DA157" s="592">
        <f t="shared" si="1886"/>
        <v>114.55333550439822</v>
      </c>
      <c r="DB157" s="592">
        <f t="shared" si="1886"/>
        <v>113.41677057144851</v>
      </c>
      <c r="DC157" s="592">
        <f t="shared" si="1886"/>
        <v>120.92913982314082</v>
      </c>
      <c r="DD157" s="592">
        <f t="shared" si="1886"/>
        <v>131.32529261744168</v>
      </c>
      <c r="DE157" s="592">
        <f t="shared" si="1886"/>
        <v>133.55122579487443</v>
      </c>
      <c r="DF157" s="592">
        <f t="shared" si="1886"/>
        <v>125.909716822794</v>
      </c>
      <c r="DG157" s="592">
        <f t="shared" si="1886"/>
        <v>124.99014427473581</v>
      </c>
      <c r="DH157" s="592">
        <f t="shared" si="1886"/>
        <v>129.6500035933509</v>
      </c>
      <c r="DI157" s="592">
        <f t="shared" si="1886"/>
        <v>136.99269368059799</v>
      </c>
      <c r="DJ157" s="592">
        <f t="shared" si="1886"/>
        <v>145.64164785146943</v>
      </c>
      <c r="DK157" s="592">
        <f t="shared" si="1886"/>
        <v>184.58612106915317</v>
      </c>
      <c r="DL157" s="592">
        <f t="shared" si="1886"/>
        <v>186.88843311262141</v>
      </c>
      <c r="DM157" s="592">
        <f t="shared" si="1886"/>
        <v>179.45438133899154</v>
      </c>
      <c r="DN157" s="592">
        <f t="shared" si="1886"/>
        <v>177.55938096911828</v>
      </c>
      <c r="DO157" s="592">
        <f t="shared" si="1886"/>
        <v>174.52941723699718</v>
      </c>
      <c r="DP157" s="592">
        <f>365/((DP6)/DP92)</f>
        <v>174.52941723699715</v>
      </c>
      <c r="DQ157" s="592">
        <f>365/((DQ6)/DQ92)</f>
        <v>174.52941723699715</v>
      </c>
      <c r="DR157" s="595">
        <f t="shared" ref="DR157:DR165" si="1887">DQ157</f>
        <v>174.52941723699715</v>
      </c>
      <c r="DS157" s="595">
        <f t="shared" ref="DS157:DS159" si="1888">DR157</f>
        <v>174.52941723699715</v>
      </c>
      <c r="DT157" s="595">
        <f t="shared" ref="DT157:DT159" si="1889">DS157</f>
        <v>174.52941723699715</v>
      </c>
      <c r="DU157" s="595">
        <f t="shared" ref="DU157:DU159" si="1890">DT157</f>
        <v>174.52941723699715</v>
      </c>
      <c r="DX157" s="595">
        <v>174.52941723699712</v>
      </c>
      <c r="DY157" s="595">
        <v>174.52941723699712</v>
      </c>
    </row>
    <row r="158" spans="1:129" s="904" customFormat="1">
      <c r="A158" s="939"/>
      <c r="B158" s="912" t="s">
        <v>462</v>
      </c>
      <c r="C158" s="917" t="e">
        <f>365/(-SUM(#REF!)/C93)</f>
        <v>#REF!</v>
      </c>
      <c r="D158" s="917" t="e">
        <f>365/(-SUM(#REF!)/D93)</f>
        <v>#REF!</v>
      </c>
      <c r="E158" s="917" t="e">
        <f>365/(-SUM(#REF!)/E93)</f>
        <v>#REF!</v>
      </c>
      <c r="F158" s="917" t="e">
        <f>365/(-SUM(#REF!)/F93)</f>
        <v>#REF!</v>
      </c>
      <c r="G158" s="917" t="e">
        <f>365/(-SUM(#REF!)/G93)</f>
        <v>#REF!</v>
      </c>
      <c r="H158" s="903" t="e">
        <f>365/(-SUM(#REF!)/H93)</f>
        <v>#REF!</v>
      </c>
      <c r="I158" s="903" t="e">
        <f>365/(-SUM(#REF!)/I93)</f>
        <v>#REF!</v>
      </c>
      <c r="J158" s="903" t="e">
        <f>365/(-SUM(#REF!)/J93)</f>
        <v>#REF!</v>
      </c>
      <c r="K158" s="903" t="e">
        <f>365/(-SUM(#REF!)/K93)</f>
        <v>#REF!</v>
      </c>
      <c r="L158" s="903" t="e">
        <f>365/(-SUM(#REF!)/L93)</f>
        <v>#REF!</v>
      </c>
      <c r="M158" s="903" t="e">
        <f>365/(-SUM(#REF!)/M93)</f>
        <v>#REF!</v>
      </c>
      <c r="N158" s="903" t="e">
        <f>365/(-SUM(#REF!)/N93)</f>
        <v>#REF!</v>
      </c>
      <c r="O158" s="903" t="e">
        <f>365/(-SUM(#REF!)/O93)</f>
        <v>#REF!</v>
      </c>
      <c r="P158" s="903" t="e">
        <f>365/(-SUM(#REF!)/P93)</f>
        <v>#REF!</v>
      </c>
      <c r="Q158" s="903" t="e">
        <f>365/(-SUM(#REF!)/Q93)</f>
        <v>#REF!</v>
      </c>
      <c r="R158" s="903" t="e">
        <f>365/(-SUM(#REF!)/R93)</f>
        <v>#REF!</v>
      </c>
      <c r="S158" s="903" t="e">
        <f>365/(-SUM(#REF!)/S93)</f>
        <v>#REF!</v>
      </c>
      <c r="T158" s="903" t="e">
        <f>365/(-SUM(#REF!)/T93)</f>
        <v>#REF!</v>
      </c>
      <c r="U158" s="903" t="e">
        <f>365/(-SUM(#REF!)/U93)</f>
        <v>#REF!</v>
      </c>
      <c r="V158" s="903" t="e">
        <f>365/(-SUM(#REF!)/V93)</f>
        <v>#REF!</v>
      </c>
      <c r="W158" s="903" t="e">
        <f>365/(-SUM(#REF!)/W93)</f>
        <v>#REF!</v>
      </c>
      <c r="X158" s="903" t="e">
        <f>365/(-SUM(#REF!)/X93)</f>
        <v>#REF!</v>
      </c>
      <c r="Y158" s="903" t="e">
        <f>365/(-SUM(#REF!)/Y93)</f>
        <v>#REF!</v>
      </c>
      <c r="Z158" s="903" t="e">
        <f>365/(-SUM(#REF!)/Z93)</f>
        <v>#REF!</v>
      </c>
      <c r="AA158" s="903" t="e">
        <f>365/(-SUM(#REF!)/AA93)</f>
        <v>#REF!</v>
      </c>
      <c r="AB158" s="903" t="e">
        <f>365/(-SUM(#REF!)/AB93)</f>
        <v>#REF!</v>
      </c>
      <c r="AC158" s="903" t="e">
        <f>365/(-SUM(#REF!)/AC93)</f>
        <v>#REF!</v>
      </c>
      <c r="AD158" s="903" t="e">
        <f>365/(-SUM(#REF!)/AD93)</f>
        <v>#REF!</v>
      </c>
      <c r="AE158" s="903" t="e">
        <f>365/(-SUM(#REF!)/AE93)</f>
        <v>#REF!</v>
      </c>
      <c r="AF158" s="903" t="e">
        <f>365/(-SUM(#REF!)/AF93)</f>
        <v>#REF!</v>
      </c>
      <c r="AG158" s="903" t="e">
        <f>365/(-SUM(#REF!)/AG93)</f>
        <v>#REF!</v>
      </c>
      <c r="AH158" s="903" t="e">
        <f>365/(-SUM(#REF!)/AH93)</f>
        <v>#REF!</v>
      </c>
      <c r="AI158" s="903" t="e">
        <f>365/(-SUM(#REF!)/AI93)</f>
        <v>#REF!</v>
      </c>
      <c r="AJ158" s="903" t="e">
        <f>365/(-SUM(#REF!)/AJ93)</f>
        <v>#REF!</v>
      </c>
      <c r="AK158" s="903" t="e">
        <f>365/(-SUM(#REF!)/AK93)</f>
        <v>#REF!</v>
      </c>
      <c r="AL158" s="903" t="e">
        <f>365/(-SUM(#REF!)/AL93)</f>
        <v>#REF!</v>
      </c>
      <c r="AM158" s="903" t="e">
        <f>365/(-SUM(#REF!)/AM93)</f>
        <v>#REF!</v>
      </c>
      <c r="AN158" s="903" t="e">
        <f>365/(-SUM(#REF!)/AN93)</f>
        <v>#REF!</v>
      </c>
      <c r="AO158" s="903" t="e">
        <f>365/(-SUM(#REF!)/AO93)</f>
        <v>#REF!</v>
      </c>
      <c r="AP158" s="903" t="e">
        <f>365/(-SUM(#REF!)/AP93)</f>
        <v>#REF!</v>
      </c>
      <c r="AQ158" s="903" t="e">
        <f>365/(-SUM(#REF!)/AQ93)</f>
        <v>#REF!</v>
      </c>
      <c r="AR158" s="903" t="e">
        <f>365/(-SUM(#REF!)/AR93)</f>
        <v>#REF!</v>
      </c>
      <c r="AS158" s="903" t="e">
        <f>365/(-SUM(#REF!)/AS93)</f>
        <v>#REF!</v>
      </c>
      <c r="AT158" s="903" t="e">
        <f>365/(-SUM(#REF!)/AT93)</f>
        <v>#REF!</v>
      </c>
      <c r="AU158" s="903">
        <f t="shared" ref="AU158:CK158" si="1891">365/(-SUM(AR7:AU7)/AU93)</f>
        <v>114.8541069843436</v>
      </c>
      <c r="AV158" s="903">
        <f t="shared" si="1891"/>
        <v>107.03728898634191</v>
      </c>
      <c r="AW158" s="903">
        <f t="shared" si="1891"/>
        <v>114.39934052186932</v>
      </c>
      <c r="AX158" s="903">
        <f t="shared" si="1891"/>
        <v>90.479116428123191</v>
      </c>
      <c r="AY158" s="903">
        <f t="shared" si="1891"/>
        <v>97.447134654559804</v>
      </c>
      <c r="AZ158" s="903">
        <f t="shared" si="1891"/>
        <v>100.50055006580759</v>
      </c>
      <c r="BA158" s="903">
        <f t="shared" si="1891"/>
        <v>113.15700560391701</v>
      </c>
      <c r="BB158" s="903">
        <f t="shared" si="1891"/>
        <v>110.88073277638041</v>
      </c>
      <c r="BC158" s="903">
        <f t="shared" si="1891"/>
        <v>126.5295956840843</v>
      </c>
      <c r="BD158" s="903">
        <f t="shared" si="1891"/>
        <v>116.89645204506917</v>
      </c>
      <c r="BE158" s="903">
        <f t="shared" si="1891"/>
        <v>121.94440531414509</v>
      </c>
      <c r="BF158" s="903">
        <f t="shared" si="1891"/>
        <v>114.42077915374749</v>
      </c>
      <c r="BG158" s="903">
        <f t="shared" si="1891"/>
        <v>133.60010204425771</v>
      </c>
      <c r="BH158" s="903">
        <f t="shared" si="1891"/>
        <v>130.02036082846308</v>
      </c>
      <c r="BI158" s="903">
        <f t="shared" si="1891"/>
        <v>141.17060820726954</v>
      </c>
      <c r="BJ158" s="903">
        <f t="shared" si="1891"/>
        <v>123.38536381452737</v>
      </c>
      <c r="BK158" s="903">
        <f t="shared" si="1891"/>
        <v>133.55508420633322</v>
      </c>
      <c r="BL158" s="903">
        <f t="shared" si="1891"/>
        <v>118.73295625502536</v>
      </c>
      <c r="BM158" s="903">
        <f t="shared" si="1891"/>
        <v>125.33757345830544</v>
      </c>
      <c r="BN158" s="903">
        <f t="shared" si="1891"/>
        <v>110.02342300177375</v>
      </c>
      <c r="BO158" s="903">
        <f t="shared" si="1891"/>
        <v>139.2991243398339</v>
      </c>
      <c r="BP158" s="903">
        <f t="shared" si="1891"/>
        <v>185.77143036732247</v>
      </c>
      <c r="BQ158" s="903">
        <f t="shared" si="1891"/>
        <v>180.36806576784463</v>
      </c>
      <c r="BR158" s="903">
        <f t="shared" si="1891"/>
        <v>156.44351759074567</v>
      </c>
      <c r="BS158" s="903">
        <f t="shared" si="1891"/>
        <v>201.96080703552687</v>
      </c>
      <c r="BT158" s="903">
        <f t="shared" si="1891"/>
        <v>150.79838877377526</v>
      </c>
      <c r="BU158" s="903">
        <f t="shared" si="1891"/>
        <v>149.47339967669382</v>
      </c>
      <c r="BV158" s="903">
        <f t="shared" si="1891"/>
        <v>133.55397985537718</v>
      </c>
      <c r="BW158" s="903">
        <f t="shared" si="1891"/>
        <v>151.56332886893037</v>
      </c>
      <c r="BX158" s="903">
        <f t="shared" si="1891"/>
        <v>132.04034038031494</v>
      </c>
      <c r="BY158" s="903">
        <f t="shared" si="1891"/>
        <v>141.20534426825586</v>
      </c>
      <c r="BZ158" s="903">
        <f t="shared" si="1891"/>
        <v>126.83405494406129</v>
      </c>
      <c r="CA158" s="903">
        <f t="shared" si="1891"/>
        <v>148.68325417800634</v>
      </c>
      <c r="CB158" s="903">
        <f t="shared" si="1891"/>
        <v>132.89021463311681</v>
      </c>
      <c r="CC158" s="903">
        <f t="shared" si="1891"/>
        <v>135.47495862576221</v>
      </c>
      <c r="CD158" s="903">
        <f t="shared" si="1891"/>
        <v>119.3213216571864</v>
      </c>
      <c r="CE158" s="903">
        <f t="shared" si="1891"/>
        <v>131.29133099126656</v>
      </c>
      <c r="CF158" s="903">
        <f t="shared" si="1891"/>
        <v>125.92431315679327</v>
      </c>
      <c r="CG158" s="903">
        <f t="shared" si="1891"/>
        <v>132.90324016779962</v>
      </c>
      <c r="CH158" s="903">
        <f t="shared" si="1891"/>
        <v>123.70299189539509</v>
      </c>
      <c r="CI158" s="903">
        <f t="shared" si="1891"/>
        <v>140.2325378220788</v>
      </c>
      <c r="CJ158" s="903">
        <f t="shared" si="1891"/>
        <v>119.23162103167286</v>
      </c>
      <c r="CK158" s="903">
        <f t="shared" si="1891"/>
        <v>128.69005333979374</v>
      </c>
      <c r="CL158" s="971">
        <f t="shared" si="1881"/>
        <v>123.70299189539509</v>
      </c>
      <c r="CM158" s="971">
        <f t="shared" si="1882"/>
        <v>140.2325378220788</v>
      </c>
      <c r="CN158" s="971">
        <f t="shared" si="1883"/>
        <v>119.23162103167286</v>
      </c>
      <c r="CO158" s="971">
        <f t="shared" si="1884"/>
        <v>128.69005333979374</v>
      </c>
      <c r="CP158" s="971">
        <f t="shared" si="1885"/>
        <v>123.70299189539509</v>
      </c>
      <c r="CQ158" s="971"/>
      <c r="CR158" s="971">
        <v>123.70299189539509</v>
      </c>
      <c r="CT158" s="972"/>
      <c r="CU158" s="972"/>
      <c r="CV158" s="972"/>
      <c r="CW158" s="972"/>
      <c r="CX158" s="917" t="e">
        <f>365/(-(#REF!)/CX93)</f>
        <v>#REF!</v>
      </c>
      <c r="CY158" s="917" t="e">
        <f>365/(-(#REF!)/CY93)</f>
        <v>#REF!</v>
      </c>
      <c r="CZ158" s="917" t="e">
        <f>365/(-(#REF!)/CZ93)</f>
        <v>#REF!</v>
      </c>
      <c r="DA158" s="917" t="e">
        <f>365/(-(#REF!)/DA93)</f>
        <v>#REF!</v>
      </c>
      <c r="DB158" s="917" t="e">
        <f>365/(-(#REF!)/DB93)</f>
        <v>#REF!</v>
      </c>
      <c r="DC158" s="917" t="e">
        <f>365/(-(#REF!)/DC93)</f>
        <v>#REF!</v>
      </c>
      <c r="DD158" s="917" t="e">
        <f>365/(-(#REF!)/DD93)</f>
        <v>#REF!</v>
      </c>
      <c r="DE158" s="903">
        <f t="shared" ref="DE158:DO158" si="1892">365/(-SUM(DE7)/DE93)</f>
        <v>103.23966030477226</v>
      </c>
      <c r="DF158" s="903">
        <f t="shared" si="1892"/>
        <v>90.479116428123191</v>
      </c>
      <c r="DG158" s="903">
        <f t="shared" si="1892"/>
        <v>110.88073277638041</v>
      </c>
      <c r="DH158" s="903">
        <f t="shared" si="1892"/>
        <v>114.42077915374749</v>
      </c>
      <c r="DI158" s="903">
        <f t="shared" si="1892"/>
        <v>123.38536381452737</v>
      </c>
      <c r="DJ158" s="903">
        <f t="shared" si="1892"/>
        <v>110.02342300177375</v>
      </c>
      <c r="DK158" s="903">
        <f t="shared" si="1892"/>
        <v>156.44351759074567</v>
      </c>
      <c r="DL158" s="903">
        <f t="shared" si="1892"/>
        <v>133.55397985537718</v>
      </c>
      <c r="DM158" s="903">
        <f t="shared" si="1892"/>
        <v>126.83405494406129</v>
      </c>
      <c r="DN158" s="903">
        <f t="shared" si="1892"/>
        <v>119.3213216571864</v>
      </c>
      <c r="DO158" s="903">
        <f t="shared" si="1892"/>
        <v>123.70299189539509</v>
      </c>
      <c r="DP158" s="903">
        <f t="shared" ref="DP158:DQ158" si="1893">365/(-SUM(DP7)/DP93)</f>
        <v>123.70299189539509</v>
      </c>
      <c r="DQ158" s="903">
        <f t="shared" si="1893"/>
        <v>123.70299189539509</v>
      </c>
      <c r="DR158" s="973">
        <f t="shared" si="1887"/>
        <v>123.70299189539509</v>
      </c>
      <c r="DS158" s="973">
        <f t="shared" si="1888"/>
        <v>123.70299189539509</v>
      </c>
      <c r="DT158" s="973">
        <f t="shared" si="1889"/>
        <v>123.70299189539509</v>
      </c>
      <c r="DU158" s="973">
        <f t="shared" si="1890"/>
        <v>123.70299189539509</v>
      </c>
      <c r="DX158" s="973">
        <v>123.70299189539509</v>
      </c>
      <c r="DY158" s="973">
        <v>123.70299189539509</v>
      </c>
    </row>
    <row r="159" spans="1:129" s="904" customFormat="1">
      <c r="A159" s="939"/>
      <c r="B159" s="912" t="s">
        <v>463</v>
      </c>
      <c r="C159" s="917" t="e">
        <f>365/(-SUM(#REF!)/C109)</f>
        <v>#REF!</v>
      </c>
      <c r="D159" s="917" t="e">
        <f>365/(-SUM(#REF!)/D109)</f>
        <v>#REF!</v>
      </c>
      <c r="E159" s="917" t="e">
        <f>365/(-SUM(#REF!)/E109)</f>
        <v>#REF!</v>
      </c>
      <c r="F159" s="917" t="e">
        <f>365/(-SUM(#REF!)/F109)</f>
        <v>#REF!</v>
      </c>
      <c r="G159" s="917" t="e">
        <f>365/(-SUM(#REF!)/G109)</f>
        <v>#REF!</v>
      </c>
      <c r="H159" s="903" t="e">
        <f>365/(-SUM(#REF!)/H109)</f>
        <v>#REF!</v>
      </c>
      <c r="I159" s="903" t="e">
        <f>365/(-SUM(#REF!)/I109)</f>
        <v>#REF!</v>
      </c>
      <c r="J159" s="903" t="e">
        <f>365/(-SUM(#REF!)/J109)</f>
        <v>#REF!</v>
      </c>
      <c r="K159" s="903" t="e">
        <f>365/(-SUM(#REF!)/K109)</f>
        <v>#REF!</v>
      </c>
      <c r="L159" s="903" t="e">
        <f>365/(-SUM(#REF!)/L109)</f>
        <v>#REF!</v>
      </c>
      <c r="M159" s="903" t="e">
        <f>365/(-SUM(#REF!)/M109)</f>
        <v>#REF!</v>
      </c>
      <c r="N159" s="903" t="e">
        <f>365/(-SUM(#REF!)/N109)</f>
        <v>#REF!</v>
      </c>
      <c r="O159" s="903" t="e">
        <f>365/(-SUM(#REF!)/O109)</f>
        <v>#REF!</v>
      </c>
      <c r="P159" s="903" t="e">
        <f>365/(-SUM(#REF!)/P109)</f>
        <v>#REF!</v>
      </c>
      <c r="Q159" s="903" t="e">
        <f>365/(-SUM(#REF!)/Q109)</f>
        <v>#REF!</v>
      </c>
      <c r="R159" s="903" t="e">
        <f>365/(-SUM(#REF!)/R109)</f>
        <v>#REF!</v>
      </c>
      <c r="S159" s="903" t="e">
        <f>365/(-SUM(#REF!)/S109)</f>
        <v>#REF!</v>
      </c>
      <c r="T159" s="903" t="e">
        <f>365/(-SUM(#REF!)/T109)</f>
        <v>#REF!</v>
      </c>
      <c r="U159" s="903" t="e">
        <f>365/(-SUM(#REF!)/U109)</f>
        <v>#REF!</v>
      </c>
      <c r="V159" s="903" t="e">
        <f>365/(-SUM(#REF!)/V109)</f>
        <v>#REF!</v>
      </c>
      <c r="W159" s="903" t="e">
        <f>365/(-SUM(#REF!)/W109)</f>
        <v>#REF!</v>
      </c>
      <c r="X159" s="903" t="e">
        <f>365/(-SUM(#REF!)/X109)</f>
        <v>#REF!</v>
      </c>
      <c r="Y159" s="903" t="e">
        <f>365/(-SUM(#REF!)/Y109)</f>
        <v>#REF!</v>
      </c>
      <c r="Z159" s="903" t="e">
        <f>365/(-SUM(#REF!)/Z109)</f>
        <v>#REF!</v>
      </c>
      <c r="AA159" s="903" t="e">
        <f>365/(-SUM(#REF!)/AA109)</f>
        <v>#REF!</v>
      </c>
      <c r="AB159" s="903" t="e">
        <f>365/(-SUM(#REF!)/AB109)</f>
        <v>#REF!</v>
      </c>
      <c r="AC159" s="903" t="e">
        <f>365/(-SUM(#REF!)/AC109)</f>
        <v>#REF!</v>
      </c>
      <c r="AD159" s="903" t="e">
        <f>365/(-SUM(#REF!)/AD109)</f>
        <v>#REF!</v>
      </c>
      <c r="AE159" s="903" t="e">
        <f>365/(-SUM(#REF!)/AE109)</f>
        <v>#REF!</v>
      </c>
      <c r="AF159" s="903" t="e">
        <f>365/(-SUM(#REF!)/AF109)</f>
        <v>#REF!</v>
      </c>
      <c r="AG159" s="903" t="e">
        <f>365/(-SUM(#REF!)/AG109)</f>
        <v>#REF!</v>
      </c>
      <c r="AH159" s="903" t="e">
        <f>365/(-SUM(#REF!)/AH109)</f>
        <v>#REF!</v>
      </c>
      <c r="AI159" s="903" t="e">
        <f>365/(-SUM(#REF!)/AI109)</f>
        <v>#REF!</v>
      </c>
      <c r="AJ159" s="903" t="e">
        <f>365/(-SUM(#REF!)/AJ109)</f>
        <v>#REF!</v>
      </c>
      <c r="AK159" s="903" t="e">
        <f>365/(-SUM(#REF!)/AK109)</f>
        <v>#REF!</v>
      </c>
      <c r="AL159" s="903" t="e">
        <f>365/(-SUM(#REF!)/AL109)</f>
        <v>#REF!</v>
      </c>
      <c r="AM159" s="903" t="e">
        <f>365/(-SUM(#REF!)/AM109)</f>
        <v>#REF!</v>
      </c>
      <c r="AN159" s="903" t="e">
        <f>365/(-SUM(#REF!)/AN109)</f>
        <v>#REF!</v>
      </c>
      <c r="AO159" s="903" t="e">
        <f>365/(-SUM(#REF!)/AO109)</f>
        <v>#REF!</v>
      </c>
      <c r="AP159" s="903" t="e">
        <f>365/(-SUM(#REF!)/AP109)</f>
        <v>#REF!</v>
      </c>
      <c r="AQ159" s="903" t="e">
        <f>365/(-SUM(#REF!)/AQ109)</f>
        <v>#REF!</v>
      </c>
      <c r="AR159" s="903" t="e">
        <f>365/(-SUM(#REF!)/AR109)</f>
        <v>#REF!</v>
      </c>
      <c r="AS159" s="903" t="e">
        <f>365/(-SUM(#REF!)/AS109)</f>
        <v>#REF!</v>
      </c>
      <c r="AT159" s="903" t="e">
        <f>365/(-SUM(#REF!)/AT109)</f>
        <v>#REF!</v>
      </c>
      <c r="AU159" s="903">
        <f t="shared" ref="AU159:CK159" si="1894">365/(-SUM(AR7:AU7)/AU109)</f>
        <v>66.335632929780786</v>
      </c>
      <c r="AV159" s="903">
        <f t="shared" si="1894"/>
        <v>76.185592312536699</v>
      </c>
      <c r="AW159" s="903">
        <f t="shared" si="1894"/>
        <v>77.187638519958369</v>
      </c>
      <c r="AX159" s="903">
        <f t="shared" si="1894"/>
        <v>80.438881128571381</v>
      </c>
      <c r="AY159" s="903">
        <f t="shared" si="1894"/>
        <v>58.247340066727304</v>
      </c>
      <c r="AZ159" s="903">
        <f t="shared" si="1894"/>
        <v>76.627580114993407</v>
      </c>
      <c r="BA159" s="903">
        <f t="shared" si="1894"/>
        <v>77.693037131159343</v>
      </c>
      <c r="BB159" s="903">
        <f t="shared" si="1894"/>
        <v>96.345696429979157</v>
      </c>
      <c r="BC159" s="903">
        <f t="shared" si="1894"/>
        <v>66.198577675376427</v>
      </c>
      <c r="BD159" s="903">
        <f t="shared" si="1894"/>
        <v>71.210160520419933</v>
      </c>
      <c r="BE159" s="903">
        <f t="shared" si="1894"/>
        <v>83.032758047498234</v>
      </c>
      <c r="BF159" s="903">
        <f t="shared" si="1894"/>
        <v>104.39110085764842</v>
      </c>
      <c r="BG159" s="903">
        <f t="shared" si="1894"/>
        <v>72.497518180807333</v>
      </c>
      <c r="BH159" s="903">
        <f t="shared" si="1894"/>
        <v>82.161179474526236</v>
      </c>
      <c r="BI159" s="903">
        <f t="shared" si="1894"/>
        <v>91.859848736214232</v>
      </c>
      <c r="BJ159" s="903">
        <f t="shared" si="1894"/>
        <v>106.21939542404562</v>
      </c>
      <c r="BK159" s="903">
        <f t="shared" si="1894"/>
        <v>73.154795393306074</v>
      </c>
      <c r="BL159" s="903">
        <f t="shared" si="1894"/>
        <v>75.509710181964266</v>
      </c>
      <c r="BM159" s="903">
        <f t="shared" si="1894"/>
        <v>84.816711712828649</v>
      </c>
      <c r="BN159" s="903">
        <f t="shared" si="1894"/>
        <v>105.84353365119779</v>
      </c>
      <c r="BO159" s="903">
        <f t="shared" si="1894"/>
        <v>84.394588457098294</v>
      </c>
      <c r="BP159" s="903">
        <f t="shared" si="1894"/>
        <v>75.109890517242775</v>
      </c>
      <c r="BQ159" s="903">
        <f t="shared" si="1894"/>
        <v>115.36127091214571</v>
      </c>
      <c r="BR159" s="903">
        <f t="shared" si="1894"/>
        <v>159.06928653635566</v>
      </c>
      <c r="BS159" s="903">
        <f t="shared" si="1894"/>
        <v>122.86552977487018</v>
      </c>
      <c r="BT159" s="903">
        <f t="shared" si="1894"/>
        <v>105.2620531070297</v>
      </c>
      <c r="BU159" s="903">
        <f t="shared" si="1894"/>
        <v>122.4331964694676</v>
      </c>
      <c r="BV159" s="903">
        <f t="shared" si="1894"/>
        <v>141.67968358388512</v>
      </c>
      <c r="BW159" s="903">
        <f t="shared" si="1894"/>
        <v>108.61389322198588</v>
      </c>
      <c r="BX159" s="903">
        <f t="shared" si="1894"/>
        <v>107.99783682524071</v>
      </c>
      <c r="BY159" s="903">
        <f t="shared" si="1894"/>
        <v>99.783007453945302</v>
      </c>
      <c r="BZ159" s="903">
        <f t="shared" si="1894"/>
        <v>112.13655354327641</v>
      </c>
      <c r="CA159" s="903">
        <f t="shared" si="1894"/>
        <v>90.491520409529357</v>
      </c>
      <c r="CB159" s="903">
        <f t="shared" si="1894"/>
        <v>92.652492298586878</v>
      </c>
      <c r="CC159" s="903">
        <f t="shared" si="1894"/>
        <v>104.68309874338937</v>
      </c>
      <c r="CD159" s="903">
        <f t="shared" si="1894"/>
        <v>120.40282117250237</v>
      </c>
      <c r="CE159" s="903">
        <f t="shared" si="1894"/>
        <v>92.342942688298933</v>
      </c>
      <c r="CF159" s="903">
        <f t="shared" si="1894"/>
        <v>92.475618288710209</v>
      </c>
      <c r="CG159" s="903">
        <f t="shared" si="1894"/>
        <v>97.550638549139649</v>
      </c>
      <c r="CH159" s="903">
        <f t="shared" si="1894"/>
        <v>115.84484943761582</v>
      </c>
      <c r="CI159" s="903">
        <f t="shared" si="1894"/>
        <v>89.201889088155667</v>
      </c>
      <c r="CJ159" s="903">
        <f t="shared" si="1894"/>
        <v>80.860816759231554</v>
      </c>
      <c r="CK159" s="903">
        <f t="shared" si="1894"/>
        <v>91.977095919471751</v>
      </c>
      <c r="CL159" s="971">
        <f t="shared" si="1881"/>
        <v>115.84484943761582</v>
      </c>
      <c r="CM159" s="971">
        <f t="shared" si="1882"/>
        <v>89.201889088155667</v>
      </c>
      <c r="CN159" s="971">
        <f t="shared" si="1883"/>
        <v>80.860816759231554</v>
      </c>
      <c r="CO159" s="971">
        <f t="shared" si="1884"/>
        <v>91.977095919471751</v>
      </c>
      <c r="CP159" s="971">
        <f t="shared" si="1885"/>
        <v>115.84484943761582</v>
      </c>
      <c r="CQ159" s="971"/>
      <c r="CR159" s="971">
        <v>115.84484943761582</v>
      </c>
      <c r="CT159" s="972"/>
      <c r="CU159" s="972"/>
      <c r="CV159" s="972"/>
      <c r="CW159" s="972"/>
      <c r="CX159" s="917" t="e">
        <f>365/((-#REF!)/CX109)</f>
        <v>#REF!</v>
      </c>
      <c r="CY159" s="917" t="e">
        <f>365/((-#REF!)/CY109)</f>
        <v>#REF!</v>
      </c>
      <c r="CZ159" s="917" t="e">
        <f>365/((-#REF!)/CZ109)</f>
        <v>#REF!</v>
      </c>
      <c r="DA159" s="917" t="e">
        <f>365/((-#REF!)/DA109)</f>
        <v>#REF!</v>
      </c>
      <c r="DB159" s="917" t="e">
        <f>365/((-#REF!)/DB109)</f>
        <v>#REF!</v>
      </c>
      <c r="DC159" s="917" t="e">
        <f>365/((-#REF!)/DC109)</f>
        <v>#REF!</v>
      </c>
      <c r="DD159" s="917" t="e">
        <f>365/((-#REF!)/DD109)</f>
        <v>#REF!</v>
      </c>
      <c r="DE159" s="903">
        <f t="shared" ref="DE159:DO159" si="1895">365/(-SUM(DE7)/DE109)</f>
        <v>94.67092024811943</v>
      </c>
      <c r="DF159" s="903">
        <f t="shared" si="1895"/>
        <v>80.438881128571381</v>
      </c>
      <c r="DG159" s="903">
        <f t="shared" si="1895"/>
        <v>96.345696429979157</v>
      </c>
      <c r="DH159" s="903">
        <f t="shared" si="1895"/>
        <v>104.39110085764842</v>
      </c>
      <c r="DI159" s="903">
        <f t="shared" si="1895"/>
        <v>106.21939542404562</v>
      </c>
      <c r="DJ159" s="903">
        <f t="shared" si="1895"/>
        <v>105.84353365119779</v>
      </c>
      <c r="DK159" s="903">
        <f t="shared" si="1895"/>
        <v>159.06928653635566</v>
      </c>
      <c r="DL159" s="903">
        <f t="shared" si="1895"/>
        <v>141.67968358388512</v>
      </c>
      <c r="DM159" s="903">
        <f t="shared" si="1895"/>
        <v>112.13655354327641</v>
      </c>
      <c r="DN159" s="903">
        <f t="shared" si="1895"/>
        <v>120.40282117250237</v>
      </c>
      <c r="DO159" s="903">
        <f t="shared" si="1895"/>
        <v>115.84484943761582</v>
      </c>
      <c r="DP159" s="903">
        <f t="shared" ref="DP159:DQ159" si="1896">365/(-SUM(DP7)/DP109)</f>
        <v>115.84484943761582</v>
      </c>
      <c r="DQ159" s="903">
        <f t="shared" si="1896"/>
        <v>115.84484943761582</v>
      </c>
      <c r="DR159" s="973">
        <f t="shared" si="1887"/>
        <v>115.84484943761582</v>
      </c>
      <c r="DS159" s="973">
        <f t="shared" si="1888"/>
        <v>115.84484943761582</v>
      </c>
      <c r="DT159" s="973">
        <f t="shared" si="1889"/>
        <v>115.84484943761582</v>
      </c>
      <c r="DU159" s="973">
        <f t="shared" si="1890"/>
        <v>115.84484943761582</v>
      </c>
      <c r="DX159" s="973">
        <v>115.84484943761582</v>
      </c>
      <c r="DY159" s="973">
        <v>115.84484943761582</v>
      </c>
    </row>
    <row r="160" spans="1:129" s="904" customFormat="1">
      <c r="A160" s="939"/>
      <c r="B160" s="912" t="s">
        <v>464</v>
      </c>
      <c r="C160" s="917"/>
      <c r="D160" s="917"/>
      <c r="E160" s="917"/>
      <c r="F160" s="917"/>
      <c r="G160" s="917"/>
      <c r="H160" s="903"/>
      <c r="I160" s="903"/>
      <c r="J160" s="903"/>
      <c r="K160" s="903"/>
      <c r="L160" s="903"/>
      <c r="M160" s="903"/>
      <c r="N160" s="903"/>
      <c r="O160" s="903"/>
      <c r="P160" s="903"/>
      <c r="Q160" s="903"/>
      <c r="R160" s="903"/>
      <c r="S160" s="903"/>
      <c r="T160" s="903"/>
      <c r="U160" s="903"/>
      <c r="V160" s="903"/>
      <c r="W160" s="903"/>
      <c r="X160" s="903"/>
      <c r="Y160" s="903"/>
      <c r="Z160" s="903"/>
      <c r="AA160" s="903"/>
      <c r="AB160" s="903"/>
      <c r="AC160" s="903"/>
      <c r="AD160" s="903"/>
      <c r="AE160" s="903"/>
      <c r="AF160" s="903"/>
      <c r="AG160" s="903"/>
      <c r="AH160" s="903"/>
      <c r="AI160" s="903"/>
      <c r="AJ160" s="903"/>
      <c r="AK160" s="903"/>
      <c r="AL160" s="903"/>
      <c r="AM160" s="903"/>
      <c r="AN160" s="903"/>
      <c r="AO160" s="903"/>
      <c r="AP160" s="903"/>
      <c r="AQ160" s="903"/>
      <c r="AR160" s="903"/>
      <c r="AS160" s="903"/>
      <c r="AT160" s="903"/>
      <c r="AU160" s="903"/>
      <c r="AV160" s="903"/>
      <c r="AW160" s="903"/>
      <c r="AX160" s="903"/>
      <c r="AY160" s="903"/>
      <c r="AZ160" s="903"/>
      <c r="BA160" s="903"/>
      <c r="BB160" s="903"/>
      <c r="BC160" s="903"/>
      <c r="BD160" s="903"/>
      <c r="BE160" s="903"/>
      <c r="BF160" s="903"/>
      <c r="BG160" s="903"/>
      <c r="BH160" s="903"/>
      <c r="BI160" s="903"/>
      <c r="BJ160" s="903"/>
      <c r="BK160" s="903"/>
      <c r="BL160" s="903"/>
      <c r="BM160" s="903"/>
      <c r="BN160" s="903"/>
      <c r="BO160" s="903"/>
      <c r="BP160" s="903"/>
      <c r="BQ160" s="903"/>
      <c r="BR160" s="903"/>
      <c r="BS160" s="903"/>
      <c r="BT160" s="903"/>
      <c r="BU160" s="903"/>
      <c r="BV160" s="903"/>
      <c r="BW160" s="903"/>
      <c r="BX160" s="903"/>
      <c r="BY160" s="903"/>
      <c r="BZ160" s="903">
        <f>365/(-SUM(BW7:BZ7)/BZ110)</f>
        <v>5.4441481241589145</v>
      </c>
      <c r="CA160" s="903">
        <f>365/(-SUM(BX7:CA7)/CA110)</f>
        <v>1.973724737935483</v>
      </c>
      <c r="CB160" s="903">
        <f>365/(-SUM(BY7:CB7)/CB110)</f>
        <v>0.51011558034461923</v>
      </c>
      <c r="CC160" s="903">
        <f>365/(-SUM(BZ7:CC7)/CC110)</f>
        <v>0.45207272416381106</v>
      </c>
      <c r="CD160" s="903"/>
      <c r="CE160" s="903"/>
      <c r="CF160" s="903"/>
      <c r="CG160" s="903"/>
      <c r="CH160" s="903"/>
      <c r="CI160" s="903"/>
      <c r="CJ160" s="903"/>
      <c r="CK160" s="903"/>
      <c r="CL160" s="971">
        <f t="shared" ref="CL160" si="1897">+CK160</f>
        <v>0</v>
      </c>
      <c r="CM160" s="971">
        <f t="shared" ref="CM160" si="1898">+CL160</f>
        <v>0</v>
      </c>
      <c r="CN160" s="971">
        <f t="shared" ref="CN160" si="1899">+CM160</f>
        <v>0</v>
      </c>
      <c r="CO160" s="971">
        <f t="shared" ref="CO160" si="1900">+CN160</f>
        <v>0</v>
      </c>
      <c r="CP160" s="971">
        <f t="shared" ref="CP160" si="1901">+CO160</f>
        <v>0</v>
      </c>
      <c r="CQ160" s="971"/>
      <c r="CR160" s="971">
        <v>0</v>
      </c>
      <c r="CT160" s="972"/>
      <c r="CU160" s="972"/>
      <c r="CV160" s="972"/>
      <c r="CW160" s="972"/>
      <c r="CX160" s="917"/>
      <c r="CY160" s="917"/>
      <c r="CZ160" s="917"/>
      <c r="DA160" s="917"/>
      <c r="DB160" s="917"/>
      <c r="DC160" s="917"/>
      <c r="DD160" s="917"/>
      <c r="DE160" s="903"/>
      <c r="DF160" s="903"/>
      <c r="DG160" s="903"/>
      <c r="DH160" s="903"/>
      <c r="DI160" s="903"/>
      <c r="DJ160" s="903"/>
      <c r="DK160" s="903"/>
      <c r="DL160" s="903"/>
      <c r="DM160" s="903"/>
      <c r="DN160" s="903"/>
      <c r="DO160" s="903"/>
      <c r="DP160" s="903"/>
      <c r="DQ160" s="903"/>
      <c r="DR160" s="973"/>
      <c r="DS160" s="973"/>
      <c r="DT160" s="973"/>
      <c r="DU160" s="973"/>
      <c r="DX160" s="973"/>
      <c r="DY160" s="973"/>
    </row>
    <row r="161" spans="1:129" s="904" customFormat="1">
      <c r="A161" s="939"/>
      <c r="B161" s="912"/>
      <c r="C161" s="917"/>
      <c r="D161" s="917"/>
      <c r="E161" s="917"/>
      <c r="F161" s="917"/>
      <c r="G161" s="917"/>
      <c r="H161" s="903"/>
      <c r="I161" s="903"/>
      <c r="J161" s="903"/>
      <c r="K161" s="903"/>
      <c r="L161" s="903"/>
      <c r="M161" s="903"/>
      <c r="N161" s="903"/>
      <c r="O161" s="903"/>
      <c r="P161" s="903"/>
      <c r="Q161" s="903"/>
      <c r="R161" s="903"/>
      <c r="S161" s="903"/>
      <c r="T161" s="903"/>
      <c r="U161" s="903"/>
      <c r="V161" s="903"/>
      <c r="W161" s="903"/>
      <c r="X161" s="903"/>
      <c r="Y161" s="903"/>
      <c r="Z161" s="903"/>
      <c r="AA161" s="903"/>
      <c r="AB161" s="903"/>
      <c r="AC161" s="903"/>
      <c r="AD161" s="903"/>
      <c r="AE161" s="903"/>
      <c r="AF161" s="903"/>
      <c r="AG161" s="903"/>
      <c r="AH161" s="903"/>
      <c r="AI161" s="903"/>
      <c r="AJ161" s="903"/>
      <c r="AK161" s="903"/>
      <c r="AL161" s="903"/>
      <c r="AM161" s="903"/>
      <c r="AN161" s="903"/>
      <c r="AO161" s="903"/>
      <c r="AP161" s="903"/>
      <c r="AQ161" s="903"/>
      <c r="AR161" s="903"/>
      <c r="AS161" s="903"/>
      <c r="AT161" s="903"/>
      <c r="AU161" s="903"/>
      <c r="AV161" s="903"/>
      <c r="AW161" s="903"/>
      <c r="AX161" s="903"/>
      <c r="AY161" s="903"/>
      <c r="AZ161" s="903"/>
      <c r="BA161" s="903"/>
      <c r="BB161" s="903"/>
      <c r="BC161" s="903"/>
      <c r="BD161" s="903"/>
      <c r="BE161" s="903"/>
      <c r="BF161" s="903"/>
      <c r="BG161" s="903"/>
      <c r="BH161" s="903"/>
      <c r="BI161" s="903"/>
      <c r="BJ161" s="903"/>
      <c r="BK161" s="903"/>
      <c r="BL161" s="903"/>
      <c r="BM161" s="903"/>
      <c r="BN161" s="903"/>
      <c r="BO161" s="903"/>
      <c r="BP161" s="903"/>
      <c r="BQ161" s="903"/>
      <c r="BR161" s="903"/>
      <c r="BS161" s="903"/>
      <c r="BT161" s="903"/>
      <c r="BU161" s="903"/>
      <c r="BV161" s="903"/>
      <c r="BW161" s="903"/>
      <c r="BX161" s="903"/>
      <c r="BY161" s="903"/>
      <c r="BZ161" s="903"/>
      <c r="CA161" s="903"/>
      <c r="CB161" s="903"/>
      <c r="CC161" s="903"/>
      <c r="CD161" s="903"/>
      <c r="CE161" s="903"/>
      <c r="CF161" s="903"/>
      <c r="CG161" s="903"/>
      <c r="CH161" s="903"/>
      <c r="CI161" s="903"/>
      <c r="CJ161" s="903"/>
      <c r="CK161" s="903"/>
      <c r="CL161" s="971"/>
      <c r="CM161" s="971"/>
      <c r="CN161" s="971"/>
      <c r="CO161" s="971"/>
      <c r="CP161" s="971"/>
      <c r="CQ161" s="971"/>
      <c r="CR161" s="971"/>
      <c r="CT161" s="972"/>
      <c r="CU161" s="972"/>
      <c r="CV161" s="972"/>
      <c r="CW161" s="972"/>
      <c r="CX161" s="917"/>
      <c r="CY161" s="917"/>
      <c r="CZ161" s="917"/>
      <c r="DA161" s="917"/>
      <c r="DB161" s="917"/>
      <c r="DC161" s="917"/>
      <c r="DD161" s="917"/>
      <c r="DE161" s="903"/>
      <c r="DF161" s="903"/>
      <c r="DG161" s="903"/>
      <c r="DH161" s="903"/>
      <c r="DI161" s="903"/>
      <c r="DJ161" s="903"/>
      <c r="DK161" s="903"/>
      <c r="DL161" s="903"/>
      <c r="DM161" s="903"/>
      <c r="DN161" s="903"/>
      <c r="DO161" s="903"/>
      <c r="DP161" s="903"/>
      <c r="DQ161" s="903"/>
      <c r="DR161" s="973"/>
      <c r="DS161" s="973"/>
      <c r="DT161" s="973"/>
      <c r="DU161" s="973"/>
      <c r="DX161" s="973"/>
      <c r="DY161" s="973"/>
    </row>
    <row r="162" spans="1:129" s="904" customFormat="1">
      <c r="A162" s="939"/>
      <c r="B162" s="912" t="s">
        <v>465</v>
      </c>
      <c r="C162" s="917" t="e">
        <f>365/(SUM(C6:C6)/C114)</f>
        <v>#DIV/0!</v>
      </c>
      <c r="D162" s="917">
        <f>365/(SUM(C6:D6)/D114)</f>
        <v>23.487622107536396</v>
      </c>
      <c r="E162" s="917">
        <f>365/(SUM(C6:E6)/E114)</f>
        <v>10.908406668829311</v>
      </c>
      <c r="F162" s="917">
        <f t="shared" ref="F162:AK162" si="1902">365/(SUM(C6:F6)/F114)</f>
        <v>21.841741070492468</v>
      </c>
      <c r="G162" s="917">
        <f t="shared" si="1902"/>
        <v>6.6029686479590541</v>
      </c>
      <c r="H162" s="903">
        <f t="shared" si="1902"/>
        <v>14.857074163192742</v>
      </c>
      <c r="I162" s="903">
        <f t="shared" si="1902"/>
        <v>12.473396751907982</v>
      </c>
      <c r="J162" s="903">
        <f t="shared" si="1902"/>
        <v>29.347794078500794</v>
      </c>
      <c r="K162" s="903">
        <f t="shared" si="1902"/>
        <v>5.7779960847747951</v>
      </c>
      <c r="L162" s="903">
        <f t="shared" si="1902"/>
        <v>14.587733320235698</v>
      </c>
      <c r="M162" s="903">
        <f t="shared" si="1902"/>
        <v>11.929675175551255</v>
      </c>
      <c r="N162" s="903">
        <f t="shared" si="1902"/>
        <v>31.316470724995067</v>
      </c>
      <c r="O162" s="903">
        <f t="shared" si="1902"/>
        <v>6.7326296291471497</v>
      </c>
      <c r="P162" s="903">
        <f t="shared" si="1902"/>
        <v>12.462395175990517</v>
      </c>
      <c r="Q162" s="903">
        <f t="shared" si="1902"/>
        <v>9.7024204107343692</v>
      </c>
      <c r="R162" s="903">
        <f t="shared" si="1902"/>
        <v>23.774518511459966</v>
      </c>
      <c r="S162" s="903">
        <f t="shared" si="1902"/>
        <v>7.3152833417941121</v>
      </c>
      <c r="T162" s="903">
        <f t="shared" si="1902"/>
        <v>11.65084547625243</v>
      </c>
      <c r="U162" s="903">
        <f t="shared" si="1902"/>
        <v>8.2117701738728304</v>
      </c>
      <c r="V162" s="903">
        <f t="shared" si="1902"/>
        <v>21.512526070690566</v>
      </c>
      <c r="W162" s="903">
        <f t="shared" si="1902"/>
        <v>7.3634225726428619</v>
      </c>
      <c r="X162" s="903">
        <f t="shared" si="1902"/>
        <v>14.77292887967093</v>
      </c>
      <c r="Y162" s="903">
        <f t="shared" si="1902"/>
        <v>10.94716191275762</v>
      </c>
      <c r="Z162" s="903">
        <f t="shared" si="1902"/>
        <v>21.798284247775033</v>
      </c>
      <c r="AA162" s="903">
        <f t="shared" si="1902"/>
        <v>9.1269775515276574</v>
      </c>
      <c r="AB162" s="903">
        <f t="shared" si="1902"/>
        <v>13.383897387459315</v>
      </c>
      <c r="AC162" s="903">
        <f t="shared" si="1902"/>
        <v>8.9855589834832177</v>
      </c>
      <c r="AD162" s="903">
        <f t="shared" si="1902"/>
        <v>21.548008641613645</v>
      </c>
      <c r="AE162" s="903">
        <f t="shared" si="1902"/>
        <v>8.3700503795163144</v>
      </c>
      <c r="AF162" s="903">
        <f t="shared" si="1902"/>
        <v>16.844121698221205</v>
      </c>
      <c r="AG162" s="903">
        <f t="shared" si="1902"/>
        <v>10.583464961031702</v>
      </c>
      <c r="AH162" s="903">
        <f t="shared" si="1902"/>
        <v>26.092117996308215</v>
      </c>
      <c r="AI162" s="903">
        <f t="shared" si="1902"/>
        <v>10.530018802341319</v>
      </c>
      <c r="AJ162" s="903">
        <f t="shared" si="1902"/>
        <v>14.864330065632744</v>
      </c>
      <c r="AK162" s="903">
        <f t="shared" si="1902"/>
        <v>11.277116904447043</v>
      </c>
      <c r="AL162" s="903">
        <f t="shared" ref="AL162:BQ162" si="1903">365/(SUM(AI6:AL6)/AL114)</f>
        <v>25.339499620453861</v>
      </c>
      <c r="AM162" s="903">
        <f t="shared" si="1903"/>
        <v>7.7477768846162043</v>
      </c>
      <c r="AN162" s="903">
        <f t="shared" si="1903"/>
        <v>10.459413450478038</v>
      </c>
      <c r="AO162" s="903">
        <f t="shared" si="1903"/>
        <v>8.2241024519949342</v>
      </c>
      <c r="AP162" s="903">
        <f t="shared" si="1903"/>
        <v>22.524461248467524</v>
      </c>
      <c r="AQ162" s="903">
        <f t="shared" si="1903"/>
        <v>7.8251868152593111</v>
      </c>
      <c r="AR162" s="903">
        <f t="shared" si="1903"/>
        <v>9.8339624952542515</v>
      </c>
      <c r="AS162" s="903">
        <f t="shared" si="1903"/>
        <v>7.4262412111936991</v>
      </c>
      <c r="AT162" s="903">
        <f t="shared" si="1903"/>
        <v>23.647475941537305</v>
      </c>
      <c r="AU162" s="903">
        <f t="shared" si="1903"/>
        <v>6.4642914991936902</v>
      </c>
      <c r="AV162" s="903">
        <f t="shared" si="1903"/>
        <v>9.4752727843629785</v>
      </c>
      <c r="AW162" s="903">
        <f t="shared" si="1903"/>
        <v>5.990762523380698</v>
      </c>
      <c r="AX162" s="903">
        <f t="shared" si="1903"/>
        <v>20.37139242706256</v>
      </c>
      <c r="AY162" s="903">
        <f t="shared" si="1903"/>
        <v>5.9046862487175611</v>
      </c>
      <c r="AZ162" s="903">
        <f t="shared" si="1903"/>
        <v>9.9764644975298591</v>
      </c>
      <c r="BA162" s="903">
        <f t="shared" si="1903"/>
        <v>5.7562962399978721</v>
      </c>
      <c r="BB162" s="903">
        <f t="shared" si="1903"/>
        <v>22.899413787010314</v>
      </c>
      <c r="BC162" s="903">
        <f t="shared" si="1903"/>
        <v>5.941591818760684</v>
      </c>
      <c r="BD162" s="903">
        <f t="shared" si="1903"/>
        <v>10.962468214797195</v>
      </c>
      <c r="BE162" s="903">
        <f t="shared" si="1903"/>
        <v>8.9545204673382006</v>
      </c>
      <c r="BF162" s="903">
        <f t="shared" si="1903"/>
        <v>23.092952935163186</v>
      </c>
      <c r="BG162" s="903">
        <f t="shared" si="1903"/>
        <v>6.960642349371172</v>
      </c>
      <c r="BH162" s="903">
        <f t="shared" si="1903"/>
        <v>10.892691663041782</v>
      </c>
      <c r="BI162" s="903">
        <f t="shared" si="1903"/>
        <v>10.037436240712896</v>
      </c>
      <c r="BJ162" s="903">
        <f t="shared" si="1903"/>
        <v>23.824228707841094</v>
      </c>
      <c r="BK162" s="903">
        <f t="shared" si="1903"/>
        <v>6.3328351959116143</v>
      </c>
      <c r="BL162" s="903">
        <f t="shared" si="1903"/>
        <v>12.12986371771469</v>
      </c>
      <c r="BM162" s="903">
        <f t="shared" si="1903"/>
        <v>9.8212363193930567</v>
      </c>
      <c r="BN162" s="903">
        <f t="shared" si="1903"/>
        <v>24.237933148019849</v>
      </c>
      <c r="BO162" s="903">
        <f t="shared" si="1903"/>
        <v>3.0232510582284813</v>
      </c>
      <c r="BP162" s="903">
        <f t="shared" si="1903"/>
        <v>6.5695257511747238</v>
      </c>
      <c r="BQ162" s="903">
        <f t="shared" si="1903"/>
        <v>5.4968781684068047</v>
      </c>
      <c r="BR162" s="903">
        <f t="shared" ref="BR162:CK162" si="1904">365/(SUM(BO6:BR6)/BR114)</f>
        <v>19.512529885182524</v>
      </c>
      <c r="BS162" s="903">
        <f t="shared" si="1904"/>
        <v>4.6461094172930437</v>
      </c>
      <c r="BT162" s="903">
        <f t="shared" si="1904"/>
        <v>9.7851906765436532</v>
      </c>
      <c r="BU162" s="903">
        <f t="shared" si="1904"/>
        <v>7.792337207705005</v>
      </c>
      <c r="BV162" s="903">
        <f t="shared" si="1904"/>
        <v>17.839139978093552</v>
      </c>
      <c r="BW162" s="903">
        <f t="shared" si="1904"/>
        <v>5.429142407027916</v>
      </c>
      <c r="BX162" s="903">
        <f t="shared" si="1904"/>
        <v>8.5373903048778086</v>
      </c>
      <c r="BY162" s="903">
        <f t="shared" si="1904"/>
        <v>4.9664301616017914</v>
      </c>
      <c r="BZ162" s="903">
        <f t="shared" si="1904"/>
        <v>15.591370581134081</v>
      </c>
      <c r="CA162" s="903">
        <f t="shared" si="1904"/>
        <v>3.5913634703933961</v>
      </c>
      <c r="CB162" s="903">
        <f t="shared" si="1904"/>
        <v>7.0680484354808986</v>
      </c>
      <c r="CC162" s="903">
        <f t="shared" si="1904"/>
        <v>4.8678242186785301</v>
      </c>
      <c r="CD162" s="903">
        <f t="shared" si="1904"/>
        <v>10.994195495568569</v>
      </c>
      <c r="CE162" s="903">
        <f t="shared" si="1904"/>
        <v>4.1696294832101986</v>
      </c>
      <c r="CF162" s="903">
        <f t="shared" si="1904"/>
        <v>7.6077942821955373</v>
      </c>
      <c r="CG162" s="903">
        <f t="shared" si="1904"/>
        <v>3.3125166290799481</v>
      </c>
      <c r="CH162" s="903">
        <f t="shared" si="1904"/>
        <v>13.786592484562943</v>
      </c>
      <c r="CI162" s="903">
        <f t="shared" si="1904"/>
        <v>5.9315829836315412</v>
      </c>
      <c r="CJ162" s="903">
        <f t="shared" si="1904"/>
        <v>9.9109475309449948</v>
      </c>
      <c r="CK162" s="903">
        <f t="shared" si="1904"/>
        <v>4.5985679967955564</v>
      </c>
      <c r="CL162" s="971">
        <f t="shared" ref="CL162" si="1905">+CD162</f>
        <v>10.994195495568569</v>
      </c>
      <c r="CM162" s="971">
        <f t="shared" ref="CM162" si="1906">+CE162</f>
        <v>4.1696294832101986</v>
      </c>
      <c r="CN162" s="971">
        <f t="shared" ref="CN162" si="1907">+CF162</f>
        <v>7.6077942821955373</v>
      </c>
      <c r="CO162" s="971">
        <f t="shared" ref="CO162" si="1908">+CG162</f>
        <v>3.3125166290799481</v>
      </c>
      <c r="CP162" s="971">
        <f t="shared" ref="CP162" si="1909">+CH162</f>
        <v>13.786592484562943</v>
      </c>
      <c r="CQ162" s="971"/>
      <c r="CR162" s="971">
        <v>10.994195495568569</v>
      </c>
      <c r="CT162" s="972"/>
      <c r="CU162" s="972"/>
      <c r="CV162" s="972"/>
      <c r="CW162" s="972"/>
      <c r="CX162" s="917">
        <f t="shared" ref="CX162:DO162" si="1910">365/((CX6)/CX114)</f>
        <v>23.774518511459966</v>
      </c>
      <c r="CY162" s="917">
        <f t="shared" si="1910"/>
        <v>21.512526070690566</v>
      </c>
      <c r="CZ162" s="917">
        <f t="shared" si="1910"/>
        <v>21.798284247775033</v>
      </c>
      <c r="DA162" s="917">
        <f t="shared" si="1910"/>
        <v>21.548008641613645</v>
      </c>
      <c r="DB162" s="917">
        <f t="shared" si="1910"/>
        <v>26.092117996308215</v>
      </c>
      <c r="DC162" s="917">
        <f t="shared" si="1910"/>
        <v>25.339499620453861</v>
      </c>
      <c r="DD162" s="917">
        <f t="shared" si="1910"/>
        <v>22.524461248467524</v>
      </c>
      <c r="DE162" s="917">
        <f t="shared" si="1910"/>
        <v>23.647475941537305</v>
      </c>
      <c r="DF162" s="917">
        <f t="shared" si="1910"/>
        <v>20.37139242706256</v>
      </c>
      <c r="DG162" s="917">
        <f t="shared" si="1910"/>
        <v>22.899413787010314</v>
      </c>
      <c r="DH162" s="917">
        <f t="shared" si="1910"/>
        <v>23.092952935163186</v>
      </c>
      <c r="DI162" s="917">
        <f t="shared" si="1910"/>
        <v>23.824228707841094</v>
      </c>
      <c r="DJ162" s="917">
        <f t="shared" si="1910"/>
        <v>24.237933148019849</v>
      </c>
      <c r="DK162" s="917">
        <f t="shared" si="1910"/>
        <v>19.512529885182524</v>
      </c>
      <c r="DL162" s="917">
        <f t="shared" si="1910"/>
        <v>17.839139978093552</v>
      </c>
      <c r="DM162" s="917">
        <f t="shared" si="1910"/>
        <v>15.591370581134081</v>
      </c>
      <c r="DN162" s="917">
        <f t="shared" si="1910"/>
        <v>10.994195495568569</v>
      </c>
      <c r="DO162" s="917">
        <f t="shared" si="1910"/>
        <v>13.786592484562943</v>
      </c>
      <c r="DP162" s="917">
        <f t="shared" ref="DP162:DQ162" si="1911">365/((DP6)/DP114)</f>
        <v>10.994195495568569</v>
      </c>
      <c r="DQ162" s="917">
        <f t="shared" si="1911"/>
        <v>13.786592484562943</v>
      </c>
      <c r="DR162" s="973">
        <f t="shared" si="1887"/>
        <v>13.786592484562943</v>
      </c>
      <c r="DS162" s="973">
        <f t="shared" ref="DS162:DS165" si="1912">DR162</f>
        <v>13.786592484562943</v>
      </c>
      <c r="DT162" s="973">
        <f t="shared" ref="DT162:DT165" si="1913">DS162</f>
        <v>13.786592484562943</v>
      </c>
      <c r="DU162" s="973">
        <f t="shared" ref="DU162:DU165" si="1914">DT162</f>
        <v>13.786592484562943</v>
      </c>
      <c r="DX162" s="973">
        <v>10.994195495568565</v>
      </c>
      <c r="DY162" s="973">
        <v>10.994195495568565</v>
      </c>
    </row>
    <row r="163" spans="1:129" s="904" customFormat="1">
      <c r="A163" s="974"/>
      <c r="B163" s="916" t="s">
        <v>466</v>
      </c>
      <c r="C163" s="911"/>
      <c r="D163" s="911">
        <f t="shared" ref="D163:AI163" si="1915">D94/(SUM(A6:D6))</f>
        <v>2.8716614320550619E-2</v>
      </c>
      <c r="E163" s="911">
        <f t="shared" si="1915"/>
        <v>2.6464699086096166E-2</v>
      </c>
      <c r="F163" s="911">
        <f t="shared" si="1915"/>
        <v>1.5289304720886052E-2</v>
      </c>
      <c r="G163" s="911">
        <f t="shared" si="1915"/>
        <v>1.9483524105077178E-2</v>
      </c>
      <c r="H163" s="911">
        <f t="shared" si="1915"/>
        <v>1.5149889651790094E-2</v>
      </c>
      <c r="I163" s="911">
        <f t="shared" si="1915"/>
        <v>2.1482439324338989E-2</v>
      </c>
      <c r="J163" s="911">
        <f t="shared" si="1915"/>
        <v>1.9178490144144383E-2</v>
      </c>
      <c r="K163" s="911">
        <f t="shared" si="1915"/>
        <v>1.7899761336515514E-2</v>
      </c>
      <c r="L163" s="911">
        <f t="shared" si="1915"/>
        <v>1.926766357532703E-2</v>
      </c>
      <c r="M163" s="911">
        <f t="shared" si="1915"/>
        <v>2.1063330969623748E-2</v>
      </c>
      <c r="N163" s="911">
        <f t="shared" si="1915"/>
        <v>2.2221888432758331E-2</v>
      </c>
      <c r="O163" s="911">
        <f t="shared" si="1915"/>
        <v>2.4643293812006022E-2</v>
      </c>
      <c r="P163" s="911">
        <f t="shared" si="1915"/>
        <v>1.235502043200761E-2</v>
      </c>
      <c r="Q163" s="911">
        <f t="shared" si="1915"/>
        <v>1.3779092585080454E-2</v>
      </c>
      <c r="R163" s="911">
        <f t="shared" si="1915"/>
        <v>1.1648218819962723E-2</v>
      </c>
      <c r="S163" s="911">
        <f t="shared" si="1915"/>
        <v>1.1333969504476273E-2</v>
      </c>
      <c r="T163" s="911">
        <f t="shared" si="1915"/>
        <v>1.1406467635038954E-2</v>
      </c>
      <c r="U163" s="911">
        <f t="shared" si="1915"/>
        <v>1.0491127490368459E-2</v>
      </c>
      <c r="V163" s="911">
        <f t="shared" si="1915"/>
        <v>2.227340544487489E-2</v>
      </c>
      <c r="W163" s="911">
        <f t="shared" si="1915"/>
        <v>2.1294780919522437E-2</v>
      </c>
      <c r="X163" s="911">
        <f t="shared" si="1915"/>
        <v>1.8247406547545763E-2</v>
      </c>
      <c r="Y163" s="911">
        <f t="shared" si="1915"/>
        <v>2.0894882640084451E-2</v>
      </c>
      <c r="Z163" s="911">
        <f t="shared" si="1915"/>
        <v>1.7277253442589104E-2</v>
      </c>
      <c r="AA163" s="911">
        <f t="shared" si="1915"/>
        <v>1.8549997571615903E-2</v>
      </c>
      <c r="AB163" s="911">
        <f t="shared" si="1915"/>
        <v>1.6083627140928779E-2</v>
      </c>
      <c r="AC163" s="911">
        <f t="shared" si="1915"/>
        <v>1.7546680961315109E-2</v>
      </c>
      <c r="AD163" s="911">
        <f t="shared" si="1915"/>
        <v>1.7760449643046402E-2</v>
      </c>
      <c r="AE163" s="911">
        <f t="shared" si="1915"/>
        <v>1.3023790522463358E-2</v>
      </c>
      <c r="AF163" s="911">
        <f t="shared" si="1915"/>
        <v>1.1879236379884457E-2</v>
      </c>
      <c r="AG163" s="911">
        <f t="shared" si="1915"/>
        <v>1.2234225801628933E-2</v>
      </c>
      <c r="AH163" s="911">
        <f t="shared" si="1915"/>
        <v>1.4383324347808365E-2</v>
      </c>
      <c r="AI163" s="911">
        <f t="shared" si="1915"/>
        <v>1.602394230484994E-2</v>
      </c>
      <c r="AJ163" s="911">
        <f t="shared" ref="AJ163:BO163" si="1916">AJ94/(SUM(AG6:AJ6))</f>
        <v>1.8995492037971375E-2</v>
      </c>
      <c r="AK163" s="911">
        <f t="shared" si="1916"/>
        <v>1.7862306408145796E-2</v>
      </c>
      <c r="AL163" s="911">
        <f t="shared" si="1916"/>
        <v>2.0208372383953638E-2</v>
      </c>
      <c r="AM163" s="911">
        <f t="shared" si="1916"/>
        <v>2.4605444829994844E-2</v>
      </c>
      <c r="AN163" s="911">
        <f t="shared" si="1916"/>
        <v>2.8053292825351114E-2</v>
      </c>
      <c r="AO163" s="911">
        <f t="shared" si="1916"/>
        <v>2.3676400350726285E-2</v>
      </c>
      <c r="AP163" s="911">
        <f t="shared" si="1916"/>
        <v>2.6785072792263925E-2</v>
      </c>
      <c r="AQ163" s="911">
        <f t="shared" si="1916"/>
        <v>1.4439538580107943E-2</v>
      </c>
      <c r="AR163" s="911">
        <f t="shared" si="1916"/>
        <v>1.5078044415284127E-2</v>
      </c>
      <c r="AS163" s="911">
        <f t="shared" si="1916"/>
        <v>2.2286374586101502E-2</v>
      </c>
      <c r="AT163" s="911">
        <f t="shared" si="1916"/>
        <v>2.6991336729521455E-2</v>
      </c>
      <c r="AU163" s="911">
        <f t="shared" si="1916"/>
        <v>3.6938556992114104E-2</v>
      </c>
      <c r="AV163" s="911">
        <f t="shared" si="1916"/>
        <v>3.0447532075603353E-2</v>
      </c>
      <c r="AW163" s="911">
        <f t="shared" si="1916"/>
        <v>5.0727205248571612E-2</v>
      </c>
      <c r="AX163" s="911">
        <f t="shared" si="1916"/>
        <v>3.8400390028116266E-2</v>
      </c>
      <c r="AY163" s="911">
        <f t="shared" si="1916"/>
        <v>2.7679935419755507E-2</v>
      </c>
      <c r="AZ163" s="911">
        <f t="shared" si="1916"/>
        <v>2.499052497559559E-2</v>
      </c>
      <c r="BA163" s="911">
        <f t="shared" si="1916"/>
        <v>2.188914186463212E-2</v>
      </c>
      <c r="BB163" s="911">
        <f t="shared" si="1916"/>
        <v>2.9836877168073556E-2</v>
      </c>
      <c r="BC163" s="911">
        <f t="shared" si="1916"/>
        <v>2.8328273813795078E-2</v>
      </c>
      <c r="BD163" s="911">
        <f t="shared" si="1916"/>
        <v>2.9780157155126784E-2</v>
      </c>
      <c r="BE163" s="911">
        <f t="shared" si="1916"/>
        <v>2.3141250922942971E-2</v>
      </c>
      <c r="BF163" s="911">
        <f t="shared" si="1916"/>
        <v>2.5926933407483976E-2</v>
      </c>
      <c r="BG163" s="911">
        <f t="shared" si="1916"/>
        <v>2.7091000887261851E-2</v>
      </c>
      <c r="BH163" s="911">
        <f t="shared" si="1916"/>
        <v>3.4901470527696675E-2</v>
      </c>
      <c r="BI163" s="911">
        <f t="shared" si="1916"/>
        <v>3.7956311103297689E-2</v>
      </c>
      <c r="BJ163" s="911">
        <f t="shared" si="1916"/>
        <v>3.1108375310818521E-2</v>
      </c>
      <c r="BK163" s="911">
        <f t="shared" si="1916"/>
        <v>3.2533356163193458E-2</v>
      </c>
      <c r="BL163" s="911">
        <f t="shared" si="1916"/>
        <v>4.2200310635240143E-2</v>
      </c>
      <c r="BM163" s="911">
        <f t="shared" si="1916"/>
        <v>3.5087060792469496E-2</v>
      </c>
      <c r="BN163" s="911">
        <f t="shared" si="1916"/>
        <v>3.4318210569668446E-2</v>
      </c>
      <c r="BO163" s="911">
        <f t="shared" si="1916"/>
        <v>3.5749174091725795E-2</v>
      </c>
      <c r="BP163" s="911">
        <f t="shared" ref="BP163:CK163" si="1917">BP94/(SUM(BM6:BP6))</f>
        <v>0.12532465771725493</v>
      </c>
      <c r="BQ163" s="911">
        <f t="shared" si="1917"/>
        <v>0.13459572061652167</v>
      </c>
      <c r="BR163" s="911">
        <f t="shared" si="1917"/>
        <v>0.12763354464136453</v>
      </c>
      <c r="BS163" s="911">
        <f t="shared" si="1917"/>
        <v>0.1075360591651363</v>
      </c>
      <c r="BT163" s="911">
        <f t="shared" si="1917"/>
        <v>0.1124452252534521</v>
      </c>
      <c r="BU163" s="911">
        <f t="shared" si="1917"/>
        <v>9.500789963504995E-2</v>
      </c>
      <c r="BV163" s="911">
        <f t="shared" si="1917"/>
        <v>8.0346638442378507E-2</v>
      </c>
      <c r="BW163" s="911">
        <f t="shared" si="1917"/>
        <v>8.3983570301194341E-2</v>
      </c>
      <c r="BX163" s="911">
        <f t="shared" si="1917"/>
        <v>7.451133142256447E-2</v>
      </c>
      <c r="BY163" s="911">
        <f t="shared" si="1917"/>
        <v>7.5439121530239753E-2</v>
      </c>
      <c r="BZ163" s="911">
        <f t="shared" si="1917"/>
        <v>7.5641521898236752E-2</v>
      </c>
      <c r="CA163" s="911">
        <f t="shared" si="1917"/>
        <v>5.8919536781627591E-2</v>
      </c>
      <c r="CB163" s="911">
        <f t="shared" si="1917"/>
        <v>5.3623687388115425E-2</v>
      </c>
      <c r="CC163" s="911">
        <f t="shared" si="1917"/>
        <v>4.3869904406929776E-2</v>
      </c>
      <c r="CD163" s="911">
        <f t="shared" si="1917"/>
        <v>4.0018907008716173E-2</v>
      </c>
      <c r="CE163" s="911">
        <f t="shared" si="1917"/>
        <v>4.6640885881420867E-2</v>
      </c>
      <c r="CF163" s="911">
        <f t="shared" si="1917"/>
        <v>5.2643980473017764E-2</v>
      </c>
      <c r="CG163" s="911">
        <f t="shared" si="1917"/>
        <v>4.8985108931695741E-2</v>
      </c>
      <c r="CH163" s="911">
        <f t="shared" si="1917"/>
        <v>4.005398588536755E-2</v>
      </c>
      <c r="CI163" s="911">
        <f t="shared" si="1917"/>
        <v>3.9357641200855449E-2</v>
      </c>
      <c r="CJ163" s="911">
        <f t="shared" si="1917"/>
        <v>4.1616243980056075E-2</v>
      </c>
      <c r="CK163" s="911">
        <f t="shared" si="1917"/>
        <v>4.4012331031907242E-2</v>
      </c>
      <c r="CL163" s="608">
        <f t="shared" ref="CL163:CL165" si="1918">+AVERAGE(CH163:CK163)</f>
        <v>4.1260050524546579E-2</v>
      </c>
      <c r="CM163" s="608">
        <f t="shared" ref="CM163:CM165" si="1919">+AVERAGE(CI163:CL163)</f>
        <v>4.1561566684341342E-2</v>
      </c>
      <c r="CN163" s="608">
        <f t="shared" ref="CN163:CN165" si="1920">+AVERAGE(CJ163:CM163)</f>
        <v>4.2112548055212806E-2</v>
      </c>
      <c r="CO163" s="608">
        <f t="shared" ref="CO163:CO165" si="1921">+AVERAGE(CK163:CN163)</f>
        <v>4.2236624074001992E-2</v>
      </c>
      <c r="CP163" s="608">
        <f t="shared" ref="CP163:CP165" si="1922">+AVERAGE(CL163:CO163)</f>
        <v>4.1792697334525682E-2</v>
      </c>
      <c r="CQ163" s="608"/>
      <c r="CR163" s="608">
        <v>4.1260050524546579E-2</v>
      </c>
      <c r="CT163" s="975"/>
      <c r="CU163" s="975"/>
      <c r="CV163" s="975"/>
      <c r="CW163" s="975"/>
      <c r="CX163" s="911">
        <f t="shared" ref="CX163:DO163" si="1923">CX94/((CX6))</f>
        <v>1.1648218819962723E-2</v>
      </c>
      <c r="CY163" s="911">
        <f t="shared" si="1923"/>
        <v>2.227340544487489E-2</v>
      </c>
      <c r="CZ163" s="911">
        <f t="shared" si="1923"/>
        <v>1.7277253442589104E-2</v>
      </c>
      <c r="DA163" s="911">
        <f t="shared" si="1923"/>
        <v>1.7760449643046402E-2</v>
      </c>
      <c r="DB163" s="911">
        <f t="shared" si="1923"/>
        <v>1.4383324347808365E-2</v>
      </c>
      <c r="DC163" s="911">
        <f t="shared" si="1923"/>
        <v>2.0208372383953638E-2</v>
      </c>
      <c r="DD163" s="911">
        <f t="shared" si="1923"/>
        <v>2.6785072792263925E-2</v>
      </c>
      <c r="DE163" s="911">
        <f t="shared" si="1923"/>
        <v>2.6991336729521455E-2</v>
      </c>
      <c r="DF163" s="911">
        <f t="shared" si="1923"/>
        <v>3.8400390028116266E-2</v>
      </c>
      <c r="DG163" s="911">
        <f t="shared" si="1923"/>
        <v>2.9836877168073556E-2</v>
      </c>
      <c r="DH163" s="911">
        <f t="shared" si="1923"/>
        <v>2.5926933407483976E-2</v>
      </c>
      <c r="DI163" s="911">
        <f t="shared" si="1923"/>
        <v>3.1108375310818521E-2</v>
      </c>
      <c r="DJ163" s="911">
        <f t="shared" si="1923"/>
        <v>3.4318210569668446E-2</v>
      </c>
      <c r="DK163" s="911">
        <f t="shared" si="1923"/>
        <v>0.12763354464136453</v>
      </c>
      <c r="DL163" s="911">
        <f t="shared" si="1923"/>
        <v>8.0346638442378507E-2</v>
      </c>
      <c r="DM163" s="911">
        <f t="shared" si="1923"/>
        <v>7.5641521898236752E-2</v>
      </c>
      <c r="DN163" s="911">
        <f t="shared" si="1923"/>
        <v>4.0018907008716173E-2</v>
      </c>
      <c r="DO163" s="911">
        <f t="shared" si="1923"/>
        <v>4.005398588536755E-2</v>
      </c>
      <c r="DP163" s="911">
        <f t="shared" ref="DP163:DQ163" si="1924">DP94/((DP6))</f>
        <v>4.1260050524546572E-2</v>
      </c>
      <c r="DQ163" s="911">
        <f t="shared" si="1924"/>
        <v>4.1792697334525682E-2</v>
      </c>
      <c r="DR163" s="608">
        <f t="shared" si="1887"/>
        <v>4.1792697334525682E-2</v>
      </c>
      <c r="DS163" s="608">
        <f t="shared" si="1912"/>
        <v>4.1792697334525682E-2</v>
      </c>
      <c r="DT163" s="608">
        <f t="shared" si="1913"/>
        <v>4.1792697334525682E-2</v>
      </c>
      <c r="DU163" s="608">
        <f t="shared" si="1914"/>
        <v>4.1792697334525682E-2</v>
      </c>
      <c r="DX163" s="608">
        <v>4.1260050524546572E-2</v>
      </c>
      <c r="DY163" s="608">
        <v>4.1260050524546572E-2</v>
      </c>
    </row>
    <row r="164" spans="1:129" s="904" customFormat="1">
      <c r="A164" s="974"/>
      <c r="B164" s="916" t="s">
        <v>467</v>
      </c>
      <c r="C164" s="911"/>
      <c r="D164" s="911">
        <f>D95/(SUM(C6:D6))</f>
        <v>5.9200811885855006E-2</v>
      </c>
      <c r="E164" s="911">
        <f>E95/(SUM(C6:E6))</f>
        <v>3.8176538926806197E-2</v>
      </c>
      <c r="F164" s="911">
        <f t="shared" ref="F164:AK164" si="1925">F95/(SUM(C6:F6))</f>
        <v>3.2270780999031246E-2</v>
      </c>
      <c r="G164" s="911">
        <f t="shared" si="1925"/>
        <v>2.955080468382178E-2</v>
      </c>
      <c r="H164" s="911">
        <f t="shared" si="1925"/>
        <v>2.1774613781265325E-2</v>
      </c>
      <c r="I164" s="911">
        <f t="shared" si="1925"/>
        <v>1.7804825116649183E-2</v>
      </c>
      <c r="J164" s="911">
        <f t="shared" si="1925"/>
        <v>2.2709728082200897E-2</v>
      </c>
      <c r="K164" s="911">
        <f t="shared" si="1925"/>
        <v>1.9120885756143756E-2</v>
      </c>
      <c r="L164" s="911">
        <f t="shared" si="1925"/>
        <v>1.9071199043872614E-2</v>
      </c>
      <c r="M164" s="911">
        <f t="shared" si="1925"/>
        <v>1.6613400964562684E-2</v>
      </c>
      <c r="N164" s="911">
        <f t="shared" si="1925"/>
        <v>2.402369847143292E-2</v>
      </c>
      <c r="O164" s="911">
        <f t="shared" si="1925"/>
        <v>1.6873019979020385E-2</v>
      </c>
      <c r="P164" s="911">
        <f t="shared" si="1925"/>
        <v>2.0016805522245832E-2</v>
      </c>
      <c r="Q164" s="911">
        <f t="shared" si="1925"/>
        <v>1.9065255557424429E-2</v>
      </c>
      <c r="R164" s="911">
        <f t="shared" si="1925"/>
        <v>2.4028723848863169E-2</v>
      </c>
      <c r="S164" s="911">
        <f t="shared" si="1925"/>
        <v>1.8403309677889976E-2</v>
      </c>
      <c r="T164" s="911">
        <f t="shared" si="1925"/>
        <v>1.9325034821606232E-2</v>
      </c>
      <c r="U164" s="911">
        <f t="shared" si="1925"/>
        <v>1.7436402173479876E-2</v>
      </c>
      <c r="V164" s="911">
        <f t="shared" si="1925"/>
        <v>1.9464435982110916E-2</v>
      </c>
      <c r="W164" s="911">
        <f t="shared" si="1925"/>
        <v>1.8331195423398318E-2</v>
      </c>
      <c r="X164" s="911">
        <f t="shared" si="1925"/>
        <v>1.864155990928159E-2</v>
      </c>
      <c r="Y164" s="911">
        <f t="shared" si="1925"/>
        <v>1.7742583972737643E-2</v>
      </c>
      <c r="Z164" s="911">
        <f t="shared" si="1925"/>
        <v>2.2521733538441752E-2</v>
      </c>
      <c r="AA164" s="911">
        <f t="shared" si="1925"/>
        <v>1.418666070250091E-3</v>
      </c>
      <c r="AB164" s="911">
        <f t="shared" si="1925"/>
        <v>1.3069202569882617E-3</v>
      </c>
      <c r="AC164" s="911">
        <f t="shared" si="1925"/>
        <v>1.2865183596890914E-3</v>
      </c>
      <c r="AD164" s="911">
        <f t="shared" si="1925"/>
        <v>3.4601346690228538E-4</v>
      </c>
      <c r="AE164" s="911">
        <f t="shared" si="1925"/>
        <v>7.8329073516124608E-4</v>
      </c>
      <c r="AF164" s="911">
        <f t="shared" si="1925"/>
        <v>6.0930351069604617E-4</v>
      </c>
      <c r="AG164" s="911">
        <f t="shared" si="1925"/>
        <v>9.0969364871979874E-4</v>
      </c>
      <c r="AH164" s="911">
        <f t="shared" si="1925"/>
        <v>5.0856218631717604E-4</v>
      </c>
      <c r="AI164" s="911">
        <f t="shared" si="1925"/>
        <v>1.1522667167505063E-3</v>
      </c>
      <c r="AJ164" s="911">
        <f t="shared" si="1925"/>
        <v>1.0478402208019062E-3</v>
      </c>
      <c r="AK164" s="911">
        <f t="shared" si="1925"/>
        <v>1.0183899524732996E-3</v>
      </c>
      <c r="AL164" s="911">
        <f t="shared" ref="AL164:BQ164" si="1926">AL95/(SUM(AI6:AL6))</f>
        <v>4.805168041075902E-4</v>
      </c>
      <c r="AM164" s="911">
        <f t="shared" si="1926"/>
        <v>8.9037479762784093E-4</v>
      </c>
      <c r="AN164" s="911">
        <f t="shared" si="1926"/>
        <v>9.1568176502975418E-4</v>
      </c>
      <c r="AO164" s="911">
        <f t="shared" si="1926"/>
        <v>1.8263429656331014E-3</v>
      </c>
      <c r="AP164" s="911">
        <f t="shared" si="1926"/>
        <v>7.267099306193372E-4</v>
      </c>
      <c r="AQ164" s="911">
        <f t="shared" si="1926"/>
        <v>2.4102023108535302E-3</v>
      </c>
      <c r="AR164" s="911">
        <f t="shared" si="1926"/>
        <v>1.7276345945765378E-3</v>
      </c>
      <c r="AS164" s="911">
        <f t="shared" si="1926"/>
        <v>1.3789231869097303E-3</v>
      </c>
      <c r="AT164" s="911">
        <f t="shared" si="1926"/>
        <v>6.5125984366696296E-4</v>
      </c>
      <c r="AU164" s="911">
        <f t="shared" si="1926"/>
        <v>1.6307806266196597E-3</v>
      </c>
      <c r="AV164" s="911">
        <f t="shared" si="1926"/>
        <v>1.6453410785775963E-3</v>
      </c>
      <c r="AW164" s="911">
        <f t="shared" si="1926"/>
        <v>1.3905716118326836E-3</v>
      </c>
      <c r="AX164" s="911">
        <f t="shared" si="1926"/>
        <v>8.6832027218651053E-4</v>
      </c>
      <c r="AY164" s="911">
        <f t="shared" si="1926"/>
        <v>1.8740492263556866E-3</v>
      </c>
      <c r="AZ164" s="911">
        <f t="shared" si="1926"/>
        <v>1.7703563730854645E-3</v>
      </c>
      <c r="BA164" s="911">
        <f t="shared" si="1926"/>
        <v>1.4368162003504945E-3</v>
      </c>
      <c r="BB164" s="911">
        <f t="shared" si="1926"/>
        <v>1.0174251888684632E-3</v>
      </c>
      <c r="BC164" s="911">
        <f t="shared" si="1926"/>
        <v>2.4009239319680311E-3</v>
      </c>
      <c r="BD164" s="911">
        <f t="shared" si="1926"/>
        <v>2.4490352688419244E-3</v>
      </c>
      <c r="BE164" s="911">
        <f t="shared" si="1926"/>
        <v>1.4230742429756033E-3</v>
      </c>
      <c r="BF164" s="911">
        <f t="shared" si="1926"/>
        <v>7.073863846255628E-4</v>
      </c>
      <c r="BG164" s="911">
        <f t="shared" si="1926"/>
        <v>4.4154140655424534E-4</v>
      </c>
      <c r="BH164" s="911">
        <f t="shared" si="1926"/>
        <v>5.6855323275595629E-3</v>
      </c>
      <c r="BI164" s="911">
        <f t="shared" si="1926"/>
        <v>3.2219995618627648E-3</v>
      </c>
      <c r="BJ164" s="911">
        <f t="shared" si="1926"/>
        <v>1.2887850424035201E-3</v>
      </c>
      <c r="BK164" s="911">
        <f t="shared" si="1926"/>
        <v>1.7399713453035905E-3</v>
      </c>
      <c r="BL164" s="911">
        <f t="shared" si="1926"/>
        <v>6.0442208902198994E-4</v>
      </c>
      <c r="BM164" s="911">
        <f t="shared" si="1926"/>
        <v>2.603424409559288E-3</v>
      </c>
      <c r="BN164" s="911">
        <f t="shared" si="1926"/>
        <v>4.5700879090095704E-4</v>
      </c>
      <c r="BO164" s="911">
        <f t="shared" si="1926"/>
        <v>9.933388639698764E-3</v>
      </c>
      <c r="BP164" s="911">
        <f t="shared" si="1926"/>
        <v>5.1499501707590947E-3</v>
      </c>
      <c r="BQ164" s="911">
        <f t="shared" si="1926"/>
        <v>1.3615994101192967E-2</v>
      </c>
      <c r="BR164" s="911">
        <f t="shared" ref="BR164:CK164" si="1927">BR95/(SUM(BO6:BR6))</f>
        <v>9.1660276124492183E-3</v>
      </c>
      <c r="BS164" s="911">
        <f t="shared" si="1927"/>
        <v>1.6108892124442078E-2</v>
      </c>
      <c r="BT164" s="911">
        <f t="shared" si="1927"/>
        <v>9.5925743571380617E-3</v>
      </c>
      <c r="BU164" s="911">
        <f t="shared" si="1927"/>
        <v>1.781858483261891E-2</v>
      </c>
      <c r="BV164" s="911">
        <f t="shared" si="1927"/>
        <v>1.5650297610417183E-2</v>
      </c>
      <c r="BW164" s="911">
        <f t="shared" si="1927"/>
        <v>1.4515668177586089E-2</v>
      </c>
      <c r="BX164" s="911">
        <f t="shared" si="1927"/>
        <v>1.5753149726431895E-2</v>
      </c>
      <c r="BY164" s="911">
        <f t="shared" si="1927"/>
        <v>1.812519939367694E-2</v>
      </c>
      <c r="BZ164" s="911">
        <f t="shared" si="1927"/>
        <v>1.3133388646353361E-2</v>
      </c>
      <c r="CA164" s="911">
        <f t="shared" si="1927"/>
        <v>1.1953410174114455E-2</v>
      </c>
      <c r="CB164" s="911">
        <f t="shared" si="1927"/>
        <v>1.1252295162153897E-2</v>
      </c>
      <c r="CC164" s="911">
        <f t="shared" si="1927"/>
        <v>1.2685750430432061E-2</v>
      </c>
      <c r="CD164" s="911">
        <f t="shared" si="1927"/>
        <v>9.3958395934773311E-3</v>
      </c>
      <c r="CE164" s="911">
        <f t="shared" si="1927"/>
        <v>1.1073808019647037E-2</v>
      </c>
      <c r="CF164" s="911">
        <f t="shared" si="1927"/>
        <v>1.2377081177991281E-2</v>
      </c>
      <c r="CG164" s="911">
        <f t="shared" si="1927"/>
        <v>8.1436982449272482E-3</v>
      </c>
      <c r="CH164" s="911">
        <f t="shared" si="1927"/>
        <v>9.3013020035651629E-3</v>
      </c>
      <c r="CI164" s="911">
        <f t="shared" si="1927"/>
        <v>9.4030763387282553E-3</v>
      </c>
      <c r="CJ164" s="911">
        <f t="shared" si="1927"/>
        <v>7.0052436138247276E-3</v>
      </c>
      <c r="CK164" s="911">
        <f t="shared" si="1927"/>
        <v>7.2002573909713619E-3</v>
      </c>
      <c r="CL164" s="608">
        <f t="shared" si="1918"/>
        <v>8.2274698367723765E-3</v>
      </c>
      <c r="CM164" s="608">
        <f t="shared" si="1919"/>
        <v>7.9590117950741803E-3</v>
      </c>
      <c r="CN164" s="608">
        <f t="shared" si="1920"/>
        <v>7.5979956591606616E-3</v>
      </c>
      <c r="CO164" s="608">
        <f t="shared" si="1921"/>
        <v>7.7461836704946444E-3</v>
      </c>
      <c r="CP164" s="608">
        <f t="shared" si="1922"/>
        <v>7.8826652403754648E-3</v>
      </c>
      <c r="CQ164" s="608"/>
      <c r="CR164" s="608">
        <v>8.2274698367723765E-3</v>
      </c>
      <c r="CT164" s="975"/>
      <c r="CU164" s="975"/>
      <c r="CV164" s="975"/>
      <c r="CW164" s="975"/>
      <c r="CX164" s="911">
        <f t="shared" ref="CX164:DO164" si="1928">CX95/((CX6))</f>
        <v>2.4028723848863169E-2</v>
      </c>
      <c r="CY164" s="911">
        <f t="shared" si="1928"/>
        <v>1.9464435982110916E-2</v>
      </c>
      <c r="CZ164" s="911">
        <f t="shared" si="1928"/>
        <v>2.2521733538441752E-2</v>
      </c>
      <c r="DA164" s="911">
        <f t="shared" si="1928"/>
        <v>3.4601346690228538E-4</v>
      </c>
      <c r="DB164" s="911">
        <f t="shared" si="1928"/>
        <v>5.0856218631717604E-4</v>
      </c>
      <c r="DC164" s="911">
        <f t="shared" si="1928"/>
        <v>4.805168041075902E-4</v>
      </c>
      <c r="DD164" s="911">
        <f t="shared" si="1928"/>
        <v>7.267099306193372E-4</v>
      </c>
      <c r="DE164" s="911">
        <f t="shared" si="1928"/>
        <v>6.5125984366696296E-4</v>
      </c>
      <c r="DF164" s="911">
        <f t="shared" si="1928"/>
        <v>8.6832027218651053E-4</v>
      </c>
      <c r="DG164" s="911">
        <f t="shared" si="1928"/>
        <v>1.0174251888684632E-3</v>
      </c>
      <c r="DH164" s="911">
        <f t="shared" si="1928"/>
        <v>7.073863846255628E-4</v>
      </c>
      <c r="DI164" s="911">
        <f t="shared" si="1928"/>
        <v>1.2887850424035201E-3</v>
      </c>
      <c r="DJ164" s="911">
        <f t="shared" si="1928"/>
        <v>4.5700879090095704E-4</v>
      </c>
      <c r="DK164" s="911">
        <f t="shared" si="1928"/>
        <v>9.1660276124492183E-3</v>
      </c>
      <c r="DL164" s="911">
        <f t="shared" si="1928"/>
        <v>1.5650297610417183E-2</v>
      </c>
      <c r="DM164" s="911">
        <f t="shared" si="1928"/>
        <v>1.3133388646353361E-2</v>
      </c>
      <c r="DN164" s="911">
        <f t="shared" si="1928"/>
        <v>9.3958395934773311E-3</v>
      </c>
      <c r="DO164" s="911">
        <f t="shared" si="1928"/>
        <v>9.3013020035651629E-3</v>
      </c>
      <c r="DP164" s="911">
        <f t="shared" ref="DP164:DQ164" si="1929">DP95/((DP6))</f>
        <v>8.2274698367723748E-3</v>
      </c>
      <c r="DQ164" s="911">
        <f t="shared" si="1929"/>
        <v>7.8826652403754648E-3</v>
      </c>
      <c r="DR164" s="608">
        <f t="shared" si="1887"/>
        <v>7.8826652403754648E-3</v>
      </c>
      <c r="DS164" s="608">
        <f t="shared" si="1912"/>
        <v>7.8826652403754648E-3</v>
      </c>
      <c r="DT164" s="608">
        <f t="shared" si="1913"/>
        <v>7.8826652403754648E-3</v>
      </c>
      <c r="DU164" s="608">
        <f t="shared" si="1914"/>
        <v>7.8826652403754648E-3</v>
      </c>
      <c r="DX164" s="608">
        <v>8.2274698367723748E-3</v>
      </c>
      <c r="DY164" s="608">
        <v>8.2274698367723748E-3</v>
      </c>
    </row>
    <row r="165" spans="1:129" s="904" customFormat="1">
      <c r="A165" s="974"/>
      <c r="B165" s="916" t="s">
        <v>468</v>
      </c>
      <c r="C165" s="911">
        <f>C117/(SUM(C6:C6))</f>
        <v>0</v>
      </c>
      <c r="D165" s="911">
        <f t="shared" ref="D165:AI165" si="1930">D117/(SUM(A6:D6))</f>
        <v>0.13762379094901184</v>
      </c>
      <c r="E165" s="911">
        <f t="shared" si="1930"/>
        <v>8.8243895189500418E-2</v>
      </c>
      <c r="F165" s="911">
        <f t="shared" si="1930"/>
        <v>3.7836914082977215E-2</v>
      </c>
      <c r="G165" s="911">
        <f t="shared" si="1930"/>
        <v>3.2635890062825579E-2</v>
      </c>
      <c r="H165" s="911">
        <f t="shared" si="1930"/>
        <v>4.1434220205983328E-2</v>
      </c>
      <c r="I165" s="911">
        <f t="shared" si="1930"/>
        <v>3.4299381488045719E-2</v>
      </c>
      <c r="J165" s="911">
        <f t="shared" si="1930"/>
        <v>3.5101087405001799E-2</v>
      </c>
      <c r="K165" s="911">
        <f t="shared" si="1930"/>
        <v>3.4461608865188502E-2</v>
      </c>
      <c r="L165" s="911">
        <f t="shared" si="1930"/>
        <v>3.8839698337642156E-2</v>
      </c>
      <c r="M165" s="911">
        <f t="shared" si="1930"/>
        <v>3.879256263243E-2</v>
      </c>
      <c r="N165" s="911">
        <f t="shared" si="1930"/>
        <v>4.0223009094601886E-2</v>
      </c>
      <c r="O165" s="911">
        <f t="shared" si="1930"/>
        <v>4.7170016147231986E-2</v>
      </c>
      <c r="P165" s="911">
        <f t="shared" si="1930"/>
        <v>4.4204214388291183E-2</v>
      </c>
      <c r="Q165" s="911">
        <f t="shared" si="1930"/>
        <v>3.6410048381830595E-2</v>
      </c>
      <c r="R165" s="911">
        <f t="shared" si="1930"/>
        <v>3.7588447900218494E-2</v>
      </c>
      <c r="S165" s="911">
        <f t="shared" si="1930"/>
        <v>4.0194900606943001E-2</v>
      </c>
      <c r="T165" s="911">
        <f t="shared" si="1930"/>
        <v>6.4075582018275606E-3</v>
      </c>
      <c r="U165" s="911">
        <f t="shared" si="1930"/>
        <v>6.1630740115680436E-3</v>
      </c>
      <c r="V165" s="911">
        <f t="shared" si="1930"/>
        <v>2.674430269806739E-2</v>
      </c>
      <c r="W165" s="911">
        <f t="shared" si="1930"/>
        <v>2.3709605481895959E-2</v>
      </c>
      <c r="X165" s="911">
        <f t="shared" si="1930"/>
        <v>2.6336569990858708E-2</v>
      </c>
      <c r="Y165" s="911">
        <f t="shared" si="1930"/>
        <v>2.4596697060511381E-2</v>
      </c>
      <c r="Z165" s="911">
        <f t="shared" si="1930"/>
        <v>2.6989441654947394E-2</v>
      </c>
      <c r="AA165" s="911">
        <f t="shared" si="1930"/>
        <v>4.9381904824484971E-2</v>
      </c>
      <c r="AB165" s="911">
        <f t="shared" si="1930"/>
        <v>2.5598384744246576E-2</v>
      </c>
      <c r="AC165" s="911">
        <f t="shared" si="1930"/>
        <v>2.564140581784588E-2</v>
      </c>
      <c r="AD165" s="911">
        <f t="shared" si="1930"/>
        <v>2.029703366144036E-2</v>
      </c>
      <c r="AE165" s="911">
        <f t="shared" si="1930"/>
        <v>1.643785530215405E-2</v>
      </c>
      <c r="AF165" s="911">
        <f t="shared" si="1930"/>
        <v>2.7771147615609046E-2</v>
      </c>
      <c r="AG165" s="911">
        <f t="shared" si="1930"/>
        <v>2.1212534856964567E-2</v>
      </c>
      <c r="AH165" s="911">
        <f t="shared" si="1930"/>
        <v>2.3993204349364621E-2</v>
      </c>
      <c r="AI165" s="911">
        <f t="shared" si="1930"/>
        <v>3.0042540409208458E-2</v>
      </c>
      <c r="AJ165" s="911">
        <f t="shared" ref="AJ165:BO165" si="1931">AJ117/(SUM(AG6:AJ6))</f>
        <v>3.4531438955089352E-2</v>
      </c>
      <c r="AK165" s="911">
        <f t="shared" si="1931"/>
        <v>3.5321718143368819E-2</v>
      </c>
      <c r="AL165" s="911">
        <f t="shared" si="1931"/>
        <v>4.0156810031202528E-2</v>
      </c>
      <c r="AM165" s="911">
        <f t="shared" si="1931"/>
        <v>3.4395053027462416E-2</v>
      </c>
      <c r="AN165" s="911">
        <f t="shared" si="1931"/>
        <v>3.5418580446443124E-2</v>
      </c>
      <c r="AO165" s="911">
        <f t="shared" si="1931"/>
        <v>4.355207786313596E-2</v>
      </c>
      <c r="AP165" s="911">
        <f t="shared" si="1931"/>
        <v>6.0788965358176926E-2</v>
      </c>
      <c r="AQ165" s="911">
        <f t="shared" si="1931"/>
        <v>6.0105118428617814E-2</v>
      </c>
      <c r="AR165" s="911">
        <f t="shared" si="1931"/>
        <v>5.5395870936188224E-2</v>
      </c>
      <c r="AS165" s="911">
        <f t="shared" si="1931"/>
        <v>5.5256054968976807E-2</v>
      </c>
      <c r="AT165" s="911">
        <f t="shared" si="1931"/>
        <v>6.3158209554980749E-2</v>
      </c>
      <c r="AU165" s="911">
        <f t="shared" si="1931"/>
        <v>5.4915849701827633E-2</v>
      </c>
      <c r="AV165" s="911">
        <f t="shared" si="1931"/>
        <v>5.8171494361148178E-2</v>
      </c>
      <c r="AW165" s="911">
        <f t="shared" si="1931"/>
        <v>5.5658666691767437E-2</v>
      </c>
      <c r="AX165" s="911">
        <f t="shared" si="1931"/>
        <v>6.4041386461428901E-2</v>
      </c>
      <c r="AY165" s="911">
        <f t="shared" si="1931"/>
        <v>6.3250367444867187E-2</v>
      </c>
      <c r="AZ165" s="911">
        <f t="shared" si="1931"/>
        <v>7.3039128098696338E-2</v>
      </c>
      <c r="BA165" s="911">
        <f t="shared" si="1931"/>
        <v>7.2409494033302477E-2</v>
      </c>
      <c r="BB165" s="911">
        <f t="shared" si="1931"/>
        <v>7.7647646002994619E-2</v>
      </c>
      <c r="BC165" s="911">
        <f t="shared" si="1931"/>
        <v>7.262292593059784E-2</v>
      </c>
      <c r="BD165" s="911">
        <f t="shared" si="1931"/>
        <v>8.6273628427800494E-2</v>
      </c>
      <c r="BE165" s="911">
        <f t="shared" si="1931"/>
        <v>8.4984940808473408E-2</v>
      </c>
      <c r="BF165" s="911">
        <f t="shared" si="1931"/>
        <v>9.3676844245366084E-2</v>
      </c>
      <c r="BG165" s="911">
        <f t="shared" si="1931"/>
        <v>8.434759873824417E-2</v>
      </c>
      <c r="BH165" s="911">
        <f t="shared" si="1931"/>
        <v>8.5699108272494148E-2</v>
      </c>
      <c r="BI165" s="911">
        <f t="shared" si="1931"/>
        <v>9.2135511221858327E-2</v>
      </c>
      <c r="BJ165" s="911">
        <f t="shared" si="1931"/>
        <v>0.10747778952241495</v>
      </c>
      <c r="BK165" s="911">
        <f t="shared" si="1931"/>
        <v>8.557216128697813E-2</v>
      </c>
      <c r="BL165" s="911">
        <f t="shared" si="1931"/>
        <v>9.2137268641461767E-2</v>
      </c>
      <c r="BM165" s="911">
        <f t="shared" si="1931"/>
        <v>9.8853759870335012E-2</v>
      </c>
      <c r="BN165" s="911">
        <f t="shared" si="1931"/>
        <v>0.11260552684446902</v>
      </c>
      <c r="BO165" s="911">
        <f t="shared" si="1931"/>
        <v>0.10163731876330337</v>
      </c>
      <c r="BP165" s="911">
        <f t="shared" ref="BP165:CK165" si="1932">BP117/(SUM(BM6:BP6))</f>
        <v>0.11629707761314408</v>
      </c>
      <c r="BQ165" s="911">
        <f t="shared" si="1932"/>
        <v>0.14335559040616727</v>
      </c>
      <c r="BR165" s="911">
        <f t="shared" si="1932"/>
        <v>0.17765304795692818</v>
      </c>
      <c r="BS165" s="911">
        <f t="shared" si="1932"/>
        <v>0.17998547998411538</v>
      </c>
      <c r="BT165" s="911">
        <f t="shared" si="1932"/>
        <v>0.16163115726338875</v>
      </c>
      <c r="BU165" s="911">
        <f t="shared" si="1932"/>
        <v>0.16495055617265064</v>
      </c>
      <c r="BV165" s="911">
        <f t="shared" si="1932"/>
        <v>0.19318745229542894</v>
      </c>
      <c r="BW165" s="911">
        <f t="shared" si="1932"/>
        <v>0.18162037324993757</v>
      </c>
      <c r="BX165" s="911">
        <f t="shared" si="1932"/>
        <v>0.1817928534285084</v>
      </c>
      <c r="BY165" s="911">
        <f t="shared" si="1932"/>
        <v>0.18115144987773524</v>
      </c>
      <c r="BZ165" s="911">
        <f t="shared" si="1932"/>
        <v>0.20749593648230744</v>
      </c>
      <c r="CA165" s="911">
        <f t="shared" si="1932"/>
        <v>0.19658679240296856</v>
      </c>
      <c r="CB165" s="911">
        <f t="shared" si="1932"/>
        <v>0.195285441506899</v>
      </c>
      <c r="CC165" s="911">
        <f t="shared" si="1932"/>
        <v>0.19120189774704149</v>
      </c>
      <c r="CD165" s="911">
        <f t="shared" si="1932"/>
        <v>0.20020627426343887</v>
      </c>
      <c r="CE165" s="911">
        <f t="shared" si="1932"/>
        <v>0.19103911628971484</v>
      </c>
      <c r="CF165" s="911">
        <f t="shared" si="1932"/>
        <v>0.19400557246972083</v>
      </c>
      <c r="CG165" s="911">
        <f t="shared" si="1932"/>
        <v>0.18934586335912063</v>
      </c>
      <c r="CH165" s="911">
        <f t="shared" si="1932"/>
        <v>0.19605231676725293</v>
      </c>
      <c r="CI165" s="911">
        <f t="shared" si="1932"/>
        <v>0.17991371794342004</v>
      </c>
      <c r="CJ165" s="911">
        <f t="shared" si="1932"/>
        <v>0.17648786991504106</v>
      </c>
      <c r="CK165" s="911">
        <f t="shared" si="1932"/>
        <v>0.15832107883264915</v>
      </c>
      <c r="CL165" s="608">
        <f t="shared" si="1918"/>
        <v>0.17769374586459077</v>
      </c>
      <c r="CM165" s="608">
        <f t="shared" si="1919"/>
        <v>0.17310410313892524</v>
      </c>
      <c r="CN165" s="608">
        <f t="shared" si="1920"/>
        <v>0.17140169943780154</v>
      </c>
      <c r="CO165" s="608">
        <f t="shared" si="1921"/>
        <v>0.1701301568184917</v>
      </c>
      <c r="CP165" s="608">
        <f t="shared" si="1922"/>
        <v>0.1730824263149523</v>
      </c>
      <c r="CQ165" s="608"/>
      <c r="CR165" s="608">
        <v>0.17769374586459077</v>
      </c>
      <c r="CT165" s="975"/>
      <c r="CU165" s="975"/>
      <c r="CV165" s="975"/>
      <c r="CW165" s="975"/>
      <c r="CX165" s="911">
        <f t="shared" ref="CX165:DO165" si="1933">CX117/((CX6))</f>
        <v>3.7588447900218494E-2</v>
      </c>
      <c r="CY165" s="911">
        <f t="shared" si="1933"/>
        <v>2.674430269806739E-2</v>
      </c>
      <c r="CZ165" s="911">
        <f t="shared" si="1933"/>
        <v>2.6989441654947394E-2</v>
      </c>
      <c r="DA165" s="911">
        <f t="shared" si="1933"/>
        <v>2.029703366144036E-2</v>
      </c>
      <c r="DB165" s="911">
        <f t="shared" si="1933"/>
        <v>2.3993204349364621E-2</v>
      </c>
      <c r="DC165" s="911">
        <f t="shared" si="1933"/>
        <v>4.0156810031202528E-2</v>
      </c>
      <c r="DD165" s="911">
        <f t="shared" si="1933"/>
        <v>6.0788965358176926E-2</v>
      </c>
      <c r="DE165" s="911">
        <f t="shared" si="1933"/>
        <v>6.3158209554980749E-2</v>
      </c>
      <c r="DF165" s="911">
        <f t="shared" si="1933"/>
        <v>6.4041386461428901E-2</v>
      </c>
      <c r="DG165" s="911">
        <f t="shared" si="1933"/>
        <v>7.7647646002994619E-2</v>
      </c>
      <c r="DH165" s="911">
        <f t="shared" si="1933"/>
        <v>9.3676844245366084E-2</v>
      </c>
      <c r="DI165" s="911">
        <f t="shared" si="1933"/>
        <v>0.10747778952241495</v>
      </c>
      <c r="DJ165" s="911">
        <f t="shared" si="1933"/>
        <v>0.11260552684446902</v>
      </c>
      <c r="DK165" s="911">
        <f t="shared" si="1933"/>
        <v>0.17765304795692818</v>
      </c>
      <c r="DL165" s="911">
        <f t="shared" si="1933"/>
        <v>0.19318745229542894</v>
      </c>
      <c r="DM165" s="911">
        <f t="shared" si="1933"/>
        <v>0.20749593648230744</v>
      </c>
      <c r="DN165" s="911">
        <f t="shared" si="1933"/>
        <v>0.20020627426343887</v>
      </c>
      <c r="DO165" s="911">
        <f t="shared" si="1933"/>
        <v>0.19605231676725293</v>
      </c>
      <c r="DP165" s="911">
        <f t="shared" ref="DP165:DQ165" si="1934">DP117/((DP6))</f>
        <v>0.17769374586459075</v>
      </c>
      <c r="DQ165" s="911">
        <f t="shared" si="1934"/>
        <v>0.1730824263149523</v>
      </c>
      <c r="DR165" s="608">
        <f t="shared" si="1887"/>
        <v>0.1730824263149523</v>
      </c>
      <c r="DS165" s="608">
        <f t="shared" si="1912"/>
        <v>0.1730824263149523</v>
      </c>
      <c r="DT165" s="608">
        <f t="shared" si="1913"/>
        <v>0.1730824263149523</v>
      </c>
      <c r="DU165" s="608">
        <f t="shared" si="1914"/>
        <v>0.1730824263149523</v>
      </c>
      <c r="DX165" s="608">
        <v>0.17769374586459072</v>
      </c>
      <c r="DY165" s="608">
        <v>0.17769374586459072</v>
      </c>
    </row>
    <row r="166" spans="1:129" s="904" customFormat="1">
      <c r="A166" s="939"/>
      <c r="B166" s="913"/>
      <c r="C166" s="901"/>
      <c r="D166" s="901"/>
      <c r="E166" s="901"/>
      <c r="F166" s="901"/>
      <c r="G166" s="976"/>
      <c r="H166" s="976"/>
      <c r="I166" s="976"/>
      <c r="J166" s="976"/>
      <c r="K166" s="976"/>
      <c r="L166" s="976"/>
      <c r="M166" s="976"/>
      <c r="N166" s="976"/>
      <c r="O166" s="976"/>
      <c r="P166" s="976"/>
      <c r="Q166" s="976"/>
      <c r="R166" s="976"/>
      <c r="S166" s="976"/>
      <c r="T166" s="976"/>
      <c r="U166" s="976"/>
      <c r="V166" s="976"/>
      <c r="W166" s="976"/>
      <c r="X166" s="976"/>
      <c r="Y166" s="976"/>
      <c r="Z166" s="976"/>
      <c r="AA166" s="976"/>
      <c r="AB166" s="976"/>
      <c r="AC166" s="976"/>
      <c r="AD166" s="976"/>
      <c r="AE166" s="976"/>
      <c r="AF166" s="976"/>
      <c r="AG166" s="976"/>
      <c r="AH166" s="976"/>
      <c r="AI166" s="976"/>
      <c r="AJ166" s="976"/>
      <c r="AK166" s="976"/>
      <c r="AL166" s="976"/>
      <c r="AM166" s="976"/>
      <c r="AN166" s="976"/>
      <c r="AO166" s="976"/>
      <c r="AP166" s="976"/>
      <c r="AQ166" s="976"/>
      <c r="AR166" s="976"/>
      <c r="AS166" s="976"/>
      <c r="AT166" s="976"/>
      <c r="AU166" s="976"/>
      <c r="AV166" s="976"/>
      <c r="AW166" s="976"/>
      <c r="AX166" s="976"/>
      <c r="AY166" s="976"/>
      <c r="AZ166" s="976"/>
      <c r="BA166" s="976"/>
      <c r="BB166" s="976"/>
      <c r="BC166" s="976"/>
      <c r="BD166" s="976"/>
      <c r="BE166" s="976"/>
      <c r="BF166" s="976"/>
      <c r="BG166" s="976"/>
      <c r="BH166" s="976"/>
      <c r="BI166" s="976"/>
      <c r="BJ166" s="976"/>
      <c r="BK166" s="976"/>
      <c r="BL166" s="976"/>
      <c r="BM166" s="976"/>
      <c r="BN166" s="976"/>
      <c r="BO166" s="976"/>
      <c r="BP166" s="976"/>
      <c r="BQ166" s="976"/>
      <c r="BR166" s="976"/>
      <c r="BS166" s="976"/>
      <c r="BT166" s="976"/>
      <c r="BU166" s="976"/>
      <c r="BV166" s="976"/>
      <c r="BW166" s="976"/>
      <c r="BX166" s="976"/>
      <c r="BY166" s="976"/>
      <c r="BZ166" s="976"/>
      <c r="CA166" s="976"/>
      <c r="CB166" s="976"/>
      <c r="CC166" s="976"/>
      <c r="CD166" s="976"/>
      <c r="CE166" s="976"/>
      <c r="CF166" s="976"/>
      <c r="CG166" s="976"/>
      <c r="CH166" s="976"/>
      <c r="CI166" s="976"/>
      <c r="CJ166" s="976"/>
      <c r="CK166" s="976"/>
      <c r="CL166" s="976"/>
      <c r="CM166" s="976"/>
      <c r="CN166" s="976"/>
      <c r="CO166" s="976"/>
      <c r="CP166" s="976"/>
      <c r="CQ166" s="976"/>
      <c r="CR166" s="976"/>
      <c r="CT166" s="976"/>
      <c r="CU166" s="976"/>
      <c r="CV166" s="976"/>
      <c r="CW166" s="976"/>
      <c r="CX166" s="976"/>
      <c r="CY166" s="976"/>
      <c r="CZ166" s="976"/>
      <c r="DA166" s="976"/>
      <c r="DB166" s="976"/>
      <c r="DC166" s="976"/>
      <c r="DD166" s="976"/>
      <c r="DE166" s="976"/>
      <c r="DF166" s="976"/>
      <c r="DG166" s="976"/>
      <c r="DH166" s="976"/>
      <c r="DI166" s="976"/>
      <c r="DJ166" s="976"/>
      <c r="DK166" s="976"/>
      <c r="DL166" s="976"/>
      <c r="DM166" s="976"/>
      <c r="DN166" s="976"/>
      <c r="DO166" s="976"/>
      <c r="DP166" s="976"/>
      <c r="DQ166" s="976"/>
      <c r="DR166" s="976"/>
      <c r="DS166" s="976"/>
      <c r="DT166" s="976"/>
      <c r="DU166" s="976"/>
      <c r="DX166" s="976"/>
      <c r="DY166" s="976"/>
    </row>
    <row r="167" spans="1:129">
      <c r="A167" s="592"/>
      <c r="B167" s="958" t="s">
        <v>469</v>
      </c>
      <c r="C167" s="958"/>
      <c r="D167" s="958"/>
      <c r="E167" s="958"/>
      <c r="F167" s="958"/>
      <c r="G167" s="958"/>
      <c r="H167" s="958"/>
      <c r="I167" s="958"/>
      <c r="J167" s="958"/>
      <c r="K167" s="958"/>
      <c r="L167" s="958"/>
      <c r="M167" s="958"/>
      <c r="N167" s="958"/>
      <c r="O167" s="958"/>
      <c r="P167" s="958"/>
      <c r="Q167" s="958"/>
      <c r="R167" s="958"/>
      <c r="S167" s="958"/>
      <c r="T167" s="958"/>
      <c r="U167" s="958"/>
      <c r="V167" s="958"/>
      <c r="W167" s="958"/>
      <c r="X167" s="958"/>
      <c r="Y167" s="958"/>
      <c r="Z167" s="958"/>
      <c r="AA167" s="958"/>
      <c r="AB167" s="958"/>
      <c r="AC167" s="958"/>
      <c r="AD167" s="958"/>
      <c r="AE167" s="958"/>
      <c r="AF167" s="958"/>
      <c r="AG167" s="958"/>
      <c r="AH167" s="958"/>
      <c r="AI167" s="958"/>
      <c r="AJ167" s="958"/>
      <c r="AK167" s="958"/>
      <c r="AL167" s="958"/>
      <c r="AM167" s="958"/>
      <c r="AN167" s="958"/>
      <c r="AO167" s="958"/>
      <c r="AP167" s="958"/>
      <c r="AQ167" s="958"/>
      <c r="AR167" s="958"/>
      <c r="AS167" s="958"/>
      <c r="AT167" s="958"/>
      <c r="AU167" s="958"/>
      <c r="AV167" s="958"/>
      <c r="AW167" s="958"/>
      <c r="AX167" s="958"/>
      <c r="AY167" s="958"/>
      <c r="AZ167" s="959"/>
      <c r="BA167" s="958"/>
      <c r="BB167" s="958"/>
      <c r="BC167" s="958"/>
      <c r="BD167" s="958"/>
      <c r="BE167" s="958"/>
      <c r="BF167" s="958"/>
      <c r="BG167" s="958"/>
      <c r="BH167" s="958"/>
      <c r="BI167" s="958"/>
      <c r="BJ167" s="958"/>
      <c r="BK167" s="958"/>
      <c r="BL167" s="958"/>
      <c r="BM167" s="958"/>
      <c r="BN167" s="958"/>
      <c r="BO167" s="958"/>
      <c r="BP167" s="958"/>
      <c r="BQ167" s="958"/>
      <c r="BR167" s="958"/>
      <c r="BS167" s="958"/>
      <c r="BT167" s="958"/>
      <c r="BU167" s="958"/>
      <c r="BV167" s="958"/>
      <c r="BW167" s="958"/>
      <c r="BX167" s="958"/>
      <c r="BY167" s="958"/>
      <c r="BZ167" s="958"/>
      <c r="CA167" s="958"/>
      <c r="CB167" s="958"/>
      <c r="CC167" s="958"/>
      <c r="CD167" s="958"/>
      <c r="CE167" s="958"/>
      <c r="CF167" s="958"/>
      <c r="CG167" s="958"/>
      <c r="CH167" s="958"/>
      <c r="CI167" s="958"/>
      <c r="CJ167" s="958"/>
      <c r="CK167" s="958"/>
      <c r="CL167" s="958"/>
      <c r="CM167" s="958"/>
      <c r="CN167" s="958"/>
      <c r="CO167" s="958"/>
      <c r="CP167" s="958"/>
      <c r="CQ167" s="958"/>
      <c r="CR167" s="958"/>
      <c r="CT167" s="958"/>
      <c r="CU167" s="958"/>
      <c r="CV167" s="958"/>
      <c r="CW167" s="958"/>
      <c r="CX167" s="958"/>
      <c r="CY167" s="958"/>
      <c r="CZ167" s="958"/>
      <c r="DA167" s="958"/>
      <c r="DB167" s="958"/>
      <c r="DC167" s="958"/>
      <c r="DD167" s="958"/>
      <c r="DE167" s="958"/>
      <c r="DF167" s="958"/>
      <c r="DG167" s="958"/>
      <c r="DH167" s="958"/>
      <c r="DI167" s="958"/>
      <c r="DJ167" s="958"/>
      <c r="DK167" s="958"/>
      <c r="DL167" s="958"/>
      <c r="DM167" s="958"/>
      <c r="DN167" s="958"/>
      <c r="DO167" s="958"/>
      <c r="DP167" s="958"/>
      <c r="DQ167" s="958"/>
      <c r="DR167" s="958"/>
      <c r="DS167" s="958"/>
      <c r="DT167" s="958"/>
      <c r="DU167" s="958"/>
      <c r="DX167" s="958"/>
      <c r="DY167" s="958"/>
    </row>
    <row r="168" spans="1:129" s="904" customFormat="1">
      <c r="A168" s="939"/>
      <c r="B168" s="977" t="s">
        <v>470</v>
      </c>
      <c r="C168" s="978" t="e">
        <f>D168</f>
        <v>#DIV/0!</v>
      </c>
      <c r="D168" s="978" t="e">
        <f t="shared" ref="D168:AI168" si="1935">+D41/((C104))*4</f>
        <v>#DIV/0!</v>
      </c>
      <c r="E168" s="978">
        <f t="shared" si="1935"/>
        <v>0</v>
      </c>
      <c r="F168" s="978">
        <f t="shared" si="1935"/>
        <v>0</v>
      </c>
      <c r="G168" s="978">
        <f t="shared" si="1935"/>
        <v>0</v>
      </c>
      <c r="H168" s="978">
        <f t="shared" si="1935"/>
        <v>0</v>
      </c>
      <c r="I168" s="978">
        <f t="shared" si="1935"/>
        <v>0</v>
      </c>
      <c r="J168" s="978">
        <f t="shared" si="1935"/>
        <v>0</v>
      </c>
      <c r="K168" s="978">
        <f t="shared" si="1935"/>
        <v>0</v>
      </c>
      <c r="L168" s="978">
        <f t="shared" si="1935"/>
        <v>0</v>
      </c>
      <c r="M168" s="978">
        <f t="shared" si="1935"/>
        <v>0</v>
      </c>
      <c r="N168" s="978">
        <f t="shared" si="1935"/>
        <v>0</v>
      </c>
      <c r="O168" s="978">
        <f t="shared" si="1935"/>
        <v>0</v>
      </c>
      <c r="P168" s="978">
        <f t="shared" si="1935"/>
        <v>0</v>
      </c>
      <c r="Q168" s="978">
        <f t="shared" si="1935"/>
        <v>0</v>
      </c>
      <c r="R168" s="978">
        <f t="shared" si="1935"/>
        <v>0</v>
      </c>
      <c r="S168" s="978">
        <f t="shared" si="1935"/>
        <v>0</v>
      </c>
      <c r="T168" s="978">
        <f t="shared" si="1935"/>
        <v>0</v>
      </c>
      <c r="U168" s="978">
        <f t="shared" si="1935"/>
        <v>0</v>
      </c>
      <c r="V168" s="978">
        <f t="shared" si="1935"/>
        <v>0</v>
      </c>
      <c r="W168" s="978">
        <f t="shared" si="1935"/>
        <v>0</v>
      </c>
      <c r="X168" s="978">
        <f t="shared" si="1935"/>
        <v>0</v>
      </c>
      <c r="Y168" s="978">
        <f t="shared" si="1935"/>
        <v>0</v>
      </c>
      <c r="Z168" s="978">
        <f t="shared" si="1935"/>
        <v>0</v>
      </c>
      <c r="AA168" s="978">
        <f t="shared" si="1935"/>
        <v>0</v>
      </c>
      <c r="AB168" s="978">
        <f t="shared" si="1935"/>
        <v>0</v>
      </c>
      <c r="AC168" s="978">
        <f t="shared" si="1935"/>
        <v>0</v>
      </c>
      <c r="AD168" s="978">
        <f t="shared" si="1935"/>
        <v>0</v>
      </c>
      <c r="AE168" s="978">
        <f t="shared" si="1935"/>
        <v>0</v>
      </c>
      <c r="AF168" s="978">
        <f t="shared" si="1935"/>
        <v>0</v>
      </c>
      <c r="AG168" s="978">
        <f t="shared" si="1935"/>
        <v>0</v>
      </c>
      <c r="AH168" s="978">
        <f t="shared" si="1935"/>
        <v>0</v>
      </c>
      <c r="AI168" s="978">
        <f t="shared" si="1935"/>
        <v>0</v>
      </c>
      <c r="AJ168" s="978">
        <f t="shared" ref="AJ168:BO168" si="1936">+AJ41/((AI104))*4</f>
        <v>0</v>
      </c>
      <c r="AK168" s="978">
        <f t="shared" si="1936"/>
        <v>0</v>
      </c>
      <c r="AL168" s="978">
        <f t="shared" si="1936"/>
        <v>0</v>
      </c>
      <c r="AM168" s="978">
        <f t="shared" si="1936"/>
        <v>0</v>
      </c>
      <c r="AN168" s="978">
        <f t="shared" si="1936"/>
        <v>0</v>
      </c>
      <c r="AO168" s="978">
        <f t="shared" si="1936"/>
        <v>0</v>
      </c>
      <c r="AP168" s="978">
        <f t="shared" si="1936"/>
        <v>0</v>
      </c>
      <c r="AQ168" s="978">
        <f t="shared" si="1936"/>
        <v>0.18170533071017203</v>
      </c>
      <c r="AR168" s="978">
        <f t="shared" si="1936"/>
        <v>0.18755925590924447</v>
      </c>
      <c r="AS168" s="978">
        <f t="shared" si="1936"/>
        <v>0.19337844700490792</v>
      </c>
      <c r="AT168" s="978">
        <f t="shared" si="1936"/>
        <v>0.19188640468331569</v>
      </c>
      <c r="AU168" s="978">
        <f t="shared" si="1936"/>
        <v>0.18828880167783049</v>
      </c>
      <c r="AV168" s="978">
        <f t="shared" si="1936"/>
        <v>0.19291552551244834</v>
      </c>
      <c r="AW168" s="978">
        <f t="shared" si="1936"/>
        <v>0.19609406825142631</v>
      </c>
      <c r="AX168" s="978">
        <f t="shared" si="1936"/>
        <v>0.19382262416444077</v>
      </c>
      <c r="AY168" s="978">
        <f t="shared" si="1936"/>
        <v>0.18985782530161013</v>
      </c>
      <c r="AZ168" s="978">
        <f t="shared" si="1936"/>
        <v>0.19729676345269337</v>
      </c>
      <c r="BA168" s="978">
        <f t="shared" si="1936"/>
        <v>0.1977878739458053</v>
      </c>
      <c r="BB168" s="978">
        <f t="shared" si="1936"/>
        <v>0.20545727973983027</v>
      </c>
      <c r="BC168" s="918">
        <f t="shared" si="1936"/>
        <v>0.19236639922094453</v>
      </c>
      <c r="BD168" s="918">
        <f t="shared" si="1936"/>
        <v>0.19481281252902274</v>
      </c>
      <c r="BE168" s="918">
        <f t="shared" si="1936"/>
        <v>0.19843232493715754</v>
      </c>
      <c r="BF168" s="918">
        <f t="shared" si="1936"/>
        <v>0.20379433221116233</v>
      </c>
      <c r="BG168" s="918">
        <f t="shared" si="1936"/>
        <v>0.16287362285629844</v>
      </c>
      <c r="BH168" s="918">
        <f t="shared" si="1936"/>
        <v>0.1674648658794809</v>
      </c>
      <c r="BI168" s="918">
        <f t="shared" si="1936"/>
        <v>0.1754419097559278</v>
      </c>
      <c r="BJ168" s="918">
        <f t="shared" si="1936"/>
        <v>0.17410210284397126</v>
      </c>
      <c r="BK168" s="918">
        <f t="shared" si="1936"/>
        <v>0.17424361314829309</v>
      </c>
      <c r="BL168" s="918">
        <f t="shared" si="1936"/>
        <v>0.1856575644820469</v>
      </c>
      <c r="BM168" s="918">
        <f t="shared" si="1936"/>
        <v>0.13911422911384463</v>
      </c>
      <c r="BN168" s="918">
        <f t="shared" si="1936"/>
        <v>8.8874011861689792E-2</v>
      </c>
      <c r="BO168" s="918">
        <f t="shared" si="1936"/>
        <v>0.18360866904968925</v>
      </c>
      <c r="BP168" s="918">
        <f t="shared" ref="BP168:CH168" si="1937">+BP41/((BO104))*4</f>
        <v>0.19177263855478449</v>
      </c>
      <c r="BQ168" s="918">
        <f t="shared" si="1937"/>
        <v>0.20452716297786722</v>
      </c>
      <c r="BR168" s="918">
        <f t="shared" si="1937"/>
        <v>0.14567078501558814</v>
      </c>
      <c r="BS168" s="918">
        <f t="shared" si="1937"/>
        <v>0.18900968313945393</v>
      </c>
      <c r="BT168" s="918">
        <f t="shared" si="1937"/>
        <v>0.17822924173649857</v>
      </c>
      <c r="BU168" s="918">
        <f t="shared" si="1937"/>
        <v>0.17598903573435809</v>
      </c>
      <c r="BV168" s="918">
        <f t="shared" si="1937"/>
        <v>0.17089473415664908</v>
      </c>
      <c r="BW168" s="918">
        <f t="shared" si="1937"/>
        <v>0.1727543411399852</v>
      </c>
      <c r="BX168" s="918">
        <f t="shared" si="1937"/>
        <v>0.18941521546452025</v>
      </c>
      <c r="BY168" s="918">
        <f t="shared" si="1937"/>
        <v>0.18874216800025606</v>
      </c>
      <c r="BZ168" s="918">
        <f t="shared" si="1937"/>
        <v>0.12749853880862314</v>
      </c>
      <c r="CA168" s="918">
        <f t="shared" si="1937"/>
        <v>0.19410594379507584</v>
      </c>
      <c r="CB168" s="918">
        <f t="shared" si="1937"/>
        <v>0.20583799463757396</v>
      </c>
      <c r="CC168" s="918">
        <f t="shared" si="1937"/>
        <v>0.20922062856956739</v>
      </c>
      <c r="CD168" s="918">
        <f t="shared" si="1937"/>
        <v>0.22392208471473524</v>
      </c>
      <c r="CE168" s="918">
        <f t="shared" si="1937"/>
        <v>0.23374327690466648</v>
      </c>
      <c r="CF168" s="918">
        <f t="shared" si="1937"/>
        <v>0.24282153642529961</v>
      </c>
      <c r="CG168" s="918">
        <f t="shared" si="1937"/>
        <v>0.24439336081449931</v>
      </c>
      <c r="CH168" s="918">
        <f t="shared" si="1937"/>
        <v>0.61161928271817678</v>
      </c>
      <c r="CI168" s="918">
        <f t="shared" ref="CI168" si="1938">+CI41/((CH104))*4</f>
        <v>0.24253933448143303</v>
      </c>
      <c r="CJ168" s="918">
        <f t="shared" ref="CJ168" si="1939">+CJ41/((CI104))*4</f>
        <v>0.25772893627628718</v>
      </c>
      <c r="CK168" s="918">
        <f t="shared" ref="CK168" si="1940">+CK41/((CJ104))*4</f>
        <v>0.25469032221518728</v>
      </c>
      <c r="CL168" s="918">
        <f t="shared" ref="CL168" si="1941">+CL41/((CK104))*4</f>
        <v>0.25469032221518728</v>
      </c>
      <c r="CM168" s="918">
        <f t="shared" ref="CM168" si="1942">+CM41/((CL104))*4</f>
        <v>0.25469032221518728</v>
      </c>
      <c r="CN168" s="918">
        <f t="shared" ref="CN168" si="1943">+CN41/((CM104))*4</f>
        <v>0.25469032221518728</v>
      </c>
      <c r="CO168" s="918">
        <f t="shared" ref="CO168" si="1944">+CO41/((CN104))*4</f>
        <v>0.25469032221518728</v>
      </c>
      <c r="CP168" s="918">
        <f t="shared" ref="CP168" si="1945">+CP41/((CO104))*4</f>
        <v>0.25469032221518728</v>
      </c>
      <c r="CQ168" s="918"/>
      <c r="CR168" s="918">
        <v>0.25469032221518728</v>
      </c>
      <c r="CT168" s="918"/>
      <c r="CU168" s="918"/>
      <c r="CV168" s="918"/>
      <c r="CW168" s="918"/>
      <c r="CX168" s="918">
        <f>+CX41/(AO104)</f>
        <v>0</v>
      </c>
      <c r="CY168" s="918">
        <f t="shared" ref="CY168:DU168" si="1946">+CY41/(CX104)</f>
        <v>0</v>
      </c>
      <c r="CZ168" s="918">
        <f t="shared" si="1946"/>
        <v>0</v>
      </c>
      <c r="DA168" s="918">
        <f t="shared" si="1946"/>
        <v>0</v>
      </c>
      <c r="DB168" s="918">
        <f t="shared" si="1946"/>
        <v>0</v>
      </c>
      <c r="DC168" s="918">
        <f t="shared" si="1946"/>
        <v>0</v>
      </c>
      <c r="DD168" s="918">
        <f t="shared" si="1946"/>
        <v>0.18312487296207533</v>
      </c>
      <c r="DE168" s="918">
        <f t="shared" si="1946"/>
        <v>0.2000586825761651</v>
      </c>
      <c r="DF168" s="918">
        <f t="shared" si="1946"/>
        <v>0.20304213725542808</v>
      </c>
      <c r="DG168" s="918">
        <f t="shared" si="1946"/>
        <v>0.20137167271353376</v>
      </c>
      <c r="DH168" s="918">
        <f t="shared" si="1946"/>
        <v>0.20002322091049068</v>
      </c>
      <c r="DI168" s="918">
        <f t="shared" si="1946"/>
        <v>0.17345021881566608</v>
      </c>
      <c r="DJ168" s="918">
        <f t="shared" si="1946"/>
        <v>0.14703359173385733</v>
      </c>
      <c r="DK168" s="918">
        <f t="shared" si="1946"/>
        <v>0.18118884303793975</v>
      </c>
      <c r="DL168" s="918">
        <f t="shared" si="1946"/>
        <v>0.19427367170165161</v>
      </c>
      <c r="DM168" s="918">
        <f t="shared" si="1946"/>
        <v>0.17076992778567249</v>
      </c>
      <c r="DN168" s="918">
        <f t="shared" si="1946"/>
        <v>0.20674555176233864</v>
      </c>
      <c r="DO168" s="918">
        <f t="shared" si="1946"/>
        <v>0.23998517475722109</v>
      </c>
      <c r="DP168" s="918">
        <f t="shared" si="1946"/>
        <v>0.24642547138594248</v>
      </c>
      <c r="DQ168" s="918">
        <f t="shared" si="1946"/>
        <v>0.24750386930575549</v>
      </c>
      <c r="DR168" s="918">
        <f t="shared" si="1946"/>
        <v>0.24750386930575549</v>
      </c>
      <c r="DS168" s="918">
        <f t="shared" si="1946"/>
        <v>0.24750386930575546</v>
      </c>
      <c r="DT168" s="918">
        <f t="shared" si="1946"/>
        <v>0.24750386930575549</v>
      </c>
      <c r="DU168" s="918">
        <f t="shared" si="1946"/>
        <v>0.24750386930575549</v>
      </c>
      <c r="DX168" s="918">
        <v>0.24642547138594251</v>
      </c>
      <c r="DY168" s="918">
        <v>0.24642547138594248</v>
      </c>
    </row>
    <row r="169" spans="1:129" s="904" customFormat="1">
      <c r="A169" s="592"/>
      <c r="B169" s="980"/>
      <c r="C169" s="939"/>
      <c r="D169" s="939"/>
      <c r="E169" s="939"/>
      <c r="F169" s="939"/>
      <c r="G169" s="939"/>
      <c r="H169" s="939"/>
      <c r="I169" s="939"/>
      <c r="J169" s="939"/>
      <c r="K169" s="939"/>
      <c r="L169" s="939"/>
      <c r="M169" s="939"/>
      <c r="N169" s="939"/>
      <c r="O169" s="939"/>
      <c r="P169" s="939"/>
      <c r="Q169" s="939"/>
      <c r="R169" s="939"/>
      <c r="S169" s="939"/>
      <c r="T169" s="939"/>
      <c r="U169" s="939"/>
      <c r="V169" s="939"/>
      <c r="W169" s="939"/>
      <c r="X169" s="939"/>
      <c r="Y169" s="939"/>
      <c r="Z169" s="939"/>
      <c r="AA169" s="939"/>
      <c r="AB169" s="939"/>
      <c r="AC169" s="939"/>
      <c r="AD169" s="939"/>
      <c r="AE169" s="939"/>
      <c r="AF169" s="939"/>
      <c r="AG169" s="939"/>
      <c r="AH169" s="939"/>
      <c r="AI169" s="939"/>
      <c r="AJ169" s="939"/>
      <c r="AK169" s="939"/>
      <c r="AL169" s="939"/>
      <c r="AM169" s="939"/>
      <c r="AN169" s="939"/>
      <c r="AO169" s="939"/>
      <c r="AP169" s="978"/>
      <c r="AQ169" s="978"/>
      <c r="AR169" s="978"/>
      <c r="AS169" s="978"/>
      <c r="AT169" s="978"/>
      <c r="AU169" s="939"/>
      <c r="AV169" s="939"/>
      <c r="AW169" s="939"/>
      <c r="AX169" s="939"/>
      <c r="AY169" s="939"/>
      <c r="AZ169" s="939"/>
      <c r="BA169" s="939"/>
      <c r="BB169" s="939"/>
      <c r="BC169" s="592"/>
      <c r="BD169" s="592"/>
      <c r="BE169" s="592"/>
      <c r="BF169" s="592"/>
      <c r="BG169" s="592"/>
      <c r="BH169" s="592"/>
      <c r="BI169" s="592"/>
      <c r="BJ169" s="592"/>
      <c r="BK169" s="592"/>
      <c r="BL169" s="592"/>
      <c r="BM169" s="592"/>
      <c r="BN169" s="592"/>
      <c r="BO169" s="592"/>
      <c r="BP169" s="592"/>
      <c r="BQ169" s="592"/>
      <c r="BR169" s="592"/>
      <c r="BS169" s="592"/>
      <c r="BT169" s="592"/>
      <c r="BU169" s="592"/>
      <c r="BV169" s="592"/>
      <c r="BW169" s="592"/>
      <c r="BX169" s="592"/>
      <c r="BY169" s="592"/>
      <c r="BZ169" s="592"/>
      <c r="CA169" s="592"/>
      <c r="CB169" s="592"/>
      <c r="CC169" s="592"/>
      <c r="CD169" s="592"/>
      <c r="CE169" s="592"/>
      <c r="CF169" s="592"/>
      <c r="CG169" s="592"/>
      <c r="CH169" s="592"/>
      <c r="CI169" s="592"/>
      <c r="CJ169" s="592"/>
      <c r="CK169" s="592"/>
      <c r="CL169" s="592"/>
      <c r="CM169" s="592"/>
      <c r="CN169" s="592"/>
      <c r="CO169" s="592"/>
      <c r="CP169" s="592"/>
      <c r="CQ169" s="592"/>
      <c r="CR169" s="592"/>
      <c r="CT169" s="592"/>
      <c r="CU169" s="592"/>
      <c r="CV169" s="592"/>
      <c r="CW169" s="592"/>
      <c r="CX169" s="592"/>
      <c r="CY169" s="592"/>
      <c r="CZ169" s="592"/>
      <c r="DA169" s="592"/>
      <c r="DB169" s="592"/>
      <c r="DC169" s="592"/>
      <c r="DD169" s="592"/>
      <c r="DE169" s="592"/>
      <c r="DF169" s="592"/>
      <c r="DG169" s="592"/>
      <c r="DH169" s="592"/>
      <c r="DI169" s="592"/>
      <c r="DJ169" s="592"/>
      <c r="DK169" s="592"/>
      <c r="DL169" s="592"/>
      <c r="DM169" s="592"/>
      <c r="DN169" s="592"/>
      <c r="DO169" s="592"/>
      <c r="DP169" s="592"/>
      <c r="DQ169" s="592"/>
      <c r="DR169" s="592"/>
      <c r="DS169" s="592"/>
      <c r="DT169" s="592"/>
      <c r="DU169" s="592"/>
      <c r="DX169" s="592"/>
      <c r="DY169" s="592"/>
    </row>
    <row r="170" spans="1:129" s="904" customFormat="1">
      <c r="A170" s="939"/>
      <c r="B170" s="977" t="s">
        <v>471</v>
      </c>
      <c r="C170" s="918">
        <v>0</v>
      </c>
      <c r="D170" s="918">
        <f t="shared" ref="D170:AI170" si="1947">+D54/C54-1</f>
        <v>-1</v>
      </c>
      <c r="E170" s="918" t="e">
        <f t="shared" si="1947"/>
        <v>#DIV/0!</v>
      </c>
      <c r="F170" s="918" t="e">
        <f t="shared" si="1947"/>
        <v>#DIV/0!</v>
      </c>
      <c r="G170" s="918">
        <f t="shared" si="1947"/>
        <v>-0.59006211180124235</v>
      </c>
      <c r="H170" s="918">
        <f t="shared" si="1947"/>
        <v>0.54545454545454541</v>
      </c>
      <c r="I170" s="918">
        <f t="shared" si="1947"/>
        <v>-0.34313725490196068</v>
      </c>
      <c r="J170" s="918">
        <f t="shared" si="1947"/>
        <v>3.8358208955223878</v>
      </c>
      <c r="K170" s="918">
        <f t="shared" si="1947"/>
        <v>-0.48148148148148151</v>
      </c>
      <c r="L170" s="918">
        <f t="shared" si="1947"/>
        <v>0.95238095238095233</v>
      </c>
      <c r="M170" s="918">
        <f t="shared" si="1947"/>
        <v>-0.33231707317073167</v>
      </c>
      <c r="N170" s="918">
        <f t="shared" si="1947"/>
        <v>1.1689497716894977</v>
      </c>
      <c r="O170" s="918">
        <f t="shared" si="1947"/>
        <v>-0.75578947368421057</v>
      </c>
      <c r="P170" s="918">
        <f t="shared" si="1947"/>
        <v>1.0862068965517242</v>
      </c>
      <c r="Q170" s="918">
        <f t="shared" si="1947"/>
        <v>-0.30578512396694213</v>
      </c>
      <c r="R170" s="918">
        <f t="shared" si="1947"/>
        <v>2.3273809523809526</v>
      </c>
      <c r="S170" s="918">
        <f t="shared" si="1947"/>
        <v>-0.67620751341681573</v>
      </c>
      <c r="T170" s="918">
        <f t="shared" si="1947"/>
        <v>0.67955801104972369</v>
      </c>
      <c r="U170" s="918">
        <f t="shared" si="1947"/>
        <v>0.20723684210526305</v>
      </c>
      <c r="V170" s="918">
        <f t="shared" si="1947"/>
        <v>0.40599455040871946</v>
      </c>
      <c r="W170" s="918">
        <f t="shared" si="1947"/>
        <v>-0.87596899224806202</v>
      </c>
      <c r="X170" s="918">
        <f t="shared" si="1947"/>
        <v>2.359375</v>
      </c>
      <c r="Y170" s="918">
        <f t="shared" si="1947"/>
        <v>-0.33953488372093021</v>
      </c>
      <c r="Z170" s="918">
        <f t="shared" si="1947"/>
        <v>0.90140845070422526</v>
      </c>
      <c r="AA170" s="918">
        <f t="shared" si="1947"/>
        <v>-0.41111111111111109</v>
      </c>
      <c r="AB170" s="918">
        <f t="shared" si="1947"/>
        <v>0.29559748427672949</v>
      </c>
      <c r="AC170" s="918">
        <f t="shared" si="1947"/>
        <v>0.31553398058252435</v>
      </c>
      <c r="AD170" s="918">
        <f t="shared" si="1947"/>
        <v>2.5682656826568264</v>
      </c>
      <c r="AE170" s="918">
        <f t="shared" si="1947"/>
        <v>-0.75180972078593589</v>
      </c>
      <c r="AF170" s="918">
        <f t="shared" si="1947"/>
        <v>1.6791666666666667</v>
      </c>
      <c r="AG170" s="918">
        <f t="shared" si="1947"/>
        <v>-0.13374805598755835</v>
      </c>
      <c r="AH170" s="918">
        <f t="shared" si="1947"/>
        <v>1.7396768402154397</v>
      </c>
      <c r="AI170" s="918">
        <f t="shared" si="1947"/>
        <v>-0.54259501965923984</v>
      </c>
      <c r="AJ170" s="918">
        <f t="shared" ref="AJ170:BO170" si="1948">+AJ54/AI54-1</f>
        <v>-3.8681948424068802E-2</v>
      </c>
      <c r="AK170" s="918">
        <f t="shared" si="1948"/>
        <v>0.28763040238450066</v>
      </c>
      <c r="AL170" s="918">
        <f t="shared" si="1948"/>
        <v>0.73842592592592582</v>
      </c>
      <c r="AM170" s="918">
        <f t="shared" si="1948"/>
        <v>-0.75499334221038616</v>
      </c>
      <c r="AN170" s="918">
        <f t="shared" si="1948"/>
        <v>0.78804347826086962</v>
      </c>
      <c r="AO170" s="918">
        <f t="shared" si="1948"/>
        <v>0.87537993920972634</v>
      </c>
      <c r="AP170" s="918">
        <f t="shared" si="1948"/>
        <v>0.50891410048622365</v>
      </c>
      <c r="AQ170" s="918">
        <f t="shared" si="1948"/>
        <v>-0.58431793770139628</v>
      </c>
      <c r="AR170" s="918">
        <f t="shared" si="1948"/>
        <v>0.49870801033591738</v>
      </c>
      <c r="AS170" s="918">
        <f t="shared" si="1948"/>
        <v>0.13448275862068959</v>
      </c>
      <c r="AT170" s="918">
        <f t="shared" si="1948"/>
        <v>0.34498480243161089</v>
      </c>
      <c r="AU170" s="918">
        <f t="shared" si="1948"/>
        <v>-0.59661016949152534</v>
      </c>
      <c r="AV170" s="918">
        <f t="shared" si="1948"/>
        <v>1.053221288515406</v>
      </c>
      <c r="AW170" s="918">
        <f t="shared" si="1948"/>
        <v>0.13778990450204631</v>
      </c>
      <c r="AX170" s="918">
        <f t="shared" si="1948"/>
        <v>0.11870503597122295</v>
      </c>
      <c r="AY170" s="918">
        <f t="shared" si="1948"/>
        <v>-0.53054662379421225</v>
      </c>
      <c r="AZ170" s="918">
        <f t="shared" si="1948"/>
        <v>0.80251141552511407</v>
      </c>
      <c r="BA170" s="918">
        <f t="shared" si="1948"/>
        <v>-0.32362254591513617</v>
      </c>
      <c r="BB170" s="918">
        <f t="shared" si="1948"/>
        <v>0.5</v>
      </c>
      <c r="BC170" s="918">
        <f t="shared" si="1948"/>
        <v>-0.58506825898876413</v>
      </c>
      <c r="BD170" s="918">
        <f t="shared" si="1948"/>
        <v>0.78647978155610576</v>
      </c>
      <c r="BE170" s="918">
        <f t="shared" si="1948"/>
        <v>0.13625990517974573</v>
      </c>
      <c r="BF170" s="918">
        <f t="shared" si="1948"/>
        <v>0.70636896642587499</v>
      </c>
      <c r="BG170" s="918">
        <f t="shared" si="1948"/>
        <v>-0.59130274411019634</v>
      </c>
      <c r="BH170" s="918">
        <f t="shared" si="1948"/>
        <v>0.42585622743888796</v>
      </c>
      <c r="BI170" s="918">
        <f t="shared" si="1948"/>
        <v>0.17989225161016797</v>
      </c>
      <c r="BJ170" s="918">
        <f t="shared" si="1948"/>
        <v>0.41354614451572003</v>
      </c>
      <c r="BK170" s="918">
        <f t="shared" si="1948"/>
        <v>-0.64749911341180699</v>
      </c>
      <c r="BL170" s="918">
        <f t="shared" si="1948"/>
        <v>1.1102454322137825</v>
      </c>
      <c r="BM170" s="918">
        <f t="shared" si="1948"/>
        <v>0.54590268518512075</v>
      </c>
      <c r="BN170" s="918">
        <f t="shared" si="1948"/>
        <v>-3.4202323161143355E-2</v>
      </c>
      <c r="BO170" s="918">
        <f t="shared" si="1948"/>
        <v>-0.64012524963166184</v>
      </c>
      <c r="BP170" s="918">
        <f t="shared" ref="BP170:CH170" si="1949">+BP54/BO54-1</f>
        <v>0.5820706476555586</v>
      </c>
      <c r="BQ170" s="918">
        <f t="shared" si="1949"/>
        <v>0.33504315257950523</v>
      </c>
      <c r="BR170" s="918">
        <f t="shared" si="1949"/>
        <v>-0.33936307835259405</v>
      </c>
      <c r="BS170" s="918">
        <f t="shared" si="1949"/>
        <v>1.1164070355602562</v>
      </c>
      <c r="BT170" s="918">
        <f t="shared" si="1949"/>
        <v>-3.7912044352591878E-2</v>
      </c>
      <c r="BU170" s="918">
        <f t="shared" si="1949"/>
        <v>-0.26577424810015116</v>
      </c>
      <c r="BV170" s="918">
        <f t="shared" si="1949"/>
        <v>1.0561037770987833</v>
      </c>
      <c r="BW170" s="918">
        <f t="shared" si="1949"/>
        <v>-0.70097072038077002</v>
      </c>
      <c r="BX170" s="918">
        <f t="shared" si="1949"/>
        <v>0.81322772725137038</v>
      </c>
      <c r="BY170" s="918">
        <f t="shared" si="1949"/>
        <v>0.2679420812681621</v>
      </c>
      <c r="BZ170" s="918">
        <f t="shared" si="1949"/>
        <v>0.5490524111522046</v>
      </c>
      <c r="CA170" s="918">
        <f t="shared" si="1949"/>
        <v>-0.80066954225752496</v>
      </c>
      <c r="CB170" s="918">
        <f t="shared" si="1949"/>
        <v>1.8964477975915695</v>
      </c>
      <c r="CC170" s="918">
        <f t="shared" si="1949"/>
        <v>3.474344454654088E-2</v>
      </c>
      <c r="CD170" s="918">
        <f t="shared" si="1949"/>
        <v>0.3416325820816497</v>
      </c>
      <c r="CE170" s="918">
        <f t="shared" si="1949"/>
        <v>-0.78935857021961731</v>
      </c>
      <c r="CF170" s="918">
        <f t="shared" si="1949"/>
        <v>0.98811436566382516</v>
      </c>
      <c r="CG170" s="918">
        <f t="shared" si="1949"/>
        <v>0.26095773610959161</v>
      </c>
      <c r="CH170" s="918">
        <f t="shared" si="1949"/>
        <v>0.63836207128998601</v>
      </c>
      <c r="CI170" s="918">
        <f t="shared" ref="CI170" si="1950">+CI54/CH54-1</f>
        <v>-0.78259884137617908</v>
      </c>
      <c r="CJ170" s="918">
        <f t="shared" ref="CJ170" si="1951">+CJ54/CI54-1</f>
        <v>1.6931199311602039</v>
      </c>
      <c r="CK170" s="918">
        <f t="shared" ref="CK170" si="1952">+CK54/CJ54-1</f>
        <v>0.20533355411662146</v>
      </c>
      <c r="CL170" s="918">
        <f t="shared" ref="CL170" si="1953">+CL54/CK54-1</f>
        <v>0.51703949269226523</v>
      </c>
      <c r="CM170" s="918">
        <f t="shared" ref="CM170" si="1954">+CM54/CL54-1</f>
        <v>-0.6848848690608984</v>
      </c>
      <c r="CN170" s="918">
        <f t="shared" ref="CN170" si="1955">+CN54/CM54-1</f>
        <v>0.62814591958836585</v>
      </c>
      <c r="CO170" s="918">
        <f t="shared" ref="CO170" si="1956">+CO54/CN54-1</f>
        <v>0.12023563629981449</v>
      </c>
      <c r="CP170" s="918">
        <f t="shared" ref="CP170" si="1957">+CP54/CO54-1</f>
        <v>0.57093993732663684</v>
      </c>
      <c r="CQ170" s="918"/>
      <c r="CR170" s="918">
        <v>0.51703949269226523</v>
      </c>
      <c r="CT170" s="918"/>
      <c r="CU170" s="918"/>
      <c r="CV170" s="918"/>
      <c r="CW170" s="918"/>
      <c r="CX170" s="918">
        <f>+CX54/AO54-1</f>
        <v>-0.12074554294975692</v>
      </c>
      <c r="CY170" s="918">
        <f t="shared" ref="CY170:DU170" si="1958">+CY54/CX54-1</f>
        <v>0.26082949308755765</v>
      </c>
      <c r="CZ170" s="918">
        <f t="shared" si="1958"/>
        <v>-0.49488304093567248</v>
      </c>
      <c r="DA170" s="918">
        <f t="shared" si="1958"/>
        <v>1.3198263386396527</v>
      </c>
      <c r="DB170" s="918">
        <f t="shared" si="1958"/>
        <v>0.85028072364316909</v>
      </c>
      <c r="DC170" s="918">
        <f t="shared" si="1958"/>
        <v>0.2592717464598786</v>
      </c>
      <c r="DD170" s="918">
        <f t="shared" si="1958"/>
        <v>0.10361445783132539</v>
      </c>
      <c r="DE170" s="918">
        <f t="shared" si="1958"/>
        <v>0.21785540999514796</v>
      </c>
      <c r="DF170" s="918">
        <f t="shared" si="1958"/>
        <v>0.13824701195219125</v>
      </c>
      <c r="DG170" s="918">
        <f t="shared" si="1958"/>
        <v>-0.10308015400770043</v>
      </c>
      <c r="DH170" s="918">
        <f t="shared" si="1958"/>
        <v>7.3948960561514898E-2</v>
      </c>
      <c r="DI170" s="918">
        <f t="shared" si="1958"/>
        <v>0.10894310003448693</v>
      </c>
      <c r="DJ170" s="918">
        <f t="shared" si="1958"/>
        <v>0.23075383706385089</v>
      </c>
      <c r="DK170" s="918">
        <f t="shared" si="1958"/>
        <v>-0.27496625154330256</v>
      </c>
      <c r="DL170" s="918">
        <f t="shared" si="1958"/>
        <v>0.998427669330197</v>
      </c>
      <c r="DM170" s="918">
        <f t="shared" si="1958"/>
        <v>-8.5854601143910303E-2</v>
      </c>
      <c r="DN170" s="918">
        <f t="shared" si="1958"/>
        <v>-0.10670942650789017</v>
      </c>
      <c r="DO170" s="918">
        <f t="shared" si="1958"/>
        <v>-0.25484470710609697</v>
      </c>
      <c r="DP170" s="918">
        <f t="shared" si="1958"/>
        <v>0.1032111359390735</v>
      </c>
      <c r="DQ170" s="918">
        <f t="shared" si="1958"/>
        <v>-4.2894477946671783E-2</v>
      </c>
      <c r="DR170" s="918">
        <f t="shared" si="1958"/>
        <v>8.0668832635629739E-2</v>
      </c>
      <c r="DS170" s="918">
        <f t="shared" si="1958"/>
        <v>6.980779179443064E-2</v>
      </c>
      <c r="DT170" s="918">
        <f t="shared" si="1958"/>
        <v>6.9597510423654807E-2</v>
      </c>
      <c r="DU170" s="918">
        <f t="shared" si="1958"/>
        <v>6.9369306457621516E-2</v>
      </c>
      <c r="DX170" s="918">
        <v>6.8977487781823665E-2</v>
      </c>
      <c r="DY170" s="918">
        <v>7.8488083729517655E-2</v>
      </c>
    </row>
    <row r="171" spans="1:129" s="904" customFormat="1">
      <c r="A171" s="939"/>
      <c r="B171" s="912" t="s">
        <v>472</v>
      </c>
      <c r="C171" s="981" t="e">
        <f t="shared" ref="C171:AH171" si="1959">+C173/C41</f>
        <v>#DIV/0!</v>
      </c>
      <c r="D171" s="981" t="e">
        <f t="shared" si="1959"/>
        <v>#DIV/0!</v>
      </c>
      <c r="E171" s="981" t="e">
        <f t="shared" si="1959"/>
        <v>#DIV/0!</v>
      </c>
      <c r="F171" s="981" t="e">
        <f t="shared" si="1959"/>
        <v>#DIV/0!</v>
      </c>
      <c r="G171" s="981" t="e">
        <f t="shared" si="1959"/>
        <v>#DIV/0!</v>
      </c>
      <c r="H171" s="981" t="e">
        <f t="shared" si="1959"/>
        <v>#DIV/0!</v>
      </c>
      <c r="I171" s="981" t="e">
        <f t="shared" si="1959"/>
        <v>#DIV/0!</v>
      </c>
      <c r="J171" s="981" t="e">
        <f t="shared" si="1959"/>
        <v>#DIV/0!</v>
      </c>
      <c r="K171" s="981" t="e">
        <f t="shared" si="1959"/>
        <v>#DIV/0!</v>
      </c>
      <c r="L171" s="981" t="e">
        <f t="shared" si="1959"/>
        <v>#DIV/0!</v>
      </c>
      <c r="M171" s="981" t="e">
        <f t="shared" si="1959"/>
        <v>#DIV/0!</v>
      </c>
      <c r="N171" s="981" t="e">
        <f t="shared" si="1959"/>
        <v>#DIV/0!</v>
      </c>
      <c r="O171" s="981" t="e">
        <f t="shared" si="1959"/>
        <v>#DIV/0!</v>
      </c>
      <c r="P171" s="981" t="e">
        <f t="shared" si="1959"/>
        <v>#DIV/0!</v>
      </c>
      <c r="Q171" s="981" t="e">
        <f t="shared" si="1959"/>
        <v>#DIV/0!</v>
      </c>
      <c r="R171" s="981" t="e">
        <f t="shared" si="1959"/>
        <v>#DIV/0!</v>
      </c>
      <c r="S171" s="981" t="e">
        <f t="shared" si="1959"/>
        <v>#DIV/0!</v>
      </c>
      <c r="T171" s="981" t="e">
        <f t="shared" si="1959"/>
        <v>#DIV/0!</v>
      </c>
      <c r="U171" s="981" t="e">
        <f t="shared" si="1959"/>
        <v>#DIV/0!</v>
      </c>
      <c r="V171" s="981" t="e">
        <f t="shared" si="1959"/>
        <v>#DIV/0!</v>
      </c>
      <c r="W171" s="981" t="e">
        <f t="shared" si="1959"/>
        <v>#DIV/0!</v>
      </c>
      <c r="X171" s="981" t="e">
        <f t="shared" si="1959"/>
        <v>#DIV/0!</v>
      </c>
      <c r="Y171" s="981" t="e">
        <f t="shared" si="1959"/>
        <v>#DIV/0!</v>
      </c>
      <c r="Z171" s="981" t="e">
        <f t="shared" si="1959"/>
        <v>#DIV/0!</v>
      </c>
      <c r="AA171" s="981" t="e">
        <f t="shared" si="1959"/>
        <v>#DIV/0!</v>
      </c>
      <c r="AB171" s="981" t="e">
        <f t="shared" si="1959"/>
        <v>#DIV/0!</v>
      </c>
      <c r="AC171" s="981" t="e">
        <f t="shared" si="1959"/>
        <v>#DIV/0!</v>
      </c>
      <c r="AD171" s="981" t="e">
        <f t="shared" si="1959"/>
        <v>#DIV/0!</v>
      </c>
      <c r="AE171" s="981" t="e">
        <f t="shared" si="1959"/>
        <v>#DIV/0!</v>
      </c>
      <c r="AF171" s="981" t="e">
        <f t="shared" si="1959"/>
        <v>#DIV/0!</v>
      </c>
      <c r="AG171" s="981" t="e">
        <f t="shared" si="1959"/>
        <v>#DIV/0!</v>
      </c>
      <c r="AH171" s="981" t="e">
        <f t="shared" si="1959"/>
        <v>#DIV/0!</v>
      </c>
      <c r="AI171" s="981" t="e">
        <f t="shared" ref="AI171:BN171" si="1960">+AI173/AI41</f>
        <v>#DIV/0!</v>
      </c>
      <c r="AJ171" s="981" t="e">
        <f t="shared" si="1960"/>
        <v>#DIV/0!</v>
      </c>
      <c r="AK171" s="981" t="e">
        <f t="shared" si="1960"/>
        <v>#DIV/0!</v>
      </c>
      <c r="AL171" s="981" t="e">
        <f t="shared" si="1960"/>
        <v>#DIV/0!</v>
      </c>
      <c r="AM171" s="981" t="e">
        <f t="shared" si="1960"/>
        <v>#DIV/0!</v>
      </c>
      <c r="AN171" s="981" t="e">
        <f t="shared" si="1960"/>
        <v>#DIV/0!</v>
      </c>
      <c r="AO171" s="981" t="e">
        <f t="shared" si="1960"/>
        <v>#DIV/0!</v>
      </c>
      <c r="AP171" s="981" t="e">
        <f t="shared" si="1960"/>
        <v>#DIV/0!</v>
      </c>
      <c r="AQ171" s="981">
        <f t="shared" si="1960"/>
        <v>1.6023517721099703</v>
      </c>
      <c r="AR171" s="981">
        <f t="shared" si="1960"/>
        <v>2.246625220304844</v>
      </c>
      <c r="AS171" s="981">
        <f t="shared" si="1960"/>
        <v>2.3916836289619074</v>
      </c>
      <c r="AT171" s="981">
        <f t="shared" si="1960"/>
        <v>3.0638209482266188</v>
      </c>
      <c r="AU171" s="981">
        <f t="shared" si="1960"/>
        <v>1.1631466458552602</v>
      </c>
      <c r="AV171" s="981">
        <f t="shared" si="1960"/>
        <v>2.3019572593529305</v>
      </c>
      <c r="AW171" s="981">
        <f t="shared" si="1960"/>
        <v>2.4444932952297207</v>
      </c>
      <c r="AX171" s="981">
        <f t="shared" si="1960"/>
        <v>2.6107030430220357</v>
      </c>
      <c r="AY171" s="981">
        <f t="shared" si="1960"/>
        <v>1.194013575770793</v>
      </c>
      <c r="AZ171" s="981">
        <f t="shared" si="1960"/>
        <v>2.0529956313709175</v>
      </c>
      <c r="BA171" s="981">
        <f t="shared" si="1960"/>
        <v>1.3587613389142632</v>
      </c>
      <c r="BB171" s="981">
        <f t="shared" si="1960"/>
        <v>1.9445995484450487</v>
      </c>
      <c r="BC171" s="981">
        <f t="shared" si="1960"/>
        <v>0.8402060938645497</v>
      </c>
      <c r="BD171" s="981">
        <f t="shared" si="1960"/>
        <v>1.4897879814326942</v>
      </c>
      <c r="BE171" s="981">
        <f t="shared" si="1960"/>
        <v>1.6302238760888745</v>
      </c>
      <c r="BF171" s="981">
        <f t="shared" si="1960"/>
        <v>2.6325910126776693</v>
      </c>
      <c r="BG171" s="981">
        <f t="shared" si="1960"/>
        <v>1.2742389773588996</v>
      </c>
      <c r="BH171" s="981">
        <f t="shared" si="1960"/>
        <v>1.7589317261441169</v>
      </c>
      <c r="BI171" s="981">
        <f t="shared" si="1960"/>
        <v>1.9475889383034999</v>
      </c>
      <c r="BJ171" s="981">
        <f t="shared" si="1960"/>
        <v>2.6909350717893217</v>
      </c>
      <c r="BK171" s="981">
        <f t="shared" si="1960"/>
        <v>0.90794198895027645</v>
      </c>
      <c r="BL171" s="981">
        <f t="shared" si="1960"/>
        <v>1.8340720602014942</v>
      </c>
      <c r="BM171" s="981">
        <f t="shared" si="1960"/>
        <v>3.7430587892654135</v>
      </c>
      <c r="BN171" s="981">
        <f t="shared" si="1960"/>
        <v>5.3034486772844378</v>
      </c>
      <c r="BO171" s="981">
        <f t="shared" ref="BO171:CH171" si="1961">+BO173/BO41</f>
        <v>0.8963874598795929</v>
      </c>
      <c r="BP171" s="981">
        <f t="shared" si="1961"/>
        <v>1.3500233749630295</v>
      </c>
      <c r="BQ171" s="981">
        <f t="shared" si="1961"/>
        <v>1.720761200287843</v>
      </c>
      <c r="BR171" s="981">
        <f t="shared" si="1961"/>
        <v>1.5702260974597064</v>
      </c>
      <c r="BS171" s="981">
        <f t="shared" si="1961"/>
        <v>2.5947265854364692</v>
      </c>
      <c r="BT171" s="981">
        <f t="shared" si="1961"/>
        <v>2.4435446355209223</v>
      </c>
      <c r="BU171" s="981">
        <f t="shared" si="1961"/>
        <v>1.7537577771767228</v>
      </c>
      <c r="BV171" s="981">
        <f t="shared" si="1961"/>
        <v>3.6074677998852738</v>
      </c>
      <c r="BW171" s="981">
        <f t="shared" si="1961"/>
        <v>1.0019852110286203</v>
      </c>
      <c r="BX171" s="981">
        <f t="shared" si="1961"/>
        <v>1.6773749105394236</v>
      </c>
      <c r="BY171" s="981">
        <f t="shared" si="1961"/>
        <v>2.0803435747726198</v>
      </c>
      <c r="BZ171" s="981">
        <f t="shared" si="1961"/>
        <v>4.6732945040029081</v>
      </c>
      <c r="CA171" s="981">
        <f t="shared" si="1961"/>
        <v>0.59282005323075437</v>
      </c>
      <c r="CB171" s="981">
        <f t="shared" si="1961"/>
        <v>1.6553962695586917</v>
      </c>
      <c r="CC171" s="981">
        <f t="shared" si="1961"/>
        <v>1.6701161011678805</v>
      </c>
      <c r="CD171" s="981">
        <f t="shared" si="1961"/>
        <v>2.0560373935077054</v>
      </c>
      <c r="CE171" s="981">
        <f t="shared" si="1961"/>
        <v>0.40846745209696822</v>
      </c>
      <c r="CF171" s="981">
        <f t="shared" si="1961"/>
        <v>0.79220681235080648</v>
      </c>
      <c r="CG171" s="981">
        <f t="shared" si="1961"/>
        <v>0.99429227777836093</v>
      </c>
      <c r="CH171" s="981">
        <f t="shared" si="1961"/>
        <v>0.65076383444980024</v>
      </c>
      <c r="CI171" s="981">
        <f t="shared" ref="CI171:CL171" si="1962">+CI173/CI41</f>
        <v>0.35019589426672565</v>
      </c>
      <c r="CJ171" s="981">
        <f t="shared" si="1962"/>
        <v>0.91149892414951073</v>
      </c>
      <c r="CK171" s="981">
        <f t="shared" si="1962"/>
        <v>1.1256938654813033</v>
      </c>
      <c r="CL171" s="981">
        <f t="shared" si="1962"/>
        <v>1.6914500725902357</v>
      </c>
      <c r="CM171" s="981">
        <f t="shared" ref="CM171:CP171" si="1963">+CM173/CM41</f>
        <v>0.51052493094840989</v>
      </c>
      <c r="CN171" s="981">
        <f t="shared" si="1963"/>
        <v>0.85794801167108825</v>
      </c>
      <c r="CO171" s="981">
        <f t="shared" si="1963"/>
        <v>0.96987629000187758</v>
      </c>
      <c r="CP171" s="981">
        <f t="shared" si="1963"/>
        <v>1.5265453952681975</v>
      </c>
      <c r="CQ171" s="981"/>
      <c r="CR171" s="981">
        <v>1.6914500725902357</v>
      </c>
      <c r="CT171" s="981"/>
      <c r="CU171" s="981"/>
      <c r="CV171" s="981"/>
      <c r="CW171" s="981"/>
      <c r="CX171" s="981" t="e">
        <f t="shared" ref="CX171:DU171" si="1964">+CX173/CX41</f>
        <v>#DIV/0!</v>
      </c>
      <c r="CY171" s="981" t="e">
        <f t="shared" si="1964"/>
        <v>#DIV/0!</v>
      </c>
      <c r="CZ171" s="981" t="e">
        <f t="shared" si="1964"/>
        <v>#DIV/0!</v>
      </c>
      <c r="DA171" s="981" t="e">
        <f t="shared" si="1964"/>
        <v>#DIV/0!</v>
      </c>
      <c r="DB171" s="981" t="e">
        <f t="shared" si="1964"/>
        <v>#DIV/0!</v>
      </c>
      <c r="DC171" s="981" t="e">
        <f t="shared" si="1964"/>
        <v>#DIV/0!</v>
      </c>
      <c r="DD171" s="981">
        <f t="shared" si="1964"/>
        <v>2.6600241351049618</v>
      </c>
      <c r="DE171" s="981">
        <f t="shared" si="1964"/>
        <v>2.3597766203486077</v>
      </c>
      <c r="DF171" s="981">
        <f t="shared" si="1964"/>
        <v>2.1580167976879276</v>
      </c>
      <c r="DG171" s="981">
        <f t="shared" si="1964"/>
        <v>1.6465281548282631</v>
      </c>
      <c r="DH171" s="981">
        <f t="shared" si="1964"/>
        <v>1.6726804343622783</v>
      </c>
      <c r="DI171" s="981">
        <f t="shared" si="1964"/>
        <v>1.9402779581974334</v>
      </c>
      <c r="DJ171" s="981">
        <f t="shared" si="1964"/>
        <v>2.5616422136736063</v>
      </c>
      <c r="DK171" s="981">
        <f t="shared" si="1964"/>
        <v>1.3828756844242658</v>
      </c>
      <c r="DL171" s="981">
        <f t="shared" si="1964"/>
        <v>2.6007138097764071</v>
      </c>
      <c r="DM171" s="981">
        <f t="shared" si="1964"/>
        <v>2.1979706275704709</v>
      </c>
      <c r="DN171" s="981">
        <f t="shared" si="1964"/>
        <v>1.518692163273843</v>
      </c>
      <c r="DO171" s="981">
        <f t="shared" si="1964"/>
        <v>0.95505281124945751</v>
      </c>
      <c r="DP171" s="981">
        <f t="shared" ref="DP171:DQ171" si="1965">+DP173/DP41</f>
        <v>1.022275271623293</v>
      </c>
      <c r="DQ171" s="981">
        <f t="shared" si="1965"/>
        <v>0.96103313642768162</v>
      </c>
      <c r="DR171" s="981">
        <f t="shared" si="1964"/>
        <v>1.048672425930681</v>
      </c>
      <c r="DS171" s="981">
        <f t="shared" si="1964"/>
        <v>1.1085239721792077</v>
      </c>
      <c r="DT171" s="981">
        <f t="shared" si="1964"/>
        <v>1.1546601892438064</v>
      </c>
      <c r="DU171" s="981">
        <f t="shared" si="1964"/>
        <v>1.189235428431497</v>
      </c>
      <c r="DX171" s="981">
        <v>1.082980785040202</v>
      </c>
      <c r="DY171" s="981">
        <v>1.1445769003264394</v>
      </c>
    </row>
    <row r="172" spans="1:129" s="904" customFormat="1">
      <c r="A172" s="939"/>
      <c r="B172" s="912" t="s">
        <v>473</v>
      </c>
      <c r="C172" s="982">
        <f t="shared" ref="C172:AH172" si="1966">C175/C173</f>
        <v>0.63513513513513509</v>
      </c>
      <c r="D172" s="982" t="e">
        <f t="shared" si="1966"/>
        <v>#DIV/0!</v>
      </c>
      <c r="E172" s="982" t="e">
        <f t="shared" si="1966"/>
        <v>#DIV/0!</v>
      </c>
      <c r="F172" s="982">
        <f t="shared" si="1966"/>
        <v>0.67701863354037273</v>
      </c>
      <c r="G172" s="982">
        <f t="shared" si="1966"/>
        <v>0.45454545454545453</v>
      </c>
      <c r="H172" s="982">
        <f t="shared" si="1966"/>
        <v>0.47058823529411764</v>
      </c>
      <c r="I172" s="982">
        <f t="shared" si="1966"/>
        <v>0.68656716417910457</v>
      </c>
      <c r="J172" s="982">
        <f t="shared" si="1966"/>
        <v>0.61419753086419748</v>
      </c>
      <c r="K172" s="982">
        <f t="shared" si="1966"/>
        <v>0.4107142857142857</v>
      </c>
      <c r="L172" s="982">
        <f t="shared" si="1966"/>
        <v>0.31402439024390238</v>
      </c>
      <c r="M172" s="982">
        <f t="shared" si="1966"/>
        <v>0.42009132420091333</v>
      </c>
      <c r="N172" s="982">
        <f t="shared" si="1966"/>
        <v>0.24</v>
      </c>
      <c r="O172" s="982">
        <f t="shared" si="1966"/>
        <v>0.27586206896551724</v>
      </c>
      <c r="P172" s="982">
        <f t="shared" si="1966"/>
        <v>0.29752066115702475</v>
      </c>
      <c r="Q172" s="982">
        <f t="shared" si="1966"/>
        <v>0.5178571428571429</v>
      </c>
      <c r="R172" s="982">
        <f t="shared" si="1966"/>
        <v>0.5259391771019678</v>
      </c>
      <c r="S172" s="982">
        <f t="shared" si="1966"/>
        <v>0.43093922651933703</v>
      </c>
      <c r="T172" s="982">
        <f t="shared" si="1966"/>
        <v>0.32894736842105265</v>
      </c>
      <c r="U172" s="982">
        <f t="shared" si="1966"/>
        <v>0.42779291553133514</v>
      </c>
      <c r="V172" s="982">
        <f t="shared" si="1966"/>
        <v>0.37984496124031003</v>
      </c>
      <c r="W172" s="982">
        <f t="shared" si="1966"/>
        <v>9.375E-2</v>
      </c>
      <c r="X172" s="982">
        <f t="shared" si="1966"/>
        <v>0.31162790697674414</v>
      </c>
      <c r="Y172" s="982">
        <f t="shared" si="1966"/>
        <v>0.3380281690140845</v>
      </c>
      <c r="Z172" s="982">
        <f t="shared" si="1966"/>
        <v>0.52222222222222225</v>
      </c>
      <c r="AA172" s="982">
        <f t="shared" si="1966"/>
        <v>0.51572327044025157</v>
      </c>
      <c r="AB172" s="982">
        <f t="shared" si="1966"/>
        <v>0.25242718446601942</v>
      </c>
      <c r="AC172" s="982">
        <f t="shared" si="1966"/>
        <v>0.37638376383763839</v>
      </c>
      <c r="AD172" s="982">
        <f t="shared" si="1966"/>
        <v>0.66390899689762151</v>
      </c>
      <c r="AE172" s="982">
        <f t="shared" si="1966"/>
        <v>0.25833333333333336</v>
      </c>
      <c r="AF172" s="982">
        <f t="shared" si="1966"/>
        <v>0.34681181959564533</v>
      </c>
      <c r="AG172" s="982">
        <f t="shared" si="1966"/>
        <v>0.46858168761220825</v>
      </c>
      <c r="AH172" s="982">
        <f t="shared" si="1966"/>
        <v>0.35190039318479682</v>
      </c>
      <c r="AI172" s="982">
        <f t="shared" ref="AI172:BJ172" si="1967">AI175/AI173</f>
        <v>0.66045845272206294</v>
      </c>
      <c r="AJ172" s="982">
        <f t="shared" si="1967"/>
        <v>0.55886736214605071</v>
      </c>
      <c r="AK172" s="982">
        <f t="shared" si="1967"/>
        <v>0.57986111111111105</v>
      </c>
      <c r="AL172" s="982">
        <f t="shared" si="1967"/>
        <v>0.45406125166444739</v>
      </c>
      <c r="AM172" s="982">
        <f t="shared" si="1967"/>
        <v>0.4891304347826087</v>
      </c>
      <c r="AN172" s="982">
        <f t="shared" si="1967"/>
        <v>0.35866261398176291</v>
      </c>
      <c r="AO172" s="982">
        <f t="shared" si="1967"/>
        <v>0.60372771474878439</v>
      </c>
      <c r="AP172" s="982">
        <f t="shared" si="1967"/>
        <v>0.52363050483351226</v>
      </c>
      <c r="AQ172" s="982">
        <f t="shared" si="1967"/>
        <v>0.51291989664082682</v>
      </c>
      <c r="AR172" s="982">
        <f t="shared" si="1967"/>
        <v>0.54482758620689653</v>
      </c>
      <c r="AS172" s="982">
        <f t="shared" si="1967"/>
        <v>0.56306990881458963</v>
      </c>
      <c r="AT172" s="982">
        <f t="shared" si="1967"/>
        <v>0.6022598870056497</v>
      </c>
      <c r="AU172" s="982">
        <f t="shared" si="1967"/>
        <v>0.5406162464985993</v>
      </c>
      <c r="AV172" s="982">
        <f t="shared" si="1967"/>
        <v>0.65893587994542979</v>
      </c>
      <c r="AW172" s="982">
        <f t="shared" si="1967"/>
        <v>0.75839328537170259</v>
      </c>
      <c r="AX172" s="982">
        <f t="shared" si="1967"/>
        <v>0.7111468381564845</v>
      </c>
      <c r="AY172" s="982">
        <f t="shared" si="1967"/>
        <v>0.54794520547945202</v>
      </c>
      <c r="AZ172" s="982">
        <f t="shared" si="1967"/>
        <v>0.69411019632678905</v>
      </c>
      <c r="BA172" s="982">
        <f t="shared" si="1967"/>
        <v>0.6039325842696629</v>
      </c>
      <c r="BB172" s="982">
        <f t="shared" si="1967"/>
        <v>0.68913857677902612</v>
      </c>
      <c r="BC172" s="982">
        <f t="shared" si="1967"/>
        <v>0.66143758478548664</v>
      </c>
      <c r="BD172" s="982">
        <f t="shared" si="1967"/>
        <v>0.55815851071037648</v>
      </c>
      <c r="BE172" s="982">
        <f t="shared" si="1967"/>
        <v>0.57474142965242203</v>
      </c>
      <c r="BF172" s="982">
        <f t="shared" si="1967"/>
        <v>0.60902528164312109</v>
      </c>
      <c r="BG172" s="982">
        <f t="shared" si="1967"/>
        <v>0.67790802769515202</v>
      </c>
      <c r="BH172" s="982">
        <f t="shared" si="1967"/>
        <v>0.65853808519596213</v>
      </c>
      <c r="BI172" s="982">
        <f t="shared" si="1967"/>
        <v>0.59263414890885435</v>
      </c>
      <c r="BJ172" s="982">
        <f t="shared" si="1967"/>
        <v>0.62235061698793515</v>
      </c>
      <c r="BK172" s="982">
        <f t="shared" ref="BK172:BV172" si="1968">BK175/BK173</f>
        <v>0.64626877638348978</v>
      </c>
      <c r="BL172" s="982">
        <f t="shared" si="1968"/>
        <v>0.64315833032231917</v>
      </c>
      <c r="BM172" s="982">
        <f t="shared" si="1968"/>
        <v>0.72059997836803324</v>
      </c>
      <c r="BN172" s="982">
        <f t="shared" si="1968"/>
        <v>0.58478202704936821</v>
      </c>
      <c r="BO172" s="982">
        <f>BO175/BO173</f>
        <v>0.44580934901654262</v>
      </c>
      <c r="BP172" s="982">
        <f>BP175/BP173</f>
        <v>0.90954063604240276</v>
      </c>
      <c r="BQ172" s="982">
        <f>BQ175/BQ173</f>
        <v>0.89862531811930024</v>
      </c>
      <c r="BR172" s="982">
        <f>BR175/BR173</f>
        <v>0.88141025641025639</v>
      </c>
      <c r="BS172" s="982">
        <f t="shared" si="1968"/>
        <v>0.70399119425310741</v>
      </c>
      <c r="BT172" s="982">
        <f>BT175/BT173</f>
        <v>0.73712756207756858</v>
      </c>
      <c r="BU172" s="982">
        <f>BU175/BU173</f>
        <v>0.92766462464141519</v>
      </c>
      <c r="BV172" s="982">
        <f t="shared" si="1968"/>
        <v>0.96175582821258954</v>
      </c>
      <c r="BW172" s="982">
        <f t="shared" ref="BW172:CD172" si="1969">BW175/BW173</f>
        <v>0.66898342136630984</v>
      </c>
      <c r="BX172" s="982">
        <f t="shared" si="1969"/>
        <v>0.65288623617634434</v>
      </c>
      <c r="BY172" s="982">
        <f t="shared" si="1969"/>
        <v>0.77638789530465724</v>
      </c>
      <c r="BZ172" s="982">
        <f t="shared" si="1969"/>
        <v>0.86989921677230286</v>
      </c>
      <c r="CA172" s="982">
        <f t="shared" si="1969"/>
        <v>0.78972759544894688</v>
      </c>
      <c r="CB172" s="982">
        <f t="shared" ref="CB172" si="1970">CB175/CB173</f>
        <v>0.79069944021648431</v>
      </c>
      <c r="CC172" s="982">
        <f t="shared" si="1969"/>
        <v>0.7835701008603646</v>
      </c>
      <c r="CD172" s="982">
        <f t="shared" si="1969"/>
        <v>0.77210261193833496</v>
      </c>
      <c r="CE172" s="982">
        <f t="shared" ref="CE172:CH172" si="1971">CE175/CE173</f>
        <v>0.83340690723706445</v>
      </c>
      <c r="CF172" s="982">
        <f t="shared" si="1971"/>
        <v>0.77800060720462916</v>
      </c>
      <c r="CG172" s="982">
        <f t="shared" si="1971"/>
        <v>0.74085552744109362</v>
      </c>
      <c r="CH172" s="982">
        <f t="shared" si="1971"/>
        <v>0.79355708799389779</v>
      </c>
      <c r="CI172" s="982">
        <f t="shared" ref="CI172:CL172" si="1972">CI175/CI173</f>
        <v>0.93915334770141812</v>
      </c>
      <c r="CJ172" s="982">
        <f t="shared" si="1972"/>
        <v>0.91396709727655268</v>
      </c>
      <c r="CK172" s="982">
        <f t="shared" si="1972"/>
        <v>0.78700842100840895</v>
      </c>
      <c r="CL172" s="982">
        <f t="shared" si="1972"/>
        <v>0.84013746146777724</v>
      </c>
      <c r="CM172" s="982">
        <f t="shared" ref="CM172:CP172" si="1973">CM175/CM173</f>
        <v>0.96902265870212401</v>
      </c>
      <c r="CN172" s="982">
        <f t="shared" si="1973"/>
        <v>0.9429215632483865</v>
      </c>
      <c r="CO172" s="982">
        <f t="shared" si="1973"/>
        <v>0.91507971641254071</v>
      </c>
      <c r="CP172" s="982">
        <f t="shared" si="1973"/>
        <v>0.88107462325368069</v>
      </c>
      <c r="CQ172" s="982"/>
      <c r="CR172" s="982">
        <v>0.84013746146777724</v>
      </c>
      <c r="CT172" s="982"/>
      <c r="CU172" s="982"/>
      <c r="CV172" s="982"/>
      <c r="CW172" s="982"/>
      <c r="CX172" s="919"/>
      <c r="CY172" s="983"/>
      <c r="CZ172" s="983"/>
      <c r="DA172" s="983"/>
      <c r="DB172" s="983"/>
      <c r="DC172" s="983"/>
      <c r="DD172" s="983"/>
      <c r="DE172" s="983"/>
      <c r="DF172" s="983"/>
      <c r="DG172" s="983"/>
      <c r="DH172" s="983"/>
      <c r="DI172" s="983"/>
      <c r="DJ172" s="983"/>
      <c r="DK172" s="983"/>
      <c r="DL172" s="983"/>
      <c r="DM172" s="983"/>
      <c r="DN172" s="983"/>
      <c r="DO172" s="983"/>
      <c r="DP172" s="983"/>
      <c r="DQ172" s="983"/>
      <c r="DR172" s="983"/>
      <c r="DS172" s="983"/>
      <c r="DT172" s="983"/>
      <c r="DU172" s="983"/>
      <c r="DX172" s="983"/>
      <c r="DY172" s="983"/>
    </row>
    <row r="173" spans="1:129" s="904" customFormat="1">
      <c r="A173" s="939"/>
      <c r="B173" s="912" t="s">
        <v>474</v>
      </c>
      <c r="C173" s="954">
        <f t="shared" ref="C173:AH173" si="1974">C174+C175</f>
        <v>7400</v>
      </c>
      <c r="D173" s="954">
        <f t="shared" si="1974"/>
        <v>0</v>
      </c>
      <c r="E173" s="954">
        <f t="shared" si="1974"/>
        <v>0</v>
      </c>
      <c r="F173" s="954">
        <f t="shared" si="1974"/>
        <v>16100.000000000002</v>
      </c>
      <c r="G173" s="954">
        <f t="shared" si="1974"/>
        <v>6600</v>
      </c>
      <c r="H173" s="954">
        <f t="shared" si="1974"/>
        <v>10200</v>
      </c>
      <c r="I173" s="954">
        <f t="shared" si="1974"/>
        <v>6700.0000000000009</v>
      </c>
      <c r="J173" s="954">
        <f t="shared" si="1974"/>
        <v>32400</v>
      </c>
      <c r="K173" s="954">
        <f t="shared" si="1974"/>
        <v>16800</v>
      </c>
      <c r="L173" s="954">
        <f t="shared" si="1974"/>
        <v>32800</v>
      </c>
      <c r="M173" s="954">
        <f t="shared" si="1974"/>
        <v>21900</v>
      </c>
      <c r="N173" s="954">
        <f t="shared" si="1974"/>
        <v>47500</v>
      </c>
      <c r="O173" s="954">
        <f t="shared" si="1974"/>
        <v>11600</v>
      </c>
      <c r="P173" s="954">
        <f t="shared" si="1974"/>
        <v>24200</v>
      </c>
      <c r="Q173" s="954">
        <f t="shared" si="1974"/>
        <v>16800</v>
      </c>
      <c r="R173" s="954">
        <f t="shared" si="1974"/>
        <v>55900</v>
      </c>
      <c r="S173" s="954">
        <f t="shared" si="1974"/>
        <v>18100</v>
      </c>
      <c r="T173" s="954">
        <f t="shared" si="1974"/>
        <v>30400</v>
      </c>
      <c r="U173" s="954">
        <f t="shared" si="1974"/>
        <v>36700</v>
      </c>
      <c r="V173" s="954">
        <f t="shared" si="1974"/>
        <v>51600</v>
      </c>
      <c r="W173" s="954">
        <f t="shared" si="1974"/>
        <v>6400</v>
      </c>
      <c r="X173" s="954">
        <f t="shared" si="1974"/>
        <v>21500</v>
      </c>
      <c r="Y173" s="954">
        <f t="shared" si="1974"/>
        <v>14200</v>
      </c>
      <c r="Z173" s="954">
        <f t="shared" si="1974"/>
        <v>27000</v>
      </c>
      <c r="AA173" s="954">
        <f t="shared" si="1974"/>
        <v>15900</v>
      </c>
      <c r="AB173" s="954">
        <f t="shared" si="1974"/>
        <v>20600</v>
      </c>
      <c r="AC173" s="954">
        <f t="shared" si="1974"/>
        <v>27100</v>
      </c>
      <c r="AD173" s="954">
        <f t="shared" si="1974"/>
        <v>96700</v>
      </c>
      <c r="AE173" s="954">
        <f t="shared" si="1974"/>
        <v>24000</v>
      </c>
      <c r="AF173" s="954">
        <f t="shared" si="1974"/>
        <v>64300</v>
      </c>
      <c r="AG173" s="954">
        <f t="shared" si="1974"/>
        <v>55700</v>
      </c>
      <c r="AH173" s="954">
        <f t="shared" si="1974"/>
        <v>152600</v>
      </c>
      <c r="AI173" s="954">
        <f t="shared" ref="AI173:BJ173" si="1975">AI174+AI175</f>
        <v>69800</v>
      </c>
      <c r="AJ173" s="954">
        <f t="shared" si="1975"/>
        <v>67100</v>
      </c>
      <c r="AK173" s="954">
        <f t="shared" si="1975"/>
        <v>86400</v>
      </c>
      <c r="AL173" s="954">
        <f t="shared" si="1975"/>
        <v>150200</v>
      </c>
      <c r="AM173" s="954">
        <f t="shared" si="1975"/>
        <v>36800</v>
      </c>
      <c r="AN173" s="954">
        <f t="shared" si="1975"/>
        <v>65800</v>
      </c>
      <c r="AO173" s="954">
        <f t="shared" si="1975"/>
        <v>123400</v>
      </c>
      <c r="AP173" s="954">
        <f t="shared" si="1975"/>
        <v>186200</v>
      </c>
      <c r="AQ173" s="954">
        <f t="shared" si="1975"/>
        <v>77400</v>
      </c>
      <c r="AR173" s="954">
        <f t="shared" si="1975"/>
        <v>116000</v>
      </c>
      <c r="AS173" s="954">
        <f t="shared" si="1975"/>
        <v>131600</v>
      </c>
      <c r="AT173" s="954">
        <f t="shared" si="1975"/>
        <v>177000</v>
      </c>
      <c r="AU173" s="954">
        <f t="shared" si="1975"/>
        <v>71400</v>
      </c>
      <c r="AV173" s="954">
        <f t="shared" si="1975"/>
        <v>146600</v>
      </c>
      <c r="AW173" s="954">
        <f t="shared" si="1975"/>
        <v>166800</v>
      </c>
      <c r="AX173" s="954">
        <f t="shared" si="1975"/>
        <v>186600</v>
      </c>
      <c r="AY173" s="954">
        <f t="shared" si="1975"/>
        <v>87600</v>
      </c>
      <c r="AZ173" s="954">
        <f t="shared" si="1975"/>
        <v>157900</v>
      </c>
      <c r="BA173" s="954">
        <f t="shared" si="1975"/>
        <v>106800</v>
      </c>
      <c r="BB173" s="954">
        <f t="shared" si="1975"/>
        <v>160200</v>
      </c>
      <c r="BC173" s="954">
        <f t="shared" si="1975"/>
        <v>66472.064909999986</v>
      </c>
      <c r="BD173" s="954">
        <f t="shared" si="1975"/>
        <v>118751.00000000006</v>
      </c>
      <c r="BE173" s="954">
        <f t="shared" si="1975"/>
        <v>134932.00000000006</v>
      </c>
      <c r="BF173" s="954">
        <f t="shared" si="1975"/>
        <v>230243.77737777628</v>
      </c>
      <c r="BG173" s="954">
        <f t="shared" si="1975"/>
        <v>94100.000000000015</v>
      </c>
      <c r="BH173" s="954">
        <f t="shared" si="1975"/>
        <v>134173.07100199937</v>
      </c>
      <c r="BI173" s="954">
        <f t="shared" si="1975"/>
        <v>158309.76684999999</v>
      </c>
      <c r="BJ173" s="954">
        <f t="shared" si="1975"/>
        <v>223778.16057000001</v>
      </c>
      <c r="BK173" s="954">
        <f t="shared" ref="BK173:BV173" si="1976">BK174+BK175</f>
        <v>78882.000000000015</v>
      </c>
      <c r="BL173" s="954">
        <f t="shared" si="1976"/>
        <v>166460.38018388761</v>
      </c>
      <c r="BM173" s="954">
        <f t="shared" si="1976"/>
        <v>257331.54870320793</v>
      </c>
      <c r="BN173" s="954">
        <f t="shared" si="1976"/>
        <v>248530.21191490331</v>
      </c>
      <c r="BO173" s="954">
        <f>BO174+BO175</f>
        <v>89439.747971866018</v>
      </c>
      <c r="BP173" s="954">
        <f>BP174+BP175</f>
        <v>141500</v>
      </c>
      <c r="BQ173" s="954">
        <f>BQ174+BQ175</f>
        <v>188908.60608999999</v>
      </c>
      <c r="BR173" s="954">
        <f>BR174+BR175</f>
        <v>124800</v>
      </c>
      <c r="BS173" s="954">
        <f t="shared" si="1976"/>
        <v>264127.59803791996</v>
      </c>
      <c r="BT173" s="954">
        <f>BT174+BT175</f>
        <v>254113.98082636279</v>
      </c>
      <c r="BU173" s="954">
        <f>BU174+BU175</f>
        <v>186577.02864050001</v>
      </c>
      <c r="BV173" s="954">
        <f t="shared" si="1976"/>
        <v>383621.7333075999</v>
      </c>
      <c r="BW173" s="954">
        <f t="shared" ref="BW173:CD173" si="1977">BW174+BW175</f>
        <v>114714.13055725199</v>
      </c>
      <c r="BX173" s="954">
        <f t="shared" si="1977"/>
        <v>208002.842233943</v>
      </c>
      <c r="BY173" s="954">
        <f t="shared" si="1977"/>
        <v>263735.55669179885</v>
      </c>
      <c r="BZ173" s="954">
        <f t="shared" si="1977"/>
        <v>408540.19999999995</v>
      </c>
      <c r="CA173" s="954">
        <f t="shared" si="1977"/>
        <v>81434.505072202272</v>
      </c>
      <c r="CB173" s="954">
        <f t="shared" ref="CB173" si="1978">CB174+CB175</f>
        <v>235870.79286433975</v>
      </c>
      <c r="CC173" s="954">
        <f t="shared" si="1977"/>
        <v>244065.75667637054</v>
      </c>
      <c r="CD173" s="954">
        <f t="shared" si="1977"/>
        <v>327446.57132743066</v>
      </c>
      <c r="CE173" s="954">
        <f t="shared" ref="CE173:CH173" si="1979">CE174+CE175</f>
        <v>68973.813961094056</v>
      </c>
      <c r="CF173" s="954">
        <f t="shared" si="1979"/>
        <v>137127.8303906752</v>
      </c>
      <c r="CG173" s="954">
        <f t="shared" si="1979"/>
        <v>172912.39856704586</v>
      </c>
      <c r="CH173" s="954">
        <f t="shared" si="1979"/>
        <v>283293.11546802486</v>
      </c>
      <c r="CI173" s="954">
        <f t="shared" ref="CI173:CL173" si="1980">CI174+CI175</f>
        <v>61588.251532900504</v>
      </c>
      <c r="CJ173" s="954">
        <f t="shared" si="1980"/>
        <v>165864.54772856232</v>
      </c>
      <c r="CK173" s="954">
        <f t="shared" si="1980"/>
        <v>199922.104815614</v>
      </c>
      <c r="CL173" s="954">
        <f t="shared" si="1980"/>
        <v>303289.72846744896</v>
      </c>
      <c r="CM173" s="954">
        <f t="shared" ref="CM173:CP173" si="1981">CM174+CM175</f>
        <v>95571.182498504728</v>
      </c>
      <c r="CN173" s="954">
        <f t="shared" si="1981"/>
        <v>155603.83081517552</v>
      </c>
      <c r="CO173" s="954">
        <f t="shared" si="1981"/>
        <v>174312.95642392684</v>
      </c>
      <c r="CP173" s="954">
        <f t="shared" si="1981"/>
        <v>273835.18483982439</v>
      </c>
      <c r="CQ173" s="954"/>
      <c r="CR173" s="954">
        <v>303289.72846744896</v>
      </c>
      <c r="CT173" s="954"/>
      <c r="CU173" s="954"/>
      <c r="CV173" s="954"/>
      <c r="CW173" s="954"/>
      <c r="CX173" s="903">
        <f>+SUM(O173:R173)</f>
        <v>108500</v>
      </c>
      <c r="CY173" s="954">
        <f>SUM(S173:V173)</f>
        <v>136800</v>
      </c>
      <c r="CZ173" s="954">
        <f>SUM(W173:Z173)</f>
        <v>69100</v>
      </c>
      <c r="DA173" s="954">
        <f>SUM(AA173:AD173)</f>
        <v>160300</v>
      </c>
      <c r="DB173" s="954">
        <f>SUM(AE173:AH173)</f>
        <v>296600</v>
      </c>
      <c r="DC173" s="954">
        <f>+SUM(AI173:AL173)</f>
        <v>373500</v>
      </c>
      <c r="DD173" s="954">
        <f>+SUM(AM173:AP173)</f>
        <v>412200</v>
      </c>
      <c r="DE173" s="954">
        <f>+SUM(AQ173:AT173)</f>
        <v>502000</v>
      </c>
      <c r="DF173" s="954">
        <f>+SUM(AU173:AX173)</f>
        <v>571400</v>
      </c>
      <c r="DG173" s="954">
        <f t="shared" ref="DG173:DL173" si="1982">DG174+DG175</f>
        <v>512500</v>
      </c>
      <c r="DH173" s="954">
        <f t="shared" si="1982"/>
        <v>550398.84228777641</v>
      </c>
      <c r="DI173" s="954">
        <f t="shared" si="1982"/>
        <v>610360.99842199939</v>
      </c>
      <c r="DJ173" s="954">
        <f t="shared" si="1982"/>
        <v>751204.14080199879</v>
      </c>
      <c r="DK173" s="954">
        <f t="shared" si="1982"/>
        <v>544648.35406186595</v>
      </c>
      <c r="DL173" s="954">
        <f t="shared" si="1982"/>
        <v>1088440.3408123828</v>
      </c>
      <c r="DM173" s="954">
        <f t="shared" ref="DM173:DR173" si="1983">DM174+DM175</f>
        <v>994992.72948299383</v>
      </c>
      <c r="DN173" s="954">
        <f t="shared" si="1983"/>
        <v>888817.62594034325</v>
      </c>
      <c r="DO173" s="954">
        <f t="shared" ref="DO173:DP173" si="1984">DO174+DO175</f>
        <v>662307.15838684002</v>
      </c>
      <c r="DP173" s="954">
        <f t="shared" si="1984"/>
        <v>730664.63254452567</v>
      </c>
      <c r="DQ173" s="954">
        <f t="shared" ref="DQ173" si="1985">DQ174+DQ175</f>
        <v>699323.1545774315</v>
      </c>
      <c r="DR173" s="954">
        <f t="shared" si="1983"/>
        <v>755736.73709225887</v>
      </c>
      <c r="DS173" s="954">
        <f t="shared" ref="DS173:DU173" si="1986">DS174+DS175</f>
        <v>808493.04988659767</v>
      </c>
      <c r="DT173" s="954">
        <f t="shared" si="1986"/>
        <v>864762.15335353254</v>
      </c>
      <c r="DU173" s="954">
        <f t="shared" si="1986"/>
        <v>924750.1041824664</v>
      </c>
      <c r="DX173" s="954">
        <v>785814.02699045336</v>
      </c>
      <c r="DY173" s="954">
        <v>847491.06413670944</v>
      </c>
    </row>
    <row r="174" spans="1:129" s="904" customFormat="1">
      <c r="A174" s="939"/>
      <c r="B174" s="912" t="s">
        <v>475</v>
      </c>
      <c r="C174" s="954">
        <f>FAT!C368*1000</f>
        <v>2700</v>
      </c>
      <c r="D174" s="954">
        <f>FAT!D368*1000</f>
        <v>0</v>
      </c>
      <c r="E174" s="954">
        <f>FAT!E368*1000</f>
        <v>0</v>
      </c>
      <c r="F174" s="954">
        <f>FAT!F368*1000</f>
        <v>5200</v>
      </c>
      <c r="G174" s="954">
        <f>FAT!G368*1000</f>
        <v>3600</v>
      </c>
      <c r="H174" s="954">
        <f>FAT!H368*1000</f>
        <v>5400</v>
      </c>
      <c r="I174" s="954">
        <f>FAT!I368*1000</f>
        <v>2100</v>
      </c>
      <c r="J174" s="954">
        <f>FAT!J368*1000</f>
        <v>12500</v>
      </c>
      <c r="K174" s="954">
        <f>FAT!K368*1000</f>
        <v>9900</v>
      </c>
      <c r="L174" s="954">
        <f>FAT!L368*1000</f>
        <v>22500</v>
      </c>
      <c r="M174" s="954">
        <f>FAT!M368*1000</f>
        <v>12700</v>
      </c>
      <c r="N174" s="954">
        <f>FAT!N368*1000</f>
        <v>36100</v>
      </c>
      <c r="O174" s="954">
        <f>FAT!O368*1000</f>
        <v>8400</v>
      </c>
      <c r="P174" s="954">
        <f>FAT!P368*1000</f>
        <v>17000</v>
      </c>
      <c r="Q174" s="954">
        <f>FAT!Q368*1000</f>
        <v>8100</v>
      </c>
      <c r="R174" s="954">
        <f>FAT!R368*1000</f>
        <v>26500</v>
      </c>
      <c r="S174" s="954">
        <f>FAT!S368*1000</f>
        <v>10300</v>
      </c>
      <c r="T174" s="954">
        <f>FAT!T368*1000</f>
        <v>20400</v>
      </c>
      <c r="U174" s="954">
        <f>FAT!U368*1000</f>
        <v>21000</v>
      </c>
      <c r="V174" s="954">
        <f>FAT!V368*1000</f>
        <v>32000</v>
      </c>
      <c r="W174" s="954">
        <f>FAT!W368*1000</f>
        <v>5800</v>
      </c>
      <c r="X174" s="954">
        <f>FAT!X368*1000</f>
        <v>14800</v>
      </c>
      <c r="Y174" s="954">
        <f>FAT!Y368*1000</f>
        <v>9400</v>
      </c>
      <c r="Z174" s="954">
        <f>FAT!Z368*1000</f>
        <v>12900</v>
      </c>
      <c r="AA174" s="954">
        <f>FAT!AA368*1000</f>
        <v>7700</v>
      </c>
      <c r="AB174" s="954">
        <f>FAT!AB368*1000</f>
        <v>15400</v>
      </c>
      <c r="AC174" s="954">
        <f>FAT!AC368*1000</f>
        <v>16900</v>
      </c>
      <c r="AD174" s="954">
        <f>FAT!AD368*1000</f>
        <v>32500</v>
      </c>
      <c r="AE174" s="954">
        <f>FAT!AE368*1000</f>
        <v>17800</v>
      </c>
      <c r="AF174" s="954">
        <f>FAT!AF368*1000</f>
        <v>42000</v>
      </c>
      <c r="AG174" s="954">
        <f>FAT!AG368*1000</f>
        <v>29600</v>
      </c>
      <c r="AH174" s="954">
        <f>FAT!AH368*1000</f>
        <v>98900</v>
      </c>
      <c r="AI174" s="954">
        <f>FAT!AI368*1000</f>
        <v>23700</v>
      </c>
      <c r="AJ174" s="954">
        <f>FAT!AJ368*1000</f>
        <v>29600</v>
      </c>
      <c r="AK174" s="954">
        <f>FAT!AK368*1000</f>
        <v>36300</v>
      </c>
      <c r="AL174" s="954">
        <f>FAT!AL368*1000</f>
        <v>82000</v>
      </c>
      <c r="AM174" s="954">
        <f>FAT!AM368*1000</f>
        <v>18800</v>
      </c>
      <c r="AN174" s="954">
        <f>FAT!AN368*1000</f>
        <v>42200</v>
      </c>
      <c r="AO174" s="954">
        <f>FAT!AO368*1000</f>
        <v>48900</v>
      </c>
      <c r="AP174" s="954">
        <f>FAT!AP368*1000</f>
        <v>88700</v>
      </c>
      <c r="AQ174" s="954">
        <f>FAT!AQ368*1000</f>
        <v>37700</v>
      </c>
      <c r="AR174" s="954">
        <f>FAT!AR368*1000</f>
        <v>52800</v>
      </c>
      <c r="AS174" s="954">
        <f>FAT!AS368*1000</f>
        <v>57500</v>
      </c>
      <c r="AT174" s="954">
        <f>FAT!AT368*1000</f>
        <v>70400</v>
      </c>
      <c r="AU174" s="954">
        <f>FAT!AU368*1000</f>
        <v>32800</v>
      </c>
      <c r="AV174" s="954">
        <f>FAT!AV368*1000</f>
        <v>50000</v>
      </c>
      <c r="AW174" s="954">
        <f>FAT!AW368*1000</f>
        <v>40300</v>
      </c>
      <c r="AX174" s="954">
        <f>FAT!AX368*1000</f>
        <v>53900</v>
      </c>
      <c r="AY174" s="954">
        <f>FAT!AY368*1000</f>
        <v>39600</v>
      </c>
      <c r="AZ174" s="954">
        <f>FAT!AZ368*1000</f>
        <v>48300</v>
      </c>
      <c r="BA174" s="954">
        <f>FAT!BA368*1000</f>
        <v>42300</v>
      </c>
      <c r="BB174" s="954">
        <f>FAT!BB368*1000</f>
        <v>49800</v>
      </c>
      <c r="BC174" s="954">
        <f>FAT!BC368*1000</f>
        <v>22504.9428402255</v>
      </c>
      <c r="BD174" s="954">
        <f>FAT!BD368*1000</f>
        <v>52469.118694632103</v>
      </c>
      <c r="BE174" s="954">
        <f>FAT!BE368*1000</f>
        <v>57380.989414139403</v>
      </c>
      <c r="BF174" s="954">
        <f>FAT!BF368*1000</f>
        <v>90019.496013700002</v>
      </c>
      <c r="BG174" s="954">
        <f>FAT!BG368*1000</f>
        <v>30308.854593886197</v>
      </c>
      <c r="BH174" s="954">
        <f>FAT!BH368*1000</f>
        <v>45814.993739480837</v>
      </c>
      <c r="BI174" s="954">
        <f>FAT!BI368*1000</f>
        <v>64489.992908891065</v>
      </c>
      <c r="BJ174" s="954">
        <f>FAT!BJ368*1000</f>
        <v>84509.684270835278</v>
      </c>
      <c r="BK174" s="954">
        <f>FAT!BK368*1000</f>
        <v>27903.026381317562</v>
      </c>
      <c r="BL174" s="954">
        <f>FAT!BL368*1000</f>
        <v>59400</v>
      </c>
      <c r="BM174" s="954">
        <f>FAT!BM368*1000</f>
        <v>71898.44027426379</v>
      </c>
      <c r="BN174" s="954">
        <f>FAT!BN368*1000</f>
        <v>103194.21080829708</v>
      </c>
      <c r="BO174" s="954">
        <f>FAT!BO368*1000</f>
        <v>49566.672152324798</v>
      </c>
      <c r="BP174" s="954">
        <f>FAT!BP368*1000</f>
        <v>12800</v>
      </c>
      <c r="BQ174" s="954">
        <f>FAT!BQ368*1000</f>
        <v>19150.549846900172</v>
      </c>
      <c r="BR174" s="954">
        <f>FAT!BR368*1000</f>
        <v>14800</v>
      </c>
      <c r="BS174" s="954">
        <f>FAT!BS368*1000</f>
        <v>78184.094860000012</v>
      </c>
      <c r="BT174" s="954">
        <f>FAT!BT368*1000</f>
        <v>66799.561649999989</v>
      </c>
      <c r="BU174" s="954">
        <f>FAT!BU368*1000</f>
        <v>13496.119400000005</v>
      </c>
      <c r="BV174" s="954">
        <f>FAT!BV368*1000</f>
        <v>14671.295469999997</v>
      </c>
      <c r="BW174" s="954">
        <f>FAT!BW368*1000</f>
        <v>37972.279018000001</v>
      </c>
      <c r="BX174" s="954">
        <f>FAT!BX368*1000</f>
        <v>72200.649453841994</v>
      </c>
      <c r="BY174" s="954">
        <f>FAT!BY368*1000</f>
        <v>58974.462914850999</v>
      </c>
      <c r="BZ174" s="954">
        <f>FAT!BZ368*1000</f>
        <v>53151.4</v>
      </c>
      <c r="CA174" s="954">
        <f>FAT!CA368*1000</f>
        <v>17123.429194956898</v>
      </c>
      <c r="CB174" s="954">
        <f>FAT!CB368*1000</f>
        <v>49367.888983088</v>
      </c>
      <c r="CC174" s="954">
        <f>FAT!CC368*1000</f>
        <v>52823.127100905673</v>
      </c>
      <c r="CD174" s="954">
        <f>FAT!CD368*1000</f>
        <v>74624.21833526915</v>
      </c>
      <c r="CE174" s="954">
        <f>FAT!CE368*1000</f>
        <v>11490.560987433999</v>
      </c>
      <c r="CF174" s="954">
        <f>FAT!CF368*1000</f>
        <v>30442.2950820765</v>
      </c>
      <c r="CG174" s="954">
        <f>FAT!CG368*1000</f>
        <v>44809.292325552495</v>
      </c>
      <c r="CH174" s="954">
        <v>58483.855708499992</v>
      </c>
      <c r="CI174" s="954">
        <f>FAT!CI368*1000</f>
        <v>3747.4389267000001</v>
      </c>
      <c r="CJ174" s="954">
        <f>FAT!CJ368*1000</f>
        <v>14269.808499999999</v>
      </c>
      <c r="CK174" s="954">
        <f>FAT!CK368*1000</f>
        <v>42581.724780000004</v>
      </c>
      <c r="CL174" s="954">
        <f>FAT!CL368*1000</f>
        <v>48484.665903554931</v>
      </c>
      <c r="CM174" s="954">
        <f>FAT!CM368*1000</f>
        <v>2960.5411384977742</v>
      </c>
      <c r="CN174" s="954">
        <f>FAT!CN368*1000</f>
        <v>8881.6234154927552</v>
      </c>
      <c r="CO174" s="954">
        <f>FAT!CO368*1000</f>
        <v>14802.705692488304</v>
      </c>
      <c r="CP174" s="954">
        <f>FAT!CP368*1000</f>
        <v>32565.952523474094</v>
      </c>
      <c r="CQ174" s="954"/>
      <c r="CR174" s="954">
        <v>48484.665903554931</v>
      </c>
      <c r="CT174" s="954"/>
      <c r="CU174" s="954"/>
      <c r="CV174" s="954"/>
      <c r="CW174" s="954"/>
      <c r="CX174" s="903">
        <f>SUM(O174:R174)</f>
        <v>60000</v>
      </c>
      <c r="CY174" s="903">
        <f>SUM(S174:V174)</f>
        <v>83700</v>
      </c>
      <c r="CZ174" s="903">
        <f>SUM(W174:Z174)</f>
        <v>42900</v>
      </c>
      <c r="DA174" s="954">
        <f>SUM(AA174:AD174)</f>
        <v>72500</v>
      </c>
      <c r="DB174" s="954">
        <f>SUM(AE174:AH174)</f>
        <v>188300</v>
      </c>
      <c r="DC174" s="954">
        <f>+SUM(AI174:AL174)</f>
        <v>171600</v>
      </c>
      <c r="DD174" s="954">
        <f>+SUM(AM174:AP174)</f>
        <v>198600</v>
      </c>
      <c r="DE174" s="954">
        <f>+SUM(AQ174:AT174)</f>
        <v>218400</v>
      </c>
      <c r="DF174" s="954">
        <f>+SUM(AU174:AX174)</f>
        <v>177000</v>
      </c>
      <c r="DG174" s="954">
        <f>+SUM(AY174:BB174)</f>
        <v>180000</v>
      </c>
      <c r="DH174" s="954">
        <f>+SUM(BC174:BF174)</f>
        <v>222374.54696269703</v>
      </c>
      <c r="DI174" s="954">
        <f>FAT!DJ368*1000</f>
        <v>225123.52551309339</v>
      </c>
      <c r="DJ174" s="954">
        <f>FAT!DK368*1000</f>
        <v>262395.67746387841</v>
      </c>
      <c r="DK174" s="954">
        <f>FAT!DL368*1000</f>
        <v>96317.221999224974</v>
      </c>
      <c r="DL174" s="954">
        <f>FAT!DM368*1000</f>
        <v>173151.07137999998</v>
      </c>
      <c r="DM174" s="954">
        <f>FAT!DN368*1000</f>
        <v>222298.79138669302</v>
      </c>
      <c r="DN174" s="954">
        <f>FAT!DO368*1000</f>
        <v>193938.66361421972</v>
      </c>
      <c r="DO174" s="954">
        <f>FAT!DP368*1000</f>
        <v>145226.004103563</v>
      </c>
      <c r="DP174" s="954">
        <f>FAT!DQ368*1000</f>
        <v>109083.63811025492</v>
      </c>
      <c r="DQ174" s="954">
        <f>FAT!DR368*1000</f>
        <v>59210.822769952923</v>
      </c>
      <c r="DR174" s="954">
        <f>FAT!DS368*1000</f>
        <v>61579.255680751339</v>
      </c>
      <c r="DS174" s="954">
        <f>FAT!DT368*1000</f>
        <v>64042.425907981087</v>
      </c>
      <c r="DT174" s="954">
        <f>FAT!DU368*1000</f>
        <v>66604.12294430066</v>
      </c>
      <c r="DU174" s="954">
        <f>FAT!DV368*1000</f>
        <v>69268.28786207235</v>
      </c>
      <c r="DX174" s="954">
        <v>109023.17960791316</v>
      </c>
      <c r="DY174" s="954">
        <v>113384.10679223017</v>
      </c>
    </row>
    <row r="175" spans="1:129" s="904" customFormat="1">
      <c r="A175" s="939"/>
      <c r="B175" s="912" t="s">
        <v>476</v>
      </c>
      <c r="C175" s="954">
        <f>(FAT!C383+FAT!C394+FAT!C400)*1000</f>
        <v>4700</v>
      </c>
      <c r="D175" s="954">
        <f>(FAT!D383+FAT!D394+FAT!D400)*1000</f>
        <v>0</v>
      </c>
      <c r="E175" s="954">
        <f>(FAT!E383+FAT!E394+FAT!E400)*1000</f>
        <v>0</v>
      </c>
      <c r="F175" s="954">
        <f>(FAT!F383+FAT!F394+FAT!F400)*1000</f>
        <v>10900.000000000002</v>
      </c>
      <c r="G175" s="954">
        <f>(FAT!G383+FAT!G394+FAT!G400)*1000</f>
        <v>3000</v>
      </c>
      <c r="H175" s="954">
        <f>(FAT!H383+FAT!H394+FAT!H400)*1000</f>
        <v>4800</v>
      </c>
      <c r="I175" s="954">
        <f>(FAT!I383+FAT!I394+FAT!I400)*1000</f>
        <v>4600.0000000000009</v>
      </c>
      <c r="J175" s="954">
        <f>(FAT!J383+FAT!J394+FAT!J400)*1000</f>
        <v>19900</v>
      </c>
      <c r="K175" s="954">
        <f>(FAT!K383+FAT!K394+FAT!K400)*1000</f>
        <v>6900</v>
      </c>
      <c r="L175" s="954">
        <f>(FAT!L383+FAT!L394+FAT!L400)*1000</f>
        <v>10299.999999999998</v>
      </c>
      <c r="M175" s="954">
        <f>(FAT!M383+FAT!M394+FAT!M400)*1000</f>
        <v>9200.0000000000018</v>
      </c>
      <c r="N175" s="954">
        <f>(FAT!N383+FAT!N394+FAT!N400)*1000</f>
        <v>11400</v>
      </c>
      <c r="O175" s="954">
        <f>(FAT!O383+FAT!O394+FAT!O400)*1000</f>
        <v>3200</v>
      </c>
      <c r="P175" s="954">
        <f>(FAT!P383+FAT!P394+FAT!P400)*1000</f>
        <v>7199.9999999999991</v>
      </c>
      <c r="Q175" s="954">
        <f>(FAT!Q383+FAT!Q394+FAT!Q400)*1000</f>
        <v>8700</v>
      </c>
      <c r="R175" s="954">
        <f>(FAT!R383+FAT!R394+FAT!R400)*1000</f>
        <v>29400</v>
      </c>
      <c r="S175" s="954">
        <f>(FAT!S383+FAT!S394+FAT!S400)*1000</f>
        <v>7800</v>
      </c>
      <c r="T175" s="954">
        <f>(FAT!T383+FAT!T394+FAT!T400)*1000</f>
        <v>10000</v>
      </c>
      <c r="U175" s="954">
        <f>(FAT!U383+FAT!U394+FAT!U400)*1000</f>
        <v>15700</v>
      </c>
      <c r="V175" s="954">
        <f>(FAT!V383+FAT!V394+FAT!V400)*1000</f>
        <v>19599.999999999996</v>
      </c>
      <c r="W175" s="954">
        <f>(FAT!W383+FAT!W394+FAT!W400)*1000</f>
        <v>600</v>
      </c>
      <c r="X175" s="954">
        <f>(FAT!X383+FAT!X394+FAT!X400)*1000</f>
        <v>6699.9999999999991</v>
      </c>
      <c r="Y175" s="954">
        <f>(FAT!Y383+FAT!Y394+FAT!Y400)*1000</f>
        <v>4800</v>
      </c>
      <c r="Z175" s="954">
        <f>(FAT!Z383+FAT!Z394+FAT!Z400)*1000</f>
        <v>14100</v>
      </c>
      <c r="AA175" s="954">
        <f>(FAT!AA383+FAT!AA394+FAT!AA400)*1000</f>
        <v>8200</v>
      </c>
      <c r="AB175" s="954">
        <f>(FAT!AB383+FAT!AB394+FAT!AB400)*1000</f>
        <v>5200</v>
      </c>
      <c r="AC175" s="954">
        <f>(FAT!AC383+FAT!AC394+FAT!AC400)*1000</f>
        <v>10200</v>
      </c>
      <c r="AD175" s="954">
        <f>(FAT!AD383+FAT!AD394+FAT!AD400)*1000</f>
        <v>64200</v>
      </c>
      <c r="AE175" s="954">
        <f>(FAT!AE383+FAT!AE394+FAT!AE400)*1000</f>
        <v>6200</v>
      </c>
      <c r="AF175" s="954">
        <f>(FAT!AF383+FAT!AF394+FAT!AF400)*1000</f>
        <v>22299.999999999996</v>
      </c>
      <c r="AG175" s="954">
        <f>(FAT!AG383+FAT!AG394+FAT!AG400)*1000</f>
        <v>26100</v>
      </c>
      <c r="AH175" s="954">
        <f>(FAT!AH383+FAT!AH394+FAT!AH400)*1000</f>
        <v>53699.999999999993</v>
      </c>
      <c r="AI175" s="954">
        <f>(FAT!AI383+FAT!AI394+FAT!AI400)*1000</f>
        <v>46099.999999999993</v>
      </c>
      <c r="AJ175" s="954">
        <f>(FAT!AJ383+FAT!AJ394+FAT!AJ400)*1000</f>
        <v>37500</v>
      </c>
      <c r="AK175" s="954">
        <f>(FAT!AK383+FAT!AK394+FAT!AK400)*1000</f>
        <v>50099.999999999993</v>
      </c>
      <c r="AL175" s="954">
        <f>(FAT!AL383+FAT!AL394+FAT!AL400)*1000</f>
        <v>68200</v>
      </c>
      <c r="AM175" s="954">
        <f>(FAT!AM383+FAT!AM394+FAT!AM400)*1000</f>
        <v>18000</v>
      </c>
      <c r="AN175" s="954">
        <f>(FAT!AN383+FAT!AN394+FAT!AN400)*1000</f>
        <v>23600</v>
      </c>
      <c r="AO175" s="954">
        <f>(FAT!AO383+FAT!AO394+FAT!AO400)*1000</f>
        <v>74500</v>
      </c>
      <c r="AP175" s="954">
        <f>(FAT!AP383+FAT!AP394+FAT!AP400)*1000</f>
        <v>97499.999999999985</v>
      </c>
      <c r="AQ175" s="954">
        <f>(FAT!AQ383+FAT!AQ394+FAT!AQ400)*1000</f>
        <v>39700</v>
      </c>
      <c r="AR175" s="954">
        <f>(FAT!AR383+FAT!AR394+FAT!AR400)*1000</f>
        <v>63199.999999999993</v>
      </c>
      <c r="AS175" s="954">
        <f>(FAT!AS383+FAT!AS394+FAT!AS400)*1000</f>
        <v>74100</v>
      </c>
      <c r="AT175" s="954">
        <f>(FAT!AT383+FAT!AT394+FAT!AT400)*1000</f>
        <v>106600</v>
      </c>
      <c r="AU175" s="954">
        <f>(FAT!AU383+FAT!AU394+FAT!AU400)*1000</f>
        <v>38599.999999999993</v>
      </c>
      <c r="AV175" s="954">
        <f>(FAT!AV383+FAT!AV394+FAT!AV400)*1000</f>
        <v>96600.000000000015</v>
      </c>
      <c r="AW175" s="954">
        <f>(FAT!AW383+FAT!AW394+FAT!AW400)*1000</f>
        <v>126500</v>
      </c>
      <c r="AX175" s="954">
        <f>(FAT!AX383+FAT!AX394+FAT!AX400)*1000</f>
        <v>132700</v>
      </c>
      <c r="AY175" s="954">
        <f>(FAT!AY383+FAT!AY394+FAT!AY400)*1000</f>
        <v>48000</v>
      </c>
      <c r="AZ175" s="954">
        <f>(FAT!AZ383+FAT!AZ394+FAT!AZ400)*1000</f>
        <v>109600</v>
      </c>
      <c r="BA175" s="954">
        <f>(FAT!BA383+FAT!BA394+FAT!BA400)*1000</f>
        <v>64500</v>
      </c>
      <c r="BB175" s="954">
        <f>(FAT!BB383+FAT!BB394+FAT!BB400)*1000</f>
        <v>110399.99999999999</v>
      </c>
      <c r="BC175" s="954">
        <f>(FAT!BC383+FAT!BC394+FAT!BC400)*1000</f>
        <v>43967.122069774487</v>
      </c>
      <c r="BD175" s="954">
        <f>(FAT!BD383+FAT!BD394+FAT!BD400)*1000</f>
        <v>66281.881305367948</v>
      </c>
      <c r="BE175" s="954">
        <f>(FAT!BE383+FAT!BE394+FAT!BE400)*1000</f>
        <v>77551.01058586064</v>
      </c>
      <c r="BF175" s="954">
        <f>(FAT!BF383+FAT!BF394+FAT!BF400)*1000</f>
        <v>140224.28136407628</v>
      </c>
      <c r="BG175" s="954">
        <f>(FAT!BG383+FAT!BG394+FAT!BG400)*1000</f>
        <v>63791.145406113814</v>
      </c>
      <c r="BH175" s="954">
        <f>(FAT!BH383+FAT!BH394+FAT!BH400)*1000</f>
        <v>88358.077262518535</v>
      </c>
      <c r="BI175" s="954">
        <f>(FAT!BI383+FAT!BI394+FAT!BI400)*1000</f>
        <v>93819.773941108913</v>
      </c>
      <c r="BJ175" s="954">
        <f>(FAT!BJ383+FAT!BJ394+FAT!BJ400)*1000</f>
        <v>139268.47629916473</v>
      </c>
      <c r="BK175" s="954">
        <f>(FAT!BK383+FAT!BK394+FAT!BK400)*1000</f>
        <v>50978.973618682452</v>
      </c>
      <c r="BL175" s="954">
        <f>(FAT!BL383+FAT!BL394+FAT!BL400)*1000</f>
        <v>107060.38018388762</v>
      </c>
      <c r="BM175" s="954">
        <f>(FAT!BM383+FAT!BM394+FAT!BM400)*1000</f>
        <v>185433.10842894414</v>
      </c>
      <c r="BN175" s="954">
        <f>(FAT!BN383+FAT!BN394+FAT!BN400)*1000</f>
        <v>145336.00110660621</v>
      </c>
      <c r="BO175" s="954">
        <f>(FAT!BO383+FAT!BO394+FAT!BO400)*1000</f>
        <v>39873.075819541227</v>
      </c>
      <c r="BP175" s="954">
        <f>(FAT!BP383+FAT!BP394+FAT!BP400)*1000</f>
        <v>128699.99999999999</v>
      </c>
      <c r="BQ175" s="954">
        <f>(FAT!BQ383+FAT!BQ394+FAT!BQ400)*1000</f>
        <v>169758.05624309983</v>
      </c>
      <c r="BR175" s="954">
        <f>(FAT!BR383+FAT!BR394+FAT!BR400)*1000</f>
        <v>110000</v>
      </c>
      <c r="BS175" s="954">
        <f>(FAT!BS383+FAT!BS394+FAT!BS400)*1000</f>
        <v>185943.50317791998</v>
      </c>
      <c r="BT175" s="954">
        <f>(FAT!BT383+FAT!BT394+FAT!BT400)*1000</f>
        <v>187314.4191763628</v>
      </c>
      <c r="BU175" s="954">
        <f>(FAT!BU383+FAT!BU394+FAT!BU400)*1000</f>
        <v>173080.90924050001</v>
      </c>
      <c r="BV175" s="954">
        <f>(FAT!BV383+FAT!BV394+FAT!BV400)*1000</f>
        <v>368950.43783759989</v>
      </c>
      <c r="BW175" s="954">
        <f>(FAT!BW383+FAT!BW394+FAT!BW400)*1000</f>
        <v>76741.851539251991</v>
      </c>
      <c r="BX175" s="954">
        <f>(FAT!BX383+FAT!BX394+FAT!BX400)*1000</f>
        <v>135802.192780101</v>
      </c>
      <c r="BY175" s="954">
        <f>(FAT!BY383+FAT!BY394+FAT!BY400)*1000</f>
        <v>204761.09377694782</v>
      </c>
      <c r="BZ175" s="954">
        <f>(FAT!BZ383+FAT!BZ394+FAT!BZ400)*1000</f>
        <v>355388.79999999993</v>
      </c>
      <c r="CA175" s="954">
        <f>(FAT!CA383+FAT!CA394+FAT!CA400)*1000</f>
        <v>64311.07587724537</v>
      </c>
      <c r="CB175" s="954">
        <f>(FAT!CB383+FAT!CB394+FAT!CB400)*1000</f>
        <v>186502.90388125175</v>
      </c>
      <c r="CC175" s="954">
        <f>(FAT!CC383+FAT!CC394+FAT!CC400)*1000</f>
        <v>191242.62957546487</v>
      </c>
      <c r="CD175" s="954">
        <f>(FAT!CD383+FAT!CD394+FAT!CD400)*1000</f>
        <v>252822.35299216153</v>
      </c>
      <c r="CE175" s="954">
        <f>(FAT!CE383+FAT!CE394+FAT!CE400)*1000</f>
        <v>57483.252973660055</v>
      </c>
      <c r="CF175" s="954">
        <f>(FAT!CF383+FAT!CF394+FAT!CF400)*1000</f>
        <v>106685.5353085987</v>
      </c>
      <c r="CG175" s="954">
        <f>(FAT!CG383+FAT!CG394+FAT!CG400)*1000</f>
        <v>128103.10624149335</v>
      </c>
      <c r="CH175" s="954">
        <v>224809.25975952484</v>
      </c>
      <c r="CI175" s="954">
        <f>(FAT!CI383+FAT!CI394+FAT!CI400)*1000</f>
        <v>57840.812606200503</v>
      </c>
      <c r="CJ175" s="954">
        <f>(FAT!CJ383+FAT!CJ394+FAT!CJ400)*1000</f>
        <v>151594.73922856234</v>
      </c>
      <c r="CK175" s="954">
        <f>(FAT!CK383+FAT!CK394+FAT!CK400)*1000</f>
        <v>157340.38003561401</v>
      </c>
      <c r="CL175" s="954">
        <f>(FAT!CL383+FAT!CL394+FAT!CL400)*1000</f>
        <v>254805.06256389403</v>
      </c>
      <c r="CM175" s="954">
        <f>(FAT!CM383+FAT!CM394+FAT!CM400)*1000</f>
        <v>92610.64136000695</v>
      </c>
      <c r="CN175" s="954">
        <f>(FAT!CN383+FAT!CN394+FAT!CN400)*1000</f>
        <v>146722.20739968275</v>
      </c>
      <c r="CO175" s="954">
        <f>(FAT!CO383+FAT!CO394+FAT!CO400)*1000</f>
        <v>159510.25073143854</v>
      </c>
      <c r="CP175" s="954">
        <f>(FAT!CP383+FAT!CP394+FAT!CP400)*1000</f>
        <v>241269.23231635027</v>
      </c>
      <c r="CQ175" s="954"/>
      <c r="CR175" s="954">
        <v>254805.06256389403</v>
      </c>
      <c r="CT175" s="954"/>
      <c r="CU175" s="954"/>
      <c r="CV175" s="954"/>
      <c r="CW175" s="954"/>
      <c r="CX175" s="903">
        <f>SUM(O175:R175)</f>
        <v>48500</v>
      </c>
      <c r="CY175" s="903">
        <f>SUM(S175:V175)</f>
        <v>53100</v>
      </c>
      <c r="CZ175" s="903">
        <f>SUM(W175:Z175)</f>
        <v>26200</v>
      </c>
      <c r="DA175" s="954">
        <f>SUM(AA175:AD175)</f>
        <v>87800</v>
      </c>
      <c r="DB175" s="954">
        <f>SUM(AE175:AH175)</f>
        <v>108300</v>
      </c>
      <c r="DC175" s="954">
        <f>+SUM(AI175:AL175)</f>
        <v>201900</v>
      </c>
      <c r="DD175" s="954">
        <f>+SUM(AM175:AP175)</f>
        <v>213600</v>
      </c>
      <c r="DE175" s="954">
        <f>+SUM(AQ175:AT175)</f>
        <v>283600</v>
      </c>
      <c r="DF175" s="954">
        <f>+SUM(AU175:AX175)</f>
        <v>394400</v>
      </c>
      <c r="DG175" s="954">
        <f>+SUM(AY175:BB175)</f>
        <v>332500</v>
      </c>
      <c r="DH175" s="954">
        <f>+SUM(BC175:BF175)</f>
        <v>328024.29532507935</v>
      </c>
      <c r="DI175" s="954">
        <f>(FAT!DJ383+FAT!DJ394+FAT!DJ400)*1000</f>
        <v>385237.47290890594</v>
      </c>
      <c r="DJ175" s="954">
        <f>(FAT!DK383+FAT!DK394+FAT!DK400)*1000</f>
        <v>488808.46333812043</v>
      </c>
      <c r="DK175" s="954">
        <f>(FAT!DL383+FAT!DL394+FAT!DL400)*1000</f>
        <v>448331.13206264103</v>
      </c>
      <c r="DL175" s="954">
        <f>(FAT!DM383+FAT!DM394+FAT!DM400)*1000</f>
        <v>915289.26943238277</v>
      </c>
      <c r="DM175" s="954">
        <f>(FAT!DN383+FAT!DN394+FAT!DN400)*1000</f>
        <v>772693.93809630082</v>
      </c>
      <c r="DN175" s="954">
        <f>(FAT!DO383+FAT!DO394+FAT!DO400)*1000</f>
        <v>694878.9623261235</v>
      </c>
      <c r="DO175" s="954">
        <f>(FAT!DP383+FAT!DP394+FAT!DP400)*1000</f>
        <v>517081.15428327699</v>
      </c>
      <c r="DP175" s="954">
        <f>(FAT!DQ383+FAT!DQ394+FAT!DQ400)*1000</f>
        <v>621580.99443427077</v>
      </c>
      <c r="DQ175" s="954">
        <f>(FAT!DR383+FAT!DR394+FAT!DR400)*1000</f>
        <v>640112.33180747856</v>
      </c>
      <c r="DR175" s="954">
        <f>(FAT!DS383+FAT!DS394+FAT!DS400)*1000</f>
        <v>694157.48141150759</v>
      </c>
      <c r="DS175" s="954">
        <f>(FAT!DT383+FAT!DT394+FAT!DT400)*1000</f>
        <v>744450.62397861655</v>
      </c>
      <c r="DT175" s="954">
        <f>(FAT!DU383+FAT!DU394+FAT!DU400)*1000</f>
        <v>798158.0304092319</v>
      </c>
      <c r="DU175" s="954">
        <f>(FAT!DV383+FAT!DV394+FAT!DV400)*1000</f>
        <v>855481.81632039405</v>
      </c>
      <c r="DX175" s="954">
        <v>676790.84738254023</v>
      </c>
      <c r="DY175" s="954">
        <v>734106.95734447928</v>
      </c>
    </row>
    <row r="176" spans="1:129" s="904" customFormat="1">
      <c r="A176" s="939"/>
      <c r="B176" s="912"/>
      <c r="C176" s="901"/>
      <c r="D176" s="901"/>
      <c r="E176" s="901"/>
      <c r="F176" s="901"/>
      <c r="G176" s="956"/>
      <c r="H176" s="956"/>
      <c r="I176" s="956"/>
      <c r="J176" s="956"/>
      <c r="K176" s="956"/>
      <c r="L176" s="956"/>
      <c r="M176" s="956"/>
      <c r="N176" s="956"/>
      <c r="O176" s="956"/>
      <c r="P176" s="976"/>
      <c r="Q176" s="976"/>
      <c r="R176" s="976"/>
      <c r="S176" s="976"/>
      <c r="T176" s="976"/>
      <c r="U176" s="976"/>
      <c r="V176" s="976"/>
      <c r="W176" s="976"/>
      <c r="X176" s="976"/>
      <c r="Y176" s="976"/>
      <c r="Z176" s="976"/>
      <c r="AA176" s="976"/>
      <c r="AB176" s="976"/>
      <c r="AC176" s="976"/>
      <c r="AD176" s="976"/>
      <c r="AE176" s="976"/>
      <c r="AF176" s="976"/>
      <c r="AG176" s="976"/>
      <c r="AH176" s="976"/>
      <c r="AI176" s="976"/>
      <c r="AJ176" s="976"/>
      <c r="AK176" s="976"/>
      <c r="AL176" s="976"/>
      <c r="AM176" s="976"/>
      <c r="AN176" s="976"/>
      <c r="AO176" s="976"/>
      <c r="AP176" s="976"/>
      <c r="AQ176" s="976"/>
      <c r="AR176" s="976"/>
      <c r="AS176" s="976"/>
      <c r="AT176" s="976"/>
      <c r="AU176" s="976"/>
      <c r="AV176" s="976"/>
      <c r="AW176" s="976"/>
      <c r="AX176" s="976"/>
      <c r="AY176" s="976"/>
      <c r="AZ176" s="976"/>
      <c r="BA176" s="976"/>
      <c r="BB176" s="976"/>
      <c r="BC176" s="976"/>
      <c r="BD176" s="976"/>
      <c r="BE176" s="976"/>
      <c r="BF176" s="976"/>
      <c r="BG176" s="976"/>
      <c r="BH176" s="976"/>
      <c r="BI176" s="976"/>
      <c r="BJ176" s="976"/>
      <c r="BK176" s="976"/>
      <c r="BL176" s="976"/>
      <c r="BM176" s="976"/>
      <c r="BN176" s="976"/>
      <c r="BO176" s="976"/>
      <c r="BP176" s="976"/>
      <c r="BQ176" s="976"/>
      <c r="BR176" s="976"/>
      <c r="BS176" s="976"/>
      <c r="BT176" s="976"/>
      <c r="BU176" s="976"/>
      <c r="BV176" s="976"/>
      <c r="BW176" s="976"/>
      <c r="BX176" s="976"/>
      <c r="BY176" s="976"/>
      <c r="BZ176" s="976"/>
      <c r="CA176" s="976"/>
      <c r="CB176" s="976"/>
      <c r="CC176" s="976"/>
      <c r="CD176" s="976"/>
      <c r="CE176" s="976"/>
      <c r="CF176" s="976"/>
      <c r="CG176" s="976"/>
      <c r="CH176" s="976"/>
      <c r="CI176" s="976"/>
      <c r="CJ176" s="976"/>
      <c r="CK176" s="976"/>
      <c r="CL176" s="976"/>
      <c r="CM176" s="976"/>
      <c r="CN176" s="976"/>
      <c r="CO176" s="976"/>
      <c r="CP176" s="976"/>
      <c r="CQ176" s="976"/>
      <c r="CR176" s="976"/>
      <c r="CT176" s="976"/>
      <c r="CU176" s="976"/>
      <c r="CV176" s="976"/>
      <c r="CW176" s="976"/>
      <c r="CX176" s="901"/>
      <c r="CY176" s="976"/>
      <c r="CZ176" s="976"/>
      <c r="DA176" s="976"/>
      <c r="DB176" s="976"/>
      <c r="DC176" s="976"/>
      <c r="DD176" s="976"/>
      <c r="DE176" s="976"/>
      <c r="DF176" s="976"/>
      <c r="DG176" s="976"/>
      <c r="DH176" s="976"/>
      <c r="DI176" s="976"/>
      <c r="DJ176" s="976"/>
      <c r="DK176" s="976"/>
      <c r="DL176" s="976"/>
      <c r="DM176" s="976"/>
      <c r="DN176" s="976"/>
      <c r="DO176" s="976"/>
      <c r="DP176" s="976"/>
      <c r="DQ176" s="976"/>
      <c r="DR176" s="976"/>
      <c r="DS176" s="976"/>
      <c r="DT176" s="976"/>
      <c r="DU176" s="976"/>
      <c r="DX176" s="976"/>
      <c r="DY176" s="976"/>
    </row>
    <row r="177" spans="1:129" s="904" customFormat="1">
      <c r="A177" s="939"/>
      <c r="B177" s="977" t="s">
        <v>477</v>
      </c>
      <c r="C177" s="911">
        <f t="shared" ref="C177:AH177" si="1987">+C54/C6</f>
        <v>4.1961293541930109E-2</v>
      </c>
      <c r="D177" s="911">
        <f t="shared" si="1987"/>
        <v>0</v>
      </c>
      <c r="E177" s="911">
        <f t="shared" si="1987"/>
        <v>0</v>
      </c>
      <c r="F177" s="911">
        <f t="shared" si="1987"/>
        <v>4.908132562258595E-2</v>
      </c>
      <c r="G177" s="911">
        <f t="shared" si="1987"/>
        <v>3.1398070445852598E-2</v>
      </c>
      <c r="H177" s="911">
        <f t="shared" si="1987"/>
        <v>3.4484857090695174E-2</v>
      </c>
      <c r="I177" s="911">
        <f t="shared" si="1987"/>
        <v>2.4644403329569242E-2</v>
      </c>
      <c r="J177" s="911">
        <f t="shared" si="1987"/>
        <v>7.6365564786989568E-2</v>
      </c>
      <c r="K177" s="911">
        <f t="shared" si="1987"/>
        <v>6.2979846449136276E-2</v>
      </c>
      <c r="L177" s="911">
        <f t="shared" si="1987"/>
        <v>8.6120884314446255E-2</v>
      </c>
      <c r="M177" s="911">
        <f t="shared" si="1987"/>
        <v>6.3151156185208793E-2</v>
      </c>
      <c r="N177" s="911">
        <f t="shared" si="1987"/>
        <v>8.848090395816996E-2</v>
      </c>
      <c r="O177" s="911">
        <f t="shared" si="1987"/>
        <v>3.3376012429687386E-2</v>
      </c>
      <c r="P177" s="911">
        <f t="shared" si="1987"/>
        <v>4.9300021186785961E-2</v>
      </c>
      <c r="Q177" s="911">
        <f t="shared" si="1987"/>
        <v>3.783681522121024E-2</v>
      </c>
      <c r="R177" s="911">
        <f t="shared" si="1987"/>
        <v>8.619892058596762E-2</v>
      </c>
      <c r="S177" s="911">
        <f t="shared" si="1987"/>
        <v>4.1917845654323674E-2</v>
      </c>
      <c r="T177" s="911">
        <f t="shared" si="1987"/>
        <v>5.3677339157795483E-2</v>
      </c>
      <c r="U177" s="911">
        <f t="shared" si="1987"/>
        <v>7.1767995776052571E-2</v>
      </c>
      <c r="V177" s="911">
        <f t="shared" si="1987"/>
        <v>7.6615495632471303E-2</v>
      </c>
      <c r="W177" s="911">
        <f t="shared" si="1987"/>
        <v>1.5269579657102501E-2</v>
      </c>
      <c r="X177" s="911">
        <f t="shared" si="1987"/>
        <v>3.5049738023586026E-2</v>
      </c>
      <c r="Y177" s="911">
        <f t="shared" si="1987"/>
        <v>2.5710152432234738E-2</v>
      </c>
      <c r="Z177" s="911">
        <f t="shared" si="1987"/>
        <v>3.4670101146809899E-2</v>
      </c>
      <c r="AA177" s="911">
        <f t="shared" si="1987"/>
        <v>3.1441877020733838E-2</v>
      </c>
      <c r="AB177" s="911">
        <f t="shared" si="1987"/>
        <v>2.9343976935064343E-2</v>
      </c>
      <c r="AC177" s="911">
        <f t="shared" si="1987"/>
        <v>4.2089045510527695E-2</v>
      </c>
      <c r="AD177" s="911">
        <f t="shared" si="1987"/>
        <v>0.10747405951862291</v>
      </c>
      <c r="AE177" s="911">
        <f t="shared" si="1987"/>
        <v>4.0082369268847479E-2</v>
      </c>
      <c r="AF177" s="911">
        <f t="shared" si="1987"/>
        <v>7.6875345968946171E-2</v>
      </c>
      <c r="AG177" s="911">
        <f t="shared" si="1987"/>
        <v>7.5075277455042444E-2</v>
      </c>
      <c r="AH177" s="911">
        <f t="shared" si="1987"/>
        <v>0.14376777077048597</v>
      </c>
      <c r="AI177" s="911">
        <f t="shared" ref="AI177:BN177" si="1988">+AI54/AI6</f>
        <v>9.8410209847788449E-2</v>
      </c>
      <c r="AJ177" s="911">
        <f t="shared" si="1988"/>
        <v>7.0228394040948078E-2</v>
      </c>
      <c r="AK177" s="911">
        <f t="shared" si="1988"/>
        <v>9.546349515721643E-2</v>
      </c>
      <c r="AL177" s="911">
        <f t="shared" si="1988"/>
        <v>0.11618912061389937</v>
      </c>
      <c r="AM177" s="911">
        <f t="shared" si="1988"/>
        <v>4.4132478986104257E-2</v>
      </c>
      <c r="AN177" s="911">
        <f t="shared" si="1988"/>
        <v>6.205193879302378E-2</v>
      </c>
      <c r="AO177" s="911">
        <f t="shared" si="1988"/>
        <v>0.12081042846583483</v>
      </c>
      <c r="AP177" s="911">
        <f t="shared" si="1988"/>
        <v>0.12799960403989299</v>
      </c>
      <c r="AQ177" s="911">
        <f t="shared" si="1988"/>
        <v>8.2462013138521265E-2</v>
      </c>
      <c r="AR177" s="911">
        <f t="shared" si="1988"/>
        <v>9.2413489820176095E-2</v>
      </c>
      <c r="AS177" s="911">
        <f t="shared" si="1988"/>
        <v>0.10932021269260835</v>
      </c>
      <c r="AT177" s="911">
        <f t="shared" si="1988"/>
        <v>9.7338372931353334E-2</v>
      </c>
      <c r="AU177" s="911">
        <f t="shared" si="1988"/>
        <v>6.0820462934016613E-2</v>
      </c>
      <c r="AV177" s="911">
        <f t="shared" si="1988"/>
        <v>9.5417797827520287E-2</v>
      </c>
      <c r="AW177" s="911">
        <f t="shared" si="1988"/>
        <v>0.11741476342825768</v>
      </c>
      <c r="AX177" s="911">
        <f t="shared" si="1988"/>
        <v>9.2640170386422707E-2</v>
      </c>
      <c r="AY177" s="911">
        <f t="shared" si="1988"/>
        <v>7.0227815506077193E-2</v>
      </c>
      <c r="AZ177" s="911">
        <f t="shared" si="1988"/>
        <v>9.5837531409703927E-2</v>
      </c>
      <c r="BA177" s="911">
        <f t="shared" si="1988"/>
        <v>7.3867656548595992E-2</v>
      </c>
      <c r="BB177" s="911">
        <f t="shared" si="1988"/>
        <v>7.5895323199428461E-2</v>
      </c>
      <c r="BC177" s="911">
        <f t="shared" si="1988"/>
        <v>4.6965970272531229E-2</v>
      </c>
      <c r="BD177" s="911">
        <f t="shared" si="1988"/>
        <v>6.4851141261252632E-2</v>
      </c>
      <c r="BE177" s="911">
        <f t="shared" si="1988"/>
        <v>7.7263958469448502E-2</v>
      </c>
      <c r="BF177" s="911">
        <f t="shared" si="1988"/>
        <v>9.3920622947264457E-2</v>
      </c>
      <c r="BG177" s="911">
        <f t="shared" si="1988"/>
        <v>5.7790865849651638E-2</v>
      </c>
      <c r="BH177" s="911">
        <f t="shared" si="1988"/>
        <v>6.6419122944095937E-2</v>
      </c>
      <c r="BI177" s="911">
        <f t="shared" si="1988"/>
        <v>8.1464902191543398E-2</v>
      </c>
      <c r="BJ177" s="911">
        <f t="shared" si="1988"/>
        <v>7.8937687312756036E-2</v>
      </c>
      <c r="BK177" s="911">
        <f t="shared" si="1988"/>
        <v>4.1689810936638705E-2</v>
      </c>
      <c r="BL177" s="911">
        <f t="shared" si="1988"/>
        <v>7.2626566176973342E-2</v>
      </c>
      <c r="BM177" s="911">
        <f t="shared" si="1988"/>
        <v>0.11561539733852465</v>
      </c>
      <c r="BN177" s="911">
        <f t="shared" si="1988"/>
        <v>7.8189536684966351E-2</v>
      </c>
      <c r="BO177" s="911">
        <f t="shared" ref="BO177:CH177" si="1989">+BO54/BO6</f>
        <v>4.7988850486658977E-2</v>
      </c>
      <c r="BP177" s="911">
        <f t="shared" si="1989"/>
        <v>0.17501416192334998</v>
      </c>
      <c r="BQ177" s="911">
        <f t="shared" si="1989"/>
        <v>0.10553323480102947</v>
      </c>
      <c r="BR177" s="911">
        <f t="shared" si="1989"/>
        <v>4.0587028931917207E-2</v>
      </c>
      <c r="BS177" s="911">
        <f t="shared" si="1989"/>
        <v>0.1670220059251015</v>
      </c>
      <c r="BT177" s="911">
        <f t="shared" si="1989"/>
        <v>0.10204180023248782</v>
      </c>
      <c r="BU177" s="911">
        <f t="shared" si="1989"/>
        <v>7.0988009515772527E-2</v>
      </c>
      <c r="BV177" s="911">
        <f t="shared" si="1989"/>
        <v>9.9086613677697249E-2</v>
      </c>
      <c r="BW177" s="911">
        <f t="shared" si="1989"/>
        <v>4.3900909657642637E-2</v>
      </c>
      <c r="BX177" s="911">
        <f t="shared" si="1989"/>
        <v>5.7358938850400006E-2</v>
      </c>
      <c r="BY177" s="911">
        <f t="shared" si="1989"/>
        <v>8.7398183970675961E-2</v>
      </c>
      <c r="BZ177" s="911">
        <f t="shared" si="1989"/>
        <v>0.10177517298831332</v>
      </c>
      <c r="CA177" s="911">
        <f t="shared" si="1989"/>
        <v>2.9342680003474328E-2</v>
      </c>
      <c r="CB177" s="911">
        <f t="shared" si="1989"/>
        <v>6.7313129530419152E-2</v>
      </c>
      <c r="CC177" s="911">
        <f t="shared" si="1989"/>
        <v>7.8804711470477684E-2</v>
      </c>
      <c r="CD177" s="911">
        <f t="shared" si="1989"/>
        <v>7.666064003874877E-2</v>
      </c>
      <c r="CE177" s="911">
        <f t="shared" si="1989"/>
        <v>2.3716612284950173E-2</v>
      </c>
      <c r="CF177" s="911">
        <f t="shared" si="1989"/>
        <v>3.895244317766839E-2</v>
      </c>
      <c r="CG177" s="911">
        <f t="shared" si="1989"/>
        <v>5.0998949882464804E-2</v>
      </c>
      <c r="CH177" s="911">
        <f t="shared" si="1989"/>
        <v>6.1355815736627684E-2</v>
      </c>
      <c r="CI177" s="911">
        <f t="shared" ref="CI177:CL177" si="1990">+CI54/CI6</f>
        <v>1.8906159528711074E-2</v>
      </c>
      <c r="CJ177" s="911">
        <f t="shared" si="1990"/>
        <v>3.9798901260007E-2</v>
      </c>
      <c r="CK177" s="911">
        <f t="shared" si="1990"/>
        <v>5.6103178253011109E-2</v>
      </c>
      <c r="CL177" s="911">
        <f t="shared" si="1990"/>
        <v>6.282129248327345E-2</v>
      </c>
      <c r="CM177" s="911">
        <f t="shared" ref="CM177:CP177" si="1991">+CM54/CM6</f>
        <v>2.7828967503016996E-2</v>
      </c>
      <c r="CN177" s="911">
        <f t="shared" si="1991"/>
        <v>3.5721304099880197E-2</v>
      </c>
      <c r="CO177" s="911">
        <f t="shared" si="1991"/>
        <v>4.5385622354456034E-2</v>
      </c>
      <c r="CP177" s="911">
        <f t="shared" si="1991"/>
        <v>5.2157276004137144E-2</v>
      </c>
      <c r="CQ177" s="911"/>
      <c r="CR177" s="911">
        <v>6.282129248327345E-2</v>
      </c>
      <c r="CT177" s="911"/>
      <c r="CU177" s="911"/>
      <c r="CV177" s="911"/>
      <c r="CW177" s="911"/>
      <c r="CX177" s="920">
        <f t="shared" ref="CX177:DU177" si="1992">+CX54/CX6</f>
        <v>5.6190278408587736E-2</v>
      </c>
      <c r="CY177" s="920">
        <f t="shared" si="1992"/>
        <v>6.2665854942288324E-2</v>
      </c>
      <c r="CZ177" s="920">
        <f t="shared" si="1992"/>
        <v>2.9234718830543554E-2</v>
      </c>
      <c r="DA177" s="920">
        <f t="shared" si="1992"/>
        <v>5.8262561706340699E-2</v>
      </c>
      <c r="DB177" s="920">
        <f t="shared" si="1992"/>
        <v>9.1584422866833284E-2</v>
      </c>
      <c r="DC177" s="920">
        <f t="shared" si="1992"/>
        <v>9.6698828843849643E-2</v>
      </c>
      <c r="DD177" s="920">
        <f t="shared" si="1992"/>
        <v>9.4316698174209943E-2</v>
      </c>
      <c r="DE177" s="920">
        <f t="shared" si="1992"/>
        <v>9.6241519435035436E-2</v>
      </c>
      <c r="DF177" s="920">
        <f t="shared" si="1992"/>
        <v>9.2983171575594478E-2</v>
      </c>
      <c r="DG177" s="920">
        <f t="shared" si="1992"/>
        <v>7.9437905133316181E-2</v>
      </c>
      <c r="DH177" s="920">
        <f t="shared" si="1992"/>
        <v>7.3935557756939885E-2</v>
      </c>
      <c r="DI177" s="920">
        <f t="shared" si="1992"/>
        <v>7.2433160702831609E-2</v>
      </c>
      <c r="DJ177" s="920">
        <f t="shared" si="1992"/>
        <v>7.8344796008150114E-2</v>
      </c>
      <c r="DK177" s="920">
        <f t="shared" si="1992"/>
        <v>7.2261555921692991E-2</v>
      </c>
      <c r="DL177" s="920">
        <f t="shared" si="1992"/>
        <v>0.10295933021189557</v>
      </c>
      <c r="DM177" s="920">
        <f t="shared" si="1992"/>
        <v>7.4974188683531326E-2</v>
      </c>
      <c r="DN177" s="920">
        <f t="shared" si="1992"/>
        <v>6.5125106963034488E-2</v>
      </c>
      <c r="DO177" s="920">
        <f t="shared" si="1992"/>
        <v>4.587769237679621E-2</v>
      </c>
      <c r="DP177" s="920">
        <f t="shared" ref="DP177:DQ177" si="1993">+DP54/DP6</f>
        <v>4.6196554356308997E-2</v>
      </c>
      <c r="DQ177" s="920">
        <f t="shared" si="1993"/>
        <v>4.1426211470843466E-2</v>
      </c>
      <c r="DR177" s="920">
        <f t="shared" si="1992"/>
        <v>4.1315433694446874E-2</v>
      </c>
      <c r="DS177" s="920">
        <f t="shared" si="1992"/>
        <v>4.1375911192064366E-2</v>
      </c>
      <c r="DT177" s="920">
        <f t="shared" si="1992"/>
        <v>4.1428270137792093E-2</v>
      </c>
      <c r="DU177" s="920">
        <f t="shared" si="1992"/>
        <v>4.1473848844460218E-2</v>
      </c>
      <c r="DX177" s="920">
        <v>4.5752587369656914E-2</v>
      </c>
      <c r="DY177" s="920">
        <v>4.5720199613015967E-2</v>
      </c>
    </row>
    <row r="178" spans="1:129" s="904" customFormat="1">
      <c r="A178" s="939"/>
      <c r="B178" s="980"/>
      <c r="C178" s="901"/>
      <c r="D178" s="901"/>
      <c r="E178" s="901"/>
      <c r="F178" s="901"/>
      <c r="G178" s="903"/>
      <c r="H178" s="903"/>
      <c r="I178" s="903"/>
      <c r="J178" s="903"/>
      <c r="K178" s="903"/>
      <c r="L178" s="903"/>
      <c r="M178" s="903"/>
      <c r="N178" s="903"/>
      <c r="O178" s="903"/>
      <c r="P178" s="903"/>
      <c r="Q178" s="903"/>
      <c r="R178" s="903"/>
      <c r="S178" s="903"/>
      <c r="T178" s="903"/>
      <c r="U178" s="903"/>
      <c r="V178" s="903"/>
      <c r="W178" s="903"/>
      <c r="X178" s="903"/>
      <c r="Y178" s="903"/>
      <c r="Z178" s="903"/>
      <c r="AA178" s="903"/>
      <c r="AB178" s="903"/>
      <c r="AC178" s="903"/>
      <c r="AD178" s="903"/>
      <c r="AE178" s="903"/>
      <c r="AF178" s="903"/>
      <c r="AG178" s="903"/>
      <c r="AH178" s="903"/>
      <c r="AI178" s="903"/>
      <c r="AJ178" s="903"/>
      <c r="AK178" s="903"/>
      <c r="AL178" s="903"/>
      <c r="AM178" s="903"/>
      <c r="AN178" s="903"/>
      <c r="AO178" s="903"/>
      <c r="AP178" s="903"/>
      <c r="AQ178" s="903"/>
      <c r="AR178" s="903"/>
      <c r="AS178" s="903"/>
      <c r="AT178" s="903"/>
      <c r="AU178" s="903"/>
      <c r="AV178" s="903"/>
      <c r="AW178" s="903"/>
      <c r="AX178" s="903"/>
      <c r="AY178" s="903"/>
      <c r="AZ178" s="903"/>
      <c r="BA178" s="903"/>
      <c r="BB178" s="903"/>
      <c r="BC178" s="903"/>
      <c r="BD178" s="903"/>
      <c r="BE178" s="903"/>
      <c r="BF178" s="903"/>
      <c r="BG178" s="903"/>
      <c r="BH178" s="903"/>
      <c r="BI178" s="903"/>
      <c r="BJ178" s="903"/>
      <c r="BK178" s="903"/>
      <c r="BL178" s="903"/>
      <c r="BM178" s="903"/>
      <c r="BN178" s="903"/>
      <c r="BO178" s="903"/>
      <c r="BP178" s="903"/>
      <c r="BQ178" s="903"/>
      <c r="BR178" s="903"/>
      <c r="BS178" s="903"/>
      <c r="BT178" s="903"/>
      <c r="BU178" s="903"/>
      <c r="BV178" s="903"/>
      <c r="BW178" s="903"/>
      <c r="BX178" s="903"/>
      <c r="BY178" s="903"/>
      <c r="BZ178" s="903"/>
      <c r="CA178" s="903"/>
      <c r="CB178" s="903"/>
      <c r="CC178" s="903"/>
      <c r="CD178" s="903"/>
      <c r="CE178" s="903"/>
      <c r="CF178" s="903"/>
      <c r="CG178" s="903"/>
      <c r="CH178" s="903"/>
      <c r="CI178" s="903"/>
      <c r="CJ178" s="903"/>
      <c r="CK178" s="903"/>
      <c r="CL178" s="903"/>
      <c r="CM178" s="903"/>
      <c r="CN178" s="903"/>
      <c r="CO178" s="903"/>
      <c r="CP178" s="903"/>
      <c r="CQ178" s="903"/>
      <c r="CR178" s="903"/>
      <c r="CT178" s="903"/>
      <c r="CU178" s="903"/>
      <c r="CV178" s="903"/>
      <c r="CW178" s="903"/>
      <c r="CX178" s="903"/>
      <c r="CY178" s="903"/>
      <c r="CZ178" s="903"/>
      <c r="DA178" s="903"/>
      <c r="DB178" s="903"/>
      <c r="DC178" s="903"/>
      <c r="DD178" s="903"/>
      <c r="DE178" s="903"/>
      <c r="DF178" s="903"/>
      <c r="DG178" s="903"/>
      <c r="DH178" s="903"/>
      <c r="DI178" s="903"/>
      <c r="DJ178" s="903"/>
      <c r="DK178" s="903"/>
      <c r="DL178" s="903"/>
      <c r="DM178" s="903"/>
      <c r="DN178" s="903"/>
      <c r="DO178" s="903"/>
      <c r="DP178" s="903"/>
      <c r="DQ178" s="903"/>
      <c r="DR178" s="903"/>
      <c r="DS178" s="903"/>
      <c r="DT178" s="903"/>
      <c r="DU178" s="903"/>
      <c r="DX178" s="903"/>
      <c r="DY178" s="903"/>
    </row>
    <row r="179" spans="1:129">
      <c r="A179" s="592"/>
      <c r="B179" s="958" t="s">
        <v>478</v>
      </c>
      <c r="C179" s="958"/>
      <c r="D179" s="958"/>
      <c r="E179" s="958"/>
      <c r="F179" s="958"/>
      <c r="G179" s="958"/>
      <c r="H179" s="958"/>
      <c r="I179" s="958"/>
      <c r="J179" s="958"/>
      <c r="K179" s="958"/>
      <c r="L179" s="958"/>
      <c r="M179" s="958"/>
      <c r="N179" s="958"/>
      <c r="O179" s="958"/>
      <c r="P179" s="958"/>
      <c r="Q179" s="958"/>
      <c r="R179" s="958"/>
      <c r="S179" s="958"/>
      <c r="T179" s="958"/>
      <c r="U179" s="958"/>
      <c r="V179" s="958"/>
      <c r="W179" s="958"/>
      <c r="X179" s="958"/>
      <c r="Y179" s="958"/>
      <c r="Z179" s="958"/>
      <c r="AA179" s="958"/>
      <c r="AB179" s="958"/>
      <c r="AC179" s="958"/>
      <c r="AD179" s="958"/>
      <c r="AE179" s="958"/>
      <c r="AF179" s="958"/>
      <c r="AG179" s="958"/>
      <c r="AH179" s="958"/>
      <c r="AI179" s="958"/>
      <c r="AJ179" s="958"/>
      <c r="AK179" s="958"/>
      <c r="AL179" s="958"/>
      <c r="AM179" s="958"/>
      <c r="AN179" s="958"/>
      <c r="AO179" s="958"/>
      <c r="AP179" s="958"/>
      <c r="AQ179" s="958"/>
      <c r="AR179" s="958"/>
      <c r="AS179" s="958"/>
      <c r="AT179" s="958"/>
      <c r="AU179" s="958"/>
      <c r="AV179" s="958"/>
      <c r="AW179" s="958"/>
      <c r="AX179" s="958"/>
      <c r="AY179" s="958"/>
      <c r="AZ179" s="958"/>
      <c r="BA179" s="958"/>
      <c r="BB179" s="958"/>
      <c r="BC179" s="958"/>
      <c r="BD179" s="958"/>
      <c r="BE179" s="958"/>
      <c r="BF179" s="958"/>
      <c r="BG179" s="958"/>
      <c r="BH179" s="958"/>
      <c r="BI179" s="958"/>
      <c r="BJ179" s="958"/>
      <c r="BK179" s="958"/>
      <c r="BL179" s="958"/>
      <c r="BM179" s="958"/>
      <c r="BN179" s="958"/>
      <c r="BO179" s="958"/>
      <c r="BP179" s="958"/>
      <c r="BQ179" s="958"/>
      <c r="BR179" s="958"/>
      <c r="BS179" s="958"/>
      <c r="BT179" s="958"/>
      <c r="BU179" s="958"/>
      <c r="BV179" s="958"/>
      <c r="BW179" s="958"/>
      <c r="BX179" s="958"/>
      <c r="BY179" s="958"/>
      <c r="BZ179" s="958"/>
      <c r="CA179" s="958"/>
      <c r="CB179" s="958"/>
      <c r="CC179" s="958"/>
      <c r="CD179" s="958"/>
      <c r="CE179" s="958"/>
      <c r="CF179" s="958"/>
      <c r="CG179" s="958"/>
      <c r="CH179" s="958"/>
      <c r="CI179" s="958"/>
      <c r="CJ179" s="958"/>
      <c r="CK179" s="958"/>
      <c r="CL179" s="958"/>
      <c r="CM179" s="958"/>
      <c r="CN179" s="958"/>
      <c r="CO179" s="958"/>
      <c r="CP179" s="958"/>
      <c r="CQ179" s="958"/>
      <c r="CR179" s="958"/>
      <c r="CT179" s="958"/>
      <c r="CU179" s="958"/>
      <c r="CV179" s="958"/>
      <c r="CW179" s="958"/>
      <c r="CX179" s="958"/>
      <c r="CY179" s="958"/>
      <c r="CZ179" s="958"/>
      <c r="DA179" s="958"/>
      <c r="DB179" s="958"/>
      <c r="DC179" s="958"/>
      <c r="DD179" s="958"/>
      <c r="DE179" s="958"/>
      <c r="DF179" s="958"/>
      <c r="DG179" s="958"/>
      <c r="DH179" s="958"/>
      <c r="DI179" s="958"/>
      <c r="DJ179" s="958"/>
      <c r="DK179" s="958"/>
      <c r="DL179" s="958"/>
      <c r="DM179" s="958"/>
      <c r="DN179" s="958"/>
      <c r="DO179" s="958"/>
      <c r="DP179" s="958"/>
      <c r="DQ179" s="958"/>
      <c r="DR179" s="958"/>
      <c r="DS179" s="958"/>
      <c r="DT179" s="958"/>
      <c r="DU179" s="958"/>
      <c r="DX179" s="958"/>
      <c r="DY179" s="958"/>
    </row>
    <row r="180" spans="1:129" s="904" customFormat="1">
      <c r="A180" s="939"/>
      <c r="B180" s="912"/>
      <c r="C180" s="918"/>
      <c r="D180" s="918"/>
      <c r="E180" s="918"/>
      <c r="F180" s="918"/>
      <c r="G180" s="918"/>
      <c r="H180" s="918"/>
      <c r="I180" s="918"/>
      <c r="J180" s="918"/>
      <c r="K180" s="918"/>
      <c r="L180" s="918"/>
      <c r="M180" s="918"/>
      <c r="N180" s="918"/>
      <c r="O180" s="918"/>
      <c r="P180" s="918"/>
      <c r="Q180" s="918"/>
      <c r="R180" s="918"/>
      <c r="S180" s="918"/>
      <c r="T180" s="918"/>
      <c r="U180" s="918"/>
      <c r="V180" s="918"/>
      <c r="W180" s="918"/>
      <c r="X180" s="918"/>
      <c r="Y180" s="918"/>
      <c r="Z180" s="918"/>
      <c r="AA180" s="918"/>
      <c r="AB180" s="918"/>
      <c r="AC180" s="918"/>
      <c r="AD180" s="918"/>
      <c r="AE180" s="918"/>
      <c r="AF180" s="918"/>
      <c r="AG180" s="918"/>
      <c r="AH180" s="918"/>
      <c r="AI180" s="918"/>
      <c r="AJ180" s="918"/>
      <c r="AK180" s="918"/>
      <c r="AL180" s="918"/>
      <c r="AM180" s="918"/>
      <c r="AN180" s="918"/>
      <c r="AO180" s="918"/>
      <c r="AP180" s="918"/>
      <c r="AQ180" s="918"/>
      <c r="AR180" s="918"/>
      <c r="AS180" s="918"/>
      <c r="AT180" s="918"/>
      <c r="AU180" s="918"/>
      <c r="AV180" s="918"/>
      <c r="AW180" s="918"/>
      <c r="AX180" s="918"/>
      <c r="AY180" s="918"/>
      <c r="AZ180" s="921"/>
      <c r="BA180" s="918"/>
      <c r="BB180" s="918"/>
      <c r="BC180" s="918"/>
      <c r="BD180" s="918"/>
      <c r="BE180" s="918"/>
      <c r="BF180" s="918"/>
      <c r="BG180" s="918"/>
      <c r="BH180" s="918"/>
      <c r="BI180" s="918"/>
      <c r="BJ180" s="918"/>
      <c r="BK180" s="918"/>
      <c r="BL180" s="918"/>
      <c r="BM180" s="918"/>
      <c r="BN180" s="918"/>
      <c r="BO180" s="918"/>
      <c r="BP180" s="918"/>
      <c r="BQ180" s="918"/>
      <c r="BR180" s="918"/>
      <c r="BS180" s="918"/>
      <c r="BT180" s="918"/>
      <c r="BU180" s="918"/>
      <c r="BV180" s="918"/>
      <c r="BW180" s="918"/>
      <c r="BX180" s="918"/>
      <c r="BY180" s="918"/>
      <c r="BZ180" s="918"/>
      <c r="CA180" s="918"/>
      <c r="CB180" s="918"/>
      <c r="CC180" s="918"/>
      <c r="CD180" s="918"/>
      <c r="CE180" s="918"/>
      <c r="CF180" s="918"/>
      <c r="CG180" s="918"/>
      <c r="CH180" s="918"/>
      <c r="CI180" s="918"/>
      <c r="CJ180" s="918"/>
      <c r="CK180" s="918"/>
      <c r="CL180" s="918"/>
      <c r="CM180" s="918"/>
      <c r="CN180" s="918"/>
      <c r="CO180" s="918"/>
      <c r="CP180" s="918"/>
      <c r="CQ180" s="918"/>
      <c r="CR180" s="918"/>
      <c r="CT180" s="918"/>
      <c r="CU180" s="918"/>
      <c r="CV180" s="918"/>
      <c r="CW180" s="918"/>
      <c r="CX180" s="918"/>
      <c r="CY180" s="918"/>
      <c r="CZ180" s="918"/>
      <c r="DA180" s="918"/>
      <c r="DB180" s="918"/>
      <c r="DC180" s="918"/>
      <c r="DD180" s="918"/>
      <c r="DE180" s="918"/>
      <c r="DF180" s="918"/>
      <c r="DG180" s="918"/>
      <c r="DH180" s="918"/>
      <c r="DI180" s="918"/>
      <c r="DJ180" s="918"/>
      <c r="DK180" s="918"/>
      <c r="DL180" s="918"/>
      <c r="DM180" s="918"/>
      <c r="DN180" s="918"/>
      <c r="DO180" s="918"/>
      <c r="DP180" s="918"/>
      <c r="DQ180" s="918"/>
      <c r="DR180" s="918"/>
      <c r="DS180" s="918"/>
      <c r="DT180" s="918"/>
      <c r="DU180" s="918"/>
      <c r="DX180" s="918"/>
      <c r="DY180" s="918"/>
    </row>
    <row r="181" spans="1:129" s="590" customFormat="1">
      <c r="A181" s="943"/>
      <c r="B181" s="818" t="s">
        <v>108</v>
      </c>
      <c r="C181" s="1576" t="e">
        <f t="shared" ref="C181:AH181" si="1994">+C182+C183</f>
        <v>#REF!</v>
      </c>
      <c r="D181" s="1576">
        <f t="shared" si="1994"/>
        <v>-0.15317622950819673</v>
      </c>
      <c r="E181" s="1576">
        <f t="shared" si="1994"/>
        <v>1.312192454893385E-2</v>
      </c>
      <c r="F181" s="1576">
        <f t="shared" si="1994"/>
        <v>-7.7954010250727263E-2</v>
      </c>
      <c r="G181" s="1576">
        <f t="shared" si="1994"/>
        <v>0.14425553838227717</v>
      </c>
      <c r="H181" s="1576">
        <f t="shared" si="1994"/>
        <v>0.27817641029088036</v>
      </c>
      <c r="I181" s="1576">
        <f t="shared" si="1994"/>
        <v>1.2480252764612954E-2</v>
      </c>
      <c r="J181" s="1576">
        <f t="shared" si="1994"/>
        <v>0.29580891942924997</v>
      </c>
      <c r="K181" s="1576">
        <f t="shared" si="1994"/>
        <v>0.26386328725038399</v>
      </c>
      <c r="L181" s="1576">
        <f t="shared" si="1994"/>
        <v>0.32172456857402359</v>
      </c>
      <c r="M181" s="1576">
        <f t="shared" si="1994"/>
        <v>4.9211474093167062E-3</v>
      </c>
      <c r="N181" s="1576">
        <f t="shared" si="1994"/>
        <v>0.27283043103540283</v>
      </c>
      <c r="O181" s="1576">
        <f t="shared" si="1994"/>
        <v>0.3383877955477716</v>
      </c>
      <c r="P181" s="1576">
        <f t="shared" si="1994"/>
        <v>0.34760448521916409</v>
      </c>
      <c r="Q181" s="1576">
        <f t="shared" si="1994"/>
        <v>0.39017334187000552</v>
      </c>
      <c r="R181" s="1576">
        <f t="shared" si="1994"/>
        <v>0.41863111679986953</v>
      </c>
      <c r="S181" s="1576">
        <f t="shared" si="1994"/>
        <v>0.34864048338368581</v>
      </c>
      <c r="T181" s="1576">
        <f t="shared" si="1994"/>
        <v>0.3796935750173096</v>
      </c>
      <c r="U181" s="1576">
        <f t="shared" si="1994"/>
        <v>0.38464452924142778</v>
      </c>
      <c r="V181" s="1576">
        <f t="shared" si="1994"/>
        <v>0.51657960400635683</v>
      </c>
      <c r="W181" s="1576">
        <f t="shared" si="1994"/>
        <v>0.41858367162832655</v>
      </c>
      <c r="X181" s="1576">
        <f t="shared" si="1994"/>
        <v>0.36254798429203872</v>
      </c>
      <c r="Y181" s="1576">
        <f t="shared" si="1994"/>
        <v>0.3781130096994828</v>
      </c>
      <c r="Z181" s="1576">
        <f t="shared" si="1994"/>
        <v>0.39781984699761186</v>
      </c>
      <c r="AA181" s="1576">
        <f t="shared" si="1994"/>
        <v>0.35878405660558754</v>
      </c>
      <c r="AB181" s="1576">
        <f t="shared" si="1994"/>
        <v>0.34286164797044649</v>
      </c>
      <c r="AC181" s="1576">
        <f t="shared" si="1994"/>
        <v>0.35852059022085059</v>
      </c>
      <c r="AD181" s="1576">
        <f t="shared" si="1994"/>
        <v>0.33092129469611659</v>
      </c>
      <c r="AE181" s="1576">
        <f t="shared" si="1994"/>
        <v>0.37592577117371706</v>
      </c>
      <c r="AF181" s="1576">
        <f t="shared" si="1994"/>
        <v>0.29747977112512347</v>
      </c>
      <c r="AG181" s="1576">
        <f t="shared" si="1994"/>
        <v>0.37652333430687901</v>
      </c>
      <c r="AH181" s="1576">
        <f t="shared" si="1994"/>
        <v>0.36645294556183505</v>
      </c>
      <c r="AI181" s="1576">
        <f t="shared" ref="AI181:BJ181" si="1995">+AI182+AI183</f>
        <v>0.38083882360186017</v>
      </c>
      <c r="AJ181" s="1576">
        <f t="shared" si="1995"/>
        <v>0.34949366284793504</v>
      </c>
      <c r="AK181" s="1576">
        <f t="shared" si="1995"/>
        <v>0.35699862819322858</v>
      </c>
      <c r="AL181" s="1576">
        <f t="shared" si="1995"/>
        <v>0.36296956031816907</v>
      </c>
      <c r="AM181" s="1576">
        <f t="shared" si="1995"/>
        <v>0.49142898785683531</v>
      </c>
      <c r="AN181" s="1576">
        <f t="shared" si="1995"/>
        <v>0.32499438156915206</v>
      </c>
      <c r="AO181" s="1576">
        <f t="shared" si="1995"/>
        <v>0.34119996844749034</v>
      </c>
      <c r="AP181" s="1576">
        <f t="shared" si="1995"/>
        <v>0.33068322745254231</v>
      </c>
      <c r="AQ181" s="1576">
        <f t="shared" si="1995"/>
        <v>0.21896469058918835</v>
      </c>
      <c r="AR181" s="1576">
        <f t="shared" si="1995"/>
        <v>0.2424268825620014</v>
      </c>
      <c r="AS181" s="1576">
        <f t="shared" si="1995"/>
        <v>0.23596063976900089</v>
      </c>
      <c r="AT181" s="1576">
        <f t="shared" si="1995"/>
        <v>0.29946137706339915</v>
      </c>
      <c r="AU181" s="1576">
        <f t="shared" si="1995"/>
        <v>0.37313641931479236</v>
      </c>
      <c r="AV181" s="1576">
        <f t="shared" si="1995"/>
        <v>0.34713308591572878</v>
      </c>
      <c r="AW181" s="1576">
        <f t="shared" si="1995"/>
        <v>0.33800886287606863</v>
      </c>
      <c r="AX181" s="1576">
        <f t="shared" si="1995"/>
        <v>0.34786834531157795</v>
      </c>
      <c r="AY181" s="1576">
        <f t="shared" si="1995"/>
        <v>0.39124137770105871</v>
      </c>
      <c r="AZ181" s="1577">
        <f t="shared" si="1995"/>
        <v>0.34549019500325262</v>
      </c>
      <c r="BA181" s="1576">
        <f t="shared" si="1995"/>
        <v>0.35186424992862797</v>
      </c>
      <c r="BB181" s="1576">
        <f t="shared" si="1995"/>
        <v>0.35455474092645956</v>
      </c>
      <c r="BC181" s="1576">
        <f t="shared" si="1995"/>
        <v>0.39000267703742553</v>
      </c>
      <c r="BD181" s="1576">
        <f t="shared" si="1995"/>
        <v>0.34765756880407495</v>
      </c>
      <c r="BE181" s="1576">
        <f t="shared" si="1995"/>
        <v>0.32932753688136013</v>
      </c>
      <c r="BF181" s="1576">
        <f t="shared" si="1995"/>
        <v>0.3283340766829817</v>
      </c>
      <c r="BG181" s="1576">
        <f t="shared" si="1995"/>
        <v>0.42911297954217364</v>
      </c>
      <c r="BH181" s="1576">
        <f t="shared" si="1995"/>
        <v>0.2233405827704236</v>
      </c>
      <c r="BI181" s="1576">
        <f t="shared" si="1995"/>
        <v>0.25445752528948795</v>
      </c>
      <c r="BJ181" s="1576">
        <f t="shared" si="1995"/>
        <v>0.34135158084661477</v>
      </c>
      <c r="BK181" s="1576">
        <f t="shared" ref="BK181:BV181" si="1996">+BK182+BK183</f>
        <v>0.34397394522435665</v>
      </c>
      <c r="BL181" s="1576">
        <f t="shared" si="1996"/>
        <v>0.34602767363404896</v>
      </c>
      <c r="BM181" s="1576">
        <f t="shared" si="1996"/>
        <v>0.33505652930232416</v>
      </c>
      <c r="BN181" s="1576">
        <f t="shared" si="1996"/>
        <v>0.3141657126392513</v>
      </c>
      <c r="BO181" s="1576">
        <f t="shared" si="1996"/>
        <v>0.32420341440001865</v>
      </c>
      <c r="BP181" s="1576">
        <f t="shared" si="1996"/>
        <v>0.11167174265496918</v>
      </c>
      <c r="BQ181" s="1576">
        <f t="shared" si="1996"/>
        <v>0.40450561802247209</v>
      </c>
      <c r="BR181" s="1576">
        <f>+BR182+BR183</f>
        <v>0.31409327498506767</v>
      </c>
      <c r="BS181" s="1576">
        <f t="shared" si="1996"/>
        <v>0.33521225509878505</v>
      </c>
      <c r="BT181" s="1576">
        <f t="shared" si="1996"/>
        <v>0.13415237154023193</v>
      </c>
      <c r="BU181" s="1576">
        <f>+BU182+BU183</f>
        <v>0.23072383557212495</v>
      </c>
      <c r="BV181" s="1576">
        <f t="shared" si="1996"/>
        <v>0.2105467100133521</v>
      </c>
      <c r="BW181" s="1576">
        <f t="shared" ref="BW181:CD181" si="1997">+BW182+BW183</f>
        <v>-1.5886023723568847</v>
      </c>
      <c r="BX181" s="1576">
        <f t="shared" si="1997"/>
        <v>0.26006298861608634</v>
      </c>
      <c r="BY181" s="1576">
        <f t="shared" si="1997"/>
        <v>-1.8045756178803896</v>
      </c>
      <c r="BZ181" s="1576">
        <f t="shared" si="1997"/>
        <v>0.26549442137849844</v>
      </c>
      <c r="CA181" s="1576">
        <f t="shared" si="1997"/>
        <v>0.40968444480796973</v>
      </c>
      <c r="CB181" s="1576">
        <f t="shared" ref="CB181" si="1998">+CB182+CB183</f>
        <v>-1.4413837526814521</v>
      </c>
      <c r="CC181" s="1576">
        <f t="shared" si="1997"/>
        <v>1.0124773256552877</v>
      </c>
      <c r="CD181" s="1576">
        <f t="shared" si="1997"/>
        <v>0.18687635988689058</v>
      </c>
      <c r="CE181" s="1576">
        <f t="shared" ref="CE181:CH181" si="1999">+CE182+CE183</f>
        <v>0.86046361231120316</v>
      </c>
      <c r="CF181" s="1576">
        <f t="shared" si="1999"/>
        <v>0.29468706795384547</v>
      </c>
      <c r="CG181" s="1576">
        <f t="shared" si="1999"/>
        <v>0.20579275845071965</v>
      </c>
      <c r="CH181" s="1576">
        <f t="shared" si="1999"/>
        <v>0.15734603919420406</v>
      </c>
      <c r="CI181" s="1576">
        <f t="shared" ref="CI181:CL181" si="2000">+CI182+CI183</f>
        <v>0.51568073688363303</v>
      </c>
      <c r="CJ181" s="1576">
        <f t="shared" si="2000"/>
        <v>0.34815353293748641</v>
      </c>
      <c r="CK181" s="1576">
        <f t="shared" si="2000"/>
        <v>-0.47439758660445441</v>
      </c>
      <c r="CL181" s="1576">
        <f t="shared" si="2000"/>
        <v>0.31110825734316916</v>
      </c>
      <c r="CM181" s="1576">
        <f t="shared" ref="CM181:CP181" si="2001">+CM182+CM183</f>
        <v>0.6465339943994366</v>
      </c>
      <c r="CN181" s="1576">
        <f t="shared" si="2001"/>
        <v>0.31482576146727981</v>
      </c>
      <c r="CO181" s="1576">
        <f t="shared" si="2001"/>
        <v>0.25507843766280203</v>
      </c>
      <c r="CP181" s="1576">
        <f t="shared" si="2001"/>
        <v>0.3140008494751263</v>
      </c>
      <c r="CQ181" s="1576"/>
      <c r="CR181" s="1576">
        <v>0.31110825734316916</v>
      </c>
      <c r="CT181" s="1576"/>
      <c r="CU181" s="1576"/>
      <c r="CV181" s="1576"/>
      <c r="CW181" s="1576"/>
      <c r="CX181" s="1576">
        <f t="shared" ref="CX181:DI181" si="2002">+CX182+CX183</f>
        <v>0.37461553500808076</v>
      </c>
      <c r="CY181" s="1576">
        <f t="shared" si="2002"/>
        <v>0.39934060675365035</v>
      </c>
      <c r="CZ181" s="1576">
        <f t="shared" si="2002"/>
        <v>0.38405510703750445</v>
      </c>
      <c r="DA181" s="1576">
        <f t="shared" si="2002"/>
        <v>0.34581311900556688</v>
      </c>
      <c r="DB181" s="1576">
        <f t="shared" si="2002"/>
        <v>0.34618869467463265</v>
      </c>
      <c r="DC181" s="1576">
        <f t="shared" si="2002"/>
        <v>0.35894458595778067</v>
      </c>
      <c r="DD181" s="1576">
        <f t="shared" si="2002"/>
        <v>0.33534094287443206</v>
      </c>
      <c r="DE181" s="1576">
        <f t="shared" si="2002"/>
        <v>0.26569196813648199</v>
      </c>
      <c r="DF181" s="1576">
        <f t="shared" si="2002"/>
        <v>0.3490669397865076</v>
      </c>
      <c r="DG181" s="1576">
        <f t="shared" si="2002"/>
        <v>0.35380844860882354</v>
      </c>
      <c r="DH181" s="1576">
        <f t="shared" si="2002"/>
        <v>0.33629282005550898</v>
      </c>
      <c r="DI181" s="1576">
        <f t="shared" si="2002"/>
        <v>0.30585454648910193</v>
      </c>
      <c r="DJ181" s="1576">
        <f t="shared" ref="DJ181:DL181" si="2003">+DJ182+DJ183</f>
        <v>0.32723532261874</v>
      </c>
      <c r="DK181" s="1576">
        <f t="shared" si="2003"/>
        <v>0.10884532615719807</v>
      </c>
      <c r="DL181" s="1576">
        <f t="shared" si="2003"/>
        <v>2.6717193188773844E-2</v>
      </c>
      <c r="DM181" s="1576">
        <f t="shared" ref="DM181:DR181" si="2004">+DM182+DM183</f>
        <v>0.12579660566699438</v>
      </c>
      <c r="DN181" s="1576">
        <f t="shared" si="2004"/>
        <v>-0.85481978321075047</v>
      </c>
      <c r="DO181" s="1576">
        <f t="shared" si="2004"/>
        <v>0.18008862712579998</v>
      </c>
      <c r="DP181" s="1576">
        <f t="shared" si="2004"/>
        <v>0.30141874077801034</v>
      </c>
      <c r="DQ181" s="1576">
        <f t="shared" ref="DQ181" si="2005">+DQ182+DQ183</f>
        <v>0.29613869777983515</v>
      </c>
      <c r="DR181" s="1576">
        <f t="shared" si="2004"/>
        <v>0.31421175981366933</v>
      </c>
      <c r="DS181" s="1576">
        <f t="shared" ref="DS181:DU181" si="2006">+DS182+DS183</f>
        <v>0.31717921519259779</v>
      </c>
      <c r="DT181" s="1576">
        <f t="shared" si="2006"/>
        <v>0.31845107136020445</v>
      </c>
      <c r="DU181" s="1576">
        <f t="shared" si="2006"/>
        <v>0.31928937163172044</v>
      </c>
      <c r="DX181" s="1576">
        <v>0.3004015378434472</v>
      </c>
      <c r="DY181" s="1576">
        <v>0.31098183358025255</v>
      </c>
    </row>
    <row r="182" spans="1:129" s="904" customFormat="1">
      <c r="A182" s="939"/>
      <c r="B182" s="912" t="s">
        <v>479</v>
      </c>
      <c r="C182" s="918" t="e">
        <f t="shared" ref="C182:AH182" si="2007">C204/C202</f>
        <v>#REF!</v>
      </c>
      <c r="D182" s="918">
        <f t="shared" si="2007"/>
        <v>-0.24317622950819673</v>
      </c>
      <c r="E182" s="918">
        <f t="shared" si="2007"/>
        <v>-7.6878075451066147E-2</v>
      </c>
      <c r="F182" s="918">
        <f t="shared" si="2007"/>
        <v>-0.16795401025072726</v>
      </c>
      <c r="G182" s="918">
        <f t="shared" si="2007"/>
        <v>5.4255538382277181E-2</v>
      </c>
      <c r="H182" s="918">
        <f t="shared" si="2007"/>
        <v>0.18817641029088039</v>
      </c>
      <c r="I182" s="918">
        <f t="shared" si="2007"/>
        <v>-7.7519747235387043E-2</v>
      </c>
      <c r="J182" s="918">
        <f t="shared" si="2007"/>
        <v>0.20580891942924998</v>
      </c>
      <c r="K182" s="918">
        <f t="shared" si="2007"/>
        <v>0.17386328725038402</v>
      </c>
      <c r="L182" s="918">
        <f t="shared" si="2007"/>
        <v>0.2317245685740236</v>
      </c>
      <c r="M182" s="918">
        <f t="shared" si="2007"/>
        <v>-8.507885259068329E-2</v>
      </c>
      <c r="N182" s="918">
        <f t="shared" si="2007"/>
        <v>0.18283043103540286</v>
      </c>
      <c r="O182" s="918">
        <f t="shared" si="2007"/>
        <v>0.2483877955477716</v>
      </c>
      <c r="P182" s="918">
        <f t="shared" si="2007"/>
        <v>0.25760448521916413</v>
      </c>
      <c r="Q182" s="918">
        <f t="shared" si="2007"/>
        <v>0.30017334187000549</v>
      </c>
      <c r="R182" s="918">
        <f t="shared" si="2007"/>
        <v>0.3286311167998695</v>
      </c>
      <c r="S182" s="918">
        <f t="shared" si="2007"/>
        <v>0.25864048338368578</v>
      </c>
      <c r="T182" s="918">
        <f t="shared" si="2007"/>
        <v>0.28969357501730963</v>
      </c>
      <c r="U182" s="918">
        <f t="shared" si="2007"/>
        <v>0.29464452924142781</v>
      </c>
      <c r="V182" s="918">
        <f t="shared" si="2007"/>
        <v>0.42657960400635681</v>
      </c>
      <c r="W182" s="918">
        <f t="shared" si="2007"/>
        <v>0.32858367162832658</v>
      </c>
      <c r="X182" s="918">
        <f t="shared" si="2007"/>
        <v>0.27254798429203869</v>
      </c>
      <c r="Y182" s="918">
        <f t="shared" si="2007"/>
        <v>0.28811300969948284</v>
      </c>
      <c r="Z182" s="918">
        <f t="shared" si="2007"/>
        <v>0.30781984699761189</v>
      </c>
      <c r="AA182" s="918">
        <f t="shared" si="2007"/>
        <v>0.26878405660558752</v>
      </c>
      <c r="AB182" s="918">
        <f t="shared" si="2007"/>
        <v>0.25286164797044647</v>
      </c>
      <c r="AC182" s="918">
        <f t="shared" si="2007"/>
        <v>0.26852059022085062</v>
      </c>
      <c r="AD182" s="918">
        <f t="shared" si="2007"/>
        <v>0.24092129469611659</v>
      </c>
      <c r="AE182" s="918">
        <f t="shared" si="2007"/>
        <v>0.28592577117371709</v>
      </c>
      <c r="AF182" s="918">
        <f t="shared" si="2007"/>
        <v>0.20747977112512347</v>
      </c>
      <c r="AG182" s="918">
        <f t="shared" si="2007"/>
        <v>0.28652333430687904</v>
      </c>
      <c r="AH182" s="918">
        <f t="shared" si="2007"/>
        <v>0.27645294556183503</v>
      </c>
      <c r="AI182" s="918">
        <f t="shared" ref="AI182:AZ182" si="2008">AI204/AI202</f>
        <v>0.29083882360186014</v>
      </c>
      <c r="AJ182" s="918">
        <f t="shared" si="2008"/>
        <v>0.25949366284793501</v>
      </c>
      <c r="AK182" s="918">
        <f t="shared" si="2008"/>
        <v>0.26699862819322856</v>
      </c>
      <c r="AL182" s="918">
        <f t="shared" si="2008"/>
        <v>0.27296956031816905</v>
      </c>
      <c r="AM182" s="918">
        <f t="shared" si="2008"/>
        <v>0.40142898785683534</v>
      </c>
      <c r="AN182" s="918">
        <f t="shared" si="2008"/>
        <v>0.23499438156915209</v>
      </c>
      <c r="AO182" s="918">
        <f t="shared" si="2008"/>
        <v>0.25119996844749037</v>
      </c>
      <c r="AP182" s="918">
        <f t="shared" si="2008"/>
        <v>0.24068322745254231</v>
      </c>
      <c r="AQ182" s="918">
        <f t="shared" si="2008"/>
        <v>0.12896469058918836</v>
      </c>
      <c r="AR182" s="918">
        <f t="shared" si="2008"/>
        <v>0.1524268825620014</v>
      </c>
      <c r="AS182" s="918">
        <f t="shared" si="2008"/>
        <v>0.14596063976900089</v>
      </c>
      <c r="AT182" s="918">
        <f t="shared" si="2008"/>
        <v>0.20946137706339915</v>
      </c>
      <c r="AU182" s="918">
        <f t="shared" si="2008"/>
        <v>0.28313641931479239</v>
      </c>
      <c r="AV182" s="918">
        <f t="shared" si="2008"/>
        <v>0.25713308591572881</v>
      </c>
      <c r="AW182" s="918">
        <f t="shared" si="2008"/>
        <v>0.24800886287606863</v>
      </c>
      <c r="AX182" s="918">
        <f t="shared" si="2008"/>
        <v>0.25786834531157793</v>
      </c>
      <c r="AY182" s="918">
        <f t="shared" si="2008"/>
        <v>0.30124137770105874</v>
      </c>
      <c r="AZ182" s="918">
        <f t="shared" si="2008"/>
        <v>0.25549019500325265</v>
      </c>
      <c r="BA182" s="918">
        <f t="shared" ref="BA182:CD182" si="2009">BA204/BA202</f>
        <v>0.261864249928628</v>
      </c>
      <c r="BB182" s="918">
        <f t="shared" si="2009"/>
        <v>0.26455474092645959</v>
      </c>
      <c r="BC182" s="918">
        <f t="shared" si="2009"/>
        <v>0.30000267703742556</v>
      </c>
      <c r="BD182" s="918">
        <f t="shared" si="2009"/>
        <v>0.25765756880407492</v>
      </c>
      <c r="BE182" s="918">
        <f t="shared" si="2009"/>
        <v>0.23932753688136013</v>
      </c>
      <c r="BF182" s="918">
        <f t="shared" si="2009"/>
        <v>0.2383340766829817</v>
      </c>
      <c r="BG182" s="918">
        <f t="shared" si="2009"/>
        <v>0.33911297954217368</v>
      </c>
      <c r="BH182" s="918">
        <f t="shared" si="2009"/>
        <v>0.1333405827704236</v>
      </c>
      <c r="BI182" s="918">
        <f t="shared" si="2009"/>
        <v>0.16445752528948793</v>
      </c>
      <c r="BJ182" s="918">
        <f t="shared" si="2009"/>
        <v>0.2513515808466148</v>
      </c>
      <c r="BK182" s="918">
        <f t="shared" si="2009"/>
        <v>0.25397394522435668</v>
      </c>
      <c r="BL182" s="918">
        <f t="shared" si="2009"/>
        <v>0.25602767363404899</v>
      </c>
      <c r="BM182" s="918">
        <f t="shared" si="2009"/>
        <v>0.24505652930232416</v>
      </c>
      <c r="BN182" s="918">
        <f t="shared" si="2009"/>
        <v>0.22416571263925131</v>
      </c>
      <c r="BO182" s="918">
        <f t="shared" si="2009"/>
        <v>0.23420341440001866</v>
      </c>
      <c r="BP182" s="918">
        <f t="shared" si="2009"/>
        <v>2.1671742654969177E-2</v>
      </c>
      <c r="BQ182" s="918">
        <f t="shared" si="2009"/>
        <v>0.31450561802247207</v>
      </c>
      <c r="BR182" s="918">
        <f t="shared" si="2009"/>
        <v>0.22409327498506765</v>
      </c>
      <c r="BS182" s="918">
        <f t="shared" si="2009"/>
        <v>0.24521225509878505</v>
      </c>
      <c r="BT182" s="918">
        <f t="shared" si="2009"/>
        <v>4.4152371540231945E-2</v>
      </c>
      <c r="BU182" s="918">
        <f t="shared" si="2009"/>
        <v>0.14072383557212495</v>
      </c>
      <c r="BV182" s="918">
        <f t="shared" si="2009"/>
        <v>0.1205467100133521</v>
      </c>
      <c r="BW182" s="918">
        <f t="shared" si="2009"/>
        <v>-1.6786023723568848</v>
      </c>
      <c r="BX182" s="918">
        <f t="shared" si="2009"/>
        <v>0.17006298861608637</v>
      </c>
      <c r="BY182" s="918">
        <f t="shared" si="2009"/>
        <v>-1.8945756178803896</v>
      </c>
      <c r="BZ182" s="918">
        <f t="shared" si="2009"/>
        <v>0.17549442137849847</v>
      </c>
      <c r="CA182" s="918">
        <f t="shared" si="2009"/>
        <v>0.3196844448079697</v>
      </c>
      <c r="CB182" s="918">
        <f t="shared" ref="CB182" si="2010">CB204/CB202</f>
        <v>-1.5313837526814522</v>
      </c>
      <c r="CC182" s="918">
        <f t="shared" si="2009"/>
        <v>0.92247732565528762</v>
      </c>
      <c r="CD182" s="918">
        <f t="shared" si="2009"/>
        <v>9.6876359886890584E-2</v>
      </c>
      <c r="CE182" s="918">
        <f t="shared" ref="CE182:CH182" si="2011">CE204/CE202</f>
        <v>0.77046361231120319</v>
      </c>
      <c r="CF182" s="918">
        <f t="shared" si="2011"/>
        <v>0.2046870679538455</v>
      </c>
      <c r="CG182" s="918">
        <f t="shared" si="2011"/>
        <v>0.11579275845071967</v>
      </c>
      <c r="CH182" s="918">
        <f t="shared" si="2011"/>
        <v>6.7346039194204066E-2</v>
      </c>
      <c r="CI182" s="918">
        <f t="shared" ref="CI182:CL182" si="2012">CI204/CI202</f>
        <v>0.425680736883633</v>
      </c>
      <c r="CJ182" s="918">
        <f t="shared" si="2012"/>
        <v>0.25815353293748644</v>
      </c>
      <c r="CK182" s="918">
        <f t="shared" si="2012"/>
        <v>-0.56439758660445438</v>
      </c>
      <c r="CL182" s="918">
        <f t="shared" si="2012"/>
        <v>0.22110825734316916</v>
      </c>
      <c r="CM182" s="918">
        <f t="shared" ref="CM182:CP182" si="2013">CM204/CM202</f>
        <v>0.55653399439943663</v>
      </c>
      <c r="CN182" s="918">
        <f t="shared" si="2013"/>
        <v>0.22482576146727981</v>
      </c>
      <c r="CO182" s="918">
        <f t="shared" si="2013"/>
        <v>0.16507843766280206</v>
      </c>
      <c r="CP182" s="918">
        <f t="shared" si="2013"/>
        <v>0.22400084947512627</v>
      </c>
      <c r="CQ182" s="979"/>
      <c r="CR182" s="979">
        <v>0.22110825734316916</v>
      </c>
      <c r="CT182" s="979"/>
      <c r="CU182" s="979"/>
      <c r="CV182" s="979"/>
      <c r="CW182" s="979"/>
      <c r="CX182" s="918">
        <f t="shared" ref="CX182:DI182" si="2014">CX204/CX202</f>
        <v>0.28461553500808079</v>
      </c>
      <c r="CY182" s="918">
        <f t="shared" si="2014"/>
        <v>0.30934060675365038</v>
      </c>
      <c r="CZ182" s="918">
        <f t="shared" si="2014"/>
        <v>0.29405510703750448</v>
      </c>
      <c r="DA182" s="918">
        <f t="shared" si="2014"/>
        <v>0.25581311900556691</v>
      </c>
      <c r="DB182" s="918">
        <f t="shared" si="2014"/>
        <v>0.25618869467463268</v>
      </c>
      <c r="DC182" s="918">
        <f t="shared" si="2014"/>
        <v>0.26894458595778065</v>
      </c>
      <c r="DD182" s="918">
        <f t="shared" si="2014"/>
        <v>0.24534094287443203</v>
      </c>
      <c r="DE182" s="918">
        <f t="shared" si="2014"/>
        <v>0.17569196813648202</v>
      </c>
      <c r="DF182" s="918">
        <f t="shared" si="2014"/>
        <v>0.25906693978650763</v>
      </c>
      <c r="DG182" s="918">
        <f t="shared" si="2014"/>
        <v>0.26380844860882358</v>
      </c>
      <c r="DH182" s="918">
        <f t="shared" si="2014"/>
        <v>0.24629282005550898</v>
      </c>
      <c r="DI182" s="918">
        <f t="shared" si="2014"/>
        <v>0.21585454648910191</v>
      </c>
      <c r="DJ182" s="918">
        <f t="shared" ref="DJ182:DR182" si="2015">DJ204/DJ202</f>
        <v>0.23723532261873997</v>
      </c>
      <c r="DK182" s="918">
        <f t="shared" si="2015"/>
        <v>1.8845326157198066E-2</v>
      </c>
      <c r="DL182" s="918">
        <f t="shared" si="2015"/>
        <v>-6.3282806811226153E-2</v>
      </c>
      <c r="DM182" s="918">
        <f t="shared" si="2015"/>
        <v>3.5796605666994392E-2</v>
      </c>
      <c r="DN182" s="918">
        <f t="shared" si="2015"/>
        <v>-0.94481978321075044</v>
      </c>
      <c r="DO182" s="918">
        <f t="shared" ref="DO182:DP182" si="2016">DO204/DO202</f>
        <v>9.0088627125799972E-2</v>
      </c>
      <c r="DP182" s="918">
        <f t="shared" si="2016"/>
        <v>0.21141874077801032</v>
      </c>
      <c r="DQ182" s="918">
        <f t="shared" ref="DQ182" si="2017">DQ204/DQ202</f>
        <v>0.20613869777983512</v>
      </c>
      <c r="DR182" s="918">
        <f t="shared" si="2015"/>
        <v>0.22421175981366934</v>
      </c>
      <c r="DS182" s="918">
        <f t="shared" ref="DS182:DU182" si="2018">DS204/DS202</f>
        <v>0.22717921519259779</v>
      </c>
      <c r="DT182" s="918">
        <f t="shared" si="2018"/>
        <v>0.22845107136020443</v>
      </c>
      <c r="DU182" s="918">
        <f t="shared" si="2018"/>
        <v>0.22928937163172042</v>
      </c>
      <c r="DX182" s="918">
        <v>0.2104015378434472</v>
      </c>
      <c r="DY182" s="918">
        <v>0.22098183358025256</v>
      </c>
    </row>
    <row r="183" spans="1:129" s="904" customFormat="1">
      <c r="A183" s="939"/>
      <c r="B183" s="912" t="s">
        <v>480</v>
      </c>
      <c r="C183" s="918">
        <v>0.09</v>
      </c>
      <c r="D183" s="918">
        <v>0.09</v>
      </c>
      <c r="E183" s="918">
        <v>0.09</v>
      </c>
      <c r="F183" s="918">
        <v>0.09</v>
      </c>
      <c r="G183" s="918">
        <v>0.09</v>
      </c>
      <c r="H183" s="918">
        <v>0.09</v>
      </c>
      <c r="I183" s="918">
        <v>0.09</v>
      </c>
      <c r="J183" s="918">
        <v>0.09</v>
      </c>
      <c r="K183" s="918">
        <v>0.09</v>
      </c>
      <c r="L183" s="918">
        <v>0.09</v>
      </c>
      <c r="M183" s="918">
        <v>0.09</v>
      </c>
      <c r="N183" s="918">
        <v>0.09</v>
      </c>
      <c r="O183" s="918">
        <v>0.09</v>
      </c>
      <c r="P183" s="918">
        <v>0.09</v>
      </c>
      <c r="Q183" s="918">
        <v>0.09</v>
      </c>
      <c r="R183" s="918">
        <v>0.09</v>
      </c>
      <c r="S183" s="918">
        <v>0.09</v>
      </c>
      <c r="T183" s="918">
        <v>0.09</v>
      </c>
      <c r="U183" s="984">
        <v>0.09</v>
      </c>
      <c r="V183" s="984">
        <v>0.09</v>
      </c>
      <c r="W183" s="984">
        <v>0.09</v>
      </c>
      <c r="X183" s="984">
        <v>0.09</v>
      </c>
      <c r="Y183" s="984">
        <v>0.09</v>
      </c>
      <c r="Z183" s="984">
        <v>0.09</v>
      </c>
      <c r="AA183" s="984">
        <v>0.09</v>
      </c>
      <c r="AB183" s="984">
        <v>0.09</v>
      </c>
      <c r="AC183" s="984">
        <v>0.09</v>
      </c>
      <c r="AD183" s="984">
        <v>0.09</v>
      </c>
      <c r="AE183" s="984">
        <v>0.09</v>
      </c>
      <c r="AF183" s="984">
        <v>0.09</v>
      </c>
      <c r="AG183" s="984">
        <v>0.09</v>
      </c>
      <c r="AH183" s="984">
        <v>0.09</v>
      </c>
      <c r="AI183" s="984">
        <v>0.09</v>
      </c>
      <c r="AJ183" s="984">
        <v>0.09</v>
      </c>
      <c r="AK183" s="984">
        <v>0.09</v>
      </c>
      <c r="AL183" s="984">
        <v>0.09</v>
      </c>
      <c r="AM183" s="984">
        <v>0.09</v>
      </c>
      <c r="AN183" s="984">
        <v>0.09</v>
      </c>
      <c r="AO183" s="984">
        <v>0.09</v>
      </c>
      <c r="AP183" s="984">
        <v>0.09</v>
      </c>
      <c r="AQ183" s="984">
        <v>0.09</v>
      </c>
      <c r="AR183" s="984">
        <v>0.09</v>
      </c>
      <c r="AS183" s="984">
        <v>0.09</v>
      </c>
      <c r="AT183" s="984">
        <v>0.09</v>
      </c>
      <c r="AU183" s="979">
        <f t="shared" ref="AU183:AZ183" si="2019">+AT183</f>
        <v>0.09</v>
      </c>
      <c r="AV183" s="979">
        <f t="shared" si="2019"/>
        <v>0.09</v>
      </c>
      <c r="AW183" s="979">
        <f t="shared" si="2019"/>
        <v>0.09</v>
      </c>
      <c r="AX183" s="979">
        <f t="shared" si="2019"/>
        <v>0.09</v>
      </c>
      <c r="AY183" s="979">
        <f t="shared" si="2019"/>
        <v>0.09</v>
      </c>
      <c r="AZ183" s="985">
        <f t="shared" si="2019"/>
        <v>0.09</v>
      </c>
      <c r="BA183" s="985">
        <f t="shared" ref="BA183:CD183" si="2020">+AZ183</f>
        <v>0.09</v>
      </c>
      <c r="BB183" s="985">
        <f t="shared" si="2020"/>
        <v>0.09</v>
      </c>
      <c r="BC183" s="985">
        <f t="shared" si="2020"/>
        <v>0.09</v>
      </c>
      <c r="BD183" s="985">
        <f t="shared" si="2020"/>
        <v>0.09</v>
      </c>
      <c r="BE183" s="985">
        <f t="shared" si="2020"/>
        <v>0.09</v>
      </c>
      <c r="BF183" s="985">
        <f t="shared" si="2020"/>
        <v>0.09</v>
      </c>
      <c r="BG183" s="985">
        <f t="shared" si="2020"/>
        <v>0.09</v>
      </c>
      <c r="BH183" s="985">
        <f t="shared" si="2020"/>
        <v>0.09</v>
      </c>
      <c r="BI183" s="985">
        <f t="shared" si="2020"/>
        <v>0.09</v>
      </c>
      <c r="BJ183" s="985">
        <f t="shared" si="2020"/>
        <v>0.09</v>
      </c>
      <c r="BK183" s="985">
        <f t="shared" si="2020"/>
        <v>0.09</v>
      </c>
      <c r="BL183" s="985">
        <f t="shared" si="2020"/>
        <v>0.09</v>
      </c>
      <c r="BM183" s="985">
        <f t="shared" si="2020"/>
        <v>0.09</v>
      </c>
      <c r="BN183" s="985">
        <f t="shared" si="2020"/>
        <v>0.09</v>
      </c>
      <c r="BO183" s="985">
        <f t="shared" si="2020"/>
        <v>0.09</v>
      </c>
      <c r="BP183" s="985">
        <f t="shared" si="2020"/>
        <v>0.09</v>
      </c>
      <c r="BQ183" s="985">
        <f t="shared" si="2020"/>
        <v>0.09</v>
      </c>
      <c r="BR183" s="985">
        <f t="shared" si="2020"/>
        <v>0.09</v>
      </c>
      <c r="BS183" s="985">
        <f t="shared" si="2020"/>
        <v>0.09</v>
      </c>
      <c r="BT183" s="985">
        <f t="shared" si="2020"/>
        <v>0.09</v>
      </c>
      <c r="BU183" s="985">
        <f t="shared" si="2020"/>
        <v>0.09</v>
      </c>
      <c r="BV183" s="985">
        <f t="shared" si="2020"/>
        <v>0.09</v>
      </c>
      <c r="BW183" s="985">
        <f t="shared" si="2020"/>
        <v>0.09</v>
      </c>
      <c r="BX183" s="985">
        <f t="shared" si="2020"/>
        <v>0.09</v>
      </c>
      <c r="BY183" s="985">
        <f t="shared" si="2020"/>
        <v>0.09</v>
      </c>
      <c r="BZ183" s="979">
        <f t="shared" si="2020"/>
        <v>0.09</v>
      </c>
      <c r="CA183" s="979">
        <f t="shared" si="2020"/>
        <v>0.09</v>
      </c>
      <c r="CB183" s="979">
        <f t="shared" si="2020"/>
        <v>0.09</v>
      </c>
      <c r="CC183" s="979">
        <f t="shared" si="2020"/>
        <v>0.09</v>
      </c>
      <c r="CD183" s="979">
        <f t="shared" si="2020"/>
        <v>0.09</v>
      </c>
      <c r="CE183" s="979">
        <f t="shared" ref="CE183" si="2021">+CD183</f>
        <v>0.09</v>
      </c>
      <c r="CF183" s="979">
        <f t="shared" ref="CF183" si="2022">+CE183</f>
        <v>0.09</v>
      </c>
      <c r="CG183" s="979">
        <f t="shared" ref="CG183:CH183" si="2023">+CF183</f>
        <v>0.09</v>
      </c>
      <c r="CH183" s="979">
        <f t="shared" si="2023"/>
        <v>0.09</v>
      </c>
      <c r="CI183" s="979">
        <f t="shared" ref="CI183" si="2024">+CH183</f>
        <v>0.09</v>
      </c>
      <c r="CJ183" s="979">
        <f t="shared" ref="CJ183" si="2025">+CI183</f>
        <v>0.09</v>
      </c>
      <c r="CK183" s="979">
        <f t="shared" ref="CK183" si="2026">+CJ183</f>
        <v>0.09</v>
      </c>
      <c r="CL183" s="979">
        <f t="shared" ref="CL183" si="2027">+CK183</f>
        <v>0.09</v>
      </c>
      <c r="CM183" s="979">
        <f t="shared" ref="CM183" si="2028">+CL183</f>
        <v>0.09</v>
      </c>
      <c r="CN183" s="979">
        <f t="shared" ref="CN183" si="2029">+CM183</f>
        <v>0.09</v>
      </c>
      <c r="CO183" s="979">
        <f t="shared" ref="CO183" si="2030">+CN183</f>
        <v>0.09</v>
      </c>
      <c r="CP183" s="979">
        <f t="shared" ref="CP183" si="2031">+CO183</f>
        <v>0.09</v>
      </c>
      <c r="CQ183" s="979"/>
      <c r="CR183" s="979">
        <v>0.09</v>
      </c>
      <c r="CT183" s="979"/>
      <c r="CU183" s="979"/>
      <c r="CV183" s="979"/>
      <c r="CW183" s="979"/>
      <c r="CX183" s="978">
        <v>0.09</v>
      </c>
      <c r="CY183" s="978">
        <v>0.09</v>
      </c>
      <c r="CZ183" s="978">
        <v>0.09</v>
      </c>
      <c r="DA183" s="978">
        <v>0.09</v>
      </c>
      <c r="DB183" s="978">
        <v>0.09</v>
      </c>
      <c r="DC183" s="978">
        <v>0.09</v>
      </c>
      <c r="DD183" s="978">
        <v>0.09</v>
      </c>
      <c r="DE183" s="979">
        <f t="shared" ref="DE183:DR183" si="2032">+DD183</f>
        <v>0.09</v>
      </c>
      <c r="DF183" s="979">
        <f t="shared" si="2032"/>
        <v>0.09</v>
      </c>
      <c r="DG183" s="979">
        <f t="shared" si="2032"/>
        <v>0.09</v>
      </c>
      <c r="DH183" s="979">
        <f t="shared" si="2032"/>
        <v>0.09</v>
      </c>
      <c r="DI183" s="979">
        <f t="shared" si="2032"/>
        <v>0.09</v>
      </c>
      <c r="DJ183" s="979">
        <f t="shared" si="2032"/>
        <v>0.09</v>
      </c>
      <c r="DK183" s="979">
        <f t="shared" si="2032"/>
        <v>0.09</v>
      </c>
      <c r="DL183" s="979">
        <f t="shared" si="2032"/>
        <v>0.09</v>
      </c>
      <c r="DM183" s="979">
        <f t="shared" si="2032"/>
        <v>0.09</v>
      </c>
      <c r="DN183" s="979">
        <f t="shared" si="2032"/>
        <v>0.09</v>
      </c>
      <c r="DO183" s="979">
        <f t="shared" si="2032"/>
        <v>0.09</v>
      </c>
      <c r="DP183" s="979">
        <f t="shared" si="2032"/>
        <v>0.09</v>
      </c>
      <c r="DQ183" s="979">
        <f t="shared" si="2032"/>
        <v>0.09</v>
      </c>
      <c r="DR183" s="979">
        <f t="shared" si="2032"/>
        <v>0.09</v>
      </c>
      <c r="DS183" s="979">
        <f t="shared" ref="DS183" si="2033">+DR183</f>
        <v>0.09</v>
      </c>
      <c r="DT183" s="979">
        <f t="shared" ref="DT183" si="2034">+DS183</f>
        <v>0.09</v>
      </c>
      <c r="DU183" s="979">
        <f t="shared" ref="DU183" si="2035">+DT183</f>
        <v>0.09</v>
      </c>
      <c r="DX183" s="979">
        <v>0.09</v>
      </c>
      <c r="DY183" s="979">
        <v>0.09</v>
      </c>
    </row>
    <row r="184" spans="1:129" s="904" customFormat="1">
      <c r="A184" s="939"/>
      <c r="B184" s="913"/>
      <c r="C184" s="918"/>
      <c r="D184" s="918"/>
      <c r="E184" s="918"/>
      <c r="F184" s="918"/>
      <c r="G184" s="979"/>
      <c r="H184" s="979"/>
      <c r="I184" s="979"/>
      <c r="J184" s="987"/>
      <c r="K184" s="979"/>
      <c r="L184" s="979"/>
      <c r="M184" s="979"/>
      <c r="N184" s="979"/>
      <c r="O184" s="979"/>
      <c r="P184" s="979"/>
      <c r="Q184" s="979"/>
      <c r="R184" s="979"/>
      <c r="S184" s="979"/>
      <c r="T184" s="979"/>
      <c r="U184" s="979"/>
      <c r="V184" s="979"/>
      <c r="W184" s="979"/>
      <c r="X184" s="979"/>
      <c r="Y184" s="979"/>
      <c r="Z184" s="979"/>
      <c r="AA184" s="979"/>
      <c r="AB184" s="979"/>
      <c r="AC184" s="979"/>
      <c r="AD184" s="979"/>
      <c r="AE184" s="988"/>
      <c r="AF184" s="988"/>
      <c r="AG184" s="988"/>
      <c r="AH184" s="988"/>
      <c r="AI184" s="989"/>
      <c r="AJ184" s="989"/>
      <c r="AK184" s="989"/>
      <c r="AL184" s="989"/>
      <c r="AM184" s="989"/>
      <c r="AN184" s="989"/>
      <c r="AO184" s="989"/>
      <c r="AP184" s="989"/>
      <c r="AQ184" s="989"/>
      <c r="AR184" s="989"/>
      <c r="AS184" s="989"/>
      <c r="AT184" s="989"/>
      <c r="AU184" s="989"/>
      <c r="AV184" s="989"/>
      <c r="AW184" s="989"/>
      <c r="AX184" s="989"/>
      <c r="AY184" s="989"/>
      <c r="AZ184" s="990"/>
      <c r="BA184" s="989"/>
      <c r="BB184" s="989"/>
      <c r="BC184" s="989"/>
      <c r="BD184" s="989"/>
      <c r="BE184" s="989"/>
      <c r="BF184" s="989"/>
      <c r="BG184" s="989"/>
      <c r="BH184" s="989"/>
      <c r="BI184" s="989"/>
      <c r="BJ184" s="989"/>
      <c r="BK184" s="989"/>
      <c r="BL184" s="989"/>
      <c r="BM184" s="989"/>
      <c r="BN184" s="989"/>
      <c r="BO184" s="989"/>
      <c r="BP184" s="989"/>
      <c r="BQ184" s="989"/>
      <c r="BR184" s="989"/>
      <c r="BS184" s="989"/>
      <c r="BT184" s="989"/>
      <c r="BU184" s="989"/>
      <c r="BV184" s="989"/>
      <c r="BW184" s="989"/>
      <c r="BX184" s="989"/>
      <c r="BY184" s="989"/>
      <c r="BZ184" s="989"/>
      <c r="CA184" s="989"/>
      <c r="CB184" s="989"/>
      <c r="CC184" s="989"/>
      <c r="CD184" s="989"/>
      <c r="CE184" s="989"/>
      <c r="CF184" s="989"/>
      <c r="CG184" s="989"/>
      <c r="CH184" s="989"/>
      <c r="CI184" s="989"/>
      <c r="CJ184" s="989"/>
      <c r="CK184" s="989"/>
      <c r="CL184" s="989"/>
      <c r="CM184" s="989"/>
      <c r="CN184" s="989"/>
      <c r="CO184" s="989"/>
      <c r="CP184" s="989"/>
      <c r="CQ184" s="989"/>
      <c r="CR184" s="989"/>
      <c r="CT184" s="989"/>
      <c r="CU184" s="989"/>
      <c r="CV184" s="989"/>
      <c r="CW184" s="989"/>
      <c r="CX184" s="979"/>
      <c r="CY184" s="979"/>
      <c r="CZ184" s="979"/>
      <c r="DA184" s="979"/>
      <c r="DB184" s="979"/>
      <c r="DC184" s="979"/>
      <c r="DD184" s="979"/>
      <c r="DE184" s="979"/>
      <c r="DF184" s="979"/>
      <c r="DG184" s="979"/>
      <c r="DH184" s="979"/>
      <c r="DI184" s="979"/>
      <c r="DJ184" s="979"/>
      <c r="DK184" s="979"/>
      <c r="DL184" s="979"/>
      <c r="DM184" s="979"/>
      <c r="DN184" s="979"/>
      <c r="DO184" s="979"/>
      <c r="DP184" s="979"/>
      <c r="DQ184" s="979"/>
      <c r="DR184" s="979"/>
      <c r="DS184" s="979"/>
      <c r="DT184" s="979"/>
      <c r="DU184" s="979"/>
      <c r="DX184" s="979"/>
      <c r="DY184" s="979"/>
    </row>
    <row r="185" spans="1:129" s="924" customFormat="1">
      <c r="A185" s="991"/>
      <c r="B185" s="992" t="s">
        <v>161</v>
      </c>
      <c r="C185" s="991"/>
      <c r="D185" s="991"/>
      <c r="E185" s="991"/>
      <c r="F185" s="991"/>
      <c r="G185" s="991"/>
      <c r="H185" s="991"/>
      <c r="I185" s="991"/>
      <c r="J185" s="993">
        <f>(0.184*121582+0.066*121582)</f>
        <v>30395.5</v>
      </c>
      <c r="K185" s="991"/>
      <c r="L185" s="991"/>
      <c r="M185" s="993">
        <f>0.17892*121582</f>
        <v>21753.451440000001</v>
      </c>
      <c r="N185" s="993">
        <f>0.1563*121582</f>
        <v>19003.266599999999</v>
      </c>
      <c r="O185" s="991"/>
      <c r="P185" s="991"/>
      <c r="Q185" s="991"/>
      <c r="R185" s="993">
        <v>34675.186399999999</v>
      </c>
      <c r="S185" s="991"/>
      <c r="T185" s="991"/>
      <c r="U185" s="991"/>
      <c r="V185" s="991">
        <v>36425.967199999999</v>
      </c>
      <c r="W185" s="991"/>
      <c r="X185" s="991"/>
      <c r="Y185" s="991"/>
      <c r="Z185" s="991">
        <v>44584.119400000003</v>
      </c>
      <c r="AA185" s="991"/>
      <c r="AB185" s="991"/>
      <c r="AC185" s="991"/>
      <c r="AD185" s="991">
        <v>70233</v>
      </c>
      <c r="AE185" s="991">
        <v>18963.562400000003</v>
      </c>
      <c r="AF185" s="991">
        <v>20653.052648372683</v>
      </c>
      <c r="AG185" s="991">
        <v>20927.381620931716</v>
      </c>
      <c r="AH185" s="991">
        <v>21593.609125717932</v>
      </c>
      <c r="AI185" s="991">
        <v>20302.322039999999</v>
      </c>
      <c r="AJ185" s="991">
        <v>20672.86089</v>
      </c>
      <c r="AK185" s="991">
        <v>20023.939859999999</v>
      </c>
      <c r="AL185" s="991">
        <v>20401.141680000001</v>
      </c>
      <c r="AM185" s="991">
        <v>14526.372261221015</v>
      </c>
      <c r="AN185" s="991">
        <v>14931.334077855774</v>
      </c>
      <c r="AO185" s="991">
        <v>15427.738885343542</v>
      </c>
      <c r="AP185" s="991">
        <v>15043.17741885</v>
      </c>
      <c r="AQ185" s="991">
        <v>17360.901883499999</v>
      </c>
      <c r="AR185" s="991">
        <v>17776.354938</v>
      </c>
      <c r="AS185" s="991">
        <v>18229.576452000001</v>
      </c>
      <c r="AT185" s="991">
        <v>18418.418749500004</v>
      </c>
      <c r="AU185" s="994">
        <v>23797.30474</v>
      </c>
      <c r="AV185" s="994">
        <v>26667.333259999999</v>
      </c>
      <c r="AW185" s="994">
        <v>29833.2526599999</v>
      </c>
      <c r="AX185" s="994">
        <v>32664.82547</v>
      </c>
      <c r="AY185" s="994">
        <v>40700.440340000001</v>
      </c>
      <c r="AZ185" s="995">
        <v>41170.544199999997</v>
      </c>
      <c r="BA185" s="995">
        <v>44835.704619999997</v>
      </c>
      <c r="BB185" s="995">
        <v>46649.171750000001</v>
      </c>
      <c r="BC185" s="994">
        <v>48009.905729999999</v>
      </c>
      <c r="BD185" s="995">
        <v>45944.600100000003</v>
      </c>
      <c r="BE185" s="995">
        <v>50094.316429999999</v>
      </c>
      <c r="BF185" s="995">
        <v>52881.935089999999</v>
      </c>
      <c r="BG185" s="994">
        <v>51931.056689999998</v>
      </c>
      <c r="BH185" s="994">
        <v>52337.623979999997</v>
      </c>
      <c r="BI185" s="994">
        <v>57044.94051</v>
      </c>
      <c r="BJ185" s="994">
        <v>64358.932500000003</v>
      </c>
      <c r="BK185" s="994">
        <v>66767.95607</v>
      </c>
      <c r="BL185" s="994">
        <v>61497.33971</v>
      </c>
      <c r="BM185" s="994">
        <v>62352.997280000003</v>
      </c>
      <c r="BN185" s="994">
        <v>61337.59276</v>
      </c>
      <c r="BO185" s="994">
        <v>58350.668869999994</v>
      </c>
      <c r="BP185" s="994">
        <v>55900</v>
      </c>
      <c r="BQ185" s="994">
        <v>66000</v>
      </c>
      <c r="BR185" s="994">
        <v>60475.857909999999</v>
      </c>
      <c r="BS185" s="994">
        <v>58302.271999999997</v>
      </c>
      <c r="BT185" s="994">
        <v>88056.542960000006</v>
      </c>
      <c r="BU185" s="994">
        <v>114471.9</v>
      </c>
      <c r="BV185" s="994">
        <v>127000</v>
      </c>
      <c r="BW185" s="994">
        <v>141437</v>
      </c>
      <c r="BX185" s="994">
        <v>159008.85693000001</v>
      </c>
      <c r="BY185" s="994">
        <v>169280.28865</v>
      </c>
      <c r="BZ185" s="994">
        <f>+BZ213/0.34</f>
        <v>178600</v>
      </c>
      <c r="CA185" s="994">
        <v>174230.45462999999</v>
      </c>
      <c r="CB185" s="994">
        <v>172175.47654</v>
      </c>
      <c r="CC185" s="994">
        <v>171712.61402000001</v>
      </c>
      <c r="CD185" s="994">
        <v>163927.62891999999</v>
      </c>
      <c r="CE185" s="994">
        <v>143695.29027999999</v>
      </c>
      <c r="CF185" s="994">
        <v>149077.29034000001</v>
      </c>
      <c r="CG185" s="994">
        <v>161354.82858</v>
      </c>
      <c r="CH185" s="994">
        <v>179447.05903999999</v>
      </c>
      <c r="CI185" s="994">
        <v>189579.72544000001</v>
      </c>
      <c r="CJ185" s="994">
        <v>203131.95053</v>
      </c>
      <c r="CK185" s="994">
        <v>217869.57186000003</v>
      </c>
      <c r="CL185" s="996">
        <v>195980.12064944225</v>
      </c>
      <c r="CM185" s="996">
        <v>195980.12064944225</v>
      </c>
      <c r="CN185" s="996">
        <v>195980.12064944225</v>
      </c>
      <c r="CO185" s="996">
        <v>195980.12064944225</v>
      </c>
      <c r="CP185" s="996">
        <v>195980.12064944225</v>
      </c>
      <c r="CQ185" s="996"/>
      <c r="CR185" s="996">
        <v>195980.12064944225</v>
      </c>
      <c r="CT185" s="997"/>
      <c r="CU185" s="997"/>
      <c r="CV185" s="997"/>
      <c r="CW185" s="997"/>
      <c r="CX185" s="922">
        <f>+SUM(O185:R185)</f>
        <v>34675.186399999999</v>
      </c>
      <c r="CY185" s="993">
        <f>SUM(S185:V185)</f>
        <v>36425.967199999999</v>
      </c>
      <c r="CZ185" s="993">
        <f>SUM(W185:Z185)</f>
        <v>44584.119400000003</v>
      </c>
      <c r="DA185" s="993">
        <f>SUM(AA185:AD185)</f>
        <v>70233</v>
      </c>
      <c r="DB185" s="993">
        <f>+SUM(AE185:AH185)</f>
        <v>82137.605795022333</v>
      </c>
      <c r="DC185" s="923">
        <f>+SUM(AI185:AL185)</f>
        <v>81400.264469999995</v>
      </c>
      <c r="DD185" s="923">
        <f>+SUM(AM185:AP185)</f>
        <v>59928.622643270326</v>
      </c>
      <c r="DE185" s="923">
        <f>+SUM(AQ185:AT185)</f>
        <v>71785.252023000008</v>
      </c>
      <c r="DF185" s="993">
        <f>+SUM(AU185:AX185)</f>
        <v>112962.7161299999</v>
      </c>
      <c r="DG185" s="993">
        <f>+SUM(AY185:BB185)</f>
        <v>173355.86091000002</v>
      </c>
      <c r="DH185" s="993">
        <f>+SUM(BC185:BF185)</f>
        <v>196930.75735000003</v>
      </c>
      <c r="DI185" s="993">
        <f>+SUM(BG185:BJ185)</f>
        <v>225672.55368000001</v>
      </c>
      <c r="DJ185" s="993">
        <f>+SUM(BK185:BN185)</f>
        <v>251955.88582</v>
      </c>
      <c r="DK185" s="993">
        <f>+SUM(BO185:BR185)</f>
        <v>240726.52677999999</v>
      </c>
      <c r="DL185" s="993">
        <f>+SUM(BS185:BV185)</f>
        <v>387830.71496000001</v>
      </c>
      <c r="DM185" s="993">
        <f>+SUM(BW185:BZ185)</f>
        <v>648326.14558000001</v>
      </c>
      <c r="DN185" s="993">
        <f>+SUM(CA185:CD185)</f>
        <v>682046.17411000002</v>
      </c>
      <c r="DO185" s="993">
        <f>+SUM(CE185:CH185)</f>
        <v>633574.46823999996</v>
      </c>
      <c r="DP185" s="993">
        <f>+SUM(CI185:CL185)</f>
        <v>806561.36847944232</v>
      </c>
      <c r="DQ185" s="993">
        <f>+SUM(CM185:CP185)</f>
        <v>783920.48259776901</v>
      </c>
      <c r="DR185" s="998">
        <v>806181.66477265593</v>
      </c>
      <c r="DS185" s="998">
        <v>871862.73891308962</v>
      </c>
      <c r="DT185" s="998">
        <v>944784.86776817031</v>
      </c>
      <c r="DU185" s="998">
        <v>1026051.6041419248</v>
      </c>
      <c r="DX185" s="998">
        <v>746921.72884665674</v>
      </c>
      <c r="DY185" s="998">
        <v>806181.66477265593</v>
      </c>
    </row>
    <row r="186" spans="1:129" s="904" customFormat="1">
      <c r="A186" s="939"/>
      <c r="B186" s="912"/>
      <c r="C186" s="918"/>
      <c r="D186" s="918"/>
      <c r="E186" s="918"/>
      <c r="F186" s="918"/>
      <c r="G186" s="918"/>
      <c r="H186" s="918"/>
      <c r="I186" s="918"/>
      <c r="J186" s="918"/>
      <c r="K186" s="918"/>
      <c r="L186" s="918"/>
      <c r="M186" s="918"/>
      <c r="N186" s="918"/>
      <c r="O186" s="918"/>
      <c r="P186" s="918"/>
      <c r="Q186" s="918"/>
      <c r="R186" s="918"/>
      <c r="S186" s="918"/>
      <c r="T186" s="918"/>
      <c r="U186" s="918"/>
      <c r="V186" s="918"/>
      <c r="W186" s="918"/>
      <c r="X186" s="918"/>
      <c r="Y186" s="918"/>
      <c r="Z186" s="918"/>
      <c r="AA186" s="918"/>
      <c r="AB186" s="918"/>
      <c r="AC186" s="918"/>
      <c r="AD186" s="918"/>
      <c r="AE186" s="918"/>
      <c r="AF186" s="918"/>
      <c r="AG186" s="918"/>
      <c r="AH186" s="918"/>
      <c r="AI186" s="918"/>
      <c r="AJ186" s="918"/>
      <c r="AK186" s="918"/>
      <c r="AL186" s="918"/>
      <c r="AM186" s="918"/>
      <c r="AN186" s="918"/>
      <c r="AO186" s="918"/>
      <c r="AP186" s="918"/>
      <c r="AQ186" s="918"/>
      <c r="AR186" s="918"/>
      <c r="AS186" s="918"/>
      <c r="AT186" s="918"/>
      <c r="AU186" s="925"/>
      <c r="AV186" s="925"/>
      <c r="AW186" s="925"/>
      <c r="AX186" s="925"/>
      <c r="AY186" s="925"/>
      <c r="AZ186" s="925"/>
      <c r="BA186" s="925"/>
      <c r="BB186" s="925"/>
      <c r="BC186" s="925"/>
      <c r="BD186" s="925"/>
      <c r="BE186" s="925"/>
      <c r="BF186" s="925"/>
      <c r="BG186" s="925"/>
      <c r="BH186" s="925"/>
      <c r="BI186" s="925"/>
      <c r="BJ186" s="925"/>
      <c r="BK186" s="925"/>
      <c r="BL186" s="925"/>
      <c r="BM186" s="925"/>
      <c r="BN186" s="925"/>
      <c r="BO186" s="925"/>
      <c r="BP186" s="925"/>
      <c r="BQ186" s="816"/>
      <c r="BR186" s="816"/>
      <c r="BS186" s="816"/>
      <c r="BT186" s="816"/>
      <c r="BU186" s="816"/>
      <c r="BV186" s="816"/>
      <c r="BW186" s="816"/>
      <c r="BX186" s="816"/>
      <c r="BY186" s="816"/>
      <c r="BZ186" s="816"/>
      <c r="CA186" s="816"/>
      <c r="CB186" s="816"/>
      <c r="CC186" s="816"/>
      <c r="CD186" s="816"/>
      <c r="CE186" s="816"/>
      <c r="CF186" s="816"/>
      <c r="CG186" s="816"/>
      <c r="CH186" s="816"/>
      <c r="CI186" s="816"/>
      <c r="CJ186" s="816"/>
      <c r="CK186" s="816"/>
      <c r="CL186" s="816">
        <f t="shared" ref="CL186:CP186" si="2036">+CL190*CL191</f>
        <v>233610.31231499685</v>
      </c>
      <c r="CM186" s="816">
        <f t="shared" si="2036"/>
        <v>92160.545798669249</v>
      </c>
      <c r="CN186" s="816">
        <f t="shared" si="2036"/>
        <v>186704.1119539802</v>
      </c>
      <c r="CO186" s="816">
        <f t="shared" si="2036"/>
        <v>118321.5893044337</v>
      </c>
      <c r="CP186" s="816">
        <f t="shared" si="2036"/>
        <v>197632.35467206594</v>
      </c>
      <c r="CQ186" s="816"/>
      <c r="CR186" s="816">
        <v>233610.31231499685</v>
      </c>
      <c r="CT186" s="918"/>
      <c r="CU186" s="918"/>
      <c r="CV186" s="918"/>
      <c r="CW186" s="918"/>
      <c r="CX186" s="918"/>
      <c r="CY186" s="918"/>
      <c r="CZ186" s="918"/>
      <c r="DA186" s="918"/>
      <c r="DB186" s="918"/>
      <c r="DC186" s="918"/>
      <c r="DD186" s="918"/>
      <c r="DE186" s="925"/>
      <c r="DF186" s="925"/>
      <c r="DG186" s="925"/>
      <c r="DH186" s="925"/>
      <c r="DI186" s="925"/>
      <c r="DJ186" s="925"/>
      <c r="DK186" s="911"/>
      <c r="DL186" s="925"/>
      <c r="DM186" s="925"/>
      <c r="DN186" s="925"/>
      <c r="DO186" s="925"/>
      <c r="DP186" s="925"/>
      <c r="DQ186" s="925"/>
      <c r="DR186" s="816">
        <f>+DR190*DR191</f>
        <v>837770.56157581217</v>
      </c>
      <c r="DS186" s="816">
        <f t="shared" ref="DS186:DU186" si="2037">+DS190*DS191</f>
        <v>920944.30857649934</v>
      </c>
      <c r="DT186" s="816">
        <f t="shared" si="2037"/>
        <v>1014863.1273591071</v>
      </c>
      <c r="DU186" s="816">
        <f t="shared" si="2037"/>
        <v>1119119.0400810358</v>
      </c>
      <c r="DX186" s="816">
        <v>760044.03919948731</v>
      </c>
      <c r="DY186" s="816">
        <v>870357.56306105223</v>
      </c>
    </row>
    <row r="187" spans="1:129" s="904" customFormat="1">
      <c r="A187" s="939"/>
      <c r="B187" s="912"/>
      <c r="C187" s="918"/>
      <c r="D187" s="918"/>
      <c r="E187" s="918"/>
      <c r="F187" s="918"/>
      <c r="G187" s="918"/>
      <c r="H187" s="918"/>
      <c r="I187" s="918"/>
      <c r="J187" s="918"/>
      <c r="K187" s="918"/>
      <c r="L187" s="918"/>
      <c r="M187" s="918"/>
      <c r="N187" s="918"/>
      <c r="O187" s="918"/>
      <c r="P187" s="918"/>
      <c r="Q187" s="918"/>
      <c r="R187" s="918"/>
      <c r="S187" s="918"/>
      <c r="T187" s="918"/>
      <c r="U187" s="918"/>
      <c r="V187" s="918"/>
      <c r="W187" s="918"/>
      <c r="X187" s="918"/>
      <c r="Y187" s="918"/>
      <c r="Z187" s="918"/>
      <c r="AA187" s="918"/>
      <c r="AB187" s="918"/>
      <c r="AC187" s="918"/>
      <c r="AD187" s="918"/>
      <c r="AE187" s="918"/>
      <c r="AF187" s="918"/>
      <c r="AG187" s="918"/>
      <c r="AH187" s="918"/>
      <c r="AI187" s="918"/>
      <c r="AJ187" s="918"/>
      <c r="AK187" s="918"/>
      <c r="AL187" s="918"/>
      <c r="AM187" s="918"/>
      <c r="AN187" s="918"/>
      <c r="AO187" s="918"/>
      <c r="AP187" s="918"/>
      <c r="AQ187" s="918"/>
      <c r="AR187" s="918"/>
      <c r="AS187" s="918"/>
      <c r="AT187" s="918"/>
      <c r="AU187" s="925"/>
      <c r="AV187" s="925"/>
      <c r="AW187" s="925"/>
      <c r="AX187" s="925"/>
      <c r="AY187" s="925"/>
      <c r="AZ187" s="925"/>
      <c r="BA187" s="925"/>
      <c r="BB187" s="925"/>
      <c r="BC187" s="925"/>
      <c r="BD187" s="925"/>
      <c r="BE187" s="925"/>
      <c r="BF187" s="925"/>
      <c r="BG187" s="925"/>
      <c r="BH187" s="925"/>
      <c r="BI187" s="925"/>
      <c r="BJ187" s="925"/>
      <c r="BK187" s="925"/>
      <c r="BL187" s="925"/>
      <c r="BM187" s="925"/>
      <c r="BN187" s="925"/>
      <c r="BO187" s="925"/>
      <c r="BP187" s="925"/>
      <c r="BQ187" s="817"/>
      <c r="BR187" s="817"/>
      <c r="BS187" s="817"/>
      <c r="BT187" s="817"/>
      <c r="BU187" s="817"/>
      <c r="BV187" s="817"/>
      <c r="BW187" s="817"/>
      <c r="BX187" s="817"/>
      <c r="BY187" s="817"/>
      <c r="BZ187" s="817"/>
      <c r="CA187" s="817"/>
      <c r="CB187" s="817"/>
      <c r="CC187" s="817"/>
      <c r="CD187" s="817"/>
      <c r="CE187" s="817"/>
      <c r="CF187" s="817"/>
      <c r="CG187" s="817"/>
      <c r="CH187" s="817"/>
      <c r="CI187" s="817"/>
      <c r="CJ187" s="817"/>
      <c r="CK187" s="817"/>
      <c r="CL187" s="817">
        <f t="shared" ref="CL187:CP187" si="2038">+CL185-CL186</f>
        <v>-37630.191665554594</v>
      </c>
      <c r="CM187" s="817">
        <f t="shared" si="2038"/>
        <v>103819.574850773</v>
      </c>
      <c r="CN187" s="817">
        <f t="shared" si="2038"/>
        <v>9276.0086954620492</v>
      </c>
      <c r="CO187" s="817">
        <f t="shared" si="2038"/>
        <v>77658.531345008552</v>
      </c>
      <c r="CP187" s="817">
        <f t="shared" si="2038"/>
        <v>-1652.2340226236847</v>
      </c>
      <c r="CQ187" s="817"/>
      <c r="CR187" s="817">
        <v>-37630.191665554594</v>
      </c>
      <c r="CT187" s="918"/>
      <c r="CU187" s="918"/>
      <c r="CV187" s="918"/>
      <c r="CW187" s="918"/>
      <c r="CX187" s="918"/>
      <c r="CY187" s="918"/>
      <c r="CZ187" s="918"/>
      <c r="DA187" s="918"/>
      <c r="DB187" s="918"/>
      <c r="DC187" s="918"/>
      <c r="DD187" s="918"/>
      <c r="DE187" s="925"/>
      <c r="DF187" s="925"/>
      <c r="DG187" s="925"/>
      <c r="DH187" s="925"/>
      <c r="DI187" s="925"/>
      <c r="DJ187" s="925"/>
      <c r="DK187" s="925"/>
      <c r="DL187" s="925"/>
      <c r="DM187" s="925"/>
      <c r="DN187" s="925"/>
      <c r="DO187" s="925"/>
      <c r="DP187" s="925"/>
      <c r="DQ187" s="925"/>
      <c r="DR187" s="817">
        <f>+DR185-DR186</f>
        <v>-31588.89680315624</v>
      </c>
      <c r="DS187" s="817">
        <f t="shared" ref="DS187:DU187" si="2039">+DS185-DS186</f>
        <v>-49081.569663409726</v>
      </c>
      <c r="DT187" s="817">
        <f t="shared" si="2039"/>
        <v>-70078.259590936825</v>
      </c>
      <c r="DU187" s="817">
        <f t="shared" si="2039"/>
        <v>-93067.435939111048</v>
      </c>
      <c r="DX187" s="817">
        <v>-13122.310352830566</v>
      </c>
      <c r="DY187" s="817">
        <v>-64175.898288396304</v>
      </c>
    </row>
    <row r="188" spans="1:129" s="904" customFormat="1">
      <c r="A188" s="939"/>
      <c r="B188" s="912" t="s">
        <v>481</v>
      </c>
      <c r="C188" s="918">
        <v>0</v>
      </c>
      <c r="D188" s="918" t="e">
        <f t="shared" ref="D188:J188" si="2040">+D185/C126</f>
        <v>#DIV/0!</v>
      </c>
      <c r="E188" s="918">
        <f t="shared" si="2040"/>
        <v>0</v>
      </c>
      <c r="F188" s="918">
        <f t="shared" si="2040"/>
        <v>0</v>
      </c>
      <c r="G188" s="918">
        <f t="shared" si="2040"/>
        <v>0</v>
      </c>
      <c r="H188" s="918">
        <f t="shared" si="2040"/>
        <v>0</v>
      </c>
      <c r="I188" s="918">
        <f t="shared" si="2040"/>
        <v>0</v>
      </c>
      <c r="J188" s="918">
        <f t="shared" si="2040"/>
        <v>5.6543665985809906E-2</v>
      </c>
      <c r="K188" s="918">
        <f>+J184/J126</f>
        <v>0</v>
      </c>
      <c r="L188" s="918">
        <f t="shared" ref="L188:AQ188" si="2041">+L185/K126</f>
        <v>0</v>
      </c>
      <c r="M188" s="918">
        <f t="shared" si="2041"/>
        <v>3.9271757958264805E-2</v>
      </c>
      <c r="N188" s="918">
        <f t="shared" si="2041"/>
        <v>3.4265803917891607E-2</v>
      </c>
      <c r="O188" s="918">
        <f t="shared" si="2041"/>
        <v>0</v>
      </c>
      <c r="P188" s="918">
        <f t="shared" si="2041"/>
        <v>0</v>
      </c>
      <c r="Q188" s="918">
        <f t="shared" si="2041"/>
        <v>0</v>
      </c>
      <c r="R188" s="918">
        <f t="shared" si="2041"/>
        <v>5.4433434429060311E-2</v>
      </c>
      <c r="S188" s="918">
        <f t="shared" si="2041"/>
        <v>0</v>
      </c>
      <c r="T188" s="918">
        <f t="shared" si="2041"/>
        <v>0</v>
      </c>
      <c r="U188" s="918">
        <f t="shared" si="2041"/>
        <v>0</v>
      </c>
      <c r="V188" s="918">
        <f t="shared" si="2041"/>
        <v>5.2931333064021598E-2</v>
      </c>
      <c r="W188" s="918">
        <f t="shared" si="2041"/>
        <v>0</v>
      </c>
      <c r="X188" s="918">
        <f t="shared" si="2041"/>
        <v>0</v>
      </c>
      <c r="Y188" s="918">
        <f t="shared" si="2041"/>
        <v>0</v>
      </c>
      <c r="Z188" s="918">
        <f t="shared" si="2041"/>
        <v>5.47278094204642E-2</v>
      </c>
      <c r="AA188" s="918">
        <f t="shared" si="2041"/>
        <v>0</v>
      </c>
      <c r="AB188" s="918">
        <f t="shared" si="2041"/>
        <v>0</v>
      </c>
      <c r="AC188" s="918">
        <f t="shared" si="2041"/>
        <v>0</v>
      </c>
      <c r="AD188" s="918">
        <f t="shared" si="2041"/>
        <v>7.1901400087633446E-2</v>
      </c>
      <c r="AE188" s="918">
        <f t="shared" si="2041"/>
        <v>1.8567917219878823E-2</v>
      </c>
      <c r="AF188" s="918">
        <f t="shared" si="2041"/>
        <v>1.9543268597779193E-2</v>
      </c>
      <c r="AG188" s="918">
        <f t="shared" si="2041"/>
        <v>2.0578675956843012E-2</v>
      </c>
      <c r="AH188" s="918">
        <f t="shared" si="2041"/>
        <v>2.0207590688017502E-2</v>
      </c>
      <c r="AI188" s="918">
        <f t="shared" si="2041"/>
        <v>1.7577798437746213E-2</v>
      </c>
      <c r="AJ188" s="918">
        <f t="shared" si="2041"/>
        <v>1.7666363770763863E-2</v>
      </c>
      <c r="AK188" s="918">
        <f t="shared" si="2041"/>
        <v>1.7880896529984792E-2</v>
      </c>
      <c r="AL188" s="918">
        <f t="shared" si="2041"/>
        <v>1.7433386553458538E-2</v>
      </c>
      <c r="AM188" s="918">
        <f t="shared" si="2041"/>
        <v>1.1125496970720317E-2</v>
      </c>
      <c r="AN188" s="918">
        <f t="shared" si="2041"/>
        <v>1.13361268058786E-2</v>
      </c>
      <c r="AO188" s="918">
        <f t="shared" si="2041"/>
        <v>1.2182676021519467E-2</v>
      </c>
      <c r="AP188" s="918">
        <f t="shared" si="2041"/>
        <v>1.1435660945622147E-2</v>
      </c>
      <c r="AQ188" s="918">
        <f t="shared" si="2041"/>
        <v>1.1626229368700414E-2</v>
      </c>
      <c r="AR188" s="918">
        <f t="shared" ref="AR188:BW188" si="2042">+AR185/AQ126</f>
        <v>1.170903660449988E-2</v>
      </c>
      <c r="AS188" s="918">
        <f t="shared" si="2042"/>
        <v>1.1626865541073192E-2</v>
      </c>
      <c r="AT188" s="918">
        <f t="shared" si="2042"/>
        <v>1.1039821543226233E-2</v>
      </c>
      <c r="AU188" s="918">
        <f t="shared" si="2042"/>
        <v>1.2826882552817167E-2</v>
      </c>
      <c r="AV188" s="918">
        <f t="shared" si="2042"/>
        <v>1.3712939099617212E-2</v>
      </c>
      <c r="AW188" s="918">
        <f t="shared" si="2042"/>
        <v>1.4890471217306751E-2</v>
      </c>
      <c r="AX188" s="918">
        <f t="shared" si="2042"/>
        <v>1.5027403003380436E-2</v>
      </c>
      <c r="AY188" s="918">
        <f t="shared" si="2042"/>
        <v>1.7612406763437213E-2</v>
      </c>
      <c r="AZ188" s="921">
        <f t="shared" si="2042"/>
        <v>1.8210463734807489E-2</v>
      </c>
      <c r="BA188" s="921">
        <f t="shared" si="2042"/>
        <v>1.9517511122216398E-2</v>
      </c>
      <c r="BB188" s="921">
        <f t="shared" si="2042"/>
        <v>1.9715446639925312E-2</v>
      </c>
      <c r="BC188" s="918">
        <f t="shared" si="2042"/>
        <v>1.8207667840060438E-2</v>
      </c>
      <c r="BD188" s="918">
        <f t="shared" si="2042"/>
        <v>1.7202470894641112E-2</v>
      </c>
      <c r="BE188" s="918">
        <f t="shared" si="2042"/>
        <v>1.7801742291788377E-2</v>
      </c>
      <c r="BF188" s="918">
        <f t="shared" si="2042"/>
        <v>1.8118516765181926E-2</v>
      </c>
      <c r="BG188" s="918">
        <f t="shared" si="2042"/>
        <v>1.6110416209857401E-2</v>
      </c>
      <c r="BH188" s="918">
        <f t="shared" si="2042"/>
        <v>1.6013234612186154E-2</v>
      </c>
      <c r="BI188" s="918">
        <f t="shared" si="2042"/>
        <v>1.6478485367222614E-2</v>
      </c>
      <c r="BJ188" s="918">
        <f t="shared" si="2042"/>
        <v>1.7840402945877486E-2</v>
      </c>
      <c r="BK188" s="918">
        <f t="shared" si="2042"/>
        <v>1.6883993794936013E-2</v>
      </c>
      <c r="BL188" s="918">
        <f t="shared" si="2042"/>
        <v>1.5145191959451489E-2</v>
      </c>
      <c r="BM188" s="918">
        <f t="shared" si="2042"/>
        <v>1.5162744794212415E-2</v>
      </c>
      <c r="BN188" s="918">
        <f t="shared" si="2042"/>
        <v>1.4354586418867544E-2</v>
      </c>
      <c r="BO188" s="918">
        <f t="shared" si="2042"/>
        <v>1.2402860015720735E-2</v>
      </c>
      <c r="BP188" s="918">
        <f t="shared" si="2042"/>
        <v>1.192364176602146E-2</v>
      </c>
      <c r="BQ188" s="918">
        <f t="shared" si="2042"/>
        <v>1.2163764073106433E-2</v>
      </c>
      <c r="BR188" s="918">
        <f t="shared" si="2042"/>
        <v>1.1436945625210509E-2</v>
      </c>
      <c r="BS188" s="918">
        <f t="shared" si="2042"/>
        <v>1.0597877307902327E-2</v>
      </c>
      <c r="BT188" s="918">
        <f t="shared" si="2042"/>
        <v>1.6411707930207804E-2</v>
      </c>
      <c r="BU188" s="918">
        <f t="shared" si="2042"/>
        <v>1.2253697751777624E-2</v>
      </c>
      <c r="BV188" s="918">
        <f t="shared" si="2042"/>
        <v>1.3371778072705622E-2</v>
      </c>
      <c r="BW188" s="918">
        <f t="shared" si="2042"/>
        <v>1.4422602851685611E-2</v>
      </c>
      <c r="BX188" s="918">
        <f t="shared" ref="BX188:CI188" si="2043">+BX185/BW126</f>
        <v>1.6520846997425388E-2</v>
      </c>
      <c r="BY188" s="918">
        <f t="shared" si="2043"/>
        <v>1.7545007838131826E-2</v>
      </c>
      <c r="BZ188" s="918">
        <f t="shared" si="2043"/>
        <v>1.8241608987536569E-2</v>
      </c>
      <c r="CA188" s="918">
        <f t="shared" si="2043"/>
        <v>1.7271890513173956E-2</v>
      </c>
      <c r="CB188" s="918">
        <f t="shared" si="2043"/>
        <v>1.7812886380015606E-2</v>
      </c>
      <c r="CC188" s="918">
        <f t="shared" si="2043"/>
        <v>1.7679584824885096E-2</v>
      </c>
      <c r="CD188" s="918">
        <f t="shared" si="2043"/>
        <v>1.6787107147286182E-2</v>
      </c>
      <c r="CE188" s="918">
        <f t="shared" si="2043"/>
        <v>1.4301993584096536E-2</v>
      </c>
      <c r="CF188" s="918">
        <f t="shared" si="2043"/>
        <v>1.4760383505654801E-2</v>
      </c>
      <c r="CG188" s="918">
        <f t="shared" si="2043"/>
        <v>1.5639490492569599E-2</v>
      </c>
      <c r="CH188" s="918">
        <f t="shared" si="2043"/>
        <v>1.7263329205587156E-2</v>
      </c>
      <c r="CI188" s="918">
        <f t="shared" si="2043"/>
        <v>1.7597752504397358E-2</v>
      </c>
      <c r="CJ188" s="918">
        <f t="shared" ref="CJ188" si="2044">+CJ185/CI126</f>
        <v>1.9787317411805162E-2</v>
      </c>
      <c r="CK188" s="918">
        <f t="shared" ref="CK188" si="2045">+CK185/CJ126</f>
        <v>2.1151377333371781E-2</v>
      </c>
      <c r="CL188" s="918">
        <f t="shared" ref="CL188" si="2046">+CL185/CK126</f>
        <v>1.9321553481268194E-2</v>
      </c>
      <c r="CM188" s="918">
        <f t="shared" ref="CM188" si="2047">+CM185/CL126</f>
        <v>1.879178474205434E-2</v>
      </c>
      <c r="CN188" s="918">
        <f t="shared" ref="CN188" si="2048">+CN185/CM126</f>
        <v>1.8812816336974722E-2</v>
      </c>
      <c r="CO188" s="918">
        <f t="shared" ref="CO188" si="2049">+CO185/CN126</f>
        <v>1.8497763476678215E-2</v>
      </c>
      <c r="CP188" s="918">
        <f t="shared" ref="CP188" si="2050">+CP185/CO126</f>
        <v>1.8427040127590184E-2</v>
      </c>
      <c r="CQ188" s="918"/>
      <c r="CR188" s="918">
        <v>1.9321553481268194E-2</v>
      </c>
      <c r="CT188" s="918"/>
      <c r="CU188" s="918"/>
      <c r="CV188" s="918"/>
      <c r="CW188" s="918"/>
      <c r="CX188" s="918">
        <f t="shared" ref="CX188:DG188" si="2051">+(CX185/CX126)</f>
        <v>5.9484509922323167E-2</v>
      </c>
      <c r="CY188" s="918">
        <f t="shared" si="2051"/>
        <v>5.1196522242664369E-2</v>
      </c>
      <c r="CZ188" s="918">
        <f t="shared" si="2051"/>
        <v>5.7332595288308218E-2</v>
      </c>
      <c r="DA188" s="918">
        <f t="shared" si="2051"/>
        <v>6.8767697893289778E-2</v>
      </c>
      <c r="DB188" s="918">
        <f t="shared" si="2051"/>
        <v>7.1114933354882282E-2</v>
      </c>
      <c r="DC188" s="918">
        <f t="shared" si="2051"/>
        <v>6.2343052999847583E-2</v>
      </c>
      <c r="DD188" s="918">
        <f t="shared" si="2051"/>
        <v>4.0132933028274732E-2</v>
      </c>
      <c r="DE188" s="918">
        <f t="shared" si="2051"/>
        <v>3.8692658970563829E-2</v>
      </c>
      <c r="DF188" s="918">
        <f t="shared" si="2051"/>
        <v>4.8882648171964423E-2</v>
      </c>
      <c r="DG188" s="918">
        <f t="shared" si="2051"/>
        <v>6.5744889217823455E-2</v>
      </c>
      <c r="DH188" s="918">
        <f t="shared" ref="DH188:DQ188" si="2052">+(DH185/DG126)</f>
        <v>7.4685625035080458E-2</v>
      </c>
      <c r="DI188" s="918">
        <f t="shared" si="2052"/>
        <v>7.0009720553717986E-2</v>
      </c>
      <c r="DJ188" s="918">
        <f t="shared" si="2052"/>
        <v>6.3713521622895564E-2</v>
      </c>
      <c r="DK188" s="918">
        <f t="shared" si="2052"/>
        <v>5.1168178043937286E-2</v>
      </c>
      <c r="DL188" s="918">
        <f t="shared" si="2052"/>
        <v>7.0497807244666547E-2</v>
      </c>
      <c r="DM188" s="918">
        <f t="shared" si="2052"/>
        <v>6.611106369665963E-2</v>
      </c>
      <c r="DN188" s="918">
        <f t="shared" si="2052"/>
        <v>6.7612903089611265E-2</v>
      </c>
      <c r="DO188" s="918">
        <f t="shared" si="2052"/>
        <v>6.3059672743338679E-2</v>
      </c>
      <c r="DP188" s="918">
        <f t="shared" si="2052"/>
        <v>7.486912067820993E-2</v>
      </c>
      <c r="DQ188" s="918">
        <f t="shared" si="2052"/>
        <v>7.5167138968217362E-2</v>
      </c>
      <c r="DR188" s="918">
        <f>+DR185/DQ126</f>
        <v>7.3425578468599206E-2</v>
      </c>
      <c r="DS188" s="918">
        <f t="shared" ref="DS188:DU188" si="2053">+DS185/DR126</f>
        <v>7.2848575162536872E-2</v>
      </c>
      <c r="DT188" s="918">
        <f t="shared" si="2053"/>
        <v>7.1812095615202284E-2</v>
      </c>
      <c r="DU188" s="918">
        <f t="shared" si="2053"/>
        <v>7.077172315525472E-2</v>
      </c>
      <c r="DX188" s="918">
        <v>7.0871844729738023E-2</v>
      </c>
      <c r="DY188" s="918">
        <v>7.1266481054750738E-2</v>
      </c>
    </row>
    <row r="189" spans="1:129" s="904" customFormat="1">
      <c r="A189" s="939"/>
      <c r="B189" s="912"/>
      <c r="C189" s="918"/>
      <c r="D189" s="918"/>
      <c r="E189" s="918"/>
      <c r="F189" s="918"/>
      <c r="G189" s="918"/>
      <c r="H189" s="918"/>
      <c r="I189" s="918"/>
      <c r="J189" s="918"/>
      <c r="K189" s="918"/>
      <c r="L189" s="918"/>
      <c r="M189" s="918"/>
      <c r="N189" s="918"/>
      <c r="O189" s="918"/>
      <c r="P189" s="918"/>
      <c r="Q189" s="918"/>
      <c r="R189" s="918"/>
      <c r="S189" s="918"/>
      <c r="T189" s="918"/>
      <c r="U189" s="918"/>
      <c r="V189" s="918"/>
      <c r="W189" s="918"/>
      <c r="X189" s="918"/>
      <c r="Y189" s="918"/>
      <c r="Z189" s="918"/>
      <c r="AA189" s="918"/>
      <c r="AB189" s="918"/>
      <c r="AC189" s="918"/>
      <c r="AD189" s="918"/>
      <c r="AE189" s="918"/>
      <c r="AF189" s="918"/>
      <c r="AG189" s="918"/>
      <c r="AH189" s="918"/>
      <c r="AI189" s="918"/>
      <c r="AJ189" s="918"/>
      <c r="AK189" s="918"/>
      <c r="AL189" s="918"/>
      <c r="AM189" s="918"/>
      <c r="AN189" s="918"/>
      <c r="AO189" s="918"/>
      <c r="AP189" s="918"/>
      <c r="AQ189" s="918"/>
      <c r="AR189" s="918"/>
      <c r="AS189" s="918"/>
      <c r="AT189" s="918"/>
      <c r="AU189" s="918"/>
      <c r="AV189" s="918"/>
      <c r="AW189" s="918"/>
      <c r="AX189" s="918"/>
      <c r="AY189" s="918"/>
      <c r="AZ189" s="921"/>
      <c r="BA189" s="921"/>
      <c r="BB189" s="921"/>
      <c r="BC189" s="918"/>
      <c r="BD189" s="918"/>
      <c r="BE189" s="918"/>
      <c r="BF189" s="918"/>
      <c r="BG189" s="918"/>
      <c r="BH189" s="918"/>
      <c r="BI189" s="918"/>
      <c r="BJ189" s="918"/>
      <c r="BK189" s="918"/>
      <c r="BL189" s="918"/>
      <c r="BM189" s="918"/>
      <c r="BN189" s="918"/>
      <c r="BO189" s="918"/>
      <c r="BP189" s="918"/>
      <c r="BQ189" s="918"/>
      <c r="BR189" s="918"/>
      <c r="BS189" s="918"/>
      <c r="BT189" s="918"/>
      <c r="BU189" s="918"/>
      <c r="BV189" s="918"/>
      <c r="BW189" s="918"/>
      <c r="BX189" s="918"/>
      <c r="BY189" s="918"/>
      <c r="BZ189" s="918"/>
      <c r="CA189" s="918"/>
      <c r="CB189" s="918"/>
      <c r="CC189" s="918"/>
      <c r="CD189" s="918"/>
      <c r="CE189" s="918"/>
      <c r="CF189" s="918"/>
      <c r="CG189" s="918"/>
      <c r="CH189" s="918"/>
      <c r="CI189" s="918"/>
      <c r="CJ189" s="918"/>
      <c r="CK189" s="918"/>
      <c r="CL189" s="918"/>
      <c r="CM189" s="918"/>
      <c r="CN189" s="918"/>
      <c r="CO189" s="918"/>
      <c r="CP189" s="918"/>
      <c r="CQ189" s="918"/>
      <c r="CR189" s="918"/>
      <c r="CT189" s="918"/>
      <c r="CU189" s="918"/>
      <c r="CV189" s="918"/>
      <c r="CW189" s="918"/>
      <c r="CX189" s="918"/>
      <c r="CY189" s="918"/>
      <c r="CZ189" s="918"/>
      <c r="DA189" s="918"/>
      <c r="DB189" s="918"/>
      <c r="DC189" s="918"/>
      <c r="DD189" s="918"/>
      <c r="DE189" s="918"/>
      <c r="DF189" s="918"/>
      <c r="DG189" s="918"/>
      <c r="DH189" s="918"/>
      <c r="DI189" s="918"/>
      <c r="DJ189" s="918"/>
      <c r="DK189" s="918"/>
      <c r="DL189" s="918"/>
      <c r="DM189" s="918"/>
      <c r="DN189" s="918"/>
      <c r="DO189" s="918"/>
      <c r="DP189" s="918"/>
      <c r="DQ189" s="918"/>
      <c r="DR189" s="918"/>
      <c r="DS189" s="918"/>
      <c r="DT189" s="918"/>
      <c r="DU189" s="918"/>
      <c r="DX189" s="918"/>
      <c r="DY189" s="918"/>
    </row>
    <row r="190" spans="1:129" s="590" customFormat="1">
      <c r="A190" s="943"/>
      <c r="B190" s="818" t="s">
        <v>482</v>
      </c>
      <c r="C190" s="1576"/>
      <c r="D190" s="1576"/>
      <c r="E190" s="1576"/>
      <c r="F190" s="1576"/>
      <c r="G190" s="1576"/>
      <c r="H190" s="1576"/>
      <c r="I190" s="1576"/>
      <c r="J190" s="1576"/>
      <c r="K190" s="1576"/>
      <c r="L190" s="1576"/>
      <c r="M190" s="1576"/>
      <c r="N190" s="1576"/>
      <c r="O190" s="1576"/>
      <c r="P190" s="1576"/>
      <c r="Q190" s="1576"/>
      <c r="R190" s="1576"/>
      <c r="S190" s="1576"/>
      <c r="T190" s="1576"/>
      <c r="U190" s="1576"/>
      <c r="V190" s="1576"/>
      <c r="W190" s="1576"/>
      <c r="X190" s="1576"/>
      <c r="Y190" s="1576"/>
      <c r="Z190" s="1576"/>
      <c r="AA190" s="1576"/>
      <c r="AB190" s="1576"/>
      <c r="AC190" s="1576"/>
      <c r="AD190" s="1576"/>
      <c r="AE190" s="1576"/>
      <c r="AF190" s="1576"/>
      <c r="AG190" s="1576"/>
      <c r="AH190" s="1576"/>
      <c r="AI190" s="1576"/>
      <c r="AJ190" s="1576"/>
      <c r="AK190" s="1576"/>
      <c r="AL190" s="1576"/>
      <c r="AM190" s="1576"/>
      <c r="AN190" s="1576"/>
      <c r="AO190" s="1576"/>
      <c r="AP190" s="1576"/>
      <c r="AQ190" s="1576"/>
      <c r="AR190" s="1576"/>
      <c r="AS190" s="1576"/>
      <c r="AT190" s="1576"/>
      <c r="AU190" s="1578">
        <f>+MIN(0.5*AU25,MACRO!BH9*PROJ!AU126)</f>
        <v>26739.404999999999</v>
      </c>
      <c r="AV190" s="1578">
        <f>+MIN(0.5*AV25,MACRO!BI9*PROJ!AV126)</f>
        <v>30052.695</v>
      </c>
      <c r="AW190" s="1578">
        <f>+MIN(0.5*AW25,MACRO!BJ9*PROJ!AW126)</f>
        <v>35322.364999999998</v>
      </c>
      <c r="AX190" s="1578">
        <f>+MIN(0.5*AX25,MACRO!BK9*PROJ!AX126)</f>
        <v>40440.68</v>
      </c>
      <c r="AY190" s="1578">
        <f>+MIN(0.5*AY25,MACRO!BL9*PROJ!AY126)</f>
        <v>32757.5</v>
      </c>
      <c r="AZ190" s="1578">
        <f>+MIN(0.5*AZ25,MACRO!BM9*PROJ!AZ126)</f>
        <v>43072.574999999997</v>
      </c>
      <c r="BA190" s="1578">
        <f>+MIN(0.5*BA25,MACRO!BN9*PROJ!BA126)</f>
        <v>42451.5</v>
      </c>
      <c r="BB190" s="1578">
        <f>+MIN(0.5*BB25,MACRO!BO9*PROJ!BB126)</f>
        <v>49439.924999999996</v>
      </c>
      <c r="BC190" s="1578">
        <f>+MIN(0.5*BC25,MACRO!BP9*PROJ!BC126)</f>
        <v>33488</v>
      </c>
      <c r="BD190" s="1578">
        <f>+MIN(0.5*BD25,MACRO!BQ9*PROJ!BD126)</f>
        <v>49245.210000000006</v>
      </c>
      <c r="BE190" s="1578">
        <f>+MIN(0.5*BE25,MACRO!BR9*PROJ!BE126)</f>
        <v>51076.69</v>
      </c>
      <c r="BF190" s="1578">
        <f>+MIN(0.5*BF25,MACRO!BS9*PROJ!BF126)</f>
        <v>56410.305000000008</v>
      </c>
      <c r="BG190" s="1578">
        <f>+MIN(0.5*BG25,MACRO!BT9*PROJ!BG126)</f>
        <v>55154.216250000005</v>
      </c>
      <c r="BH190" s="1578">
        <f>+MIN(0.5*BH25,MACRO!BU9*PROJ!BH126)</f>
        <v>57119.419500000004</v>
      </c>
      <c r="BI190" s="1578">
        <f>+MIN(0.5*BI25,MACRO!BV9*PROJ!BI126)</f>
        <v>59162.704799999992</v>
      </c>
      <c r="BJ190" s="1578">
        <f>+MIN(0.5*BJ25,MACRO!BW9*PROJ!BJ126)</f>
        <v>69006.234400000001</v>
      </c>
      <c r="BK190" s="1578">
        <f>+MIN(0.5*BK25,MACRO!BX9*PROJ!BK126)</f>
        <v>71363.621425000005</v>
      </c>
      <c r="BL190" s="1578">
        <f>+MIN(0.5*BL25,MACRO!BY9*PROJ!BL126)</f>
        <v>64356.712500000001</v>
      </c>
      <c r="BM190" s="1578">
        <f>+MIN(0.5*BM25,MACRO!BZ9*PROJ!BM126)</f>
        <v>63561.336125000002</v>
      </c>
      <c r="BN190" s="1578">
        <f>+MIN(0.5*BN25,MACRO!CA9*PROJ!BN126)</f>
        <v>64688.442499999997</v>
      </c>
      <c r="BO190" s="1578">
        <f>+MIN(0.5*BO25,MACRO!CB9*PROJ!BO126)</f>
        <v>3568.5</v>
      </c>
      <c r="BP190" s="1578">
        <f>+MIN(0.5*BP25,MACRO!CC9*PROJ!BP126)</f>
        <v>67010.507200000007</v>
      </c>
      <c r="BQ190" s="1578">
        <f>+MIN(0.5*BQ25,MACRO!CD9*PROJ!BQ126)</f>
        <v>-41436.5</v>
      </c>
      <c r="BR190" s="1578">
        <f>+MIN(0.5*BR25,MACRO!CE9*PROJ!BR126)</f>
        <v>62577.469499999999</v>
      </c>
      <c r="BS190" s="1578">
        <f>+MIN(0.5*BS25,MACRO!CF9*PROJ!BS126)</f>
        <v>-73851.5</v>
      </c>
      <c r="BT190" s="1578">
        <f>+MIN(0.5*BT25,MACRO!CG9*PROJ!BT126)</f>
        <v>96536.5</v>
      </c>
      <c r="BU190" s="1578">
        <f>+MIN(0.5*BU25,MACRO!CH9*PROJ!BU126)</f>
        <v>86121.669735001167</v>
      </c>
      <c r="BV190" s="1578">
        <f>+MIN(0.5*BV25,MACRO!CI9*PROJ!BV126)</f>
        <v>130428.05930000001</v>
      </c>
      <c r="BW190" s="1578">
        <f>+MIN(0.5*BW25,MACRO!CJ9*PROJ!BW126)</f>
        <v>95815</v>
      </c>
      <c r="BX190" s="1578">
        <f>+MIN(0.5*BX25,MACRO!CK9*PROJ!BX126)</f>
        <v>164504.28224999999</v>
      </c>
      <c r="BY190" s="1578">
        <f>+MIN(0.5*BY25,MACRO!CL9*PROJ!BY126)</f>
        <v>128931</v>
      </c>
      <c r="BZ190" s="1578">
        <f>+MIN(0.5*BZ25,MACRO!CM9*PROJ!BZ126)</f>
        <v>181575.27000000002</v>
      </c>
      <c r="CA190" s="1578">
        <f>+MIN(0.5*CA25,MACRO!CN9*PROJ!CA126)</f>
        <v>23383</v>
      </c>
      <c r="CB190" s="1578">
        <f>+MIN(0.5*CB25,MACRO!CO9*PROJ!CB126)</f>
        <v>114850</v>
      </c>
      <c r="CC190" s="1578">
        <f>+MIN(0.5*CC25,MACRO!CP9*PROJ!CC126)</f>
        <v>86451</v>
      </c>
      <c r="CD190" s="1578">
        <f>+MIN(0.5*CD25,MACRO!CQ9*PROJ!CD126)</f>
        <v>164523.24387500001</v>
      </c>
      <c r="CE190" s="1578">
        <f>+MIN(0.5*CE25,MACRO!CR9*PROJ!CE126)</f>
        <v>69625</v>
      </c>
      <c r="CF190" s="1578">
        <f>+MIN(0.5*CF25,MACRO!CS9*PROJ!CF126)</f>
        <v>157492</v>
      </c>
      <c r="CG190" s="1578">
        <f>+MIN(0.5*CG25,MACRO!CT9*PROJ!CG126)</f>
        <v>127633</v>
      </c>
      <c r="CH190" s="1578">
        <v>200107.56482499998</v>
      </c>
      <c r="CI190" s="1578">
        <v>0</v>
      </c>
      <c r="CJ190" s="1578">
        <v>0</v>
      </c>
      <c r="CK190" s="1578">
        <v>0</v>
      </c>
      <c r="CL190" s="1578">
        <f>+MIN(0.5*CL25,MACRO!CY9*PROJ!CL126)</f>
        <v>233610.31231499685</v>
      </c>
      <c r="CM190" s="1578">
        <f>+MIN(0.5*CM25,MACRO!CZ9*PROJ!CM126)</f>
        <v>92160.545798669249</v>
      </c>
      <c r="CN190" s="1578">
        <f>+MIN(0.5*CN25,MACRO!DA9*PROJ!CN126)</f>
        <v>186704.1119539802</v>
      </c>
      <c r="CO190" s="1578">
        <f>+MIN(0.5*CO25,MACRO!DB9*PROJ!CO126)</f>
        <v>118321.5893044337</v>
      </c>
      <c r="CP190" s="1578">
        <f>+MIN(0.5*CP25,MACRO!DC9*PROJ!CP126)</f>
        <v>197632.35467206594</v>
      </c>
      <c r="CQ190" s="1578"/>
      <c r="CR190" s="1578">
        <v>233610.31231499685</v>
      </c>
      <c r="CT190" s="1576"/>
      <c r="CU190" s="1576"/>
      <c r="CV190" s="1576"/>
      <c r="CW190" s="1576"/>
      <c r="CX190" s="1576"/>
      <c r="CY190" s="1576"/>
      <c r="CZ190" s="1576"/>
      <c r="DA190" s="1576"/>
      <c r="DB190" s="1576"/>
      <c r="DC190" s="1576"/>
      <c r="DD190" s="1576"/>
      <c r="DE190" s="1578">
        <f>+MIN(0.5*DE25,MACRO!DW9*PROJ!DE126)</f>
        <v>92763.400000000009</v>
      </c>
      <c r="DF190" s="1578">
        <f>+MIN(0.5*DF25,MACRO!DX9*PROJ!DF126)</f>
        <v>144431</v>
      </c>
      <c r="DG190" s="1578">
        <f>+MIN(0.5*DG25,MACRO!DY9*PROJ!DG126)</f>
        <v>197759.69999999998</v>
      </c>
      <c r="DH190" s="1578">
        <f>+MIN(0.5*DH25,MACRO!DZ9*PROJ!DH126)</f>
        <v>229670.52750000003</v>
      </c>
      <c r="DI190" s="1578">
        <f>+MIN(0.5*DI25,MACRO!EA9*PROJ!DI126)</f>
        <v>266929.56</v>
      </c>
      <c r="DJ190" s="1578">
        <f>+MIN(0.5*DJ25,MACRO!EB9*PROJ!DJ126)</f>
        <v>290980.37589999998</v>
      </c>
      <c r="DK190" s="1578">
        <f>+MIN(0.5*DK25,MACRO!EC9*PROJ!DK126)</f>
        <v>268189.15500000003</v>
      </c>
      <c r="DL190" s="1578">
        <f>+MIN(0.5*DL25,MACRO!ED9*PROJ!DL126)</f>
        <v>316699.57651000097</v>
      </c>
      <c r="DM190" s="1578">
        <f>+MIN(0.5*DM25,MACRO!EE9*PROJ!DM126)</f>
        <v>645851.5</v>
      </c>
      <c r="DN190" s="1578">
        <f>+MIN(0.5*DN25,MACRO!EF9*PROJ!DN126)</f>
        <v>488129.5</v>
      </c>
      <c r="DO190" s="1578">
        <f>+MIN(0.5*DO25,MACRO!EG9*PROJ!DO126)</f>
        <v>598334</v>
      </c>
      <c r="DP190" s="1578">
        <f>+MIN(0.5*DP25,MACRO!EH9*PROJ!DP126)</f>
        <v>693408.9602130428</v>
      </c>
      <c r="DQ190" s="1578">
        <f>+MIN(0.5*DQ25,MACRO!EI9*PROJ!DQ126)</f>
        <v>667231.9711901726</v>
      </c>
      <c r="DR190" s="1578">
        <f>+MIN(0.5*DR25,MACRO!EJ9*PROJ!DR126)</f>
        <v>837770.56157581217</v>
      </c>
      <c r="DS190" s="1578">
        <f>+MIN(0.5*DS25,MACRO!EK9*PROJ!DS126)</f>
        <v>920944.30857649934</v>
      </c>
      <c r="DT190" s="1578">
        <f>+MIN(0.5*DT25,MACRO!EL9*PROJ!DT126)</f>
        <v>1014863.1273591071</v>
      </c>
      <c r="DU190" s="1578">
        <f>+MIN(0.5*DU25,MACRO!EM9*PROJ!DU126)</f>
        <v>1119119.0400810358</v>
      </c>
      <c r="DX190" s="1578">
        <v>760044.03919948731</v>
      </c>
      <c r="DY190" s="1578">
        <v>870357.56306105223</v>
      </c>
    </row>
    <row r="191" spans="1:129" s="904" customFormat="1">
      <c r="A191" s="939"/>
      <c r="B191" s="912"/>
      <c r="C191" s="918"/>
      <c r="D191" s="918"/>
      <c r="E191" s="918"/>
      <c r="F191" s="918"/>
      <c r="G191" s="918"/>
      <c r="H191" s="918"/>
      <c r="I191" s="918"/>
      <c r="J191" s="918"/>
      <c r="K191" s="918"/>
      <c r="L191" s="918"/>
      <c r="M191" s="918"/>
      <c r="N191" s="918"/>
      <c r="O191" s="918"/>
      <c r="P191" s="918"/>
      <c r="Q191" s="918"/>
      <c r="R191" s="918"/>
      <c r="S191" s="918"/>
      <c r="T191" s="918"/>
      <c r="U191" s="918"/>
      <c r="V191" s="918"/>
      <c r="W191" s="918"/>
      <c r="X191" s="918"/>
      <c r="Y191" s="918"/>
      <c r="Z191" s="918"/>
      <c r="AA191" s="918"/>
      <c r="AB191" s="918"/>
      <c r="AC191" s="918"/>
      <c r="AD191" s="918"/>
      <c r="AE191" s="918"/>
      <c r="AF191" s="918"/>
      <c r="AG191" s="918"/>
      <c r="AH191" s="918"/>
      <c r="AI191" s="918"/>
      <c r="AJ191" s="918"/>
      <c r="AK191" s="918"/>
      <c r="AL191" s="918"/>
      <c r="AM191" s="918"/>
      <c r="AN191" s="918"/>
      <c r="AO191" s="918"/>
      <c r="AP191" s="918"/>
      <c r="AQ191" s="918"/>
      <c r="AR191" s="918"/>
      <c r="AS191" s="918"/>
      <c r="AT191" s="918"/>
      <c r="AU191" s="911">
        <f t="shared" ref="AU191:BP191" si="2054">+AU185/AU190</f>
        <v>0.88997136398509991</v>
      </c>
      <c r="AV191" s="911">
        <f t="shared" si="2054"/>
        <v>0.88735247404600481</v>
      </c>
      <c r="AW191" s="911">
        <f t="shared" si="2054"/>
        <v>0.84459952384275239</v>
      </c>
      <c r="AX191" s="911">
        <f t="shared" si="2054"/>
        <v>0.80772196387400008</v>
      </c>
      <c r="AY191" s="911">
        <f t="shared" si="2054"/>
        <v>1.2424770003815919</v>
      </c>
      <c r="AZ191" s="911">
        <f t="shared" si="2054"/>
        <v>0.95584125629823613</v>
      </c>
      <c r="BA191" s="911">
        <f t="shared" si="2054"/>
        <v>1.056163024156979</v>
      </c>
      <c r="BB191" s="911">
        <f t="shared" si="2054"/>
        <v>0.94355263989579286</v>
      </c>
      <c r="BC191" s="911">
        <f t="shared" si="2054"/>
        <v>1.4336450588270424</v>
      </c>
      <c r="BD191" s="911">
        <f t="shared" si="2054"/>
        <v>0.93297602142421565</v>
      </c>
      <c r="BE191" s="911">
        <f t="shared" si="2054"/>
        <v>0.9807666947486221</v>
      </c>
      <c r="BF191" s="911">
        <f t="shared" si="2054"/>
        <v>0.93745167819957709</v>
      </c>
      <c r="BG191" s="911">
        <f t="shared" si="2054"/>
        <v>0.94156095799838313</v>
      </c>
      <c r="BH191" s="911">
        <f t="shared" si="2054"/>
        <v>0.91628424164919942</v>
      </c>
      <c r="BI191" s="911">
        <f t="shared" si="2054"/>
        <v>0.96420440381894112</v>
      </c>
      <c r="BJ191" s="911">
        <f t="shared" si="2054"/>
        <v>0.93265388351635659</v>
      </c>
      <c r="BK191" s="911">
        <f t="shared" si="2054"/>
        <v>0.93560212804180842</v>
      </c>
      <c r="BL191" s="911">
        <f t="shared" si="2054"/>
        <v>0.95556993701317483</v>
      </c>
      <c r="BM191" s="911">
        <f t="shared" si="2054"/>
        <v>0.98098940458671802</v>
      </c>
      <c r="BN191" s="911">
        <f t="shared" si="2054"/>
        <v>0.94820017903507259</v>
      </c>
      <c r="BO191" s="911">
        <f t="shared" si="2054"/>
        <v>16.351595591985426</v>
      </c>
      <c r="BP191" s="911">
        <f t="shared" si="2054"/>
        <v>0.83419753611415726</v>
      </c>
      <c r="BQ191" s="911">
        <f t="shared" ref="BQ191:BY191" si="2055">+BQ185/BQ190</f>
        <v>-1.5927986195745296</v>
      </c>
      <c r="BR191" s="911">
        <f t="shared" si="2055"/>
        <v>0.96641584252619861</v>
      </c>
      <c r="BS191" s="911">
        <f t="shared" si="2055"/>
        <v>-0.7894527802414304</v>
      </c>
      <c r="BT191" s="911">
        <f t="shared" si="2055"/>
        <v>0.91215802271679625</v>
      </c>
      <c r="BU191" s="911">
        <f t="shared" si="2055"/>
        <v>1.3291881166753188</v>
      </c>
      <c r="BV191" s="911">
        <f t="shared" si="2055"/>
        <v>0.97371685725910351</v>
      </c>
      <c r="BW191" s="911">
        <f t="shared" si="2055"/>
        <v>1.4761467411156917</v>
      </c>
      <c r="BX191" s="911">
        <f t="shared" si="2055"/>
        <v>0.96659402877033629</v>
      </c>
      <c r="BY191" s="911">
        <f t="shared" si="2055"/>
        <v>1.312952576571965</v>
      </c>
      <c r="BZ191" s="911">
        <f t="shared" ref="BZ191" si="2056">+BZ185/BZ190</f>
        <v>0.98361412322283748</v>
      </c>
      <c r="CA191" s="911">
        <f t="shared" ref="CA191" si="2057">+CA185/CA190</f>
        <v>7.4511591596458961</v>
      </c>
      <c r="CB191" s="911">
        <f t="shared" ref="CB191:CC191" si="2058">+CB185/CB190</f>
        <v>1.4991334483239007</v>
      </c>
      <c r="CC191" s="911">
        <f t="shared" si="2058"/>
        <v>1.9862420795595193</v>
      </c>
      <c r="CD191" s="911">
        <f t="shared" ref="CD191:CE191" si="2059">+CD185/CD190</f>
        <v>0.99637975193673811</v>
      </c>
      <c r="CE191" s="911">
        <f t="shared" si="2059"/>
        <v>2.0638461799640933</v>
      </c>
      <c r="CF191" s="911">
        <f t="shared" ref="CF191:CH191" si="2060">+CF185/CF190</f>
        <v>0.94657055812358726</v>
      </c>
      <c r="CG191" s="911">
        <f t="shared" si="2060"/>
        <v>1.2642093234508316</v>
      </c>
      <c r="CH191" s="911">
        <f t="shared" si="2060"/>
        <v>0.89675299980254009</v>
      </c>
      <c r="CI191" s="911" t="e">
        <f t="shared" ref="CI191:CK191" si="2061">+CI185/CI190</f>
        <v>#DIV/0!</v>
      </c>
      <c r="CJ191" s="911" t="e">
        <f t="shared" si="2061"/>
        <v>#DIV/0!</v>
      </c>
      <c r="CK191" s="911" t="e">
        <f t="shared" si="2061"/>
        <v>#DIV/0!</v>
      </c>
      <c r="CL191" s="815">
        <v>1</v>
      </c>
      <c r="CM191" s="815">
        <v>1</v>
      </c>
      <c r="CN191" s="815">
        <v>1</v>
      </c>
      <c r="CO191" s="815">
        <v>1</v>
      </c>
      <c r="CP191" s="815">
        <v>1</v>
      </c>
      <c r="CQ191" s="815"/>
      <c r="CR191" s="815">
        <v>1</v>
      </c>
      <c r="CT191" s="918"/>
      <c r="CU191" s="918"/>
      <c r="CV191" s="918"/>
      <c r="CW191" s="918"/>
      <c r="CX191" s="918"/>
      <c r="CY191" s="918"/>
      <c r="CZ191" s="918"/>
      <c r="DA191" s="918"/>
      <c r="DB191" s="918"/>
      <c r="DC191" s="918"/>
      <c r="DD191" s="918"/>
      <c r="DE191" s="911">
        <f t="shared" ref="DE191:DL191" si="2062">+DE185/DE190</f>
        <v>0.7738531794112764</v>
      </c>
      <c r="DF191" s="911">
        <f t="shared" si="2062"/>
        <v>0.78212237075143076</v>
      </c>
      <c r="DG191" s="911">
        <f t="shared" si="2062"/>
        <v>0.87659852290431284</v>
      </c>
      <c r="DH191" s="911">
        <f t="shared" si="2062"/>
        <v>0.85744897046052204</v>
      </c>
      <c r="DI191" s="911">
        <f t="shared" si="2062"/>
        <v>0.84543860065554377</v>
      </c>
      <c r="DJ191" s="911">
        <f t="shared" si="2062"/>
        <v>0.86588617888990782</v>
      </c>
      <c r="DK191" s="911">
        <f t="shared" si="2062"/>
        <v>0.89759978094565362</v>
      </c>
      <c r="DL191" s="911">
        <f t="shared" si="2062"/>
        <v>1.2246013058617171</v>
      </c>
      <c r="DM191" s="911">
        <f>+DM185/DM190</f>
        <v>1.003831601505919</v>
      </c>
      <c r="DN191" s="911">
        <f>+DN185/DN190</f>
        <v>1.3972648121246514</v>
      </c>
      <c r="DO191" s="911">
        <f>+DO185/DO190</f>
        <v>1.058897652882838</v>
      </c>
      <c r="DP191" s="911">
        <f>+DP185/DP190</f>
        <v>1.1631827893190687</v>
      </c>
      <c r="DQ191" s="911">
        <f>+DQ185/DQ190</f>
        <v>1.1748844726361862</v>
      </c>
      <c r="DR191" s="815">
        <v>1</v>
      </c>
      <c r="DS191" s="815">
        <v>1</v>
      </c>
      <c r="DT191" s="815">
        <v>1</v>
      </c>
      <c r="DU191" s="815">
        <v>1</v>
      </c>
      <c r="DX191" s="815">
        <v>1</v>
      </c>
      <c r="DY191" s="815">
        <v>1</v>
      </c>
    </row>
    <row r="192" spans="1:129" s="904" customFormat="1">
      <c r="A192" s="939"/>
      <c r="B192" s="912"/>
      <c r="C192" s="918"/>
      <c r="D192" s="918"/>
      <c r="E192" s="918"/>
      <c r="F192" s="918"/>
      <c r="G192" s="918"/>
      <c r="H192" s="918"/>
      <c r="I192" s="918"/>
      <c r="J192" s="918"/>
      <c r="K192" s="918"/>
      <c r="L192" s="918"/>
      <c r="M192" s="918"/>
      <c r="N192" s="918"/>
      <c r="O192" s="918"/>
      <c r="P192" s="918"/>
      <c r="Q192" s="918"/>
      <c r="R192" s="918"/>
      <c r="S192" s="918"/>
      <c r="T192" s="918"/>
      <c r="U192" s="918"/>
      <c r="V192" s="918"/>
      <c r="W192" s="918"/>
      <c r="X192" s="918"/>
      <c r="Y192" s="918"/>
      <c r="Z192" s="918"/>
      <c r="AA192" s="918"/>
      <c r="AB192" s="918"/>
      <c r="AC192" s="918"/>
      <c r="AD192" s="918"/>
      <c r="AE192" s="918"/>
      <c r="AF192" s="918"/>
      <c r="AG192" s="918"/>
      <c r="AH192" s="918"/>
      <c r="AI192" s="918"/>
      <c r="AJ192" s="918"/>
      <c r="AK192" s="918"/>
      <c r="AL192" s="918"/>
      <c r="AM192" s="918"/>
      <c r="AN192" s="918"/>
      <c r="AO192" s="918"/>
      <c r="AP192" s="918"/>
      <c r="AQ192" s="918"/>
      <c r="AR192" s="918"/>
      <c r="AS192" s="918"/>
      <c r="AT192" s="918"/>
      <c r="AU192" s="918"/>
      <c r="AV192" s="918"/>
      <c r="AW192" s="918"/>
      <c r="AX192" s="918"/>
      <c r="AY192" s="918"/>
      <c r="AZ192" s="921"/>
      <c r="BA192" s="921"/>
      <c r="BB192" s="921"/>
      <c r="BC192" s="918"/>
      <c r="BD192" s="918"/>
      <c r="BE192" s="918"/>
      <c r="BF192" s="918"/>
      <c r="BG192" s="918"/>
      <c r="BH192" s="918"/>
      <c r="BI192" s="918"/>
      <c r="BJ192" s="918"/>
      <c r="BK192" s="918"/>
      <c r="BL192" s="918"/>
      <c r="BM192" s="918"/>
      <c r="BN192" s="918"/>
      <c r="BO192" s="918"/>
      <c r="BP192" s="918"/>
      <c r="BQ192" s="918"/>
      <c r="BR192" s="918"/>
      <c r="BS192" s="918"/>
      <c r="BT192" s="918"/>
      <c r="BU192" s="918"/>
      <c r="BV192" s="918"/>
      <c r="BW192" s="918"/>
      <c r="BX192" s="918"/>
      <c r="BY192" s="918"/>
      <c r="BZ192" s="918"/>
      <c r="CA192" s="918"/>
      <c r="CB192" s="918"/>
      <c r="CC192" s="918"/>
      <c r="CD192" s="918"/>
      <c r="CE192" s="918"/>
      <c r="CF192" s="918"/>
      <c r="CG192" s="918"/>
      <c r="CH192" s="918"/>
      <c r="CI192" s="918"/>
      <c r="CJ192" s="918"/>
      <c r="CK192" s="918"/>
      <c r="CL192" s="918"/>
      <c r="CM192" s="918"/>
      <c r="CN192" s="918"/>
      <c r="CO192" s="918"/>
      <c r="CP192" s="918"/>
      <c r="CQ192" s="918"/>
      <c r="CR192" s="918"/>
      <c r="CT192" s="918"/>
      <c r="CU192" s="918"/>
      <c r="CV192" s="918"/>
      <c r="CW192" s="918"/>
      <c r="CX192" s="918"/>
      <c r="CY192" s="918"/>
      <c r="CZ192" s="918"/>
      <c r="DA192" s="918"/>
      <c r="DB192" s="918"/>
      <c r="DC192" s="918"/>
      <c r="DD192" s="918"/>
      <c r="DE192" s="918"/>
      <c r="DF192" s="918"/>
      <c r="DG192" s="918"/>
      <c r="DH192" s="918"/>
      <c r="DI192" s="918"/>
      <c r="DJ192" s="918"/>
      <c r="DK192" s="918"/>
      <c r="DL192" s="918"/>
      <c r="DM192" s="918"/>
      <c r="DN192" s="918"/>
      <c r="DO192" s="918"/>
      <c r="DP192" s="918"/>
      <c r="DQ192" s="918"/>
      <c r="DR192" s="815"/>
      <c r="DS192" s="815"/>
      <c r="DT192" s="815"/>
      <c r="DU192" s="815"/>
      <c r="DX192" s="815"/>
      <c r="DY192" s="815"/>
    </row>
    <row r="193" spans="1:129" s="904" customFormat="1">
      <c r="A193" s="939"/>
      <c r="B193" s="912" t="s">
        <v>75</v>
      </c>
      <c r="C193" s="592">
        <v>0</v>
      </c>
      <c r="D193" s="592">
        <v>0</v>
      </c>
      <c r="E193" s="592">
        <v>0</v>
      </c>
      <c r="F193" s="592">
        <v>0</v>
      </c>
      <c r="G193" s="592">
        <v>0</v>
      </c>
      <c r="H193" s="592">
        <v>0</v>
      </c>
      <c r="I193" s="592">
        <v>0</v>
      </c>
      <c r="J193" s="986">
        <f>0.29083*121582</f>
        <v>35359.693059999998</v>
      </c>
      <c r="K193" s="986"/>
      <c r="L193" s="592">
        <v>0</v>
      </c>
      <c r="M193" s="961">
        <f>0</f>
        <v>0</v>
      </c>
      <c r="N193" s="961">
        <f>0.275*121582</f>
        <v>33435.050000000003</v>
      </c>
      <c r="O193" s="961"/>
      <c r="P193" s="592">
        <v>0</v>
      </c>
      <c r="Q193" s="592">
        <v>0</v>
      </c>
      <c r="R193" s="961">
        <f>0.676*121582</f>
        <v>82189.432000000001</v>
      </c>
      <c r="S193" s="961"/>
      <c r="T193" s="961">
        <f>0</f>
        <v>0</v>
      </c>
      <c r="U193" s="961">
        <f>0</f>
        <v>0</v>
      </c>
      <c r="V193" s="961">
        <v>8620.1638000000003</v>
      </c>
      <c r="W193" s="961"/>
      <c r="X193" s="961"/>
      <c r="Y193" s="948"/>
      <c r="Z193" s="961">
        <v>8620.1638000000003</v>
      </c>
      <c r="AA193" s="948"/>
      <c r="AB193" s="948"/>
      <c r="AC193" s="948"/>
      <c r="AD193" s="961">
        <v>100000</v>
      </c>
      <c r="AE193" s="948"/>
      <c r="AF193" s="948"/>
      <c r="AG193" s="948"/>
      <c r="AH193" s="941">
        <v>187445</v>
      </c>
      <c r="AI193" s="948"/>
      <c r="AJ193" s="948"/>
      <c r="AK193" s="948"/>
      <c r="AL193" s="941">
        <v>194786.63380131885</v>
      </c>
      <c r="AM193" s="948"/>
      <c r="AN193" s="948"/>
      <c r="AO193" s="948"/>
      <c r="AP193" s="941">
        <v>105283.35770220001</v>
      </c>
      <c r="AQ193" s="948"/>
      <c r="AR193" s="948"/>
      <c r="AS193" s="948"/>
      <c r="AT193" s="948"/>
      <c r="AU193" s="952"/>
      <c r="AV193" s="952"/>
      <c r="AW193" s="952"/>
      <c r="AX193" s="952"/>
      <c r="AY193" s="952"/>
      <c r="AZ193" s="999"/>
      <c r="BA193" s="952"/>
      <c r="BB193" s="952"/>
      <c r="BC193" s="952"/>
      <c r="BD193" s="952"/>
      <c r="BE193" s="952"/>
      <c r="BF193" s="952"/>
      <c r="BG193" s="952">
        <v>96246.807960000006</v>
      </c>
      <c r="BH193" s="952"/>
      <c r="BI193" s="952"/>
      <c r="BJ193" s="952"/>
      <c r="BK193" s="952">
        <v>182381.33840000001</v>
      </c>
      <c r="BL193" s="952"/>
      <c r="BM193" s="952"/>
      <c r="BN193" s="952"/>
      <c r="BO193" s="952">
        <v>15697.00864</v>
      </c>
      <c r="BP193" s="948"/>
      <c r="BQ193" s="948"/>
      <c r="BR193" s="948"/>
      <c r="BS193" s="952">
        <v>30889</v>
      </c>
      <c r="BT193" s="595">
        <v>0</v>
      </c>
      <c r="BU193" s="595">
        <v>0</v>
      </c>
      <c r="BV193" s="595">
        <v>0</v>
      </c>
      <c r="BW193" s="595">
        <v>0</v>
      </c>
      <c r="BX193" s="595">
        <v>0</v>
      </c>
      <c r="BY193" s="595">
        <v>0</v>
      </c>
      <c r="BZ193" s="595">
        <v>0</v>
      </c>
      <c r="CA193" s="595">
        <v>0</v>
      </c>
      <c r="CB193" s="595">
        <v>0</v>
      </c>
      <c r="CC193" s="595">
        <v>0</v>
      </c>
      <c r="CD193" s="595">
        <v>0</v>
      </c>
      <c r="CE193" s="595">
        <v>0</v>
      </c>
      <c r="CF193" s="595">
        <v>0</v>
      </c>
      <c r="CG193" s="595">
        <v>0</v>
      </c>
      <c r="CH193" s="595">
        <v>0</v>
      </c>
      <c r="CI193" s="595">
        <v>0</v>
      </c>
      <c r="CJ193" s="595">
        <v>0</v>
      </c>
      <c r="CK193" s="595">
        <v>0</v>
      </c>
      <c r="CL193" s="595">
        <v>0</v>
      </c>
      <c r="CM193" s="595">
        <v>0</v>
      </c>
      <c r="CN193" s="595">
        <v>0</v>
      </c>
      <c r="CO193" s="595">
        <v>0</v>
      </c>
      <c r="CP193" s="595">
        <v>0</v>
      </c>
      <c r="CQ193" s="948"/>
      <c r="CR193" s="948">
        <v>0</v>
      </c>
      <c r="CT193" s="948"/>
      <c r="CU193" s="948"/>
      <c r="CV193" s="948"/>
      <c r="CW193" s="948"/>
      <c r="CX193" s="903"/>
      <c r="CY193" s="954"/>
      <c r="CZ193" s="954"/>
      <c r="DA193" s="954"/>
      <c r="DB193" s="954"/>
      <c r="DC193" s="592"/>
      <c r="DD193" s="592"/>
      <c r="DE193" s="592"/>
      <c r="DF193" s="954"/>
      <c r="DG193" s="954"/>
      <c r="DH193" s="954"/>
      <c r="DI193" s="592"/>
      <c r="DJ193" s="954">
        <f>+SUM(BK193:BN193)</f>
        <v>182381.33840000001</v>
      </c>
      <c r="DK193" s="954">
        <f>+SUM(BO193:BR193)</f>
        <v>15697.00864</v>
      </c>
      <c r="DL193" s="954">
        <f>+SUM(BS193:BV193)</f>
        <v>30889</v>
      </c>
      <c r="DM193" s="954">
        <f>+SUM(BA193:BW193)</f>
        <v>325214.15500000003</v>
      </c>
      <c r="DN193" s="954">
        <f>+SUM(BX193:CD193)</f>
        <v>0</v>
      </c>
      <c r="DO193" s="954">
        <f>+SUM(BY193:CE193)</f>
        <v>0</v>
      </c>
      <c r="DP193" s="954">
        <f>+SUM(BZ193:CI193)</f>
        <v>0</v>
      </c>
      <c r="DQ193" s="954">
        <f>+SUM(CA193:CM193)</f>
        <v>0</v>
      </c>
      <c r="DR193" s="595">
        <f>+DQ193*1.12</f>
        <v>0</v>
      </c>
      <c r="DS193" s="595">
        <f t="shared" ref="DS193:DU193" si="2063">+DR193*1.12</f>
        <v>0</v>
      </c>
      <c r="DT193" s="595">
        <f t="shared" si="2063"/>
        <v>0</v>
      </c>
      <c r="DU193" s="595">
        <f t="shared" si="2063"/>
        <v>0</v>
      </c>
      <c r="DX193" s="595">
        <v>0</v>
      </c>
      <c r="DY193" s="595">
        <v>0</v>
      </c>
    </row>
    <row r="194" spans="1:129" s="904" customFormat="1">
      <c r="A194" s="939"/>
      <c r="B194" s="912" t="s">
        <v>483</v>
      </c>
      <c r="C194" s="918"/>
      <c r="D194" s="918"/>
      <c r="E194" s="918"/>
      <c r="F194" s="918"/>
      <c r="G194" s="918"/>
      <c r="H194" s="918"/>
      <c r="I194" s="918"/>
      <c r="J194" s="918"/>
      <c r="K194" s="918"/>
      <c r="L194" s="918"/>
      <c r="M194" s="918"/>
      <c r="N194" s="918"/>
      <c r="O194" s="918"/>
      <c r="P194" s="1000"/>
      <c r="Q194" s="1000"/>
      <c r="R194" s="1000"/>
      <c r="S194" s="1000"/>
      <c r="T194" s="1000"/>
      <c r="U194" s="1000"/>
      <c r="V194" s="1000"/>
      <c r="W194" s="1000"/>
      <c r="X194" s="1000"/>
      <c r="Y194" s="1000"/>
      <c r="Z194" s="1000"/>
      <c r="AA194" s="1000"/>
      <c r="AB194" s="1000"/>
      <c r="AC194" s="1000"/>
      <c r="AD194" s="1000"/>
      <c r="AE194" s="1000"/>
      <c r="AF194" s="1000"/>
      <c r="AG194" s="1000"/>
      <c r="AH194" s="1000"/>
      <c r="AI194" s="1000"/>
      <c r="AJ194" s="1000"/>
      <c r="AK194" s="1000"/>
      <c r="AL194" s="1000"/>
      <c r="AM194" s="1000"/>
      <c r="AN194" s="1000"/>
      <c r="AO194" s="1000"/>
      <c r="AP194" s="1000"/>
      <c r="AQ194" s="1000"/>
      <c r="AR194" s="1000"/>
      <c r="AS194" s="1000"/>
      <c r="AT194" s="1000"/>
      <c r="AU194" s="1000"/>
      <c r="AV194" s="1000"/>
      <c r="AW194" s="1000"/>
      <c r="AX194" s="1000"/>
      <c r="AY194" s="1000"/>
      <c r="AZ194" s="1000"/>
      <c r="BA194" s="1000"/>
      <c r="BB194" s="1000"/>
      <c r="BC194" s="1000"/>
      <c r="BD194" s="1000"/>
      <c r="BE194" s="1000"/>
      <c r="BF194" s="1000"/>
      <c r="BG194" s="1000"/>
      <c r="BH194" s="1000"/>
      <c r="BI194" s="1000"/>
      <c r="BJ194" s="1000"/>
      <c r="BK194" s="1000"/>
      <c r="BL194" s="1000"/>
      <c r="BM194" s="1000"/>
      <c r="BN194" s="1000"/>
      <c r="BO194" s="1000"/>
      <c r="BP194" s="1000"/>
      <c r="BQ194" s="1000"/>
      <c r="BR194" s="1000"/>
      <c r="BS194" s="1000"/>
      <c r="BT194" s="1000"/>
      <c r="BU194" s="1000"/>
      <c r="BV194" s="1000"/>
      <c r="BW194" s="1000"/>
      <c r="BX194" s="1000"/>
      <c r="BY194" s="1000"/>
      <c r="BZ194" s="1000"/>
      <c r="CA194" s="1000"/>
      <c r="CB194" s="1000"/>
      <c r="CC194" s="1000"/>
      <c r="CD194" s="1000"/>
      <c r="CE194" s="1000"/>
      <c r="CF194" s="1000"/>
      <c r="CG194" s="1000"/>
      <c r="CH194" s="1000"/>
      <c r="CI194" s="1000"/>
      <c r="CJ194" s="1000"/>
      <c r="CK194" s="1000"/>
      <c r="CL194" s="1000"/>
      <c r="CM194" s="1000"/>
      <c r="CN194" s="1000"/>
      <c r="CO194" s="1000"/>
      <c r="CP194" s="1000"/>
      <c r="CQ194" s="1000"/>
      <c r="CR194" s="1000"/>
      <c r="CT194" s="1000"/>
      <c r="CU194" s="1000"/>
      <c r="CV194" s="1000"/>
      <c r="CW194" s="1000"/>
      <c r="CX194" s="1000"/>
      <c r="CY194" s="1000"/>
      <c r="CZ194" s="1000"/>
      <c r="DA194" s="979"/>
      <c r="DB194" s="978">
        <f t="shared" ref="DB194:DU194" si="2064">+DB193/DB25</f>
        <v>0</v>
      </c>
      <c r="DC194" s="978">
        <f t="shared" si="2064"/>
        <v>0</v>
      </c>
      <c r="DD194" s="978">
        <f t="shared" si="2064"/>
        <v>0</v>
      </c>
      <c r="DE194" s="978">
        <f t="shared" si="2064"/>
        <v>0</v>
      </c>
      <c r="DF194" s="978">
        <f t="shared" si="2064"/>
        <v>0</v>
      </c>
      <c r="DG194" s="978">
        <f t="shared" si="2064"/>
        <v>0</v>
      </c>
      <c r="DH194" s="978">
        <f t="shared" si="2064"/>
        <v>0</v>
      </c>
      <c r="DI194" s="978">
        <f t="shared" si="2064"/>
        <v>0</v>
      </c>
      <c r="DJ194" s="978">
        <f t="shared" si="2064"/>
        <v>0.1679072313370521</v>
      </c>
      <c r="DK194" s="978">
        <f t="shared" si="2064"/>
        <v>1.4318965699997901E-2</v>
      </c>
      <c r="DL194" s="978">
        <f t="shared" si="2064"/>
        <v>4.876703710878591E-2</v>
      </c>
      <c r="DM194" s="978">
        <f t="shared" si="2064"/>
        <v>0.25177161855318136</v>
      </c>
      <c r="DN194" s="978">
        <f t="shared" si="2064"/>
        <v>0</v>
      </c>
      <c r="DO194" s="978">
        <f t="shared" si="2064"/>
        <v>0</v>
      </c>
      <c r="DP194" s="978">
        <f t="shared" ref="DP194:DQ194" si="2065">+DP193/DP25</f>
        <v>0</v>
      </c>
      <c r="DQ194" s="978">
        <f t="shared" si="2065"/>
        <v>0</v>
      </c>
      <c r="DR194" s="978">
        <f t="shared" si="2064"/>
        <v>0</v>
      </c>
      <c r="DS194" s="978">
        <f t="shared" si="2064"/>
        <v>0</v>
      </c>
      <c r="DT194" s="978">
        <f t="shared" si="2064"/>
        <v>0</v>
      </c>
      <c r="DU194" s="978">
        <f t="shared" si="2064"/>
        <v>0</v>
      </c>
      <c r="DX194" s="978">
        <v>0</v>
      </c>
      <c r="DY194" s="978">
        <v>0</v>
      </c>
    </row>
    <row r="195" spans="1:129" s="904" customFormat="1">
      <c r="A195" s="939"/>
      <c r="B195" s="912" t="s">
        <v>484</v>
      </c>
      <c r="C195" s="961"/>
      <c r="D195" s="961"/>
      <c r="E195" s="961"/>
      <c r="F195" s="961"/>
      <c r="G195" s="961"/>
      <c r="H195" s="961"/>
      <c r="I195" s="961"/>
      <c r="J195" s="961"/>
      <c r="K195" s="987"/>
      <c r="L195" s="961"/>
      <c r="M195" s="961"/>
      <c r="N195" s="961"/>
      <c r="O195" s="987"/>
      <c r="P195" s="592"/>
      <c r="Q195" s="592"/>
      <c r="R195" s="592"/>
      <c r="S195" s="987"/>
      <c r="T195" s="592"/>
      <c r="U195" s="592"/>
      <c r="V195" s="592"/>
      <c r="W195" s="592"/>
      <c r="X195" s="592"/>
      <c r="Y195" s="592"/>
      <c r="Z195" s="592"/>
      <c r="AA195" s="592"/>
      <c r="AB195" s="592"/>
      <c r="AC195" s="592"/>
      <c r="AD195" s="592"/>
      <c r="AE195" s="592"/>
      <c r="AF195" s="592"/>
      <c r="AG195" s="592"/>
      <c r="AH195" s="592"/>
      <c r="AI195" s="592"/>
      <c r="AJ195" s="592"/>
      <c r="AK195" s="592"/>
      <c r="AL195" s="592"/>
      <c r="AM195" s="592"/>
      <c r="AN195" s="592"/>
      <c r="AO195" s="592"/>
      <c r="AP195" s="941"/>
      <c r="AQ195" s="592"/>
      <c r="AR195" s="592"/>
      <c r="AS195" s="592"/>
      <c r="AT195" s="592"/>
      <c r="AU195" s="592"/>
      <c r="AV195" s="592"/>
      <c r="AW195" s="592"/>
      <c r="AX195" s="592"/>
      <c r="AY195" s="592"/>
      <c r="AZ195" s="592"/>
      <c r="BA195" s="592"/>
      <c r="BB195" s="592"/>
      <c r="BC195" s="592"/>
      <c r="BD195" s="592"/>
      <c r="BE195" s="592"/>
      <c r="BF195" s="592"/>
      <c r="BG195" s="592"/>
      <c r="BH195" s="592"/>
      <c r="BI195" s="592"/>
      <c r="BJ195" s="592"/>
      <c r="BK195" s="592"/>
      <c r="BL195" s="592"/>
      <c r="BM195" s="592"/>
      <c r="BN195" s="592"/>
      <c r="BO195" s="592"/>
      <c r="BP195" s="592"/>
      <c r="BQ195" s="592"/>
      <c r="BR195" s="592"/>
      <c r="BS195" s="592"/>
      <c r="BT195" s="592"/>
      <c r="BU195" s="592"/>
      <c r="BV195" s="592"/>
      <c r="BW195" s="592"/>
      <c r="BX195" s="592"/>
      <c r="BY195" s="592"/>
      <c r="BZ195" s="592"/>
      <c r="CA195" s="592"/>
      <c r="CB195" s="592"/>
      <c r="CC195" s="592"/>
      <c r="CD195" s="592"/>
      <c r="CE195" s="592"/>
      <c r="CF195" s="592"/>
      <c r="CG195" s="592"/>
      <c r="CH195" s="592"/>
      <c r="CI195" s="592"/>
      <c r="CJ195" s="592"/>
      <c r="CK195" s="592"/>
      <c r="CL195" s="592"/>
      <c r="CM195" s="592"/>
      <c r="CN195" s="592"/>
      <c r="CO195" s="592"/>
      <c r="CP195" s="592"/>
      <c r="CQ195" s="592"/>
      <c r="CR195" s="592"/>
      <c r="CT195" s="592"/>
      <c r="CU195" s="592"/>
      <c r="CV195" s="592"/>
      <c r="CW195" s="592"/>
      <c r="CX195" s="592">
        <f>+SUM(I195:L195)</f>
        <v>0</v>
      </c>
      <c r="CY195" s="954">
        <f>SUM(S195:V195)</f>
        <v>0</v>
      </c>
      <c r="CZ195" s="954">
        <f>SUM(W195:Z195)</f>
        <v>0</v>
      </c>
      <c r="DA195" s="592"/>
      <c r="DB195" s="592"/>
      <c r="DC195" s="592"/>
      <c r="DD195" s="592"/>
      <c r="DE195" s="592"/>
      <c r="DF195" s="592"/>
      <c r="DG195" s="592"/>
      <c r="DH195" s="592"/>
      <c r="DI195" s="918"/>
      <c r="DJ195" s="592"/>
      <c r="DK195" s="592"/>
      <c r="DL195" s="592"/>
      <c r="DM195" s="592"/>
      <c r="DN195" s="592"/>
      <c r="DO195" s="592"/>
      <c r="DP195" s="592"/>
      <c r="DQ195" s="592"/>
      <c r="DR195" s="592"/>
      <c r="DS195" s="592"/>
      <c r="DT195" s="592"/>
      <c r="DU195" s="592"/>
      <c r="DX195" s="592"/>
      <c r="DY195" s="592"/>
    </row>
    <row r="196" spans="1:129" s="904" customFormat="1">
      <c r="A196" s="939"/>
      <c r="B196" s="912"/>
      <c r="C196" s="961"/>
      <c r="D196" s="961"/>
      <c r="E196" s="961"/>
      <c r="F196" s="961"/>
      <c r="G196" s="961"/>
      <c r="H196" s="961"/>
      <c r="I196" s="961"/>
      <c r="J196" s="961"/>
      <c r="K196" s="987"/>
      <c r="L196" s="961"/>
      <c r="M196" s="961"/>
      <c r="N196" s="961"/>
      <c r="O196" s="987"/>
      <c r="P196" s="592"/>
      <c r="Q196" s="592"/>
      <c r="R196" s="592"/>
      <c r="S196" s="987"/>
      <c r="T196" s="592"/>
      <c r="U196" s="592"/>
      <c r="V196" s="592"/>
      <c r="W196" s="592"/>
      <c r="X196" s="592"/>
      <c r="Y196" s="592"/>
      <c r="Z196" s="592"/>
      <c r="AA196" s="592"/>
      <c r="AB196" s="592"/>
      <c r="AC196" s="592"/>
      <c r="AD196" s="592"/>
      <c r="AE196" s="592"/>
      <c r="AF196" s="592"/>
      <c r="AG196" s="592"/>
      <c r="AH196" s="592"/>
      <c r="AI196" s="592"/>
      <c r="AJ196" s="592"/>
      <c r="AK196" s="592"/>
      <c r="AL196" s="592"/>
      <c r="AM196" s="592"/>
      <c r="AN196" s="592"/>
      <c r="AO196" s="592"/>
      <c r="AP196" s="941"/>
      <c r="AQ196" s="592"/>
      <c r="AR196" s="592"/>
      <c r="AS196" s="592"/>
      <c r="AT196" s="592"/>
      <c r="AU196" s="592"/>
      <c r="AV196" s="592"/>
      <c r="AW196" s="592"/>
      <c r="AX196" s="592"/>
      <c r="AY196" s="592"/>
      <c r="AZ196" s="592"/>
      <c r="BA196" s="592"/>
      <c r="BB196" s="592"/>
      <c r="BC196" s="592"/>
      <c r="BD196" s="592"/>
      <c r="BE196" s="592"/>
      <c r="BF196" s="592"/>
      <c r="BG196" s="592"/>
      <c r="BH196" s="592"/>
      <c r="BI196" s="592"/>
      <c r="BJ196" s="592"/>
      <c r="BK196" s="592"/>
      <c r="BL196" s="592"/>
      <c r="BM196" s="592"/>
      <c r="BN196" s="592"/>
      <c r="BO196" s="592"/>
      <c r="BP196" s="592"/>
      <c r="BQ196" s="592"/>
      <c r="BR196" s="592"/>
      <c r="BS196" s="592"/>
      <c r="BT196" s="592"/>
      <c r="BU196" s="592"/>
      <c r="BV196" s="592"/>
      <c r="BW196" s="592"/>
      <c r="BX196" s="592"/>
      <c r="BY196" s="592"/>
      <c r="BZ196" s="592"/>
      <c r="CA196" s="592"/>
      <c r="CB196" s="592"/>
      <c r="CC196" s="592"/>
      <c r="CD196" s="592"/>
      <c r="CE196" s="592"/>
      <c r="CF196" s="592"/>
      <c r="CG196" s="592"/>
      <c r="CH196" s="592"/>
      <c r="CI196" s="592"/>
      <c r="CJ196" s="592"/>
      <c r="CK196" s="592"/>
      <c r="CL196" s="592"/>
      <c r="CM196" s="592"/>
      <c r="CN196" s="592"/>
      <c r="CO196" s="592"/>
      <c r="CP196" s="592"/>
      <c r="CQ196" s="592"/>
      <c r="CR196" s="592"/>
      <c r="CT196" s="592"/>
      <c r="CU196" s="592"/>
      <c r="CV196" s="592"/>
      <c r="CW196" s="592"/>
      <c r="CX196" s="592"/>
      <c r="CY196" s="954"/>
      <c r="CZ196" s="954"/>
      <c r="DA196" s="592"/>
      <c r="DB196" s="592"/>
      <c r="DC196" s="592"/>
      <c r="DD196" s="592"/>
      <c r="DE196" s="592"/>
      <c r="DF196" s="592"/>
      <c r="DG196" s="592"/>
      <c r="DH196" s="592"/>
      <c r="DI196" s="918"/>
      <c r="DJ196" s="592"/>
      <c r="DK196" s="592"/>
      <c r="DL196" s="592"/>
      <c r="DM196" s="592"/>
      <c r="DN196" s="592"/>
      <c r="DO196" s="592"/>
      <c r="DP196" s="592"/>
      <c r="DQ196" s="592"/>
      <c r="DR196" s="592"/>
      <c r="DS196" s="592"/>
      <c r="DT196" s="592"/>
      <c r="DU196" s="592"/>
      <c r="DX196" s="592"/>
      <c r="DY196" s="592"/>
    </row>
    <row r="197" spans="1:129" s="590" customFormat="1">
      <c r="A197" s="943"/>
      <c r="B197" s="818" t="s">
        <v>485</v>
      </c>
      <c r="C197" s="589">
        <f t="shared" ref="C197:AH197" si="2066">+C193+C185</f>
        <v>0</v>
      </c>
      <c r="D197" s="589">
        <f t="shared" si="2066"/>
        <v>0</v>
      </c>
      <c r="E197" s="589">
        <f t="shared" si="2066"/>
        <v>0</v>
      </c>
      <c r="F197" s="589">
        <f t="shared" si="2066"/>
        <v>0</v>
      </c>
      <c r="G197" s="589">
        <f t="shared" si="2066"/>
        <v>0</v>
      </c>
      <c r="H197" s="589">
        <f t="shared" si="2066"/>
        <v>0</v>
      </c>
      <c r="I197" s="589">
        <f t="shared" si="2066"/>
        <v>0</v>
      </c>
      <c r="J197" s="589">
        <f t="shared" si="2066"/>
        <v>65755.193059999991</v>
      </c>
      <c r="K197" s="589">
        <f t="shared" si="2066"/>
        <v>0</v>
      </c>
      <c r="L197" s="589">
        <f t="shared" si="2066"/>
        <v>0</v>
      </c>
      <c r="M197" s="589">
        <f t="shared" si="2066"/>
        <v>21753.451440000001</v>
      </c>
      <c r="N197" s="589">
        <f t="shared" si="2066"/>
        <v>52438.316600000006</v>
      </c>
      <c r="O197" s="589">
        <f t="shared" si="2066"/>
        <v>0</v>
      </c>
      <c r="P197" s="589">
        <f t="shared" si="2066"/>
        <v>0</v>
      </c>
      <c r="Q197" s="589">
        <f t="shared" si="2066"/>
        <v>0</v>
      </c>
      <c r="R197" s="589">
        <f t="shared" si="2066"/>
        <v>116864.61840000001</v>
      </c>
      <c r="S197" s="589">
        <f t="shared" si="2066"/>
        <v>0</v>
      </c>
      <c r="T197" s="589">
        <f t="shared" si="2066"/>
        <v>0</v>
      </c>
      <c r="U197" s="589">
        <f t="shared" si="2066"/>
        <v>0</v>
      </c>
      <c r="V197" s="589">
        <f t="shared" si="2066"/>
        <v>45046.131000000001</v>
      </c>
      <c r="W197" s="589">
        <f t="shared" si="2066"/>
        <v>0</v>
      </c>
      <c r="X197" s="589">
        <f t="shared" si="2066"/>
        <v>0</v>
      </c>
      <c r="Y197" s="589">
        <f t="shared" si="2066"/>
        <v>0</v>
      </c>
      <c r="Z197" s="589">
        <f t="shared" si="2066"/>
        <v>53204.283200000005</v>
      </c>
      <c r="AA197" s="589">
        <f t="shared" si="2066"/>
        <v>0</v>
      </c>
      <c r="AB197" s="589">
        <f t="shared" si="2066"/>
        <v>0</v>
      </c>
      <c r="AC197" s="589">
        <f t="shared" si="2066"/>
        <v>0</v>
      </c>
      <c r="AD197" s="589">
        <f t="shared" si="2066"/>
        <v>170233</v>
      </c>
      <c r="AE197" s="589">
        <f t="shared" si="2066"/>
        <v>18963.562400000003</v>
      </c>
      <c r="AF197" s="589">
        <f t="shared" si="2066"/>
        <v>20653.052648372683</v>
      </c>
      <c r="AG197" s="589">
        <f t="shared" si="2066"/>
        <v>20927.381620931716</v>
      </c>
      <c r="AH197" s="589">
        <f t="shared" si="2066"/>
        <v>209038.60912571792</v>
      </c>
      <c r="AI197" s="589">
        <f t="shared" ref="AI197:BN197" si="2067">+AI193+AI185</f>
        <v>20302.322039999999</v>
      </c>
      <c r="AJ197" s="589">
        <f t="shared" si="2067"/>
        <v>20672.86089</v>
      </c>
      <c r="AK197" s="589">
        <f t="shared" si="2067"/>
        <v>20023.939859999999</v>
      </c>
      <c r="AL197" s="589">
        <f t="shared" si="2067"/>
        <v>215187.77548131885</v>
      </c>
      <c r="AM197" s="589">
        <f t="shared" si="2067"/>
        <v>14526.372261221015</v>
      </c>
      <c r="AN197" s="589">
        <f t="shared" si="2067"/>
        <v>14931.334077855774</v>
      </c>
      <c r="AO197" s="589">
        <f t="shared" si="2067"/>
        <v>15427.738885343542</v>
      </c>
      <c r="AP197" s="589">
        <f t="shared" si="2067"/>
        <v>120326.53512105001</v>
      </c>
      <c r="AQ197" s="589">
        <f t="shared" si="2067"/>
        <v>17360.901883499999</v>
      </c>
      <c r="AR197" s="589">
        <f t="shared" si="2067"/>
        <v>17776.354938</v>
      </c>
      <c r="AS197" s="589">
        <f t="shared" si="2067"/>
        <v>18229.576452000001</v>
      </c>
      <c r="AT197" s="589">
        <f t="shared" si="2067"/>
        <v>18418.418749500004</v>
      </c>
      <c r="AU197" s="589">
        <f t="shared" si="2067"/>
        <v>23797.30474</v>
      </c>
      <c r="AV197" s="589">
        <f t="shared" si="2067"/>
        <v>26667.333259999999</v>
      </c>
      <c r="AW197" s="589">
        <f t="shared" si="2067"/>
        <v>29833.2526599999</v>
      </c>
      <c r="AX197" s="589">
        <f t="shared" si="2067"/>
        <v>32664.82547</v>
      </c>
      <c r="AY197" s="589">
        <f t="shared" si="2067"/>
        <v>40700.440340000001</v>
      </c>
      <c r="AZ197" s="589">
        <f t="shared" si="2067"/>
        <v>41170.544199999997</v>
      </c>
      <c r="BA197" s="589">
        <f t="shared" si="2067"/>
        <v>44835.704619999997</v>
      </c>
      <c r="BB197" s="589">
        <f t="shared" si="2067"/>
        <v>46649.171750000001</v>
      </c>
      <c r="BC197" s="589">
        <f t="shared" si="2067"/>
        <v>48009.905729999999</v>
      </c>
      <c r="BD197" s="589">
        <f t="shared" si="2067"/>
        <v>45944.600100000003</v>
      </c>
      <c r="BE197" s="589">
        <f t="shared" si="2067"/>
        <v>50094.316429999999</v>
      </c>
      <c r="BF197" s="589">
        <f t="shared" si="2067"/>
        <v>52881.935089999999</v>
      </c>
      <c r="BG197" s="589">
        <f t="shared" si="2067"/>
        <v>148177.86465</v>
      </c>
      <c r="BH197" s="589">
        <f t="shared" si="2067"/>
        <v>52337.623979999997</v>
      </c>
      <c r="BI197" s="589">
        <f t="shared" si="2067"/>
        <v>57044.94051</v>
      </c>
      <c r="BJ197" s="589">
        <f t="shared" si="2067"/>
        <v>64358.932500000003</v>
      </c>
      <c r="BK197" s="589">
        <f t="shared" si="2067"/>
        <v>249149.29447000002</v>
      </c>
      <c r="BL197" s="589">
        <f t="shared" si="2067"/>
        <v>61497.33971</v>
      </c>
      <c r="BM197" s="589">
        <f t="shared" si="2067"/>
        <v>62352.997280000003</v>
      </c>
      <c r="BN197" s="589">
        <f t="shared" si="2067"/>
        <v>61337.59276</v>
      </c>
      <c r="BO197" s="589">
        <f t="shared" ref="BO197:BY197" si="2068">+BO193+BO185</f>
        <v>74047.677509999994</v>
      </c>
      <c r="BP197" s="589">
        <f t="shared" si="2068"/>
        <v>55900</v>
      </c>
      <c r="BQ197" s="589">
        <f t="shared" si="2068"/>
        <v>66000</v>
      </c>
      <c r="BR197" s="589">
        <f t="shared" si="2068"/>
        <v>60475.857909999999</v>
      </c>
      <c r="BS197" s="589">
        <f t="shared" si="2068"/>
        <v>89191.271999999997</v>
      </c>
      <c r="BT197" s="589">
        <f t="shared" si="2068"/>
        <v>88056.542960000006</v>
      </c>
      <c r="BU197" s="589">
        <f t="shared" si="2068"/>
        <v>114471.9</v>
      </c>
      <c r="BV197" s="589">
        <f t="shared" si="2068"/>
        <v>127000</v>
      </c>
      <c r="BW197" s="589">
        <f t="shared" si="2068"/>
        <v>141437</v>
      </c>
      <c r="BX197" s="589">
        <f t="shared" si="2068"/>
        <v>159008.85693000001</v>
      </c>
      <c r="BY197" s="589">
        <f t="shared" si="2068"/>
        <v>169280.28865</v>
      </c>
      <c r="BZ197" s="589">
        <f t="shared" ref="BZ197:CA197" si="2069">+BZ193+BZ185</f>
        <v>178600</v>
      </c>
      <c r="CA197" s="589">
        <f t="shared" si="2069"/>
        <v>174230.45462999999</v>
      </c>
      <c r="CB197" s="589">
        <f t="shared" ref="CB197:CC197" si="2070">+CB193+CB185</f>
        <v>172175.47654</v>
      </c>
      <c r="CC197" s="589">
        <f t="shared" si="2070"/>
        <v>171712.61402000001</v>
      </c>
      <c r="CD197" s="589">
        <f t="shared" ref="CD197:CE197" si="2071">+CD193+CD185</f>
        <v>163927.62891999999</v>
      </c>
      <c r="CE197" s="589">
        <f t="shared" si="2071"/>
        <v>143695.29027999999</v>
      </c>
      <c r="CF197" s="589">
        <f t="shared" ref="CF197" si="2072">+CF193+CF185</f>
        <v>149077.29034000001</v>
      </c>
      <c r="CG197" s="589">
        <f t="shared" ref="CG197:CH197" si="2073">+CG193+CG185</f>
        <v>161354.82858</v>
      </c>
      <c r="CH197" s="589">
        <f t="shared" si="2073"/>
        <v>179447.05903999999</v>
      </c>
      <c r="CI197" s="589">
        <f t="shared" ref="CI197:CJ197" si="2074">+CI193+CI185</f>
        <v>189579.72544000001</v>
      </c>
      <c r="CJ197" s="589">
        <f t="shared" si="2074"/>
        <v>203131.95053</v>
      </c>
      <c r="CK197" s="589">
        <f t="shared" ref="CK197:CL197" si="2075">+CK193+CK185</f>
        <v>217869.57186000003</v>
      </c>
      <c r="CL197" s="589">
        <f t="shared" si="2075"/>
        <v>195980.12064944225</v>
      </c>
      <c r="CM197" s="589">
        <f t="shared" ref="CM197:CP197" si="2076">+CM193+CM185</f>
        <v>195980.12064944225</v>
      </c>
      <c r="CN197" s="589">
        <f t="shared" si="2076"/>
        <v>195980.12064944225</v>
      </c>
      <c r="CO197" s="589">
        <f t="shared" si="2076"/>
        <v>195980.12064944225</v>
      </c>
      <c r="CP197" s="589">
        <f t="shared" si="2076"/>
        <v>195980.12064944225</v>
      </c>
      <c r="CQ197" s="589"/>
      <c r="CR197" s="589">
        <v>195980.12064944225</v>
      </c>
      <c r="CT197" s="589"/>
      <c r="CU197" s="589"/>
      <c r="CV197" s="589"/>
      <c r="CW197" s="589"/>
      <c r="CX197" s="589">
        <f>+SUM(I197:L197)</f>
        <v>65755.193059999991</v>
      </c>
      <c r="CY197" s="1001">
        <f>SUM(S197:V197)</f>
        <v>45046.131000000001</v>
      </c>
      <c r="CZ197" s="1001">
        <f>SUM(W197:Z197)</f>
        <v>53204.283200000005</v>
      </c>
      <c r="DA197" s="1001">
        <f>SUM(AA197:AD197)</f>
        <v>170233</v>
      </c>
      <c r="DB197" s="1001">
        <f>SUM(AE197:AH197)</f>
        <v>269582.60579502233</v>
      </c>
      <c r="DC197" s="589">
        <f>+SUM(AI197:AL197)</f>
        <v>276186.89827131887</v>
      </c>
      <c r="DD197" s="589">
        <f>+SUM(AM197:AP197)</f>
        <v>165211.98034547034</v>
      </c>
      <c r="DE197" s="589">
        <f>+SUM(AQ197:AT197)</f>
        <v>71785.252023000008</v>
      </c>
      <c r="DF197" s="1001">
        <f>+SUM(AU197:AX197)</f>
        <v>112962.7161299999</v>
      </c>
      <c r="DG197" s="1001">
        <f>+SUM(AY197:BB197)</f>
        <v>173355.86091000002</v>
      </c>
      <c r="DH197" s="1001">
        <f>+SUM(BC197:BF197)</f>
        <v>196930.75735000003</v>
      </c>
      <c r="DI197" s="589">
        <f t="shared" ref="DI197:DL197" si="2077">+DI193+DI185</f>
        <v>225672.55368000001</v>
      </c>
      <c r="DJ197" s="589">
        <f t="shared" si="2077"/>
        <v>434337.22421999997</v>
      </c>
      <c r="DK197" s="589">
        <f t="shared" si="2077"/>
        <v>256423.53541999997</v>
      </c>
      <c r="DL197" s="589">
        <f t="shared" si="2077"/>
        <v>418719.71496000001</v>
      </c>
      <c r="DM197" s="589">
        <f t="shared" ref="DM197:DR197" si="2078">+DM193+DM185</f>
        <v>973540.30058000004</v>
      </c>
      <c r="DN197" s="589">
        <f t="shared" si="2078"/>
        <v>682046.17411000002</v>
      </c>
      <c r="DO197" s="589">
        <f t="shared" si="2078"/>
        <v>633574.46823999996</v>
      </c>
      <c r="DP197" s="589">
        <f t="shared" si="2078"/>
        <v>806561.36847944232</v>
      </c>
      <c r="DQ197" s="589">
        <f t="shared" ref="DQ197" si="2079">+DQ193+DQ185</f>
        <v>783920.48259776901</v>
      </c>
      <c r="DR197" s="589">
        <f t="shared" si="2078"/>
        <v>806181.66477265593</v>
      </c>
      <c r="DS197" s="589">
        <f t="shared" ref="DS197:DU197" si="2080">+DS193+DS185</f>
        <v>871862.73891308962</v>
      </c>
      <c r="DT197" s="589">
        <f t="shared" si="2080"/>
        <v>944784.86776817031</v>
      </c>
      <c r="DU197" s="589">
        <f t="shared" si="2080"/>
        <v>1026051.6041419248</v>
      </c>
      <c r="DX197" s="589">
        <v>746921.72884665674</v>
      </c>
      <c r="DY197" s="589">
        <v>806181.66477265593</v>
      </c>
    </row>
    <row r="198" spans="1:129" s="904" customFormat="1">
      <c r="A198" s="939"/>
      <c r="B198" s="912" t="s">
        <v>486</v>
      </c>
      <c r="C198" s="918" t="e">
        <f t="shared" ref="C198:AH198" si="2081">+C197/C25</f>
        <v>#REF!</v>
      </c>
      <c r="D198" s="918">
        <f t="shared" si="2081"/>
        <v>0</v>
      </c>
      <c r="E198" s="918">
        <f t="shared" si="2081"/>
        <v>0</v>
      </c>
      <c r="F198" s="918">
        <f t="shared" si="2081"/>
        <v>0</v>
      </c>
      <c r="G198" s="918">
        <f t="shared" si="2081"/>
        <v>0</v>
      </c>
      <c r="H198" s="918">
        <f t="shared" si="2081"/>
        <v>0</v>
      </c>
      <c r="I198" s="918">
        <f t="shared" si="2081"/>
        <v>0</v>
      </c>
      <c r="J198" s="918">
        <f t="shared" si="2081"/>
        <v>1.356252563991502</v>
      </c>
      <c r="K198" s="918">
        <f t="shared" si="2081"/>
        <v>0</v>
      </c>
      <c r="L198" s="918">
        <f t="shared" si="2081"/>
        <v>0</v>
      </c>
      <c r="M198" s="918">
        <f t="shared" si="2081"/>
        <v>0.77074303571428571</v>
      </c>
      <c r="N198" s="918">
        <f t="shared" si="2081"/>
        <v>1.0170940240898425</v>
      </c>
      <c r="O198" s="918">
        <f t="shared" si="2081"/>
        <v>0</v>
      </c>
      <c r="P198" s="918">
        <f t="shared" si="2081"/>
        <v>0</v>
      </c>
      <c r="Q198" s="918">
        <f t="shared" si="2081"/>
        <v>0</v>
      </c>
      <c r="R198" s="918">
        <f t="shared" si="2081"/>
        <v>2.113628228825668</v>
      </c>
      <c r="S198" s="918">
        <f t="shared" si="2081"/>
        <v>0</v>
      </c>
      <c r="T198" s="918">
        <f t="shared" si="2081"/>
        <v>0</v>
      </c>
      <c r="U198" s="918">
        <f t="shared" si="2081"/>
        <v>0</v>
      </c>
      <c r="V198" s="918">
        <f t="shared" si="2081"/>
        <v>0.89210858715887043</v>
      </c>
      <c r="W198" s="918">
        <f t="shared" si="2081"/>
        <v>0</v>
      </c>
      <c r="X198" s="918">
        <f t="shared" si="2081"/>
        <v>0</v>
      </c>
      <c r="Y198" s="918">
        <f t="shared" si="2081"/>
        <v>0</v>
      </c>
      <c r="Z198" s="918">
        <f t="shared" si="2081"/>
        <v>0.53541056445039303</v>
      </c>
      <c r="AA198" s="918">
        <f t="shared" si="2081"/>
        <v>0</v>
      </c>
      <c r="AB198" s="918">
        <f t="shared" si="2081"/>
        <v>0</v>
      </c>
      <c r="AC198" s="918">
        <f t="shared" si="2081"/>
        <v>0</v>
      </c>
      <c r="AD198" s="918">
        <f t="shared" si="2081"/>
        <v>1.3070514887670643</v>
      </c>
      <c r="AE198" s="918">
        <f t="shared" si="2081"/>
        <v>0.39850300292096585</v>
      </c>
      <c r="AF198" s="918">
        <f t="shared" si="2081"/>
        <v>0.18191874013135553</v>
      </c>
      <c r="AG198" s="918">
        <f t="shared" si="2081"/>
        <v>0.36911566284979036</v>
      </c>
      <c r="AH198" s="918">
        <f t="shared" si="2081"/>
        <v>1.6607500526393733</v>
      </c>
      <c r="AI198" s="918">
        <f t="shared" ref="AI198:BN198" si="2082">+AI197/AI25</f>
        <v>0.56819909994122753</v>
      </c>
      <c r="AJ198" s="918">
        <f t="shared" si="2082"/>
        <v>0.19979183634219885</v>
      </c>
      <c r="AK198" s="918">
        <f t="shared" si="2082"/>
        <v>0.2922221715336451</v>
      </c>
      <c r="AL198" s="918">
        <f t="shared" si="2082"/>
        <v>1.4571811929068004</v>
      </c>
      <c r="AM198" s="918">
        <f t="shared" si="2082"/>
        <v>0.67233047585027017</v>
      </c>
      <c r="AN198" s="918">
        <f t="shared" si="2082"/>
        <v>0.15236055181485483</v>
      </c>
      <c r="AO198" s="918">
        <f t="shared" si="2082"/>
        <v>0.21534489385197988</v>
      </c>
      <c r="AP198" s="918">
        <f t="shared" si="2082"/>
        <v>0.55667555757545617</v>
      </c>
      <c r="AQ198" s="918">
        <f t="shared" si="2082"/>
        <v>0.21679848582990788</v>
      </c>
      <c r="AR198" s="918">
        <f t="shared" si="2082"/>
        <v>0.10281530479594669</v>
      </c>
      <c r="AS198" s="918">
        <f t="shared" si="2082"/>
        <v>0.1347932686981019</v>
      </c>
      <c r="AT198" s="918">
        <f t="shared" si="2082"/>
        <v>6.770549791653728E-2</v>
      </c>
      <c r="AU198" s="918">
        <f t="shared" si="2082"/>
        <v>0.32515088592683056</v>
      </c>
      <c r="AV198" s="918">
        <f t="shared" si="2082"/>
        <v>0.16860063506960402</v>
      </c>
      <c r="AW198" s="918">
        <f t="shared" si="2082"/>
        <v>0.31087314944876204</v>
      </c>
      <c r="AX198" s="918">
        <f t="shared" si="2082"/>
        <v>0.1298721192195309</v>
      </c>
      <c r="AY198" s="918">
        <f t="shared" si="2082"/>
        <v>0.62123850019079596</v>
      </c>
      <c r="AZ198" s="918">
        <f t="shared" si="2082"/>
        <v>0.23551865017619328</v>
      </c>
      <c r="BA198" s="918">
        <f t="shared" si="2082"/>
        <v>0.52808151207848952</v>
      </c>
      <c r="BB198" s="918">
        <f t="shared" si="2082"/>
        <v>0.15558332860849672</v>
      </c>
      <c r="BC198" s="918">
        <f t="shared" si="2082"/>
        <v>0.7168225294135212</v>
      </c>
      <c r="BD198" s="918">
        <f t="shared" si="2082"/>
        <v>0.23733798990613847</v>
      </c>
      <c r="BE198" s="918">
        <f t="shared" si="2082"/>
        <v>0.35700308889031418</v>
      </c>
      <c r="BF198" s="918">
        <f t="shared" si="2082"/>
        <v>0.15937798774570375</v>
      </c>
      <c r="BG198" s="918">
        <f t="shared" si="2082"/>
        <v>1.3296411106225661</v>
      </c>
      <c r="BH198" s="918">
        <f t="shared" si="2082"/>
        <v>0.19051991885401395</v>
      </c>
      <c r="BI198" s="918">
        <f t="shared" si="2082"/>
        <v>0.2937266849042024</v>
      </c>
      <c r="BJ198" s="918">
        <f t="shared" si="2082"/>
        <v>0.14634538603140973</v>
      </c>
      <c r="BK198" s="918">
        <f t="shared" si="2082"/>
        <v>1.5973258866257638</v>
      </c>
      <c r="BL198" s="918">
        <f t="shared" si="2082"/>
        <v>0.26652685194334652</v>
      </c>
      <c r="BM198" s="918">
        <f t="shared" si="2082"/>
        <v>0.33391346664238974</v>
      </c>
      <c r="BN198" s="918">
        <f t="shared" si="2082"/>
        <v>0.11962382109159558</v>
      </c>
      <c r="BO198" s="918">
        <f t="shared" ref="BO198:CF198" si="2083">+BO197/BO25</f>
        <v>10.37518250105086</v>
      </c>
      <c r="BP198" s="918">
        <f t="shared" si="2083"/>
        <v>6.8333147933319557E-2</v>
      </c>
      <c r="BQ198" s="918">
        <f t="shared" si="2083"/>
        <v>-0.79639930978726481</v>
      </c>
      <c r="BR198" s="918">
        <f t="shared" si="2083"/>
        <v>0.17087244128682993</v>
      </c>
      <c r="BS198" s="918">
        <f t="shared" si="2083"/>
        <v>-0.60385552087635319</v>
      </c>
      <c r="BT198" s="918">
        <f t="shared" si="2083"/>
        <v>0.45607901135839812</v>
      </c>
      <c r="BU198" s="918">
        <f t="shared" si="2083"/>
        <v>0.66459405833765939</v>
      </c>
      <c r="BV198" s="918">
        <f t="shared" si="2083"/>
        <v>0.30544572676895332</v>
      </c>
      <c r="BW198" s="918">
        <f t="shared" si="2083"/>
        <v>0.73807337055784583</v>
      </c>
      <c r="BX198" s="918">
        <f t="shared" si="2083"/>
        <v>0.44121573673374254</v>
      </c>
      <c r="BY198" s="918">
        <f t="shared" si="2083"/>
        <v>0.65647628828598248</v>
      </c>
      <c r="BZ198" s="918">
        <f t="shared" si="2083"/>
        <v>0.37067553852763357</v>
      </c>
      <c r="CA198" s="918">
        <f t="shared" si="2083"/>
        <v>3.7255795798229481</v>
      </c>
      <c r="CB198" s="918">
        <f t="shared" si="2083"/>
        <v>0.74956672416195036</v>
      </c>
      <c r="CC198" s="918">
        <f t="shared" si="2083"/>
        <v>0.99312103977975963</v>
      </c>
      <c r="CD198" s="918">
        <f t="shared" si="2083"/>
        <v>0.31112246920140973</v>
      </c>
      <c r="CE198" s="918">
        <f t="shared" ref="CE198" si="2084">+CE197/CE25</f>
        <v>1.0319230899820466</v>
      </c>
      <c r="CF198" s="918">
        <f t="shared" si="2083"/>
        <v>0.47328527906179363</v>
      </c>
      <c r="CG198" s="918">
        <f t="shared" ref="CG198:CH198" si="2085">+CG197/CG25</f>
        <v>0.6321046617254158</v>
      </c>
      <c r="CH198" s="918">
        <f t="shared" si="2085"/>
        <v>0.36834738537834993</v>
      </c>
      <c r="CI198" s="918">
        <f t="shared" ref="CI198:CJ198" si="2086">+CI197/CI25</f>
        <v>0.85769873928327445</v>
      </c>
      <c r="CJ198" s="918">
        <f t="shared" si="2086"/>
        <v>0.50222876996793264</v>
      </c>
      <c r="CK198" s="918">
        <f t="shared" ref="CK198:CL198" si="2087">+CK197/CK25</f>
        <v>0.77979051829846646</v>
      </c>
      <c r="CL198" s="918">
        <f t="shared" si="2087"/>
        <v>0.40665772968381225</v>
      </c>
      <c r="CM198" s="918">
        <f t="shared" ref="CM198:CP198" si="2088">+CM197/CM25</f>
        <v>1.0632539062733726</v>
      </c>
      <c r="CN198" s="918">
        <f t="shared" si="2088"/>
        <v>0.52484146867035375</v>
      </c>
      <c r="CO198" s="918">
        <f t="shared" si="2088"/>
        <v>0.82816720854381964</v>
      </c>
      <c r="CP198" s="918">
        <f t="shared" si="2088"/>
        <v>0.36286469870720095</v>
      </c>
      <c r="CQ198" s="918"/>
      <c r="CR198" s="918">
        <v>0.40665772968381225</v>
      </c>
      <c r="CT198" s="918"/>
      <c r="CU198" s="918"/>
      <c r="CV198" s="918"/>
      <c r="CW198" s="918"/>
      <c r="CX198" s="918">
        <f t="shared" ref="CX198:DU198" si="2089">+CX197/CX25</f>
        <v>0.5061089496086143</v>
      </c>
      <c r="CY198" s="918">
        <f t="shared" si="2089"/>
        <v>0.34436305328338812</v>
      </c>
      <c r="CZ198" s="918">
        <f t="shared" si="2089"/>
        <v>0.30137069122753357</v>
      </c>
      <c r="DA198" s="918">
        <f t="shared" si="2089"/>
        <v>0.55938446776769346</v>
      </c>
      <c r="DB198" s="918">
        <f t="shared" si="2089"/>
        <v>0.78439547545411814</v>
      </c>
      <c r="DC198" s="918">
        <f t="shared" si="2089"/>
        <v>0.77711563948035678</v>
      </c>
      <c r="DD198" s="918">
        <f t="shared" si="2089"/>
        <v>0.40552768862412936</v>
      </c>
      <c r="DE198" s="918">
        <f t="shared" si="2089"/>
        <v>0.1087238906354699</v>
      </c>
      <c r="DF198" s="918">
        <f t="shared" si="2089"/>
        <v>0.19515413638491294</v>
      </c>
      <c r="DG198" s="918">
        <f t="shared" si="2089"/>
        <v>0.27734275255175506</v>
      </c>
      <c r="DH198" s="918">
        <f t="shared" si="2089"/>
        <v>0.26878140163509312</v>
      </c>
      <c r="DI198" s="918">
        <f t="shared" si="2089"/>
        <v>0.22121796118596526</v>
      </c>
      <c r="DJ198" s="918">
        <f t="shared" si="2089"/>
        <v>0.39986745039371091</v>
      </c>
      <c r="DK198" s="918">
        <f t="shared" si="2089"/>
        <v>0.23391207156468613</v>
      </c>
      <c r="DL198" s="918">
        <f t="shared" si="2089"/>
        <v>0.6610676900396445</v>
      </c>
      <c r="DM198" s="918">
        <f t="shared" si="2089"/>
        <v>0.7536874193061408</v>
      </c>
      <c r="DN198" s="918">
        <f t="shared" si="2089"/>
        <v>0.69863240606232568</v>
      </c>
      <c r="DO198" s="918">
        <f t="shared" si="2089"/>
        <v>0.529448826441419</v>
      </c>
      <c r="DP198" s="918">
        <f t="shared" ref="DP198:DQ198" si="2090">+DP197/DP25</f>
        <v>0.58159139465953436</v>
      </c>
      <c r="DQ198" s="918">
        <f t="shared" si="2090"/>
        <v>0.58744223631809311</v>
      </c>
      <c r="DR198" s="918">
        <f t="shared" si="2089"/>
        <v>0.44918701351419565</v>
      </c>
      <c r="DS198" s="918">
        <f t="shared" si="2089"/>
        <v>0.4232221922594761</v>
      </c>
      <c r="DT198" s="918">
        <f t="shared" si="2089"/>
        <v>0.41320454414487973</v>
      </c>
      <c r="DU198" s="918">
        <f t="shared" si="2089"/>
        <v>0.407904395954587</v>
      </c>
      <c r="DX198" s="918">
        <v>0.49136740131094797</v>
      </c>
      <c r="DY198" s="918">
        <v>0.41822049908346015</v>
      </c>
    </row>
    <row r="199" spans="1:129" s="904" customFormat="1">
      <c r="A199" s="592"/>
      <c r="B199" s="592"/>
      <c r="C199" s="592"/>
      <c r="D199" s="592"/>
      <c r="E199" s="592"/>
      <c r="F199" s="592"/>
      <c r="G199" s="592"/>
      <c r="H199" s="592"/>
      <c r="I199" s="592"/>
      <c r="J199" s="592"/>
      <c r="K199" s="592"/>
      <c r="L199" s="592"/>
      <c r="M199" s="592"/>
      <c r="N199" s="592"/>
      <c r="O199" s="592"/>
      <c r="P199" s="592"/>
      <c r="Q199" s="592"/>
      <c r="R199" s="592"/>
      <c r="S199" s="592"/>
      <c r="T199" s="592"/>
      <c r="U199" s="592"/>
      <c r="V199" s="592"/>
      <c r="W199" s="592"/>
      <c r="X199" s="592"/>
      <c r="Y199" s="592"/>
      <c r="Z199" s="592"/>
      <c r="AA199" s="592"/>
      <c r="AB199" s="592"/>
      <c r="AC199" s="592"/>
      <c r="AD199" s="592"/>
      <c r="AE199" s="592"/>
      <c r="AF199" s="592"/>
      <c r="AG199" s="592"/>
      <c r="AH199" s="592"/>
      <c r="AI199" s="592"/>
      <c r="AJ199" s="592"/>
      <c r="AK199" s="592"/>
      <c r="AL199" s="592"/>
      <c r="AM199" s="592"/>
      <c r="AN199" s="592"/>
      <c r="AO199" s="592"/>
      <c r="AP199" s="592"/>
      <c r="AQ199" s="592"/>
      <c r="AR199" s="592"/>
      <c r="AS199" s="592"/>
      <c r="AT199" s="592"/>
      <c r="AU199" s="592"/>
      <c r="AV199" s="592"/>
      <c r="AW199" s="592"/>
      <c r="AX199" s="592"/>
      <c r="AY199" s="592"/>
      <c r="AZ199" s="592"/>
      <c r="BA199" s="592"/>
      <c r="BB199" s="592"/>
      <c r="BC199" s="592"/>
      <c r="BD199" s="592"/>
      <c r="BE199" s="592"/>
      <c r="BF199" s="592"/>
      <c r="BG199" s="592"/>
      <c r="BH199" s="592"/>
      <c r="BI199" s="592"/>
      <c r="BJ199" s="592"/>
      <c r="BK199" s="592"/>
      <c r="BL199" s="592"/>
      <c r="BM199" s="592"/>
      <c r="BN199" s="592"/>
      <c r="BO199" s="592"/>
      <c r="BP199" s="592"/>
      <c r="BQ199" s="592"/>
      <c r="BR199" s="592"/>
      <c r="BS199" s="592"/>
      <c r="BT199" s="592"/>
      <c r="BU199" s="592"/>
      <c r="BV199" s="592"/>
      <c r="BW199" s="592"/>
      <c r="BX199" s="592"/>
      <c r="BY199" s="592"/>
      <c r="BZ199" s="592"/>
      <c r="CA199" s="592"/>
      <c r="CB199" s="592"/>
      <c r="CC199" s="592"/>
      <c r="CD199" s="592"/>
      <c r="CE199" s="592"/>
      <c r="CF199" s="592"/>
      <c r="CG199" s="592"/>
      <c r="CH199" s="592"/>
      <c r="CI199" s="592"/>
      <c r="CJ199" s="592"/>
      <c r="CK199" s="592"/>
      <c r="CL199" s="592"/>
      <c r="CM199" s="592"/>
      <c r="CN199" s="592"/>
      <c r="CO199" s="592"/>
      <c r="CP199" s="592"/>
      <c r="CQ199" s="592"/>
      <c r="CR199" s="592"/>
      <c r="CT199" s="592"/>
      <c r="CU199" s="592"/>
      <c r="CV199" s="592"/>
      <c r="CW199" s="592"/>
      <c r="CX199" s="592"/>
      <c r="CY199" s="592"/>
      <c r="CZ199" s="592"/>
      <c r="DA199" s="592"/>
      <c r="DB199" s="592"/>
      <c r="DC199" s="592"/>
      <c r="DD199" s="592"/>
      <c r="DE199" s="592"/>
      <c r="DF199" s="592"/>
      <c r="DG199" s="592"/>
      <c r="DH199" s="592"/>
      <c r="DI199" s="592"/>
      <c r="DJ199" s="592"/>
      <c r="DK199" s="592"/>
      <c r="DL199" s="592"/>
      <c r="DM199" s="592"/>
      <c r="DN199" s="592"/>
      <c r="DO199" s="592"/>
      <c r="DP199" s="592"/>
      <c r="DQ199" s="592"/>
      <c r="DR199" s="592"/>
      <c r="DS199" s="592"/>
      <c r="DT199" s="592"/>
      <c r="DU199" s="592"/>
      <c r="DX199" s="592"/>
      <c r="DY199" s="592"/>
    </row>
    <row r="200" spans="1:129" s="904" customFormat="1">
      <c r="A200" s="939"/>
      <c r="B200" s="908" t="s">
        <v>487</v>
      </c>
      <c r="C200" s="592" t="e">
        <f t="shared" ref="C200:AH200" si="2091">+C22</f>
        <v>#REF!</v>
      </c>
      <c r="D200" s="592">
        <f t="shared" si="2091"/>
        <v>5856</v>
      </c>
      <c r="E200" s="592">
        <f t="shared" si="2091"/>
        <v>18290</v>
      </c>
      <c r="F200" s="592">
        <f t="shared" si="2091"/>
        <v>28876</v>
      </c>
      <c r="G200" s="592">
        <f t="shared" si="2091"/>
        <v>9705</v>
      </c>
      <c r="H200" s="592">
        <f t="shared" si="2091"/>
        <v>59509</v>
      </c>
      <c r="I200" s="592">
        <f t="shared" si="2091"/>
        <v>18990</v>
      </c>
      <c r="J200" s="592">
        <f t="shared" si="2091"/>
        <v>56081</v>
      </c>
      <c r="K200" s="592">
        <f t="shared" si="2091"/>
        <v>26040</v>
      </c>
      <c r="L200" s="592">
        <f t="shared" si="2091"/>
        <v>35232</v>
      </c>
      <c r="M200" s="592">
        <f t="shared" si="2091"/>
        <v>28256</v>
      </c>
      <c r="N200" s="592">
        <f t="shared" si="2091"/>
        <v>63771</v>
      </c>
      <c r="O200" s="592">
        <f t="shared" si="2091"/>
        <v>21697</v>
      </c>
      <c r="P200" s="592">
        <f t="shared" si="2091"/>
        <v>52974</v>
      </c>
      <c r="Q200" s="592">
        <f t="shared" si="2091"/>
        <v>42171</v>
      </c>
      <c r="R200" s="592">
        <f t="shared" si="2091"/>
        <v>70136</v>
      </c>
      <c r="S200" s="592">
        <f t="shared" si="2091"/>
        <v>34755</v>
      </c>
      <c r="T200" s="592">
        <f t="shared" si="2091"/>
        <v>56327</v>
      </c>
      <c r="U200" s="592">
        <f t="shared" si="2091"/>
        <v>36951</v>
      </c>
      <c r="V200" s="592">
        <f t="shared" si="2091"/>
        <v>65527</v>
      </c>
      <c r="W200" s="592">
        <f t="shared" si="2091"/>
        <v>13301.999999999998</v>
      </c>
      <c r="X200" s="592">
        <f t="shared" si="2091"/>
        <v>67991</v>
      </c>
      <c r="Y200" s="592">
        <f t="shared" si="2091"/>
        <v>41961</v>
      </c>
      <c r="Z200" s="592">
        <f t="shared" si="2091"/>
        <v>135565</v>
      </c>
      <c r="AA200" s="592">
        <f t="shared" si="2091"/>
        <v>52009</v>
      </c>
      <c r="AB200" s="592">
        <f t="shared" si="2091"/>
        <v>133182</v>
      </c>
      <c r="AC200" s="592">
        <f t="shared" si="2091"/>
        <v>82952</v>
      </c>
      <c r="AD200" s="592">
        <f t="shared" si="2091"/>
        <v>159922</v>
      </c>
      <c r="AE200" s="592">
        <f t="shared" si="2091"/>
        <v>64829</v>
      </c>
      <c r="AF200" s="592">
        <f t="shared" si="2091"/>
        <v>152857.00000000012</v>
      </c>
      <c r="AG200" s="592">
        <f t="shared" si="2091"/>
        <v>78297</v>
      </c>
      <c r="AH200" s="592">
        <f t="shared" si="2091"/>
        <v>186185</v>
      </c>
      <c r="AI200" s="592">
        <f t="shared" ref="AI200:BR200" si="2092">+AI22</f>
        <v>45221</v>
      </c>
      <c r="AJ200" s="592">
        <f t="shared" si="2092"/>
        <v>147957</v>
      </c>
      <c r="AK200" s="592">
        <f t="shared" si="2092"/>
        <v>95450.000000000116</v>
      </c>
      <c r="AL200" s="592">
        <f t="shared" si="2092"/>
        <v>220192</v>
      </c>
      <c r="AM200" s="592">
        <f t="shared" si="2092"/>
        <v>28447.000000000116</v>
      </c>
      <c r="AN200" s="592">
        <f t="shared" si="2092"/>
        <v>137995</v>
      </c>
      <c r="AO200" s="592">
        <f t="shared" si="2092"/>
        <v>100756</v>
      </c>
      <c r="AP200" s="592">
        <f t="shared" si="2092"/>
        <v>315512</v>
      </c>
      <c r="AQ200" s="592">
        <f t="shared" si="2092"/>
        <v>97661.520000000019</v>
      </c>
      <c r="AR200" s="592">
        <f t="shared" si="2092"/>
        <v>222535</v>
      </c>
      <c r="AS200" s="592">
        <f t="shared" si="2092"/>
        <v>171378</v>
      </c>
      <c r="AT200" s="592">
        <f t="shared" si="2092"/>
        <v>405433.2690000002</v>
      </c>
      <c r="AU200" s="592">
        <f t="shared" si="2092"/>
        <v>102588.27951000014</v>
      </c>
      <c r="AV200" s="592">
        <f t="shared" si="2092"/>
        <v>228088.64064000011</v>
      </c>
      <c r="AW200" s="592">
        <f t="shared" si="2092"/>
        <v>129733</v>
      </c>
      <c r="AX200" s="592">
        <f t="shared" si="2092"/>
        <v>368257.30340999993</v>
      </c>
      <c r="AY200" s="592">
        <f t="shared" si="2092"/>
        <v>81463</v>
      </c>
      <c r="AZ200" s="592">
        <f t="shared" si="2092"/>
        <v>245350</v>
      </c>
      <c r="BA200" s="592">
        <f t="shared" si="2092"/>
        <v>106655</v>
      </c>
      <c r="BB200" s="592">
        <f t="shared" si="2092"/>
        <v>438913</v>
      </c>
      <c r="BC200" s="592">
        <f t="shared" si="2092"/>
        <v>79102</v>
      </c>
      <c r="BD200" s="592">
        <f t="shared" si="2092"/>
        <v>272265</v>
      </c>
      <c r="BE200" s="592">
        <f t="shared" si="2092"/>
        <v>184623</v>
      </c>
      <c r="BF200" s="592">
        <f t="shared" si="2092"/>
        <v>468148</v>
      </c>
      <c r="BG200" s="592">
        <f t="shared" si="2092"/>
        <v>156174</v>
      </c>
      <c r="BH200" s="592">
        <f t="shared" si="2092"/>
        <v>338655.96485999995</v>
      </c>
      <c r="BI200" s="592">
        <f t="shared" si="2092"/>
        <v>241026.43174999999</v>
      </c>
      <c r="BJ200" s="592">
        <f t="shared" si="2092"/>
        <v>634337.25080000004</v>
      </c>
      <c r="BK200" s="592">
        <f t="shared" si="2092"/>
        <v>202755</v>
      </c>
      <c r="BL200" s="592">
        <f t="shared" si="2092"/>
        <v>320283</v>
      </c>
      <c r="BM200" s="592">
        <f t="shared" si="2092"/>
        <v>249408</v>
      </c>
      <c r="BN200" s="592">
        <f t="shared" si="2092"/>
        <v>719538</v>
      </c>
      <c r="BO200" s="592">
        <f t="shared" si="2092"/>
        <v>-17432</v>
      </c>
      <c r="BP200" s="592">
        <f t="shared" si="2092"/>
        <v>913861</v>
      </c>
      <c r="BQ200" s="592">
        <f t="shared" si="2092"/>
        <v>-183999</v>
      </c>
      <c r="BR200" s="592">
        <f t="shared" si="2092"/>
        <v>488301</v>
      </c>
      <c r="BS200" s="592">
        <f>+BS$22</f>
        <v>-251579</v>
      </c>
      <c r="BT200" s="592">
        <f t="shared" ref="BT200:CF200" si="2093">+BT22</f>
        <v>209344</v>
      </c>
      <c r="BU200" s="592">
        <f t="shared" si="2093"/>
        <v>189570.33947000233</v>
      </c>
      <c r="BV200" s="592">
        <f t="shared" si="2093"/>
        <v>492804.81354999915</v>
      </c>
      <c r="BW200" s="592">
        <f t="shared" si="2093"/>
        <v>160827</v>
      </c>
      <c r="BX200" s="592">
        <f t="shared" si="2093"/>
        <v>431166</v>
      </c>
      <c r="BY200" s="592">
        <f t="shared" si="2093"/>
        <v>200865</v>
      </c>
      <c r="BZ200" s="592">
        <f t="shared" si="2093"/>
        <v>591426</v>
      </c>
      <c r="CA200" s="592">
        <f t="shared" si="2093"/>
        <v>-41695</v>
      </c>
      <c r="CB200" s="592">
        <f t="shared" si="2093"/>
        <v>195768</v>
      </c>
      <c r="CC200" s="592">
        <f t="shared" si="2093"/>
        <v>76376</v>
      </c>
      <c r="CD200" s="592">
        <f t="shared" si="2093"/>
        <v>610218</v>
      </c>
      <c r="CE200" s="592">
        <f t="shared" ref="CE200" si="2094">+CE22</f>
        <v>111836</v>
      </c>
      <c r="CF200" s="592">
        <f t="shared" si="2093"/>
        <v>384302</v>
      </c>
      <c r="CG200" s="592">
        <f t="shared" ref="CG200:CH200" si="2095">+CG22</f>
        <v>279600</v>
      </c>
      <c r="CH200" s="592">
        <f t="shared" si="2095"/>
        <v>545259</v>
      </c>
      <c r="CI200" s="592">
        <f t="shared" ref="CI200:CJ200" si="2096">+CI22</f>
        <v>254522</v>
      </c>
      <c r="CJ200" s="592">
        <f t="shared" si="2096"/>
        <v>512061</v>
      </c>
      <c r="CK200" s="592">
        <f t="shared" ref="CK200:CL200" si="2097">+CK22</f>
        <v>259599</v>
      </c>
      <c r="CL200" s="592">
        <f t="shared" si="2097"/>
        <v>611065.36854896159</v>
      </c>
      <c r="CM200" s="592">
        <f t="shared" ref="CM200:CP200" si="2098">+CM22</f>
        <v>162995.25402190269</v>
      </c>
      <c r="CN200" s="592">
        <f t="shared" si="2098"/>
        <v>454933.3814119529</v>
      </c>
      <c r="CO200" s="592">
        <f t="shared" si="2098"/>
        <v>250567.1537215478</v>
      </c>
      <c r="CP200" s="592">
        <f t="shared" si="2098"/>
        <v>697600.75291035336</v>
      </c>
      <c r="CQ200" s="592"/>
      <c r="CR200" s="592">
        <v>611065.36854896159</v>
      </c>
      <c r="CT200" s="592"/>
      <c r="CU200" s="592"/>
      <c r="CV200" s="592"/>
      <c r="CW200" s="592"/>
      <c r="CX200" s="592">
        <f t="shared" ref="CX200:DU200" si="2099">+CX22</f>
        <v>186978</v>
      </c>
      <c r="CY200" s="592">
        <f t="shared" si="2099"/>
        <v>193560</v>
      </c>
      <c r="CZ200" s="592">
        <f t="shared" si="2099"/>
        <v>258819</v>
      </c>
      <c r="DA200" s="592">
        <f t="shared" si="2099"/>
        <v>428065</v>
      </c>
      <c r="DB200" s="592">
        <f t="shared" si="2099"/>
        <v>482168.00000000012</v>
      </c>
      <c r="DC200" s="592">
        <f t="shared" si="2099"/>
        <v>508820.00000000012</v>
      </c>
      <c r="DD200" s="592">
        <f t="shared" si="2099"/>
        <v>582710.00000000012</v>
      </c>
      <c r="DE200" s="592">
        <f t="shared" si="2099"/>
        <v>897007.78900000022</v>
      </c>
      <c r="DF200" s="592">
        <f t="shared" si="2099"/>
        <v>828667.22356000019</v>
      </c>
      <c r="DG200" s="592">
        <f t="shared" si="2099"/>
        <v>872381</v>
      </c>
      <c r="DH200" s="592">
        <f t="shared" si="2099"/>
        <v>1004138</v>
      </c>
      <c r="DI200" s="592">
        <f t="shared" si="2099"/>
        <v>1370193.6474099997</v>
      </c>
      <c r="DJ200" s="592">
        <f t="shared" si="2099"/>
        <v>1491984</v>
      </c>
      <c r="DK200" s="592">
        <f t="shared" si="2099"/>
        <v>1200731</v>
      </c>
      <c r="DL200" s="592">
        <f t="shared" si="2099"/>
        <v>640140.15302000195</v>
      </c>
      <c r="DM200" s="592">
        <f t="shared" si="2099"/>
        <v>1384284</v>
      </c>
      <c r="DN200" s="592">
        <f t="shared" si="2099"/>
        <v>840667</v>
      </c>
      <c r="DO200" s="592">
        <f t="shared" si="2099"/>
        <v>1320997</v>
      </c>
      <c r="DP200" s="592">
        <f t="shared" ref="DP200:DQ200" si="2100">+DP22</f>
        <v>1637247.3685489625</v>
      </c>
      <c r="DQ200" s="592">
        <f t="shared" si="2100"/>
        <v>1566096.5420657583</v>
      </c>
      <c r="DR200" s="592">
        <f t="shared" si="2099"/>
        <v>2247698.9760444849</v>
      </c>
      <c r="DS200" s="592">
        <f t="shared" si="2099"/>
        <v>2611991.9384939829</v>
      </c>
      <c r="DT200" s="592">
        <f t="shared" si="2099"/>
        <v>2913385.1469261316</v>
      </c>
      <c r="DU200" s="592">
        <f t="shared" si="2099"/>
        <v>3214015.358008943</v>
      </c>
      <c r="DX200" s="592">
        <v>1852079.031750079</v>
      </c>
      <c r="DY200" s="592">
        <v>2433810.3788339961</v>
      </c>
    </row>
    <row r="201" spans="1:129" s="904" customFormat="1">
      <c r="A201" s="939"/>
      <c r="B201" s="949" t="s">
        <v>161</v>
      </c>
      <c r="C201" s="942">
        <f t="shared" ref="C201:J201" si="2101">+C185</f>
        <v>0</v>
      </c>
      <c r="D201" s="942">
        <f t="shared" si="2101"/>
        <v>0</v>
      </c>
      <c r="E201" s="942">
        <f t="shared" si="2101"/>
        <v>0</v>
      </c>
      <c r="F201" s="942">
        <f t="shared" si="2101"/>
        <v>0</v>
      </c>
      <c r="G201" s="942">
        <f t="shared" si="2101"/>
        <v>0</v>
      </c>
      <c r="H201" s="942">
        <f t="shared" si="2101"/>
        <v>0</v>
      </c>
      <c r="I201" s="942">
        <f t="shared" si="2101"/>
        <v>0</v>
      </c>
      <c r="J201" s="942">
        <f t="shared" si="2101"/>
        <v>30395.5</v>
      </c>
      <c r="K201" s="942">
        <f>+J184</f>
        <v>0</v>
      </c>
      <c r="L201" s="942">
        <f t="shared" ref="L201:AQ201" si="2102">+L185</f>
        <v>0</v>
      </c>
      <c r="M201" s="942">
        <f t="shared" si="2102"/>
        <v>21753.451440000001</v>
      </c>
      <c r="N201" s="942">
        <f t="shared" si="2102"/>
        <v>19003.266599999999</v>
      </c>
      <c r="O201" s="942">
        <f t="shared" si="2102"/>
        <v>0</v>
      </c>
      <c r="P201" s="942">
        <f t="shared" si="2102"/>
        <v>0</v>
      </c>
      <c r="Q201" s="942">
        <f t="shared" si="2102"/>
        <v>0</v>
      </c>
      <c r="R201" s="942">
        <f t="shared" si="2102"/>
        <v>34675.186399999999</v>
      </c>
      <c r="S201" s="942">
        <f t="shared" si="2102"/>
        <v>0</v>
      </c>
      <c r="T201" s="942">
        <f t="shared" si="2102"/>
        <v>0</v>
      </c>
      <c r="U201" s="942">
        <f t="shared" si="2102"/>
        <v>0</v>
      </c>
      <c r="V201" s="942">
        <f t="shared" si="2102"/>
        <v>36425.967199999999</v>
      </c>
      <c r="W201" s="942">
        <f t="shared" si="2102"/>
        <v>0</v>
      </c>
      <c r="X201" s="942">
        <f t="shared" si="2102"/>
        <v>0</v>
      </c>
      <c r="Y201" s="942">
        <f t="shared" si="2102"/>
        <v>0</v>
      </c>
      <c r="Z201" s="942">
        <f t="shared" si="2102"/>
        <v>44584.119400000003</v>
      </c>
      <c r="AA201" s="942">
        <f t="shared" si="2102"/>
        <v>0</v>
      </c>
      <c r="AB201" s="942">
        <f t="shared" si="2102"/>
        <v>0</v>
      </c>
      <c r="AC201" s="942">
        <f t="shared" si="2102"/>
        <v>0</v>
      </c>
      <c r="AD201" s="942">
        <f t="shared" si="2102"/>
        <v>70233</v>
      </c>
      <c r="AE201" s="942">
        <f t="shared" si="2102"/>
        <v>18963.562400000003</v>
      </c>
      <c r="AF201" s="942">
        <f t="shared" si="2102"/>
        <v>20653.052648372683</v>
      </c>
      <c r="AG201" s="942">
        <f t="shared" si="2102"/>
        <v>20927.381620931716</v>
      </c>
      <c r="AH201" s="942">
        <f t="shared" si="2102"/>
        <v>21593.609125717932</v>
      </c>
      <c r="AI201" s="942">
        <f t="shared" si="2102"/>
        <v>20302.322039999999</v>
      </c>
      <c r="AJ201" s="942">
        <f t="shared" si="2102"/>
        <v>20672.86089</v>
      </c>
      <c r="AK201" s="942">
        <f t="shared" si="2102"/>
        <v>20023.939859999999</v>
      </c>
      <c r="AL201" s="942">
        <f t="shared" si="2102"/>
        <v>20401.141680000001</v>
      </c>
      <c r="AM201" s="942">
        <f t="shared" si="2102"/>
        <v>14526.372261221015</v>
      </c>
      <c r="AN201" s="942">
        <f t="shared" si="2102"/>
        <v>14931.334077855774</v>
      </c>
      <c r="AO201" s="942">
        <f t="shared" si="2102"/>
        <v>15427.738885343542</v>
      </c>
      <c r="AP201" s="942">
        <f t="shared" si="2102"/>
        <v>15043.17741885</v>
      </c>
      <c r="AQ201" s="942">
        <f t="shared" si="2102"/>
        <v>17360.901883499999</v>
      </c>
      <c r="AR201" s="942">
        <f t="shared" ref="AR201:BV201" si="2103">+AR185</f>
        <v>17776.354938</v>
      </c>
      <c r="AS201" s="942">
        <f t="shared" si="2103"/>
        <v>18229.576452000001</v>
      </c>
      <c r="AT201" s="942">
        <f t="shared" si="2103"/>
        <v>18418.418749500004</v>
      </c>
      <c r="AU201" s="942">
        <f t="shared" si="2103"/>
        <v>23797.30474</v>
      </c>
      <c r="AV201" s="942">
        <f t="shared" si="2103"/>
        <v>26667.333259999999</v>
      </c>
      <c r="AW201" s="942">
        <f t="shared" si="2103"/>
        <v>29833.2526599999</v>
      </c>
      <c r="AX201" s="942">
        <f t="shared" si="2103"/>
        <v>32664.82547</v>
      </c>
      <c r="AY201" s="942">
        <f t="shared" si="2103"/>
        <v>40700.440340000001</v>
      </c>
      <c r="AZ201" s="942">
        <f t="shared" si="2103"/>
        <v>41170.544199999997</v>
      </c>
      <c r="BA201" s="942">
        <f t="shared" si="2103"/>
        <v>44835.704619999997</v>
      </c>
      <c r="BB201" s="942">
        <f t="shared" si="2103"/>
        <v>46649.171750000001</v>
      </c>
      <c r="BC201" s="942">
        <f t="shared" si="2103"/>
        <v>48009.905729999999</v>
      </c>
      <c r="BD201" s="942">
        <f t="shared" si="2103"/>
        <v>45944.600100000003</v>
      </c>
      <c r="BE201" s="942">
        <f t="shared" si="2103"/>
        <v>50094.316429999999</v>
      </c>
      <c r="BF201" s="942">
        <f t="shared" si="2103"/>
        <v>52881.935089999999</v>
      </c>
      <c r="BG201" s="942">
        <f t="shared" si="2103"/>
        <v>51931.056689999998</v>
      </c>
      <c r="BH201" s="942">
        <f t="shared" si="2103"/>
        <v>52337.623979999997</v>
      </c>
      <c r="BI201" s="942">
        <f t="shared" si="2103"/>
        <v>57044.94051</v>
      </c>
      <c r="BJ201" s="942">
        <f t="shared" si="2103"/>
        <v>64358.932500000003</v>
      </c>
      <c r="BK201" s="942">
        <f t="shared" si="2103"/>
        <v>66767.95607</v>
      </c>
      <c r="BL201" s="942">
        <f t="shared" si="2103"/>
        <v>61497.33971</v>
      </c>
      <c r="BM201" s="942">
        <f t="shared" si="2103"/>
        <v>62352.997280000003</v>
      </c>
      <c r="BN201" s="942">
        <f t="shared" si="2103"/>
        <v>61337.59276</v>
      </c>
      <c r="BO201" s="942">
        <f t="shared" si="2103"/>
        <v>58350.668869999994</v>
      </c>
      <c r="BP201" s="942">
        <f t="shared" si="2103"/>
        <v>55900</v>
      </c>
      <c r="BQ201" s="942">
        <f t="shared" si="2103"/>
        <v>66000</v>
      </c>
      <c r="BR201" s="942">
        <f t="shared" si="2103"/>
        <v>60475.857909999999</v>
      </c>
      <c r="BS201" s="942">
        <f t="shared" si="2103"/>
        <v>58302.271999999997</v>
      </c>
      <c r="BT201" s="942">
        <f t="shared" si="2103"/>
        <v>88056.542960000006</v>
      </c>
      <c r="BU201" s="942">
        <f t="shared" si="2103"/>
        <v>114471.9</v>
      </c>
      <c r="BV201" s="942">
        <f t="shared" si="2103"/>
        <v>127000</v>
      </c>
      <c r="BW201" s="942">
        <f t="shared" ref="BW201:CA201" si="2104">+BW185</f>
        <v>141437</v>
      </c>
      <c r="BX201" s="942">
        <f t="shared" si="2104"/>
        <v>159008.85693000001</v>
      </c>
      <c r="BY201" s="942">
        <f t="shared" si="2104"/>
        <v>169280.28865</v>
      </c>
      <c r="BZ201" s="942">
        <f t="shared" ref="BZ201" si="2105">+BZ185</f>
        <v>178600</v>
      </c>
      <c r="CA201" s="942">
        <f t="shared" si="2104"/>
        <v>174230.45462999999</v>
      </c>
      <c r="CB201" s="942">
        <f t="shared" ref="CB201:CC201" si="2106">+CB185</f>
        <v>172175.47654</v>
      </c>
      <c r="CC201" s="942">
        <f t="shared" si="2106"/>
        <v>171712.61402000001</v>
      </c>
      <c r="CD201" s="942">
        <f t="shared" ref="CD201:CE201" si="2107">+CD185</f>
        <v>163927.62891999999</v>
      </c>
      <c r="CE201" s="942">
        <f t="shared" si="2107"/>
        <v>143695.29027999999</v>
      </c>
      <c r="CF201" s="942">
        <f t="shared" ref="CF201" si="2108">+CF185</f>
        <v>149077.29034000001</v>
      </c>
      <c r="CG201" s="942">
        <f t="shared" ref="CG201:CH201" si="2109">+CG185</f>
        <v>161354.82858</v>
      </c>
      <c r="CH201" s="942">
        <f t="shared" si="2109"/>
        <v>179447.05903999999</v>
      </c>
      <c r="CI201" s="942">
        <f t="shared" ref="CI201:CJ201" si="2110">+CI185</f>
        <v>189579.72544000001</v>
      </c>
      <c r="CJ201" s="942">
        <f t="shared" si="2110"/>
        <v>203131.95053</v>
      </c>
      <c r="CK201" s="942">
        <f t="shared" ref="CK201:CL201" si="2111">+CK185</f>
        <v>217869.57186000003</v>
      </c>
      <c r="CL201" s="942">
        <f t="shared" si="2111"/>
        <v>195980.12064944225</v>
      </c>
      <c r="CM201" s="942">
        <f t="shared" ref="CM201:CP201" si="2112">+CM185</f>
        <v>195980.12064944225</v>
      </c>
      <c r="CN201" s="942">
        <f t="shared" si="2112"/>
        <v>195980.12064944225</v>
      </c>
      <c r="CO201" s="942">
        <f t="shared" si="2112"/>
        <v>195980.12064944225</v>
      </c>
      <c r="CP201" s="942">
        <f t="shared" si="2112"/>
        <v>195980.12064944225</v>
      </c>
      <c r="CQ201" s="942"/>
      <c r="CR201" s="942">
        <v>195980.12064944225</v>
      </c>
      <c r="CT201" s="942"/>
      <c r="CU201" s="942"/>
      <c r="CV201" s="942"/>
      <c r="CW201" s="942"/>
      <c r="CX201" s="903">
        <f>+SUM(O201:R201)</f>
        <v>34675.186399999999</v>
      </c>
      <c r="CY201" s="954">
        <f>SUM(S201:V201)</f>
        <v>36425.967199999999</v>
      </c>
      <c r="CZ201" s="954">
        <f>SUM(W201:Z201)</f>
        <v>44584.119400000003</v>
      </c>
      <c r="DA201" s="954">
        <f>SUM(AA201:AD201)</f>
        <v>70233</v>
      </c>
      <c r="DB201" s="954">
        <f>SUM(AE201:AH201)</f>
        <v>82137.605795022333</v>
      </c>
      <c r="DC201" s="592">
        <f>+SUM(AI201:AL201)</f>
        <v>81400.264469999995</v>
      </c>
      <c r="DD201" s="954">
        <f>+SUM(AM201:AP201)</f>
        <v>59928.622643270326</v>
      </c>
      <c r="DE201" s="942">
        <f t="shared" ref="DE201:DN201" si="2113">+DE185</f>
        <v>71785.252023000008</v>
      </c>
      <c r="DF201" s="942">
        <f t="shared" si="2113"/>
        <v>112962.7161299999</v>
      </c>
      <c r="DG201" s="942">
        <f t="shared" si="2113"/>
        <v>173355.86091000002</v>
      </c>
      <c r="DH201" s="942">
        <f t="shared" si="2113"/>
        <v>196930.75735000003</v>
      </c>
      <c r="DI201" s="942">
        <f t="shared" si="2113"/>
        <v>225672.55368000001</v>
      </c>
      <c r="DJ201" s="942">
        <f t="shared" si="2113"/>
        <v>251955.88582</v>
      </c>
      <c r="DK201" s="942">
        <f t="shared" si="2113"/>
        <v>240726.52677999999</v>
      </c>
      <c r="DL201" s="942">
        <f t="shared" si="2113"/>
        <v>387830.71496000001</v>
      </c>
      <c r="DM201" s="942">
        <f t="shared" si="2113"/>
        <v>648326.14558000001</v>
      </c>
      <c r="DN201" s="942">
        <f t="shared" si="2113"/>
        <v>682046.17411000002</v>
      </c>
      <c r="DO201" s="942">
        <f t="shared" ref="DO201:DP201" si="2114">+DO185</f>
        <v>633574.46823999996</v>
      </c>
      <c r="DP201" s="942">
        <f t="shared" si="2114"/>
        <v>806561.36847944232</v>
      </c>
      <c r="DQ201" s="942">
        <f t="shared" ref="DQ201" si="2115">+DQ185</f>
        <v>783920.48259776901</v>
      </c>
      <c r="DR201" s="942">
        <f>+DR185</f>
        <v>806181.66477265593</v>
      </c>
      <c r="DS201" s="942">
        <f t="shared" ref="DS201:DU201" si="2116">+DS185</f>
        <v>871862.73891308962</v>
      </c>
      <c r="DT201" s="942">
        <f t="shared" si="2116"/>
        <v>944784.86776817031</v>
      </c>
      <c r="DU201" s="942">
        <f t="shared" si="2116"/>
        <v>1026051.6041419248</v>
      </c>
      <c r="DX201" s="942">
        <v>746921.72884665674</v>
      </c>
      <c r="DY201" s="942">
        <v>806181.66477265593</v>
      </c>
    </row>
    <row r="202" spans="1:129" s="904" customFormat="1">
      <c r="A202" s="939"/>
      <c r="B202" s="908" t="s">
        <v>488</v>
      </c>
      <c r="C202" s="592" t="e">
        <f t="shared" ref="C202:AH202" si="2117">+C200-C201</f>
        <v>#REF!</v>
      </c>
      <c r="D202" s="592">
        <f t="shared" si="2117"/>
        <v>5856</v>
      </c>
      <c r="E202" s="592">
        <f t="shared" si="2117"/>
        <v>18290</v>
      </c>
      <c r="F202" s="592">
        <f t="shared" si="2117"/>
        <v>28876</v>
      </c>
      <c r="G202" s="592">
        <f t="shared" si="2117"/>
        <v>9705</v>
      </c>
      <c r="H202" s="592">
        <f t="shared" si="2117"/>
        <v>59509</v>
      </c>
      <c r="I202" s="592">
        <f t="shared" si="2117"/>
        <v>18990</v>
      </c>
      <c r="J202" s="592">
        <f t="shared" si="2117"/>
        <v>25685.5</v>
      </c>
      <c r="K202" s="592">
        <f t="shared" si="2117"/>
        <v>26040</v>
      </c>
      <c r="L202" s="592">
        <f t="shared" si="2117"/>
        <v>35232</v>
      </c>
      <c r="M202" s="592">
        <f t="shared" si="2117"/>
        <v>6502.5485599999993</v>
      </c>
      <c r="N202" s="592">
        <f t="shared" si="2117"/>
        <v>44767.733399999997</v>
      </c>
      <c r="O202" s="592">
        <f t="shared" si="2117"/>
        <v>21697</v>
      </c>
      <c r="P202" s="592">
        <f t="shared" si="2117"/>
        <v>52974</v>
      </c>
      <c r="Q202" s="592">
        <f t="shared" si="2117"/>
        <v>42171</v>
      </c>
      <c r="R202" s="592">
        <f t="shared" si="2117"/>
        <v>35460.813600000001</v>
      </c>
      <c r="S202" s="592">
        <f t="shared" si="2117"/>
        <v>34755</v>
      </c>
      <c r="T202" s="592">
        <f t="shared" si="2117"/>
        <v>56327</v>
      </c>
      <c r="U202" s="592">
        <f t="shared" si="2117"/>
        <v>36951</v>
      </c>
      <c r="V202" s="592">
        <f t="shared" si="2117"/>
        <v>29101.032800000001</v>
      </c>
      <c r="W202" s="592">
        <f t="shared" si="2117"/>
        <v>13301.999999999998</v>
      </c>
      <c r="X202" s="592">
        <f t="shared" si="2117"/>
        <v>67991</v>
      </c>
      <c r="Y202" s="592">
        <f t="shared" si="2117"/>
        <v>41961</v>
      </c>
      <c r="Z202" s="592">
        <f t="shared" si="2117"/>
        <v>90980.880600000004</v>
      </c>
      <c r="AA202" s="592">
        <f t="shared" si="2117"/>
        <v>52009</v>
      </c>
      <c r="AB202" s="592">
        <f t="shared" si="2117"/>
        <v>133182</v>
      </c>
      <c r="AC202" s="592">
        <f t="shared" si="2117"/>
        <v>82952</v>
      </c>
      <c r="AD202" s="592">
        <f t="shared" si="2117"/>
        <v>89689</v>
      </c>
      <c r="AE202" s="592">
        <f t="shared" si="2117"/>
        <v>45865.437599999997</v>
      </c>
      <c r="AF202" s="592">
        <f t="shared" si="2117"/>
        <v>132203.94735162743</v>
      </c>
      <c r="AG202" s="592">
        <f t="shared" si="2117"/>
        <v>57369.618379068284</v>
      </c>
      <c r="AH202" s="592">
        <f t="shared" si="2117"/>
        <v>164591.39087428208</v>
      </c>
      <c r="AI202" s="592">
        <f t="shared" ref="AI202:BJ202" si="2118">+AI200-AI201</f>
        <v>24918.677960000001</v>
      </c>
      <c r="AJ202" s="592">
        <f t="shared" si="2118"/>
        <v>127284.13911</v>
      </c>
      <c r="AK202" s="592">
        <f t="shared" si="2118"/>
        <v>75426.060140000118</v>
      </c>
      <c r="AL202" s="592">
        <f t="shared" si="2118"/>
        <v>199790.85832</v>
      </c>
      <c r="AM202" s="592">
        <f t="shared" si="2118"/>
        <v>13920.627738779101</v>
      </c>
      <c r="AN202" s="592">
        <f t="shared" si="2118"/>
        <v>123063.66592214422</v>
      </c>
      <c r="AO202" s="592">
        <f t="shared" si="2118"/>
        <v>85328.26111465646</v>
      </c>
      <c r="AP202" s="592">
        <f t="shared" si="2118"/>
        <v>300468.82258114999</v>
      </c>
      <c r="AQ202" s="592">
        <f t="shared" si="2118"/>
        <v>80300.618116500016</v>
      </c>
      <c r="AR202" s="592">
        <f t="shared" si="2118"/>
        <v>204758.645062</v>
      </c>
      <c r="AS202" s="592">
        <f t="shared" si="2118"/>
        <v>153148.42354799999</v>
      </c>
      <c r="AT202" s="592">
        <f t="shared" si="2118"/>
        <v>387014.8502505002</v>
      </c>
      <c r="AU202" s="592">
        <f t="shared" si="2118"/>
        <v>78790.974770000146</v>
      </c>
      <c r="AV202" s="592">
        <f t="shared" si="2118"/>
        <v>201421.30738000013</v>
      </c>
      <c r="AW202" s="592">
        <f t="shared" si="2118"/>
        <v>99899.747340000104</v>
      </c>
      <c r="AX202" s="592">
        <f t="shared" si="2118"/>
        <v>335592.47793999995</v>
      </c>
      <c r="AY202" s="592">
        <f t="shared" si="2118"/>
        <v>40762.559659999999</v>
      </c>
      <c r="AZ202" s="592">
        <f t="shared" si="2118"/>
        <v>204179.4558</v>
      </c>
      <c r="BA202" s="592">
        <f t="shared" si="2118"/>
        <v>61819.295380000003</v>
      </c>
      <c r="BB202" s="592">
        <f t="shared" si="2118"/>
        <v>392263.82825000002</v>
      </c>
      <c r="BC202" s="592">
        <f t="shared" si="2118"/>
        <v>31092.094270000001</v>
      </c>
      <c r="BD202" s="592">
        <f t="shared" si="2118"/>
        <v>226320.39989999999</v>
      </c>
      <c r="BE202" s="592">
        <f t="shared" si="2118"/>
        <v>134528.68356999999</v>
      </c>
      <c r="BF202" s="592">
        <f t="shared" si="2118"/>
        <v>415266.06491000002</v>
      </c>
      <c r="BG202" s="592">
        <f t="shared" si="2118"/>
        <v>104242.94331</v>
      </c>
      <c r="BH202" s="592">
        <f t="shared" si="2118"/>
        <v>286318.34087999997</v>
      </c>
      <c r="BI202" s="592">
        <f t="shared" si="2118"/>
        <v>183981.49124</v>
      </c>
      <c r="BJ202" s="592">
        <f t="shared" si="2118"/>
        <v>569978.31830000004</v>
      </c>
      <c r="BK202" s="592">
        <f t="shared" ref="BK202:BR202" si="2119">+BK200-BK201</f>
        <v>135987.04392999999</v>
      </c>
      <c r="BL202" s="592">
        <f t="shared" si="2119"/>
        <v>258785.66029</v>
      </c>
      <c r="BM202" s="592">
        <f t="shared" si="2119"/>
        <v>187055.00271999999</v>
      </c>
      <c r="BN202" s="592">
        <f t="shared" si="2119"/>
        <v>658200.40723999997</v>
      </c>
      <c r="BO202" s="592">
        <f t="shared" si="2119"/>
        <v>-75782.668869999994</v>
      </c>
      <c r="BP202" s="592">
        <f t="shared" si="2119"/>
        <v>857961</v>
      </c>
      <c r="BQ202" s="592">
        <f t="shared" si="2119"/>
        <v>-249999</v>
      </c>
      <c r="BR202" s="592">
        <f t="shared" si="2119"/>
        <v>427825.14208999998</v>
      </c>
      <c r="BS202" s="592">
        <f t="shared" ref="BS202:CA202" si="2120">+BS200-BS201</f>
        <v>-309881.272</v>
      </c>
      <c r="BT202" s="592">
        <f t="shared" si="2120"/>
        <v>121287.45703999999</v>
      </c>
      <c r="BU202" s="592">
        <f t="shared" si="2120"/>
        <v>75098.43947000234</v>
      </c>
      <c r="BV202" s="592">
        <f t="shared" si="2120"/>
        <v>365804.81354999915</v>
      </c>
      <c r="BW202" s="592">
        <f t="shared" si="2120"/>
        <v>19390</v>
      </c>
      <c r="BX202" s="592">
        <f t="shared" si="2120"/>
        <v>272157.14306999999</v>
      </c>
      <c r="BY202" s="592">
        <f t="shared" si="2120"/>
        <v>31584.711349999998</v>
      </c>
      <c r="BZ202" s="592">
        <f t="shared" ref="BZ202" si="2121">+BZ200-BZ201</f>
        <v>412826</v>
      </c>
      <c r="CA202" s="592">
        <f t="shared" si="2120"/>
        <v>-215925.45462999999</v>
      </c>
      <c r="CB202" s="592">
        <f t="shared" ref="CB202:CC202" si="2122">+CB200-CB201</f>
        <v>23592.523459999997</v>
      </c>
      <c r="CC202" s="592">
        <f t="shared" si="2122"/>
        <v>-95336.614020000008</v>
      </c>
      <c r="CD202" s="592">
        <f t="shared" ref="CD202:CE202" si="2123">+CD200-CD201</f>
        <v>446290.37108000001</v>
      </c>
      <c r="CE202" s="592">
        <f t="shared" si="2123"/>
        <v>-31859.290279999987</v>
      </c>
      <c r="CF202" s="592">
        <f t="shared" ref="CF202" si="2124">+CF200-CF201</f>
        <v>235224.70965999999</v>
      </c>
      <c r="CG202" s="592">
        <f t="shared" ref="CG202:CH202" si="2125">+CG200-CG201</f>
        <v>118245.17142</v>
      </c>
      <c r="CH202" s="592">
        <f t="shared" si="2125"/>
        <v>365811.94096000004</v>
      </c>
      <c r="CI202" s="592">
        <f t="shared" ref="CI202:CJ202" si="2126">+CI200-CI201</f>
        <v>64942.274559999991</v>
      </c>
      <c r="CJ202" s="592">
        <f t="shared" si="2126"/>
        <v>308929.04946999997</v>
      </c>
      <c r="CK202" s="592">
        <f t="shared" ref="CK202:CL202" si="2127">+CK200-CK201</f>
        <v>41729.428139999975</v>
      </c>
      <c r="CL202" s="592">
        <f t="shared" si="2127"/>
        <v>415085.24789951934</v>
      </c>
      <c r="CM202" s="592">
        <f t="shared" ref="CM202:CP202" si="2128">+CM200-CM201</f>
        <v>-32984.866627539566</v>
      </c>
      <c r="CN202" s="592">
        <f t="shared" si="2128"/>
        <v>258953.26076251065</v>
      </c>
      <c r="CO202" s="592">
        <f t="shared" si="2128"/>
        <v>54587.033072105551</v>
      </c>
      <c r="CP202" s="592">
        <f t="shared" si="2128"/>
        <v>501620.63226091111</v>
      </c>
      <c r="CQ202" s="592"/>
      <c r="CR202" s="592">
        <v>415085.24789951934</v>
      </c>
      <c r="CT202" s="592"/>
      <c r="CU202" s="592"/>
      <c r="CV202" s="592"/>
      <c r="CW202" s="592"/>
      <c r="CX202" s="903">
        <f>+SUM(O202:R202)</f>
        <v>152302.81359999999</v>
      </c>
      <c r="CY202" s="954">
        <f>SUM(S202:V202)</f>
        <v>157134.03279999999</v>
      </c>
      <c r="CZ202" s="954">
        <f>SUM(W202:Z202)</f>
        <v>214234.8806</v>
      </c>
      <c r="DA202" s="954">
        <f>SUM(AA202:AD202)</f>
        <v>357832</v>
      </c>
      <c r="DB202" s="954">
        <f>SUM(AE202:AH202)</f>
        <v>400030.39420497778</v>
      </c>
      <c r="DC202" s="592">
        <f>+SUM(AI202:AL202)</f>
        <v>427419.73553000012</v>
      </c>
      <c r="DD202" s="954">
        <f>+SUM(AM202:AP202)</f>
        <v>522781.37735672976</v>
      </c>
      <c r="DE202" s="592">
        <f t="shared" ref="DE202:DN202" si="2129">+DE200-DE201</f>
        <v>825222.53697700019</v>
      </c>
      <c r="DF202" s="592">
        <f t="shared" si="2129"/>
        <v>715704.50743000023</v>
      </c>
      <c r="DG202" s="592">
        <f t="shared" si="2129"/>
        <v>699025.13908999995</v>
      </c>
      <c r="DH202" s="592">
        <f t="shared" si="2129"/>
        <v>807207.24264999991</v>
      </c>
      <c r="DI202" s="592">
        <f t="shared" si="2129"/>
        <v>1144521.0937299998</v>
      </c>
      <c r="DJ202" s="592">
        <f t="shared" si="2129"/>
        <v>1240028.11418</v>
      </c>
      <c r="DK202" s="592">
        <f t="shared" si="2129"/>
        <v>960004.47322000004</v>
      </c>
      <c r="DL202" s="592">
        <f t="shared" si="2129"/>
        <v>252309.43806000194</v>
      </c>
      <c r="DM202" s="592">
        <f t="shared" si="2129"/>
        <v>735957.85441999999</v>
      </c>
      <c r="DN202" s="592">
        <f t="shared" si="2129"/>
        <v>158620.82588999998</v>
      </c>
      <c r="DO202" s="592">
        <f t="shared" ref="DO202:DP202" si="2130">+DO200-DO201</f>
        <v>687422.53176000004</v>
      </c>
      <c r="DP202" s="592">
        <f t="shared" si="2130"/>
        <v>830686.0000695202</v>
      </c>
      <c r="DQ202" s="592">
        <f t="shared" ref="DQ202" si="2131">+DQ200-DQ201</f>
        <v>782176.05946798925</v>
      </c>
      <c r="DR202" s="592">
        <f>+DR200-DR201</f>
        <v>1441517.3112718291</v>
      </c>
      <c r="DS202" s="592">
        <f t="shared" ref="DS202:DU202" si="2132">+DS200-DS201</f>
        <v>1740129.1995808934</v>
      </c>
      <c r="DT202" s="592">
        <f t="shared" si="2132"/>
        <v>1968600.2791579613</v>
      </c>
      <c r="DU202" s="592">
        <f t="shared" si="2132"/>
        <v>2187963.753867018</v>
      </c>
      <c r="DX202" s="592">
        <v>1105157.3029034222</v>
      </c>
      <c r="DY202" s="592">
        <v>1627628.7140613403</v>
      </c>
    </row>
    <row r="203" spans="1:129" s="590" customFormat="1">
      <c r="A203" s="943"/>
      <c r="B203" s="597" t="s">
        <v>108</v>
      </c>
      <c r="C203" s="589">
        <f t="shared" ref="C203:AH203" si="2133">-C23</f>
        <v>0</v>
      </c>
      <c r="D203" s="589">
        <f t="shared" si="2133"/>
        <v>-897</v>
      </c>
      <c r="E203" s="589">
        <f t="shared" si="2133"/>
        <v>240</v>
      </c>
      <c r="F203" s="589">
        <f t="shared" si="2133"/>
        <v>-2251</v>
      </c>
      <c r="G203" s="589">
        <f t="shared" si="2133"/>
        <v>1400</v>
      </c>
      <c r="H203" s="589">
        <f t="shared" si="2133"/>
        <v>16554</v>
      </c>
      <c r="I203" s="589">
        <f t="shared" si="2133"/>
        <v>237</v>
      </c>
      <c r="J203" s="589">
        <f t="shared" si="2133"/>
        <v>7598</v>
      </c>
      <c r="K203" s="589">
        <f t="shared" si="2133"/>
        <v>6871</v>
      </c>
      <c r="L203" s="589">
        <f t="shared" si="2133"/>
        <v>11335</v>
      </c>
      <c r="M203" s="589">
        <f t="shared" si="2133"/>
        <v>32</v>
      </c>
      <c r="N203" s="589">
        <f t="shared" si="2133"/>
        <v>12214</v>
      </c>
      <c r="O203" s="589">
        <f t="shared" si="2133"/>
        <v>7342</v>
      </c>
      <c r="P203" s="589">
        <f t="shared" si="2133"/>
        <v>18414</v>
      </c>
      <c r="Q203" s="589">
        <f t="shared" si="2133"/>
        <v>16454</v>
      </c>
      <c r="R203" s="589">
        <f t="shared" si="2133"/>
        <v>14845</v>
      </c>
      <c r="S203" s="589">
        <f t="shared" si="2133"/>
        <v>12117</v>
      </c>
      <c r="T203" s="589">
        <f t="shared" si="2133"/>
        <v>21387</v>
      </c>
      <c r="U203" s="589">
        <f t="shared" si="2133"/>
        <v>14213</v>
      </c>
      <c r="V203" s="589">
        <f t="shared" si="2133"/>
        <v>15033</v>
      </c>
      <c r="W203" s="589">
        <f t="shared" si="2133"/>
        <v>5568</v>
      </c>
      <c r="X203" s="589">
        <f t="shared" si="2133"/>
        <v>24650</v>
      </c>
      <c r="Y203" s="589">
        <f t="shared" si="2133"/>
        <v>15866</v>
      </c>
      <c r="Z203" s="589">
        <f t="shared" si="2133"/>
        <v>36194</v>
      </c>
      <c r="AA203" s="589">
        <f t="shared" si="2133"/>
        <v>18660</v>
      </c>
      <c r="AB203" s="589">
        <f t="shared" si="2133"/>
        <v>45663</v>
      </c>
      <c r="AC203" s="589">
        <f t="shared" si="2133"/>
        <v>29740</v>
      </c>
      <c r="AD203" s="589">
        <f t="shared" si="2133"/>
        <v>29680</v>
      </c>
      <c r="AE203" s="589">
        <f t="shared" si="2133"/>
        <v>17242</v>
      </c>
      <c r="AF203" s="589">
        <f t="shared" si="2133"/>
        <v>39328</v>
      </c>
      <c r="AG203" s="589">
        <f t="shared" si="2133"/>
        <v>21601</v>
      </c>
      <c r="AH203" s="589">
        <f t="shared" si="2133"/>
        <v>60315</v>
      </c>
      <c r="AI203" s="589">
        <f t="shared" ref="AI203:BN203" si="2134">-AI23</f>
        <v>9490</v>
      </c>
      <c r="AJ203" s="589">
        <f t="shared" si="2134"/>
        <v>44485</v>
      </c>
      <c r="AK203" s="589">
        <f t="shared" si="2134"/>
        <v>26927</v>
      </c>
      <c r="AL203" s="589">
        <f t="shared" si="2134"/>
        <v>72518</v>
      </c>
      <c r="AM203" s="589">
        <f t="shared" si="2134"/>
        <v>6841</v>
      </c>
      <c r="AN203" s="589">
        <f t="shared" si="2134"/>
        <v>39995</v>
      </c>
      <c r="AO203" s="589">
        <f t="shared" si="2134"/>
        <v>29114</v>
      </c>
      <c r="AP203" s="589">
        <f t="shared" si="2134"/>
        <v>99360</v>
      </c>
      <c r="AQ203" s="589">
        <f t="shared" si="2134"/>
        <v>17583</v>
      </c>
      <c r="AR203" s="589">
        <f t="shared" si="2134"/>
        <v>49639</v>
      </c>
      <c r="AS203" s="589">
        <f t="shared" si="2134"/>
        <v>36137</v>
      </c>
      <c r="AT203" s="589">
        <f t="shared" si="2134"/>
        <v>133396</v>
      </c>
      <c r="AU203" s="589">
        <f t="shared" si="2134"/>
        <v>29399.782200000001</v>
      </c>
      <c r="AV203" s="589">
        <f t="shared" si="2134"/>
        <v>69920</v>
      </c>
      <c r="AW203" s="589">
        <f t="shared" si="2134"/>
        <v>33767</v>
      </c>
      <c r="AX203" s="589">
        <f t="shared" si="2134"/>
        <v>116742</v>
      </c>
      <c r="AY203" s="589">
        <f t="shared" si="2134"/>
        <v>15948</v>
      </c>
      <c r="AZ203" s="589">
        <f t="shared" si="2134"/>
        <v>70542</v>
      </c>
      <c r="BA203" s="589">
        <f t="shared" si="2134"/>
        <v>21752</v>
      </c>
      <c r="BB203" s="589">
        <f t="shared" si="2134"/>
        <v>139079</v>
      </c>
      <c r="BC203" s="589">
        <f t="shared" si="2134"/>
        <v>12126</v>
      </c>
      <c r="BD203" s="589">
        <f t="shared" si="2134"/>
        <v>78682</v>
      </c>
      <c r="BE203" s="589">
        <f t="shared" si="2134"/>
        <v>44304</v>
      </c>
      <c r="BF203" s="589">
        <f t="shared" si="2134"/>
        <v>136346</v>
      </c>
      <c r="BG203" s="589">
        <f t="shared" si="2134"/>
        <v>44732</v>
      </c>
      <c r="BH203" s="589">
        <f t="shared" si="2134"/>
        <v>63946.505109999998</v>
      </c>
      <c r="BI203" s="589">
        <f t="shared" si="2134"/>
        <v>46815.47496</v>
      </c>
      <c r="BJ203" s="589">
        <f t="shared" si="2134"/>
        <v>194563</v>
      </c>
      <c r="BK203" s="589">
        <f t="shared" si="2134"/>
        <v>46776</v>
      </c>
      <c r="BL203" s="589">
        <f t="shared" si="2134"/>
        <v>89547</v>
      </c>
      <c r="BM203" s="589">
        <f t="shared" si="2134"/>
        <v>62674</v>
      </c>
      <c r="BN203" s="589">
        <f t="shared" si="2134"/>
        <v>206784</v>
      </c>
      <c r="BO203" s="589">
        <f t="shared" ref="BO203:BZ203" si="2135">-BO23</f>
        <v>-24569</v>
      </c>
      <c r="BP203" s="589">
        <f t="shared" si="2135"/>
        <v>95810</v>
      </c>
      <c r="BQ203" s="589">
        <f t="shared" si="2135"/>
        <v>-101126</v>
      </c>
      <c r="BR203" s="589">
        <f t="shared" si="2135"/>
        <v>134377</v>
      </c>
      <c r="BS203" s="589">
        <f t="shared" si="2135"/>
        <v>-103876</v>
      </c>
      <c r="BT203" s="589">
        <f t="shared" si="2135"/>
        <v>16271</v>
      </c>
      <c r="BU203" s="589">
        <f t="shared" si="2135"/>
        <v>17327</v>
      </c>
      <c r="BV203" s="589">
        <f t="shared" si="2135"/>
        <v>77019</v>
      </c>
      <c r="BW203" s="589">
        <f t="shared" si="2135"/>
        <v>-30803</v>
      </c>
      <c r="BX203" s="589">
        <f t="shared" si="2135"/>
        <v>70778</v>
      </c>
      <c r="BY203" s="589">
        <f t="shared" si="2135"/>
        <v>-56997</v>
      </c>
      <c r="BZ203" s="589">
        <f t="shared" si="2135"/>
        <v>109603</v>
      </c>
      <c r="CA203" s="589">
        <f>-CA225</f>
        <v>-88461.3</v>
      </c>
      <c r="CB203" s="589">
        <f>-CB225</f>
        <v>-34005.87999999999</v>
      </c>
      <c r="CC203" s="589">
        <f>-CC225</f>
        <v>-96526.16</v>
      </c>
      <c r="CD203" s="589">
        <f>-CD225</f>
        <v>83401.120000000024</v>
      </c>
      <c r="CE203" s="589">
        <f>-CE225</f>
        <v>-27413.759999999995</v>
      </c>
      <c r="CF203" s="589">
        <f t="shared" ref="CF203" si="2136">-CF225</f>
        <v>69317.679999999993</v>
      </c>
      <c r="CG203" s="589">
        <f t="shared" ref="CG203:CH203" si="2137">-CG225</f>
        <v>24334</v>
      </c>
      <c r="CH203" s="589">
        <f t="shared" si="2137"/>
        <v>57559.060000000027</v>
      </c>
      <c r="CI203" s="589">
        <f t="shared" ref="CI203:CJ203" si="2138">-CI225</f>
        <v>33489.48000000001</v>
      </c>
      <c r="CJ203" s="589">
        <f t="shared" si="2138"/>
        <v>107554.74000000002</v>
      </c>
      <c r="CK203" s="589">
        <f t="shared" ref="CK203:CL203" si="2139">-CK225</f>
        <v>-19796.339999999997</v>
      </c>
      <c r="CL203" s="814">
        <f t="shared" si="2139"/>
        <v>129136.44812287683</v>
      </c>
      <c r="CM203" s="814">
        <f t="shared" ref="CM203:CP203" si="2140">-CM225</f>
        <v>-21325.837575435828</v>
      </c>
      <c r="CN203" s="814">
        <f t="shared" si="2140"/>
        <v>81525.157503992479</v>
      </c>
      <c r="CO203" s="814">
        <f t="shared" si="2140"/>
        <v>13923.975112680389</v>
      </c>
      <c r="CP203" s="814">
        <f t="shared" si="2140"/>
        <v>157509.30464417601</v>
      </c>
      <c r="CQ203" s="589"/>
      <c r="CR203" s="589">
        <v>129136.44812287683</v>
      </c>
      <c r="CT203" s="589"/>
      <c r="CU203" s="589"/>
      <c r="CV203" s="589"/>
      <c r="CW203" s="589"/>
      <c r="CX203" s="819">
        <f>+SUM(O203:R203)</f>
        <v>57055</v>
      </c>
      <c r="CY203" s="1001">
        <f>SUM(S203:V203)</f>
        <v>62750</v>
      </c>
      <c r="CZ203" s="1001">
        <f>SUM(W203:Z203)</f>
        <v>82278</v>
      </c>
      <c r="DA203" s="1001">
        <f>SUM(AA203:AD203)</f>
        <v>123743</v>
      </c>
      <c r="DB203" s="1001">
        <f>SUM(AE203:AH203)</f>
        <v>138486</v>
      </c>
      <c r="DC203" s="589">
        <f>+SUM(AI203:AL203)</f>
        <v>153420</v>
      </c>
      <c r="DD203" s="1001">
        <f>+SUM(AM203:AP203)</f>
        <v>175310</v>
      </c>
      <c r="DE203" s="589">
        <f t="shared" ref="DE203:DN203" si="2141">+DE204+DE205</f>
        <v>219255</v>
      </c>
      <c r="DF203" s="589">
        <f t="shared" si="2141"/>
        <v>249828.78219999999</v>
      </c>
      <c r="DG203" s="589">
        <f t="shared" si="2141"/>
        <v>247321</v>
      </c>
      <c r="DH203" s="589">
        <f t="shared" si="2141"/>
        <v>271458</v>
      </c>
      <c r="DI203" s="589">
        <f t="shared" si="2141"/>
        <v>350056.98006999999</v>
      </c>
      <c r="DJ203" s="589">
        <f t="shared" si="2141"/>
        <v>405781</v>
      </c>
      <c r="DK203" s="589">
        <f t="shared" si="2141"/>
        <v>104492</v>
      </c>
      <c r="DL203" s="589">
        <f t="shared" si="2141"/>
        <v>6741.0000000000036</v>
      </c>
      <c r="DM203" s="589">
        <f t="shared" si="2141"/>
        <v>92581</v>
      </c>
      <c r="DN203" s="589">
        <f t="shared" si="2141"/>
        <v>-135592.21999999997</v>
      </c>
      <c r="DO203" s="589">
        <f t="shared" ref="DO203:DP203" si="2142">+DO204+DO205</f>
        <v>123796.98000000004</v>
      </c>
      <c r="DP203" s="589">
        <f t="shared" si="2142"/>
        <v>250384.32812287688</v>
      </c>
      <c r="DQ203" s="589">
        <f t="shared" ref="DQ203" si="2143">+DQ204+DQ205</f>
        <v>231632.59968541306</v>
      </c>
      <c r="DR203" s="814">
        <f>-DR225</f>
        <v>452941.69117659039</v>
      </c>
      <c r="DS203" s="814">
        <f t="shared" ref="DS203:DU203" si="2144">-DS225</f>
        <v>551932.81385679112</v>
      </c>
      <c r="DT203" s="814">
        <f t="shared" si="2144"/>
        <v>626902.86797785026</v>
      </c>
      <c r="DU203" s="814">
        <f t="shared" si="2144"/>
        <v>698593.57212518039</v>
      </c>
      <c r="DX203" s="814">
        <v>331990.9533511044</v>
      </c>
      <c r="DY203" s="814">
        <v>506162.96188666421</v>
      </c>
    </row>
    <row r="204" spans="1:129" s="904" customFormat="1">
      <c r="A204" s="939"/>
      <c r="B204" s="949" t="s">
        <v>489</v>
      </c>
      <c r="C204" s="592" t="e">
        <f t="shared" ref="C204:AS204" si="2145">+C203-C205</f>
        <v>#REF!</v>
      </c>
      <c r="D204" s="592">
        <f t="shared" si="2145"/>
        <v>-1424.04</v>
      </c>
      <c r="E204" s="592">
        <f t="shared" si="2145"/>
        <v>-1406.1</v>
      </c>
      <c r="F204" s="592">
        <f t="shared" si="2145"/>
        <v>-4849.84</v>
      </c>
      <c r="G204" s="592">
        <f t="shared" si="2145"/>
        <v>526.55000000000007</v>
      </c>
      <c r="H204" s="592">
        <f t="shared" si="2145"/>
        <v>11198.19</v>
      </c>
      <c r="I204" s="592">
        <f t="shared" si="2145"/>
        <v>-1472.1</v>
      </c>
      <c r="J204" s="592">
        <f t="shared" si="2145"/>
        <v>5286.3050000000003</v>
      </c>
      <c r="K204" s="592">
        <f t="shared" si="2145"/>
        <v>4527.3999999999996</v>
      </c>
      <c r="L204" s="592">
        <f t="shared" si="2145"/>
        <v>8164.12</v>
      </c>
      <c r="M204" s="592">
        <f t="shared" si="2145"/>
        <v>-553.22937039999988</v>
      </c>
      <c r="N204" s="592">
        <f t="shared" si="2145"/>
        <v>8184.9039940000002</v>
      </c>
      <c r="O204" s="592">
        <f t="shared" si="2145"/>
        <v>5389.27</v>
      </c>
      <c r="P204" s="592">
        <f t="shared" si="2145"/>
        <v>13646.34</v>
      </c>
      <c r="Q204" s="592">
        <f t="shared" si="2145"/>
        <v>12658.61</v>
      </c>
      <c r="R204" s="592">
        <f t="shared" si="2145"/>
        <v>11653.526776000001</v>
      </c>
      <c r="S204" s="592">
        <f t="shared" si="2145"/>
        <v>8989.0499999999993</v>
      </c>
      <c r="T204" s="592">
        <f t="shared" si="2145"/>
        <v>16317.57</v>
      </c>
      <c r="U204" s="592">
        <f t="shared" si="2145"/>
        <v>10887.41</v>
      </c>
      <c r="V204" s="592">
        <f t="shared" si="2145"/>
        <v>12413.907048000001</v>
      </c>
      <c r="W204" s="592">
        <f t="shared" si="2145"/>
        <v>4370.82</v>
      </c>
      <c r="X204" s="592">
        <f t="shared" si="2145"/>
        <v>18530.810000000001</v>
      </c>
      <c r="Y204" s="592">
        <f t="shared" si="2145"/>
        <v>12089.51</v>
      </c>
      <c r="Z204" s="592">
        <f t="shared" si="2145"/>
        <v>28005.720745999999</v>
      </c>
      <c r="AA204" s="592">
        <f t="shared" si="2145"/>
        <v>13979.19</v>
      </c>
      <c r="AB204" s="592">
        <f t="shared" si="2145"/>
        <v>33676.620000000003</v>
      </c>
      <c r="AC204" s="592">
        <f t="shared" si="2145"/>
        <v>22274.32</v>
      </c>
      <c r="AD204" s="592">
        <f t="shared" si="2145"/>
        <v>21607.99</v>
      </c>
      <c r="AE204" s="592">
        <f t="shared" si="2145"/>
        <v>13114.110616</v>
      </c>
      <c r="AF204" s="592">
        <f t="shared" si="2145"/>
        <v>27429.644738353534</v>
      </c>
      <c r="AG204" s="592">
        <f t="shared" si="2145"/>
        <v>16437.734345883855</v>
      </c>
      <c r="AH204" s="592">
        <f t="shared" si="2145"/>
        <v>45501.774821314611</v>
      </c>
      <c r="AI204" s="592">
        <f t="shared" si="2145"/>
        <v>7247.3189836000001</v>
      </c>
      <c r="AJ204" s="592">
        <f t="shared" si="2145"/>
        <v>33029.427480099999</v>
      </c>
      <c r="AK204" s="592">
        <f t="shared" si="2145"/>
        <v>20138.654587399989</v>
      </c>
      <c r="AL204" s="592">
        <f t="shared" si="2145"/>
        <v>54536.822751200001</v>
      </c>
      <c r="AM204" s="592">
        <f t="shared" si="2145"/>
        <v>5588.1435035098812</v>
      </c>
      <c r="AN204" s="592">
        <f t="shared" si="2145"/>
        <v>28919.270067007019</v>
      </c>
      <c r="AO204" s="592">
        <f t="shared" si="2145"/>
        <v>21434.45649968092</v>
      </c>
      <c r="AP204" s="592">
        <f t="shared" si="2145"/>
        <v>72317.805967696506</v>
      </c>
      <c r="AQ204" s="592">
        <f t="shared" si="2145"/>
        <v>10355.944369514998</v>
      </c>
      <c r="AR204" s="592">
        <f t="shared" si="2145"/>
        <v>31210.721944420002</v>
      </c>
      <c r="AS204" s="592">
        <f t="shared" si="2145"/>
        <v>22353.641880679999</v>
      </c>
      <c r="AT204" s="592">
        <f>+AT203-AT205-17500</f>
        <v>81064.663477454975</v>
      </c>
      <c r="AU204" s="592">
        <f>+AU203-AU205</f>
        <v>22308.594470699987</v>
      </c>
      <c r="AV204" s="592">
        <f>+AV203-AV205</f>
        <v>51792.082335799991</v>
      </c>
      <c r="AW204" s="592">
        <f>+AW203-AW205</f>
        <v>24776.022739399988</v>
      </c>
      <c r="AX204" s="592">
        <f>+AX203-AX205</f>
        <v>86538.676985400001</v>
      </c>
      <c r="AY204" s="592">
        <f>+AY203-AY205</f>
        <v>12279.3696306</v>
      </c>
      <c r="AZ204" s="592">
        <f t="shared" ref="AZ204:CA204" si="2146">+AZ203-AZ205</f>
        <v>52165.848978000002</v>
      </c>
      <c r="BA204" s="592">
        <f t="shared" si="2146"/>
        <v>16188.2634158</v>
      </c>
      <c r="BB204" s="592">
        <f t="shared" si="2146"/>
        <v>103775.2554575</v>
      </c>
      <c r="BC204" s="592">
        <f t="shared" si="2146"/>
        <v>9327.7115157000007</v>
      </c>
      <c r="BD204" s="592">
        <f t="shared" si="2146"/>
        <v>58313.164009</v>
      </c>
      <c r="BE204" s="592">
        <f t="shared" si="2146"/>
        <v>32196.418478700001</v>
      </c>
      <c r="BF204" s="592">
        <f t="shared" si="2146"/>
        <v>98972.0541581</v>
      </c>
      <c r="BG204" s="592">
        <f t="shared" si="2146"/>
        <v>35350.135102100001</v>
      </c>
      <c r="BH204" s="592">
        <f t="shared" si="2146"/>
        <v>38177.854430799998</v>
      </c>
      <c r="BI204" s="592">
        <f t="shared" si="2146"/>
        <v>30257.140748400001</v>
      </c>
      <c r="BJ204" s="592">
        <f t="shared" si="2146"/>
        <v>143264.95135300001</v>
      </c>
      <c r="BK204" s="592">
        <f t="shared" si="2146"/>
        <v>34537.166046300001</v>
      </c>
      <c r="BL204" s="592">
        <f t="shared" si="2146"/>
        <v>66256.290573899998</v>
      </c>
      <c r="BM204" s="592">
        <f t="shared" si="2146"/>
        <v>45839.049755200002</v>
      </c>
      <c r="BN204" s="592">
        <f t="shared" si="2146"/>
        <v>147545.96334840002</v>
      </c>
      <c r="BO204" s="592">
        <f t="shared" si="2146"/>
        <v>-17748.559801700001</v>
      </c>
      <c r="BP204" s="592">
        <f t="shared" si="2146"/>
        <v>18593.510000000009</v>
      </c>
      <c r="BQ204" s="592">
        <f t="shared" si="2146"/>
        <v>-78626.09</v>
      </c>
      <c r="BR204" s="592">
        <f t="shared" si="2146"/>
        <v>95872.737211900007</v>
      </c>
      <c r="BS204" s="592">
        <f t="shared" si="2146"/>
        <v>-75986.685519999999</v>
      </c>
      <c r="BT204" s="592">
        <f t="shared" si="2146"/>
        <v>5355.1288664000003</v>
      </c>
      <c r="BU204" s="592">
        <f t="shared" si="2146"/>
        <v>10568.140447699789</v>
      </c>
      <c r="BV204" s="592">
        <f t="shared" si="2146"/>
        <v>44096.566780500078</v>
      </c>
      <c r="BW204" s="592">
        <f t="shared" si="2146"/>
        <v>-32548.1</v>
      </c>
      <c r="BX204" s="592">
        <f t="shared" si="2146"/>
        <v>46283.8571237</v>
      </c>
      <c r="BY204" s="592">
        <f>+BY203-BY205</f>
        <v>-59839.6240215</v>
      </c>
      <c r="BZ204" s="592">
        <f>+BZ203-BZ205</f>
        <v>72448.66</v>
      </c>
      <c r="CA204" s="592">
        <f t="shared" si="2146"/>
        <v>-69028.009083299999</v>
      </c>
      <c r="CB204" s="592">
        <f t="shared" ref="CB204:CC204" si="2147">+CB203-CB205</f>
        <v>-36129.207111399992</v>
      </c>
      <c r="CC204" s="592">
        <f t="shared" si="2147"/>
        <v>-87945.864738200005</v>
      </c>
      <c r="CD204" s="592">
        <f t="shared" ref="CD204:CE204" si="2148">+CD203-CD205</f>
        <v>43234.986602800025</v>
      </c>
      <c r="CE204" s="592">
        <f t="shared" si="2148"/>
        <v>-24546.423874799995</v>
      </c>
      <c r="CF204" s="592">
        <f t="shared" ref="CF204" si="2149">+CF203-CF205</f>
        <v>48147.456130599996</v>
      </c>
      <c r="CG204" s="592">
        <f t="shared" ref="CG204:CH204" si="2150">+CG203-CG205</f>
        <v>13691.9345722</v>
      </c>
      <c r="CH204" s="592">
        <f t="shared" si="2150"/>
        <v>24635.985313600024</v>
      </c>
      <c r="CI204" s="592">
        <f t="shared" ref="CI204:CL204" si="2151">+CI203-CI205</f>
        <v>27644.675289600011</v>
      </c>
      <c r="CJ204" s="592">
        <f t="shared" ref="CJ204" si="2152">+CJ203-CJ205</f>
        <v>79751.125547700023</v>
      </c>
      <c r="CK204" s="592">
        <f t="shared" si="2151"/>
        <v>-23551.988532599993</v>
      </c>
      <c r="CL204" s="592">
        <f t="shared" si="2151"/>
        <v>91778.775811920088</v>
      </c>
      <c r="CM204" s="592">
        <f t="shared" ref="CM204:CP204" si="2153">+CM203-CM205</f>
        <v>-18357.199578957268</v>
      </c>
      <c r="CN204" s="592">
        <f t="shared" si="2153"/>
        <v>58219.364035366525</v>
      </c>
      <c r="CO204" s="592">
        <f t="shared" si="2153"/>
        <v>9011.1421361908906</v>
      </c>
      <c r="CP204" s="592">
        <f t="shared" si="2153"/>
        <v>112363.44774069401</v>
      </c>
      <c r="CQ204" s="813"/>
      <c r="CR204" s="592">
        <v>91778.775811920088</v>
      </c>
      <c r="CT204" s="592"/>
      <c r="CU204" s="592"/>
      <c r="CV204" s="592"/>
      <c r="CW204" s="592"/>
      <c r="CX204" s="903">
        <f>+SUM(O204:R204)</f>
        <v>43347.746776</v>
      </c>
      <c r="CY204" s="954">
        <f>SUM(S204:V204)</f>
        <v>48607.937048</v>
      </c>
      <c r="CZ204" s="954">
        <f>SUM(W204:Z204)</f>
        <v>62996.860745999998</v>
      </c>
      <c r="DA204" s="954">
        <f>SUM(AA204:AD204)</f>
        <v>91538.12000000001</v>
      </c>
      <c r="DB204" s="954">
        <f>SUM(AE204:AH204)</f>
        <v>102483.264521552</v>
      </c>
      <c r="DC204" s="592">
        <f>+SUM(AI204:AL204)</f>
        <v>114952.2238023</v>
      </c>
      <c r="DD204" s="954">
        <f>+SUM(AM204:AP204)</f>
        <v>128259.67603789433</v>
      </c>
      <c r="DE204" s="939">
        <f>+SUM(AQ204:AT204)</f>
        <v>144984.97167206998</v>
      </c>
      <c r="DF204" s="939">
        <f>+SUM(AU204:AX204)</f>
        <v>185415.37653129996</v>
      </c>
      <c r="DG204" s="939">
        <f>+SUM(AY204:BB204)</f>
        <v>184408.7374819</v>
      </c>
      <c r="DH204" s="939">
        <f>+SUM(BC204:BF204)</f>
        <v>198809.34816150001</v>
      </c>
      <c r="DI204" s="939">
        <f>+SUM(BG204:BJ204)</f>
        <v>247050.0816343</v>
      </c>
      <c r="DJ204" s="939">
        <f>+SUM(BK204:BN204)</f>
        <v>294178.46972380002</v>
      </c>
      <c r="DK204" s="939">
        <f>+SUM(BO204:BR204)</f>
        <v>18091.597410200018</v>
      </c>
      <c r="DL204" s="939">
        <f>+SUM(BS204:BV204)</f>
        <v>-15966.849425400134</v>
      </c>
      <c r="DM204" s="939">
        <f>+SUM(BW204:BZ204)</f>
        <v>26344.793102200005</v>
      </c>
      <c r="DN204" s="939">
        <f>+SUM(CA204:CD204)</f>
        <v>-149868.09433009996</v>
      </c>
      <c r="DO204" s="939">
        <f>+SUM(CE204:CH204)</f>
        <v>61928.952141600028</v>
      </c>
      <c r="DP204" s="939">
        <f>+SUM(CI204:CL204)</f>
        <v>175622.58811662014</v>
      </c>
      <c r="DQ204" s="939">
        <f>+SUM(CM204:CP204)</f>
        <v>161236.75433329417</v>
      </c>
      <c r="DR204" s="592">
        <f>+DR203-DR205</f>
        <v>323205.13316212577</v>
      </c>
      <c r="DS204" s="592">
        <f t="shared" ref="DS204:DU204" si="2154">+DS203-DS205</f>
        <v>395321.18589451071</v>
      </c>
      <c r="DT204" s="592">
        <f t="shared" si="2154"/>
        <v>449728.84285363375</v>
      </c>
      <c r="DU204" s="592">
        <f t="shared" si="2154"/>
        <v>501676.83427714877</v>
      </c>
      <c r="DX204" s="592">
        <v>232526.79608979641</v>
      </c>
      <c r="DY204" s="592">
        <v>359676.37762114359</v>
      </c>
    </row>
    <row r="205" spans="1:129" s="904" customFormat="1">
      <c r="A205" s="939"/>
      <c r="B205" s="949" t="s">
        <v>490</v>
      </c>
      <c r="C205" s="592" t="e">
        <f t="shared" ref="C205:AH205" si="2155">+C202*C183</f>
        <v>#REF!</v>
      </c>
      <c r="D205" s="592">
        <f t="shared" si="2155"/>
        <v>527.04</v>
      </c>
      <c r="E205" s="592">
        <f t="shared" si="2155"/>
        <v>1646.1</v>
      </c>
      <c r="F205" s="592">
        <f t="shared" si="2155"/>
        <v>2598.8399999999997</v>
      </c>
      <c r="G205" s="592">
        <f t="shared" si="2155"/>
        <v>873.44999999999993</v>
      </c>
      <c r="H205" s="592">
        <f t="shared" si="2155"/>
        <v>5355.8099999999995</v>
      </c>
      <c r="I205" s="592">
        <f t="shared" si="2155"/>
        <v>1709.1</v>
      </c>
      <c r="J205" s="592">
        <f t="shared" si="2155"/>
        <v>2311.6949999999997</v>
      </c>
      <c r="K205" s="592">
        <f t="shared" si="2155"/>
        <v>2343.6</v>
      </c>
      <c r="L205" s="592">
        <f t="shared" si="2155"/>
        <v>3170.88</v>
      </c>
      <c r="M205" s="592">
        <f t="shared" si="2155"/>
        <v>585.22937039999988</v>
      </c>
      <c r="N205" s="592">
        <f t="shared" si="2155"/>
        <v>4029.0960059999998</v>
      </c>
      <c r="O205" s="592">
        <f t="shared" si="2155"/>
        <v>1952.73</v>
      </c>
      <c r="P205" s="592">
        <f t="shared" si="2155"/>
        <v>4767.66</v>
      </c>
      <c r="Q205" s="592">
        <f t="shared" si="2155"/>
        <v>3795.39</v>
      </c>
      <c r="R205" s="592">
        <f t="shared" si="2155"/>
        <v>3191.4732239999998</v>
      </c>
      <c r="S205" s="592">
        <f t="shared" si="2155"/>
        <v>3127.95</v>
      </c>
      <c r="T205" s="592">
        <f t="shared" si="2155"/>
        <v>5069.4299999999994</v>
      </c>
      <c r="U205" s="592">
        <f t="shared" si="2155"/>
        <v>3325.5899999999997</v>
      </c>
      <c r="V205" s="592">
        <f t="shared" si="2155"/>
        <v>2619.092952</v>
      </c>
      <c r="W205" s="592">
        <f t="shared" si="2155"/>
        <v>1197.1799999999998</v>
      </c>
      <c r="X205" s="592">
        <f t="shared" si="2155"/>
        <v>6119.19</v>
      </c>
      <c r="Y205" s="592">
        <f t="shared" si="2155"/>
        <v>3776.49</v>
      </c>
      <c r="Z205" s="592">
        <f t="shared" si="2155"/>
        <v>8188.279254</v>
      </c>
      <c r="AA205" s="592">
        <f t="shared" si="2155"/>
        <v>4680.8099999999995</v>
      </c>
      <c r="AB205" s="592">
        <f t="shared" si="2155"/>
        <v>11986.38</v>
      </c>
      <c r="AC205" s="592">
        <f t="shared" si="2155"/>
        <v>7465.6799999999994</v>
      </c>
      <c r="AD205" s="592">
        <f t="shared" si="2155"/>
        <v>8072.0099999999993</v>
      </c>
      <c r="AE205" s="592">
        <f t="shared" si="2155"/>
        <v>4127.8893840000001</v>
      </c>
      <c r="AF205" s="592">
        <f t="shared" si="2155"/>
        <v>11898.355261646468</v>
      </c>
      <c r="AG205" s="592">
        <f t="shared" si="2155"/>
        <v>5163.265654116145</v>
      </c>
      <c r="AH205" s="592">
        <f t="shared" si="2155"/>
        <v>14813.225178685387</v>
      </c>
      <c r="AI205" s="592">
        <f t="shared" ref="AI205:BN205" si="2156">+AI202*AI183</f>
        <v>2242.6810163999999</v>
      </c>
      <c r="AJ205" s="592">
        <f t="shared" si="2156"/>
        <v>11455.572519900001</v>
      </c>
      <c r="AK205" s="592">
        <f t="shared" si="2156"/>
        <v>6788.3454126000106</v>
      </c>
      <c r="AL205" s="592">
        <f t="shared" si="2156"/>
        <v>17981.177248799999</v>
      </c>
      <c r="AM205" s="592">
        <f t="shared" si="2156"/>
        <v>1252.8564964901191</v>
      </c>
      <c r="AN205" s="592">
        <f t="shared" si="2156"/>
        <v>11075.729932992979</v>
      </c>
      <c r="AO205" s="592">
        <f t="shared" si="2156"/>
        <v>7679.5435003190814</v>
      </c>
      <c r="AP205" s="592">
        <f t="shared" si="2156"/>
        <v>27042.194032303498</v>
      </c>
      <c r="AQ205" s="592">
        <f t="shared" si="2156"/>
        <v>7227.0556304850015</v>
      </c>
      <c r="AR205" s="592">
        <f t="shared" si="2156"/>
        <v>18428.278055579998</v>
      </c>
      <c r="AS205" s="592">
        <f t="shared" si="2156"/>
        <v>13783.358119319999</v>
      </c>
      <c r="AT205" s="592">
        <f t="shared" si="2156"/>
        <v>34831.336522545018</v>
      </c>
      <c r="AU205" s="592">
        <f t="shared" si="2156"/>
        <v>7091.1877293000125</v>
      </c>
      <c r="AV205" s="592">
        <f t="shared" si="2156"/>
        <v>18127.917664200009</v>
      </c>
      <c r="AW205" s="592">
        <f t="shared" si="2156"/>
        <v>8990.9772606000097</v>
      </c>
      <c r="AX205" s="592">
        <f t="shared" si="2156"/>
        <v>30203.323014599995</v>
      </c>
      <c r="AY205" s="592">
        <f t="shared" si="2156"/>
        <v>3668.6303693999998</v>
      </c>
      <c r="AZ205" s="592">
        <f t="shared" si="2156"/>
        <v>18376.151021999998</v>
      </c>
      <c r="BA205" s="592">
        <f t="shared" si="2156"/>
        <v>5563.7365841999999</v>
      </c>
      <c r="BB205" s="592">
        <f t="shared" si="2156"/>
        <v>35303.744542500004</v>
      </c>
      <c r="BC205" s="592">
        <f t="shared" si="2156"/>
        <v>2798.2884843000002</v>
      </c>
      <c r="BD205" s="592">
        <f t="shared" si="2156"/>
        <v>20368.835991</v>
      </c>
      <c r="BE205" s="592">
        <f t="shared" si="2156"/>
        <v>12107.581521299999</v>
      </c>
      <c r="BF205" s="592">
        <f t="shared" si="2156"/>
        <v>37373.9458419</v>
      </c>
      <c r="BG205" s="592">
        <f t="shared" si="2156"/>
        <v>9381.8648978999991</v>
      </c>
      <c r="BH205" s="592">
        <f t="shared" si="2156"/>
        <v>25768.650679199996</v>
      </c>
      <c r="BI205" s="592">
        <f t="shared" si="2156"/>
        <v>16558.334211599999</v>
      </c>
      <c r="BJ205" s="592">
        <f t="shared" si="2156"/>
        <v>51298.048647000003</v>
      </c>
      <c r="BK205" s="592">
        <f t="shared" si="2156"/>
        <v>12238.833953699997</v>
      </c>
      <c r="BL205" s="592">
        <f t="shared" si="2156"/>
        <v>23290.709426099998</v>
      </c>
      <c r="BM205" s="592">
        <f t="shared" si="2156"/>
        <v>16834.950244799998</v>
      </c>
      <c r="BN205" s="592">
        <f t="shared" si="2156"/>
        <v>59238.036651599992</v>
      </c>
      <c r="BO205" s="592">
        <f t="shared" ref="BO205:CA205" si="2157">+BO202*BO183</f>
        <v>-6820.4401982999989</v>
      </c>
      <c r="BP205" s="592">
        <f t="shared" si="2157"/>
        <v>77216.489999999991</v>
      </c>
      <c r="BQ205" s="592">
        <f t="shared" si="2157"/>
        <v>-22499.91</v>
      </c>
      <c r="BR205" s="592">
        <f t="shared" si="2157"/>
        <v>38504.262788099993</v>
      </c>
      <c r="BS205" s="592">
        <f t="shared" si="2157"/>
        <v>-27889.314479999997</v>
      </c>
      <c r="BT205" s="592">
        <f t="shared" si="2157"/>
        <v>10915.8711336</v>
      </c>
      <c r="BU205" s="592">
        <f t="shared" si="2157"/>
        <v>6758.8595523002105</v>
      </c>
      <c r="BV205" s="592">
        <f t="shared" si="2157"/>
        <v>32922.433219499922</v>
      </c>
      <c r="BW205" s="592">
        <f t="shared" si="2157"/>
        <v>1745.1</v>
      </c>
      <c r="BX205" s="592">
        <f t="shared" si="2157"/>
        <v>24494.142876299997</v>
      </c>
      <c r="BY205" s="592">
        <f>+BY202*BY183</f>
        <v>2842.6240214999998</v>
      </c>
      <c r="BZ205" s="592">
        <f>+BZ202*BZ183</f>
        <v>37154.339999999997</v>
      </c>
      <c r="CA205" s="592">
        <f t="shared" si="2157"/>
        <v>-19433.2909167</v>
      </c>
      <c r="CB205" s="592">
        <f t="shared" ref="CB205:CC205" si="2158">+CB202*CB183</f>
        <v>2123.3271113999995</v>
      </c>
      <c r="CC205" s="592">
        <f t="shared" si="2158"/>
        <v>-8580.2952617999999</v>
      </c>
      <c r="CD205" s="592">
        <f t="shared" ref="CD205:CE205" si="2159">+CD202*CD183</f>
        <v>40166.133397199999</v>
      </c>
      <c r="CE205" s="592">
        <f t="shared" si="2159"/>
        <v>-2867.3361251999986</v>
      </c>
      <c r="CF205" s="592">
        <f t="shared" ref="CF205" si="2160">+CF202*CF183</f>
        <v>21170.223869399997</v>
      </c>
      <c r="CG205" s="592">
        <f t="shared" ref="CG205:CH205" si="2161">+CG202*CG183</f>
        <v>10642.0654278</v>
      </c>
      <c r="CH205" s="592">
        <f t="shared" si="2161"/>
        <v>32923.074686400003</v>
      </c>
      <c r="CI205" s="592">
        <f t="shared" ref="CI205:CL205" si="2162">+CI202*CI183</f>
        <v>5844.8047103999988</v>
      </c>
      <c r="CJ205" s="592">
        <f t="shared" ref="CJ205" si="2163">+CJ202*CJ183</f>
        <v>27803.614452299997</v>
      </c>
      <c r="CK205" s="592">
        <f t="shared" si="2162"/>
        <v>3755.6485325999975</v>
      </c>
      <c r="CL205" s="813">
        <f t="shared" si="2162"/>
        <v>37357.672310956739</v>
      </c>
      <c r="CM205" s="813">
        <f t="shared" ref="CM205:CP205" si="2164">+CM202*CM183</f>
        <v>-2968.637996478561</v>
      </c>
      <c r="CN205" s="813">
        <f t="shared" si="2164"/>
        <v>23305.793468625958</v>
      </c>
      <c r="CO205" s="813">
        <f t="shared" si="2164"/>
        <v>4912.8329764894997</v>
      </c>
      <c r="CP205" s="813">
        <f t="shared" si="2164"/>
        <v>45145.856903481996</v>
      </c>
      <c r="CQ205" s="813"/>
      <c r="CR205" s="592">
        <v>37357.672310956739</v>
      </c>
      <c r="CT205" s="592"/>
      <c r="CU205" s="592"/>
      <c r="CV205" s="592"/>
      <c r="CW205" s="592"/>
      <c r="CX205" s="903">
        <f>+SUM(O205:R205)</f>
        <v>13707.253223999998</v>
      </c>
      <c r="CY205" s="954">
        <f>SUM(S205:V205)</f>
        <v>14142.062952</v>
      </c>
      <c r="CZ205" s="954">
        <f>SUM(W205:Z205)</f>
        <v>19281.139253999998</v>
      </c>
      <c r="DA205" s="954">
        <f>SUM(AA205:AD205)</f>
        <v>32204.879999999997</v>
      </c>
      <c r="DB205" s="954">
        <f>SUM(AE205:AH205)</f>
        <v>36002.735478447998</v>
      </c>
      <c r="DC205" s="592">
        <f>+SUM(AI205:AL205)</f>
        <v>38467.776197700012</v>
      </c>
      <c r="DD205" s="954">
        <f>+SUM(AM205:AP205)</f>
        <v>47050.323962105678</v>
      </c>
      <c r="DE205" s="939">
        <f>+SUM(AQ205:AT205)</f>
        <v>74270.02832793002</v>
      </c>
      <c r="DF205" s="939">
        <f>+SUM(AU205:AX205)</f>
        <v>64413.405668700027</v>
      </c>
      <c r="DG205" s="939">
        <f>+SUM(AY205:BB205)</f>
        <v>62912.262518100004</v>
      </c>
      <c r="DH205" s="939">
        <f>+SUM(BC205:BF205)</f>
        <v>72648.651838499994</v>
      </c>
      <c r="DI205" s="939">
        <f>+SUM(BG205:BJ205)</f>
        <v>103006.8984357</v>
      </c>
      <c r="DJ205" s="939">
        <f>+SUM(BK205:BN205)</f>
        <v>111602.53027619998</v>
      </c>
      <c r="DK205" s="939">
        <f>+SUM(BO205:BR205)</f>
        <v>86400.402589799982</v>
      </c>
      <c r="DL205" s="939">
        <f>+SUM(BS205:BV205)</f>
        <v>22707.849425400138</v>
      </c>
      <c r="DM205" s="939">
        <f>+SUM(BW205:BZ205)</f>
        <v>66236.206897799988</v>
      </c>
      <c r="DN205" s="939">
        <f>+SUM(CA205:CD205)</f>
        <v>14275.874330099999</v>
      </c>
      <c r="DO205" s="939">
        <f>+SUM(CE205:CH205)</f>
        <v>61868.027858400004</v>
      </c>
      <c r="DP205" s="939">
        <f>+SUM(CI205:CL205)</f>
        <v>74761.740006256732</v>
      </c>
      <c r="DQ205" s="939">
        <f>+SUM(CM205:CP205)</f>
        <v>70395.845352118893</v>
      </c>
      <c r="DR205" s="813">
        <f>+DR202*DR183</f>
        <v>129736.55801446461</v>
      </c>
      <c r="DS205" s="813">
        <f t="shared" ref="DS205:DU205" si="2165">+DS202*DS183</f>
        <v>156611.62796228038</v>
      </c>
      <c r="DT205" s="813">
        <f t="shared" si="2165"/>
        <v>177174.02512421651</v>
      </c>
      <c r="DU205" s="813">
        <f t="shared" si="2165"/>
        <v>196916.73784803163</v>
      </c>
      <c r="DX205" s="813">
        <v>99464.157261307992</v>
      </c>
      <c r="DY205" s="813">
        <v>146486.58426552062</v>
      </c>
    </row>
    <row r="206" spans="1:129" s="904" customFormat="1">
      <c r="A206" s="939"/>
      <c r="B206" s="949"/>
      <c r="C206" s="592"/>
      <c r="D206" s="592"/>
      <c r="E206" s="592"/>
      <c r="F206" s="592"/>
      <c r="G206" s="592"/>
      <c r="H206" s="592"/>
      <c r="I206" s="592"/>
      <c r="J206" s="592"/>
      <c r="K206" s="592"/>
      <c r="L206" s="592"/>
      <c r="M206" s="592"/>
      <c r="N206" s="592"/>
      <c r="O206" s="592"/>
      <c r="P206" s="592"/>
      <c r="Q206" s="592"/>
      <c r="R206" s="592"/>
      <c r="S206" s="592"/>
      <c r="T206" s="592"/>
      <c r="U206" s="592"/>
      <c r="V206" s="592"/>
      <c r="W206" s="592"/>
      <c r="X206" s="592"/>
      <c r="Y206" s="592"/>
      <c r="Z206" s="592"/>
      <c r="AA206" s="592"/>
      <c r="AB206" s="592"/>
      <c r="AC206" s="592"/>
      <c r="AD206" s="592"/>
      <c r="AE206" s="592"/>
      <c r="AF206" s="592"/>
      <c r="AG206" s="592"/>
      <c r="AH206" s="592"/>
      <c r="AI206" s="592"/>
      <c r="AJ206" s="592"/>
      <c r="AK206" s="592"/>
      <c r="AL206" s="592"/>
      <c r="AM206" s="592"/>
      <c r="AN206" s="592"/>
      <c r="AO206" s="592"/>
      <c r="AP206" s="592"/>
      <c r="AQ206" s="592"/>
      <c r="AR206" s="592"/>
      <c r="AS206" s="592"/>
      <c r="AT206" s="592"/>
      <c r="AU206" s="592"/>
      <c r="AV206" s="592"/>
      <c r="AW206" s="592"/>
      <c r="AX206" s="592"/>
      <c r="AY206" s="592"/>
      <c r="AZ206" s="592"/>
      <c r="BA206" s="592"/>
      <c r="BB206" s="592"/>
      <c r="BC206" s="592"/>
      <c r="BD206" s="592"/>
      <c r="BE206" s="592"/>
      <c r="BF206" s="592"/>
      <c r="BG206" s="592"/>
      <c r="BH206" s="592"/>
      <c r="BI206" s="592"/>
      <c r="BJ206" s="592"/>
      <c r="BK206" s="592"/>
      <c r="BL206" s="592"/>
      <c r="BM206" s="592"/>
      <c r="BN206" s="592"/>
      <c r="BO206" s="592"/>
      <c r="BP206" s="592"/>
      <c r="BQ206" s="592"/>
      <c r="BR206" s="592"/>
      <c r="BS206" s="592"/>
      <c r="BT206" s="592"/>
      <c r="BU206" s="592"/>
      <c r="BV206" s="592"/>
      <c r="BW206" s="592"/>
      <c r="BX206" s="592"/>
      <c r="BY206" s="592"/>
      <c r="BZ206" s="592"/>
      <c r="CA206" s="592"/>
      <c r="CB206" s="592"/>
      <c r="CC206" s="592"/>
      <c r="CD206" s="592"/>
      <c r="CE206" s="592"/>
      <c r="CF206" s="592"/>
      <c r="CG206" s="592"/>
      <c r="CH206" s="592"/>
      <c r="CI206" s="592"/>
      <c r="CJ206" s="592"/>
      <c r="CK206" s="592"/>
      <c r="CL206" s="813"/>
      <c r="CM206" s="813"/>
      <c r="CN206" s="813"/>
      <c r="CO206" s="813"/>
      <c r="CP206" s="813"/>
      <c r="CQ206" s="813"/>
      <c r="CR206" s="592"/>
      <c r="CT206" s="592"/>
      <c r="CU206" s="592"/>
      <c r="CV206" s="592"/>
      <c r="CW206" s="592"/>
      <c r="CX206" s="903"/>
      <c r="CY206" s="954"/>
      <c r="CZ206" s="954"/>
      <c r="DA206" s="954"/>
      <c r="DB206" s="954"/>
      <c r="DC206" s="592"/>
      <c r="DD206" s="954"/>
      <c r="DE206" s="954"/>
      <c r="DF206" s="954"/>
      <c r="DG206" s="954"/>
      <c r="DH206" s="954"/>
      <c r="DI206" s="954"/>
      <c r="DJ206" s="954"/>
      <c r="DK206" s="954"/>
      <c r="DL206" s="954"/>
      <c r="DM206" s="954"/>
      <c r="DN206" s="954"/>
      <c r="DO206" s="954"/>
      <c r="DP206" s="954"/>
      <c r="DQ206" s="954"/>
      <c r="DR206" s="813"/>
      <c r="DS206" s="813"/>
      <c r="DT206" s="813"/>
      <c r="DU206" s="813"/>
      <c r="DX206" s="813"/>
      <c r="DY206" s="813"/>
    </row>
    <row r="207" spans="1:129" s="590" customFormat="1">
      <c r="A207" s="943"/>
      <c r="B207" s="597" t="s">
        <v>487</v>
      </c>
      <c r="C207" s="589" t="e">
        <f t="shared" ref="C207:BN207" si="2166">+C$22</f>
        <v>#REF!</v>
      </c>
      <c r="D207" s="589">
        <f t="shared" si="2166"/>
        <v>5856</v>
      </c>
      <c r="E207" s="589">
        <f t="shared" si="2166"/>
        <v>18290</v>
      </c>
      <c r="F207" s="589">
        <f t="shared" si="2166"/>
        <v>28876</v>
      </c>
      <c r="G207" s="589">
        <f t="shared" si="2166"/>
        <v>9705</v>
      </c>
      <c r="H207" s="589">
        <f t="shared" si="2166"/>
        <v>59509</v>
      </c>
      <c r="I207" s="589">
        <f t="shared" si="2166"/>
        <v>18990</v>
      </c>
      <c r="J207" s="589">
        <f t="shared" si="2166"/>
        <v>56081</v>
      </c>
      <c r="K207" s="589">
        <f t="shared" si="2166"/>
        <v>26040</v>
      </c>
      <c r="L207" s="589">
        <f t="shared" si="2166"/>
        <v>35232</v>
      </c>
      <c r="M207" s="589">
        <f t="shared" si="2166"/>
        <v>28256</v>
      </c>
      <c r="N207" s="589">
        <f t="shared" si="2166"/>
        <v>63771</v>
      </c>
      <c r="O207" s="589">
        <f t="shared" si="2166"/>
        <v>21697</v>
      </c>
      <c r="P207" s="589">
        <f t="shared" si="2166"/>
        <v>52974</v>
      </c>
      <c r="Q207" s="589">
        <f t="shared" si="2166"/>
        <v>42171</v>
      </c>
      <c r="R207" s="589">
        <f t="shared" si="2166"/>
        <v>70136</v>
      </c>
      <c r="S207" s="589">
        <f t="shared" si="2166"/>
        <v>34755</v>
      </c>
      <c r="T207" s="589">
        <f t="shared" si="2166"/>
        <v>56327</v>
      </c>
      <c r="U207" s="589">
        <f t="shared" si="2166"/>
        <v>36951</v>
      </c>
      <c r="V207" s="589">
        <f t="shared" si="2166"/>
        <v>65527</v>
      </c>
      <c r="W207" s="589">
        <f t="shared" si="2166"/>
        <v>13301.999999999998</v>
      </c>
      <c r="X207" s="589">
        <f t="shared" si="2166"/>
        <v>67991</v>
      </c>
      <c r="Y207" s="589">
        <f t="shared" si="2166"/>
        <v>41961</v>
      </c>
      <c r="Z207" s="589">
        <f t="shared" si="2166"/>
        <v>135565</v>
      </c>
      <c r="AA207" s="589">
        <f t="shared" si="2166"/>
        <v>52009</v>
      </c>
      <c r="AB207" s="589">
        <f t="shared" si="2166"/>
        <v>133182</v>
      </c>
      <c r="AC207" s="589">
        <f t="shared" si="2166"/>
        <v>82952</v>
      </c>
      <c r="AD207" s="589">
        <f t="shared" si="2166"/>
        <v>159922</v>
      </c>
      <c r="AE207" s="589">
        <f t="shared" si="2166"/>
        <v>64829</v>
      </c>
      <c r="AF207" s="589">
        <f t="shared" si="2166"/>
        <v>152857.00000000012</v>
      </c>
      <c r="AG207" s="589">
        <f t="shared" si="2166"/>
        <v>78297</v>
      </c>
      <c r="AH207" s="589">
        <f t="shared" si="2166"/>
        <v>186185</v>
      </c>
      <c r="AI207" s="589">
        <f t="shared" si="2166"/>
        <v>45221</v>
      </c>
      <c r="AJ207" s="589">
        <f t="shared" si="2166"/>
        <v>147957</v>
      </c>
      <c r="AK207" s="589">
        <f t="shared" si="2166"/>
        <v>95450.000000000116</v>
      </c>
      <c r="AL207" s="589">
        <f t="shared" si="2166"/>
        <v>220192</v>
      </c>
      <c r="AM207" s="589">
        <f t="shared" si="2166"/>
        <v>28447.000000000116</v>
      </c>
      <c r="AN207" s="589">
        <f t="shared" si="2166"/>
        <v>137995</v>
      </c>
      <c r="AO207" s="589">
        <f t="shared" si="2166"/>
        <v>100756</v>
      </c>
      <c r="AP207" s="589">
        <f t="shared" si="2166"/>
        <v>315512</v>
      </c>
      <c r="AQ207" s="589">
        <f t="shared" si="2166"/>
        <v>97661.520000000019</v>
      </c>
      <c r="AR207" s="589">
        <f t="shared" si="2166"/>
        <v>222535</v>
      </c>
      <c r="AS207" s="589">
        <f t="shared" si="2166"/>
        <v>171378</v>
      </c>
      <c r="AT207" s="589">
        <f t="shared" si="2166"/>
        <v>405433.2690000002</v>
      </c>
      <c r="AU207" s="589">
        <f t="shared" si="2166"/>
        <v>102588.27951000014</v>
      </c>
      <c r="AV207" s="589">
        <f t="shared" si="2166"/>
        <v>228088.64064000011</v>
      </c>
      <c r="AW207" s="589">
        <f t="shared" si="2166"/>
        <v>129733</v>
      </c>
      <c r="AX207" s="589">
        <f t="shared" si="2166"/>
        <v>368257.30340999993</v>
      </c>
      <c r="AY207" s="589">
        <f t="shared" si="2166"/>
        <v>81463</v>
      </c>
      <c r="AZ207" s="589">
        <f t="shared" si="2166"/>
        <v>245350</v>
      </c>
      <c r="BA207" s="589">
        <f t="shared" si="2166"/>
        <v>106655</v>
      </c>
      <c r="BB207" s="589">
        <f t="shared" si="2166"/>
        <v>438913</v>
      </c>
      <c r="BC207" s="589">
        <f t="shared" si="2166"/>
        <v>79102</v>
      </c>
      <c r="BD207" s="589">
        <f t="shared" si="2166"/>
        <v>272265</v>
      </c>
      <c r="BE207" s="589">
        <f t="shared" si="2166"/>
        <v>184623</v>
      </c>
      <c r="BF207" s="589">
        <f t="shared" si="2166"/>
        <v>468148</v>
      </c>
      <c r="BG207" s="589">
        <f t="shared" si="2166"/>
        <v>156174</v>
      </c>
      <c r="BH207" s="589">
        <f t="shared" si="2166"/>
        <v>338655.96485999995</v>
      </c>
      <c r="BI207" s="589">
        <f t="shared" si="2166"/>
        <v>241026.43174999999</v>
      </c>
      <c r="BJ207" s="589">
        <f t="shared" si="2166"/>
        <v>634337.25080000004</v>
      </c>
      <c r="BK207" s="589">
        <f t="shared" si="2166"/>
        <v>202755</v>
      </c>
      <c r="BL207" s="589">
        <f t="shared" si="2166"/>
        <v>320283</v>
      </c>
      <c r="BM207" s="589">
        <f t="shared" si="2166"/>
        <v>249408</v>
      </c>
      <c r="BN207" s="589">
        <f t="shared" si="2166"/>
        <v>719538</v>
      </c>
      <c r="BO207" s="589">
        <f>+BO$22</f>
        <v>-17432</v>
      </c>
      <c r="BP207" s="589">
        <f>+BP$22</f>
        <v>913861</v>
      </c>
      <c r="BQ207" s="589">
        <f>+BQ$22</f>
        <v>-183999</v>
      </c>
      <c r="BR207" s="589">
        <f>+BR$22</f>
        <v>488301</v>
      </c>
      <c r="BS207" s="589">
        <f>+BS$22</f>
        <v>-251579</v>
      </c>
      <c r="BT207" s="589">
        <f t="shared" ref="BT207:CP207" si="2167">+BT$22</f>
        <v>209344</v>
      </c>
      <c r="BU207" s="589">
        <f t="shared" si="2167"/>
        <v>189570.33947000233</v>
      </c>
      <c r="BV207" s="589">
        <f t="shared" si="2167"/>
        <v>492804.81354999915</v>
      </c>
      <c r="BW207" s="589">
        <f t="shared" si="2167"/>
        <v>160827</v>
      </c>
      <c r="BX207" s="589">
        <f t="shared" si="2167"/>
        <v>431166</v>
      </c>
      <c r="BY207" s="589">
        <f t="shared" si="2167"/>
        <v>200865</v>
      </c>
      <c r="BZ207" s="589">
        <f t="shared" si="2167"/>
        <v>591426</v>
      </c>
      <c r="CA207" s="589">
        <f t="shared" si="2167"/>
        <v>-41695</v>
      </c>
      <c r="CB207" s="589">
        <f t="shared" si="2167"/>
        <v>195768</v>
      </c>
      <c r="CC207" s="589">
        <f t="shared" si="2167"/>
        <v>76376</v>
      </c>
      <c r="CD207" s="589">
        <f t="shared" si="2167"/>
        <v>610218</v>
      </c>
      <c r="CE207" s="589">
        <f t="shared" si="2167"/>
        <v>111836</v>
      </c>
      <c r="CF207" s="589">
        <f t="shared" si="2167"/>
        <v>384302</v>
      </c>
      <c r="CG207" s="589">
        <f t="shared" si="2167"/>
        <v>279600</v>
      </c>
      <c r="CH207" s="589">
        <f t="shared" si="2167"/>
        <v>545259</v>
      </c>
      <c r="CI207" s="589">
        <f t="shared" si="2167"/>
        <v>254522</v>
      </c>
      <c r="CJ207" s="589">
        <f t="shared" si="2167"/>
        <v>512061</v>
      </c>
      <c r="CK207" s="589">
        <f t="shared" si="2167"/>
        <v>259599</v>
      </c>
      <c r="CL207" s="589">
        <f t="shared" si="2167"/>
        <v>611065.36854896159</v>
      </c>
      <c r="CM207" s="589">
        <f t="shared" si="2167"/>
        <v>162995.25402190269</v>
      </c>
      <c r="CN207" s="589">
        <f t="shared" si="2167"/>
        <v>454933.3814119529</v>
      </c>
      <c r="CO207" s="589">
        <f t="shared" si="2167"/>
        <v>250567.1537215478</v>
      </c>
      <c r="CP207" s="589">
        <f t="shared" si="2167"/>
        <v>697600.75291035336</v>
      </c>
      <c r="CQ207" s="589"/>
      <c r="CR207" s="589">
        <v>611065.36854896159</v>
      </c>
      <c r="CT207" s="589"/>
      <c r="CU207" s="589"/>
      <c r="CV207" s="589"/>
      <c r="CW207" s="589"/>
      <c r="CX207" s="589">
        <f t="shared" ref="CX207:DD207" si="2168">+CX32</f>
        <v>-5368</v>
      </c>
      <c r="CY207" s="589">
        <f t="shared" si="2168"/>
        <v>-2735</v>
      </c>
      <c r="CZ207" s="589">
        <f t="shared" si="2168"/>
        <v>0</v>
      </c>
      <c r="DA207" s="589">
        <f t="shared" si="2168"/>
        <v>0</v>
      </c>
      <c r="DB207" s="589">
        <f t="shared" si="2168"/>
        <v>0</v>
      </c>
      <c r="DC207" s="589">
        <f t="shared" si="2168"/>
        <v>0</v>
      </c>
      <c r="DD207" s="589">
        <f t="shared" si="2168"/>
        <v>0</v>
      </c>
      <c r="DE207" s="589">
        <f t="shared" ref="DE207:DU207" si="2169">+DE$22</f>
        <v>897007.78900000022</v>
      </c>
      <c r="DF207" s="589">
        <f t="shared" si="2169"/>
        <v>828667.22356000019</v>
      </c>
      <c r="DG207" s="589">
        <f t="shared" si="2169"/>
        <v>872381</v>
      </c>
      <c r="DH207" s="589">
        <f t="shared" si="2169"/>
        <v>1004138</v>
      </c>
      <c r="DI207" s="589">
        <f t="shared" si="2169"/>
        <v>1370193.6474099997</v>
      </c>
      <c r="DJ207" s="589">
        <f t="shared" si="2169"/>
        <v>1491984</v>
      </c>
      <c r="DK207" s="589">
        <f t="shared" si="2169"/>
        <v>1200731</v>
      </c>
      <c r="DL207" s="589">
        <f t="shared" si="2169"/>
        <v>640140.15302000195</v>
      </c>
      <c r="DM207" s="589">
        <f t="shared" si="2169"/>
        <v>1384284</v>
      </c>
      <c r="DN207" s="589">
        <f t="shared" si="2169"/>
        <v>840667</v>
      </c>
      <c r="DO207" s="589">
        <f t="shared" si="2169"/>
        <v>1320997</v>
      </c>
      <c r="DP207" s="589">
        <f t="shared" si="2169"/>
        <v>1637247.3685489625</v>
      </c>
      <c r="DQ207" s="589">
        <f t="shared" si="2169"/>
        <v>1566096.5420657583</v>
      </c>
      <c r="DR207" s="589">
        <f t="shared" si="2169"/>
        <v>2247698.9760444849</v>
      </c>
      <c r="DS207" s="589">
        <f t="shared" si="2169"/>
        <v>2611991.9384939829</v>
      </c>
      <c r="DT207" s="589">
        <f t="shared" si="2169"/>
        <v>2913385.1469261316</v>
      </c>
      <c r="DU207" s="589">
        <f t="shared" si="2169"/>
        <v>3214015.358008943</v>
      </c>
      <c r="DX207" s="589">
        <v>1852079.031750079</v>
      </c>
      <c r="DY207" s="589">
        <v>2433810.3788339961</v>
      </c>
    </row>
    <row r="208" spans="1:129" s="904" customFormat="1">
      <c r="A208" s="939"/>
      <c r="B208" s="940" t="s">
        <v>491</v>
      </c>
      <c r="C208" s="592" t="e">
        <f>-C207*0.34</f>
        <v>#REF!</v>
      </c>
      <c r="D208" s="592">
        <f t="shared" ref="D208:BO208" si="2170">-D207*0.34</f>
        <v>-1991.0400000000002</v>
      </c>
      <c r="E208" s="592">
        <f t="shared" si="2170"/>
        <v>-6218.6</v>
      </c>
      <c r="F208" s="592">
        <f t="shared" si="2170"/>
        <v>-9817.84</v>
      </c>
      <c r="G208" s="592">
        <f t="shared" si="2170"/>
        <v>-3299.7000000000003</v>
      </c>
      <c r="H208" s="592">
        <f t="shared" si="2170"/>
        <v>-20233.060000000001</v>
      </c>
      <c r="I208" s="592">
        <f t="shared" si="2170"/>
        <v>-6456.6</v>
      </c>
      <c r="J208" s="592">
        <f t="shared" si="2170"/>
        <v>-19067.54</v>
      </c>
      <c r="K208" s="592">
        <f t="shared" si="2170"/>
        <v>-8853.6</v>
      </c>
      <c r="L208" s="592">
        <f t="shared" si="2170"/>
        <v>-11978.880000000001</v>
      </c>
      <c r="M208" s="592">
        <f t="shared" si="2170"/>
        <v>-9607.0400000000009</v>
      </c>
      <c r="N208" s="592">
        <f t="shared" si="2170"/>
        <v>-21682.140000000003</v>
      </c>
      <c r="O208" s="592">
        <f t="shared" si="2170"/>
        <v>-7376.9800000000005</v>
      </c>
      <c r="P208" s="592">
        <f t="shared" si="2170"/>
        <v>-18011.16</v>
      </c>
      <c r="Q208" s="592">
        <f t="shared" si="2170"/>
        <v>-14338.140000000001</v>
      </c>
      <c r="R208" s="592">
        <f t="shared" si="2170"/>
        <v>-23846.240000000002</v>
      </c>
      <c r="S208" s="592">
        <f t="shared" si="2170"/>
        <v>-11816.7</v>
      </c>
      <c r="T208" s="592">
        <f t="shared" si="2170"/>
        <v>-19151.18</v>
      </c>
      <c r="U208" s="592">
        <f t="shared" si="2170"/>
        <v>-12563.34</v>
      </c>
      <c r="V208" s="592">
        <f t="shared" si="2170"/>
        <v>-22279.18</v>
      </c>
      <c r="W208" s="592">
        <f t="shared" si="2170"/>
        <v>-4522.6799999999994</v>
      </c>
      <c r="X208" s="592">
        <f t="shared" si="2170"/>
        <v>-23116.940000000002</v>
      </c>
      <c r="Y208" s="592">
        <f t="shared" si="2170"/>
        <v>-14266.740000000002</v>
      </c>
      <c r="Z208" s="592">
        <f t="shared" si="2170"/>
        <v>-46092.100000000006</v>
      </c>
      <c r="AA208" s="592">
        <f t="shared" si="2170"/>
        <v>-17683.060000000001</v>
      </c>
      <c r="AB208" s="592">
        <f t="shared" si="2170"/>
        <v>-45281.880000000005</v>
      </c>
      <c r="AC208" s="592">
        <f t="shared" si="2170"/>
        <v>-28203.68</v>
      </c>
      <c r="AD208" s="592">
        <f t="shared" si="2170"/>
        <v>-54373.48</v>
      </c>
      <c r="AE208" s="592">
        <f t="shared" si="2170"/>
        <v>-22041.86</v>
      </c>
      <c r="AF208" s="592">
        <f t="shared" si="2170"/>
        <v>-51971.380000000041</v>
      </c>
      <c r="AG208" s="592">
        <f t="shared" si="2170"/>
        <v>-26620.980000000003</v>
      </c>
      <c r="AH208" s="592">
        <f t="shared" si="2170"/>
        <v>-63302.9</v>
      </c>
      <c r="AI208" s="592">
        <f t="shared" si="2170"/>
        <v>-15375.140000000001</v>
      </c>
      <c r="AJ208" s="592">
        <f t="shared" si="2170"/>
        <v>-50305.380000000005</v>
      </c>
      <c r="AK208" s="592">
        <f t="shared" si="2170"/>
        <v>-32453.000000000044</v>
      </c>
      <c r="AL208" s="592">
        <f t="shared" si="2170"/>
        <v>-74865.279999999999</v>
      </c>
      <c r="AM208" s="592">
        <f t="shared" si="2170"/>
        <v>-9671.9800000000396</v>
      </c>
      <c r="AN208" s="592">
        <f t="shared" si="2170"/>
        <v>-46918.3</v>
      </c>
      <c r="AO208" s="592">
        <f t="shared" si="2170"/>
        <v>-34257.040000000001</v>
      </c>
      <c r="AP208" s="592">
        <f t="shared" si="2170"/>
        <v>-107274.08</v>
      </c>
      <c r="AQ208" s="592">
        <f t="shared" si="2170"/>
        <v>-33204.916800000006</v>
      </c>
      <c r="AR208" s="592">
        <f t="shared" si="2170"/>
        <v>-75661.900000000009</v>
      </c>
      <c r="AS208" s="592">
        <f t="shared" si="2170"/>
        <v>-58268.520000000004</v>
      </c>
      <c r="AT208" s="592">
        <f t="shared" si="2170"/>
        <v>-137847.31146000008</v>
      </c>
      <c r="AU208" s="592">
        <f t="shared" si="2170"/>
        <v>-34880.01503340005</v>
      </c>
      <c r="AV208" s="592">
        <f t="shared" si="2170"/>
        <v>-77550.137817600043</v>
      </c>
      <c r="AW208" s="592">
        <f t="shared" si="2170"/>
        <v>-44109.22</v>
      </c>
      <c r="AX208" s="592">
        <f t="shared" si="2170"/>
        <v>-125207.48315939998</v>
      </c>
      <c r="AY208" s="592">
        <f t="shared" si="2170"/>
        <v>-27697.420000000002</v>
      </c>
      <c r="AZ208" s="592">
        <f t="shared" si="2170"/>
        <v>-83419</v>
      </c>
      <c r="BA208" s="592">
        <f t="shared" si="2170"/>
        <v>-36262.700000000004</v>
      </c>
      <c r="BB208" s="592">
        <f t="shared" si="2170"/>
        <v>-149230.42000000001</v>
      </c>
      <c r="BC208" s="592">
        <f t="shared" si="2170"/>
        <v>-26894.68</v>
      </c>
      <c r="BD208" s="592">
        <f t="shared" si="2170"/>
        <v>-92570.1</v>
      </c>
      <c r="BE208" s="592">
        <f t="shared" si="2170"/>
        <v>-62771.820000000007</v>
      </c>
      <c r="BF208" s="592">
        <f t="shared" si="2170"/>
        <v>-159170.32</v>
      </c>
      <c r="BG208" s="592">
        <f t="shared" si="2170"/>
        <v>-53099.16</v>
      </c>
      <c r="BH208" s="592">
        <f t="shared" si="2170"/>
        <v>-115143.0280524</v>
      </c>
      <c r="BI208" s="592">
        <f t="shared" si="2170"/>
        <v>-81948.986795000004</v>
      </c>
      <c r="BJ208" s="592">
        <f t="shared" si="2170"/>
        <v>-215674.66527200004</v>
      </c>
      <c r="BK208" s="592">
        <f t="shared" si="2170"/>
        <v>-68936.700000000012</v>
      </c>
      <c r="BL208" s="592">
        <f t="shared" si="2170"/>
        <v>-108896.22</v>
      </c>
      <c r="BM208" s="592">
        <f t="shared" si="2170"/>
        <v>-84798.720000000001</v>
      </c>
      <c r="BN208" s="592">
        <f t="shared" si="2170"/>
        <v>-244642.92</v>
      </c>
      <c r="BO208" s="592">
        <f t="shared" si="2170"/>
        <v>5926.88</v>
      </c>
      <c r="BP208" s="592">
        <f t="shared" ref="BP208:CB208" si="2171">-BP207*0.34</f>
        <v>-310712.74000000005</v>
      </c>
      <c r="BQ208" s="592">
        <f t="shared" si="2171"/>
        <v>62559.66</v>
      </c>
      <c r="BR208" s="592">
        <f t="shared" si="2171"/>
        <v>-166022.34000000003</v>
      </c>
      <c r="BS208" s="592">
        <f t="shared" si="2171"/>
        <v>85536.86</v>
      </c>
      <c r="BT208" s="592">
        <f t="shared" si="2171"/>
        <v>-71176.960000000006</v>
      </c>
      <c r="BU208" s="592">
        <f t="shared" si="2171"/>
        <v>-64453.915419800796</v>
      </c>
      <c r="BV208" s="592">
        <f t="shared" si="2171"/>
        <v>-167553.63660699973</v>
      </c>
      <c r="BW208" s="592">
        <f t="shared" si="2171"/>
        <v>-54681.180000000008</v>
      </c>
      <c r="BX208" s="592">
        <f t="shared" si="2171"/>
        <v>-146596.44</v>
      </c>
      <c r="BY208" s="592">
        <f>-BY207*0.34</f>
        <v>-68294.100000000006</v>
      </c>
      <c r="BZ208" s="592">
        <f t="shared" si="2171"/>
        <v>-201084.84000000003</v>
      </c>
      <c r="CA208" s="592">
        <f t="shared" si="2171"/>
        <v>14176.300000000001</v>
      </c>
      <c r="CB208" s="592">
        <f t="shared" si="2171"/>
        <v>-66561.12000000001</v>
      </c>
      <c r="CC208" s="592">
        <f t="shared" ref="CC208:CD208" si="2172">-CC207*0.34</f>
        <v>-25967.84</v>
      </c>
      <c r="CD208" s="592">
        <f t="shared" si="2172"/>
        <v>-207474.12000000002</v>
      </c>
      <c r="CE208" s="592">
        <f t="shared" ref="CE208" si="2173">-CE207*0.34</f>
        <v>-38024.240000000005</v>
      </c>
      <c r="CF208" s="592">
        <f t="shared" ref="CF208" si="2174">-CF207*0.34</f>
        <v>-130662.68000000001</v>
      </c>
      <c r="CG208" s="592">
        <f t="shared" ref="CG208:CH208" si="2175">-CG207*0.34</f>
        <v>-95064</v>
      </c>
      <c r="CH208" s="592">
        <f t="shared" si="2175"/>
        <v>-185388.06000000003</v>
      </c>
      <c r="CI208" s="592">
        <f t="shared" ref="CI208:CL208" si="2176">-CI207*0.34</f>
        <v>-86537.48000000001</v>
      </c>
      <c r="CJ208" s="592">
        <f t="shared" ref="CJ208" si="2177">-CJ207*0.34</f>
        <v>-174100.74000000002</v>
      </c>
      <c r="CK208" s="592">
        <f t="shared" si="2176"/>
        <v>-88263.66</v>
      </c>
      <c r="CL208" s="592">
        <f t="shared" si="2176"/>
        <v>-207762.22530664696</v>
      </c>
      <c r="CM208" s="592">
        <f t="shared" ref="CM208:CP208" si="2178">-CM207*0.34</f>
        <v>-55418.386367446918</v>
      </c>
      <c r="CN208" s="592">
        <f t="shared" si="2178"/>
        <v>-154677.34968006398</v>
      </c>
      <c r="CO208" s="592">
        <f t="shared" si="2178"/>
        <v>-85192.832265326258</v>
      </c>
      <c r="CP208" s="592">
        <f t="shared" si="2178"/>
        <v>-237184.25598952017</v>
      </c>
      <c r="CQ208" s="813"/>
      <c r="CR208" s="592">
        <v>-207762.22530664696</v>
      </c>
      <c r="CT208" s="592"/>
      <c r="CU208" s="592"/>
      <c r="CV208" s="592"/>
      <c r="CW208" s="592"/>
      <c r="CX208" s="903"/>
      <c r="CY208" s="954"/>
      <c r="CZ208" s="954"/>
      <c r="DA208" s="954"/>
      <c r="DB208" s="954"/>
      <c r="DC208" s="592"/>
      <c r="DD208" s="954"/>
      <c r="DE208" s="592">
        <f t="shared" ref="DE208:DR208" si="2179">-DE207*0.34</f>
        <v>-304982.6482600001</v>
      </c>
      <c r="DF208" s="592">
        <f t="shared" si="2179"/>
        <v>-281746.85601040011</v>
      </c>
      <c r="DG208" s="592">
        <f t="shared" si="2179"/>
        <v>-296609.54000000004</v>
      </c>
      <c r="DH208" s="592">
        <f t="shared" si="2179"/>
        <v>-341406.92000000004</v>
      </c>
      <c r="DI208" s="592">
        <f t="shared" si="2179"/>
        <v>-465865.84011939995</v>
      </c>
      <c r="DJ208" s="592">
        <f t="shared" si="2179"/>
        <v>-507274.56000000006</v>
      </c>
      <c r="DK208" s="592">
        <f t="shared" si="2179"/>
        <v>-408248.54000000004</v>
      </c>
      <c r="DL208" s="592">
        <f t="shared" si="2179"/>
        <v>-217647.65202680067</v>
      </c>
      <c r="DM208" s="592">
        <f t="shared" si="2179"/>
        <v>-470656.56000000006</v>
      </c>
      <c r="DN208" s="592">
        <f t="shared" si="2179"/>
        <v>-285826.78000000003</v>
      </c>
      <c r="DO208" s="592">
        <f t="shared" ref="DO208:DP208" si="2180">-DO207*0.34</f>
        <v>-449138.98000000004</v>
      </c>
      <c r="DP208" s="592">
        <f t="shared" si="2180"/>
        <v>-556664.10530664725</v>
      </c>
      <c r="DQ208" s="592">
        <f t="shared" ref="DQ208" si="2181">-DQ207*0.34</f>
        <v>-532472.82430235785</v>
      </c>
      <c r="DR208" s="592">
        <f t="shared" si="2179"/>
        <v>-764217.65185512486</v>
      </c>
      <c r="DS208" s="592">
        <f t="shared" ref="DS208:DU208" si="2182">-DS207*0.34</f>
        <v>-888077.2590879543</v>
      </c>
      <c r="DT208" s="592">
        <f t="shared" si="2182"/>
        <v>-990550.94995488483</v>
      </c>
      <c r="DU208" s="592">
        <f t="shared" si="2182"/>
        <v>-1092765.2217230408</v>
      </c>
      <c r="DX208" s="592">
        <v>-629706.87079502689</v>
      </c>
      <c r="DY208" s="592">
        <v>-827495.52880355879</v>
      </c>
    </row>
    <row r="209" spans="1:129" s="904" customFormat="1">
      <c r="A209" s="939"/>
      <c r="B209" s="940"/>
      <c r="C209" s="592"/>
      <c r="D209" s="592"/>
      <c r="E209" s="592"/>
      <c r="F209" s="592"/>
      <c r="G209" s="592"/>
      <c r="H209" s="592"/>
      <c r="I209" s="592"/>
      <c r="J209" s="592"/>
      <c r="K209" s="592"/>
      <c r="L209" s="592"/>
      <c r="M209" s="592"/>
      <c r="N209" s="592"/>
      <c r="O209" s="592"/>
      <c r="P209" s="592"/>
      <c r="Q209" s="592"/>
      <c r="R209" s="592"/>
      <c r="S209" s="592"/>
      <c r="T209" s="592"/>
      <c r="U209" s="592"/>
      <c r="V209" s="592"/>
      <c r="W209" s="592"/>
      <c r="X209" s="592"/>
      <c r="Y209" s="592"/>
      <c r="Z209" s="592"/>
      <c r="AA209" s="592"/>
      <c r="AB209" s="592"/>
      <c r="AC209" s="592"/>
      <c r="AD209" s="592"/>
      <c r="AE209" s="592"/>
      <c r="AF209" s="592"/>
      <c r="AG209" s="592"/>
      <c r="AH209" s="592"/>
      <c r="AI209" s="592"/>
      <c r="AJ209" s="592"/>
      <c r="AK209" s="592"/>
      <c r="AL209" s="592"/>
      <c r="AM209" s="592"/>
      <c r="AN209" s="592"/>
      <c r="AO209" s="592"/>
      <c r="AP209" s="592"/>
      <c r="AQ209" s="592"/>
      <c r="AR209" s="592"/>
      <c r="AS209" s="592"/>
      <c r="AT209" s="592"/>
      <c r="AU209" s="592"/>
      <c r="AV209" s="592"/>
      <c r="AW209" s="592"/>
      <c r="AX209" s="592"/>
      <c r="AY209" s="592"/>
      <c r="AZ209" s="592"/>
      <c r="BA209" s="592"/>
      <c r="BB209" s="592"/>
      <c r="BC209" s="592"/>
      <c r="BD209" s="592"/>
      <c r="BE209" s="592"/>
      <c r="BF209" s="592"/>
      <c r="BG209" s="592"/>
      <c r="BH209" s="592"/>
      <c r="BI209" s="592"/>
      <c r="BJ209" s="592"/>
      <c r="BK209" s="592"/>
      <c r="BL209" s="592"/>
      <c r="BM209" s="592"/>
      <c r="BN209" s="592"/>
      <c r="BO209" s="592"/>
      <c r="BP209" s="592"/>
      <c r="BQ209" s="592"/>
      <c r="BR209" s="592"/>
      <c r="BS209" s="592"/>
      <c r="BT209" s="592"/>
      <c r="BU209" s="592"/>
      <c r="BV209" s="592"/>
      <c r="BW209" s="592"/>
      <c r="BX209" s="592"/>
      <c r="BY209" s="592"/>
      <c r="BZ209" s="813"/>
      <c r="CA209" s="813"/>
      <c r="CB209" s="813"/>
      <c r="CC209" s="813"/>
      <c r="CD209" s="813"/>
      <c r="CE209" s="813"/>
      <c r="CF209" s="813"/>
      <c r="CG209" s="813"/>
      <c r="CH209" s="813"/>
      <c r="CI209" s="813"/>
      <c r="CJ209" s="813"/>
      <c r="CK209" s="813"/>
      <c r="CL209" s="813"/>
      <c r="CM209" s="813"/>
      <c r="CN209" s="813"/>
      <c r="CO209" s="813"/>
      <c r="CP209" s="813"/>
      <c r="CQ209" s="813"/>
      <c r="CR209" s="592"/>
      <c r="CT209" s="592"/>
      <c r="CU209" s="592"/>
      <c r="CV209" s="592"/>
      <c r="CW209" s="592"/>
      <c r="CX209" s="903"/>
      <c r="CY209" s="954"/>
      <c r="CZ209" s="954"/>
      <c r="DA209" s="954"/>
      <c r="DB209" s="954"/>
      <c r="DC209" s="592"/>
      <c r="DD209" s="954"/>
      <c r="DE209" s="954"/>
      <c r="DF209" s="954"/>
      <c r="DG209" s="954"/>
      <c r="DH209" s="954"/>
      <c r="DI209" s="954"/>
      <c r="DJ209" s="954"/>
      <c r="DK209" s="954"/>
      <c r="DL209" s="954"/>
      <c r="DM209" s="954"/>
      <c r="DN209" s="954"/>
      <c r="DO209" s="954"/>
      <c r="DP209" s="954"/>
      <c r="DQ209" s="954"/>
      <c r="DR209" s="813"/>
      <c r="DS209" s="813"/>
      <c r="DT209" s="813"/>
      <c r="DU209" s="813"/>
      <c r="DX209" s="813"/>
      <c r="DY209" s="813"/>
    </row>
    <row r="210" spans="1:129" s="904" customFormat="1">
      <c r="A210" s="939"/>
      <c r="B210" t="s">
        <v>492</v>
      </c>
      <c r="C210" s="592"/>
      <c r="D210" s="592"/>
      <c r="E210" s="592"/>
      <c r="F210" s="592"/>
      <c r="G210" s="592"/>
      <c r="H210" s="592"/>
      <c r="I210" s="592"/>
      <c r="J210" s="592"/>
      <c r="K210" s="592"/>
      <c r="L210" s="592"/>
      <c r="M210" s="592"/>
      <c r="N210" s="592"/>
      <c r="O210" s="592"/>
      <c r="P210" s="592"/>
      <c r="Q210" s="592"/>
      <c r="R210" s="592"/>
      <c r="S210" s="592"/>
      <c r="T210" s="592"/>
      <c r="U210" s="592"/>
      <c r="V210" s="592"/>
      <c r="W210" s="592"/>
      <c r="X210" s="592"/>
      <c r="Y210" s="592"/>
      <c r="Z210" s="592"/>
      <c r="AA210" s="592"/>
      <c r="AB210" s="592"/>
      <c r="AC210" s="592"/>
      <c r="AD210" s="592"/>
      <c r="AE210" s="592"/>
      <c r="AF210" s="592"/>
      <c r="AG210" s="592"/>
      <c r="AH210" s="592"/>
      <c r="AI210" s="592"/>
      <c r="AJ210" s="592"/>
      <c r="AK210" s="592"/>
      <c r="AL210" s="592"/>
      <c r="AM210" s="592"/>
      <c r="AN210" s="592"/>
      <c r="AO210" s="592"/>
      <c r="AP210" s="592"/>
      <c r="AQ210" s="592"/>
      <c r="AR210" s="592"/>
      <c r="AS210" s="592"/>
      <c r="AT210" s="592"/>
      <c r="AU210" s="592"/>
      <c r="AV210" s="592"/>
      <c r="AW210" s="592"/>
      <c r="AX210" s="592"/>
      <c r="AY210" s="592"/>
      <c r="AZ210" s="592"/>
      <c r="BA210" s="592"/>
      <c r="BB210" s="592"/>
      <c r="BC210" s="592"/>
      <c r="BD210" s="592"/>
      <c r="BE210" s="592"/>
      <c r="BF210" s="592"/>
      <c r="BG210" s="592"/>
      <c r="BH210" s="592"/>
      <c r="BI210" s="592"/>
      <c r="BJ210" s="592"/>
      <c r="BK210" s="952">
        <v>-1634</v>
      </c>
      <c r="BL210" s="952">
        <v>-1754</v>
      </c>
      <c r="BM210" s="952">
        <v>-1784</v>
      </c>
      <c r="BN210" s="952">
        <f>-7166-BM210-BL210-BK210</f>
        <v>-1994</v>
      </c>
      <c r="BO210" s="952">
        <v>-1694</v>
      </c>
      <c r="BP210" s="952">
        <v>-1833</v>
      </c>
      <c r="BQ210" s="952">
        <v>-1850</v>
      </c>
      <c r="BR210" s="952">
        <f>-7763-BQ210-BP210-BO210</f>
        <v>-2386</v>
      </c>
      <c r="BS210" s="952">
        <v>-1270</v>
      </c>
      <c r="BT210" s="952">
        <v>-1441</v>
      </c>
      <c r="BU210" s="952">
        <v>-1166</v>
      </c>
      <c r="BV210" s="952">
        <f>-5219-BU210-BT210-BS210</f>
        <v>-1342</v>
      </c>
      <c r="BW210" s="952">
        <v>-1490</v>
      </c>
      <c r="BX210" s="952">
        <v>-2186</v>
      </c>
      <c r="BY210" s="952">
        <v>-2214</v>
      </c>
      <c r="BZ210" s="952">
        <f>-7412-BY210-BX210-BW210</f>
        <v>-1522</v>
      </c>
      <c r="CA210" s="952">
        <v>-1976</v>
      </c>
      <c r="CB210" s="952">
        <v>-2192</v>
      </c>
      <c r="CC210" s="952">
        <v>-2218</v>
      </c>
      <c r="CD210" s="952">
        <f>-7976-CC210-CB210-CA210</f>
        <v>-1590</v>
      </c>
      <c r="CE210" s="952">
        <v>-2012</v>
      </c>
      <c r="CF210" s="952">
        <v>-2108</v>
      </c>
      <c r="CG210" s="952">
        <v>-2131</v>
      </c>
      <c r="CH210" s="952">
        <f>-10840-CG210-CF210-CE210</f>
        <v>-4589</v>
      </c>
      <c r="CI210" s="952">
        <v>-1238</v>
      </c>
      <c r="CJ210" s="952">
        <f>-5848-CK210-CI210</f>
        <v>-2934</v>
      </c>
      <c r="CK210" s="952">
        <v>-1676</v>
      </c>
      <c r="CL210" s="813">
        <f t="shared" ref="CL210:CP210" si="2183">+CL211*CL6</f>
        <v>-2270.6568059914275</v>
      </c>
      <c r="CM210" s="813">
        <f t="shared" si="2183"/>
        <v>-1615.2157081662708</v>
      </c>
      <c r="CN210" s="813">
        <f t="shared" si="2183"/>
        <v>-2048.7720595786554</v>
      </c>
      <c r="CO210" s="813">
        <f t="shared" si="2183"/>
        <v>-1806.3921499549626</v>
      </c>
      <c r="CP210" s="813">
        <f t="shared" si="2183"/>
        <v>-2469.3065676662336</v>
      </c>
      <c r="CQ210" s="813"/>
      <c r="CR210" s="592">
        <v>-2270.6568059914275</v>
      </c>
      <c r="CT210" s="592"/>
      <c r="CU210" s="592"/>
      <c r="CV210" s="592"/>
      <c r="CW210" s="592"/>
      <c r="CX210" s="903"/>
      <c r="CY210" s="954"/>
      <c r="CZ210" s="954"/>
      <c r="DA210" s="954"/>
      <c r="DB210" s="954"/>
      <c r="DC210" s="592"/>
      <c r="DD210" s="954"/>
      <c r="DE210" s="939"/>
      <c r="DF210" s="939"/>
      <c r="DG210" s="939"/>
      <c r="DH210" s="939"/>
      <c r="DI210" s="939"/>
      <c r="DJ210" s="939">
        <f>+SUM(BK210:BN210)</f>
        <v>-7166</v>
      </c>
      <c r="DK210" s="939">
        <f>+SUM(BO210:BR210)</f>
        <v>-7763</v>
      </c>
      <c r="DL210" s="939">
        <f>+SUM(BS210:BV210)</f>
        <v>-5219</v>
      </c>
      <c r="DM210" s="939">
        <f>+SUM(BW210:BZ210)</f>
        <v>-7412</v>
      </c>
      <c r="DN210" s="939">
        <f>+SUM(CA210:CD210)</f>
        <v>-7976</v>
      </c>
      <c r="DO210" s="939">
        <f>+SUM(CE210:CH210)</f>
        <v>-10840</v>
      </c>
      <c r="DP210" s="939">
        <f>+SUM(CI210:CL210)</f>
        <v>-8118.656805991428</v>
      </c>
      <c r="DQ210" s="939">
        <f>+SUM(CM210:CP210)</f>
        <v>-7939.6864853661227</v>
      </c>
      <c r="DR210" s="813">
        <f t="shared" ref="DR210:DU210" si="2184">+DR211*DR6</f>
        <v>-8603.1774709415567</v>
      </c>
      <c r="DS210" s="813">
        <f t="shared" si="2184"/>
        <v>-9190.2935485202142</v>
      </c>
      <c r="DT210" s="813">
        <f t="shared" si="2184"/>
        <v>-9817.4916025251841</v>
      </c>
      <c r="DU210" s="813">
        <f t="shared" si="2184"/>
        <v>-10486.98657467116</v>
      </c>
      <c r="DX210" s="813">
        <v>-8805.8234738594783</v>
      </c>
      <c r="DY210" s="813">
        <v>-9503.7032516639483</v>
      </c>
    </row>
    <row r="211" spans="1:129" s="1573" customFormat="1" ht="12.75">
      <c r="A211" s="1567"/>
      <c r="B211" s="1568" t="s">
        <v>233</v>
      </c>
      <c r="C211" s="1569"/>
      <c r="D211" s="1569"/>
      <c r="E211" s="1569"/>
      <c r="F211" s="1569"/>
      <c r="G211" s="1569"/>
      <c r="H211" s="1569"/>
      <c r="I211" s="1569"/>
      <c r="J211" s="1569"/>
      <c r="K211" s="1569"/>
      <c r="L211" s="1569"/>
      <c r="M211" s="1569"/>
      <c r="N211" s="1569"/>
      <c r="O211" s="1569"/>
      <c r="P211" s="1569"/>
      <c r="Q211" s="1569"/>
      <c r="R211" s="1569"/>
      <c r="S211" s="1569"/>
      <c r="T211" s="1569"/>
      <c r="U211" s="1569"/>
      <c r="V211" s="1569"/>
      <c r="W211" s="1569"/>
      <c r="X211" s="1569"/>
      <c r="Y211" s="1569"/>
      <c r="Z211" s="1569"/>
      <c r="AA211" s="1569"/>
      <c r="AB211" s="1569"/>
      <c r="AC211" s="1569"/>
      <c r="AD211" s="1569"/>
      <c r="AE211" s="1569"/>
      <c r="AF211" s="1569"/>
      <c r="AG211" s="1569"/>
      <c r="AH211" s="1569"/>
      <c r="AI211" s="1569"/>
      <c r="AJ211" s="1569"/>
      <c r="AK211" s="1569"/>
      <c r="AL211" s="1569"/>
      <c r="AM211" s="1569"/>
      <c r="AN211" s="1569"/>
      <c r="AO211" s="1569"/>
      <c r="AP211" s="1569"/>
      <c r="AQ211" s="1569"/>
      <c r="AR211" s="1569"/>
      <c r="AS211" s="1569"/>
      <c r="AT211" s="1569"/>
      <c r="AU211" s="1569"/>
      <c r="AV211" s="1569"/>
      <c r="AW211" s="1569"/>
      <c r="AX211" s="1569"/>
      <c r="AY211" s="1569"/>
      <c r="AZ211" s="1569"/>
      <c r="BA211" s="1569"/>
      <c r="BB211" s="1569"/>
      <c r="BC211" s="1569"/>
      <c r="BD211" s="1569"/>
      <c r="BE211" s="1569"/>
      <c r="BF211" s="1569"/>
      <c r="BG211" s="1569"/>
      <c r="BH211" s="1569"/>
      <c r="BI211" s="1569"/>
      <c r="BJ211" s="1569"/>
      <c r="BK211" s="1574">
        <f t="shared" ref="BK211:BN211" si="2185">+BK210/BK$6</f>
        <v>-8.6358296025034397E-4</v>
      </c>
      <c r="BL211" s="1574">
        <f t="shared" si="2185"/>
        <v>-7.6526917055991174E-4</v>
      </c>
      <c r="BM211" s="1574">
        <f t="shared" si="2185"/>
        <v>-8.015257744001474E-4</v>
      </c>
      <c r="BN211" s="1574">
        <f t="shared" si="2185"/>
        <v>-6.2732790089603443E-4</v>
      </c>
      <c r="BO211" s="1574">
        <f>+BO210/BO$6</f>
        <v>-9.089148233062072E-4</v>
      </c>
      <c r="BP211" s="1574">
        <f>+BP210/BP$6</f>
        <v>-2.2671445851978837E-3</v>
      </c>
      <c r="BQ211" s="1574">
        <f>+BQ210/BQ$6</f>
        <v>-1.0334970355394492E-3</v>
      </c>
      <c r="BR211" s="1574">
        <f t="shared" ref="BR211:CK211" si="2186">+BR210/BR$6</f>
        <v>-7.7596675506053255E-4</v>
      </c>
      <c r="BS211" s="1574">
        <f t="shared" si="2186"/>
        <v>-8.0308892028172613E-4</v>
      </c>
      <c r="BT211" s="1574">
        <f t="shared" si="2186"/>
        <v>-5.7864676967730305E-4</v>
      </c>
      <c r="BU211" s="1574">
        <f t="shared" si="2186"/>
        <v>-4.4363456583327513E-4</v>
      </c>
      <c r="BV211" s="1574">
        <f t="shared" si="2186"/>
        <v>-3.4662852495076653E-4</v>
      </c>
      <c r="BW211" s="1574">
        <f t="shared" si="2186"/>
        <v>-5.7022055671895856E-4</v>
      </c>
      <c r="BX211" s="1574">
        <f t="shared" si="2186"/>
        <v>-6.028121490087656E-4</v>
      </c>
      <c r="BY211" s="1574">
        <f t="shared" si="2186"/>
        <v>-7.336878718147209E-4</v>
      </c>
      <c r="BZ211" s="1574">
        <f t="shared" si="2186"/>
        <v>-3.7915929274086828E-4</v>
      </c>
      <c r="CA211" s="1574">
        <f t="shared" si="2186"/>
        <v>-7.1199715201139199E-4</v>
      </c>
      <c r="CB211" s="1574">
        <f t="shared" si="2186"/>
        <v>-6.255559585774652E-4</v>
      </c>
      <c r="CC211" s="1574">
        <f t="shared" si="2186"/>
        <v>-7.1615474625261861E-4</v>
      </c>
      <c r="CD211" s="1574">
        <f t="shared" si="2186"/>
        <v>-3.7224520985967526E-4</v>
      </c>
      <c r="CE211" s="1574">
        <f t="shared" si="2186"/>
        <v>-6.9182521854215375E-4</v>
      </c>
      <c r="CF211" s="1574">
        <f t="shared" si="2186"/>
        <v>-5.9879712225147715E-4</v>
      </c>
      <c r="CG211" s="1574">
        <f t="shared" si="2186"/>
        <v>-6.2851919873977628E-4</v>
      </c>
      <c r="CH211" s="1574">
        <f t="shared" si="2186"/>
        <v>-9.938887429375748E-4</v>
      </c>
      <c r="CI211" s="1574">
        <f t="shared" si="2186"/>
        <v>-3.8003718102048886E-4</v>
      </c>
      <c r="CJ211" s="1574">
        <f t="shared" si="2186"/>
        <v>-7.0400804690315638E-4</v>
      </c>
      <c r="CK211" s="1574">
        <f t="shared" si="2186"/>
        <v>-4.7032781511963611E-4</v>
      </c>
      <c r="CL211" s="1575">
        <f t="shared" ref="CL211" si="2187">+CK211</f>
        <v>-4.7032781511963611E-4</v>
      </c>
      <c r="CM211" s="1575">
        <f t="shared" ref="CM211" si="2188">+CL211</f>
        <v>-4.7032781511963611E-4</v>
      </c>
      <c r="CN211" s="1575">
        <f t="shared" ref="CN211" si="2189">+CM211</f>
        <v>-4.7032781511963611E-4</v>
      </c>
      <c r="CO211" s="1575">
        <f t="shared" ref="CO211" si="2190">+CN211</f>
        <v>-4.7032781511963611E-4</v>
      </c>
      <c r="CP211" s="1575">
        <f t="shared" ref="CP211" si="2191">+CO211</f>
        <v>-4.7032781511963611E-4</v>
      </c>
      <c r="CQ211" s="1570"/>
      <c r="CR211" s="1569">
        <v>-4.7032781511963611E-4</v>
      </c>
      <c r="CT211" s="1569"/>
      <c r="CU211" s="1569"/>
      <c r="CV211" s="1569"/>
      <c r="CW211" s="1569"/>
      <c r="CX211" s="1571"/>
      <c r="CY211" s="1572"/>
      <c r="CZ211" s="1572"/>
      <c r="DA211" s="1572"/>
      <c r="DB211" s="1572"/>
      <c r="DC211" s="1569"/>
      <c r="DD211" s="1572"/>
      <c r="DE211" s="1574"/>
      <c r="DF211" s="1574"/>
      <c r="DG211" s="1574"/>
      <c r="DH211" s="1574"/>
      <c r="DI211" s="1574"/>
      <c r="DJ211" s="1574">
        <f t="shared" ref="DJ211:DO211" si="2192">+DJ210/DJ$6</f>
        <v>-7.4735851108997226E-4</v>
      </c>
      <c r="DK211" s="1574">
        <f t="shared" si="2192"/>
        <v>-1.0299608076230103E-3</v>
      </c>
      <c r="DL211" s="1574">
        <f t="shared" si="2192"/>
        <v>-4.9368323115883705E-4</v>
      </c>
      <c r="DM211" s="1574">
        <f t="shared" si="2192"/>
        <v>-5.5850527351198318E-4</v>
      </c>
      <c r="DN211" s="1574">
        <f t="shared" si="2192"/>
        <v>-5.8441443776231696E-4</v>
      </c>
      <c r="DO211" s="1574">
        <f t="shared" si="2192"/>
        <v>-7.508814891503859E-4</v>
      </c>
      <c r="DP211" s="1574">
        <f t="shared" ref="DP211:DQ211" si="2193">+DP210/DP$6</f>
        <v>-5.1330522066201929E-4</v>
      </c>
      <c r="DQ211" s="1574">
        <f t="shared" si="2193"/>
        <v>-4.7032781511963616E-4</v>
      </c>
      <c r="DR211" s="1575">
        <f>+DQ211</f>
        <v>-4.7032781511963616E-4</v>
      </c>
      <c r="DS211" s="1575">
        <f t="shared" ref="DS211:DU211" si="2194">+DR211</f>
        <v>-4.7032781511963616E-4</v>
      </c>
      <c r="DT211" s="1575">
        <f t="shared" si="2194"/>
        <v>-4.7032781511963616E-4</v>
      </c>
      <c r="DU211" s="1575">
        <f t="shared" si="2194"/>
        <v>-4.7032781511963616E-4</v>
      </c>
      <c r="DX211" s="1575">
        <v>-5.1270299843403811E-4</v>
      </c>
      <c r="DY211" s="1575">
        <v>-5.1270299843403811E-4</v>
      </c>
    </row>
    <row r="212" spans="1:129" s="904" customFormat="1">
      <c r="A212" s="939"/>
      <c r="B212" t="s">
        <v>493</v>
      </c>
      <c r="C212" s="592"/>
      <c r="D212" s="592"/>
      <c r="E212" s="592"/>
      <c r="F212" s="592"/>
      <c r="G212" s="592"/>
      <c r="H212" s="592"/>
      <c r="I212" s="592"/>
      <c r="J212" s="592"/>
      <c r="K212" s="592"/>
      <c r="L212" s="592"/>
      <c r="M212" s="592"/>
      <c r="N212" s="592"/>
      <c r="O212" s="592"/>
      <c r="P212" s="592"/>
      <c r="Q212" s="592"/>
      <c r="R212" s="592"/>
      <c r="S212" s="592"/>
      <c r="T212" s="592"/>
      <c r="U212" s="592"/>
      <c r="V212" s="592"/>
      <c r="W212" s="592"/>
      <c r="X212" s="592"/>
      <c r="Y212" s="592"/>
      <c r="Z212" s="592"/>
      <c r="AA212" s="592"/>
      <c r="AB212" s="592"/>
      <c r="AC212" s="592"/>
      <c r="AD212" s="592"/>
      <c r="AE212" s="592"/>
      <c r="AF212" s="592"/>
      <c r="AG212" s="592"/>
      <c r="AH212" s="592"/>
      <c r="AI212" s="592"/>
      <c r="AJ212" s="592"/>
      <c r="AK212" s="592"/>
      <c r="AL212" s="592"/>
      <c r="AM212" s="592"/>
      <c r="AN212" s="592"/>
      <c r="AO212" s="592"/>
      <c r="AP212" s="592"/>
      <c r="AQ212" s="592"/>
      <c r="AR212" s="592"/>
      <c r="AS212" s="592"/>
      <c r="AT212" s="592"/>
      <c r="AU212" s="592"/>
      <c r="AV212" s="592"/>
      <c r="AW212" s="592"/>
      <c r="AX212" s="592"/>
      <c r="AY212" s="592"/>
      <c r="AZ212" s="592"/>
      <c r="BA212" s="592"/>
      <c r="BB212" s="592"/>
      <c r="BC212" s="592"/>
      <c r="BD212" s="592"/>
      <c r="BE212" s="592"/>
      <c r="BF212" s="592"/>
      <c r="BG212" s="592"/>
      <c r="BH212" s="592"/>
      <c r="BI212" s="592"/>
      <c r="BJ212" s="592"/>
      <c r="BK212" s="952">
        <v>0</v>
      </c>
      <c r="BL212" s="952">
        <v>0</v>
      </c>
      <c r="BM212" s="952">
        <v>0</v>
      </c>
      <c r="BN212" s="952">
        <v>0</v>
      </c>
      <c r="BO212" s="952">
        <v>0</v>
      </c>
      <c r="BP212" s="952">
        <v>0</v>
      </c>
      <c r="BQ212" s="952">
        <v>0</v>
      </c>
      <c r="BR212" s="952">
        <v>0</v>
      </c>
      <c r="BS212" s="952">
        <v>0</v>
      </c>
      <c r="BT212" s="952">
        <v>0</v>
      </c>
      <c r="BU212" s="952">
        <v>0</v>
      </c>
      <c r="BV212" s="952">
        <f>0-BU212-BT212-BS212</f>
        <v>0</v>
      </c>
      <c r="BW212" s="952">
        <v>0</v>
      </c>
      <c r="BX212" s="952">
        <v>0</v>
      </c>
      <c r="BY212" s="952">
        <v>0</v>
      </c>
      <c r="BZ212" s="952">
        <f>0-BY212-BX212-BW212</f>
        <v>0</v>
      </c>
      <c r="CA212" s="952">
        <v>0</v>
      </c>
      <c r="CB212" s="952">
        <v>0</v>
      </c>
      <c r="CC212" s="952">
        <v>0</v>
      </c>
      <c r="CD212" s="952">
        <v>0</v>
      </c>
      <c r="CE212" s="952">
        <v>0</v>
      </c>
      <c r="CF212" s="952">
        <v>0</v>
      </c>
      <c r="CG212" s="952">
        <v>0</v>
      </c>
      <c r="CH212" s="952">
        <v>0</v>
      </c>
      <c r="CI212" s="952">
        <v>0</v>
      </c>
      <c r="CJ212" s="952">
        <v>0</v>
      </c>
      <c r="CK212" s="952">
        <v>0</v>
      </c>
      <c r="CL212" s="813">
        <v>0</v>
      </c>
      <c r="CM212" s="813">
        <v>0</v>
      </c>
      <c r="CN212" s="813">
        <v>0</v>
      </c>
      <c r="CO212" s="813">
        <v>0</v>
      </c>
      <c r="CP212" s="813">
        <v>0</v>
      </c>
      <c r="CQ212" s="813"/>
      <c r="CR212" s="592">
        <v>0</v>
      </c>
      <c r="CT212" s="592"/>
      <c r="CU212" s="592"/>
      <c r="CV212" s="592"/>
      <c r="CW212" s="592"/>
      <c r="CX212" s="903"/>
      <c r="CY212" s="954"/>
      <c r="CZ212" s="954"/>
      <c r="DA212" s="954"/>
      <c r="DB212" s="954"/>
      <c r="DC212" s="592"/>
      <c r="DD212" s="954"/>
      <c r="DE212" s="939"/>
      <c r="DF212" s="939"/>
      <c r="DG212" s="939"/>
      <c r="DH212" s="939"/>
      <c r="DI212" s="939"/>
      <c r="DJ212" s="939">
        <f>+SUM(BK212:BN212)</f>
        <v>0</v>
      </c>
      <c r="DK212" s="939">
        <f>+SUM(BO212:BR212)</f>
        <v>0</v>
      </c>
      <c r="DL212" s="939">
        <f>+SUM(BS212:BV212)</f>
        <v>0</v>
      </c>
      <c r="DM212" s="939">
        <f>+SUM(BW212:BZ212)</f>
        <v>0</v>
      </c>
      <c r="DN212" s="939">
        <f>+SUM(CA212:CD212)</f>
        <v>0</v>
      </c>
      <c r="DO212" s="939">
        <f>+SUM(CE212:CH212)</f>
        <v>0</v>
      </c>
      <c r="DP212" s="939">
        <f>+SUM(CI212:CL212)</f>
        <v>0</v>
      </c>
      <c r="DQ212" s="939">
        <f>+SUM(CM212:CP212)</f>
        <v>0</v>
      </c>
      <c r="DR212" s="813">
        <v>0</v>
      </c>
      <c r="DS212" s="813">
        <v>0</v>
      </c>
      <c r="DT212" s="813">
        <v>0</v>
      </c>
      <c r="DU212" s="813">
        <v>0</v>
      </c>
      <c r="DX212" s="813">
        <v>0</v>
      </c>
      <c r="DY212" s="813">
        <v>0</v>
      </c>
    </row>
    <row r="213" spans="1:129" s="904" customFormat="1">
      <c r="A213" s="939"/>
      <c r="B213" s="949" t="s">
        <v>161</v>
      </c>
      <c r="C213" s="592"/>
      <c r="D213" s="592"/>
      <c r="E213" s="592"/>
      <c r="F213" s="592"/>
      <c r="G213" s="592"/>
      <c r="H213" s="592"/>
      <c r="I213" s="592"/>
      <c r="J213" s="592"/>
      <c r="K213" s="592"/>
      <c r="L213" s="592"/>
      <c r="M213" s="592"/>
      <c r="N213" s="592"/>
      <c r="O213" s="592"/>
      <c r="P213" s="592"/>
      <c r="Q213" s="592"/>
      <c r="R213" s="592"/>
      <c r="S213" s="592"/>
      <c r="T213" s="592"/>
      <c r="U213" s="592"/>
      <c r="V213" s="592"/>
      <c r="W213" s="592"/>
      <c r="X213" s="592"/>
      <c r="Y213" s="592"/>
      <c r="Z213" s="592"/>
      <c r="AA213" s="592"/>
      <c r="AB213" s="592"/>
      <c r="AC213" s="592"/>
      <c r="AD213" s="592"/>
      <c r="AE213" s="592"/>
      <c r="AF213" s="592"/>
      <c r="AG213" s="592"/>
      <c r="AH213" s="592"/>
      <c r="AI213" s="592"/>
      <c r="AJ213" s="592"/>
      <c r="AK213" s="592"/>
      <c r="AL213" s="592"/>
      <c r="AM213" s="592"/>
      <c r="AN213" s="592"/>
      <c r="AO213" s="592"/>
      <c r="AP213" s="592"/>
      <c r="AQ213" s="592"/>
      <c r="AR213" s="592"/>
      <c r="AS213" s="592"/>
      <c r="AT213" s="592"/>
      <c r="AU213" s="592"/>
      <c r="AV213" s="592"/>
      <c r="AW213" s="592"/>
      <c r="AX213" s="592"/>
      <c r="AY213" s="592"/>
      <c r="AZ213" s="592"/>
      <c r="BA213" s="592"/>
      <c r="BB213" s="592"/>
      <c r="BC213" s="592"/>
      <c r="BD213" s="592"/>
      <c r="BE213" s="592"/>
      <c r="BF213" s="592"/>
      <c r="BG213" s="592"/>
      <c r="BH213" s="592"/>
      <c r="BI213" s="592"/>
      <c r="BJ213" s="592"/>
      <c r="BK213" s="952">
        <v>22701</v>
      </c>
      <c r="BL213" s="952">
        <v>20909</v>
      </c>
      <c r="BM213" s="952">
        <v>21200</v>
      </c>
      <c r="BN213" s="952">
        <f>85665-BM213-BL213-BK213</f>
        <v>20855</v>
      </c>
      <c r="BO213" s="952">
        <v>19839</v>
      </c>
      <c r="BP213" s="952">
        <v>19019</v>
      </c>
      <c r="BQ213" s="952">
        <v>22457</v>
      </c>
      <c r="BR213" s="952">
        <f>81878-BQ213-BP213-BO213</f>
        <v>20563</v>
      </c>
      <c r="BS213" s="952">
        <v>19823</v>
      </c>
      <c r="BT213" s="952">
        <v>29938</v>
      </c>
      <c r="BU213" s="952">
        <v>38920</v>
      </c>
      <c r="BV213" s="952">
        <f>131878-BU213-BT213-BS213</f>
        <v>43197</v>
      </c>
      <c r="BW213" s="952">
        <v>48089</v>
      </c>
      <c r="BX213" s="952">
        <v>54063</v>
      </c>
      <c r="BY213" s="952">
        <v>57555</v>
      </c>
      <c r="BZ213" s="952">
        <f>220431-BY213-BX213-BW213</f>
        <v>60724</v>
      </c>
      <c r="CA213" s="952">
        <v>59238</v>
      </c>
      <c r="CB213" s="952">
        <v>58540</v>
      </c>
      <c r="CC213" s="952">
        <v>58382</v>
      </c>
      <c r="CD213" s="952">
        <f>231895-CC213-CB213-CA213</f>
        <v>55735</v>
      </c>
      <c r="CE213" s="952">
        <v>48856</v>
      </c>
      <c r="CF213" s="952">
        <v>50686</v>
      </c>
      <c r="CG213" s="952">
        <v>54860</v>
      </c>
      <c r="CH213" s="952">
        <f>215947-CG213-CF213-CE213</f>
        <v>61545</v>
      </c>
      <c r="CI213" s="952">
        <v>64457</v>
      </c>
      <c r="CJ213" s="952">
        <f>207597-CK213-CI213</f>
        <v>69065</v>
      </c>
      <c r="CK213" s="952">
        <v>74075</v>
      </c>
      <c r="CL213" s="813">
        <f t="shared" ref="CL213:CP213" si="2195">0.34*CL185</f>
        <v>66633.241020810368</v>
      </c>
      <c r="CM213" s="813">
        <f t="shared" si="2195"/>
        <v>66633.241020810368</v>
      </c>
      <c r="CN213" s="813">
        <f t="shared" si="2195"/>
        <v>66633.241020810368</v>
      </c>
      <c r="CO213" s="813">
        <f t="shared" si="2195"/>
        <v>66633.241020810368</v>
      </c>
      <c r="CP213" s="813">
        <f t="shared" si="2195"/>
        <v>66633.241020810368</v>
      </c>
      <c r="CQ213" s="813"/>
      <c r="CR213" s="592">
        <v>66633.241020810368</v>
      </c>
      <c r="CT213" s="592"/>
      <c r="CU213" s="592"/>
      <c r="CV213" s="592"/>
      <c r="CW213" s="592"/>
      <c r="CX213" s="903"/>
      <c r="CY213" s="954"/>
      <c r="CZ213" s="954"/>
      <c r="DA213" s="954"/>
      <c r="DB213" s="954"/>
      <c r="DC213" s="592"/>
      <c r="DD213" s="954"/>
      <c r="DE213" s="939"/>
      <c r="DF213" s="939"/>
      <c r="DG213" s="939"/>
      <c r="DH213" s="939"/>
      <c r="DI213" s="939"/>
      <c r="DJ213" s="939">
        <f>+SUM(BK213:BN213)</f>
        <v>85665</v>
      </c>
      <c r="DK213" s="939">
        <f>+SUM(BO213:BR213)</f>
        <v>81878</v>
      </c>
      <c r="DL213" s="939">
        <f>+SUM(BS213:BV213)</f>
        <v>131878</v>
      </c>
      <c r="DM213" s="939">
        <f>+SUM(BW213:BZ213)</f>
        <v>220431</v>
      </c>
      <c r="DN213" s="939">
        <f>+SUM(CA213:CD213)</f>
        <v>231895</v>
      </c>
      <c r="DO213" s="939">
        <f>+SUM(CE213:CH213)</f>
        <v>215947</v>
      </c>
      <c r="DP213" s="939">
        <f>+SUM(CI213:CL213)</f>
        <v>274230.24102081038</v>
      </c>
      <c r="DQ213" s="939">
        <f>+SUM(CM213:CP213)</f>
        <v>266532.96408324147</v>
      </c>
      <c r="DR213" s="813">
        <f>0.34*DR185</f>
        <v>274101.76602270303</v>
      </c>
      <c r="DS213" s="813">
        <f t="shared" ref="DS213:DU213" si="2196">0.34*DS185</f>
        <v>296433.33123045048</v>
      </c>
      <c r="DT213" s="813">
        <f t="shared" si="2196"/>
        <v>321226.85504117794</v>
      </c>
      <c r="DU213" s="813">
        <f t="shared" si="2196"/>
        <v>348857.54540825443</v>
      </c>
      <c r="DX213" s="813">
        <v>253953.3878078633</v>
      </c>
      <c r="DY213" s="813">
        <v>274101.76602270303</v>
      </c>
    </row>
    <row r="214" spans="1:129" s="904" customFormat="1">
      <c r="A214" s="939"/>
      <c r="B214" s="940" t="s">
        <v>494</v>
      </c>
      <c r="C214" s="592"/>
      <c r="D214" s="592"/>
      <c r="E214" s="592"/>
      <c r="F214" s="592"/>
      <c r="G214" s="592"/>
      <c r="H214" s="592"/>
      <c r="I214" s="592"/>
      <c r="J214" s="592"/>
      <c r="K214" s="592"/>
      <c r="L214" s="592"/>
      <c r="M214" s="592"/>
      <c r="N214" s="592"/>
      <c r="O214" s="592"/>
      <c r="P214" s="592"/>
      <c r="Q214" s="592"/>
      <c r="R214" s="592"/>
      <c r="S214" s="592"/>
      <c r="T214" s="592"/>
      <c r="U214" s="592"/>
      <c r="V214" s="592"/>
      <c r="W214" s="592"/>
      <c r="X214" s="592"/>
      <c r="Y214" s="592"/>
      <c r="Z214" s="592"/>
      <c r="AA214" s="592"/>
      <c r="AB214" s="592"/>
      <c r="AC214" s="592"/>
      <c r="AD214" s="592"/>
      <c r="AE214" s="592"/>
      <c r="AF214" s="592"/>
      <c r="AG214" s="592"/>
      <c r="AH214" s="592"/>
      <c r="AI214" s="592"/>
      <c r="AJ214" s="592"/>
      <c r="AK214" s="592"/>
      <c r="AL214" s="592"/>
      <c r="AM214" s="592"/>
      <c r="AN214" s="592"/>
      <c r="AO214" s="592"/>
      <c r="AP214" s="592"/>
      <c r="AQ214" s="592"/>
      <c r="AR214" s="592"/>
      <c r="AS214" s="592"/>
      <c r="AT214" s="592"/>
      <c r="AU214" s="592"/>
      <c r="AV214" s="592"/>
      <c r="AW214" s="592"/>
      <c r="AX214" s="592"/>
      <c r="AY214" s="592"/>
      <c r="AZ214" s="592"/>
      <c r="BA214" s="592"/>
      <c r="BB214" s="592"/>
      <c r="BC214" s="592"/>
      <c r="BD214" s="592"/>
      <c r="BE214" s="592"/>
      <c r="BF214" s="592"/>
      <c r="BG214" s="592"/>
      <c r="BH214" s="592"/>
      <c r="BI214" s="592"/>
      <c r="BJ214" s="592"/>
      <c r="BK214" s="952"/>
      <c r="BL214" s="952"/>
      <c r="BM214" s="952"/>
      <c r="BN214" s="952"/>
      <c r="BO214" s="952"/>
      <c r="BP214" s="952"/>
      <c r="BQ214" s="952"/>
      <c r="BR214" s="952"/>
      <c r="BS214" s="952"/>
      <c r="BT214" s="952"/>
      <c r="BU214" s="952"/>
      <c r="BV214" s="952"/>
      <c r="BW214" s="952">
        <v>0</v>
      </c>
      <c r="BX214" s="952">
        <v>0</v>
      </c>
      <c r="BY214" s="952">
        <f>33534</f>
        <v>33534</v>
      </c>
      <c r="BZ214" s="952">
        <v>0</v>
      </c>
      <c r="CA214" s="952">
        <v>0</v>
      </c>
      <c r="CB214" s="952">
        <v>0</v>
      </c>
      <c r="CC214" s="952">
        <f>44022</f>
        <v>44022</v>
      </c>
      <c r="CD214" s="952">
        <f>56578-CC214-CB214-CA214</f>
        <v>12556</v>
      </c>
      <c r="CE214" s="952">
        <v>0</v>
      </c>
      <c r="CF214" s="952">
        <v>0</v>
      </c>
      <c r="CG214" s="952">
        <v>11263</v>
      </c>
      <c r="CH214" s="952">
        <f>29538-CG214-CF214-CE214</f>
        <v>18275</v>
      </c>
      <c r="CI214" s="952">
        <v>0</v>
      </c>
      <c r="CJ214" s="952">
        <f>5622+3251-CK214-CI214</f>
        <v>3038</v>
      </c>
      <c r="CK214" s="952">
        <f>3949+1886</f>
        <v>5835</v>
      </c>
      <c r="CL214" s="813">
        <f t="shared" ref="CL214:CP214" si="2197">+CL215*CL6</f>
        <v>0</v>
      </c>
      <c r="CM214" s="813">
        <f t="shared" si="2197"/>
        <v>0</v>
      </c>
      <c r="CN214" s="813">
        <f t="shared" si="2197"/>
        <v>0</v>
      </c>
      <c r="CO214" s="813">
        <f t="shared" si="2197"/>
        <v>0</v>
      </c>
      <c r="CP214" s="813">
        <f t="shared" si="2197"/>
        <v>0</v>
      </c>
      <c r="CQ214" s="813"/>
      <c r="CR214" s="592">
        <v>0</v>
      </c>
      <c r="CT214" s="592"/>
      <c r="CU214" s="592"/>
      <c r="CV214" s="592"/>
      <c r="CW214" s="592"/>
      <c r="CX214" s="903"/>
      <c r="CY214" s="954"/>
      <c r="CZ214" s="954"/>
      <c r="DA214" s="954"/>
      <c r="DB214" s="954"/>
      <c r="DC214" s="592"/>
      <c r="DD214" s="954"/>
      <c r="DE214" s="939"/>
      <c r="DF214" s="939"/>
      <c r="DG214" s="939"/>
      <c r="DH214" s="939"/>
      <c r="DI214" s="939"/>
      <c r="DJ214" s="939">
        <f>+SUM(BK214:BN214)</f>
        <v>0</v>
      </c>
      <c r="DK214" s="939">
        <f>+SUM(BO214:BR214)</f>
        <v>0</v>
      </c>
      <c r="DL214" s="939">
        <f>+SUM(BS214:BV214)</f>
        <v>0</v>
      </c>
      <c r="DM214" s="939">
        <f>+SUM(BW214:BZ214)</f>
        <v>33534</v>
      </c>
      <c r="DN214" s="939">
        <f>+SUM(CA214:CD214)</f>
        <v>56578</v>
      </c>
      <c r="DO214" s="939">
        <f>+SUM(CE214:CH214)</f>
        <v>29538</v>
      </c>
      <c r="DP214" s="939">
        <f>+SUM(CI214:CL214)</f>
        <v>8873</v>
      </c>
      <c r="DQ214" s="939">
        <f>+SUM(CM214:CP214)</f>
        <v>0</v>
      </c>
      <c r="DR214" s="813">
        <f t="shared" ref="DR214:DU214" si="2198">+DR215*DR6</f>
        <v>0</v>
      </c>
      <c r="DS214" s="813">
        <f t="shared" si="2198"/>
        <v>0</v>
      </c>
      <c r="DT214" s="813">
        <f t="shared" si="2198"/>
        <v>0</v>
      </c>
      <c r="DU214" s="813">
        <f t="shared" si="2198"/>
        <v>0</v>
      </c>
      <c r="DX214" s="813">
        <v>9500.3037916234625</v>
      </c>
      <c r="DY214" s="813">
        <v>10253.222575295975</v>
      </c>
    </row>
    <row r="215" spans="1:129" s="904" customFormat="1">
      <c r="A215" s="939"/>
      <c r="B215" s="1203" t="s">
        <v>162</v>
      </c>
      <c r="C215" s="592"/>
      <c r="D215" s="592"/>
      <c r="E215" s="592"/>
      <c r="F215" s="592"/>
      <c r="G215" s="592"/>
      <c r="H215" s="592"/>
      <c r="I215" s="592"/>
      <c r="J215" s="592"/>
      <c r="K215" s="592"/>
      <c r="L215" s="592"/>
      <c r="M215" s="592"/>
      <c r="N215" s="592"/>
      <c r="O215" s="592"/>
      <c r="P215" s="592"/>
      <c r="Q215" s="592"/>
      <c r="R215" s="592"/>
      <c r="S215" s="592"/>
      <c r="T215" s="592"/>
      <c r="U215" s="592"/>
      <c r="V215" s="592"/>
      <c r="W215" s="592"/>
      <c r="X215" s="592"/>
      <c r="Y215" s="592"/>
      <c r="Z215" s="592"/>
      <c r="AA215" s="592"/>
      <c r="AB215" s="592"/>
      <c r="AC215" s="592"/>
      <c r="AD215" s="592"/>
      <c r="AE215" s="592"/>
      <c r="AF215" s="592"/>
      <c r="AG215" s="592"/>
      <c r="AH215" s="592"/>
      <c r="AI215" s="592"/>
      <c r="AJ215" s="592"/>
      <c r="AK215" s="592"/>
      <c r="AL215" s="592"/>
      <c r="AM215" s="592"/>
      <c r="AN215" s="592"/>
      <c r="AO215" s="592"/>
      <c r="AP215" s="592"/>
      <c r="AQ215" s="592"/>
      <c r="AR215" s="592"/>
      <c r="AS215" s="592"/>
      <c r="AT215" s="592"/>
      <c r="AU215" s="592"/>
      <c r="AV215" s="592"/>
      <c r="AW215" s="592"/>
      <c r="AX215" s="592"/>
      <c r="AY215" s="592"/>
      <c r="AZ215" s="592"/>
      <c r="BA215" s="592"/>
      <c r="BB215" s="592"/>
      <c r="BC215" s="592"/>
      <c r="BD215" s="592"/>
      <c r="BE215" s="592"/>
      <c r="BF215" s="592"/>
      <c r="BG215" s="592"/>
      <c r="BH215" s="592"/>
      <c r="BI215" s="592"/>
      <c r="BJ215" s="592"/>
      <c r="BK215" s="1574">
        <f t="shared" ref="BK215:CB215" si="2199">+BK214/BK$6</f>
        <v>0</v>
      </c>
      <c r="BL215" s="1574">
        <f t="shared" si="2199"/>
        <v>0</v>
      </c>
      <c r="BM215" s="1574">
        <f t="shared" si="2199"/>
        <v>0</v>
      </c>
      <c r="BN215" s="1574">
        <f t="shared" si="2199"/>
        <v>0</v>
      </c>
      <c r="BO215" s="1574">
        <f t="shared" si="2199"/>
        <v>0</v>
      </c>
      <c r="BP215" s="1574">
        <f t="shared" si="2199"/>
        <v>0</v>
      </c>
      <c r="BQ215" s="1574">
        <f t="shared" si="2199"/>
        <v>0</v>
      </c>
      <c r="BR215" s="1574">
        <f t="shared" si="2199"/>
        <v>0</v>
      </c>
      <c r="BS215" s="1574">
        <f t="shared" si="2199"/>
        <v>0</v>
      </c>
      <c r="BT215" s="1574">
        <f t="shared" si="2199"/>
        <v>0</v>
      </c>
      <c r="BU215" s="1574">
        <f t="shared" si="2199"/>
        <v>0</v>
      </c>
      <c r="BV215" s="1574">
        <f t="shared" si="2199"/>
        <v>0</v>
      </c>
      <c r="BW215" s="1574">
        <f t="shared" si="2199"/>
        <v>0</v>
      </c>
      <c r="BX215" s="1574">
        <f t="shared" si="2199"/>
        <v>0</v>
      </c>
      <c r="BY215" s="1574">
        <f t="shared" si="2199"/>
        <v>1.1112687034071748E-2</v>
      </c>
      <c r="BZ215" s="1574">
        <f t="shared" si="2199"/>
        <v>0</v>
      </c>
      <c r="CA215" s="1574">
        <f t="shared" si="2199"/>
        <v>0</v>
      </c>
      <c r="CB215" s="1574">
        <f t="shared" si="2199"/>
        <v>0</v>
      </c>
      <c r="CC215" s="1574">
        <f t="shared" ref="CC215:CK215" si="2200">+CC214/CC$6</f>
        <v>1.4213960432611712E-2</v>
      </c>
      <c r="CD215" s="1574">
        <f t="shared" si="2200"/>
        <v>2.9395665754704922E-3</v>
      </c>
      <c r="CE215" s="1574">
        <f t="shared" si="2200"/>
        <v>0</v>
      </c>
      <c r="CF215" s="1574">
        <f t="shared" si="2200"/>
        <v>0</v>
      </c>
      <c r="CG215" s="1574">
        <f t="shared" si="2200"/>
        <v>3.3219201010821677E-3</v>
      </c>
      <c r="CH215" s="1574">
        <f t="shared" si="2200"/>
        <v>3.9580119366276261E-3</v>
      </c>
      <c r="CI215" s="1574">
        <f t="shared" si="2200"/>
        <v>0</v>
      </c>
      <c r="CJ215" s="1574">
        <f t="shared" si="2200"/>
        <v>7.2896266069931469E-4</v>
      </c>
      <c r="CK215" s="1574">
        <f t="shared" si="2200"/>
        <v>1.6374479720901412E-3</v>
      </c>
      <c r="CL215" s="1575">
        <v>0</v>
      </c>
      <c r="CM215" s="1575">
        <v>0</v>
      </c>
      <c r="CN215" s="1575">
        <v>0</v>
      </c>
      <c r="CO215" s="1575">
        <v>0</v>
      </c>
      <c r="CP215" s="1575">
        <v>0</v>
      </c>
      <c r="CQ215" s="813"/>
      <c r="CR215" s="592">
        <v>0</v>
      </c>
      <c r="CT215" s="592"/>
      <c r="CU215" s="592"/>
      <c r="CV215" s="592"/>
      <c r="CW215" s="592"/>
      <c r="CX215" s="903"/>
      <c r="CY215" s="954"/>
      <c r="CZ215" s="954"/>
      <c r="DA215" s="954"/>
      <c r="DB215" s="954"/>
      <c r="DC215" s="592"/>
      <c r="DD215" s="954"/>
      <c r="DE215" s="1574"/>
      <c r="DF215" s="1574"/>
      <c r="DG215" s="1574"/>
      <c r="DH215" s="1574"/>
      <c r="DI215" s="1574"/>
      <c r="DJ215" s="1574">
        <f t="shared" ref="DJ215:DO215" si="2201">+DJ214/DJ$6</f>
        <v>0</v>
      </c>
      <c r="DK215" s="1574">
        <f t="shared" si="2201"/>
        <v>0</v>
      </c>
      <c r="DL215" s="1574">
        <f t="shared" si="2201"/>
        <v>0</v>
      </c>
      <c r="DM215" s="1574">
        <f t="shared" si="2201"/>
        <v>2.5268369997235355E-3</v>
      </c>
      <c r="DN215" s="1574">
        <f t="shared" si="2201"/>
        <v>4.1455616925421728E-3</v>
      </c>
      <c r="DO215" s="1574">
        <f t="shared" si="2201"/>
        <v>2.0460827884247325E-3</v>
      </c>
      <c r="DP215" s="1574">
        <f t="shared" ref="DP215:DQ215" si="2202">+DP214/DP$6</f>
        <v>5.609988612368628E-4</v>
      </c>
      <c r="DQ215" s="1574">
        <f t="shared" si="2202"/>
        <v>0</v>
      </c>
      <c r="DR215" s="1575">
        <f>+DQ215</f>
        <v>0</v>
      </c>
      <c r="DS215" s="1575">
        <f t="shared" ref="DS215" si="2203">+DR215</f>
        <v>0</v>
      </c>
      <c r="DT215" s="1575">
        <f t="shared" ref="DT215" si="2204">+DS215</f>
        <v>0</v>
      </c>
      <c r="DU215" s="1575">
        <f t="shared" ref="DU215" si="2205">+DT215</f>
        <v>0</v>
      </c>
      <c r="DX215" s="1575">
        <v>5.5313784729604473E-4</v>
      </c>
      <c r="DY215" s="1575">
        <v>5.5313784729604473E-4</v>
      </c>
    </row>
    <row r="216" spans="1:129" s="904" customFormat="1">
      <c r="A216" s="939"/>
      <c r="B216" t="s">
        <v>495</v>
      </c>
      <c r="C216" s="592"/>
      <c r="D216" s="592"/>
      <c r="E216" s="592"/>
      <c r="F216" s="592"/>
      <c r="G216" s="592"/>
      <c r="H216" s="592"/>
      <c r="I216" s="592"/>
      <c r="J216" s="592"/>
      <c r="K216" s="592"/>
      <c r="L216" s="592"/>
      <c r="M216" s="592"/>
      <c r="N216" s="592"/>
      <c r="O216" s="592"/>
      <c r="P216" s="592"/>
      <c r="Q216" s="592"/>
      <c r="R216" s="592"/>
      <c r="S216" s="592"/>
      <c r="T216" s="592"/>
      <c r="U216" s="592"/>
      <c r="V216" s="592"/>
      <c r="W216" s="592"/>
      <c r="X216" s="592"/>
      <c r="Y216" s="592"/>
      <c r="Z216" s="592"/>
      <c r="AA216" s="592"/>
      <c r="AB216" s="592"/>
      <c r="AC216" s="592"/>
      <c r="AD216" s="592"/>
      <c r="AE216" s="592"/>
      <c r="AF216" s="592"/>
      <c r="AG216" s="592"/>
      <c r="AH216" s="592"/>
      <c r="AI216" s="592"/>
      <c r="AJ216" s="592"/>
      <c r="AK216" s="592"/>
      <c r="AL216" s="592"/>
      <c r="AM216" s="592"/>
      <c r="AN216" s="592"/>
      <c r="AO216" s="592"/>
      <c r="AP216" s="592"/>
      <c r="AQ216" s="592"/>
      <c r="AR216" s="592"/>
      <c r="AS216" s="592"/>
      <c r="AT216" s="592"/>
      <c r="AU216" s="592"/>
      <c r="AV216" s="592"/>
      <c r="AW216" s="592"/>
      <c r="AX216" s="592"/>
      <c r="AY216" s="592"/>
      <c r="AZ216" s="592"/>
      <c r="BA216" s="592"/>
      <c r="BB216" s="592"/>
      <c r="BC216" s="592"/>
      <c r="BD216" s="592"/>
      <c r="BE216" s="592"/>
      <c r="BF216" s="592"/>
      <c r="BG216" s="592"/>
      <c r="BH216" s="592"/>
      <c r="BI216" s="592"/>
      <c r="BJ216" s="592"/>
      <c r="BK216" s="952">
        <f>436+4232</f>
        <v>4668</v>
      </c>
      <c r="BL216" s="952">
        <f>2089+4116</f>
        <v>6205</v>
      </c>
      <c r="BM216" s="952">
        <f>975+4024</f>
        <v>4999</v>
      </c>
      <c r="BN216" s="952">
        <f>8584+34504-BM216-BL216-BK216</f>
        <v>27216</v>
      </c>
      <c r="BO216" s="952">
        <f>31+4016</f>
        <v>4047</v>
      </c>
      <c r="BP216" s="952">
        <f>1338+5242</f>
        <v>6580</v>
      </c>
      <c r="BQ216" s="952">
        <f>121+6615</f>
        <v>6736</v>
      </c>
      <c r="BR216" s="952">
        <f>4468+22977-BQ216-BP216-BO216</f>
        <v>10082</v>
      </c>
      <c r="BS216" s="952">
        <f>132+5627</f>
        <v>5759</v>
      </c>
      <c r="BT216" s="952">
        <f>368+6707</f>
        <v>7075</v>
      </c>
      <c r="BU216" s="952">
        <f>451+5348</f>
        <v>5799</v>
      </c>
      <c r="BV216" s="952">
        <f>2730+95654-BU216-BT216-BS216</f>
        <v>79751</v>
      </c>
      <c r="BW216" s="952">
        <f>240+40024</f>
        <v>40264</v>
      </c>
      <c r="BX216" s="952">
        <f>1136+22125</f>
        <v>23261</v>
      </c>
      <c r="BY216" s="952">
        <f>32185+403</f>
        <v>32588</v>
      </c>
      <c r="BZ216" s="952">
        <f>123011+4972-BY216-BX216-BW216</f>
        <v>31870</v>
      </c>
      <c r="CA216" s="952">
        <f>36625+30</f>
        <v>36655</v>
      </c>
      <c r="CB216" s="952">
        <v>48921</v>
      </c>
      <c r="CC216" s="952">
        <f>23039+119</f>
        <v>23158</v>
      </c>
      <c r="CD216" s="952">
        <f>141639-CC216-CB216-CA216</f>
        <v>32905</v>
      </c>
      <c r="CE216" s="952">
        <v>9571</v>
      </c>
      <c r="CF216" s="952">
        <v>11556</v>
      </c>
      <c r="CG216" s="952">
        <v>11179</v>
      </c>
      <c r="CH216" s="952">
        <f>45947-CG216-CF216-CE216</f>
        <v>13641</v>
      </c>
      <c r="CI216" s="952">
        <v>11123</v>
      </c>
      <c r="CJ216" s="952">
        <f>25297-CK216-CI216</f>
        <v>8197</v>
      </c>
      <c r="CK216" s="952">
        <v>5977</v>
      </c>
      <c r="CL216" s="813">
        <f t="shared" ref="CL216:CP216" si="2206">+CL232*0.34</f>
        <v>14263.192968951171</v>
      </c>
      <c r="CM216" s="813">
        <f t="shared" si="2206"/>
        <v>11726.198630238652</v>
      </c>
      <c r="CN216" s="813">
        <f t="shared" si="2206"/>
        <v>8567.7232148397889</v>
      </c>
      <c r="CO216" s="813">
        <f t="shared" si="2206"/>
        <v>6442.0082817904613</v>
      </c>
      <c r="CP216" s="813">
        <f t="shared" si="2206"/>
        <v>15511.016892200019</v>
      </c>
      <c r="CQ216" s="813"/>
      <c r="CR216" s="592">
        <v>14263.192968951171</v>
      </c>
      <c r="CT216" s="592"/>
      <c r="CU216" s="592"/>
      <c r="CV216" s="592"/>
      <c r="CW216" s="592"/>
      <c r="CX216" s="903"/>
      <c r="CY216" s="954"/>
      <c r="CZ216" s="954"/>
      <c r="DA216" s="954"/>
      <c r="DB216" s="954"/>
      <c r="DC216" s="592"/>
      <c r="DD216" s="954"/>
      <c r="DE216" s="939"/>
      <c r="DF216" s="939"/>
      <c r="DG216" s="939"/>
      <c r="DH216" s="939"/>
      <c r="DI216" s="939"/>
      <c r="DJ216" s="939">
        <f>+SUM(BK216:BN216)</f>
        <v>43088</v>
      </c>
      <c r="DK216" s="939">
        <f>+SUM(BO216:BR216)</f>
        <v>27445</v>
      </c>
      <c r="DL216" s="939">
        <f>+SUM(BS216:BV216)</f>
        <v>98384</v>
      </c>
      <c r="DM216" s="939">
        <f>+SUM(BW216:BZ216)</f>
        <v>127983</v>
      </c>
      <c r="DN216" s="939">
        <f>+SUM(CA216:CD216)</f>
        <v>141639</v>
      </c>
      <c r="DO216" s="939">
        <f>+SUM(CE216:CH216)</f>
        <v>45947</v>
      </c>
      <c r="DP216" s="939">
        <f>+SUM(CI216:CL216)</f>
        <v>39560.192968951174</v>
      </c>
      <c r="DQ216" s="939">
        <f>+SUM(CM216:CP216)</f>
        <v>42246.947019068917</v>
      </c>
      <c r="DR216" s="813">
        <f t="shared" ref="DR216:DU216" si="2207">+DR232*0.34</f>
        <v>45777.372126772971</v>
      </c>
      <c r="DS216" s="813">
        <f t="shared" si="2207"/>
        <v>48901.407549232783</v>
      </c>
      <c r="DT216" s="813">
        <f t="shared" si="2207"/>
        <v>52238.718538381887</v>
      </c>
      <c r="DU216" s="813">
        <f t="shared" si="2207"/>
        <v>55801.090764277134</v>
      </c>
      <c r="DX216" s="813">
        <v>43068.049318295198</v>
      </c>
      <c r="DY216" s="813">
        <v>46481.281570559549</v>
      </c>
    </row>
    <row r="217" spans="1:129" s="904" customFormat="1">
      <c r="A217" s="939"/>
      <c r="B217" s="1203" t="s">
        <v>496</v>
      </c>
      <c r="C217" s="592"/>
      <c r="D217" s="592"/>
      <c r="E217" s="592"/>
      <c r="F217" s="592"/>
      <c r="G217" s="592"/>
      <c r="H217" s="592"/>
      <c r="I217" s="592"/>
      <c r="J217" s="592"/>
      <c r="K217" s="592"/>
      <c r="L217" s="592"/>
      <c r="M217" s="592"/>
      <c r="N217" s="592"/>
      <c r="O217" s="592"/>
      <c r="P217" s="592"/>
      <c r="Q217" s="592"/>
      <c r="R217" s="592"/>
      <c r="S217" s="592"/>
      <c r="T217" s="592"/>
      <c r="U217" s="592"/>
      <c r="V217" s="592"/>
      <c r="W217" s="592"/>
      <c r="X217" s="592"/>
      <c r="Y217" s="592"/>
      <c r="Z217" s="592"/>
      <c r="AA217" s="592"/>
      <c r="AB217" s="592"/>
      <c r="AC217" s="592"/>
      <c r="AD217" s="592"/>
      <c r="AE217" s="592"/>
      <c r="AF217" s="592"/>
      <c r="AG217" s="592"/>
      <c r="AH217" s="592"/>
      <c r="AI217" s="592"/>
      <c r="AJ217" s="592"/>
      <c r="AK217" s="592"/>
      <c r="AL217" s="592"/>
      <c r="AM217" s="592"/>
      <c r="AN217" s="592"/>
      <c r="AO217" s="592"/>
      <c r="AP217" s="592"/>
      <c r="AQ217" s="592"/>
      <c r="AR217" s="592"/>
      <c r="AS217" s="592"/>
      <c r="AT217" s="592"/>
      <c r="AU217" s="592"/>
      <c r="AV217" s="592"/>
      <c r="AW217" s="592"/>
      <c r="AX217" s="592"/>
      <c r="AY217" s="592"/>
      <c r="AZ217" s="592"/>
      <c r="BA217" s="592"/>
      <c r="BB217" s="592"/>
      <c r="BC217" s="592"/>
      <c r="BD217" s="592"/>
      <c r="BE217" s="592"/>
      <c r="BF217" s="592"/>
      <c r="BG217" s="592"/>
      <c r="BH217" s="592"/>
      <c r="BI217" s="592"/>
      <c r="BJ217" s="592"/>
      <c r="BK217" s="1574">
        <f t="shared" ref="BK217" si="2208">+BK216/BK$7</f>
        <v>-6.2739321345481576E-3</v>
      </c>
      <c r="BL217" s="1574">
        <f t="shared" ref="BL217" si="2209">+BL216/BL$7</f>
        <v>-7.0074037935972319E-3</v>
      </c>
      <c r="BM217" s="1574">
        <f t="shared" ref="BM217" si="2210">+BM216/BM$7</f>
        <v>-5.6219262997963329E-3</v>
      </c>
      <c r="BN217" s="1574">
        <f t="shared" ref="BN217" si="2211">+BN216/BN$7</f>
        <v>-2.2459133141497657E-2</v>
      </c>
      <c r="BO217" s="1574">
        <f t="shared" ref="BO217:BP217" si="2212">+BO216/BO$7</f>
        <v>-5.8090297614092103E-3</v>
      </c>
      <c r="BP217" s="1574">
        <f t="shared" si="2212"/>
        <v>-2.1599052005133876E-2</v>
      </c>
      <c r="BQ217" s="1574">
        <f>+BQ216/BQ$7</f>
        <v>-7.7482196693893562E-3</v>
      </c>
      <c r="BR217" s="1574">
        <f t="shared" ref="BR217:CC217" si="2213">+BR216/BR$7</f>
        <v>-7.4521839141631413E-3</v>
      </c>
      <c r="BS217" s="1574">
        <f t="shared" si="2213"/>
        <v>-8.7602677213264382E-3</v>
      </c>
      <c r="BT217" s="1574">
        <f t="shared" si="2213"/>
        <v>-6.9338408676170521E-3</v>
      </c>
      <c r="BU217" s="1574">
        <f t="shared" si="2213"/>
        <v>-5.2199273584863197E-3</v>
      </c>
      <c r="BV217" s="1574">
        <f t="shared" si="2213"/>
        <v>-4.9528691502535714E-2</v>
      </c>
      <c r="BW217" s="1574">
        <f t="shared" si="2213"/>
        <v>-3.9537149051831137E-2</v>
      </c>
      <c r="BX217" s="1574">
        <f t="shared" si="2213"/>
        <v>-1.6364667345801651E-2</v>
      </c>
      <c r="BY217" s="1574">
        <f t="shared" si="2213"/>
        <v>-2.6250414844839975E-2</v>
      </c>
      <c r="BZ217" s="1574">
        <f t="shared" si="2213"/>
        <v>-1.985553494063276E-2</v>
      </c>
      <c r="CA217" s="1574">
        <f t="shared" si="2213"/>
        <v>-3.4166738905713596E-2</v>
      </c>
      <c r="CB217" s="1574">
        <f t="shared" si="2213"/>
        <v>-3.4787104004346169E-2</v>
      </c>
      <c r="CC217" s="1574">
        <f t="shared" si="2213"/>
        <v>-1.8535074414826137E-2</v>
      </c>
      <c r="CD217" s="1574">
        <f t="shared" ref="CD217" si="2214">+CD216/CD$7</f>
        <v>-1.937060401199029E-2</v>
      </c>
      <c r="CE217" s="1574">
        <f t="shared" ref="CE217:CH217" si="2215">+CE216/CE$7</f>
        <v>-8.4049479509701128E-3</v>
      </c>
      <c r="CF217" s="1574">
        <f t="shared" si="2215"/>
        <v>-8.4794639358624965E-3</v>
      </c>
      <c r="CG217" s="1574">
        <f t="shared" si="2215"/>
        <v>-8.2943680802978516E-3</v>
      </c>
      <c r="CH217" s="1574">
        <f t="shared" si="2215"/>
        <v>-7.3931793706394147E-3</v>
      </c>
      <c r="CI217" s="1574">
        <f t="shared" ref="CI217:CL217" si="2216">+CI216/CI$7</f>
        <v>-8.9984192294188369E-3</v>
      </c>
      <c r="CJ217" s="1574">
        <f t="shared" si="2216"/>
        <v>-5.2418328573456642E-3</v>
      </c>
      <c r="CK217" s="1574">
        <f t="shared" si="2216"/>
        <v>-4.3393916865473777E-3</v>
      </c>
      <c r="CL217" s="1574">
        <f t="shared" si="2216"/>
        <v>-7.321064487999184E-3</v>
      </c>
      <c r="CM217" s="1574">
        <f t="shared" ref="CM217:CP217" si="2217">+CM216/CM$7</f>
        <v>-8.9485808158503346E-3</v>
      </c>
      <c r="CN217" s="1574">
        <f t="shared" si="2217"/>
        <v>-5.2201592291280293E-3</v>
      </c>
      <c r="CO217" s="1574">
        <f t="shared" si="2217"/>
        <v>-4.3301023759913359E-3</v>
      </c>
      <c r="CP217" s="1574">
        <f t="shared" si="2217"/>
        <v>-7.3423279306529003E-3</v>
      </c>
      <c r="CQ217" s="813"/>
      <c r="CR217" s="592">
        <v>-7.321064487999184E-3</v>
      </c>
      <c r="CT217" s="592"/>
      <c r="CU217" s="592"/>
      <c r="CV217" s="592"/>
      <c r="CW217" s="592"/>
      <c r="CX217" s="903"/>
      <c r="CY217" s="954"/>
      <c r="CZ217" s="954"/>
      <c r="DA217" s="954"/>
      <c r="DB217" s="954"/>
      <c r="DC217" s="592"/>
      <c r="DD217" s="954"/>
      <c r="DE217" s="1574"/>
      <c r="DF217" s="1574"/>
      <c r="DG217" s="1574"/>
      <c r="DH217" s="1574"/>
      <c r="DI217" s="1574"/>
      <c r="DJ217" s="1574">
        <f t="shared" ref="DJ217:DU217" si="2218">+DJ216/DJ$7</f>
        <v>-1.1550129325099631E-2</v>
      </c>
      <c r="DK217" s="1574">
        <f t="shared" si="2218"/>
        <v>-8.5138526540450496E-3</v>
      </c>
      <c r="DL217" s="1574">
        <f t="shared" si="2218"/>
        <v>-2.2365637157183482E-2</v>
      </c>
      <c r="DM217" s="1574">
        <f t="shared" si="2218"/>
        <v>-2.421021647943504E-2</v>
      </c>
      <c r="DN217" s="1574">
        <f t="shared" si="2218"/>
        <v>-2.6097761903963464E-2</v>
      </c>
      <c r="DO217" s="1574">
        <f t="shared" si="2218"/>
        <v>-8.0687803509999351E-3</v>
      </c>
      <c r="DP217" s="1574">
        <f t="shared" ref="DP217:DQ217" si="2219">+DP216/DP$7</f>
        <v>-6.4582858048793544E-3</v>
      </c>
      <c r="DQ217" s="1574">
        <f t="shared" si="2219"/>
        <v>-6.4479980056209897E-3</v>
      </c>
      <c r="DR217" s="1574">
        <f t="shared" si="2218"/>
        <v>-6.43702805580822E-3</v>
      </c>
      <c r="DS217" s="1574">
        <f t="shared" si="2218"/>
        <v>-6.383355489705091E-3</v>
      </c>
      <c r="DT217" s="1574">
        <f t="shared" si="2218"/>
        <v>-6.3342381671007723E-3</v>
      </c>
      <c r="DU217" s="1574">
        <f t="shared" si="2218"/>
        <v>-6.2890564607562928E-3</v>
      </c>
      <c r="DX217" s="1574">
        <v>-6.3807268265307082E-3</v>
      </c>
      <c r="DY217" s="1574">
        <v>-6.3270819387427468E-3</v>
      </c>
    </row>
    <row r="218" spans="1:129" s="904" customFormat="1">
      <c r="A218" s="939"/>
      <c r="B218" s="1203" t="s">
        <v>497</v>
      </c>
      <c r="C218" s="592"/>
      <c r="D218" s="592"/>
      <c r="E218" s="592"/>
      <c r="F218" s="592"/>
      <c r="G218" s="592"/>
      <c r="H218" s="592"/>
      <c r="I218" s="592"/>
      <c r="J218" s="592"/>
      <c r="K218" s="592"/>
      <c r="L218" s="592"/>
      <c r="M218" s="592"/>
      <c r="N218" s="592"/>
      <c r="O218" s="592"/>
      <c r="P218" s="592"/>
      <c r="Q218" s="592"/>
      <c r="R218" s="592"/>
      <c r="S218" s="592"/>
      <c r="T218" s="592"/>
      <c r="U218" s="592"/>
      <c r="V218" s="592"/>
      <c r="W218" s="592"/>
      <c r="X218" s="592"/>
      <c r="Y218" s="592"/>
      <c r="Z218" s="592"/>
      <c r="AA218" s="592"/>
      <c r="AB218" s="592"/>
      <c r="AC218" s="592"/>
      <c r="AD218" s="592"/>
      <c r="AE218" s="592"/>
      <c r="AF218" s="592"/>
      <c r="AG218" s="592"/>
      <c r="AH218" s="592"/>
      <c r="AI218" s="592"/>
      <c r="AJ218" s="592"/>
      <c r="AK218" s="592"/>
      <c r="AL218" s="592"/>
      <c r="AM218" s="592"/>
      <c r="AN218" s="592"/>
      <c r="AO218" s="592"/>
      <c r="AP218" s="592"/>
      <c r="AQ218" s="592"/>
      <c r="AR218" s="592"/>
      <c r="AS218" s="592"/>
      <c r="AT218" s="592"/>
      <c r="AU218" s="592"/>
      <c r="AV218" s="592"/>
      <c r="AW218" s="592"/>
      <c r="AX218" s="592"/>
      <c r="AY218" s="592"/>
      <c r="AZ218" s="592"/>
      <c r="BA218" s="592"/>
      <c r="BB218" s="592"/>
      <c r="BC218" s="592"/>
      <c r="BD218" s="592"/>
      <c r="BE218" s="592"/>
      <c r="BF218" s="592"/>
      <c r="BG218" s="592"/>
      <c r="BH218" s="592"/>
      <c r="BI218" s="592"/>
      <c r="BJ218" s="592"/>
      <c r="BK218" s="1574">
        <f t="shared" ref="BK218:CH218" si="2220">+BK216/BK35</f>
        <v>3.0023347204445616E-2</v>
      </c>
      <c r="BL218" s="1574">
        <f t="shared" si="2220"/>
        <v>2.6925930908191471E-2</v>
      </c>
      <c r="BM218" s="1574">
        <f t="shared" si="2220"/>
        <v>2.704969481840613E-2</v>
      </c>
      <c r="BN218" s="1574">
        <f t="shared" si="2220"/>
        <v>5.6017750480604964E-2</v>
      </c>
      <c r="BO218" s="1574">
        <f t="shared" si="2220"/>
        <v>0.55400410677618073</v>
      </c>
      <c r="BP218" s="1574">
        <f t="shared" si="2220"/>
        <v>8.1368876775616047E-3</v>
      </c>
      <c r="BQ218" s="1574">
        <f t="shared" si="2220"/>
        <v>-7.2342207854971918E-2</v>
      </c>
      <c r="BR218" s="1574">
        <f t="shared" si="2220"/>
        <v>2.848634170047807E-2</v>
      </c>
      <c r="BS218" s="1574">
        <f t="shared" si="2220"/>
        <v>-3.9008101005174892E-2</v>
      </c>
      <c r="BT218" s="1574">
        <f t="shared" si="2220"/>
        <v>3.6687495138582799E-2</v>
      </c>
      <c r="BU218" s="1574">
        <f t="shared" si="2220"/>
        <v>3.365107369402319E-2</v>
      </c>
      <c r="BV218" s="1574">
        <f t="shared" si="2220"/>
        <v>0.19932028832527629</v>
      </c>
      <c r="BW218" s="1574">
        <f t="shared" si="2220"/>
        <v>0.2101132390544278</v>
      </c>
      <c r="BX218" s="1574">
        <f t="shared" si="2220"/>
        <v>6.4544324450314661E-2</v>
      </c>
      <c r="BY218" s="1574">
        <f t="shared" si="2220"/>
        <v>0.12637767488036236</v>
      </c>
      <c r="BZ218" s="1574">
        <f t="shared" si="2220"/>
        <v>6.6144621572652204E-2</v>
      </c>
      <c r="CA218" s="1574">
        <f t="shared" si="2220"/>
        <v>0.78379592011290256</v>
      </c>
      <c r="CB218" s="1574">
        <f t="shared" si="2220"/>
        <v>0.21297779712668699</v>
      </c>
      <c r="CC218" s="1574">
        <f t="shared" si="2220"/>
        <v>0.1339371435842269</v>
      </c>
      <c r="CD218" s="1574">
        <f t="shared" si="2220"/>
        <v>6.2451247032118601E-2</v>
      </c>
      <c r="CE218" s="1574">
        <f t="shared" si="2220"/>
        <v>6.8732495511669656E-2</v>
      </c>
      <c r="CF218" s="1574">
        <f t="shared" si="2220"/>
        <v>3.6687577781728598E-2</v>
      </c>
      <c r="CG218" s="1574">
        <f t="shared" si="2220"/>
        <v>4.379353302045709E-2</v>
      </c>
      <c r="CH218" s="1574">
        <f t="shared" si="2220"/>
        <v>2.8000607593273778E-2</v>
      </c>
      <c r="CI218" s="1574">
        <f t="shared" ref="CI218:CL218" si="2221">+CI216/CI35</f>
        <v>5.0322802477458115E-2</v>
      </c>
      <c r="CJ218" s="1574">
        <f t="shared" si="2221"/>
        <v>2.0266478102956776E-2</v>
      </c>
      <c r="CK218" s="1574">
        <f t="shared" si="2221"/>
        <v>2.1392651980171443E-2</v>
      </c>
      <c r="CL218" s="1574">
        <f t="shared" si="2221"/>
        <v>2.9596051127914764E-2</v>
      </c>
      <c r="CM218" s="1574">
        <f t="shared" ref="CM218:CP218" si="2222">+CM216/CM35</f>
        <v>6.361832239934484E-2</v>
      </c>
      <c r="CN218" s="1574">
        <f t="shared" si="2222"/>
        <v>2.2944655918857335E-2</v>
      </c>
      <c r="CO218" s="1574">
        <f t="shared" si="2222"/>
        <v>2.7222455004452299E-2</v>
      </c>
      <c r="CP218" s="1574">
        <f t="shared" si="2222"/>
        <v>2.871924179135606E-2</v>
      </c>
      <c r="CQ218" s="813"/>
      <c r="CR218" s="592">
        <v>2.9596051127914764E-2</v>
      </c>
      <c r="CT218" s="592"/>
      <c r="CU218" s="592"/>
      <c r="CV218" s="592"/>
      <c r="CW218" s="592"/>
      <c r="CX218" s="903"/>
      <c r="CY218" s="954"/>
      <c r="CZ218" s="954"/>
      <c r="DA218" s="954"/>
      <c r="DB218" s="954"/>
      <c r="DC218" s="592"/>
      <c r="DD218" s="954"/>
      <c r="DE218" s="1574"/>
      <c r="DF218" s="1574"/>
      <c r="DG218" s="1574"/>
      <c r="DH218" s="1574"/>
      <c r="DI218" s="1574"/>
      <c r="DJ218" s="1574">
        <f>+DJ216/DJ35</f>
        <v>4.0780631849930908E-2</v>
      </c>
      <c r="DK218" s="1574">
        <f>+DK216/DK35</f>
        <v>2.548805279449172E-2</v>
      </c>
      <c r="DL218" s="1574">
        <f>+DL216/DL35</f>
        <v>0.15928732508464036</v>
      </c>
      <c r="DM218" s="1574">
        <f>+DM216/DM35</f>
        <v>9.9080825855479157E-2</v>
      </c>
      <c r="DN218" s="1574">
        <f>+DN216/DN35</f>
        <v>0.14508342560734394</v>
      </c>
      <c r="DO218" s="1574"/>
      <c r="DP218" s="1574"/>
      <c r="DQ218" s="1574"/>
      <c r="DR218" s="1575"/>
      <c r="DS218" s="1575"/>
      <c r="DT218" s="1575"/>
      <c r="DU218" s="1575"/>
      <c r="DX218" s="1575"/>
      <c r="DY218" s="1575"/>
    </row>
    <row r="219" spans="1:129" s="904" customFormat="1">
      <c r="A219" s="939"/>
      <c r="B219" t="s">
        <v>498</v>
      </c>
      <c r="C219" s="592"/>
      <c r="D219" s="592"/>
      <c r="E219" s="592"/>
      <c r="F219" s="592"/>
      <c r="G219" s="592"/>
      <c r="H219" s="592"/>
      <c r="I219" s="592"/>
      <c r="J219" s="592"/>
      <c r="K219" s="592"/>
      <c r="L219" s="592"/>
      <c r="M219" s="592"/>
      <c r="N219" s="592"/>
      <c r="O219" s="592"/>
      <c r="P219" s="592"/>
      <c r="Q219" s="592"/>
      <c r="R219" s="592"/>
      <c r="S219" s="592"/>
      <c r="T219" s="592"/>
      <c r="U219" s="592"/>
      <c r="V219" s="592"/>
      <c r="W219" s="592"/>
      <c r="X219" s="592"/>
      <c r="Y219" s="592"/>
      <c r="Z219" s="592"/>
      <c r="AA219" s="592"/>
      <c r="AB219" s="592"/>
      <c r="AC219" s="592"/>
      <c r="AD219" s="592"/>
      <c r="AE219" s="592"/>
      <c r="AF219" s="592"/>
      <c r="AG219" s="592"/>
      <c r="AH219" s="592"/>
      <c r="AI219" s="592"/>
      <c r="AJ219" s="592"/>
      <c r="AK219" s="592"/>
      <c r="AL219" s="592"/>
      <c r="AM219" s="592"/>
      <c r="AN219" s="592"/>
      <c r="AO219" s="592"/>
      <c r="AP219" s="592"/>
      <c r="AQ219" s="592"/>
      <c r="AR219" s="592"/>
      <c r="AS219" s="592"/>
      <c r="AT219" s="592"/>
      <c r="AU219" s="592"/>
      <c r="AV219" s="592"/>
      <c r="AW219" s="592"/>
      <c r="AX219" s="592"/>
      <c r="AY219" s="592"/>
      <c r="AZ219" s="592"/>
      <c r="BA219" s="592"/>
      <c r="BB219" s="592"/>
      <c r="BC219" s="592"/>
      <c r="BD219" s="592"/>
      <c r="BE219" s="592"/>
      <c r="BF219" s="592"/>
      <c r="BG219" s="592"/>
      <c r="BH219" s="592"/>
      <c r="BI219" s="592"/>
      <c r="BJ219" s="592"/>
      <c r="BK219" s="952">
        <v>-2276</v>
      </c>
      <c r="BL219" s="952">
        <v>-4960</v>
      </c>
      <c r="BM219" s="952">
        <v>-6449</v>
      </c>
      <c r="BN219" s="952">
        <f>-19410-BM219-BL219-BK219</f>
        <v>-5725</v>
      </c>
      <c r="BO219" s="952">
        <v>-1359</v>
      </c>
      <c r="BP219" s="952">
        <v>-3633</v>
      </c>
      <c r="BQ219" s="952">
        <v>7866</v>
      </c>
      <c r="BR219" s="952">
        <f>-3769-BQ219-BP219-BO219</f>
        <v>-6643</v>
      </c>
      <c r="BS219" s="952">
        <v>-4705</v>
      </c>
      <c r="BT219" s="952">
        <v>14320</v>
      </c>
      <c r="BU219" s="952">
        <v>-10863</v>
      </c>
      <c r="BV219" s="952">
        <f>-19163-BU219-BT219-BS219</f>
        <v>-17915</v>
      </c>
      <c r="BW219" s="952">
        <v>-3449</v>
      </c>
      <c r="BX219" s="952">
        <v>854</v>
      </c>
      <c r="BY219" s="952">
        <v>4120</v>
      </c>
      <c r="BZ219" s="952">
        <f>3174-BY219-BX219-BW219</f>
        <v>1649</v>
      </c>
      <c r="CA219" s="952">
        <v>-1285</v>
      </c>
      <c r="CB219" s="952">
        <v>3690</v>
      </c>
      <c r="CC219" s="952">
        <v>987</v>
      </c>
      <c r="CD219" s="952">
        <f>6941-CC219-CB219-CA219</f>
        <v>3549</v>
      </c>
      <c r="CE219" s="952">
        <v>1524</v>
      </c>
      <c r="CF219" s="952">
        <v>1040</v>
      </c>
      <c r="CG219" s="952">
        <v>-2160</v>
      </c>
      <c r="CH219" s="952">
        <f>3133-CG219-CF219-CE219</f>
        <v>2729</v>
      </c>
      <c r="CI219" s="952">
        <v>-10498</v>
      </c>
      <c r="CJ219" s="952">
        <f>-15603-CK219-CI219</f>
        <v>-4294</v>
      </c>
      <c r="CK219" s="952">
        <v>-811</v>
      </c>
      <c r="CL219" s="813">
        <v>0</v>
      </c>
      <c r="CM219" s="813">
        <v>0</v>
      </c>
      <c r="CN219" s="813">
        <v>0</v>
      </c>
      <c r="CO219" s="813">
        <v>0</v>
      </c>
      <c r="CP219" s="813">
        <v>0</v>
      </c>
      <c r="CQ219" s="813"/>
      <c r="CR219" s="592">
        <v>0</v>
      </c>
      <c r="CT219" s="592"/>
      <c r="CU219" s="592"/>
      <c r="CV219" s="592"/>
      <c r="CW219" s="592"/>
      <c r="CX219" s="903"/>
      <c r="CY219" s="954"/>
      <c r="CZ219" s="954"/>
      <c r="DA219" s="954"/>
      <c r="DB219" s="954"/>
      <c r="DC219" s="592"/>
      <c r="DD219" s="954"/>
      <c r="DE219" s="939"/>
      <c r="DF219" s="939"/>
      <c r="DG219" s="939"/>
      <c r="DH219" s="939"/>
      <c r="DI219" s="939"/>
      <c r="DJ219" s="939">
        <f>+SUM(BK219:BN219)</f>
        <v>-19410</v>
      </c>
      <c r="DK219" s="939">
        <f>+SUM(BO219:BR219)</f>
        <v>-3769</v>
      </c>
      <c r="DL219" s="939">
        <f>+SUM(BS219:BV219)</f>
        <v>-19163</v>
      </c>
      <c r="DM219" s="939">
        <f>+SUM(BW219:BZ219)</f>
        <v>3174</v>
      </c>
      <c r="DN219" s="939">
        <f>+SUM(CA219:CD219)</f>
        <v>6941</v>
      </c>
      <c r="DO219" s="939">
        <f>+SUM(CE219:CH219)</f>
        <v>3133</v>
      </c>
      <c r="DP219" s="939">
        <f>+SUM(CI219:CL219)</f>
        <v>-15603</v>
      </c>
      <c r="DQ219" s="939">
        <f>+SUM(CM219:CP219)</f>
        <v>0</v>
      </c>
      <c r="DR219" s="813">
        <v>0</v>
      </c>
      <c r="DS219" s="813">
        <v>0</v>
      </c>
      <c r="DT219" s="813">
        <v>0</v>
      </c>
      <c r="DU219" s="813">
        <v>0</v>
      </c>
      <c r="DX219" s="813">
        <v>0</v>
      </c>
      <c r="DY219" s="813">
        <v>0</v>
      </c>
    </row>
    <row r="220" spans="1:129" s="904" customFormat="1">
      <c r="A220" s="939"/>
      <c r="B220" t="s">
        <v>499</v>
      </c>
      <c r="C220" s="592"/>
      <c r="D220" s="592"/>
      <c r="E220" s="592"/>
      <c r="F220" s="592"/>
      <c r="G220" s="592"/>
      <c r="H220" s="592"/>
      <c r="I220" s="592"/>
      <c r="J220" s="592"/>
      <c r="K220" s="592"/>
      <c r="L220" s="592"/>
      <c r="M220" s="592"/>
      <c r="N220" s="592"/>
      <c r="O220" s="592"/>
      <c r="P220" s="592"/>
      <c r="Q220" s="592"/>
      <c r="R220" s="592"/>
      <c r="S220" s="592"/>
      <c r="T220" s="592"/>
      <c r="U220" s="592"/>
      <c r="V220" s="592"/>
      <c r="W220" s="592"/>
      <c r="X220" s="592"/>
      <c r="Y220" s="592"/>
      <c r="Z220" s="592"/>
      <c r="AA220" s="592"/>
      <c r="AB220" s="592"/>
      <c r="AC220" s="592"/>
      <c r="AD220" s="592"/>
      <c r="AE220" s="592"/>
      <c r="AF220" s="592"/>
      <c r="AG220" s="592"/>
      <c r="AH220" s="592"/>
      <c r="AI220" s="592"/>
      <c r="AJ220" s="592"/>
      <c r="AK220" s="592"/>
      <c r="AL220" s="592"/>
      <c r="AM220" s="592"/>
      <c r="AN220" s="592"/>
      <c r="AO220" s="592"/>
      <c r="AP220" s="592"/>
      <c r="AQ220" s="592"/>
      <c r="AR220" s="592"/>
      <c r="AS220" s="592"/>
      <c r="AT220" s="592"/>
      <c r="AU220" s="592"/>
      <c r="AV220" s="592"/>
      <c r="AW220" s="592"/>
      <c r="AX220" s="592"/>
      <c r="AY220" s="592"/>
      <c r="AZ220" s="592"/>
      <c r="BA220" s="592"/>
      <c r="BB220" s="592"/>
      <c r="BC220" s="592"/>
      <c r="BD220" s="592"/>
      <c r="BE220" s="592"/>
      <c r="BF220" s="592"/>
      <c r="BG220" s="592"/>
      <c r="BH220" s="592"/>
      <c r="BI220" s="592"/>
      <c r="BJ220" s="592"/>
      <c r="BK220" s="952">
        <v>0</v>
      </c>
      <c r="BL220" s="952">
        <v>0</v>
      </c>
      <c r="BM220" s="952">
        <v>0</v>
      </c>
      <c r="BN220" s="952">
        <v>0</v>
      </c>
      <c r="BO220" s="952">
        <v>0</v>
      </c>
      <c r="BP220" s="952"/>
      <c r="BQ220" s="952">
        <v>3251</v>
      </c>
      <c r="BR220" s="952">
        <f>12051-BQ220-BP220-BO220</f>
        <v>8800</v>
      </c>
      <c r="BS220" s="952">
        <v>-111</v>
      </c>
      <c r="BT220" s="952">
        <v>-695</v>
      </c>
      <c r="BU220" s="952">
        <v>236</v>
      </c>
      <c r="BV220" s="952">
        <f>266-BU220-BT220-BS220</f>
        <v>836</v>
      </c>
      <c r="BW220" s="952">
        <v>787</v>
      </c>
      <c r="BX220" s="952">
        <v>1929</v>
      </c>
      <c r="BY220" s="952">
        <v>218</v>
      </c>
      <c r="BZ220" s="952">
        <f>3910-BY220-BX220-BW220</f>
        <v>976</v>
      </c>
      <c r="CA220" s="952">
        <v>1045</v>
      </c>
      <c r="CB220" s="952">
        <v>-320</v>
      </c>
      <c r="CC220" s="952">
        <v>461</v>
      </c>
      <c r="CD220" s="952">
        <f>0-CC220-CB220-CA220</f>
        <v>-1186</v>
      </c>
      <c r="CE220" s="952">
        <v>1132</v>
      </c>
      <c r="CF220" s="952">
        <v>1321</v>
      </c>
      <c r="CG220" s="952">
        <v>1578</v>
      </c>
      <c r="CH220" s="952">
        <f>5003-CG220-CF220-CE220</f>
        <v>972</v>
      </c>
      <c r="CI220" s="952">
        <v>-2210</v>
      </c>
      <c r="CJ220" s="952">
        <f>-2209-CK220-CI220</f>
        <v>-34</v>
      </c>
      <c r="CK220" s="952">
        <v>35</v>
      </c>
      <c r="CL220" s="813">
        <v>0</v>
      </c>
      <c r="CM220" s="813">
        <v>0</v>
      </c>
      <c r="CN220" s="813">
        <v>0</v>
      </c>
      <c r="CO220" s="813">
        <v>0</v>
      </c>
      <c r="CP220" s="813">
        <v>0</v>
      </c>
      <c r="CQ220" s="813"/>
      <c r="CR220" s="592">
        <v>0</v>
      </c>
      <c r="CT220" s="592"/>
      <c r="CU220" s="592"/>
      <c r="CV220" s="592"/>
      <c r="CW220" s="592"/>
      <c r="CX220" s="903"/>
      <c r="CY220" s="954"/>
      <c r="CZ220" s="954"/>
      <c r="DA220" s="954"/>
      <c r="DB220" s="954"/>
      <c r="DC220" s="592"/>
      <c r="DD220" s="954"/>
      <c r="DE220" s="939"/>
      <c r="DF220" s="939"/>
      <c r="DG220" s="939"/>
      <c r="DH220" s="939"/>
      <c r="DI220" s="939"/>
      <c r="DJ220" s="939">
        <f>+SUM(BK220:BN220)</f>
        <v>0</v>
      </c>
      <c r="DK220" s="939">
        <f>+SUM(BO220:BR220)</f>
        <v>12051</v>
      </c>
      <c r="DL220" s="939">
        <f>+SUM(BS220:BV220)</f>
        <v>266</v>
      </c>
      <c r="DM220" s="939">
        <f>+SUM(BW220:BZ220)</f>
        <v>3910</v>
      </c>
      <c r="DN220" s="939">
        <f>+SUM(CA220:CD220)</f>
        <v>0</v>
      </c>
      <c r="DO220" s="939">
        <f>+SUM(CE220:CH220)</f>
        <v>5003</v>
      </c>
      <c r="DP220" s="939">
        <f>+SUM(CI220:CL220)</f>
        <v>-2209</v>
      </c>
      <c r="DQ220" s="939">
        <f>+SUM(CM220:CP220)</f>
        <v>0</v>
      </c>
      <c r="DR220" s="813">
        <v>0</v>
      </c>
      <c r="DS220" s="813">
        <v>0</v>
      </c>
      <c r="DT220" s="813">
        <v>0</v>
      </c>
      <c r="DU220" s="813">
        <v>0</v>
      </c>
      <c r="DX220" s="813">
        <v>0</v>
      </c>
      <c r="DY220" s="813">
        <v>0</v>
      </c>
    </row>
    <row r="221" spans="1:129" s="904" customFormat="1">
      <c r="A221" s="939"/>
      <c r="B221" t="s">
        <v>500</v>
      </c>
      <c r="C221" s="592"/>
      <c r="D221" s="592"/>
      <c r="E221" s="592"/>
      <c r="F221" s="592"/>
      <c r="G221" s="592"/>
      <c r="H221" s="592"/>
      <c r="I221" s="592"/>
      <c r="J221" s="592"/>
      <c r="K221" s="592"/>
      <c r="L221" s="592"/>
      <c r="M221" s="592"/>
      <c r="N221" s="592"/>
      <c r="O221" s="592"/>
      <c r="P221" s="592"/>
      <c r="Q221" s="592"/>
      <c r="R221" s="592"/>
      <c r="S221" s="592"/>
      <c r="T221" s="592"/>
      <c r="U221" s="592"/>
      <c r="V221" s="592"/>
      <c r="W221" s="592"/>
      <c r="X221" s="592"/>
      <c r="Y221" s="592"/>
      <c r="Z221" s="592"/>
      <c r="AA221" s="592"/>
      <c r="AB221" s="592"/>
      <c r="AC221" s="592"/>
      <c r="AD221" s="592"/>
      <c r="AE221" s="592"/>
      <c r="AF221" s="592"/>
      <c r="AG221" s="592"/>
      <c r="AH221" s="592"/>
      <c r="AI221" s="592"/>
      <c r="AJ221" s="592"/>
      <c r="AK221" s="592"/>
      <c r="AL221" s="592"/>
      <c r="AM221" s="592"/>
      <c r="AN221" s="592"/>
      <c r="AO221" s="592"/>
      <c r="AP221" s="592"/>
      <c r="AQ221" s="592"/>
      <c r="AR221" s="592"/>
      <c r="AS221" s="592"/>
      <c r="AT221" s="592"/>
      <c r="AU221" s="592"/>
      <c r="AV221" s="592"/>
      <c r="AW221" s="592"/>
      <c r="AX221" s="592"/>
      <c r="AY221" s="592"/>
      <c r="AZ221" s="592"/>
      <c r="BA221" s="592"/>
      <c r="BB221" s="592"/>
      <c r="BC221" s="592"/>
      <c r="BD221" s="592"/>
      <c r="BE221" s="592"/>
      <c r="BF221" s="592"/>
      <c r="BG221" s="592"/>
      <c r="BH221" s="592"/>
      <c r="BI221" s="592"/>
      <c r="BJ221" s="592"/>
      <c r="BK221" s="952">
        <v>0</v>
      </c>
      <c r="BL221" s="952">
        <v>0</v>
      </c>
      <c r="BM221" s="952">
        <v>0</v>
      </c>
      <c r="BN221" s="952">
        <v>0</v>
      </c>
      <c r="BO221" s="952">
        <v>0</v>
      </c>
      <c r="BP221" s="952"/>
      <c r="BQ221" s="952">
        <v>0</v>
      </c>
      <c r="BR221" s="952">
        <v>0</v>
      </c>
      <c r="BS221" s="952">
        <v>0</v>
      </c>
      <c r="BT221" s="952">
        <v>0</v>
      </c>
      <c r="BU221" s="952">
        <v>0</v>
      </c>
      <c r="BV221" s="952">
        <f>-17301-BU221-BT221-BS221</f>
        <v>-17301</v>
      </c>
      <c r="BW221" s="952">
        <v>-2420</v>
      </c>
      <c r="BX221" s="952">
        <v>-1813</v>
      </c>
      <c r="BY221" s="952">
        <v>-4950</v>
      </c>
      <c r="BZ221" s="952">
        <f>-16042-BY221-BX221-BW221</f>
        <v>-6859</v>
      </c>
      <c r="CA221" s="952">
        <v>-15572</v>
      </c>
      <c r="CB221" s="952">
        <v>-7404</v>
      </c>
      <c r="CC221" s="952">
        <v>-182</v>
      </c>
      <c r="CD221" s="952">
        <f>-32663-CC221-CB221-CA221</f>
        <v>-9505</v>
      </c>
      <c r="CE221" s="952">
        <v>-11002</v>
      </c>
      <c r="CF221" s="952">
        <v>-1698</v>
      </c>
      <c r="CG221" s="952">
        <v>-7459</v>
      </c>
      <c r="CH221" s="952">
        <f>-19033-CG221-CF221-CE221</f>
        <v>1126</v>
      </c>
      <c r="CI221" s="952">
        <v>-10796</v>
      </c>
      <c r="CJ221" s="952">
        <f>-26284-CK221-CI221</f>
        <v>-8213</v>
      </c>
      <c r="CK221" s="952">
        <v>-7275</v>
      </c>
      <c r="CL221" s="813">
        <v>0</v>
      </c>
      <c r="CM221" s="813">
        <v>0</v>
      </c>
      <c r="CN221" s="813">
        <v>0</v>
      </c>
      <c r="CO221" s="813">
        <v>0</v>
      </c>
      <c r="CP221" s="813">
        <v>0</v>
      </c>
      <c r="CQ221" s="813"/>
      <c r="CR221" s="592">
        <v>0</v>
      </c>
      <c r="CT221" s="592"/>
      <c r="CU221" s="592"/>
      <c r="CV221" s="592"/>
      <c r="CW221" s="592"/>
      <c r="CX221" s="903"/>
      <c r="CY221" s="954"/>
      <c r="CZ221" s="954"/>
      <c r="DA221" s="954"/>
      <c r="DB221" s="954"/>
      <c r="DC221" s="592"/>
      <c r="DD221" s="954"/>
      <c r="DE221" s="939"/>
      <c r="DF221" s="939"/>
      <c r="DG221" s="939"/>
      <c r="DH221" s="939"/>
      <c r="DI221" s="939"/>
      <c r="DJ221" s="939">
        <f>+SUM(BK221:BN221)</f>
        <v>0</v>
      </c>
      <c r="DK221" s="939">
        <f>+SUM(BO221:BR221)</f>
        <v>0</v>
      </c>
      <c r="DL221" s="939">
        <f>+SUM(BS221:BV221)</f>
        <v>-17301</v>
      </c>
      <c r="DM221" s="939">
        <f>+SUM(BW221:BZ221)</f>
        <v>-16042</v>
      </c>
      <c r="DN221" s="939">
        <f>+SUM(CA221:CD221)</f>
        <v>-32663</v>
      </c>
      <c r="DO221" s="939">
        <f>+SUM(CE221:CH221)</f>
        <v>-19033</v>
      </c>
      <c r="DP221" s="939">
        <f>+SUM(CI221:CL221)</f>
        <v>-26284</v>
      </c>
      <c r="DQ221" s="939">
        <f>+SUM(CM221:CP221)</f>
        <v>0</v>
      </c>
      <c r="DR221" s="813">
        <v>0</v>
      </c>
      <c r="DS221" s="813">
        <v>0</v>
      </c>
      <c r="DT221" s="813">
        <v>0</v>
      </c>
      <c r="DU221" s="813">
        <v>0</v>
      </c>
      <c r="DX221" s="813">
        <v>0</v>
      </c>
      <c r="DY221" s="813">
        <v>0</v>
      </c>
    </row>
    <row r="222" spans="1:129" s="904" customFormat="1">
      <c r="A222" s="939"/>
      <c r="B222" t="s">
        <v>501</v>
      </c>
      <c r="C222" s="592"/>
      <c r="D222" s="592"/>
      <c r="E222" s="592"/>
      <c r="F222" s="592"/>
      <c r="G222" s="592"/>
      <c r="H222" s="592"/>
      <c r="I222" s="592"/>
      <c r="J222" s="592"/>
      <c r="K222" s="592"/>
      <c r="L222" s="592"/>
      <c r="M222" s="592"/>
      <c r="N222" s="592"/>
      <c r="O222" s="592"/>
      <c r="P222" s="592"/>
      <c r="Q222" s="592"/>
      <c r="R222" s="592"/>
      <c r="S222" s="592"/>
      <c r="T222" s="592"/>
      <c r="U222" s="592"/>
      <c r="V222" s="592"/>
      <c r="W222" s="592"/>
      <c r="X222" s="592"/>
      <c r="Y222" s="592"/>
      <c r="Z222" s="592"/>
      <c r="AA222" s="592"/>
      <c r="AB222" s="592"/>
      <c r="AC222" s="592"/>
      <c r="AD222" s="592"/>
      <c r="AE222" s="592"/>
      <c r="AF222" s="592"/>
      <c r="AG222" s="592"/>
      <c r="AH222" s="592"/>
      <c r="AI222" s="592"/>
      <c r="AJ222" s="592"/>
      <c r="AK222" s="592"/>
      <c r="AL222" s="592"/>
      <c r="AM222" s="592"/>
      <c r="AN222" s="592"/>
      <c r="AO222" s="592"/>
      <c r="AP222" s="592"/>
      <c r="AQ222" s="592"/>
      <c r="AR222" s="592"/>
      <c r="AS222" s="592"/>
      <c r="AT222" s="592"/>
      <c r="AU222" s="592"/>
      <c r="AV222" s="592"/>
      <c r="AW222" s="592"/>
      <c r="AX222" s="592"/>
      <c r="AY222" s="592"/>
      <c r="AZ222" s="592"/>
      <c r="BA222" s="592"/>
      <c r="BB222" s="592"/>
      <c r="BC222" s="592"/>
      <c r="BD222" s="592"/>
      <c r="BE222" s="592"/>
      <c r="BF222" s="592"/>
      <c r="BG222" s="592"/>
      <c r="BH222" s="592"/>
      <c r="BI222" s="592"/>
      <c r="BJ222" s="592"/>
      <c r="BK222" s="952">
        <v>0</v>
      </c>
      <c r="BL222" s="952">
        <v>0</v>
      </c>
      <c r="BM222" s="952">
        <v>0</v>
      </c>
      <c r="BN222" s="952">
        <v>0</v>
      </c>
      <c r="BO222" s="952">
        <v>0</v>
      </c>
      <c r="BP222" s="952"/>
      <c r="BQ222" s="952">
        <v>0</v>
      </c>
      <c r="BR222" s="952">
        <f>-11691-BQ222-BP222-BO222</f>
        <v>-11691</v>
      </c>
      <c r="BS222" s="952">
        <v>-1558</v>
      </c>
      <c r="BT222" s="952">
        <v>1570</v>
      </c>
      <c r="BU222" s="952">
        <v>0</v>
      </c>
      <c r="BV222" s="952">
        <f>-2919-BU222-BT222-BS222</f>
        <v>-2931</v>
      </c>
      <c r="BW222" s="952">
        <v>0</v>
      </c>
      <c r="BX222" s="952">
        <v>0</v>
      </c>
      <c r="BY222" s="952">
        <v>0</v>
      </c>
      <c r="BZ222" s="952">
        <f>0-BY222-BX222-BW222</f>
        <v>0</v>
      </c>
      <c r="CA222" s="952">
        <v>0</v>
      </c>
      <c r="CB222" s="952">
        <v>0</v>
      </c>
      <c r="CC222" s="952">
        <v>0</v>
      </c>
      <c r="CD222" s="952">
        <v>0</v>
      </c>
      <c r="CE222" s="952">
        <v>0</v>
      </c>
      <c r="CF222" s="952">
        <v>0</v>
      </c>
      <c r="CG222" s="952">
        <v>0</v>
      </c>
      <c r="CH222" s="952">
        <v>0</v>
      </c>
      <c r="CI222" s="952">
        <v>2150</v>
      </c>
      <c r="CJ222" s="952">
        <f>0-CK222-CI222</f>
        <v>-2150</v>
      </c>
      <c r="CK222" s="952">
        <v>0</v>
      </c>
      <c r="CL222" s="813">
        <v>0</v>
      </c>
      <c r="CM222" s="813">
        <v>0</v>
      </c>
      <c r="CN222" s="813">
        <v>0</v>
      </c>
      <c r="CO222" s="813">
        <v>0</v>
      </c>
      <c r="CP222" s="813">
        <v>0</v>
      </c>
      <c r="CQ222" s="813"/>
      <c r="CR222" s="592">
        <v>0</v>
      </c>
      <c r="CT222" s="592"/>
      <c r="CU222" s="592"/>
      <c r="CV222" s="592"/>
      <c r="CW222" s="592"/>
      <c r="CX222" s="903"/>
      <c r="CY222" s="954"/>
      <c r="CZ222" s="954"/>
      <c r="DA222" s="954"/>
      <c r="DB222" s="954"/>
      <c r="DC222" s="592"/>
      <c r="DD222" s="954"/>
      <c r="DE222" s="939"/>
      <c r="DF222" s="939"/>
      <c r="DG222" s="939"/>
      <c r="DH222" s="939"/>
      <c r="DI222" s="939"/>
      <c r="DJ222" s="939">
        <f>+SUM(BK222:BN222)</f>
        <v>0</v>
      </c>
      <c r="DK222" s="939">
        <f>+SUM(BO222:BR222)</f>
        <v>-11691</v>
      </c>
      <c r="DL222" s="939">
        <f>+SUM(BS222:BV222)</f>
        <v>-2919</v>
      </c>
      <c r="DM222" s="939">
        <f>+SUM(BW222:BZ222)</f>
        <v>0</v>
      </c>
      <c r="DN222" s="939">
        <f>+SUM(CA222:CD222)</f>
        <v>0</v>
      </c>
      <c r="DO222" s="939">
        <f>+SUM(CE222:CH222)</f>
        <v>0</v>
      </c>
      <c r="DP222" s="939">
        <f>+SUM(CI222:CL222)</f>
        <v>0</v>
      </c>
      <c r="DQ222" s="939">
        <f>+SUM(CM222:CP222)</f>
        <v>0</v>
      </c>
      <c r="DR222" s="813">
        <v>0</v>
      </c>
      <c r="DS222" s="813">
        <v>0</v>
      </c>
      <c r="DT222" s="813">
        <v>0</v>
      </c>
      <c r="DU222" s="813">
        <v>0</v>
      </c>
      <c r="DX222" s="813">
        <v>0</v>
      </c>
      <c r="DY222" s="813">
        <v>0</v>
      </c>
    </row>
    <row r="223" spans="1:129" s="904" customFormat="1">
      <c r="A223" s="939"/>
      <c r="B223" s="949" t="s">
        <v>206</v>
      </c>
      <c r="C223" s="592"/>
      <c r="D223" s="592"/>
      <c r="E223" s="592"/>
      <c r="F223" s="592"/>
      <c r="G223" s="592"/>
      <c r="H223" s="592"/>
      <c r="I223" s="592"/>
      <c r="J223" s="592"/>
      <c r="K223" s="592"/>
      <c r="L223" s="592"/>
      <c r="M223" s="592"/>
      <c r="N223" s="592"/>
      <c r="O223" s="592"/>
      <c r="P223" s="592"/>
      <c r="Q223" s="592"/>
      <c r="R223" s="592"/>
      <c r="S223" s="592"/>
      <c r="T223" s="592"/>
      <c r="U223" s="592"/>
      <c r="V223" s="592"/>
      <c r="W223" s="592"/>
      <c r="X223" s="592"/>
      <c r="Y223" s="592"/>
      <c r="Z223" s="592"/>
      <c r="AA223" s="592"/>
      <c r="AB223" s="592"/>
      <c r="AC223" s="592"/>
      <c r="AD223" s="592"/>
      <c r="AE223" s="592"/>
      <c r="AF223" s="592"/>
      <c r="AG223" s="592"/>
      <c r="AH223" s="592"/>
      <c r="AI223" s="592"/>
      <c r="AJ223" s="592"/>
      <c r="AK223" s="592"/>
      <c r="AL223" s="592"/>
      <c r="AM223" s="592"/>
      <c r="AN223" s="592"/>
      <c r="AO223" s="592"/>
      <c r="AP223" s="592"/>
      <c r="AQ223" s="592"/>
      <c r="AR223" s="592"/>
      <c r="AS223" s="592"/>
      <c r="AT223" s="592"/>
      <c r="AU223" s="592"/>
      <c r="AV223" s="592"/>
      <c r="AW223" s="592"/>
      <c r="AX223" s="592"/>
      <c r="AY223" s="592"/>
      <c r="AZ223" s="592"/>
      <c r="BA223" s="592"/>
      <c r="BB223" s="592"/>
      <c r="BC223" s="592"/>
      <c r="BD223" s="592"/>
      <c r="BE223" s="592"/>
      <c r="BF223" s="592"/>
      <c r="BG223" s="592"/>
      <c r="BH223" s="592"/>
      <c r="BI223" s="592"/>
      <c r="BJ223" s="592"/>
      <c r="BK223" s="952">
        <f>-1134+18</f>
        <v>-1116</v>
      </c>
      <c r="BL223" s="952">
        <f>-782+18</f>
        <v>-764</v>
      </c>
      <c r="BM223" s="952">
        <f>-576+18+4319</f>
        <v>3761</v>
      </c>
      <c r="BN223" s="952">
        <f>96+4380-3920-BM223-BL223-BK223</f>
        <v>-1325</v>
      </c>
      <c r="BO223" s="952">
        <f>18-1915</f>
        <v>-1897</v>
      </c>
      <c r="BP223" s="952">
        <f>194623+18+129</f>
        <v>194770</v>
      </c>
      <c r="BQ223" s="952">
        <v>106</v>
      </c>
      <c r="BR223" s="952">
        <f>198280+54-341+7623-BQ223-BP223-BO223</f>
        <v>12637</v>
      </c>
      <c r="BS223" s="952">
        <f>389+12</f>
        <v>401</v>
      </c>
      <c r="BT223" s="952">
        <f>4121+18</f>
        <v>4139</v>
      </c>
      <c r="BU223" s="952">
        <f>3008+22+11073</f>
        <v>14103</v>
      </c>
      <c r="BV223" s="952">
        <f>15404+94+11073-1688-BU223-BT223-BS223</f>
        <v>6240</v>
      </c>
      <c r="BW223" s="952">
        <f>3691+12</f>
        <v>3703</v>
      </c>
      <c r="BX223" s="952">
        <f>520+17-826</f>
        <v>-289</v>
      </c>
      <c r="BY223" s="952">
        <f>4428+12</f>
        <v>4440</v>
      </c>
      <c r="BZ223" s="952">
        <f>14236+83-1821-BY223-BX223-BW223</f>
        <v>4644</v>
      </c>
      <c r="CA223" s="952">
        <f>-3832+12</f>
        <v>-3820</v>
      </c>
      <c r="CB223" s="952">
        <f>-680+12</f>
        <v>-668</v>
      </c>
      <c r="CC223" s="952">
        <f>-2128+12</f>
        <v>-2116</v>
      </c>
      <c r="CD223" s="952">
        <f>-14920+72+39853-CC223-CB223-CA223</f>
        <v>31609</v>
      </c>
      <c r="CE223" s="952">
        <f>4247+6+13116</f>
        <v>17369</v>
      </c>
      <c r="CF223" s="952">
        <f>-4621+12-12068+17225</f>
        <v>548</v>
      </c>
      <c r="CG223" s="952">
        <f>8677-5089+12</f>
        <v>3600</v>
      </c>
      <c r="CH223" s="952">
        <f>-12068+29154+41627+48-3114-CG223-CF223-CE223</f>
        <v>34130</v>
      </c>
      <c r="CI223" s="952">
        <f>54+6</f>
        <v>60</v>
      </c>
      <c r="CJ223" s="952">
        <f>1863+30+22606+11328+4-CK223-CI223</f>
        <v>3871</v>
      </c>
      <c r="CK223" s="952">
        <f>617+12+8665+22606</f>
        <v>31900</v>
      </c>
      <c r="CL223" s="813">
        <v>0</v>
      </c>
      <c r="CM223" s="813">
        <v>0</v>
      </c>
      <c r="CN223" s="813">
        <v>0</v>
      </c>
      <c r="CO223" s="813">
        <v>0</v>
      </c>
      <c r="CP223" s="813">
        <v>0</v>
      </c>
      <c r="CQ223" s="813"/>
      <c r="CR223" s="592">
        <v>0</v>
      </c>
      <c r="CT223" s="592"/>
      <c r="CU223" s="592"/>
      <c r="CV223" s="592"/>
      <c r="CW223" s="592"/>
      <c r="CX223" s="903"/>
      <c r="CY223" s="954"/>
      <c r="CZ223" s="954"/>
      <c r="DA223" s="954"/>
      <c r="DB223" s="954"/>
      <c r="DC223" s="592"/>
      <c r="DD223" s="954"/>
      <c r="DE223" s="939"/>
      <c r="DF223" s="939"/>
      <c r="DG223" s="939"/>
      <c r="DH223" s="939"/>
      <c r="DI223" s="939"/>
      <c r="DJ223" s="939">
        <f>+SUM(BK223:BN223)</f>
        <v>556</v>
      </c>
      <c r="DK223" s="939">
        <f>+SUM(BO223:BR223)</f>
        <v>205616</v>
      </c>
      <c r="DL223" s="939">
        <f>+SUM(BS223:BV223)</f>
        <v>24883</v>
      </c>
      <c r="DM223" s="939">
        <f>+SUM(BW223:BZ223)</f>
        <v>12498</v>
      </c>
      <c r="DN223" s="939">
        <f>+SUM(CA223:CD223)</f>
        <v>25005</v>
      </c>
      <c r="DO223" s="939">
        <f>+SUM(CE223:CH223)</f>
        <v>55647</v>
      </c>
      <c r="DP223" s="939">
        <f>+SUM(CI223:CL223)</f>
        <v>35831</v>
      </c>
      <c r="DQ223" s="939">
        <f>+SUM(CM223:CP223)</f>
        <v>0</v>
      </c>
      <c r="DR223" s="813">
        <v>0</v>
      </c>
      <c r="DS223" s="813">
        <v>0</v>
      </c>
      <c r="DT223" s="813">
        <v>0</v>
      </c>
      <c r="DU223" s="813">
        <v>0</v>
      </c>
      <c r="DX223" s="813">
        <v>0</v>
      </c>
      <c r="DY223" s="813">
        <v>0</v>
      </c>
    </row>
    <row r="224" spans="1:129" s="904" customFormat="1">
      <c r="A224" s="939"/>
      <c r="B224" s="949"/>
      <c r="C224" s="592"/>
      <c r="D224" s="592"/>
      <c r="E224" s="592"/>
      <c r="F224" s="592"/>
      <c r="G224" s="592"/>
      <c r="H224" s="592"/>
      <c r="I224" s="592"/>
      <c r="J224" s="592"/>
      <c r="K224" s="592"/>
      <c r="L224" s="592"/>
      <c r="M224" s="592"/>
      <c r="N224" s="592"/>
      <c r="O224" s="592"/>
      <c r="P224" s="592"/>
      <c r="Q224" s="592"/>
      <c r="R224" s="592"/>
      <c r="S224" s="592"/>
      <c r="T224" s="592"/>
      <c r="U224" s="592"/>
      <c r="V224" s="592"/>
      <c r="W224" s="592"/>
      <c r="X224" s="592"/>
      <c r="Y224" s="592"/>
      <c r="Z224" s="592"/>
      <c r="AA224" s="592"/>
      <c r="AB224" s="592"/>
      <c r="AC224" s="592"/>
      <c r="AD224" s="592"/>
      <c r="AE224" s="592"/>
      <c r="AF224" s="592"/>
      <c r="AG224" s="592"/>
      <c r="AH224" s="592"/>
      <c r="AI224" s="592"/>
      <c r="AJ224" s="592"/>
      <c r="AK224" s="592"/>
      <c r="AL224" s="592"/>
      <c r="AM224" s="592"/>
      <c r="AN224" s="592"/>
      <c r="AO224" s="592"/>
      <c r="AP224" s="592"/>
      <c r="AQ224" s="592"/>
      <c r="AR224" s="592"/>
      <c r="AS224" s="592"/>
      <c r="AT224" s="592"/>
      <c r="AU224" s="592"/>
      <c r="AV224" s="592"/>
      <c r="AW224" s="592"/>
      <c r="AX224" s="592"/>
      <c r="AY224" s="592"/>
      <c r="AZ224" s="592"/>
      <c r="BA224" s="592"/>
      <c r="BB224" s="592"/>
      <c r="BC224" s="592"/>
      <c r="BD224" s="592"/>
      <c r="BE224" s="592"/>
      <c r="BF224" s="592"/>
      <c r="BG224" s="592"/>
      <c r="BH224" s="592"/>
      <c r="BI224" s="592"/>
      <c r="BJ224" s="592"/>
      <c r="BK224" s="592"/>
      <c r="BL224" s="592"/>
      <c r="BM224" s="592"/>
      <c r="BN224" s="592"/>
      <c r="BO224" s="592"/>
      <c r="BP224" s="592"/>
      <c r="BQ224" s="592"/>
      <c r="BR224" s="592"/>
      <c r="BS224" s="592"/>
      <c r="BT224" s="592"/>
      <c r="BU224" s="592"/>
      <c r="BV224" s="592"/>
      <c r="BW224" s="592"/>
      <c r="BX224" s="592"/>
      <c r="BY224" s="592"/>
      <c r="BZ224" s="592"/>
      <c r="CA224" s="592"/>
      <c r="CB224" s="592"/>
      <c r="CC224" s="592"/>
      <c r="CD224" s="592"/>
      <c r="CE224" s="592"/>
      <c r="CF224" s="592"/>
      <c r="CG224" s="592"/>
      <c r="CH224" s="592"/>
      <c r="CI224" s="592"/>
      <c r="CJ224" s="592"/>
      <c r="CK224" s="592"/>
      <c r="CL224" s="813"/>
      <c r="CM224" s="813"/>
      <c r="CN224" s="813"/>
      <c r="CO224" s="813"/>
      <c r="CP224" s="813"/>
      <c r="CQ224" s="813"/>
      <c r="CR224" s="592"/>
      <c r="CT224" s="592"/>
      <c r="CU224" s="592"/>
      <c r="CV224" s="592"/>
      <c r="CW224" s="592"/>
      <c r="CX224" s="903"/>
      <c r="CY224" s="954"/>
      <c r="CZ224" s="954"/>
      <c r="DA224" s="954"/>
      <c r="DB224" s="954"/>
      <c r="DC224" s="592"/>
      <c r="DD224" s="954"/>
      <c r="DE224" s="954"/>
      <c r="DF224" s="954"/>
      <c r="DG224" s="954"/>
      <c r="DH224" s="954"/>
      <c r="DI224" s="954"/>
      <c r="DJ224" s="954"/>
      <c r="DK224" s="954"/>
      <c r="DL224" s="954"/>
      <c r="DM224" s="954"/>
      <c r="DN224" s="954"/>
      <c r="DO224" s="954"/>
      <c r="DP224" s="954"/>
      <c r="DQ224" s="954"/>
      <c r="DR224" s="813"/>
      <c r="DS224" s="813"/>
      <c r="DT224" s="813"/>
      <c r="DU224" s="813"/>
      <c r="DX224" s="813"/>
      <c r="DY224" s="813"/>
    </row>
    <row r="225" spans="1:129" s="590" customFormat="1">
      <c r="A225" s="943"/>
      <c r="B225" s="944" t="s">
        <v>502</v>
      </c>
      <c r="C225" s="589"/>
      <c r="D225" s="589"/>
      <c r="E225" s="589"/>
      <c r="F225" s="589"/>
      <c r="G225" s="589"/>
      <c r="H225" s="589"/>
      <c r="I225" s="589"/>
      <c r="J225" s="589"/>
      <c r="K225" s="589"/>
      <c r="L225" s="589"/>
      <c r="M225" s="589"/>
      <c r="N225" s="589"/>
      <c r="O225" s="589"/>
      <c r="P225" s="589"/>
      <c r="Q225" s="589"/>
      <c r="R225" s="589"/>
      <c r="S225" s="589"/>
      <c r="T225" s="589"/>
      <c r="U225" s="589"/>
      <c r="V225" s="589"/>
      <c r="W225" s="589"/>
      <c r="X225" s="589"/>
      <c r="Y225" s="589"/>
      <c r="Z225" s="589"/>
      <c r="AA225" s="589"/>
      <c r="AB225" s="589"/>
      <c r="AC225" s="589"/>
      <c r="AD225" s="589"/>
      <c r="AE225" s="589"/>
      <c r="AF225" s="589"/>
      <c r="AG225" s="589"/>
      <c r="AH225" s="589"/>
      <c r="AI225" s="589"/>
      <c r="AJ225" s="589"/>
      <c r="AK225" s="589"/>
      <c r="AL225" s="589"/>
      <c r="AM225" s="589"/>
      <c r="AN225" s="589"/>
      <c r="AO225" s="589"/>
      <c r="AP225" s="589"/>
      <c r="AQ225" s="589"/>
      <c r="AR225" s="589"/>
      <c r="AS225" s="589"/>
      <c r="AT225" s="589"/>
      <c r="AU225" s="589"/>
      <c r="AV225" s="589"/>
      <c r="AW225" s="589"/>
      <c r="AX225" s="589"/>
      <c r="AY225" s="589"/>
      <c r="AZ225" s="589"/>
      <c r="BA225" s="589"/>
      <c r="BB225" s="589"/>
      <c r="BC225" s="589"/>
      <c r="BD225" s="589"/>
      <c r="BE225" s="589"/>
      <c r="BF225" s="589"/>
      <c r="BG225" s="589"/>
      <c r="BH225" s="589"/>
      <c r="BI225" s="589"/>
      <c r="BJ225" s="589"/>
      <c r="BK225" s="589">
        <f t="shared" ref="BK225:BX225" si="2223">+BK208+BK210+BK212+BK213+BK216+BK219+BK220+BK221+BK222+BK223+BK214</f>
        <v>-46593.700000000012</v>
      </c>
      <c r="BL225" s="589">
        <f t="shared" si="2223"/>
        <v>-89260.22</v>
      </c>
      <c r="BM225" s="589">
        <f t="shared" si="2223"/>
        <v>-63071.72</v>
      </c>
      <c r="BN225" s="589">
        <f t="shared" si="2223"/>
        <v>-205615.92</v>
      </c>
      <c r="BO225" s="589">
        <f t="shared" si="2223"/>
        <v>24862.880000000001</v>
      </c>
      <c r="BP225" s="589">
        <f t="shared" si="2223"/>
        <v>-95809.740000000049</v>
      </c>
      <c r="BQ225" s="589">
        <f t="shared" si="2223"/>
        <v>101125.66</v>
      </c>
      <c r="BR225" s="589">
        <f t="shared" si="2223"/>
        <v>-134660.34000000003</v>
      </c>
      <c r="BS225" s="589">
        <f t="shared" si="2223"/>
        <v>103875.86</v>
      </c>
      <c r="BT225" s="589">
        <f t="shared" si="2223"/>
        <v>-16270.960000000006</v>
      </c>
      <c r="BU225" s="589">
        <f t="shared" si="2223"/>
        <v>-17424.915419800789</v>
      </c>
      <c r="BV225" s="589">
        <f t="shared" si="2223"/>
        <v>-77018.636606999731</v>
      </c>
      <c r="BW225" s="589">
        <f t="shared" si="2223"/>
        <v>30802.819999999992</v>
      </c>
      <c r="BX225" s="589">
        <f t="shared" si="2223"/>
        <v>-70777.440000000002</v>
      </c>
      <c r="BY225" s="589">
        <f>+BY208+BY210+BY212+BY213+BY216+BY219+BY220+BY221+BY222+BY223+BY214</f>
        <v>56996.899999999994</v>
      </c>
      <c r="BZ225" s="589">
        <f t="shared" ref="BZ225:CF225" si="2224">+BZ208+BZ210+BZ212+BZ213+BZ216+BZ219+BZ220+BZ221+BZ222+BZ223+BZ214</f>
        <v>-109602.84000000003</v>
      </c>
      <c r="CA225" s="589">
        <f t="shared" si="2224"/>
        <v>88461.3</v>
      </c>
      <c r="CB225" s="589">
        <f t="shared" si="2224"/>
        <v>34005.87999999999</v>
      </c>
      <c r="CC225" s="589">
        <f t="shared" si="2224"/>
        <v>96526.16</v>
      </c>
      <c r="CD225" s="589">
        <f t="shared" si="2224"/>
        <v>-83401.120000000024</v>
      </c>
      <c r="CE225" s="589">
        <f t="shared" ref="CE225" si="2225">+CE208+CE210+CE212+CE213+CE216+CE219+CE220+CE221+CE222+CE223+CE214</f>
        <v>27413.759999999995</v>
      </c>
      <c r="CF225" s="589">
        <f t="shared" si="2224"/>
        <v>-69317.679999999993</v>
      </c>
      <c r="CG225" s="589">
        <f t="shared" ref="CG225:CH225" si="2226">+CG208+CG210+CG212+CG213+CG216+CG219+CG220+CG221+CG222+CG223+CG214</f>
        <v>-24334</v>
      </c>
      <c r="CH225" s="589">
        <f t="shared" si="2226"/>
        <v>-57559.060000000027</v>
      </c>
      <c r="CI225" s="589">
        <f t="shared" ref="CI225" si="2227">+CI208+CI210+CI212+CI213+CI216+CI219+CI220+CI221+CI222+CI223+CI214</f>
        <v>-33489.48000000001</v>
      </c>
      <c r="CJ225" s="589">
        <f t="shared" ref="CJ225:CL225" si="2228">+CJ208+CJ210+CJ212+CJ213+CJ216+CJ219+CJ220+CJ221+CJ222+CJ223+CJ214</f>
        <v>-107554.74000000002</v>
      </c>
      <c r="CK225" s="589">
        <f t="shared" si="2228"/>
        <v>19796.339999999997</v>
      </c>
      <c r="CL225" s="814">
        <f t="shared" si="2228"/>
        <v>-129136.44812287683</v>
      </c>
      <c r="CM225" s="814">
        <f t="shared" ref="CM225:CP225" si="2229">+CM208+CM210+CM212+CM213+CM216+CM219+CM220+CM221+CM222+CM223+CM214</f>
        <v>21325.837575435828</v>
      </c>
      <c r="CN225" s="814">
        <f t="shared" si="2229"/>
        <v>-81525.157503992479</v>
      </c>
      <c r="CO225" s="814">
        <f t="shared" si="2229"/>
        <v>-13923.975112680389</v>
      </c>
      <c r="CP225" s="814">
        <f t="shared" si="2229"/>
        <v>-157509.30464417601</v>
      </c>
      <c r="CQ225" s="814"/>
      <c r="CR225" s="589">
        <v>-129136.44812287683</v>
      </c>
      <c r="CT225" s="589"/>
      <c r="CU225" s="589"/>
      <c r="CV225" s="589"/>
      <c r="CW225" s="589"/>
      <c r="CX225" s="819"/>
      <c r="CY225" s="1001"/>
      <c r="CZ225" s="1001"/>
      <c r="DA225" s="1001"/>
      <c r="DB225" s="1001"/>
      <c r="DC225" s="589"/>
      <c r="DD225" s="1001"/>
      <c r="DE225" s="589">
        <f t="shared" ref="DE225:DN225" si="2230">+DE208+DE210+DE212+DE213+DE216+DE219+DE220+DE221+DE222+DE223+DE214</f>
        <v>-304982.6482600001</v>
      </c>
      <c r="DF225" s="589">
        <f t="shared" si="2230"/>
        <v>-281746.85601040011</v>
      </c>
      <c r="DG225" s="589">
        <f t="shared" si="2230"/>
        <v>-296609.54000000004</v>
      </c>
      <c r="DH225" s="589">
        <f t="shared" si="2230"/>
        <v>-341406.92000000004</v>
      </c>
      <c r="DI225" s="589">
        <f t="shared" si="2230"/>
        <v>-465865.84011939995</v>
      </c>
      <c r="DJ225" s="589">
        <f t="shared" si="2230"/>
        <v>-404541.56000000006</v>
      </c>
      <c r="DK225" s="589">
        <f t="shared" si="2230"/>
        <v>-104481.54000000004</v>
      </c>
      <c r="DL225" s="589">
        <f t="shared" si="2230"/>
        <v>-6838.6520268006716</v>
      </c>
      <c r="DM225" s="589">
        <f t="shared" si="2230"/>
        <v>-92580.560000000056</v>
      </c>
      <c r="DN225" s="589">
        <f t="shared" si="2230"/>
        <v>135592.21999999997</v>
      </c>
      <c r="DO225" s="589">
        <f>+DO208+DO210+DO212+DO213+DO216+DO219+DO220+DO221+DO222+DO223+DO214</f>
        <v>-123796.98000000004</v>
      </c>
      <c r="DP225" s="589">
        <f>+DP208+DP210+DP212+DP213+DP216+DP219+DP220+DP221+DP222+DP223+DP214</f>
        <v>-250384.32812287711</v>
      </c>
      <c r="DQ225" s="589">
        <f>+DQ208+DQ210+DQ212+DQ213+DQ216+DQ219+DQ220+DQ221+DQ222+DQ223+DQ214</f>
        <v>-231632.59968541353</v>
      </c>
      <c r="DR225" s="814">
        <f t="shared" ref="DR225:DU225" si="2231">+DR208+DR210+DR212+DR213+DR216+DR219+DR220+DR221+DR222+DR223+DR214</f>
        <v>-452941.69117659039</v>
      </c>
      <c r="DS225" s="814">
        <f t="shared" si="2231"/>
        <v>-551932.81385679112</v>
      </c>
      <c r="DT225" s="814">
        <f t="shared" si="2231"/>
        <v>-626902.86797785026</v>
      </c>
      <c r="DU225" s="814">
        <f t="shared" si="2231"/>
        <v>-698593.57212518039</v>
      </c>
      <c r="DX225" s="814">
        <v>-331990.9533511044</v>
      </c>
      <c r="DY225" s="814">
        <v>-506162.96188666421</v>
      </c>
    </row>
    <row r="226" spans="1:129" s="904" customFormat="1">
      <c r="A226" s="939"/>
      <c r="B226" s="949" t="s">
        <v>503</v>
      </c>
      <c r="C226" s="592"/>
      <c r="D226" s="592"/>
      <c r="E226" s="592"/>
      <c r="F226" s="592"/>
      <c r="G226" s="592"/>
      <c r="H226" s="592"/>
      <c r="I226" s="592"/>
      <c r="J226" s="592"/>
      <c r="K226" s="592"/>
      <c r="L226" s="592"/>
      <c r="M226" s="592"/>
      <c r="N226" s="592"/>
      <c r="O226" s="592"/>
      <c r="P226" s="592"/>
      <c r="Q226" s="592"/>
      <c r="R226" s="592"/>
      <c r="S226" s="592"/>
      <c r="T226" s="592"/>
      <c r="U226" s="592"/>
      <c r="V226" s="592"/>
      <c r="W226" s="592"/>
      <c r="X226" s="592"/>
      <c r="Y226" s="592"/>
      <c r="Z226" s="592"/>
      <c r="AA226" s="592"/>
      <c r="AB226" s="592"/>
      <c r="AC226" s="592"/>
      <c r="AD226" s="592"/>
      <c r="AE226" s="592"/>
      <c r="AF226" s="592"/>
      <c r="AG226" s="592"/>
      <c r="AH226" s="592"/>
      <c r="AI226" s="592"/>
      <c r="AJ226" s="592"/>
      <c r="AK226" s="592"/>
      <c r="AL226" s="592"/>
      <c r="AM226" s="592"/>
      <c r="AN226" s="592"/>
      <c r="AO226" s="592"/>
      <c r="AP226" s="592"/>
      <c r="AQ226" s="592"/>
      <c r="AR226" s="592"/>
      <c r="AS226" s="592"/>
      <c r="AT226" s="592"/>
      <c r="AU226" s="592"/>
      <c r="AV226" s="592"/>
      <c r="AW226" s="592"/>
      <c r="AX226" s="592"/>
      <c r="AY226" s="592"/>
      <c r="AZ226" s="592"/>
      <c r="BA226" s="592"/>
      <c r="BB226" s="592"/>
      <c r="BC226" s="592"/>
      <c r="BD226" s="592"/>
      <c r="BE226" s="592"/>
      <c r="BF226" s="592"/>
      <c r="BG226" s="592"/>
      <c r="BH226" s="592"/>
      <c r="BI226" s="592"/>
      <c r="BJ226" s="592"/>
      <c r="BK226" s="1566">
        <f t="shared" ref="BK226:CF226" si="2232">+BK225/BK207</f>
        <v>-0.2298029641685779</v>
      </c>
      <c r="BL226" s="1566">
        <f t="shared" si="2232"/>
        <v>-0.27869171951055788</v>
      </c>
      <c r="BM226" s="1566">
        <f t="shared" si="2232"/>
        <v>-0.25288571336925841</v>
      </c>
      <c r="BN226" s="1566">
        <f t="shared" si="2232"/>
        <v>-0.28576102999424635</v>
      </c>
      <c r="BO226" s="1566">
        <f t="shared" si="2232"/>
        <v>-1.426278109224415</v>
      </c>
      <c r="BP226" s="1566">
        <f t="shared" si="2232"/>
        <v>-0.10484060486222746</v>
      </c>
      <c r="BQ226" s="1566">
        <f t="shared" si="2232"/>
        <v>-0.54959896521176743</v>
      </c>
      <c r="BR226" s="1566">
        <f t="shared" si="2232"/>
        <v>-0.27577322184472286</v>
      </c>
      <c r="BS226" s="1566">
        <f t="shared" si="2232"/>
        <v>-0.41289559144443694</v>
      </c>
      <c r="BT226" s="1566">
        <f t="shared" si="2232"/>
        <v>-7.7723555487618501E-2</v>
      </c>
      <c r="BU226" s="1566">
        <f t="shared" si="2232"/>
        <v>-9.1917941744035933E-2</v>
      </c>
      <c r="BV226" s="1566">
        <f t="shared" si="2232"/>
        <v>-0.15628629122386919</v>
      </c>
      <c r="BW226" s="1566">
        <f t="shared" si="2232"/>
        <v>0.19152766637442714</v>
      </c>
      <c r="BX226" s="1566">
        <f t="shared" si="2232"/>
        <v>-0.16415357426142135</v>
      </c>
      <c r="BY226" s="1566">
        <f t="shared" si="2232"/>
        <v>0.28375724989420753</v>
      </c>
      <c r="BZ226" s="1566">
        <f t="shared" si="2232"/>
        <v>-0.1853196173316696</v>
      </c>
      <c r="CA226" s="1566">
        <f t="shared" si="2232"/>
        <v>-2.1216284926250149</v>
      </c>
      <c r="CB226" s="1566">
        <f t="shared" si="2232"/>
        <v>0.17370499775244161</v>
      </c>
      <c r="CC226" s="1566">
        <f t="shared" si="2232"/>
        <v>1.2638284277783598</v>
      </c>
      <c r="CD226" s="1566">
        <f t="shared" ref="CD226:CE226" si="2233">+CD225/CD207</f>
        <v>-0.13667430328177801</v>
      </c>
      <c r="CE226" s="1566">
        <f t="shared" si="2233"/>
        <v>0.24512464680424903</v>
      </c>
      <c r="CF226" s="1566">
        <f t="shared" si="2232"/>
        <v>-0.18037293586814535</v>
      </c>
      <c r="CG226" s="1566">
        <f t="shared" ref="CG226:CH226" si="2234">+CG225/CG207</f>
        <v>-8.7031473533619452E-2</v>
      </c>
      <c r="CH226" s="1566">
        <f t="shared" si="2234"/>
        <v>-0.10556278759268536</v>
      </c>
      <c r="CI226" s="1566">
        <f t="shared" ref="CI226" si="2235">+CI225/CI207</f>
        <v>-0.13157793825288192</v>
      </c>
      <c r="CJ226" s="1566">
        <f t="shared" ref="CJ226:CL226" si="2236">+CJ225/CJ207</f>
        <v>-0.21004282692882298</v>
      </c>
      <c r="CK226" s="1566">
        <f t="shared" si="2236"/>
        <v>7.6257381576970623E-2</v>
      </c>
      <c r="CL226" s="1566">
        <f t="shared" si="2236"/>
        <v>-0.2113300061980681</v>
      </c>
      <c r="CM226" s="1566">
        <f t="shared" ref="CM226:CP226" si="2237">+CM225/CM207</f>
        <v>0.13083716886977667</v>
      </c>
      <c r="CN226" s="1566">
        <f t="shared" si="2237"/>
        <v>-0.17920240816571234</v>
      </c>
      <c r="CO226" s="1566">
        <f t="shared" si="2237"/>
        <v>-5.5569833898316663E-2</v>
      </c>
      <c r="CP226" s="1566">
        <f t="shared" si="2237"/>
        <v>-0.22578717695910669</v>
      </c>
      <c r="CQ226" s="813"/>
      <c r="CR226" s="592">
        <v>-0.2113300061980681</v>
      </c>
      <c r="CT226" s="592"/>
      <c r="CU226" s="592"/>
      <c r="CV226" s="592"/>
      <c r="CW226" s="592"/>
      <c r="CX226" s="903"/>
      <c r="CY226" s="954"/>
      <c r="CZ226" s="954"/>
      <c r="DA226" s="954"/>
      <c r="DB226" s="954"/>
      <c r="DC226" s="592"/>
      <c r="DD226" s="954"/>
      <c r="DE226" s="1566">
        <f t="shared" ref="DE226:DU226" si="2238">+DE225/DE207</f>
        <v>-0.34</v>
      </c>
      <c r="DF226" s="1566">
        <f t="shared" si="2238"/>
        <v>-0.34000000000000008</v>
      </c>
      <c r="DG226" s="1566">
        <f t="shared" si="2238"/>
        <v>-0.34</v>
      </c>
      <c r="DH226" s="1566">
        <f t="shared" si="2238"/>
        <v>-0.34</v>
      </c>
      <c r="DI226" s="1566">
        <f t="shared" si="2238"/>
        <v>-0.34</v>
      </c>
      <c r="DJ226" s="1566">
        <f t="shared" si="2238"/>
        <v>-0.27114336346770479</v>
      </c>
      <c r="DK226" s="1566">
        <f t="shared" si="2238"/>
        <v>-8.701494339698071E-2</v>
      </c>
      <c r="DL226" s="1566">
        <f t="shared" si="2238"/>
        <v>-1.0683054319492109E-2</v>
      </c>
      <c r="DM226" s="1566">
        <f t="shared" si="2238"/>
        <v>-6.6879744329920776E-2</v>
      </c>
      <c r="DN226" s="1566">
        <f t="shared" si="2238"/>
        <v>0.1612912366014129</v>
      </c>
      <c r="DO226" s="1566">
        <f t="shared" si="2238"/>
        <v>-9.3714807830752103E-2</v>
      </c>
      <c r="DP226" s="1566">
        <f t="shared" ref="DP226:DQ226" si="2239">+DP225/DP207</f>
        <v>-0.15293005377970731</v>
      </c>
      <c r="DQ226" s="1566">
        <f t="shared" si="2239"/>
        <v>-0.14790441934050805</v>
      </c>
      <c r="DR226" s="1566">
        <f t="shared" si="2238"/>
        <v>-0.20151350158715653</v>
      </c>
      <c r="DS226" s="1566">
        <f t="shared" si="2238"/>
        <v>-0.21130724246225027</v>
      </c>
      <c r="DT226" s="1566">
        <f t="shared" si="2238"/>
        <v>-0.21518022381602581</v>
      </c>
      <c r="DU226" s="1566">
        <f t="shared" si="2238"/>
        <v>-0.21735850464571319</v>
      </c>
      <c r="DX226" s="1566">
        <v>-0.17925312454803685</v>
      </c>
      <c r="DY226" s="1566">
        <v>-0.20797140413591286</v>
      </c>
    </row>
    <row r="227" spans="1:129" s="904" customFormat="1">
      <c r="A227" s="939"/>
      <c r="B227" s="949"/>
      <c r="C227" s="592">
        <f t="shared" ref="C227:AH227" si="2240">+C23-C225</f>
        <v>0</v>
      </c>
      <c r="D227" s="592">
        <f t="shared" si="2240"/>
        <v>897</v>
      </c>
      <c r="E227" s="592">
        <f t="shared" si="2240"/>
        <v>-240</v>
      </c>
      <c r="F227" s="592">
        <f t="shared" si="2240"/>
        <v>2251</v>
      </c>
      <c r="G227" s="592">
        <f t="shared" si="2240"/>
        <v>-1400</v>
      </c>
      <c r="H227" s="592">
        <f t="shared" si="2240"/>
        <v>-16554</v>
      </c>
      <c r="I227" s="592">
        <f t="shared" si="2240"/>
        <v>-237</v>
      </c>
      <c r="J227" s="592">
        <f t="shared" si="2240"/>
        <v>-7598</v>
      </c>
      <c r="K227" s="592">
        <f t="shared" si="2240"/>
        <v>-6871</v>
      </c>
      <c r="L227" s="592">
        <f t="shared" si="2240"/>
        <v>-11335</v>
      </c>
      <c r="M227" s="592">
        <f t="shared" si="2240"/>
        <v>-32</v>
      </c>
      <c r="N227" s="592">
        <f t="shared" si="2240"/>
        <v>-12214</v>
      </c>
      <c r="O227" s="592">
        <f t="shared" si="2240"/>
        <v>-7342</v>
      </c>
      <c r="P227" s="592">
        <f t="shared" si="2240"/>
        <v>-18414</v>
      </c>
      <c r="Q227" s="592">
        <f t="shared" si="2240"/>
        <v>-16454</v>
      </c>
      <c r="R227" s="592">
        <f t="shared" si="2240"/>
        <v>-14845</v>
      </c>
      <c r="S227" s="592">
        <f t="shared" si="2240"/>
        <v>-12117</v>
      </c>
      <c r="T227" s="592">
        <f t="shared" si="2240"/>
        <v>-21387</v>
      </c>
      <c r="U227" s="592">
        <f t="shared" si="2240"/>
        <v>-14213</v>
      </c>
      <c r="V227" s="592">
        <f t="shared" si="2240"/>
        <v>-15033</v>
      </c>
      <c r="W227" s="592">
        <f t="shared" si="2240"/>
        <v>-5568</v>
      </c>
      <c r="X227" s="592">
        <f t="shared" si="2240"/>
        <v>-24650</v>
      </c>
      <c r="Y227" s="592">
        <f t="shared" si="2240"/>
        <v>-15866</v>
      </c>
      <c r="Z227" s="592">
        <f t="shared" si="2240"/>
        <v>-36194</v>
      </c>
      <c r="AA227" s="592">
        <f t="shared" si="2240"/>
        <v>-18660</v>
      </c>
      <c r="AB227" s="592">
        <f t="shared" si="2240"/>
        <v>-45663</v>
      </c>
      <c r="AC227" s="592">
        <f t="shared" si="2240"/>
        <v>-29740</v>
      </c>
      <c r="AD227" s="592">
        <f t="shared" si="2240"/>
        <v>-29680</v>
      </c>
      <c r="AE227" s="592">
        <f t="shared" si="2240"/>
        <v>-17242</v>
      </c>
      <c r="AF227" s="592">
        <f t="shared" si="2240"/>
        <v>-39328</v>
      </c>
      <c r="AG227" s="592">
        <f t="shared" si="2240"/>
        <v>-21601</v>
      </c>
      <c r="AH227" s="592">
        <f t="shared" si="2240"/>
        <v>-60315</v>
      </c>
      <c r="AI227" s="592">
        <f t="shared" ref="AI227:BN227" si="2241">+AI23-AI225</f>
        <v>-9490</v>
      </c>
      <c r="AJ227" s="592">
        <f t="shared" si="2241"/>
        <v>-44485</v>
      </c>
      <c r="AK227" s="592">
        <f t="shared" si="2241"/>
        <v>-26927</v>
      </c>
      <c r="AL227" s="592">
        <f t="shared" si="2241"/>
        <v>-72518</v>
      </c>
      <c r="AM227" s="592">
        <f t="shared" si="2241"/>
        <v>-6841</v>
      </c>
      <c r="AN227" s="592">
        <f t="shared" si="2241"/>
        <v>-39995</v>
      </c>
      <c r="AO227" s="592">
        <f t="shared" si="2241"/>
        <v>-29114</v>
      </c>
      <c r="AP227" s="592">
        <f t="shared" si="2241"/>
        <v>-99360</v>
      </c>
      <c r="AQ227" s="592">
        <f t="shared" si="2241"/>
        <v>-17583</v>
      </c>
      <c r="AR227" s="592">
        <f t="shared" si="2241"/>
        <v>-49639</v>
      </c>
      <c r="AS227" s="592">
        <f t="shared" si="2241"/>
        <v>-36137</v>
      </c>
      <c r="AT227" s="592">
        <f t="shared" si="2241"/>
        <v>-133396</v>
      </c>
      <c r="AU227" s="592">
        <f t="shared" si="2241"/>
        <v>-29399.782200000001</v>
      </c>
      <c r="AV227" s="592">
        <f t="shared" si="2241"/>
        <v>-69920</v>
      </c>
      <c r="AW227" s="592">
        <f t="shared" si="2241"/>
        <v>-33767</v>
      </c>
      <c r="AX227" s="592">
        <f t="shared" si="2241"/>
        <v>-116742</v>
      </c>
      <c r="AY227" s="592">
        <f t="shared" si="2241"/>
        <v>-15948</v>
      </c>
      <c r="AZ227" s="592">
        <f t="shared" si="2241"/>
        <v>-70542</v>
      </c>
      <c r="BA227" s="592">
        <f t="shared" si="2241"/>
        <v>-21752</v>
      </c>
      <c r="BB227" s="592">
        <f t="shared" si="2241"/>
        <v>-139079</v>
      </c>
      <c r="BC227" s="592">
        <f t="shared" si="2241"/>
        <v>-12126</v>
      </c>
      <c r="BD227" s="592">
        <f t="shared" si="2241"/>
        <v>-78682</v>
      </c>
      <c r="BE227" s="592">
        <f t="shared" si="2241"/>
        <v>-44304</v>
      </c>
      <c r="BF227" s="592">
        <f t="shared" si="2241"/>
        <v>-136346</v>
      </c>
      <c r="BG227" s="592">
        <f t="shared" si="2241"/>
        <v>-44732</v>
      </c>
      <c r="BH227" s="592">
        <f t="shared" si="2241"/>
        <v>-63946.505109999998</v>
      </c>
      <c r="BI227" s="592">
        <f t="shared" si="2241"/>
        <v>-46815.47496</v>
      </c>
      <c r="BJ227" s="592">
        <f t="shared" si="2241"/>
        <v>-194563</v>
      </c>
      <c r="BK227" s="592">
        <f t="shared" si="2241"/>
        <v>-182.29999999998836</v>
      </c>
      <c r="BL227" s="592">
        <f t="shared" si="2241"/>
        <v>-286.77999999999884</v>
      </c>
      <c r="BM227" s="592">
        <f t="shared" si="2241"/>
        <v>397.72000000000116</v>
      </c>
      <c r="BN227" s="592">
        <f t="shared" si="2241"/>
        <v>-1168.0799999999872</v>
      </c>
      <c r="BO227" s="592">
        <f t="shared" ref="BO227:CF227" si="2242">+BO23-BO225</f>
        <v>-293.88000000000102</v>
      </c>
      <c r="BP227" s="592">
        <f t="shared" si="2242"/>
        <v>-0.25999999995110556</v>
      </c>
      <c r="BQ227" s="592">
        <f t="shared" si="2242"/>
        <v>0.33999999999650754</v>
      </c>
      <c r="BR227" s="592">
        <f t="shared" si="2242"/>
        <v>283.34000000002561</v>
      </c>
      <c r="BS227" s="592">
        <f t="shared" si="2242"/>
        <v>0.13999999999941792</v>
      </c>
      <c r="BT227" s="592">
        <f t="shared" si="2242"/>
        <v>-3.9999999993597157E-2</v>
      </c>
      <c r="BU227" s="592">
        <f t="shared" si="2242"/>
        <v>97.915419800789095</v>
      </c>
      <c r="BV227" s="592">
        <f t="shared" si="2242"/>
        <v>-0.36339300026884302</v>
      </c>
      <c r="BW227" s="592">
        <f t="shared" si="2242"/>
        <v>0.180000000007567</v>
      </c>
      <c r="BX227" s="592">
        <f t="shared" si="2242"/>
        <v>-0.55999999999767169</v>
      </c>
      <c r="BY227" s="592">
        <f t="shared" si="2242"/>
        <v>0.10000000000582077</v>
      </c>
      <c r="BZ227" s="592">
        <f t="shared" si="2242"/>
        <v>-0.15999999997438863</v>
      </c>
      <c r="CA227" s="592">
        <f t="shared" si="2242"/>
        <v>-0.30000000000291038</v>
      </c>
      <c r="CB227" s="592">
        <f t="shared" si="2242"/>
        <v>-73.879999999990105</v>
      </c>
      <c r="CC227" s="592">
        <f t="shared" si="2242"/>
        <v>-0.16000000000349246</v>
      </c>
      <c r="CD227" s="592">
        <f t="shared" si="2242"/>
        <v>74.120000000024447</v>
      </c>
      <c r="CE227" s="592">
        <f t="shared" ref="CE227" si="2243">+CE23-CE225</f>
        <v>0.24000000000523869</v>
      </c>
      <c r="CF227" s="592">
        <f t="shared" si="2242"/>
        <v>-0.32000000000698492</v>
      </c>
      <c r="CG227" s="592">
        <f t="shared" ref="CG227:CH227" si="2244">+CG23-CG225</f>
        <v>0</v>
      </c>
      <c r="CH227" s="592">
        <f t="shared" si="2244"/>
        <v>-531.93999999997322</v>
      </c>
      <c r="CI227" s="592">
        <f t="shared" ref="CI227" si="2245">+CI23-CI225</f>
        <v>0.48000000001047738</v>
      </c>
      <c r="CJ227" s="592">
        <f t="shared" ref="CJ227:CL227" si="2246">+CJ23-CJ225</f>
        <v>-45.259999999980209</v>
      </c>
      <c r="CK227" s="592">
        <f t="shared" si="2246"/>
        <v>-0.33999999999650754</v>
      </c>
      <c r="CL227" s="592">
        <f t="shared" si="2246"/>
        <v>0</v>
      </c>
      <c r="CM227" s="592">
        <f t="shared" ref="CM227:CP227" si="2247">+CM23-CM225</f>
        <v>0</v>
      </c>
      <c r="CN227" s="592">
        <f t="shared" si="2247"/>
        <v>0</v>
      </c>
      <c r="CO227" s="592">
        <f t="shared" si="2247"/>
        <v>0</v>
      </c>
      <c r="CP227" s="592">
        <f t="shared" si="2247"/>
        <v>0</v>
      </c>
      <c r="CQ227" s="813"/>
      <c r="CR227" s="592">
        <v>0</v>
      </c>
      <c r="CT227" s="592"/>
      <c r="CU227" s="592"/>
      <c r="CV227" s="592"/>
      <c r="CW227" s="592"/>
      <c r="CX227" s="903"/>
      <c r="CY227" s="954"/>
      <c r="CZ227" s="954"/>
      <c r="DA227" s="954"/>
      <c r="DB227" s="954"/>
      <c r="DC227" s="592"/>
      <c r="DD227" s="954"/>
      <c r="DE227" s="592">
        <f t="shared" ref="DE227:DU227" si="2248">+DE23-DE225</f>
        <v>68227.648260000104</v>
      </c>
      <c r="DF227" s="592">
        <f t="shared" si="2248"/>
        <v>31918.073810400092</v>
      </c>
      <c r="DG227" s="592">
        <f t="shared" si="2248"/>
        <v>49288.540000000037</v>
      </c>
      <c r="DH227" s="592">
        <f t="shared" si="2248"/>
        <v>69948.920000000042</v>
      </c>
      <c r="DI227" s="592">
        <f t="shared" si="2248"/>
        <v>115808.86004939995</v>
      </c>
      <c r="DJ227" s="592">
        <f t="shared" si="2248"/>
        <v>-1239.4399999999441</v>
      </c>
      <c r="DK227" s="592">
        <f t="shared" si="2248"/>
        <v>-10.459999999962747</v>
      </c>
      <c r="DL227" s="592">
        <f t="shared" si="2248"/>
        <v>97.652026800671592</v>
      </c>
      <c r="DM227" s="592">
        <f t="shared" si="2248"/>
        <v>-0.43999999994412065</v>
      </c>
      <c r="DN227" s="592">
        <f t="shared" si="2248"/>
        <v>-0.21999999997206032</v>
      </c>
      <c r="DO227" s="592">
        <f t="shared" si="2248"/>
        <v>-532.01999999996042</v>
      </c>
      <c r="DP227" s="592">
        <f t="shared" ref="DP227:DQ227" si="2249">+DP23-DP225</f>
        <v>-45.119999999704305</v>
      </c>
      <c r="DQ227" s="592">
        <f t="shared" si="2249"/>
        <v>4.6566128730773926E-10</v>
      </c>
      <c r="DR227" s="592">
        <f t="shared" si="2248"/>
        <v>0</v>
      </c>
      <c r="DS227" s="592">
        <f t="shared" si="2248"/>
        <v>0</v>
      </c>
      <c r="DT227" s="592">
        <f t="shared" si="2248"/>
        <v>0</v>
      </c>
      <c r="DU227" s="592">
        <f t="shared" si="2248"/>
        <v>0</v>
      </c>
      <c r="DX227" s="592">
        <v>0</v>
      </c>
      <c r="DY227" s="592">
        <v>0</v>
      </c>
    </row>
    <row r="228" spans="1:129" s="904" customFormat="1">
      <c r="A228" s="939"/>
      <c r="B228" s="949"/>
      <c r="C228" s="592"/>
      <c r="D228" s="592"/>
      <c r="E228" s="592"/>
      <c r="F228" s="592"/>
      <c r="G228" s="592"/>
      <c r="H228" s="592"/>
      <c r="I228" s="592"/>
      <c r="J228" s="592"/>
      <c r="K228" s="592"/>
      <c r="L228" s="592"/>
      <c r="M228" s="592"/>
      <c r="N228" s="592"/>
      <c r="O228" s="592"/>
      <c r="P228" s="592"/>
      <c r="Q228" s="592"/>
      <c r="R228" s="592"/>
      <c r="S228" s="592"/>
      <c r="T228" s="592"/>
      <c r="U228" s="592"/>
      <c r="V228" s="592"/>
      <c r="W228" s="592"/>
      <c r="X228" s="592"/>
      <c r="Y228" s="592"/>
      <c r="Z228" s="592"/>
      <c r="AA228" s="592"/>
      <c r="AB228" s="592"/>
      <c r="AC228" s="592"/>
      <c r="AD228" s="592"/>
      <c r="AE228" s="592"/>
      <c r="AF228" s="592"/>
      <c r="AG228" s="592"/>
      <c r="AH228" s="592"/>
      <c r="AI228" s="592"/>
      <c r="AJ228" s="592"/>
      <c r="AK228" s="592"/>
      <c r="AL228" s="592"/>
      <c r="AM228" s="592"/>
      <c r="AN228" s="592"/>
      <c r="AO228" s="592"/>
      <c r="AP228" s="592"/>
      <c r="AQ228" s="592"/>
      <c r="AR228" s="592"/>
      <c r="AS228" s="592"/>
      <c r="AT228" s="592"/>
      <c r="AU228" s="592"/>
      <c r="AV228" s="592"/>
      <c r="AW228" s="592"/>
      <c r="AX228" s="592"/>
      <c r="AY228" s="592"/>
      <c r="AZ228" s="592"/>
      <c r="BA228" s="592"/>
      <c r="BB228" s="592"/>
      <c r="BC228" s="592"/>
      <c r="BD228" s="592"/>
      <c r="BE228" s="592"/>
      <c r="BF228" s="592"/>
      <c r="BG228" s="592"/>
      <c r="BH228" s="592"/>
      <c r="BI228" s="592"/>
      <c r="BJ228" s="592"/>
      <c r="BK228" s="592"/>
      <c r="BL228" s="592"/>
      <c r="BM228" s="592"/>
      <c r="BN228" s="592"/>
      <c r="BO228" s="592"/>
      <c r="BP228" s="592"/>
      <c r="BQ228" s="592"/>
      <c r="BR228" s="592"/>
      <c r="BS228" s="592"/>
      <c r="BT228" s="592"/>
      <c r="BU228" s="592"/>
      <c r="BV228" s="592"/>
      <c r="BW228" s="592"/>
      <c r="BX228" s="592"/>
      <c r="BY228" s="592"/>
      <c r="BZ228" s="813"/>
      <c r="CA228" s="813"/>
      <c r="CB228" s="813"/>
      <c r="CC228" s="813"/>
      <c r="CD228" s="813"/>
      <c r="CE228" s="813"/>
      <c r="CF228" s="813"/>
      <c r="CG228" s="813"/>
      <c r="CH228" s="813"/>
      <c r="CI228" s="813"/>
      <c r="CJ228" s="813"/>
      <c r="CK228" s="813"/>
      <c r="CL228" s="813"/>
      <c r="CM228" s="813"/>
      <c r="CN228" s="813"/>
      <c r="CO228" s="813"/>
      <c r="CP228" s="813"/>
      <c r="CQ228" s="813"/>
      <c r="CR228" s="592"/>
      <c r="CT228" s="592"/>
      <c r="CU228" s="592"/>
      <c r="CV228" s="592"/>
      <c r="CW228" s="592"/>
      <c r="CX228" s="903"/>
      <c r="CY228" s="954"/>
      <c r="CZ228" s="954"/>
      <c r="DA228" s="954"/>
      <c r="DB228" s="954"/>
      <c r="DC228" s="592"/>
      <c r="DD228" s="954"/>
      <c r="DE228" s="954"/>
      <c r="DF228" s="954"/>
      <c r="DG228" s="954"/>
      <c r="DH228" s="954"/>
      <c r="DI228" s="954"/>
      <c r="DJ228" s="954"/>
      <c r="DK228" s="954"/>
      <c r="DL228" s="954"/>
      <c r="DM228" s="954"/>
      <c r="DN228" s="954"/>
      <c r="DO228" s="954"/>
      <c r="DP228" s="954"/>
      <c r="DQ228" s="954"/>
      <c r="DR228" s="813"/>
      <c r="DS228" s="813"/>
      <c r="DT228" s="813"/>
      <c r="DU228" s="813"/>
      <c r="DX228" s="813"/>
      <c r="DY228" s="813"/>
    </row>
    <row r="229" spans="1:129" s="904" customFormat="1">
      <c r="A229" s="939"/>
      <c r="B229" s="908" t="s">
        <v>504</v>
      </c>
      <c r="C229" s="942">
        <v>0</v>
      </c>
      <c r="D229" s="942">
        <f t="shared" ref="D229:AI229" si="2250">-(D100-C100)</f>
        <v>-7209</v>
      </c>
      <c r="E229" s="942">
        <f t="shared" si="2250"/>
        <v>-88</v>
      </c>
      <c r="F229" s="942">
        <f t="shared" si="2250"/>
        <v>-357</v>
      </c>
      <c r="G229" s="942">
        <f t="shared" si="2250"/>
        <v>-548</v>
      </c>
      <c r="H229" s="942">
        <f t="shared" si="2250"/>
        <v>-466</v>
      </c>
      <c r="I229" s="942">
        <f t="shared" si="2250"/>
        <v>-2287</v>
      </c>
      <c r="J229" s="942">
        <f t="shared" si="2250"/>
        <v>-1804</v>
      </c>
      <c r="K229" s="942">
        <f t="shared" si="2250"/>
        <v>-584</v>
      </c>
      <c r="L229" s="942">
        <f t="shared" si="2250"/>
        <v>-750</v>
      </c>
      <c r="M229" s="942">
        <f t="shared" si="2250"/>
        <v>-439</v>
      </c>
      <c r="N229" s="942">
        <f t="shared" si="2250"/>
        <v>-1099</v>
      </c>
      <c r="O229" s="942">
        <f t="shared" si="2250"/>
        <v>-7658</v>
      </c>
      <c r="P229" s="942">
        <f t="shared" si="2250"/>
        <v>-811</v>
      </c>
      <c r="Q229" s="942">
        <f t="shared" si="2250"/>
        <v>7528</v>
      </c>
      <c r="R229" s="942">
        <f t="shared" si="2250"/>
        <v>3200</v>
      </c>
      <c r="S229" s="942">
        <f t="shared" si="2250"/>
        <v>-262</v>
      </c>
      <c r="T229" s="942">
        <f t="shared" si="2250"/>
        <v>1233</v>
      </c>
      <c r="U229" s="942">
        <f t="shared" si="2250"/>
        <v>40</v>
      </c>
      <c r="V229" s="942">
        <f t="shared" si="2250"/>
        <v>369</v>
      </c>
      <c r="W229" s="942">
        <f t="shared" si="2250"/>
        <v>-480</v>
      </c>
      <c r="X229" s="942">
        <f t="shared" si="2250"/>
        <v>-472</v>
      </c>
      <c r="Y229" s="942">
        <f t="shared" si="2250"/>
        <v>-330</v>
      </c>
      <c r="Z229" s="942">
        <f t="shared" si="2250"/>
        <v>-463</v>
      </c>
      <c r="AA229" s="942">
        <f t="shared" si="2250"/>
        <v>-42854</v>
      </c>
      <c r="AB229" s="942">
        <f t="shared" si="2250"/>
        <v>-7196</v>
      </c>
      <c r="AC229" s="942">
        <f t="shared" si="2250"/>
        <v>-810</v>
      </c>
      <c r="AD229" s="942">
        <f t="shared" si="2250"/>
        <v>-10860</v>
      </c>
      <c r="AE229" s="942">
        <f t="shared" si="2250"/>
        <v>14503</v>
      </c>
      <c r="AF229" s="942">
        <f t="shared" si="2250"/>
        <v>-7093</v>
      </c>
      <c r="AG229" s="942">
        <f t="shared" si="2250"/>
        <v>10648</v>
      </c>
      <c r="AH229" s="942">
        <f t="shared" si="2250"/>
        <v>-58118</v>
      </c>
      <c r="AI229" s="942">
        <f t="shared" si="2250"/>
        <v>5264</v>
      </c>
      <c r="AJ229" s="942">
        <f t="shared" ref="AJ229:BO229" si="2251">-(AJ100-AI100)</f>
        <v>-5512</v>
      </c>
      <c r="AK229" s="942">
        <f t="shared" si="2251"/>
        <v>-4044</v>
      </c>
      <c r="AL229" s="942">
        <f t="shared" si="2251"/>
        <v>-13378</v>
      </c>
      <c r="AM229" s="942">
        <f t="shared" si="2251"/>
        <v>5812</v>
      </c>
      <c r="AN229" s="942">
        <f t="shared" si="2251"/>
        <v>16692</v>
      </c>
      <c r="AO229" s="942">
        <f t="shared" si="2251"/>
        <v>35985</v>
      </c>
      <c r="AP229" s="942">
        <f t="shared" si="2251"/>
        <v>-10227</v>
      </c>
      <c r="AQ229" s="942">
        <f t="shared" si="2251"/>
        <v>-1028</v>
      </c>
      <c r="AR229" s="942">
        <f t="shared" si="2251"/>
        <v>-14166</v>
      </c>
      <c r="AS229" s="942">
        <f t="shared" si="2251"/>
        <v>4830</v>
      </c>
      <c r="AT229" s="942">
        <f t="shared" si="2251"/>
        <v>-381</v>
      </c>
      <c r="AU229" s="942">
        <f t="shared" si="2251"/>
        <v>27639</v>
      </c>
      <c r="AV229" s="942">
        <f t="shared" si="2251"/>
        <v>-26125</v>
      </c>
      <c r="AW229" s="942">
        <f t="shared" si="2251"/>
        <v>37550</v>
      </c>
      <c r="AX229" s="942">
        <f t="shared" si="2251"/>
        <v>-41293</v>
      </c>
      <c r="AY229" s="942">
        <f t="shared" si="2251"/>
        <v>-32829</v>
      </c>
      <c r="AZ229" s="942">
        <f t="shared" si="2251"/>
        <v>-27289</v>
      </c>
      <c r="BA229" s="942">
        <f t="shared" si="2251"/>
        <v>2101</v>
      </c>
      <c r="BB229" s="942">
        <f t="shared" si="2251"/>
        <v>-700</v>
      </c>
      <c r="BC229" s="942">
        <f t="shared" si="2251"/>
        <v>13889</v>
      </c>
      <c r="BD229" s="942">
        <f t="shared" si="2251"/>
        <v>14296</v>
      </c>
      <c r="BE229" s="942">
        <f t="shared" si="2251"/>
        <v>-35321</v>
      </c>
      <c r="BF229" s="942">
        <f t="shared" si="2251"/>
        <v>-35459</v>
      </c>
      <c r="BG229" s="942">
        <f t="shared" si="2251"/>
        <v>-7990</v>
      </c>
      <c r="BH229" s="942">
        <f t="shared" si="2251"/>
        <v>33633</v>
      </c>
      <c r="BI229" s="942">
        <f t="shared" si="2251"/>
        <v>4016</v>
      </c>
      <c r="BJ229" s="942">
        <f t="shared" si="2251"/>
        <v>16094</v>
      </c>
      <c r="BK229" s="942">
        <f t="shared" si="2251"/>
        <v>14613</v>
      </c>
      <c r="BL229" s="942">
        <f t="shared" si="2251"/>
        <v>-21546</v>
      </c>
      <c r="BM229" s="942">
        <f t="shared" si="2251"/>
        <v>-9895</v>
      </c>
      <c r="BN229" s="942">
        <f t="shared" si="2251"/>
        <v>-37781</v>
      </c>
      <c r="BO229" s="942">
        <f t="shared" si="2251"/>
        <v>-20841</v>
      </c>
      <c r="BP229" s="942">
        <f t="shared" ref="BP229:CI229" si="2252">-(BP100-BO100)</f>
        <v>-10823</v>
      </c>
      <c r="BQ229" s="942">
        <f t="shared" si="2252"/>
        <v>-44722</v>
      </c>
      <c r="BR229" s="942">
        <f t="shared" si="2252"/>
        <v>7528</v>
      </c>
      <c r="BS229" s="942">
        <f t="shared" si="2252"/>
        <v>-122245</v>
      </c>
      <c r="BT229" s="942">
        <f t="shared" si="2252"/>
        <v>-64599</v>
      </c>
      <c r="BU229" s="942">
        <f t="shared" si="2252"/>
        <v>33739</v>
      </c>
      <c r="BV229" s="942">
        <f t="shared" si="2252"/>
        <v>-27507</v>
      </c>
      <c r="BW229" s="942">
        <f t="shared" si="2252"/>
        <v>-118759</v>
      </c>
      <c r="BX229" s="942">
        <f t="shared" si="2252"/>
        <v>37011</v>
      </c>
      <c r="BY229" s="942">
        <f t="shared" si="2252"/>
        <v>47282</v>
      </c>
      <c r="BZ229" s="942">
        <f t="shared" si="2252"/>
        <v>-63592</v>
      </c>
      <c r="CA229" s="942">
        <f t="shared" si="2252"/>
        <v>-103210</v>
      </c>
      <c r="CB229" s="942">
        <f t="shared" si="2252"/>
        <v>-40040</v>
      </c>
      <c r="CC229" s="942">
        <f t="shared" si="2252"/>
        <v>-30456</v>
      </c>
      <c r="CD229" s="942">
        <f t="shared" si="2252"/>
        <v>-70309</v>
      </c>
      <c r="CE229" s="942">
        <f t="shared" si="2252"/>
        <v>-32977</v>
      </c>
      <c r="CF229" s="942">
        <f t="shared" si="2252"/>
        <v>60382</v>
      </c>
      <c r="CG229" s="942">
        <f t="shared" si="2252"/>
        <v>-8647</v>
      </c>
      <c r="CH229" s="942">
        <f t="shared" si="2252"/>
        <v>-9377</v>
      </c>
      <c r="CI229" s="942">
        <f t="shared" si="2252"/>
        <v>-56662</v>
      </c>
      <c r="CJ229" s="942">
        <f t="shared" ref="CJ229" si="2253">-(CJ100-CI100)</f>
        <v>25488</v>
      </c>
      <c r="CK229" s="942">
        <f t="shared" ref="CK229" si="2254">-(CK100-CJ100)</f>
        <v>11347</v>
      </c>
      <c r="CL229" s="942">
        <f t="shared" ref="CL229" si="2255">-(CL100-CK100)</f>
        <v>0</v>
      </c>
      <c r="CM229" s="942">
        <f t="shared" ref="CM229" si="2256">-(CM100-CL100)</f>
        <v>0</v>
      </c>
      <c r="CN229" s="942">
        <f t="shared" ref="CN229" si="2257">-(CN100-CM100)</f>
        <v>0</v>
      </c>
      <c r="CO229" s="942">
        <f t="shared" ref="CO229" si="2258">-(CO100-CN100)</f>
        <v>0</v>
      </c>
      <c r="CP229" s="942">
        <f t="shared" ref="CP229" si="2259">-(CP100-CO100)</f>
        <v>0</v>
      </c>
      <c r="CQ229" s="942"/>
      <c r="CR229" s="942">
        <v>0</v>
      </c>
      <c r="CT229" s="942"/>
      <c r="CU229" s="942"/>
      <c r="CV229" s="942"/>
      <c r="CW229" s="942"/>
      <c r="CX229" s="903">
        <f>+SUM(O229:R229)</f>
        <v>2259</v>
      </c>
      <c r="CY229" s="954">
        <f>SUM(S229:V229)</f>
        <v>1380</v>
      </c>
      <c r="CZ229" s="954">
        <f>SUM(W229:Z229)</f>
        <v>-1745</v>
      </c>
      <c r="DA229" s="954">
        <f>SUM(AA229:AD229)</f>
        <v>-61720</v>
      </c>
      <c r="DB229" s="954">
        <f>SUM(AE229:AH229)</f>
        <v>-40060</v>
      </c>
      <c r="DC229" s="592">
        <f>+SUM(AI229:AL229)</f>
        <v>-17670</v>
      </c>
      <c r="DD229" s="954">
        <f>+SUM(AM229:AP229)</f>
        <v>48262</v>
      </c>
      <c r="DE229" s="954">
        <f>+SUM(AQ229:AT229)</f>
        <v>-10745</v>
      </c>
      <c r="DF229" s="954">
        <f>+SUM(AU229:AX229)</f>
        <v>-2229</v>
      </c>
      <c r="DG229" s="954">
        <f>+SUM(AY229:BB229)</f>
        <v>-58717</v>
      </c>
      <c r="DH229" s="954">
        <f>+SUM(BC229:BF229)</f>
        <v>-42595</v>
      </c>
      <c r="DI229" s="954">
        <f>+SUM(BG229:BJ229)</f>
        <v>45753</v>
      </c>
      <c r="DJ229" s="954">
        <f>+SUM(BK229:BN229)</f>
        <v>-54609</v>
      </c>
      <c r="DK229" s="954">
        <f>+SUM(BO229:BR229)</f>
        <v>-68858</v>
      </c>
      <c r="DL229" s="954">
        <f>+SUM(BS229:BV229)</f>
        <v>-180612</v>
      </c>
      <c r="DM229" s="954">
        <f>+SUM(BA229:BW229)</f>
        <v>-418279</v>
      </c>
      <c r="DN229" s="954">
        <f>+SUM(BX229:CD229)</f>
        <v>-223314</v>
      </c>
      <c r="DO229" s="954">
        <f>+SUM(BY229:CE229)</f>
        <v>-293302</v>
      </c>
      <c r="DP229" s="954">
        <f>+SUM(BZ229:CI229)</f>
        <v>-354888</v>
      </c>
      <c r="DQ229" s="954">
        <f>+SUM(CA229:CM229)</f>
        <v>-254461</v>
      </c>
      <c r="DR229" s="942">
        <f t="shared" ref="DR229:DU229" si="2260">-(DR100-DQ100)</f>
        <v>0</v>
      </c>
      <c r="DS229" s="942">
        <f t="shared" si="2260"/>
        <v>0</v>
      </c>
      <c r="DT229" s="942">
        <f t="shared" si="2260"/>
        <v>0</v>
      </c>
      <c r="DU229" s="942">
        <f t="shared" si="2260"/>
        <v>0</v>
      </c>
      <c r="DX229" s="942">
        <v>0</v>
      </c>
      <c r="DY229" s="942">
        <v>0</v>
      </c>
    </row>
    <row r="230" spans="1:129" s="904" customFormat="1">
      <c r="A230" s="939"/>
      <c r="B230" s="908"/>
      <c r="C230" s="942"/>
      <c r="D230" s="942"/>
      <c r="E230" s="942"/>
      <c r="F230" s="942"/>
      <c r="G230" s="942"/>
      <c r="H230" s="942"/>
      <c r="I230" s="942"/>
      <c r="J230" s="942"/>
      <c r="K230" s="942"/>
      <c r="L230" s="942"/>
      <c r="M230" s="942"/>
      <c r="N230" s="942"/>
      <c r="O230" s="942"/>
      <c r="P230" s="942"/>
      <c r="Q230" s="942"/>
      <c r="R230" s="942"/>
      <c r="S230" s="942"/>
      <c r="T230" s="942"/>
      <c r="U230" s="942"/>
      <c r="V230" s="942"/>
      <c r="W230" s="942"/>
      <c r="X230" s="942"/>
      <c r="Y230" s="942"/>
      <c r="Z230" s="942"/>
      <c r="AA230" s="942"/>
      <c r="AB230" s="942"/>
      <c r="AC230" s="942"/>
      <c r="AD230" s="942"/>
      <c r="AE230" s="942"/>
      <c r="AF230" s="942"/>
      <c r="AG230" s="942"/>
      <c r="AH230" s="942"/>
      <c r="AI230" s="942"/>
      <c r="AJ230" s="942"/>
      <c r="AK230" s="942"/>
      <c r="AL230" s="942"/>
      <c r="AM230" s="942"/>
      <c r="AN230" s="942"/>
      <c r="AO230" s="942"/>
      <c r="AP230" s="942"/>
      <c r="AQ230" s="942"/>
      <c r="AR230" s="942"/>
      <c r="AS230" s="942"/>
      <c r="AT230" s="942"/>
      <c r="AU230" s="942"/>
      <c r="AV230" s="942"/>
      <c r="AW230" s="942"/>
      <c r="AX230" s="942"/>
      <c r="AY230" s="942"/>
      <c r="AZ230" s="942"/>
      <c r="BA230" s="942"/>
      <c r="BB230" s="942"/>
      <c r="BC230" s="942"/>
      <c r="BD230" s="942"/>
      <c r="BE230" s="942"/>
      <c r="BF230" s="942"/>
      <c r="BG230" s="942"/>
      <c r="BH230" s="942"/>
      <c r="BI230" s="942"/>
      <c r="BJ230" s="942"/>
      <c r="BK230" s="942"/>
      <c r="BL230" s="942"/>
      <c r="BM230" s="942"/>
      <c r="BN230" s="942"/>
      <c r="BO230" s="942"/>
      <c r="BP230" s="942"/>
      <c r="BQ230" s="942"/>
      <c r="BR230" s="942"/>
      <c r="BS230" s="942"/>
      <c r="BT230" s="942"/>
      <c r="BU230" s="942"/>
      <c r="BV230" s="942"/>
      <c r="BW230" s="942"/>
      <c r="BX230" s="942"/>
      <c r="BY230" s="942"/>
      <c r="BZ230" s="942"/>
      <c r="CA230" s="942"/>
      <c r="CB230" s="942"/>
      <c r="CC230" s="942"/>
      <c r="CD230" s="942"/>
      <c r="CE230" s="942"/>
      <c r="CF230" s="942"/>
      <c r="CG230" s="942"/>
      <c r="CH230" s="942"/>
      <c r="CI230" s="942"/>
      <c r="CJ230" s="942"/>
      <c r="CK230" s="942"/>
      <c r="CL230" s="942"/>
      <c r="CM230" s="942"/>
      <c r="CN230" s="942"/>
      <c r="CO230" s="942"/>
      <c r="CP230" s="942"/>
      <c r="CQ230" s="942"/>
      <c r="CR230" s="942"/>
      <c r="CT230" s="942"/>
      <c r="CU230" s="942"/>
      <c r="CV230" s="942"/>
      <c r="CW230" s="942"/>
      <c r="CX230" s="903"/>
      <c r="CY230" s="954"/>
      <c r="CZ230" s="954"/>
      <c r="DA230" s="954"/>
      <c r="DB230" s="954"/>
      <c r="DC230" s="592"/>
      <c r="DD230" s="954"/>
      <c r="DE230" s="954"/>
      <c r="DF230" s="954"/>
      <c r="DG230" s="954"/>
      <c r="DH230" s="954"/>
      <c r="DI230" s="954"/>
      <c r="DJ230" s="954"/>
      <c r="DK230" s="954"/>
      <c r="DL230" s="954"/>
      <c r="DM230" s="954"/>
      <c r="DN230" s="954"/>
      <c r="DO230" s="954"/>
      <c r="DP230" s="954"/>
      <c r="DQ230" s="954"/>
      <c r="DR230" s="942"/>
      <c r="DS230" s="942"/>
      <c r="DT230" s="942"/>
      <c r="DU230" s="942"/>
      <c r="DX230" s="942"/>
      <c r="DY230" s="942"/>
    </row>
    <row r="231" spans="1:129" s="904" customFormat="1">
      <c r="A231" s="939"/>
      <c r="B231" s="908"/>
      <c r="C231" s="942"/>
      <c r="D231" s="942"/>
      <c r="E231" s="942"/>
      <c r="F231" s="942"/>
      <c r="G231" s="942"/>
      <c r="H231" s="942"/>
      <c r="I231" s="942"/>
      <c r="J231" s="942"/>
      <c r="K231" s="942"/>
      <c r="L231" s="942"/>
      <c r="M231" s="942"/>
      <c r="N231" s="942"/>
      <c r="O231" s="942"/>
      <c r="P231" s="942"/>
      <c r="Q231" s="942"/>
      <c r="R231" s="942"/>
      <c r="S231" s="942"/>
      <c r="T231" s="942"/>
      <c r="U231" s="942"/>
      <c r="V231" s="942"/>
      <c r="W231" s="942"/>
      <c r="X231" s="942"/>
      <c r="Y231" s="942"/>
      <c r="Z231" s="942"/>
      <c r="AA231" s="942"/>
      <c r="AB231" s="942"/>
      <c r="AC231" s="942"/>
      <c r="AD231" s="942"/>
      <c r="AE231" s="942"/>
      <c r="AF231" s="942"/>
      <c r="AG231" s="942"/>
      <c r="AH231" s="942"/>
      <c r="AI231" s="942"/>
      <c r="AJ231" s="942"/>
      <c r="AK231" s="942"/>
      <c r="AL231" s="942"/>
      <c r="AM231" s="942"/>
      <c r="AN231" s="942"/>
      <c r="AO231" s="942"/>
      <c r="AP231" s="942"/>
      <c r="AQ231" s="942"/>
      <c r="AR231" s="942"/>
      <c r="AS231" s="942"/>
      <c r="AT231" s="942"/>
      <c r="AU231" s="942"/>
      <c r="AV231" s="942"/>
      <c r="AW231" s="942"/>
      <c r="AX231" s="942"/>
      <c r="AY231" s="942"/>
      <c r="AZ231" s="942"/>
      <c r="BA231" s="942"/>
      <c r="BB231" s="942"/>
      <c r="BC231" s="942"/>
      <c r="BD231" s="942"/>
      <c r="BE231" s="942"/>
      <c r="BF231" s="942"/>
      <c r="BG231" s="942"/>
      <c r="BH231" s="942"/>
      <c r="BI231" s="942"/>
      <c r="BJ231" s="942"/>
      <c r="BK231" s="942"/>
      <c r="BL231" s="942"/>
      <c r="BM231" s="942"/>
      <c r="BN231" s="942"/>
      <c r="BO231" s="942"/>
      <c r="BP231" s="942"/>
      <c r="BQ231" s="942"/>
      <c r="BR231" s="942"/>
      <c r="BS231" s="942"/>
      <c r="BT231" s="942"/>
      <c r="BU231" s="942"/>
      <c r="BV231" s="942"/>
      <c r="BW231" s="942"/>
      <c r="BX231" s="942"/>
      <c r="BY231" s="942"/>
      <c r="BZ231" s="942"/>
      <c r="CA231" s="942"/>
      <c r="CB231" s="942"/>
      <c r="CC231" s="942"/>
      <c r="CD231" s="942"/>
      <c r="CE231" s="942"/>
      <c r="CF231" s="942"/>
      <c r="CG231" s="942"/>
      <c r="CH231" s="942"/>
      <c r="CI231" s="942"/>
      <c r="CJ231" s="942"/>
      <c r="CK231" s="942"/>
      <c r="CL231" s="942"/>
      <c r="CM231" s="942"/>
      <c r="CN231" s="942"/>
      <c r="CO231" s="942"/>
      <c r="CP231" s="942"/>
      <c r="CQ231" s="942"/>
      <c r="CR231" s="942"/>
      <c r="CT231" s="942"/>
      <c r="CU231" s="942"/>
      <c r="CV231" s="942"/>
      <c r="CW231" s="942"/>
      <c r="CX231" s="903"/>
      <c r="CY231" s="954"/>
      <c r="CZ231" s="954"/>
      <c r="DA231" s="954"/>
      <c r="DB231" s="954"/>
      <c r="DC231" s="592"/>
      <c r="DD231" s="954"/>
      <c r="DE231" s="954"/>
      <c r="DF231" s="954"/>
      <c r="DG231" s="954"/>
      <c r="DH231" s="954"/>
      <c r="DI231" s="954"/>
      <c r="DJ231" s="954"/>
      <c r="DK231" s="954"/>
      <c r="DL231" s="954"/>
      <c r="DM231" s="954"/>
      <c r="DN231" s="954"/>
      <c r="DO231" s="954"/>
      <c r="DP231" s="954"/>
      <c r="DQ231" s="954"/>
      <c r="DR231" s="942"/>
      <c r="DS231" s="942"/>
      <c r="DT231" s="942"/>
      <c r="DU231" s="942"/>
      <c r="DX231" s="942"/>
      <c r="DY231" s="942"/>
    </row>
    <row r="232" spans="1:129" s="1950" customFormat="1">
      <c r="A232" s="1949"/>
      <c r="B232" s="649" t="s">
        <v>505</v>
      </c>
      <c r="C232" s="1950">
        <f t="shared" ref="C232:BN232" si="2261">+C234*0.25</f>
        <v>0</v>
      </c>
      <c r="D232" s="1950">
        <f t="shared" si="2261"/>
        <v>0</v>
      </c>
      <c r="E232" s="1950">
        <f t="shared" si="2261"/>
        <v>0</v>
      </c>
      <c r="F232" s="1950">
        <f t="shared" si="2261"/>
        <v>0</v>
      </c>
      <c r="G232" s="1950">
        <f t="shared" si="2261"/>
        <v>0</v>
      </c>
      <c r="H232" s="1950">
        <f t="shared" si="2261"/>
        <v>0</v>
      </c>
      <c r="I232" s="1950">
        <f t="shared" si="2261"/>
        <v>0</v>
      </c>
      <c r="J232" s="1950">
        <f t="shared" si="2261"/>
        <v>0</v>
      </c>
      <c r="K232" s="1950">
        <f t="shared" si="2261"/>
        <v>0</v>
      </c>
      <c r="L232" s="1950">
        <f t="shared" si="2261"/>
        <v>0</v>
      </c>
      <c r="M232" s="1950">
        <f t="shared" si="2261"/>
        <v>0</v>
      </c>
      <c r="N232" s="1950">
        <f t="shared" si="2261"/>
        <v>0</v>
      </c>
      <c r="O232" s="1950">
        <f t="shared" si="2261"/>
        <v>0</v>
      </c>
      <c r="P232" s="1950">
        <f t="shared" si="2261"/>
        <v>0</v>
      </c>
      <c r="Q232" s="1950">
        <f t="shared" si="2261"/>
        <v>0</v>
      </c>
      <c r="R232" s="1950">
        <f t="shared" si="2261"/>
        <v>0</v>
      </c>
      <c r="S232" s="1950">
        <f t="shared" si="2261"/>
        <v>0</v>
      </c>
      <c r="T232" s="1950">
        <f t="shared" si="2261"/>
        <v>0</v>
      </c>
      <c r="U232" s="1950">
        <f t="shared" si="2261"/>
        <v>0</v>
      </c>
      <c r="V232" s="1950">
        <f t="shared" si="2261"/>
        <v>0</v>
      </c>
      <c r="W232" s="1950">
        <f t="shared" si="2261"/>
        <v>0</v>
      </c>
      <c r="X232" s="1950">
        <f t="shared" si="2261"/>
        <v>0</v>
      </c>
      <c r="Y232" s="1950">
        <f t="shared" si="2261"/>
        <v>0</v>
      </c>
      <c r="Z232" s="1950">
        <f t="shared" si="2261"/>
        <v>0</v>
      </c>
      <c r="AA232" s="1950">
        <f t="shared" si="2261"/>
        <v>0</v>
      </c>
      <c r="AB232" s="1950">
        <f t="shared" si="2261"/>
        <v>0</v>
      </c>
      <c r="AC232" s="1950">
        <f t="shared" si="2261"/>
        <v>0</v>
      </c>
      <c r="AD232" s="1950">
        <f t="shared" si="2261"/>
        <v>0</v>
      </c>
      <c r="AE232" s="1950">
        <f t="shared" si="2261"/>
        <v>0</v>
      </c>
      <c r="AF232" s="1950">
        <f t="shared" si="2261"/>
        <v>0</v>
      </c>
      <c r="AG232" s="1950">
        <f t="shared" si="2261"/>
        <v>0</v>
      </c>
      <c r="AH232" s="1950">
        <f t="shared" si="2261"/>
        <v>0</v>
      </c>
      <c r="AI232" s="1950">
        <f t="shared" si="2261"/>
        <v>0</v>
      </c>
      <c r="AJ232" s="1950">
        <f t="shared" si="2261"/>
        <v>0</v>
      </c>
      <c r="AK232" s="1950">
        <f t="shared" si="2261"/>
        <v>0</v>
      </c>
      <c r="AL232" s="1950">
        <f t="shared" si="2261"/>
        <v>0</v>
      </c>
      <c r="AM232" s="1950">
        <f t="shared" si="2261"/>
        <v>0</v>
      </c>
      <c r="AN232" s="1950">
        <f t="shared" si="2261"/>
        <v>0</v>
      </c>
      <c r="AO232" s="1950">
        <f t="shared" si="2261"/>
        <v>0</v>
      </c>
      <c r="AP232" s="1950">
        <f t="shared" si="2261"/>
        <v>0</v>
      </c>
      <c r="AQ232" s="1950">
        <f t="shared" si="2261"/>
        <v>0</v>
      </c>
      <c r="AR232" s="1950">
        <f t="shared" si="2261"/>
        <v>0</v>
      </c>
      <c r="AS232" s="1950">
        <f t="shared" si="2261"/>
        <v>0</v>
      </c>
      <c r="AT232" s="1950">
        <f t="shared" si="2261"/>
        <v>0</v>
      </c>
      <c r="AU232" s="1950">
        <f t="shared" si="2261"/>
        <v>0</v>
      </c>
      <c r="AV232" s="1950">
        <f t="shared" si="2261"/>
        <v>0</v>
      </c>
      <c r="AW232" s="1950">
        <f t="shared" si="2261"/>
        <v>0</v>
      </c>
      <c r="AX232" s="1950">
        <f t="shared" si="2261"/>
        <v>0</v>
      </c>
      <c r="AY232" s="1950">
        <f t="shared" si="2261"/>
        <v>0</v>
      </c>
      <c r="AZ232" s="1950">
        <f t="shared" si="2261"/>
        <v>0</v>
      </c>
      <c r="BA232" s="1950">
        <f t="shared" si="2261"/>
        <v>0</v>
      </c>
      <c r="BB232" s="1950">
        <f t="shared" si="2261"/>
        <v>0</v>
      </c>
      <c r="BC232" s="1950">
        <f t="shared" si="2261"/>
        <v>0</v>
      </c>
      <c r="BD232" s="1950">
        <f t="shared" si="2261"/>
        <v>0</v>
      </c>
      <c r="BE232" s="1950">
        <f t="shared" si="2261"/>
        <v>0</v>
      </c>
      <c r="BF232" s="1950">
        <f t="shared" si="2261"/>
        <v>0</v>
      </c>
      <c r="BG232" s="1950">
        <f t="shared" si="2261"/>
        <v>0</v>
      </c>
      <c r="BH232" s="1950">
        <f t="shared" si="2261"/>
        <v>0</v>
      </c>
      <c r="BI232" s="1950">
        <f t="shared" si="2261"/>
        <v>0</v>
      </c>
      <c r="BJ232" s="1950">
        <f t="shared" si="2261"/>
        <v>0</v>
      </c>
      <c r="BK232" s="1950">
        <f t="shared" si="2261"/>
        <v>3432.3529411764703</v>
      </c>
      <c r="BL232" s="1950">
        <f t="shared" si="2261"/>
        <v>4562.5</v>
      </c>
      <c r="BM232" s="1950">
        <f t="shared" si="2261"/>
        <v>3675.7352941176468</v>
      </c>
      <c r="BN232" s="1950">
        <f t="shared" si="2261"/>
        <v>20011.764705882353</v>
      </c>
      <c r="BO232" s="1950">
        <f t="shared" ref="BO232:CC232" si="2262">+BO234*0.25</f>
        <v>2975.7352941176468</v>
      </c>
      <c r="BP232" s="1950">
        <f t="shared" si="2262"/>
        <v>4838.2352941176468</v>
      </c>
      <c r="BQ232" s="1950">
        <f t="shared" si="2262"/>
        <v>4952.9411764705883</v>
      </c>
      <c r="BR232" s="1950">
        <f t="shared" si="2262"/>
        <v>7413.2352941176468</v>
      </c>
      <c r="BS232" s="1950">
        <f t="shared" si="2262"/>
        <v>4234.5588235294117</v>
      </c>
      <c r="BT232" s="1950">
        <f t="shared" si="2262"/>
        <v>5202.2058823529405</v>
      </c>
      <c r="BU232" s="1950">
        <f t="shared" si="2262"/>
        <v>4263.9705882352937</v>
      </c>
      <c r="BV232" s="1950">
        <f t="shared" si="2262"/>
        <v>58640.441176470587</v>
      </c>
      <c r="BW232" s="1950">
        <f t="shared" si="2262"/>
        <v>29605.882352941175</v>
      </c>
      <c r="BX232" s="1950">
        <f t="shared" si="2262"/>
        <v>17103.676470588234</v>
      </c>
      <c r="BY232" s="1950">
        <f t="shared" si="2262"/>
        <v>23961.76470588235</v>
      </c>
      <c r="BZ232" s="1950">
        <f t="shared" si="2262"/>
        <v>23433.823529411762</v>
      </c>
      <c r="CA232" s="1950">
        <f t="shared" si="2262"/>
        <v>26952.205882352941</v>
      </c>
      <c r="CB232" s="1950">
        <f t="shared" si="2262"/>
        <v>35971.323529411762</v>
      </c>
      <c r="CC232" s="1950">
        <f t="shared" si="2262"/>
        <v>17027.941176470587</v>
      </c>
      <c r="CD232" s="1950">
        <f>+CD234*0.25</f>
        <v>24194.852941176468</v>
      </c>
      <c r="CE232" s="1951">
        <f>+CE216/0.34</f>
        <v>28149.999999999996</v>
      </c>
      <c r="CF232" s="1951">
        <f>+CF216/0.34</f>
        <v>33988.235294117643</v>
      </c>
      <c r="CG232" s="1951">
        <f>+CG216/0.34</f>
        <v>32879.411764705881</v>
      </c>
      <c r="CH232" s="1951">
        <f>+CH216/0.34</f>
        <v>40120.588235294112</v>
      </c>
      <c r="CI232" s="1951">
        <f>+CI216/0.34</f>
        <v>32714.705882352941</v>
      </c>
      <c r="CJ232" s="1951">
        <f t="shared" ref="CJ232:CK232" si="2263">+CJ216/0.34</f>
        <v>24108.823529411762</v>
      </c>
      <c r="CK232" s="1951">
        <f t="shared" si="2263"/>
        <v>17579.411764705881</v>
      </c>
      <c r="CL232" s="816">
        <f t="shared" ref="CL232:CP232" si="2264">+CL234*0.25</f>
        <v>41950.567555738737</v>
      </c>
      <c r="CM232" s="816">
        <f t="shared" si="2264"/>
        <v>34488.819500701917</v>
      </c>
      <c r="CN232" s="816">
        <f t="shared" si="2264"/>
        <v>25199.18592599938</v>
      </c>
      <c r="CO232" s="816">
        <f t="shared" si="2264"/>
        <v>18947.083181736649</v>
      </c>
      <c r="CP232" s="816">
        <f t="shared" si="2264"/>
        <v>45620.637918235348</v>
      </c>
      <c r="CQ232" s="1951"/>
      <c r="CR232" s="1951">
        <v>41950.567555738737</v>
      </c>
      <c r="CT232" s="1951"/>
      <c r="CU232" s="1951"/>
      <c r="CV232" s="1951"/>
      <c r="CW232" s="1951"/>
      <c r="CX232" s="925"/>
      <c r="CY232" s="1949"/>
      <c r="CZ232" s="1949"/>
      <c r="DA232" s="1949"/>
      <c r="DB232" s="1949"/>
      <c r="DC232" s="925"/>
      <c r="DD232" s="1949"/>
      <c r="DE232" s="1949"/>
      <c r="DF232" s="1949"/>
      <c r="DG232" s="1949"/>
      <c r="DH232" s="1949"/>
      <c r="DI232" s="1949"/>
      <c r="DJ232" s="1950">
        <f t="shared" ref="DJ232:DN232" si="2265">+DJ234*0.25</f>
        <v>31682.352941176468</v>
      </c>
      <c r="DK232" s="1950">
        <f t="shared" si="2265"/>
        <v>20180.147058823528</v>
      </c>
      <c r="DL232" s="1950">
        <f t="shared" si="2265"/>
        <v>72341.176470588223</v>
      </c>
      <c r="DM232" s="1950">
        <f t="shared" si="2265"/>
        <v>94105.147058823524</v>
      </c>
      <c r="DN232" s="1950">
        <f t="shared" si="2265"/>
        <v>104146.32352941176</v>
      </c>
      <c r="DO232" s="1951">
        <f t="shared" ref="DO232:DP232" si="2266">+DO216/0.34</f>
        <v>135138.23529411765</v>
      </c>
      <c r="DP232" s="1951">
        <f t="shared" si="2266"/>
        <v>116353.50873220933</v>
      </c>
      <c r="DQ232" s="1951">
        <f t="shared" ref="DQ232" si="2267">+DQ216/0.34</f>
        <v>124255.72652667327</v>
      </c>
      <c r="DR232" s="816">
        <f t="shared" ref="DR232:DU232" si="2268">+DR233*DR$6</f>
        <v>134639.32978462637</v>
      </c>
      <c r="DS232" s="816">
        <f t="shared" si="2268"/>
        <v>143827.66926244934</v>
      </c>
      <c r="DT232" s="816">
        <f t="shared" si="2268"/>
        <v>153643.28981877025</v>
      </c>
      <c r="DU232" s="816">
        <f t="shared" si="2268"/>
        <v>164120.85518905037</v>
      </c>
      <c r="DX232" s="816">
        <v>126670.7332891035</v>
      </c>
      <c r="DY232" s="816">
        <v>136709.65167811632</v>
      </c>
    </row>
    <row r="233" spans="1:129" s="904" customFormat="1">
      <c r="A233" s="939"/>
      <c r="B233" s="908" t="s">
        <v>233</v>
      </c>
      <c r="C233" s="942"/>
      <c r="D233" s="942"/>
      <c r="E233" s="942"/>
      <c r="F233" s="942"/>
      <c r="G233" s="942"/>
      <c r="H233" s="942"/>
      <c r="I233" s="942"/>
      <c r="J233" s="942"/>
      <c r="K233" s="942"/>
      <c r="L233" s="942"/>
      <c r="M233" s="942"/>
      <c r="N233" s="942"/>
      <c r="O233" s="942"/>
      <c r="P233" s="942"/>
      <c r="Q233" s="942"/>
      <c r="R233" s="942"/>
      <c r="S233" s="942"/>
      <c r="T233" s="942"/>
      <c r="U233" s="942"/>
      <c r="V233" s="942"/>
      <c r="W233" s="942"/>
      <c r="X233" s="942"/>
      <c r="Y233" s="942"/>
      <c r="Z233" s="942"/>
      <c r="AA233" s="942"/>
      <c r="AB233" s="942"/>
      <c r="AC233" s="942"/>
      <c r="AD233" s="942"/>
      <c r="AE233" s="942"/>
      <c r="AF233" s="942"/>
      <c r="AG233" s="942"/>
      <c r="AH233" s="942"/>
      <c r="AI233" s="942"/>
      <c r="AJ233" s="942"/>
      <c r="AK233" s="942"/>
      <c r="AL233" s="942"/>
      <c r="AM233" s="942"/>
      <c r="AN233" s="942"/>
      <c r="AO233" s="942"/>
      <c r="AP233" s="942"/>
      <c r="AQ233" s="942"/>
      <c r="AR233" s="942"/>
      <c r="AS233" s="942"/>
      <c r="AT233" s="942"/>
      <c r="AU233" s="942"/>
      <c r="AV233" s="942"/>
      <c r="AW233" s="942"/>
      <c r="AX233" s="942"/>
      <c r="AY233" s="942"/>
      <c r="AZ233" s="942"/>
      <c r="BA233" s="942"/>
      <c r="BB233" s="942"/>
      <c r="BC233" s="942"/>
      <c r="BD233" s="942"/>
      <c r="BE233" s="942"/>
      <c r="BF233" s="942"/>
      <c r="BG233" s="942"/>
      <c r="BH233" s="942"/>
      <c r="BI233" s="942"/>
      <c r="BJ233" s="942"/>
      <c r="BK233" s="1827">
        <f t="shared" ref="BK233:CD233" si="2269">+BK232/BK$6</f>
        <v>1.8140278540790397E-3</v>
      </c>
      <c r="BL233" s="1827">
        <f t="shared" si="2269"/>
        <v>1.9906160722232597E-3</v>
      </c>
      <c r="BM233" s="1827">
        <f t="shared" si="2269"/>
        <v>1.6514554810020182E-3</v>
      </c>
      <c r="BN233" s="1827">
        <f t="shared" si="2269"/>
        <v>6.2958567433132016E-3</v>
      </c>
      <c r="BO233" s="1827">
        <f t="shared" si="2269"/>
        <v>1.5966292320300976E-3</v>
      </c>
      <c r="BP233" s="1827">
        <f t="shared" si="2269"/>
        <v>5.9841674571588172E-3</v>
      </c>
      <c r="BQ233" s="1827">
        <f t="shared" si="2269"/>
        <v>2.7669459584235808E-3</v>
      </c>
      <c r="BR233" s="1827">
        <f t="shared" si="2269"/>
        <v>2.4109070141142847E-3</v>
      </c>
      <c r="BS233" s="1827">
        <f t="shared" si="2269"/>
        <v>2.6777380105966076E-3</v>
      </c>
      <c r="BT233" s="1827">
        <f t="shared" si="2269"/>
        <v>2.0889934968909042E-3</v>
      </c>
      <c r="BU233" s="1827">
        <f t="shared" si="2269"/>
        <v>1.6223368273049908E-3</v>
      </c>
      <c r="BV233" s="1827">
        <f t="shared" si="2269"/>
        <v>1.514638571345916E-2</v>
      </c>
      <c r="BW233" s="1827">
        <f t="shared" si="2269"/>
        <v>1.1330122629161147E-2</v>
      </c>
      <c r="BX233" s="1827">
        <f t="shared" si="2269"/>
        <v>4.7165159968828698E-3</v>
      </c>
      <c r="BY233" s="1827">
        <f t="shared" si="2269"/>
        <v>7.9405854345004131E-3</v>
      </c>
      <c r="BZ233" s="1827">
        <f t="shared" si="2269"/>
        <v>5.8378133742615513E-3</v>
      </c>
      <c r="CA233" s="1827">
        <f t="shared" si="2269"/>
        <v>9.7114847311032277E-3</v>
      </c>
      <c r="CB233" s="1827">
        <f t="shared" si="2269"/>
        <v>1.026554551630534E-2</v>
      </c>
      <c r="CC233" s="1827">
        <f t="shared" si="2269"/>
        <v>5.4980346674660995E-3</v>
      </c>
      <c r="CD233" s="1827">
        <f t="shared" si="2269"/>
        <v>5.6644139060454185E-3</v>
      </c>
      <c r="CE233" s="1827">
        <f>+CE232/CE$6</f>
        <v>9.6793637683705892E-3</v>
      </c>
      <c r="CF233" s="1827">
        <f>+CF232/CF$6</f>
        <v>9.6546762260549014E-3</v>
      </c>
      <c r="CG233" s="1827">
        <f>+CG232/CG$6</f>
        <v>9.6974854703839094E-3</v>
      </c>
      <c r="CH233" s="1827">
        <f>+CH232/CH$6</f>
        <v>8.6893443031363076E-3</v>
      </c>
      <c r="CI233" s="1827">
        <f>+CI232/CI$6</f>
        <v>1.0042653151408575E-2</v>
      </c>
      <c r="CJ233" s="1827">
        <f t="shared" ref="CJ233:CK233" si="2270">+CJ232/CJ$6</f>
        <v>5.7848690409250296E-3</v>
      </c>
      <c r="CK233" s="1827">
        <f t="shared" si="2270"/>
        <v>4.9332257317318282E-3</v>
      </c>
      <c r="CL233" s="1827">
        <f t="shared" ref="CL233:CP233" si="2271">+CL232/CL$6</f>
        <v>8.6893443031363076E-3</v>
      </c>
      <c r="CM233" s="1827">
        <f t="shared" si="2271"/>
        <v>1.0042653151408575E-2</v>
      </c>
      <c r="CN233" s="1827">
        <f t="shared" si="2271"/>
        <v>5.7848690409250296E-3</v>
      </c>
      <c r="CO233" s="1827">
        <f t="shared" si="2271"/>
        <v>4.9332257317318291E-3</v>
      </c>
      <c r="CP233" s="1827">
        <f t="shared" si="2271"/>
        <v>8.6893443031363076E-3</v>
      </c>
      <c r="CQ233" s="942"/>
      <c r="CR233" s="1827">
        <v>8.6893443031363076E-3</v>
      </c>
      <c r="CT233" s="942"/>
      <c r="CU233" s="942"/>
      <c r="CV233" s="942"/>
      <c r="CW233" s="942"/>
      <c r="CX233" s="903"/>
      <c r="CY233" s="954"/>
      <c r="CZ233" s="954"/>
      <c r="DA233" s="954"/>
      <c r="DB233" s="954"/>
      <c r="DC233" s="592"/>
      <c r="DD233" s="954"/>
      <c r="DE233" s="954"/>
      <c r="DF233" s="954"/>
      <c r="DG233" s="954"/>
      <c r="DH233" s="954"/>
      <c r="DI233" s="954"/>
      <c r="DJ233" s="1827">
        <f t="shared" ref="DJ233" si="2272">+DJ232/DJ$6</f>
        <v>3.3042249681753625E-3</v>
      </c>
      <c r="DK233" s="1827">
        <f t="shared" ref="DK233" si="2273">+DK232/DK$6</f>
        <v>2.6774134435987368E-3</v>
      </c>
      <c r="DL233" s="1827">
        <f t="shared" ref="DL233" si="2274">+DL232/DL$6</f>
        <v>6.8430016757677009E-3</v>
      </c>
      <c r="DM233" s="1827">
        <f t="shared" ref="DM233" si="2275">+DM232/DM$6</f>
        <v>7.0909634237687038E-3</v>
      </c>
      <c r="DN233" s="1827">
        <f t="shared" ref="DN233" si="2276">+DN232/DN$6</f>
        <v>7.6309697982012963E-3</v>
      </c>
      <c r="DO233" s="1827">
        <f t="shared" ref="DO233:DP233" si="2277">+DO232/DO$6</f>
        <v>9.3609593504430169E-3</v>
      </c>
      <c r="DP233" s="1827">
        <f t="shared" si="2277"/>
        <v>7.3564956496881334E-3</v>
      </c>
      <c r="DQ233" s="1827">
        <f t="shared" ref="DQ233" si="2278">+DQ232/DQ$6</f>
        <v>7.36060856824857E-3</v>
      </c>
      <c r="DR233" s="1575">
        <f t="shared" ref="DR233:DU233" si="2279">+DQ233</f>
        <v>7.36060856824857E-3</v>
      </c>
      <c r="DS233" s="1575">
        <f t="shared" si="2279"/>
        <v>7.36060856824857E-3</v>
      </c>
      <c r="DT233" s="1575">
        <f t="shared" si="2279"/>
        <v>7.36060856824857E-3</v>
      </c>
      <c r="DU233" s="1575">
        <f t="shared" si="2279"/>
        <v>7.36060856824857E-3</v>
      </c>
      <c r="DX233" s="1575">
        <v>7.3751722327789716E-3</v>
      </c>
      <c r="DY233" s="1575">
        <v>7.3751722327789716E-3</v>
      </c>
    </row>
    <row r="234" spans="1:129" s="904" customFormat="1">
      <c r="A234" s="939"/>
      <c r="B234" s="908" t="s">
        <v>506</v>
      </c>
      <c r="C234" s="942">
        <f t="shared" ref="C234:AH234" si="2280">+C216/0.34</f>
        <v>0</v>
      </c>
      <c r="D234" s="942">
        <f t="shared" si="2280"/>
        <v>0</v>
      </c>
      <c r="E234" s="942">
        <f t="shared" si="2280"/>
        <v>0</v>
      </c>
      <c r="F234" s="942">
        <f t="shared" si="2280"/>
        <v>0</v>
      </c>
      <c r="G234" s="942">
        <f t="shared" si="2280"/>
        <v>0</v>
      </c>
      <c r="H234" s="942">
        <f t="shared" si="2280"/>
        <v>0</v>
      </c>
      <c r="I234" s="942">
        <f t="shared" si="2280"/>
        <v>0</v>
      </c>
      <c r="J234" s="942">
        <f t="shared" si="2280"/>
        <v>0</v>
      </c>
      <c r="K234" s="942">
        <f t="shared" si="2280"/>
        <v>0</v>
      </c>
      <c r="L234" s="942">
        <f t="shared" si="2280"/>
        <v>0</v>
      </c>
      <c r="M234" s="942">
        <f t="shared" si="2280"/>
        <v>0</v>
      </c>
      <c r="N234" s="942">
        <f t="shared" si="2280"/>
        <v>0</v>
      </c>
      <c r="O234" s="942">
        <f t="shared" si="2280"/>
        <v>0</v>
      </c>
      <c r="P234" s="942">
        <f t="shared" si="2280"/>
        <v>0</v>
      </c>
      <c r="Q234" s="942">
        <f t="shared" si="2280"/>
        <v>0</v>
      </c>
      <c r="R234" s="942">
        <f t="shared" si="2280"/>
        <v>0</v>
      </c>
      <c r="S234" s="942">
        <f t="shared" si="2280"/>
        <v>0</v>
      </c>
      <c r="T234" s="942">
        <f t="shared" si="2280"/>
        <v>0</v>
      </c>
      <c r="U234" s="942">
        <f t="shared" si="2280"/>
        <v>0</v>
      </c>
      <c r="V234" s="942">
        <f t="shared" si="2280"/>
        <v>0</v>
      </c>
      <c r="W234" s="942">
        <f t="shared" si="2280"/>
        <v>0</v>
      </c>
      <c r="X234" s="942">
        <f t="shared" si="2280"/>
        <v>0</v>
      </c>
      <c r="Y234" s="942">
        <f t="shared" si="2280"/>
        <v>0</v>
      </c>
      <c r="Z234" s="942">
        <f t="shared" si="2280"/>
        <v>0</v>
      </c>
      <c r="AA234" s="942">
        <f t="shared" si="2280"/>
        <v>0</v>
      </c>
      <c r="AB234" s="942">
        <f t="shared" si="2280"/>
        <v>0</v>
      </c>
      <c r="AC234" s="942">
        <f t="shared" si="2280"/>
        <v>0</v>
      </c>
      <c r="AD234" s="942">
        <f t="shared" si="2280"/>
        <v>0</v>
      </c>
      <c r="AE234" s="942">
        <f t="shared" si="2280"/>
        <v>0</v>
      </c>
      <c r="AF234" s="942">
        <f t="shared" si="2280"/>
        <v>0</v>
      </c>
      <c r="AG234" s="942">
        <f t="shared" si="2280"/>
        <v>0</v>
      </c>
      <c r="AH234" s="942">
        <f t="shared" si="2280"/>
        <v>0</v>
      </c>
      <c r="AI234" s="942">
        <f t="shared" ref="AI234:BN234" si="2281">+AI216/0.34</f>
        <v>0</v>
      </c>
      <c r="AJ234" s="942">
        <f t="shared" si="2281"/>
        <v>0</v>
      </c>
      <c r="AK234" s="942">
        <f t="shared" si="2281"/>
        <v>0</v>
      </c>
      <c r="AL234" s="942">
        <f t="shared" si="2281"/>
        <v>0</v>
      </c>
      <c r="AM234" s="942">
        <f t="shared" si="2281"/>
        <v>0</v>
      </c>
      <c r="AN234" s="942">
        <f t="shared" si="2281"/>
        <v>0</v>
      </c>
      <c r="AO234" s="942">
        <f t="shared" si="2281"/>
        <v>0</v>
      </c>
      <c r="AP234" s="942">
        <f t="shared" si="2281"/>
        <v>0</v>
      </c>
      <c r="AQ234" s="942">
        <f t="shared" si="2281"/>
        <v>0</v>
      </c>
      <c r="AR234" s="942">
        <f t="shared" si="2281"/>
        <v>0</v>
      </c>
      <c r="AS234" s="942">
        <f t="shared" si="2281"/>
        <v>0</v>
      </c>
      <c r="AT234" s="942">
        <f t="shared" si="2281"/>
        <v>0</v>
      </c>
      <c r="AU234" s="942">
        <f t="shared" si="2281"/>
        <v>0</v>
      </c>
      <c r="AV234" s="942">
        <f t="shared" si="2281"/>
        <v>0</v>
      </c>
      <c r="AW234" s="942">
        <f t="shared" si="2281"/>
        <v>0</v>
      </c>
      <c r="AX234" s="942">
        <f t="shared" si="2281"/>
        <v>0</v>
      </c>
      <c r="AY234" s="942">
        <f t="shared" si="2281"/>
        <v>0</v>
      </c>
      <c r="AZ234" s="942">
        <f t="shared" si="2281"/>
        <v>0</v>
      </c>
      <c r="BA234" s="942">
        <f t="shared" si="2281"/>
        <v>0</v>
      </c>
      <c r="BB234" s="942">
        <f t="shared" si="2281"/>
        <v>0</v>
      </c>
      <c r="BC234" s="942">
        <f t="shared" si="2281"/>
        <v>0</v>
      </c>
      <c r="BD234" s="942">
        <f t="shared" si="2281"/>
        <v>0</v>
      </c>
      <c r="BE234" s="942">
        <f t="shared" si="2281"/>
        <v>0</v>
      </c>
      <c r="BF234" s="942">
        <f t="shared" si="2281"/>
        <v>0</v>
      </c>
      <c r="BG234" s="942">
        <f t="shared" si="2281"/>
        <v>0</v>
      </c>
      <c r="BH234" s="942">
        <f t="shared" si="2281"/>
        <v>0</v>
      </c>
      <c r="BI234" s="942">
        <f t="shared" si="2281"/>
        <v>0</v>
      </c>
      <c r="BJ234" s="942">
        <f t="shared" si="2281"/>
        <v>0</v>
      </c>
      <c r="BK234" s="942">
        <f t="shared" si="2281"/>
        <v>13729.411764705881</v>
      </c>
      <c r="BL234" s="942">
        <f t="shared" si="2281"/>
        <v>18250</v>
      </c>
      <c r="BM234" s="942">
        <f t="shared" si="2281"/>
        <v>14702.941176470587</v>
      </c>
      <c r="BN234" s="942">
        <f t="shared" si="2281"/>
        <v>80047.058823529413</v>
      </c>
      <c r="BO234" s="942">
        <f t="shared" ref="BO234:CD234" si="2282">+BO216/0.34</f>
        <v>11902.941176470587</v>
      </c>
      <c r="BP234" s="942">
        <f t="shared" si="2282"/>
        <v>19352.941176470587</v>
      </c>
      <c r="BQ234" s="942">
        <f t="shared" si="2282"/>
        <v>19811.764705882353</v>
      </c>
      <c r="BR234" s="942">
        <f t="shared" si="2282"/>
        <v>29652.941176470587</v>
      </c>
      <c r="BS234" s="942">
        <f t="shared" si="2282"/>
        <v>16938.235294117647</v>
      </c>
      <c r="BT234" s="942">
        <f t="shared" si="2282"/>
        <v>20808.823529411762</v>
      </c>
      <c r="BU234" s="942">
        <f t="shared" si="2282"/>
        <v>17055.882352941175</v>
      </c>
      <c r="BV234" s="942">
        <f t="shared" si="2282"/>
        <v>234561.76470588235</v>
      </c>
      <c r="BW234" s="942">
        <f t="shared" si="2282"/>
        <v>118423.5294117647</v>
      </c>
      <c r="BX234" s="942">
        <f t="shared" si="2282"/>
        <v>68414.705882352937</v>
      </c>
      <c r="BY234" s="942">
        <f t="shared" si="2282"/>
        <v>95847.058823529398</v>
      </c>
      <c r="BZ234" s="942">
        <f t="shared" si="2282"/>
        <v>93735.294117647049</v>
      </c>
      <c r="CA234" s="942">
        <f t="shared" si="2282"/>
        <v>107808.82352941176</v>
      </c>
      <c r="CB234" s="942">
        <f t="shared" si="2282"/>
        <v>143885.29411764705</v>
      </c>
      <c r="CC234" s="942">
        <f t="shared" si="2282"/>
        <v>68111.76470588235</v>
      </c>
      <c r="CD234" s="942">
        <f t="shared" si="2282"/>
        <v>96779.411764705874</v>
      </c>
      <c r="CE234" s="942">
        <f>+CE232/0.25</f>
        <v>112599.99999999999</v>
      </c>
      <c r="CF234" s="942">
        <f>+CF232/0.25</f>
        <v>135952.94117647057</v>
      </c>
      <c r="CG234" s="942">
        <f>+CG232/0.25</f>
        <v>131517.64705882352</v>
      </c>
      <c r="CH234" s="942">
        <f>+CH232/0.25</f>
        <v>160482.35294117645</v>
      </c>
      <c r="CI234" s="942">
        <f>+CI232/0.25</f>
        <v>130858.82352941176</v>
      </c>
      <c r="CJ234" s="942">
        <f t="shared" ref="CJ234:CK234" si="2283">+CJ232/0.25</f>
        <v>96435.294117647049</v>
      </c>
      <c r="CK234" s="942">
        <f t="shared" si="2283"/>
        <v>70317.647058823524</v>
      </c>
      <c r="CL234" s="813">
        <f t="shared" ref="CL234:CP234" si="2284">+CL235*CL$6</f>
        <v>167802.27022295495</v>
      </c>
      <c r="CM234" s="813">
        <f t="shared" si="2284"/>
        <v>137955.27800280767</v>
      </c>
      <c r="CN234" s="813">
        <f t="shared" si="2284"/>
        <v>100796.74370399752</v>
      </c>
      <c r="CO234" s="813">
        <f t="shared" si="2284"/>
        <v>75788.332726946595</v>
      </c>
      <c r="CP234" s="813">
        <f t="shared" si="2284"/>
        <v>182482.55167294139</v>
      </c>
      <c r="CQ234" s="942"/>
      <c r="CR234" s="942">
        <v>167802.27022295495</v>
      </c>
      <c r="CT234" s="942"/>
      <c r="CU234" s="942"/>
      <c r="CV234" s="942"/>
      <c r="CW234" s="942"/>
      <c r="CX234" s="903"/>
      <c r="CY234" s="954"/>
      <c r="CZ234" s="954"/>
      <c r="DA234" s="954"/>
      <c r="DB234" s="954"/>
      <c r="DC234" s="592"/>
      <c r="DD234" s="954"/>
      <c r="DE234" s="954"/>
      <c r="DF234" s="954"/>
      <c r="DG234" s="954"/>
      <c r="DH234" s="954"/>
      <c r="DI234" s="954"/>
      <c r="DJ234" s="942">
        <f t="shared" ref="DJ234:DN234" si="2285">+DJ216/0.34</f>
        <v>126729.41176470587</v>
      </c>
      <c r="DK234" s="942">
        <f t="shared" si="2285"/>
        <v>80720.588235294112</v>
      </c>
      <c r="DL234" s="942">
        <f t="shared" si="2285"/>
        <v>289364.70588235289</v>
      </c>
      <c r="DM234" s="942">
        <f t="shared" si="2285"/>
        <v>376420.5882352941</v>
      </c>
      <c r="DN234" s="942">
        <f t="shared" si="2285"/>
        <v>416585.29411764705</v>
      </c>
      <c r="DO234" s="942">
        <f t="shared" ref="DO234:DU234" si="2286">+DO232/0.25</f>
        <v>540552.9411764706</v>
      </c>
      <c r="DP234" s="942">
        <f t="shared" ref="DP234:DQ234" si="2287">+DP232/0.25</f>
        <v>465414.03492883733</v>
      </c>
      <c r="DQ234" s="942">
        <f t="shared" si="2287"/>
        <v>497022.90610669309</v>
      </c>
      <c r="DR234" s="942">
        <f t="shared" si="2286"/>
        <v>538557.3191385055</v>
      </c>
      <c r="DS234" s="942">
        <f t="shared" si="2286"/>
        <v>575310.67704979738</v>
      </c>
      <c r="DT234" s="942">
        <f t="shared" si="2286"/>
        <v>614573.15927508101</v>
      </c>
      <c r="DU234" s="942">
        <f t="shared" si="2286"/>
        <v>656483.42075620149</v>
      </c>
      <c r="DX234" s="942">
        <v>506682.93315641402</v>
      </c>
      <c r="DY234" s="942">
        <v>546838.60671246529</v>
      </c>
    </row>
    <row r="235" spans="1:129" s="904" customFormat="1">
      <c r="A235" s="939"/>
      <c r="B235" s="908" t="s">
        <v>233</v>
      </c>
      <c r="C235" s="1827">
        <f t="shared" ref="C235:BN235" si="2288">+C234/C$6</f>
        <v>0</v>
      </c>
      <c r="D235" s="1827">
        <f t="shared" si="2288"/>
        <v>0</v>
      </c>
      <c r="E235" s="1827">
        <f t="shared" si="2288"/>
        <v>0</v>
      </c>
      <c r="F235" s="1827">
        <f t="shared" si="2288"/>
        <v>0</v>
      </c>
      <c r="G235" s="1827">
        <f t="shared" si="2288"/>
        <v>0</v>
      </c>
      <c r="H235" s="1827">
        <f t="shared" si="2288"/>
        <v>0</v>
      </c>
      <c r="I235" s="1827">
        <f t="shared" si="2288"/>
        <v>0</v>
      </c>
      <c r="J235" s="1827">
        <f t="shared" si="2288"/>
        <v>0</v>
      </c>
      <c r="K235" s="1827">
        <f t="shared" si="2288"/>
        <v>0</v>
      </c>
      <c r="L235" s="1827">
        <f t="shared" si="2288"/>
        <v>0</v>
      </c>
      <c r="M235" s="1827">
        <f t="shared" si="2288"/>
        <v>0</v>
      </c>
      <c r="N235" s="1827">
        <f t="shared" si="2288"/>
        <v>0</v>
      </c>
      <c r="O235" s="1827">
        <f t="shared" si="2288"/>
        <v>0</v>
      </c>
      <c r="P235" s="1827">
        <f t="shared" si="2288"/>
        <v>0</v>
      </c>
      <c r="Q235" s="1827">
        <f t="shared" si="2288"/>
        <v>0</v>
      </c>
      <c r="R235" s="1827">
        <f t="shared" si="2288"/>
        <v>0</v>
      </c>
      <c r="S235" s="1827">
        <f t="shared" si="2288"/>
        <v>0</v>
      </c>
      <c r="T235" s="1827">
        <f t="shared" si="2288"/>
        <v>0</v>
      </c>
      <c r="U235" s="1827">
        <f t="shared" si="2288"/>
        <v>0</v>
      </c>
      <c r="V235" s="1827">
        <f t="shared" si="2288"/>
        <v>0</v>
      </c>
      <c r="W235" s="1827">
        <f t="shared" si="2288"/>
        <v>0</v>
      </c>
      <c r="X235" s="1827">
        <f t="shared" si="2288"/>
        <v>0</v>
      </c>
      <c r="Y235" s="1827">
        <f t="shared" si="2288"/>
        <v>0</v>
      </c>
      <c r="Z235" s="1827">
        <f t="shared" si="2288"/>
        <v>0</v>
      </c>
      <c r="AA235" s="1827">
        <f t="shared" si="2288"/>
        <v>0</v>
      </c>
      <c r="AB235" s="1827">
        <f t="shared" si="2288"/>
        <v>0</v>
      </c>
      <c r="AC235" s="1827">
        <f t="shared" si="2288"/>
        <v>0</v>
      </c>
      <c r="AD235" s="1827">
        <f t="shared" si="2288"/>
        <v>0</v>
      </c>
      <c r="AE235" s="1827">
        <f t="shared" si="2288"/>
        <v>0</v>
      </c>
      <c r="AF235" s="1827">
        <f t="shared" si="2288"/>
        <v>0</v>
      </c>
      <c r="AG235" s="1827">
        <f t="shared" si="2288"/>
        <v>0</v>
      </c>
      <c r="AH235" s="1827">
        <f t="shared" si="2288"/>
        <v>0</v>
      </c>
      <c r="AI235" s="1827">
        <f t="shared" si="2288"/>
        <v>0</v>
      </c>
      <c r="AJ235" s="1827">
        <f t="shared" si="2288"/>
        <v>0</v>
      </c>
      <c r="AK235" s="1827">
        <f t="shared" si="2288"/>
        <v>0</v>
      </c>
      <c r="AL235" s="1827">
        <f t="shared" si="2288"/>
        <v>0</v>
      </c>
      <c r="AM235" s="1827">
        <f t="shared" si="2288"/>
        <v>0</v>
      </c>
      <c r="AN235" s="1827">
        <f t="shared" si="2288"/>
        <v>0</v>
      </c>
      <c r="AO235" s="1827">
        <f t="shared" si="2288"/>
        <v>0</v>
      </c>
      <c r="AP235" s="1827">
        <f t="shared" si="2288"/>
        <v>0</v>
      </c>
      <c r="AQ235" s="1827">
        <f t="shared" si="2288"/>
        <v>0</v>
      </c>
      <c r="AR235" s="1827">
        <f t="shared" si="2288"/>
        <v>0</v>
      </c>
      <c r="AS235" s="1827">
        <f t="shared" si="2288"/>
        <v>0</v>
      </c>
      <c r="AT235" s="1827">
        <f t="shared" si="2288"/>
        <v>0</v>
      </c>
      <c r="AU235" s="1827">
        <f t="shared" si="2288"/>
        <v>0</v>
      </c>
      <c r="AV235" s="1827">
        <f t="shared" si="2288"/>
        <v>0</v>
      </c>
      <c r="AW235" s="1827">
        <f t="shared" si="2288"/>
        <v>0</v>
      </c>
      <c r="AX235" s="1827">
        <f t="shared" si="2288"/>
        <v>0</v>
      </c>
      <c r="AY235" s="1827">
        <f t="shared" si="2288"/>
        <v>0</v>
      </c>
      <c r="AZ235" s="1827">
        <f t="shared" si="2288"/>
        <v>0</v>
      </c>
      <c r="BA235" s="1827">
        <f t="shared" si="2288"/>
        <v>0</v>
      </c>
      <c r="BB235" s="1827">
        <f t="shared" si="2288"/>
        <v>0</v>
      </c>
      <c r="BC235" s="1827">
        <f t="shared" si="2288"/>
        <v>0</v>
      </c>
      <c r="BD235" s="1827">
        <f t="shared" si="2288"/>
        <v>0</v>
      </c>
      <c r="BE235" s="1827">
        <f t="shared" si="2288"/>
        <v>0</v>
      </c>
      <c r="BF235" s="1827">
        <f t="shared" si="2288"/>
        <v>0</v>
      </c>
      <c r="BG235" s="1827">
        <f t="shared" si="2288"/>
        <v>0</v>
      </c>
      <c r="BH235" s="1827">
        <f t="shared" si="2288"/>
        <v>0</v>
      </c>
      <c r="BI235" s="1827">
        <f t="shared" si="2288"/>
        <v>0</v>
      </c>
      <c r="BJ235" s="1827">
        <f t="shared" si="2288"/>
        <v>0</v>
      </c>
      <c r="BK235" s="1827">
        <f t="shared" si="2288"/>
        <v>7.2561114163161586E-3</v>
      </c>
      <c r="BL235" s="1827">
        <f t="shared" si="2288"/>
        <v>7.9624642888930387E-3</v>
      </c>
      <c r="BM235" s="1827">
        <f t="shared" si="2288"/>
        <v>6.6058219240080727E-3</v>
      </c>
      <c r="BN235" s="1827">
        <f t="shared" si="2288"/>
        <v>2.5183426973252807E-2</v>
      </c>
      <c r="BO235" s="1827">
        <f t="shared" ref="BO235:CD235" si="2289">+BO234/BO$6</f>
        <v>6.3865169281203905E-3</v>
      </c>
      <c r="BP235" s="1827">
        <f t="shared" si="2289"/>
        <v>2.3936669828635269E-2</v>
      </c>
      <c r="BQ235" s="1827">
        <f t="shared" si="2289"/>
        <v>1.1067783833694323E-2</v>
      </c>
      <c r="BR235" s="1827">
        <f t="shared" si="2289"/>
        <v>9.6436280564571389E-3</v>
      </c>
      <c r="BS235" s="1827">
        <f t="shared" si="2289"/>
        <v>1.071095204238643E-2</v>
      </c>
      <c r="BT235" s="1827">
        <f t="shared" si="2289"/>
        <v>8.3559739875636169E-3</v>
      </c>
      <c r="BU235" s="1827">
        <f t="shared" si="2289"/>
        <v>6.4893473092199633E-3</v>
      </c>
      <c r="BV235" s="1827">
        <f t="shared" si="2289"/>
        <v>6.0585542853836639E-2</v>
      </c>
      <c r="BW235" s="1827">
        <f t="shared" si="2289"/>
        <v>4.5320490516644586E-2</v>
      </c>
      <c r="BX235" s="1827">
        <f t="shared" si="2289"/>
        <v>1.8866063987531479E-2</v>
      </c>
      <c r="BY235" s="1827">
        <f t="shared" si="2289"/>
        <v>3.1762341738001652E-2</v>
      </c>
      <c r="BZ235" s="1827">
        <f t="shared" si="2289"/>
        <v>2.3351253497046205E-2</v>
      </c>
      <c r="CA235" s="1827">
        <f t="shared" si="2289"/>
        <v>3.8845938924412911E-2</v>
      </c>
      <c r="CB235" s="1827">
        <f t="shared" si="2289"/>
        <v>4.1062182065221359E-2</v>
      </c>
      <c r="CC235" s="1827">
        <f t="shared" si="2289"/>
        <v>2.1992138669864398E-2</v>
      </c>
      <c r="CD235" s="1827">
        <f t="shared" si="2289"/>
        <v>2.2657655624181674E-2</v>
      </c>
      <c r="CE235" s="1827">
        <f>+CE234/CE$6</f>
        <v>3.8717455073482357E-2</v>
      </c>
      <c r="CF235" s="1827">
        <f>+CF234/CF$6</f>
        <v>3.8618704904219606E-2</v>
      </c>
      <c r="CG235" s="1827">
        <f>+CG234/CG$6</f>
        <v>3.8789941881535638E-2</v>
      </c>
      <c r="CH235" s="1827">
        <f>+CH234/CH$6</f>
        <v>3.475737721254523E-2</v>
      </c>
      <c r="CI235" s="1827">
        <f>+CI234/CI$6</f>
        <v>4.0170612605634301E-2</v>
      </c>
      <c r="CJ235" s="1827">
        <f t="shared" ref="CJ235:CK235" si="2290">+CJ234/CJ$6</f>
        <v>2.3139476163700119E-2</v>
      </c>
      <c r="CK235" s="1827">
        <f t="shared" si="2290"/>
        <v>1.9732902926927313E-2</v>
      </c>
      <c r="CL235" s="1575">
        <f t="shared" ref="CL235" si="2291">+CH235</f>
        <v>3.475737721254523E-2</v>
      </c>
      <c r="CM235" s="1575">
        <f t="shared" ref="CM235" si="2292">+CI235</f>
        <v>4.0170612605634301E-2</v>
      </c>
      <c r="CN235" s="1575">
        <f t="shared" ref="CN235" si="2293">+CJ235</f>
        <v>2.3139476163700119E-2</v>
      </c>
      <c r="CO235" s="1575">
        <f t="shared" ref="CO235" si="2294">+CK235</f>
        <v>1.9732902926927313E-2</v>
      </c>
      <c r="CP235" s="1575">
        <f t="shared" ref="CP235" si="2295">+CL235</f>
        <v>3.475737721254523E-2</v>
      </c>
      <c r="CQ235" s="592"/>
      <c r="CR235" s="1827">
        <v>3.475737721254523E-2</v>
      </c>
      <c r="CT235" s="592"/>
      <c r="CU235" s="592"/>
      <c r="CV235" s="592"/>
      <c r="CW235" s="592"/>
      <c r="CX235" s="903"/>
      <c r="CY235" s="954"/>
      <c r="CZ235" s="954"/>
      <c r="DA235" s="954"/>
      <c r="DB235" s="954"/>
      <c r="DC235" s="592"/>
      <c r="DD235" s="954"/>
      <c r="DE235" s="954"/>
      <c r="DF235" s="954"/>
      <c r="DG235" s="954"/>
      <c r="DH235" s="954"/>
      <c r="DI235" s="954"/>
      <c r="DJ235" s="1827">
        <f t="shared" ref="DJ235" si="2296">+DJ234/DJ$6</f>
        <v>1.321689987270145E-2</v>
      </c>
      <c r="DK235" s="1827">
        <f t="shared" ref="DK235" si="2297">+DK234/DK$6</f>
        <v>1.0709653774394947E-2</v>
      </c>
      <c r="DL235" s="1827">
        <f t="shared" ref="DL235" si="2298">+DL234/DL$6</f>
        <v>2.7372006703070804E-2</v>
      </c>
      <c r="DM235" s="1827">
        <f t="shared" ref="DM235" si="2299">+DM234/DM$6</f>
        <v>2.8363853695074815E-2</v>
      </c>
      <c r="DN235" s="1827">
        <f t="shared" ref="DN235" si="2300">+DN234/DN$6</f>
        <v>3.0523879192805185E-2</v>
      </c>
      <c r="DO235" s="1827">
        <f t="shared" ref="DO235:DP235" si="2301">+DO234/DO$6</f>
        <v>3.7443837401772068E-2</v>
      </c>
      <c r="DP235" s="1827">
        <f t="shared" si="2301"/>
        <v>2.9425982598752533E-2</v>
      </c>
      <c r="DQ235" s="1827">
        <f t="shared" ref="DQ235" si="2302">+DQ234/DQ$6</f>
        <v>2.944243427299428E-2</v>
      </c>
      <c r="DR235" s="1827">
        <f t="shared" ref="DR235" si="2303">+DR234/DR$6</f>
        <v>2.9442434272994276E-2</v>
      </c>
      <c r="DS235" s="1827">
        <f t="shared" ref="DS235" si="2304">+DS234/DS$6</f>
        <v>2.944243427299428E-2</v>
      </c>
      <c r="DT235" s="1827">
        <f t="shared" ref="DT235" si="2305">+DT234/DT$6</f>
        <v>2.944243427299428E-2</v>
      </c>
      <c r="DU235" s="1827">
        <f t="shared" ref="DU235" si="2306">+DU234/DU$6</f>
        <v>2.9442434272994276E-2</v>
      </c>
      <c r="DX235" s="1827">
        <v>2.9500688931115886E-2</v>
      </c>
      <c r="DY235" s="1827">
        <v>2.9500688931115886E-2</v>
      </c>
    </row>
    <row r="236" spans="1:129" s="904" customFormat="1">
      <c r="A236" s="939"/>
      <c r="B236" s="910"/>
      <c r="C236" s="592"/>
      <c r="D236" s="592"/>
      <c r="E236" s="592"/>
      <c r="F236" s="592"/>
      <c r="G236" s="592"/>
      <c r="H236" s="592"/>
      <c r="I236" s="592"/>
      <c r="J236" s="592"/>
      <c r="K236" s="592"/>
      <c r="L236" s="592"/>
      <c r="M236" s="592"/>
      <c r="N236" s="592"/>
      <c r="O236" s="592"/>
      <c r="P236" s="592"/>
      <c r="Q236" s="592"/>
      <c r="R236" s="592"/>
      <c r="S236" s="592"/>
      <c r="T236" s="592"/>
      <c r="U236" s="592"/>
      <c r="V236" s="592"/>
      <c r="W236" s="592"/>
      <c r="X236" s="592"/>
      <c r="Y236" s="592"/>
      <c r="Z236" s="592"/>
      <c r="AA236" s="592"/>
      <c r="AB236" s="592"/>
      <c r="AC236" s="592"/>
      <c r="AD236" s="592"/>
      <c r="AE236" s="592"/>
      <c r="AF236" s="592"/>
      <c r="AG236" s="592"/>
      <c r="AH236" s="592"/>
      <c r="AI236" s="592"/>
      <c r="AJ236" s="592"/>
      <c r="AK236" s="592"/>
      <c r="AL236" s="592"/>
      <c r="AM236" s="592"/>
      <c r="AN236" s="592"/>
      <c r="AO236" s="592"/>
      <c r="AP236" s="592"/>
      <c r="AQ236" s="592"/>
      <c r="AR236" s="592"/>
      <c r="AS236" s="592"/>
      <c r="AT236" s="592"/>
      <c r="AU236" s="592"/>
      <c r="AV236" s="592"/>
      <c r="AW236" s="592"/>
      <c r="AX236" s="592"/>
      <c r="AY236" s="592"/>
      <c r="AZ236" s="911"/>
      <c r="BA236" s="911"/>
      <c r="BB236" s="911"/>
      <c r="BC236" s="911"/>
      <c r="BD236" s="911"/>
      <c r="BE236" s="911"/>
      <c r="BF236" s="911"/>
      <c r="BG236" s="911"/>
      <c r="BH236" s="911"/>
      <c r="BI236" s="911"/>
      <c r="BJ236" s="592"/>
      <c r="BK236" s="592"/>
      <c r="BL236" s="592"/>
      <c r="BM236" s="592"/>
      <c r="BN236" s="592"/>
      <c r="BO236" s="592"/>
      <c r="BP236" s="592"/>
      <c r="BQ236" s="592"/>
      <c r="BR236" s="592"/>
      <c r="BS236" s="592"/>
      <c r="BT236" s="592"/>
      <c r="BU236" s="592"/>
      <c r="BV236" s="592"/>
      <c r="BW236" s="592"/>
      <c r="BX236" s="592"/>
      <c r="BY236" s="592"/>
      <c r="BZ236" s="592"/>
      <c r="CA236" s="592"/>
      <c r="CB236" s="592"/>
      <c r="CC236" s="592"/>
      <c r="CD236" s="592"/>
      <c r="CE236" s="592"/>
      <c r="CF236" s="592"/>
      <c r="CG236" s="592"/>
      <c r="CH236" s="592"/>
      <c r="CI236" s="592"/>
      <c r="CJ236" s="592"/>
      <c r="CK236" s="592"/>
      <c r="CL236" s="592"/>
      <c r="CM236" s="592"/>
      <c r="CN236" s="592"/>
      <c r="CO236" s="592"/>
      <c r="CP236" s="592"/>
      <c r="CQ236" s="592"/>
      <c r="CR236" s="592"/>
      <c r="CT236" s="592"/>
      <c r="CU236" s="592"/>
      <c r="CV236" s="592"/>
      <c r="CW236" s="592"/>
      <c r="CX236" s="903"/>
      <c r="CY236" s="954"/>
      <c r="CZ236" s="954"/>
      <c r="DA236" s="954"/>
      <c r="DB236" s="954"/>
      <c r="DC236" s="592"/>
      <c r="DD236" s="954"/>
      <c r="DE236" s="954"/>
      <c r="DF236" s="954"/>
      <c r="DG236" s="954"/>
      <c r="DH236" s="954"/>
      <c r="DI236" s="954"/>
      <c r="DJ236" s="592"/>
      <c r="DK236" s="592"/>
      <c r="DL236" s="592"/>
      <c r="DM236" s="592"/>
      <c r="DN236" s="592"/>
      <c r="DO236" s="592"/>
      <c r="DP236" s="592"/>
      <c r="DQ236" s="592"/>
      <c r="DR236" s="592"/>
      <c r="DS236" s="592"/>
      <c r="DT236" s="592"/>
      <c r="DU236" s="592"/>
      <c r="DX236" s="592"/>
      <c r="DY236" s="592"/>
    </row>
    <row r="237" spans="1:129">
      <c r="A237" s="592"/>
      <c r="B237" s="958" t="s">
        <v>507</v>
      </c>
      <c r="C237" s="958"/>
      <c r="D237" s="958"/>
      <c r="E237" s="958"/>
      <c r="F237" s="958"/>
      <c r="G237" s="958"/>
      <c r="H237" s="958"/>
      <c r="I237" s="958"/>
      <c r="J237" s="958"/>
      <c r="K237" s="958"/>
      <c r="L237" s="958"/>
      <c r="M237" s="958"/>
      <c r="N237" s="958"/>
      <c r="O237" s="958"/>
      <c r="P237" s="958"/>
      <c r="Q237" s="958"/>
      <c r="R237" s="958"/>
      <c r="S237" s="958"/>
      <c r="T237" s="958"/>
      <c r="U237" s="958"/>
      <c r="V237" s="958"/>
      <c r="W237" s="958"/>
      <c r="X237" s="958"/>
      <c r="Y237" s="958"/>
      <c r="Z237" s="958"/>
      <c r="AA237" s="958"/>
      <c r="AB237" s="958"/>
      <c r="AC237" s="958"/>
      <c r="AD237" s="958"/>
      <c r="AE237" s="958"/>
      <c r="AF237" s="958"/>
      <c r="AG237" s="958"/>
      <c r="AH237" s="958"/>
      <c r="AI237" s="958"/>
      <c r="AJ237" s="958"/>
      <c r="AK237" s="958"/>
      <c r="AL237" s="958"/>
      <c r="AM237" s="958"/>
      <c r="AN237" s="958"/>
      <c r="AO237" s="958"/>
      <c r="AP237" s="958"/>
      <c r="AQ237" s="958"/>
      <c r="AR237" s="958"/>
      <c r="AS237" s="958"/>
      <c r="AT237" s="958"/>
      <c r="AU237" s="958"/>
      <c r="AV237" s="958"/>
      <c r="AW237" s="958"/>
      <c r="AX237" s="958"/>
      <c r="AY237" s="958"/>
      <c r="AZ237" s="959"/>
      <c r="BA237" s="958"/>
      <c r="BB237" s="958"/>
      <c r="BC237" s="958"/>
      <c r="BD237" s="958"/>
      <c r="BE237" s="958"/>
      <c r="BF237" s="958"/>
      <c r="BG237" s="958"/>
      <c r="BH237" s="958"/>
      <c r="BI237" s="958"/>
      <c r="BJ237" s="958"/>
      <c r="BK237" s="958"/>
      <c r="BL237" s="958"/>
      <c r="BM237" s="958"/>
      <c r="BN237" s="958"/>
      <c r="BO237" s="958"/>
      <c r="BP237" s="958"/>
      <c r="BQ237" s="958"/>
      <c r="BR237" s="958"/>
      <c r="BS237" s="958"/>
      <c r="BT237" s="958"/>
      <c r="BU237" s="958"/>
      <c r="BV237" s="958"/>
      <c r="BW237" s="958"/>
      <c r="BX237" s="958"/>
      <c r="BY237" s="958"/>
      <c r="BZ237" s="958"/>
      <c r="CA237" s="958"/>
      <c r="CB237" s="958"/>
      <c r="CC237" s="958"/>
      <c r="CD237" s="958"/>
      <c r="CE237" s="958"/>
      <c r="CF237" s="958"/>
      <c r="CG237" s="958"/>
      <c r="CH237" s="958"/>
      <c r="CI237" s="958"/>
      <c r="CJ237" s="958"/>
      <c r="CK237" s="958"/>
      <c r="CL237" s="958"/>
      <c r="CM237" s="958"/>
      <c r="CN237" s="958"/>
      <c r="CO237" s="958"/>
      <c r="CP237" s="958"/>
      <c r="CQ237" s="958"/>
      <c r="CR237" s="958"/>
      <c r="CT237" s="958"/>
      <c r="CU237" s="958"/>
      <c r="CV237" s="958"/>
      <c r="CW237" s="958"/>
      <c r="CX237" s="958"/>
      <c r="CY237" s="958"/>
      <c r="CZ237" s="958"/>
      <c r="DA237" s="958"/>
      <c r="DB237" s="958"/>
      <c r="DC237" s="958"/>
      <c r="DD237" s="958"/>
      <c r="DE237" s="958"/>
      <c r="DF237" s="958"/>
      <c r="DG237" s="958"/>
      <c r="DH237" s="958"/>
      <c r="DI237" s="958"/>
      <c r="DJ237" s="958"/>
      <c r="DK237" s="958"/>
      <c r="DL237" s="958"/>
      <c r="DM237" s="958"/>
      <c r="DN237" s="958"/>
      <c r="DO237" s="958"/>
      <c r="DP237" s="958"/>
      <c r="DQ237" s="958"/>
      <c r="DR237" s="958"/>
      <c r="DS237" s="958"/>
      <c r="DT237" s="958"/>
      <c r="DU237" s="958"/>
      <c r="DX237" s="958"/>
      <c r="DY237" s="958"/>
    </row>
    <row r="238" spans="1:129" s="904" customFormat="1">
      <c r="A238" s="939"/>
      <c r="B238" s="912" t="s">
        <v>508</v>
      </c>
      <c r="C238" s="918">
        <v>0</v>
      </c>
      <c r="D238" s="918">
        <f t="shared" ref="D238:AI238" si="2307">+D6/C6-1</f>
        <v>0.35789581124222436</v>
      </c>
      <c r="E238" s="918">
        <f t="shared" si="2307"/>
        <v>-0.12324768550417797</v>
      </c>
      <c r="F238" s="918">
        <f t="shared" si="2307"/>
        <v>0.56236812650329826</v>
      </c>
      <c r="G238" s="918">
        <f t="shared" si="2307"/>
        <v>-0.35918689620061761</v>
      </c>
      <c r="H238" s="918">
        <f t="shared" si="2307"/>
        <v>0.40711879888108693</v>
      </c>
      <c r="I238" s="918">
        <f t="shared" si="2307"/>
        <v>-8.0853466404311236E-2</v>
      </c>
      <c r="J238" s="918">
        <f t="shared" si="2307"/>
        <v>0.56059764517208777</v>
      </c>
      <c r="K238" s="918">
        <f t="shared" si="2307"/>
        <v>-0.37127570561546164</v>
      </c>
      <c r="L238" s="918">
        <f t="shared" si="2307"/>
        <v>0.42776811420345484</v>
      </c>
      <c r="M238" s="918">
        <f t="shared" si="2307"/>
        <v>-8.9463319855064838E-2</v>
      </c>
      <c r="N238" s="918">
        <f t="shared" si="2307"/>
        <v>0.54803669111010511</v>
      </c>
      <c r="O238" s="918">
        <f t="shared" si="2307"/>
        <v>-0.35258988262775248</v>
      </c>
      <c r="P238" s="918">
        <f t="shared" si="2307"/>
        <v>0.41235775632633676</v>
      </c>
      <c r="Q238" s="918">
        <f t="shared" si="2307"/>
        <v>-9.5462768298049228E-2</v>
      </c>
      <c r="R238" s="918">
        <f t="shared" si="2307"/>
        <v>0.46054611136635937</v>
      </c>
      <c r="S238" s="918">
        <f t="shared" si="2307"/>
        <v>-0.33416037008481114</v>
      </c>
      <c r="T238" s="918">
        <f t="shared" si="2307"/>
        <v>0.31160475871763804</v>
      </c>
      <c r="U238" s="918">
        <f t="shared" si="2307"/>
        <v>-9.7072995884148749E-2</v>
      </c>
      <c r="V238" s="918">
        <f t="shared" si="2307"/>
        <v>0.31703658798912726</v>
      </c>
      <c r="W238" s="918">
        <f t="shared" si="2307"/>
        <v>-0.37767133437170097</v>
      </c>
      <c r="X238" s="918">
        <f t="shared" si="2307"/>
        <v>0.46352717746591776</v>
      </c>
      <c r="Y238" s="918">
        <f t="shared" si="2307"/>
        <v>-9.9611355463031459E-2</v>
      </c>
      <c r="Z238" s="918">
        <f t="shared" si="2307"/>
        <v>0.4100189929224658</v>
      </c>
      <c r="AA238" s="918">
        <f t="shared" si="2307"/>
        <v>-0.35064826668755433</v>
      </c>
      <c r="AB238" s="918">
        <f t="shared" si="2307"/>
        <v>0.38822412719129118</v>
      </c>
      <c r="AC238" s="918">
        <f t="shared" si="2307"/>
        <v>-8.2825511596568702E-2</v>
      </c>
      <c r="AD238" s="918">
        <f t="shared" si="2307"/>
        <v>0.39740601019145072</v>
      </c>
      <c r="AE238" s="918">
        <f t="shared" si="2307"/>
        <v>-0.3345199566102659</v>
      </c>
      <c r="AF238" s="918">
        <f t="shared" si="2307"/>
        <v>0.39690230089500611</v>
      </c>
      <c r="AG238" s="918">
        <f t="shared" si="2307"/>
        <v>-0.11297806482157879</v>
      </c>
      <c r="AH238" s="918">
        <f t="shared" si="2307"/>
        <v>0.43065443537191239</v>
      </c>
      <c r="AI238" s="918">
        <f t="shared" si="2307"/>
        <v>-0.33177569212970381</v>
      </c>
      <c r="AJ238" s="918">
        <f t="shared" ref="AJ238:BO238" si="2308">+AJ6/AI6-1</f>
        <v>0.34708350486975448</v>
      </c>
      <c r="AK238" s="918">
        <f t="shared" si="2308"/>
        <v>-5.2745605753913738E-2</v>
      </c>
      <c r="AL238" s="918">
        <f t="shared" si="2308"/>
        <v>0.42832835022727811</v>
      </c>
      <c r="AM238" s="918">
        <f t="shared" si="2308"/>
        <v>-0.35496240485178532</v>
      </c>
      <c r="AN238" s="918">
        <f t="shared" si="2308"/>
        <v>0.27168937450605779</v>
      </c>
      <c r="AO238" s="918">
        <f t="shared" si="2308"/>
        <v>-3.674738448248871E-2</v>
      </c>
      <c r="AP238" s="918">
        <f t="shared" si="2308"/>
        <v>0.42416502273761902</v>
      </c>
      <c r="AQ238" s="918">
        <f t="shared" si="2308"/>
        <v>-0.35476788213587485</v>
      </c>
      <c r="AR238" s="918">
        <f t="shared" si="2308"/>
        <v>0.33732077296950602</v>
      </c>
      <c r="AS238" s="918">
        <f t="shared" si="2308"/>
        <v>-4.0968652706918629E-2</v>
      </c>
      <c r="AT238" s="918">
        <f t="shared" si="2308"/>
        <v>0.51054533009138559</v>
      </c>
      <c r="AU238" s="918">
        <f t="shared" si="2308"/>
        <v>-0.35440626617150595</v>
      </c>
      <c r="AV238" s="918">
        <f t="shared" si="2308"/>
        <v>0.30874818028411855</v>
      </c>
      <c r="AW238" s="918">
        <f t="shared" si="2308"/>
        <v>-7.5368344592329772E-2</v>
      </c>
      <c r="AX238" s="918">
        <f t="shared" si="2308"/>
        <v>0.41787829833064083</v>
      </c>
      <c r="AY238" s="918">
        <f t="shared" si="2308"/>
        <v>-0.38072627709141638</v>
      </c>
      <c r="AZ238" s="921">
        <f t="shared" si="2308"/>
        <v>0.32084411268838653</v>
      </c>
      <c r="BA238" s="918">
        <f t="shared" si="2308"/>
        <v>-0.12245293096541598</v>
      </c>
      <c r="BB238" s="918">
        <f t="shared" si="2308"/>
        <v>0.45992506721057613</v>
      </c>
      <c r="BC238" s="918">
        <f t="shared" si="2308"/>
        <v>-0.32948519093690454</v>
      </c>
      <c r="BD238" s="918">
        <f t="shared" si="2308"/>
        <v>0.29378997317928612</v>
      </c>
      <c r="BE238" s="918">
        <f t="shared" si="2308"/>
        <v>-4.628557635386199E-2</v>
      </c>
      <c r="BF238" s="918">
        <f t="shared" si="2308"/>
        <v>0.40374730084054011</v>
      </c>
      <c r="BG238" s="918">
        <f t="shared" si="2308"/>
        <v>-0.33579294399446535</v>
      </c>
      <c r="BH238" s="918">
        <f t="shared" si="2308"/>
        <v>0.24062863687867919</v>
      </c>
      <c r="BI238" s="918">
        <f t="shared" si="2308"/>
        <v>-3.8022431596106521E-2</v>
      </c>
      <c r="BJ238" s="918">
        <f t="shared" si="2308"/>
        <v>0.45880126877745342</v>
      </c>
      <c r="BK238" s="918">
        <f t="shared" si="2308"/>
        <v>-0.33255622566247278</v>
      </c>
      <c r="BL238" s="918">
        <f t="shared" si="2308"/>
        <v>0.21134369597651737</v>
      </c>
      <c r="BM238" s="918">
        <f t="shared" si="2308"/>
        <v>-2.8904399817801352E-2</v>
      </c>
      <c r="BN238" s="918">
        <f t="shared" si="2308"/>
        <v>0.42808215639187597</v>
      </c>
      <c r="BO238" s="918">
        <f t="shared" si="2308"/>
        <v>-0.4136463009519088</v>
      </c>
      <c r="BP238" s="918">
        <f t="shared" ref="BP238:CL238" si="2309">+BP6/BO6-1</f>
        <v>-0.56619652412514265</v>
      </c>
      <c r="BQ238" s="918">
        <f t="shared" si="2309"/>
        <v>1.2140083066792329</v>
      </c>
      <c r="BR238" s="918">
        <f t="shared" si="2309"/>
        <v>0.71776927765260989</v>
      </c>
      <c r="BS238" s="918">
        <f t="shared" si="2309"/>
        <v>-0.48570445488172853</v>
      </c>
      <c r="BT238" s="918">
        <f t="shared" si="2309"/>
        <v>0.57474544610640987</v>
      </c>
      <c r="BU238" s="918">
        <f t="shared" si="2309"/>
        <v>5.5413696087168285E-2</v>
      </c>
      <c r="BV238" s="918">
        <f t="shared" si="2309"/>
        <v>0.47304170640919918</v>
      </c>
      <c r="BW238" s="918">
        <f t="shared" si="2309"/>
        <v>-0.32507551804698076</v>
      </c>
      <c r="BX238" s="918">
        <f t="shared" si="2309"/>
        <v>0.38779322348359613</v>
      </c>
      <c r="BY238" s="918">
        <f t="shared" si="2309"/>
        <v>-0.1678567105042913</v>
      </c>
      <c r="BZ238" s="918">
        <f t="shared" si="2309"/>
        <v>0.33022979607851455</v>
      </c>
      <c r="CA238" s="918">
        <f t="shared" si="2309"/>
        <v>-0.30862171362063739</v>
      </c>
      <c r="CB238" s="918">
        <f t="shared" si="2309"/>
        <v>0.26259975526899515</v>
      </c>
      <c r="CC238" s="918">
        <f t="shared" si="2309"/>
        <v>-0.11614650680363447</v>
      </c>
      <c r="CD238" s="918">
        <f t="shared" si="2309"/>
        <v>0.37915582855681573</v>
      </c>
      <c r="CE238" s="918">
        <f t="shared" si="2309"/>
        <v>-0.31913096897535176</v>
      </c>
      <c r="CF238" s="918">
        <f t="shared" si="2309"/>
        <v>0.2104847280958404</v>
      </c>
      <c r="CG238" s="918">
        <f t="shared" si="2309"/>
        <v>-3.6894197263883433E-2</v>
      </c>
      <c r="CH238" s="918">
        <f t="shared" si="2309"/>
        <v>0.3618064426314751</v>
      </c>
      <c r="CI238" s="918">
        <f t="shared" si="2309"/>
        <v>-0.29447197305216544</v>
      </c>
      <c r="CJ238" s="918">
        <f t="shared" si="2309"/>
        <v>0.27934574665333978</v>
      </c>
      <c r="CK238" s="918">
        <f t="shared" si="2309"/>
        <v>-0.14495127371708094</v>
      </c>
      <c r="CL238" s="918">
        <f t="shared" si="2309"/>
        <v>0.35480716347937213</v>
      </c>
      <c r="CM238" s="918">
        <f t="shared" ref="CM238:CM239" si="2310">+CM6/CL6-1</f>
        <v>-0.28865705116497087</v>
      </c>
      <c r="CN238" s="918">
        <f t="shared" ref="CN238:CN239" si="2311">+CN6/CM6-1</f>
        <v>0.26842009350230644</v>
      </c>
      <c r="CO238" s="918">
        <f t="shared" ref="CO238:CO239" si="2312">+CO6/CN6-1</f>
        <v>-0.11830496637753829</v>
      </c>
      <c r="CP238" s="918">
        <f t="shared" ref="CP238:CP239" si="2313">+CP6/CO6-1</f>
        <v>0.36698256119403472</v>
      </c>
      <c r="CQ238" s="918"/>
      <c r="CR238" s="918">
        <v>0.35480716347937213</v>
      </c>
      <c r="CT238" s="918"/>
      <c r="CU238" s="918"/>
      <c r="CV238" s="918"/>
      <c r="CW238" s="918"/>
      <c r="CX238" s="918">
        <f>+CX6/AO6-1</f>
        <v>0.89041789247480252</v>
      </c>
      <c r="CY238" s="918">
        <f t="shared" ref="CY238:DU238" si="2314">+CY6/CX6-1</f>
        <v>0.13054166910503118</v>
      </c>
      <c r="CZ238" s="918">
        <f t="shared" si="2314"/>
        <v>8.2739542291893731E-2</v>
      </c>
      <c r="DA238" s="918">
        <f t="shared" si="2314"/>
        <v>0.1640317342661366</v>
      </c>
      <c r="DB238" s="918">
        <f t="shared" si="2314"/>
        <v>0.17707893395867758</v>
      </c>
      <c r="DC238" s="918">
        <f t="shared" si="2314"/>
        <v>0.19266879972530848</v>
      </c>
      <c r="DD238" s="918">
        <f t="shared" si="2314"/>
        <v>0.1314881419015832</v>
      </c>
      <c r="DE238" s="918">
        <f t="shared" si="2314"/>
        <v>0.19349841730082185</v>
      </c>
      <c r="DF238" s="918">
        <f t="shared" si="2314"/>
        <v>0.17813385009789018</v>
      </c>
      <c r="DG238" s="918">
        <f t="shared" si="2314"/>
        <v>4.9857140485953355E-2</v>
      </c>
      <c r="DH238" s="918">
        <f t="shared" si="2314"/>
        <v>0.15387315975311466</v>
      </c>
      <c r="DI238" s="918">
        <f t="shared" si="2314"/>
        <v>0.13194462075371716</v>
      </c>
      <c r="DJ238" s="918">
        <f t="shared" si="2314"/>
        <v>0.13788528412785261</v>
      </c>
      <c r="DK238" s="918">
        <f t="shared" si="2314"/>
        <v>-0.21393027873051673</v>
      </c>
      <c r="DL238" s="918">
        <f t="shared" si="2314"/>
        <v>0.40258772551803212</v>
      </c>
      <c r="DM238" s="918">
        <f t="shared" si="2314"/>
        <v>0.25536267394358991</v>
      </c>
      <c r="DN238" s="918">
        <f t="shared" si="2314"/>
        <v>2.8385812006914035E-2</v>
      </c>
      <c r="DO238" s="918">
        <f t="shared" si="2314"/>
        <v>5.7775917655595421E-2</v>
      </c>
      <c r="DP238" s="918">
        <f t="shared" si="2314"/>
        <v>9.5596453599068321E-2</v>
      </c>
      <c r="DQ238" s="918">
        <f t="shared" si="2314"/>
        <v>6.7318871419835169E-2</v>
      </c>
      <c r="DR238" s="918">
        <f t="shared" si="2314"/>
        <v>8.3566396078526894E-2</v>
      </c>
      <c r="DS238" s="918">
        <f t="shared" si="2314"/>
        <v>6.8244096970186519E-2</v>
      </c>
      <c r="DT238" s="918">
        <f t="shared" si="2314"/>
        <v>6.8245704089175518E-2</v>
      </c>
      <c r="DU238" s="918">
        <f t="shared" si="2314"/>
        <v>6.8194096746033717E-2</v>
      </c>
      <c r="DX238" s="918">
        <v>7.0698049320800482E-2</v>
      </c>
      <c r="DY238" s="918">
        <v>7.9252074479594148E-2</v>
      </c>
    </row>
    <row r="239" spans="1:129" s="904" customFormat="1">
      <c r="A239" s="939"/>
      <c r="B239" s="912" t="s">
        <v>509</v>
      </c>
      <c r="C239" s="918">
        <v>0</v>
      </c>
      <c r="D239" s="918">
        <f t="shared" ref="D239:AI239" si="2315">+D7/C7-1</f>
        <v>0.41255306841869754</v>
      </c>
      <c r="E239" s="918">
        <f t="shared" si="2315"/>
        <v>-0.10778193281206538</v>
      </c>
      <c r="F239" s="918">
        <f t="shared" si="2315"/>
        <v>0.56963231091636501</v>
      </c>
      <c r="G239" s="918">
        <f t="shared" si="2315"/>
        <v>-0.45070010702975871</v>
      </c>
      <c r="H239" s="918">
        <f t="shared" si="2315"/>
        <v>0.43327474514136499</v>
      </c>
      <c r="I239" s="918">
        <f t="shared" si="2315"/>
        <v>-2.4140879022311879E-2</v>
      </c>
      <c r="J239" s="918">
        <f t="shared" si="2315"/>
        <v>0.52301826093825166</v>
      </c>
      <c r="K239" s="918">
        <f t="shared" si="2315"/>
        <v>-0.41247748639754067</v>
      </c>
      <c r="L239" s="918">
        <f t="shared" si="2315"/>
        <v>0.51433271808041092</v>
      </c>
      <c r="M239" s="918">
        <f t="shared" si="2315"/>
        <v>-7.9114578089146348E-2</v>
      </c>
      <c r="N239" s="918">
        <f t="shared" si="2315"/>
        <v>0.52326036415532995</v>
      </c>
      <c r="O239" s="918">
        <f t="shared" si="2315"/>
        <v>-0.40366830374008311</v>
      </c>
      <c r="P239" s="918">
        <f t="shared" si="2315"/>
        <v>0.4706903433027767</v>
      </c>
      <c r="Q239" s="918">
        <f t="shared" si="2315"/>
        <v>-0.11531917276553216</v>
      </c>
      <c r="R239" s="918">
        <f t="shared" si="2315"/>
        <v>0.51595123091305695</v>
      </c>
      <c r="S239" s="918">
        <f t="shared" si="2315"/>
        <v>-0.3851994603969936</v>
      </c>
      <c r="T239" s="918">
        <f t="shared" si="2315"/>
        <v>0.36612647064969805</v>
      </c>
      <c r="U239" s="918">
        <f t="shared" si="2315"/>
        <v>-9.057221417016903E-2</v>
      </c>
      <c r="V239" s="918">
        <f t="shared" si="2315"/>
        <v>0.39532986556438154</v>
      </c>
      <c r="W239" s="918">
        <f t="shared" si="2315"/>
        <v>-0.43639059495753751</v>
      </c>
      <c r="X239" s="918">
        <f t="shared" si="2315"/>
        <v>0.53762204707568251</v>
      </c>
      <c r="Y239" s="918">
        <f t="shared" si="2315"/>
        <v>-0.10674878200603</v>
      </c>
      <c r="Z239" s="918">
        <f t="shared" si="2315"/>
        <v>0.37606378422990971</v>
      </c>
      <c r="AA239" s="918">
        <f t="shared" si="2315"/>
        <v>-0.39798678224656547</v>
      </c>
      <c r="AB239" s="918">
        <f t="shared" si="2315"/>
        <v>0.39553550448799291</v>
      </c>
      <c r="AC239" s="918">
        <f t="shared" si="2315"/>
        <v>-2.3491695739436103E-2</v>
      </c>
      <c r="AD239" s="918">
        <f t="shared" si="2315"/>
        <v>0.41296641147665358</v>
      </c>
      <c r="AE239" s="918">
        <f t="shared" si="2315"/>
        <v>-0.39095067019417573</v>
      </c>
      <c r="AF239" s="918">
        <f t="shared" si="2315"/>
        <v>0.40744228542118321</v>
      </c>
      <c r="AG239" s="918">
        <f t="shared" si="2315"/>
        <v>-5.2485173237515781E-2</v>
      </c>
      <c r="AH239" s="918">
        <f t="shared" si="2315"/>
        <v>0.38997683216692858</v>
      </c>
      <c r="AI239" s="918">
        <f t="shared" si="2315"/>
        <v>-0.36259887714049144</v>
      </c>
      <c r="AJ239" s="918">
        <f t="shared" ref="AJ239:BO239" si="2316">+AJ7/AI7-1</f>
        <v>0.33381268611663195</v>
      </c>
      <c r="AK239" s="918">
        <f t="shared" si="2316"/>
        <v>3.4048374628747879E-3</v>
      </c>
      <c r="AL239" s="918">
        <f t="shared" si="2316"/>
        <v>0.39770351467170806</v>
      </c>
      <c r="AM239" s="918">
        <f t="shared" si="2316"/>
        <v>-0.35089694635727731</v>
      </c>
      <c r="AN239" s="918">
        <f t="shared" si="2316"/>
        <v>0.2410217734389184</v>
      </c>
      <c r="AO239" s="918">
        <f t="shared" si="2316"/>
        <v>2.9840735372232752E-2</v>
      </c>
      <c r="AP239" s="918">
        <f t="shared" si="2316"/>
        <v>0.32836848431865362</v>
      </c>
      <c r="AQ239" s="918">
        <f t="shared" si="2316"/>
        <v>-0.34804333698039636</v>
      </c>
      <c r="AR239" s="918">
        <f t="shared" si="2316"/>
        <v>0.29313877897117013</v>
      </c>
      <c r="AS239" s="918">
        <f t="shared" si="2316"/>
        <v>-1.0349053694863941E-2</v>
      </c>
      <c r="AT239" s="918">
        <f t="shared" si="2316"/>
        <v>0.47696066541644733</v>
      </c>
      <c r="AU239" s="918">
        <f t="shared" si="2316"/>
        <v>-0.36957848175459251</v>
      </c>
      <c r="AV239" s="918">
        <f t="shared" si="2316"/>
        <v>0.31014348493672905</v>
      </c>
      <c r="AW239" s="918">
        <f t="shared" si="2316"/>
        <v>-3.5433879120683742E-2</v>
      </c>
      <c r="AX239" s="918">
        <f t="shared" si="2316"/>
        <v>0.38070578534834265</v>
      </c>
      <c r="AY239" s="918">
        <f t="shared" si="2316"/>
        <v>-0.40715385931884307</v>
      </c>
      <c r="AZ239" s="921">
        <f t="shared" si="2316"/>
        <v>0.30434827117422558</v>
      </c>
      <c r="BA239" s="918">
        <f t="shared" si="2316"/>
        <v>-6.727465369069574E-2</v>
      </c>
      <c r="BB239" s="918">
        <f t="shared" si="2316"/>
        <v>0.43949001709815949</v>
      </c>
      <c r="BC239" s="918">
        <f t="shared" si="2316"/>
        <v>-0.33413922428709042</v>
      </c>
      <c r="BD239" s="918">
        <f t="shared" si="2316"/>
        <v>0.25016504083882873</v>
      </c>
      <c r="BE239" s="918">
        <f t="shared" si="2316"/>
        <v>-1.3322303974922733E-2</v>
      </c>
      <c r="BF239" s="918">
        <f t="shared" si="2316"/>
        <v>0.36753383730480116</v>
      </c>
      <c r="BG239" s="918">
        <f t="shared" si="2316"/>
        <v>-0.35528250925044103</v>
      </c>
      <c r="BH239" s="918">
        <f t="shared" si="2316"/>
        <v>0.23506107306488944</v>
      </c>
      <c r="BI239" s="918">
        <f t="shared" si="2316"/>
        <v>3.1576787133475559E-2</v>
      </c>
      <c r="BJ239" s="918">
        <f t="shared" si="2316"/>
        <v>0.40764919581186065</v>
      </c>
      <c r="BK239" s="918">
        <f t="shared" si="2316"/>
        <v>-0.33023881752468742</v>
      </c>
      <c r="BL239" s="918">
        <f t="shared" si="2316"/>
        <v>0.19012783069522632</v>
      </c>
      <c r="BM239" s="918">
        <f t="shared" si="2316"/>
        <v>4.1841145939207625E-3</v>
      </c>
      <c r="BN239" s="918">
        <f t="shared" si="2316"/>
        <v>0.36280374315252972</v>
      </c>
      <c r="BO239" s="918">
        <f t="shared" si="2316"/>
        <v>-0.42509207369856927</v>
      </c>
      <c r="BP239" s="918">
        <f t="shared" ref="BP239:CG239" si="2317">+BP7/BO7-1</f>
        <v>-0.56271800009760664</v>
      </c>
      <c r="BQ239" s="918">
        <f t="shared" si="2317"/>
        <v>1.8537041717682663</v>
      </c>
      <c r="BR239" s="918">
        <f t="shared" si="2317"/>
        <v>0.55619127152011649</v>
      </c>
      <c r="BS239" s="918">
        <f t="shared" si="2317"/>
        <v>-0.51407798996520049</v>
      </c>
      <c r="BT239" s="918">
        <f t="shared" si="2317"/>
        <v>0.55211134773349557</v>
      </c>
      <c r="BU239" s="918">
        <f t="shared" si="2317"/>
        <v>8.8769823924544022E-2</v>
      </c>
      <c r="BV239" s="918">
        <f t="shared" si="2317"/>
        <v>0.44940793115708844</v>
      </c>
      <c r="BW239" s="918">
        <f t="shared" si="2317"/>
        <v>-0.36754113469275207</v>
      </c>
      <c r="BX239" s="918">
        <f t="shared" si="2317"/>
        <v>0.39575641408348905</v>
      </c>
      <c r="BY239" s="918">
        <f t="shared" si="2317"/>
        <v>-0.12662584352504824</v>
      </c>
      <c r="BZ239" s="918">
        <f t="shared" si="2317"/>
        <v>0.29294167684311945</v>
      </c>
      <c r="CA239" s="918">
        <f t="shared" si="2317"/>
        <v>-0.33161110813447681</v>
      </c>
      <c r="CB239" s="918">
        <f t="shared" si="2317"/>
        <v>0.31083296747751499</v>
      </c>
      <c r="CC239" s="918">
        <f t="shared" si="2317"/>
        <v>-0.11155680485701103</v>
      </c>
      <c r="CD239" s="918">
        <f t="shared" si="2317"/>
        <v>0.35960269406082057</v>
      </c>
      <c r="CE239" s="918">
        <f t="shared" si="2317"/>
        <v>-0.32964700230999089</v>
      </c>
      <c r="CF239" s="918">
        <f t="shared" si="2317"/>
        <v>0.19678695814825931</v>
      </c>
      <c r="CG239" s="918">
        <f t="shared" si="2317"/>
        <v>-1.1035923987138485E-2</v>
      </c>
      <c r="CH239" s="918">
        <f>+CH7/CG7-1</f>
        <v>0.36897435935485112</v>
      </c>
      <c r="CI239" s="918">
        <f>+CI7/CH7-1</f>
        <v>-0.33005253433592818</v>
      </c>
      <c r="CJ239" s="918">
        <f>+CJ7/CI7-1</f>
        <v>0.26507435446474648</v>
      </c>
      <c r="CK239" s="918">
        <f>+CK7/CJ7-1</f>
        <v>-0.11918918815219159</v>
      </c>
      <c r="CL239" s="918">
        <f>+CL7/CK7-1</f>
        <v>0.41445170106213824</v>
      </c>
      <c r="CM239" s="918">
        <f t="shared" si="2310"/>
        <v>-0.32739428005525995</v>
      </c>
      <c r="CN239" s="918">
        <f t="shared" si="2311"/>
        <v>0.25250248368766837</v>
      </c>
      <c r="CO239" s="918">
        <f t="shared" si="2312"/>
        <v>-9.3555043609130362E-2</v>
      </c>
      <c r="CP239" s="918">
        <f t="shared" si="2313"/>
        <v>0.41998376468960652</v>
      </c>
      <c r="CQ239" s="918"/>
      <c r="CR239" s="918">
        <v>0.41445170106213824</v>
      </c>
      <c r="CT239" s="918"/>
      <c r="CU239" s="918"/>
      <c r="CV239" s="918"/>
      <c r="CW239" s="918"/>
      <c r="CX239" s="918">
        <f>+CX7/AO7-1</f>
        <v>0.98166757731395471</v>
      </c>
      <c r="CY239" s="918">
        <f t="shared" ref="CY239:DU239" si="2318">+CY7/CX7-1</f>
        <v>0.12774067178993986</v>
      </c>
      <c r="CZ239" s="918">
        <f t="shared" si="2318"/>
        <v>6.100029730004608E-2</v>
      </c>
      <c r="DA239" s="918">
        <f t="shared" si="2318"/>
        <v>0.11479927846616</v>
      </c>
      <c r="DB239" s="918">
        <f t="shared" si="2318"/>
        <v>0.15434186222258228</v>
      </c>
      <c r="DC239" s="918">
        <f t="shared" si="2318"/>
        <v>0.1705567111325037</v>
      </c>
      <c r="DD239" s="918">
        <f t="shared" si="2318"/>
        <v>0.14281500899190891</v>
      </c>
      <c r="DE239" s="918">
        <f t="shared" si="2318"/>
        <v>0.1590893758011438</v>
      </c>
      <c r="DF239" s="918">
        <f t="shared" si="2318"/>
        <v>0.16010428850442815</v>
      </c>
      <c r="DG239" s="918">
        <f t="shared" si="2318"/>
        <v>2.537716735845863E-2</v>
      </c>
      <c r="DH239" s="918">
        <f t="shared" si="2318"/>
        <v>0.14361867170883413</v>
      </c>
      <c r="DI239" s="918">
        <f t="shared" si="2318"/>
        <v>0.11531885661817509</v>
      </c>
      <c r="DJ239" s="918">
        <f t="shared" si="2318"/>
        <v>0.13578982845879617</v>
      </c>
      <c r="DK239" s="918">
        <f t="shared" si="2318"/>
        <v>-0.13589281497142092</v>
      </c>
      <c r="DL239" s="918">
        <f t="shared" si="2318"/>
        <v>0.36460228876680212</v>
      </c>
      <c r="DM239" s="918">
        <f t="shared" si="2318"/>
        <v>0.20173971121357637</v>
      </c>
      <c r="DN239" s="918">
        <f t="shared" si="2318"/>
        <v>2.6658421488513273E-2</v>
      </c>
      <c r="DO239" s="918">
        <f t="shared" si="2318"/>
        <v>4.922753653924361E-2</v>
      </c>
      <c r="DP239" s="918">
        <f t="shared" si="2318"/>
        <v>7.5701746625224331E-2</v>
      </c>
      <c r="DQ239" s="918">
        <f t="shared" si="2318"/>
        <v>6.961945754584109E-2</v>
      </c>
      <c r="DR239" s="918">
        <f t="shared" si="2318"/>
        <v>8.541300430840093E-2</v>
      </c>
      <c r="DS239" s="918">
        <f t="shared" si="2318"/>
        <v>7.7226113090294479E-2</v>
      </c>
      <c r="DT239" s="918">
        <f t="shared" si="2318"/>
        <v>7.6529157834401618E-2</v>
      </c>
      <c r="DU239" s="918">
        <f t="shared" si="2318"/>
        <v>7.586819417213353E-2</v>
      </c>
      <c r="DX239" s="918">
        <v>9.5415092452964201E-2</v>
      </c>
      <c r="DY239" s="918">
        <v>8.8402636617230135E-2</v>
      </c>
    </row>
    <row r="240" spans="1:129" s="904" customFormat="1">
      <c r="A240" s="939"/>
      <c r="B240" s="912" t="s">
        <v>510</v>
      </c>
      <c r="C240" s="918">
        <v>0</v>
      </c>
      <c r="D240" s="918" t="e">
        <f t="shared" ref="D240:AI240" si="2319">+D10/C10-1</f>
        <v>#REF!</v>
      </c>
      <c r="E240" s="918">
        <f t="shared" si="2319"/>
        <v>3.869020079578056E-2</v>
      </c>
      <c r="F240" s="918">
        <f t="shared" si="2319"/>
        <v>0.44548501687063613</v>
      </c>
      <c r="G240" s="918">
        <f t="shared" si="2319"/>
        <v>-0.28535660909357041</v>
      </c>
      <c r="H240" s="918">
        <f t="shared" si="2319"/>
        <v>0.26570365978547938</v>
      </c>
      <c r="I240" s="918">
        <f t="shared" si="2319"/>
        <v>-4.7652304259323874E-2</v>
      </c>
      <c r="J240" s="918">
        <f t="shared" si="2319"/>
        <v>0.45683163712461328</v>
      </c>
      <c r="K240" s="918">
        <f t="shared" si="2319"/>
        <v>-0.27684468999386125</v>
      </c>
      <c r="L240" s="918">
        <f t="shared" si="2319"/>
        <v>0.28798322609123783</v>
      </c>
      <c r="M240" s="918">
        <f t="shared" si="2319"/>
        <v>-7.0310491870266945E-2</v>
      </c>
      <c r="N240" s="918">
        <f t="shared" si="2319"/>
        <v>0.47929589746134593</v>
      </c>
      <c r="O240" s="918">
        <f t="shared" si="2319"/>
        <v>-0.20970632775509424</v>
      </c>
      <c r="P240" s="918">
        <f t="shared" si="2319"/>
        <v>0.22219527133146166</v>
      </c>
      <c r="Q240" s="918">
        <f t="shared" si="2319"/>
        <v>-4.0118878100331878E-2</v>
      </c>
      <c r="R240" s="918">
        <f t="shared" si="2319"/>
        <v>0.36109373788540555</v>
      </c>
      <c r="S240" s="918">
        <f t="shared" si="2319"/>
        <v>-0.22479530920083246</v>
      </c>
      <c r="T240" s="918">
        <f t="shared" si="2319"/>
        <v>0.21357468280017633</v>
      </c>
      <c r="U240" s="918">
        <f t="shared" si="2319"/>
        <v>-6.0619149305485509E-2</v>
      </c>
      <c r="V240" s="918">
        <f t="shared" si="2319"/>
        <v>0.18664432125821828</v>
      </c>
      <c r="W240" s="918">
        <f t="shared" si="2319"/>
        <v>-0.22354278926936666</v>
      </c>
      <c r="X240" s="918">
        <f t="shared" si="2319"/>
        <v>0.18537035827884374</v>
      </c>
      <c r="Y240" s="918">
        <f t="shared" si="2319"/>
        <v>-1.9184765502045953E-2</v>
      </c>
      <c r="Z240" s="918">
        <f t="shared" si="2319"/>
        <v>0.16429453956130358</v>
      </c>
      <c r="AA240" s="918">
        <f t="shared" si="2319"/>
        <v>-0.16333379272326354</v>
      </c>
      <c r="AB240" s="918">
        <f t="shared" si="2319"/>
        <v>0.13443751698691297</v>
      </c>
      <c r="AC240" s="918">
        <f t="shared" si="2319"/>
        <v>9.4743720052270497E-4</v>
      </c>
      <c r="AD240" s="918">
        <f t="shared" si="2319"/>
        <v>0.21961550875640556</v>
      </c>
      <c r="AE240" s="918">
        <f t="shared" si="2319"/>
        <v>-0.13719082480419154</v>
      </c>
      <c r="AF240" s="918">
        <f t="shared" si="2319"/>
        <v>0.15006496393381608</v>
      </c>
      <c r="AG240" s="918">
        <f t="shared" si="2319"/>
        <v>-3.5989979143192796E-3</v>
      </c>
      <c r="AH240" s="918">
        <f t="shared" si="2319"/>
        <v>0.23244301555173941</v>
      </c>
      <c r="AI240" s="918">
        <f t="shared" si="2319"/>
        <v>-0.108799363578019</v>
      </c>
      <c r="AJ240" s="918">
        <f t="shared" ref="AJ240:BO240" si="2320">+AJ10/AI10-1</f>
        <v>0.11639732096405875</v>
      </c>
      <c r="AK240" s="918">
        <f t="shared" si="2320"/>
        <v>-1.8584059943833275E-2</v>
      </c>
      <c r="AL240" s="918">
        <f t="shared" si="2320"/>
        <v>0.23945238892582066</v>
      </c>
      <c r="AM240" s="918">
        <f t="shared" si="2320"/>
        <v>-0.13364398167564606</v>
      </c>
      <c r="AN240" s="918">
        <f t="shared" si="2320"/>
        <v>6.7535393359104967E-2</v>
      </c>
      <c r="AO240" s="918">
        <f t="shared" si="2320"/>
        <v>-1.1975434335682822E-2</v>
      </c>
      <c r="AP240" s="918">
        <f t="shared" si="2320"/>
        <v>0.12699582520587116</v>
      </c>
      <c r="AQ240" s="918">
        <f t="shared" si="2320"/>
        <v>-0.15917674008810578</v>
      </c>
      <c r="AR240" s="918">
        <f t="shared" si="2320"/>
        <v>0.16192209169262073</v>
      </c>
      <c r="AS240" s="918">
        <f t="shared" si="2320"/>
        <v>7.9200301410053964E-3</v>
      </c>
      <c r="AT240" s="918">
        <f t="shared" si="2320"/>
        <v>0.25068543166182855</v>
      </c>
      <c r="AU240" s="918">
        <f t="shared" si="2320"/>
        <v>-9.1922411429094186E-2</v>
      </c>
      <c r="AV240" s="918">
        <f t="shared" si="2320"/>
        <v>0.16231065572147618</v>
      </c>
      <c r="AW240" s="918">
        <f t="shared" si="2320"/>
        <v>5.0332708217135647E-3</v>
      </c>
      <c r="AX240" s="918">
        <f t="shared" si="2320"/>
        <v>0.1962971959469586</v>
      </c>
      <c r="AY240" s="918">
        <f t="shared" si="2320"/>
        <v>-0.181438167901255</v>
      </c>
      <c r="AZ240" s="921">
        <f t="shared" si="2320"/>
        <v>0.12954352756802101</v>
      </c>
      <c r="BA240" s="918">
        <f t="shared" si="2320"/>
        <v>-2.6186714649222398E-2</v>
      </c>
      <c r="BB240" s="918">
        <f t="shared" si="2320"/>
        <v>0.10006692462561873</v>
      </c>
      <c r="BC240" s="918">
        <f t="shared" si="2320"/>
        <v>-6.1857560783113441E-2</v>
      </c>
      <c r="BD240" s="918">
        <f t="shared" si="2320"/>
        <v>0.11143243112067425</v>
      </c>
      <c r="BE240" s="918">
        <f t="shared" si="2320"/>
        <v>1.6389187090982915E-2</v>
      </c>
      <c r="BF240" s="918">
        <f t="shared" si="2320"/>
        <v>0.20318034696430098</v>
      </c>
      <c r="BG240" s="918">
        <f t="shared" si="2320"/>
        <v>-0.16796476679826211</v>
      </c>
      <c r="BH240" s="918">
        <f t="shared" si="2320"/>
        <v>7.6645710508245202E-2</v>
      </c>
      <c r="BI240" s="918">
        <f t="shared" si="2320"/>
        <v>-8.2831080523083633E-3</v>
      </c>
      <c r="BJ240" s="918">
        <f t="shared" si="2320"/>
        <v>0.20662611016606736</v>
      </c>
      <c r="BK240" s="918">
        <f t="shared" si="2320"/>
        <v>-0.16699420000809251</v>
      </c>
      <c r="BL240" s="918">
        <f t="shared" si="2320"/>
        <v>0.14711900556536817</v>
      </c>
      <c r="BM240" s="918">
        <f t="shared" si="2320"/>
        <v>1.342761521835123E-2</v>
      </c>
      <c r="BN240" s="918">
        <f t="shared" si="2320"/>
        <v>0.14873284065000569</v>
      </c>
      <c r="BO240" s="918">
        <f t="shared" si="2320"/>
        <v>-5.6076328956507604E-2</v>
      </c>
      <c r="BP240" s="918">
        <f t="shared" ref="BP240:CH240" si="2321">+BP10/BO10-1</f>
        <v>-0.92632134598573079</v>
      </c>
      <c r="BQ240" s="918">
        <f t="shared" si="2321"/>
        <v>11.526355448706449</v>
      </c>
      <c r="BR240" s="918">
        <f t="shared" si="2321"/>
        <v>0.13729708361859316</v>
      </c>
      <c r="BS240" s="918">
        <f t="shared" si="2321"/>
        <v>-7.8688183255378963E-2</v>
      </c>
      <c r="BT240" s="918">
        <f t="shared" si="2321"/>
        <v>0.1020488318751327</v>
      </c>
      <c r="BU240" s="918">
        <f t="shared" si="2321"/>
        <v>8.2667337004203034E-2</v>
      </c>
      <c r="BV240" s="918">
        <f t="shared" si="2321"/>
        <v>0.33079001675686648</v>
      </c>
      <c r="BW240" s="918">
        <f t="shared" si="2321"/>
        <v>-0.16736703278539866</v>
      </c>
      <c r="BX240" s="918">
        <f t="shared" si="2321"/>
        <v>0.22021260023793809</v>
      </c>
      <c r="BY240" s="918">
        <f t="shared" si="2321"/>
        <v>-0.11019317826199437</v>
      </c>
      <c r="BZ240" s="918">
        <f t="shared" si="2321"/>
        <v>0.1307236055659915</v>
      </c>
      <c r="CA240" s="918">
        <f t="shared" si="2321"/>
        <v>-2.9195014838927724E-2</v>
      </c>
      <c r="CB240" s="918">
        <f t="shared" si="2321"/>
        <v>8.3412082173305979E-2</v>
      </c>
      <c r="CC240" s="918">
        <f t="shared" si="2321"/>
        <v>-6.2723262423159287E-2</v>
      </c>
      <c r="CD240" s="918">
        <f t="shared" si="2321"/>
        <v>0.12377858510934581</v>
      </c>
      <c r="CE240" s="918">
        <f t="shared" si="2321"/>
        <v>-0.14184391771699634</v>
      </c>
      <c r="CF240" s="918">
        <f t="shared" si="2321"/>
        <v>6.4693602156729035E-2</v>
      </c>
      <c r="CG240" s="918">
        <f t="shared" si="2321"/>
        <v>-1.8347051420222749E-2</v>
      </c>
      <c r="CH240" s="918">
        <f t="shared" si="2321"/>
        <v>0.25251924822039418</v>
      </c>
      <c r="CI240" s="918">
        <f t="shared" ref="CI240" si="2322">+CI10/CH10-1</f>
        <v>-0.21122256928843008</v>
      </c>
      <c r="CJ240" s="918">
        <f t="shared" ref="CJ240" si="2323">+CJ10/CI10-1</f>
        <v>0.17011216702202625</v>
      </c>
      <c r="CK240" s="918">
        <f t="shared" ref="CK240" si="2324">+CK10/CJ10-1</f>
        <v>-6.7702266827443625E-2</v>
      </c>
      <c r="CL240" s="918">
        <f t="shared" ref="CL240" si="2325">+CL10/CK10-1</f>
        <v>0.17113259807197689</v>
      </c>
      <c r="CM240" s="918">
        <f t="shared" ref="CM240" si="2326">+CM10/CL10-1</f>
        <v>-0.13782354858612877</v>
      </c>
      <c r="CN240" s="918">
        <f t="shared" ref="CN240" si="2327">+CN10/CM10-1</f>
        <v>0.15695713453450999</v>
      </c>
      <c r="CO240" s="918">
        <f t="shared" ref="CO240" si="2328">+CO10/CN10-1</f>
        <v>-7.1755031761462029E-2</v>
      </c>
      <c r="CP240" s="918">
        <f t="shared" ref="CP240" si="2329">+CP10/CO10-1</f>
        <v>0.15959031299169735</v>
      </c>
      <c r="CQ240" s="918"/>
      <c r="CR240" s="918">
        <v>0.17113259807197689</v>
      </c>
      <c r="CT240" s="918"/>
      <c r="CU240" s="918"/>
      <c r="CV240" s="918"/>
      <c r="CW240" s="918"/>
      <c r="CX240" s="918">
        <f>+CX10/AO10-1</f>
        <v>0.81654074616722117</v>
      </c>
      <c r="CY240" s="918">
        <f t="shared" ref="CY240:DU240" si="2330">+CY10/CX10-1</f>
        <v>0.16697499784390879</v>
      </c>
      <c r="CZ240" s="918">
        <f t="shared" si="2330"/>
        <v>4.9324927059230195E-2</v>
      </c>
      <c r="DA240" s="918">
        <f t="shared" si="2330"/>
        <v>0.12127293179829746</v>
      </c>
      <c r="DB240" s="918">
        <f t="shared" si="2330"/>
        <v>0.20861270771166174</v>
      </c>
      <c r="DC240" s="918">
        <f t="shared" si="2330"/>
        <v>0.22168137090924267</v>
      </c>
      <c r="DD240" s="918">
        <f t="shared" si="2330"/>
        <v>0.1098225236382504</v>
      </c>
      <c r="DE240" s="918">
        <f t="shared" si="2330"/>
        <v>0.11234224312829522</v>
      </c>
      <c r="DF240" s="918">
        <f t="shared" si="2330"/>
        <v>0.31071399791659005</v>
      </c>
      <c r="DG240" s="918">
        <f t="shared" si="2330"/>
        <v>7.4136769270310543E-2</v>
      </c>
      <c r="DH240" s="918">
        <f t="shared" si="2330"/>
        <v>0.17627755871988682</v>
      </c>
      <c r="DI240" s="918">
        <f t="shared" si="2330"/>
        <v>8.9693912491614514E-2</v>
      </c>
      <c r="DJ240" s="918">
        <f t="shared" si="2330"/>
        <v>0.12461254215689821</v>
      </c>
      <c r="DK240" s="918">
        <f t="shared" si="2330"/>
        <v>-0.17333482879620576</v>
      </c>
      <c r="DL240" s="918">
        <f t="shared" si="2330"/>
        <v>0.55014492015722372</v>
      </c>
      <c r="DM240" s="918">
        <f t="shared" si="2330"/>
        <v>0.22748829228838119</v>
      </c>
      <c r="DN240" s="918">
        <f t="shared" si="2330"/>
        <v>0.11465142460982003</v>
      </c>
      <c r="DO240" s="918">
        <f t="shared" si="2330"/>
        <v>2.0607036053208683E-2</v>
      </c>
      <c r="DP240" s="918">
        <f t="shared" si="2330"/>
        <v>6.0533334621482693E-2</v>
      </c>
      <c r="DQ240" s="918">
        <f t="shared" si="2330"/>
        <v>8.6365396429427088E-2</v>
      </c>
      <c r="DR240" s="918">
        <f t="shared" si="2330"/>
        <v>2.4824667254942367E-2</v>
      </c>
      <c r="DS240" s="918">
        <f t="shared" si="2330"/>
        <v>4.6953372398581328E-2</v>
      </c>
      <c r="DT240" s="918">
        <f t="shared" si="2330"/>
        <v>4.9955345564602238E-2</v>
      </c>
      <c r="DU240" s="918">
        <f t="shared" si="2330"/>
        <v>5.1751055215139452E-2</v>
      </c>
      <c r="DX240" s="918">
        <v>5.9308118184131065E-2</v>
      </c>
      <c r="DY240" s="918">
        <v>2.5590199467288688E-2</v>
      </c>
    </row>
    <row r="241" spans="1:129" s="904" customFormat="1">
      <c r="A241" s="939"/>
      <c r="B241" s="912" t="s">
        <v>511</v>
      </c>
      <c r="C241" s="918">
        <v>0</v>
      </c>
      <c r="D241" s="918" t="e">
        <f t="shared" ref="D241:AI241" si="2331">+D17/C17-1</f>
        <v>#REF!</v>
      </c>
      <c r="E241" s="918">
        <f t="shared" si="2331"/>
        <v>-0.8017383930464278</v>
      </c>
      <c r="F241" s="918">
        <f t="shared" si="2331"/>
        <v>2.6276732249786141</v>
      </c>
      <c r="G241" s="918">
        <f t="shared" si="2331"/>
        <v>5.3705122914578851E-2</v>
      </c>
      <c r="H241" s="918">
        <f t="shared" si="2331"/>
        <v>0.99535638357390632</v>
      </c>
      <c r="I241" s="918">
        <f t="shared" si="2331"/>
        <v>-0.41707556427870462</v>
      </c>
      <c r="J241" s="918">
        <f t="shared" si="2331"/>
        <v>1.3704184704184703</v>
      </c>
      <c r="K241" s="918">
        <f t="shared" si="2331"/>
        <v>-0.50609768470607341</v>
      </c>
      <c r="L241" s="918">
        <f t="shared" si="2331"/>
        <v>0.66113393590797043</v>
      </c>
      <c r="M241" s="918">
        <f t="shared" si="2331"/>
        <v>-0.20963593193510088</v>
      </c>
      <c r="N241" s="918">
        <f t="shared" si="2331"/>
        <v>0.98619977469019893</v>
      </c>
      <c r="O241" s="918">
        <f t="shared" si="2331"/>
        <v>-0.60931764112744402</v>
      </c>
      <c r="P241" s="918">
        <f t="shared" si="2331"/>
        <v>1.3056821389684234</v>
      </c>
      <c r="Q241" s="918">
        <f t="shared" si="2331"/>
        <v>-0.20993808374435929</v>
      </c>
      <c r="R241" s="918">
        <f t="shared" si="2331"/>
        <v>0.63458856345885639</v>
      </c>
      <c r="S241" s="918">
        <f t="shared" si="2331"/>
        <v>-0.50897935966195351</v>
      </c>
      <c r="T241" s="918">
        <f t="shared" si="2331"/>
        <v>0.5756999034615915</v>
      </c>
      <c r="U241" s="918">
        <f t="shared" si="2331"/>
        <v>-0.28490906226477852</v>
      </c>
      <c r="V241" s="918">
        <f t="shared" si="2331"/>
        <v>0.60404886049301121</v>
      </c>
      <c r="W241" s="918">
        <f t="shared" si="2331"/>
        <v>-0.72985181680833855</v>
      </c>
      <c r="X241" s="918">
        <f t="shared" si="2331"/>
        <v>3.0498813693367985</v>
      </c>
      <c r="Y241" s="918">
        <f t="shared" si="2331"/>
        <v>-0.35611164581328203</v>
      </c>
      <c r="Z241" s="918">
        <f t="shared" si="2331"/>
        <v>1.9259548103377311</v>
      </c>
      <c r="AA241" s="918">
        <f t="shared" si="2331"/>
        <v>-0.62928219746048197</v>
      </c>
      <c r="AB241" s="918">
        <f t="shared" si="2331"/>
        <v>1.5879650895728066</v>
      </c>
      <c r="AC241" s="918">
        <f t="shared" si="2331"/>
        <v>-0.39689154357858347</v>
      </c>
      <c r="AD241" s="918">
        <f t="shared" si="2331"/>
        <v>0.96696181799570069</v>
      </c>
      <c r="AE241" s="918">
        <f t="shared" si="2331"/>
        <v>-0.61580645580983862</v>
      </c>
      <c r="AF241" s="918">
        <f t="shared" si="2331"/>
        <v>1.5650959210281266</v>
      </c>
      <c r="AG241" s="918">
        <f t="shared" si="2331"/>
        <v>-0.49416470836743898</v>
      </c>
      <c r="AH241" s="918">
        <f t="shared" si="2331"/>
        <v>1.4673626517029885</v>
      </c>
      <c r="AI241" s="918">
        <f t="shared" si="2331"/>
        <v>-0.73963633286438113</v>
      </c>
      <c r="AJ241" s="918">
        <f t="shared" ref="AJ241:BO241" si="2332">+AJ17/AI17-1</f>
        <v>2.1379499471845289</v>
      </c>
      <c r="AK241" s="918">
        <f t="shared" si="2332"/>
        <v>-0.2858585531639416</v>
      </c>
      <c r="AL241" s="918">
        <f t="shared" si="2332"/>
        <v>1.2229574770887508</v>
      </c>
      <c r="AM241" s="918">
        <f t="shared" si="2332"/>
        <v>-0.81169922113933812</v>
      </c>
      <c r="AN241" s="918">
        <f t="shared" si="2332"/>
        <v>2.4090781124802305</v>
      </c>
      <c r="AO241" s="918">
        <f t="shared" si="2332"/>
        <v>-0.29686001232364168</v>
      </c>
      <c r="AP241" s="918">
        <f t="shared" si="2332"/>
        <v>2.0368600312587519</v>
      </c>
      <c r="AQ241" s="918">
        <f t="shared" si="2332"/>
        <v>-0.66411266499477906</v>
      </c>
      <c r="AR241" s="918">
        <f t="shared" si="2332"/>
        <v>1.1595195785010595</v>
      </c>
      <c r="AS241" s="918">
        <f t="shared" si="2332"/>
        <v>-0.20536776225669129</v>
      </c>
      <c r="AT241" s="918">
        <f t="shared" si="2332"/>
        <v>1.27298953817251</v>
      </c>
      <c r="AU241" s="918">
        <f t="shared" si="2332"/>
        <v>-0.70350956921935215</v>
      </c>
      <c r="AV241" s="918">
        <f t="shared" si="2332"/>
        <v>0.94430010177202339</v>
      </c>
      <c r="AW241" s="918">
        <f t="shared" si="2332"/>
        <v>-0.3829371194068053</v>
      </c>
      <c r="AX241" s="918">
        <f t="shared" si="2332"/>
        <v>1.5032574775942189</v>
      </c>
      <c r="AY241" s="918">
        <f t="shared" si="2332"/>
        <v>-0.7308608482965957</v>
      </c>
      <c r="AZ241" s="921">
        <f t="shared" si="2332"/>
        <v>1.5814975886605458</v>
      </c>
      <c r="BA241" s="918">
        <f t="shared" si="2332"/>
        <v>-0.51224220891950711</v>
      </c>
      <c r="BB241" s="918">
        <f t="shared" si="2332"/>
        <v>2.4974867187382426</v>
      </c>
      <c r="BC241" s="918">
        <f t="shared" si="2332"/>
        <v>-0.77616798803773701</v>
      </c>
      <c r="BD241" s="918">
        <f t="shared" si="2332"/>
        <v>1.8327502018532047</v>
      </c>
      <c r="BE241" s="918">
        <f t="shared" si="2332"/>
        <v>-0.30124733634648537</v>
      </c>
      <c r="BF241" s="918">
        <f t="shared" si="2332"/>
        <v>1.3433772969193116</v>
      </c>
      <c r="BG241" s="918">
        <f t="shared" si="2332"/>
        <v>-0.64760333798208336</v>
      </c>
      <c r="BH241" s="918">
        <f t="shared" si="2332"/>
        <v>1.0697654574108375</v>
      </c>
      <c r="BI241" s="918">
        <f t="shared" si="2332"/>
        <v>-0.26560354583948975</v>
      </c>
      <c r="BJ241" s="918">
        <f t="shared" si="2332"/>
        <v>1.4887158254810373</v>
      </c>
      <c r="BK241" s="918">
        <f t="shared" si="2332"/>
        <v>-0.61468309949491795</v>
      </c>
      <c r="BL241" s="918">
        <f t="shared" si="2332"/>
        <v>0.50827026416434018</v>
      </c>
      <c r="BM241" s="918">
        <f t="shared" si="2332"/>
        <v>-0.22419917403119849</v>
      </c>
      <c r="BN241" s="918">
        <f t="shared" si="2332"/>
        <v>1.6361345175214796</v>
      </c>
      <c r="BO241" s="918">
        <f t="shared" si="2332"/>
        <v>-0.95770963712815282</v>
      </c>
      <c r="BP241" s="918">
        <f t="shared" ref="BP241:CH241" si="2333">+BP17/BO17-1</f>
        <v>11.996938302149374</v>
      </c>
      <c r="BQ241" s="918">
        <f t="shared" si="2333"/>
        <v>-1.3012758889819538</v>
      </c>
      <c r="BR241" s="918">
        <f t="shared" si="2333"/>
        <v>-5.1931002345730688</v>
      </c>
      <c r="BS241" s="918">
        <f t="shared" si="2333"/>
        <v>-1.326544873714685</v>
      </c>
      <c r="BT241" s="918">
        <f t="shared" si="2333"/>
        <v>-2.5031696498099363</v>
      </c>
      <c r="BU241" s="918">
        <f t="shared" si="2333"/>
        <v>-0.20166872809810532</v>
      </c>
      <c r="BV241" s="918">
        <f t="shared" si="2333"/>
        <v>1.494515317904626</v>
      </c>
      <c r="BW241" s="918">
        <f t="shared" si="2333"/>
        <v>-0.72282632249300061</v>
      </c>
      <c r="BX241" s="918">
        <f t="shared" si="2333"/>
        <v>2.0216418014210036</v>
      </c>
      <c r="BY241" s="918">
        <f t="shared" si="2333"/>
        <v>-0.53755875565699351</v>
      </c>
      <c r="BZ241" s="918">
        <f t="shared" si="2333"/>
        <v>2.1240777133759545</v>
      </c>
      <c r="CA241" s="918">
        <f t="shared" si="2333"/>
        <v>-1.0424589600015288</v>
      </c>
      <c r="CB241" s="918">
        <f t="shared" si="2333"/>
        <v>-9.4179138066839201</v>
      </c>
      <c r="CC241" s="918">
        <f t="shared" si="2333"/>
        <v>-0.59083901439201525</v>
      </c>
      <c r="CD241" s="918">
        <f t="shared" si="2333"/>
        <v>5.5282920242191924</v>
      </c>
      <c r="CE241" s="918">
        <f t="shared" si="2333"/>
        <v>-0.87287315673583776</v>
      </c>
      <c r="CF241" s="918">
        <f t="shared" si="2333"/>
        <v>3.6544810392336959</v>
      </c>
      <c r="CG241" s="918">
        <f t="shared" si="2333"/>
        <v>-0.23050705067123745</v>
      </c>
      <c r="CH241" s="918">
        <f t="shared" si="2333"/>
        <v>1.0350096903129842</v>
      </c>
      <c r="CI241" s="918">
        <f t="shared" ref="CI241" si="2334">+CI17/CH17-1</f>
        <v>-0.50850643248323024</v>
      </c>
      <c r="CJ241" s="918">
        <f t="shared" ref="CJ241" si="2335">+CJ17/CI17-1</f>
        <v>1.0435484934397046</v>
      </c>
      <c r="CK241" s="918">
        <f t="shared" ref="CK241" si="2336">+CK17/CJ17-1</f>
        <v>-0.50044362709512979</v>
      </c>
      <c r="CL241" s="918">
        <f t="shared" ref="CL241" si="2337">+CL17/CK17-1</f>
        <v>1.3170686598532528</v>
      </c>
      <c r="CM241" s="918">
        <f t="shared" ref="CM241" si="2338">+CM17/CL17-1</f>
        <v>-0.69354005824146503</v>
      </c>
      <c r="CN241" s="918">
        <f t="shared" ref="CN241" si="2339">+CN17/CM17-1</f>
        <v>1.4585359711447072</v>
      </c>
      <c r="CO241" s="918">
        <f t="shared" ref="CO241" si="2340">+CO17/CN17-1</f>
        <v>-0.41497313971248373</v>
      </c>
      <c r="CP241" s="918">
        <f t="shared" ref="CP241" si="2341">+CP17/CO17-1</f>
        <v>1.5969458646512402</v>
      </c>
      <c r="CQ241" s="918"/>
      <c r="CR241" s="918">
        <v>1.3170686598532528</v>
      </c>
      <c r="CT241" s="918"/>
      <c r="CU241" s="918"/>
      <c r="CV241" s="918"/>
      <c r="CW241" s="918"/>
      <c r="CX241" s="918">
        <f>+CX17/AO17-1</f>
        <v>0.81569984370623994</v>
      </c>
      <c r="CY241" s="918">
        <f t="shared" ref="CY241:DU241" si="2342">+CY17/CX17-1</f>
        <v>-6.060364816049546E-3</v>
      </c>
      <c r="CZ241" s="918">
        <f t="shared" si="2342"/>
        <v>0.35472066479775721</v>
      </c>
      <c r="DA241" s="918">
        <f t="shared" si="2342"/>
        <v>0.52068775658767485</v>
      </c>
      <c r="DB241" s="918">
        <f t="shared" si="2342"/>
        <v>0.15728737118099212</v>
      </c>
      <c r="DC241" s="918">
        <f t="shared" si="2342"/>
        <v>0.17426588697231526</v>
      </c>
      <c r="DD241" s="918">
        <f t="shared" si="2342"/>
        <v>0.16304693786320956</v>
      </c>
      <c r="DE241" s="918">
        <f t="shared" si="2342"/>
        <v>0.52341634816138161</v>
      </c>
      <c r="DF241" s="918">
        <f t="shared" si="2342"/>
        <v>-5.8158870290833442E-2</v>
      </c>
      <c r="DG241" s="918">
        <f t="shared" si="2342"/>
        <v>4.5472949215343839E-2</v>
      </c>
      <c r="DH241" s="918">
        <f t="shared" si="2342"/>
        <v>0.11432717940413517</v>
      </c>
      <c r="DI241" s="918">
        <f t="shared" si="2342"/>
        <v>0.30957558311465982</v>
      </c>
      <c r="DJ241" s="918">
        <f t="shared" si="2342"/>
        <v>0.17737990783425306</v>
      </c>
      <c r="DK241" s="918">
        <f t="shared" si="2342"/>
        <v>-0.48885126812015656</v>
      </c>
      <c r="DL241" s="918">
        <f t="shared" si="2342"/>
        <v>-4.9771142693423531E-2</v>
      </c>
      <c r="DM241" s="918">
        <f t="shared" si="2342"/>
        <v>0.72850178328343396</v>
      </c>
      <c r="DN241" s="918">
        <f t="shared" si="2342"/>
        <v>-0.36828406991615747</v>
      </c>
      <c r="DO241" s="918">
        <f t="shared" si="2342"/>
        <v>0.4164611164162384</v>
      </c>
      <c r="DP241" s="918">
        <f t="shared" si="2342"/>
        <v>0.393888707609509</v>
      </c>
      <c r="DQ241" s="918">
        <f t="shared" si="2342"/>
        <v>-2.6812634239436028E-2</v>
      </c>
      <c r="DR241" s="918">
        <f t="shared" si="2342"/>
        <v>0.37292027079223611</v>
      </c>
      <c r="DS241" s="918">
        <f t="shared" si="2342"/>
        <v>0.12121011970166928</v>
      </c>
      <c r="DT241" s="918">
        <f t="shared" si="2342"/>
        <v>0.10844988189157911</v>
      </c>
      <c r="DU241" s="918">
        <f t="shared" si="2342"/>
        <v>0.10126721701211894</v>
      </c>
      <c r="DX241" s="918">
        <v>3.8605229425075605E-2</v>
      </c>
      <c r="DY241" s="918">
        <v>0.2750101142795045</v>
      </c>
    </row>
    <row r="242" spans="1:129" s="904" customFormat="1">
      <c r="A242" s="939"/>
      <c r="B242" s="912" t="s">
        <v>512</v>
      </c>
      <c r="C242" s="918">
        <v>0</v>
      </c>
      <c r="D242" s="918" t="e">
        <f t="shared" ref="D242:AI242" si="2343">+D39/C39-1</f>
        <v>#REF!</v>
      </c>
      <c r="E242" s="918">
        <f t="shared" si="2343"/>
        <v>-0.8017383930464278</v>
      </c>
      <c r="F242" s="918">
        <f t="shared" si="2343"/>
        <v>2.6276732249786141</v>
      </c>
      <c r="G242" s="918">
        <f t="shared" si="2343"/>
        <v>5.3705122914578851E-2</v>
      </c>
      <c r="H242" s="918">
        <f t="shared" si="2343"/>
        <v>0.99535638357390632</v>
      </c>
      <c r="I242" s="918">
        <f t="shared" si="2343"/>
        <v>-0.41707556427870462</v>
      </c>
      <c r="J242" s="918">
        <f t="shared" si="2343"/>
        <v>1.3704184704184703</v>
      </c>
      <c r="K242" s="918">
        <f t="shared" si="2343"/>
        <v>-0.50609768470607341</v>
      </c>
      <c r="L242" s="918">
        <f t="shared" si="2343"/>
        <v>0.66113393590797043</v>
      </c>
      <c r="M242" s="918">
        <f t="shared" si="2343"/>
        <v>-0.20963593193510088</v>
      </c>
      <c r="N242" s="918">
        <f t="shared" si="2343"/>
        <v>0.98619977469019893</v>
      </c>
      <c r="O242" s="918">
        <f t="shared" si="2343"/>
        <v>-0.60931764112744402</v>
      </c>
      <c r="P242" s="918">
        <f t="shared" si="2343"/>
        <v>1.3056821389684234</v>
      </c>
      <c r="Q242" s="918">
        <f t="shared" si="2343"/>
        <v>-0.20993808374435929</v>
      </c>
      <c r="R242" s="918">
        <f t="shared" si="2343"/>
        <v>0.63458856345885639</v>
      </c>
      <c r="S242" s="918">
        <f t="shared" si="2343"/>
        <v>-0.50897935966195351</v>
      </c>
      <c r="T242" s="918">
        <f t="shared" si="2343"/>
        <v>0.5756999034615915</v>
      </c>
      <c r="U242" s="918">
        <f t="shared" si="2343"/>
        <v>-0.28490906226477852</v>
      </c>
      <c r="V242" s="918">
        <f t="shared" si="2343"/>
        <v>0.60404886049301121</v>
      </c>
      <c r="W242" s="918">
        <f t="shared" si="2343"/>
        <v>-0.72985181680833855</v>
      </c>
      <c r="X242" s="918">
        <f t="shared" si="2343"/>
        <v>3.0498813693367985</v>
      </c>
      <c r="Y242" s="918">
        <f t="shared" si="2343"/>
        <v>-0.35611164581328203</v>
      </c>
      <c r="Z242" s="918">
        <f t="shared" si="2343"/>
        <v>1.9259548103377311</v>
      </c>
      <c r="AA242" s="918">
        <f t="shared" si="2343"/>
        <v>-0.62928219746048197</v>
      </c>
      <c r="AB242" s="918">
        <f t="shared" si="2343"/>
        <v>1.5879650895728066</v>
      </c>
      <c r="AC242" s="918">
        <f t="shared" si="2343"/>
        <v>-0.39689154357858347</v>
      </c>
      <c r="AD242" s="918">
        <f t="shared" si="2343"/>
        <v>0.96696181799570069</v>
      </c>
      <c r="AE242" s="918">
        <f t="shared" si="2343"/>
        <v>-0.61580645580983862</v>
      </c>
      <c r="AF242" s="918">
        <f t="shared" si="2343"/>
        <v>1.5650959210281266</v>
      </c>
      <c r="AG242" s="918">
        <f t="shared" si="2343"/>
        <v>-0.49416470836743898</v>
      </c>
      <c r="AH242" s="918">
        <f t="shared" si="2343"/>
        <v>1.4673626517029885</v>
      </c>
      <c r="AI242" s="918">
        <f t="shared" si="2343"/>
        <v>-0.73963633286438113</v>
      </c>
      <c r="AJ242" s="918">
        <f t="shared" ref="AJ242:BO242" si="2344">+AJ39/AI39-1</f>
        <v>2.1379499471845289</v>
      </c>
      <c r="AK242" s="918">
        <f t="shared" si="2344"/>
        <v>-0.2858585531639416</v>
      </c>
      <c r="AL242" s="918">
        <f t="shared" si="2344"/>
        <v>1.2229574770887508</v>
      </c>
      <c r="AM242" s="918">
        <f t="shared" si="2344"/>
        <v>-0.81169922113933812</v>
      </c>
      <c r="AN242" s="918">
        <f t="shared" si="2344"/>
        <v>2.4090781124802305</v>
      </c>
      <c r="AO242" s="918">
        <f t="shared" si="2344"/>
        <v>-0.29686001232364168</v>
      </c>
      <c r="AP242" s="918">
        <f t="shared" si="2344"/>
        <v>2.0368600312587519</v>
      </c>
      <c r="AQ242" s="918">
        <f t="shared" si="2344"/>
        <v>-0.5204136285613139</v>
      </c>
      <c r="AR242" s="918">
        <f t="shared" si="2344"/>
        <v>0.83274123338084016</v>
      </c>
      <c r="AS242" s="918">
        <f t="shared" si="2344"/>
        <v>-0.15800161782176203</v>
      </c>
      <c r="AT242" s="918">
        <f t="shared" si="2344"/>
        <v>1.0024731847123527</v>
      </c>
      <c r="AU242" s="918">
        <f t="shared" si="2344"/>
        <v>-0.6146706126732705</v>
      </c>
      <c r="AV242" s="918">
        <f t="shared" si="2344"/>
        <v>0.65430858889725152</v>
      </c>
      <c r="AW242" s="918">
        <f t="shared" si="2344"/>
        <v>-0.29181254492909658</v>
      </c>
      <c r="AX242" s="918">
        <f t="shared" si="2344"/>
        <v>1.061555613208176</v>
      </c>
      <c r="AY242" s="918">
        <f t="shared" si="2344"/>
        <v>-0.61410863754823031</v>
      </c>
      <c r="AZ242" s="921">
        <f t="shared" si="2344"/>
        <v>0.9527860532449457</v>
      </c>
      <c r="BA242" s="918">
        <f t="shared" si="2344"/>
        <v>-0.39464065420426997</v>
      </c>
      <c r="BB242" s="918">
        <f t="shared" si="2344"/>
        <v>1.587186458308707</v>
      </c>
      <c r="BC242" s="918">
        <f t="shared" si="2344"/>
        <v>-0.66528198370911062</v>
      </c>
      <c r="BD242" s="918">
        <f t="shared" si="2344"/>
        <v>1.0443243243243243</v>
      </c>
      <c r="BE242" s="918">
        <f t="shared" si="2344"/>
        <v>-0.22894465543857401</v>
      </c>
      <c r="BF242" s="918">
        <f t="shared" si="2344"/>
        <v>0.97447843240490895</v>
      </c>
      <c r="BG242" s="918">
        <f t="shared" si="2344"/>
        <v>-0.57211951735534872</v>
      </c>
      <c r="BH242" s="918">
        <f t="shared" si="2344"/>
        <v>0.7558413174909695</v>
      </c>
      <c r="BI242" s="918">
        <f t="shared" si="2344"/>
        <v>-0.20660947419237807</v>
      </c>
      <c r="BJ242" s="918">
        <f t="shared" si="2344"/>
        <v>1.1380843318394627</v>
      </c>
      <c r="BK242" s="918">
        <f t="shared" si="2344"/>
        <v>-0.43513256220370644</v>
      </c>
      <c r="BL242" s="918">
        <f t="shared" si="2344"/>
        <v>0.31282106268703269</v>
      </c>
      <c r="BM242" s="918">
        <f t="shared" si="2344"/>
        <v>-0.15134094638441953</v>
      </c>
      <c r="BN242" s="918">
        <f t="shared" si="2344"/>
        <v>1.0382136209434529</v>
      </c>
      <c r="BO242" s="918">
        <f t="shared" si="2344"/>
        <v>-0.77044439221897787</v>
      </c>
      <c r="BP242" s="918">
        <f t="shared" ref="BP242:CH242" si="2345">+BP39/BO39-1</f>
        <v>1.8201605325529537</v>
      </c>
      <c r="BQ242" s="918">
        <f t="shared" si="2345"/>
        <v>-0.88119893447201825</v>
      </c>
      <c r="BR242" s="918">
        <f t="shared" si="2345"/>
        <v>9.1531903612440519</v>
      </c>
      <c r="BS242" s="918">
        <f t="shared" si="2345"/>
        <v>-0.96136292737494655</v>
      </c>
      <c r="BT242" s="918">
        <f t="shared" si="2345"/>
        <v>15.814013871598792</v>
      </c>
      <c r="BU242" s="918">
        <f t="shared" si="2345"/>
        <v>-8.0991230712923912E-2</v>
      </c>
      <c r="BV242" s="918">
        <f t="shared" si="2345"/>
        <v>0.74009751159332571</v>
      </c>
      <c r="BW242" s="918">
        <f t="shared" si="2345"/>
        <v>-0.49882456053748225</v>
      </c>
      <c r="BX242" s="918">
        <f t="shared" si="2345"/>
        <v>0.8098249540741993</v>
      </c>
      <c r="BY242" s="918">
        <f t="shared" si="2345"/>
        <v>-0.34055960985398692</v>
      </c>
      <c r="BZ242" s="918">
        <f t="shared" si="2345"/>
        <v>0.95613846912575506</v>
      </c>
      <c r="CA242" s="918">
        <f t="shared" si="2345"/>
        <v>-0.74005017450280552</v>
      </c>
      <c r="CB242" s="918">
        <f t="shared" si="2345"/>
        <v>1.0531468409813463</v>
      </c>
      <c r="CC242" s="918">
        <f t="shared" si="2345"/>
        <v>-0.24571575036328741</v>
      </c>
      <c r="CD242" s="918">
        <f t="shared" si="2345"/>
        <v>1.4748105065982178</v>
      </c>
      <c r="CE242" s="918">
        <f t="shared" si="2345"/>
        <v>-0.57778930203476264</v>
      </c>
      <c r="CF242" s="918">
        <f t="shared" si="2345"/>
        <v>0.75778759682421937</v>
      </c>
      <c r="CG242" s="918">
        <f t="shared" si="2345"/>
        <v>-0.12971760500173546</v>
      </c>
      <c r="CH242" s="918">
        <f t="shared" si="2345"/>
        <v>0.51435056994673012</v>
      </c>
      <c r="CI242" s="918">
        <f t="shared" ref="CI242" si="2346">+CI39/CH39-1</f>
        <v>-0.32946334513627529</v>
      </c>
      <c r="CJ242" s="918">
        <f t="shared" ref="CJ242" si="2347">+CJ39/CI39-1</f>
        <v>0.52428986931553734</v>
      </c>
      <c r="CK242" s="918">
        <f t="shared" ref="CK242" si="2348">+CK39/CJ39-1</f>
        <v>-0.33488956541282722</v>
      </c>
      <c r="CL242" s="918">
        <f t="shared" ref="CL242" si="2349">+CL39/CK39-1</f>
        <v>0.62722286185342657</v>
      </c>
      <c r="CM242" s="918">
        <f t="shared" ref="CM242" si="2350">+CM39/CL39-1</f>
        <v>-0.43543106305803991</v>
      </c>
      <c r="CN242" s="918">
        <f t="shared" ref="CN242" si="2351">+CN39/CM39-1</f>
        <v>0.51666916679729891</v>
      </c>
      <c r="CO242" s="918">
        <f t="shared" ref="CO242" si="2352">+CO39/CN39-1</f>
        <v>-0.25745356420718402</v>
      </c>
      <c r="CP242" s="918">
        <f t="shared" ref="CP242" si="2353">+CP39/CO39-1</f>
        <v>0.74915419684579199</v>
      </c>
      <c r="CQ242" s="918"/>
      <c r="CR242" s="918">
        <v>0.62722286185342657</v>
      </c>
      <c r="CT242" s="918"/>
      <c r="CU242" s="918"/>
      <c r="CV242" s="918"/>
      <c r="CW242" s="918"/>
      <c r="CX242" s="918">
        <f>+CX39/AO39-1</f>
        <v>0.81569984370623994</v>
      </c>
      <c r="CY242" s="918">
        <f t="shared" ref="CY242:DU242" si="2354">+CY39/CX39-1</f>
        <v>-6.060364816049546E-3</v>
      </c>
      <c r="CZ242" s="918">
        <f t="shared" si="2354"/>
        <v>0.35472066479775721</v>
      </c>
      <c r="DA242" s="918">
        <f t="shared" si="2354"/>
        <v>0.52068775658767485</v>
      </c>
      <c r="DB242" s="918">
        <f t="shared" si="2354"/>
        <v>0.15728737118099212</v>
      </c>
      <c r="DC242" s="918">
        <f t="shared" si="2354"/>
        <v>0.17426588697231526</v>
      </c>
      <c r="DD242" s="918">
        <f t="shared" si="2354"/>
        <v>0.16304693786320956</v>
      </c>
      <c r="DE242" s="918">
        <f t="shared" si="2354"/>
        <v>0.85047797163124939</v>
      </c>
      <c r="DF242" s="918">
        <f t="shared" si="2354"/>
        <v>-4.6363881595579137E-3</v>
      </c>
      <c r="DG242" s="918">
        <f t="shared" si="2354"/>
        <v>7.4220496752656517E-2</v>
      </c>
      <c r="DH242" s="918">
        <f t="shared" si="2354"/>
        <v>0.10050025175764121</v>
      </c>
      <c r="DI242" s="918">
        <f t="shared" si="2354"/>
        <v>0.22742829503964912</v>
      </c>
      <c r="DJ242" s="918">
        <f t="shared" si="2354"/>
        <v>0.34499301323236309</v>
      </c>
      <c r="DK242" s="918">
        <f t="shared" si="2354"/>
        <v>-0.30862697968034281</v>
      </c>
      <c r="DL242" s="918">
        <f t="shared" si="2354"/>
        <v>4.6227175055057801E-2</v>
      </c>
      <c r="DM242" s="918">
        <f t="shared" si="2354"/>
        <v>0.41981022449153604</v>
      </c>
      <c r="DN242" s="918">
        <f t="shared" si="2354"/>
        <v>-0.19237022384174907</v>
      </c>
      <c r="DO242" s="918">
        <f t="shared" si="2354"/>
        <v>0.26703469925814249</v>
      </c>
      <c r="DP242" s="918">
        <f t="shared" si="2354"/>
        <v>0.22023236318143735</v>
      </c>
      <c r="DQ242" s="918">
        <f t="shared" si="2354"/>
        <v>7.6658211559483824E-3</v>
      </c>
      <c r="DR242" s="918">
        <f t="shared" si="2354"/>
        <v>0.22749208618332739</v>
      </c>
      <c r="DS242" s="918">
        <f t="shared" si="2354"/>
        <v>9.5423011052810036E-2</v>
      </c>
      <c r="DT242" s="918">
        <f t="shared" si="2354"/>
        <v>9.0964750181220744E-2</v>
      </c>
      <c r="DU242" s="918">
        <f t="shared" si="2354"/>
        <v>8.8598014495182786E-2</v>
      </c>
      <c r="DX242" s="918">
        <v>4.1901266566430673E-2</v>
      </c>
      <c r="DY242" s="918">
        <v>0.18804356375005304</v>
      </c>
    </row>
    <row r="243" spans="1:129" s="904" customFormat="1">
      <c r="A243" s="939"/>
      <c r="B243" s="912" t="s">
        <v>513</v>
      </c>
      <c r="C243" s="918">
        <f t="shared" ref="C243:AH243" si="2355">+C8/C6</f>
        <v>0.48043412927480678</v>
      </c>
      <c r="D243" s="918">
        <f t="shared" si="2355"/>
        <v>0.45952085656180969</v>
      </c>
      <c r="E243" s="918">
        <f t="shared" si="2355"/>
        <v>0.44998690195518087</v>
      </c>
      <c r="F243" s="918">
        <f t="shared" si="2355"/>
        <v>0.44742963231685196</v>
      </c>
      <c r="G243" s="918">
        <f t="shared" si="2355"/>
        <v>0.52634107819070997</v>
      </c>
      <c r="H243" s="918">
        <f t="shared" si="2355"/>
        <v>0.51753656409112114</v>
      </c>
      <c r="I243" s="918">
        <f t="shared" si="2355"/>
        <v>0.48776791592948021</v>
      </c>
      <c r="J243" s="918">
        <f t="shared" si="2355"/>
        <v>0.50010252784161213</v>
      </c>
      <c r="K243" s="918">
        <f t="shared" si="2355"/>
        <v>0.53286198416506714</v>
      </c>
      <c r="L243" s="918">
        <f t="shared" si="2355"/>
        <v>0.5045397258835268</v>
      </c>
      <c r="M243" s="918">
        <f t="shared" si="2355"/>
        <v>0.49890855193533784</v>
      </c>
      <c r="N243" s="918">
        <f t="shared" si="2355"/>
        <v>0.50692852046889292</v>
      </c>
      <c r="O243" s="918">
        <f t="shared" si="2355"/>
        <v>0.54583015637812715</v>
      </c>
      <c r="P243" s="918">
        <f t="shared" si="2355"/>
        <v>0.52707223064261155</v>
      </c>
      <c r="Q243" s="918">
        <f t="shared" si="2355"/>
        <v>0.5374539426862337</v>
      </c>
      <c r="R243" s="918">
        <f t="shared" si="2355"/>
        <v>0.51990747879722432</v>
      </c>
      <c r="S243" s="918">
        <f t="shared" si="2355"/>
        <v>0.55670836064169038</v>
      </c>
      <c r="T243" s="918">
        <f t="shared" si="2355"/>
        <v>0.53828130103982186</v>
      </c>
      <c r="U243" s="918">
        <f t="shared" si="2355"/>
        <v>0.53495707608971976</v>
      </c>
      <c r="V243" s="918">
        <f t="shared" si="2355"/>
        <v>0.50731188000469196</v>
      </c>
      <c r="W243" s="918">
        <f t="shared" si="2355"/>
        <v>0.55379902370125067</v>
      </c>
      <c r="X243" s="918">
        <f t="shared" si="2355"/>
        <v>0.53120893882435027</v>
      </c>
      <c r="Y243" s="918">
        <f t="shared" si="2355"/>
        <v>0.53492506939025297</v>
      </c>
      <c r="Z243" s="918">
        <f t="shared" si="2355"/>
        <v>0.54612471734236978</v>
      </c>
      <c r="AA243" s="918">
        <f t="shared" si="2355"/>
        <v>0.57921276658855636</v>
      </c>
      <c r="AB243" s="918">
        <f t="shared" si="2355"/>
        <v>0.57699660122674912</v>
      </c>
      <c r="AC243" s="918">
        <f t="shared" si="2355"/>
        <v>0.54963168202425017</v>
      </c>
      <c r="AD243" s="918">
        <f t="shared" si="2355"/>
        <v>0.54461673883470108</v>
      </c>
      <c r="AE243" s="918">
        <f t="shared" si="2355"/>
        <v>0.5832318748361216</v>
      </c>
      <c r="AF243" s="918">
        <f t="shared" si="2355"/>
        <v>0.58008725291988827</v>
      </c>
      <c r="AG243" s="918">
        <f t="shared" si="2355"/>
        <v>0.55145015244190088</v>
      </c>
      <c r="AH243" s="918">
        <f t="shared" si="2355"/>
        <v>0.56420370932154051</v>
      </c>
      <c r="AI243" s="918">
        <f t="shared" ref="AI243:BN243" si="2356">+AI8/AI6</f>
        <v>0.58430568636186764</v>
      </c>
      <c r="AJ243" s="918">
        <f t="shared" si="2356"/>
        <v>0.58840090679404766</v>
      </c>
      <c r="AK243" s="918">
        <f t="shared" si="2356"/>
        <v>0.56400252801477924</v>
      </c>
      <c r="AL243" s="918">
        <f t="shared" si="2356"/>
        <v>0.57335076427996778</v>
      </c>
      <c r="AM243" s="918">
        <f t="shared" si="2356"/>
        <v>0.57066173534184084</v>
      </c>
      <c r="AN243" s="918">
        <f t="shared" si="2356"/>
        <v>0.58101550166823523</v>
      </c>
      <c r="AO243" s="918">
        <f t="shared" si="2356"/>
        <v>0.55205177030354358</v>
      </c>
      <c r="AP243" s="918">
        <f t="shared" si="2356"/>
        <v>0.58218303255946968</v>
      </c>
      <c r="AQ243" s="918">
        <f t="shared" si="2356"/>
        <v>0.57782858555274053</v>
      </c>
      <c r="AR243" s="918">
        <f t="shared" si="2356"/>
        <v>0.59177615540762318</v>
      </c>
      <c r="AS243" s="918">
        <f t="shared" si="2356"/>
        <v>0.57874253511579554</v>
      </c>
      <c r="AT243" s="918">
        <f t="shared" si="2356"/>
        <v>0.58810855043365073</v>
      </c>
      <c r="AU243" s="918">
        <f t="shared" si="2356"/>
        <v>0.59778848619230684</v>
      </c>
      <c r="AV243" s="918">
        <f t="shared" si="2356"/>
        <v>0.59735967367894194</v>
      </c>
      <c r="AW243" s="918">
        <f t="shared" si="2356"/>
        <v>0.57996980159861466</v>
      </c>
      <c r="AX243" s="918">
        <f t="shared" si="2356"/>
        <v>0.59098173260948894</v>
      </c>
      <c r="AY243" s="918">
        <f t="shared" si="2356"/>
        <v>0.60843663743447207</v>
      </c>
      <c r="AZ243" s="921">
        <f t="shared" si="2356"/>
        <v>0.61332681872807393</v>
      </c>
      <c r="BA243" s="918">
        <f t="shared" si="2356"/>
        <v>0.58901363854231725</v>
      </c>
      <c r="BB243" s="918">
        <f t="shared" si="2356"/>
        <v>0.59476634947285434</v>
      </c>
      <c r="BC243" s="918">
        <f t="shared" si="2356"/>
        <v>0.59757907023409484</v>
      </c>
      <c r="BD243" s="918">
        <f t="shared" si="2356"/>
        <v>0.6111481859308886</v>
      </c>
      <c r="BE243" s="918">
        <f t="shared" si="2356"/>
        <v>0.59770828406466647</v>
      </c>
      <c r="BF243" s="918">
        <f t="shared" si="2356"/>
        <v>0.60808648844449376</v>
      </c>
      <c r="BG243" s="918">
        <f t="shared" si="2356"/>
        <v>0.61958625179253013</v>
      </c>
      <c r="BH243" s="918">
        <f t="shared" si="2356"/>
        <v>0.62129343293911132</v>
      </c>
      <c r="BI243" s="918">
        <f t="shared" si="2356"/>
        <v>0.59389395704599623</v>
      </c>
      <c r="BJ243" s="918">
        <f t="shared" si="2356"/>
        <v>0.60813384453825237</v>
      </c>
      <c r="BK243" s="918">
        <f t="shared" si="2356"/>
        <v>0.60677325979313124</v>
      </c>
      <c r="BL243" s="918">
        <f t="shared" si="2356"/>
        <v>0.61366036010408354</v>
      </c>
      <c r="BM243" s="918">
        <f t="shared" si="2356"/>
        <v>0.6004964607515203</v>
      </c>
      <c r="BN243" s="918">
        <f t="shared" si="2356"/>
        <v>0.61875798513855795</v>
      </c>
      <c r="BO243" s="918">
        <f t="shared" ref="BO243:CH243" si="2357">+BO8/BO6</f>
        <v>0.62619992584886153</v>
      </c>
      <c r="BP243" s="918">
        <f t="shared" si="2357"/>
        <v>0.6232025488988332</v>
      </c>
      <c r="BQ243" s="918">
        <f t="shared" si="2357"/>
        <v>0.51433404523588588</v>
      </c>
      <c r="BR243" s="918">
        <f t="shared" si="2357"/>
        <v>0.5600170933833386</v>
      </c>
      <c r="BS243" s="918">
        <f t="shared" si="2357"/>
        <v>0.58429082189511283</v>
      </c>
      <c r="BT243" s="918">
        <f t="shared" si="2357"/>
        <v>0.59026588437585459</v>
      </c>
      <c r="BU243" s="918">
        <f t="shared" si="2357"/>
        <v>0.57731632384735032</v>
      </c>
      <c r="BV243" s="918">
        <f t="shared" si="2357"/>
        <v>0.58409794514256752</v>
      </c>
      <c r="BW243" s="918">
        <f t="shared" si="2357"/>
        <v>0.61026611313175849</v>
      </c>
      <c r="BX243" s="918">
        <f t="shared" si="2357"/>
        <v>0.60802981079805873</v>
      </c>
      <c r="BY243" s="918">
        <f t="shared" si="2357"/>
        <v>0.58860855134091894</v>
      </c>
      <c r="BZ243" s="918">
        <f t="shared" si="2357"/>
        <v>0.60014040353310694</v>
      </c>
      <c r="CA243" s="918">
        <f t="shared" si="2357"/>
        <v>0.61343635192260848</v>
      </c>
      <c r="CB243" s="918">
        <f t="shared" si="2357"/>
        <v>0.59866903837608865</v>
      </c>
      <c r="CC243" s="918">
        <f t="shared" si="2357"/>
        <v>0.59658499445932578</v>
      </c>
      <c r="CD243" s="918">
        <f t="shared" si="2357"/>
        <v>0.60230445537716404</v>
      </c>
      <c r="CE243" s="918">
        <f t="shared" si="2357"/>
        <v>0.60844686957684846</v>
      </c>
      <c r="CF243" s="918">
        <f t="shared" si="2357"/>
        <v>0.61287766046442005</v>
      </c>
      <c r="CG243" s="918">
        <f t="shared" si="2357"/>
        <v>0.60248387484003141</v>
      </c>
      <c r="CH243" s="918">
        <f t="shared" si="2357"/>
        <v>0.60039153455425642</v>
      </c>
      <c r="CI243" s="918">
        <f t="shared" ref="CI243:CL243" si="2358">+CI8/CI6</f>
        <v>0.62054423288973148</v>
      </c>
      <c r="CJ243" s="918">
        <f t="shared" si="2358"/>
        <v>0.62477714810035401</v>
      </c>
      <c r="CK243" s="918">
        <f t="shared" si="2358"/>
        <v>0.61347191727618455</v>
      </c>
      <c r="CL243" s="918">
        <f t="shared" si="2358"/>
        <v>0.59645526030958873</v>
      </c>
      <c r="CM243" s="918">
        <f t="shared" ref="CM243:CP243" si="2359">+CM8/CM6</f>
        <v>0.61843088398655155</v>
      </c>
      <c r="CN243" s="918">
        <f t="shared" si="2359"/>
        <v>0.62321925681124257</v>
      </c>
      <c r="CO243" s="918">
        <f t="shared" si="2359"/>
        <v>0.61264270376406027</v>
      </c>
      <c r="CP243" s="918">
        <f t="shared" si="2359"/>
        <v>0.59762392922653984</v>
      </c>
      <c r="CQ243" s="918"/>
      <c r="CR243" s="918">
        <v>0.59645526030958873</v>
      </c>
      <c r="CT243" s="918"/>
      <c r="CU243" s="918"/>
      <c r="CV243" s="918"/>
      <c r="CW243" s="918"/>
      <c r="CX243" s="918">
        <f t="shared" ref="CX243:DU243" si="2360">+CX8/CX6</f>
        <v>0.53042949570131426</v>
      </c>
      <c r="CY243" s="918">
        <f t="shared" si="2360"/>
        <v>0.53159288999073295</v>
      </c>
      <c r="CZ243" s="918">
        <f t="shared" si="2360"/>
        <v>0.54099756814524114</v>
      </c>
      <c r="DA243" s="918">
        <f t="shared" si="2360"/>
        <v>0.56041097095304171</v>
      </c>
      <c r="DB243" s="918">
        <f t="shared" si="2360"/>
        <v>0.56890230233234584</v>
      </c>
      <c r="DC243" s="918">
        <f t="shared" si="2360"/>
        <v>0.5768948569168012</v>
      </c>
      <c r="DD243" s="918">
        <f t="shared" si="2360"/>
        <v>0.57265932360146088</v>
      </c>
      <c r="DE243" s="918">
        <f t="shared" si="2360"/>
        <v>0.58497972793174291</v>
      </c>
      <c r="DF243" s="918">
        <f t="shared" si="2360"/>
        <v>0.59133098721961441</v>
      </c>
      <c r="DG243" s="918">
        <f t="shared" si="2360"/>
        <v>0.60086009938650686</v>
      </c>
      <c r="DH243" s="918">
        <f t="shared" si="2360"/>
        <v>0.60440726165840863</v>
      </c>
      <c r="DI243" s="918">
        <f t="shared" si="2360"/>
        <v>0.61021764446408078</v>
      </c>
      <c r="DJ243" s="918">
        <f t="shared" si="2360"/>
        <v>0.6109354423458172</v>
      </c>
      <c r="DK243" s="918">
        <f t="shared" si="2360"/>
        <v>0.57231086427549827</v>
      </c>
      <c r="DL243" s="918">
        <f t="shared" si="2360"/>
        <v>0.58389371097997167</v>
      </c>
      <c r="DM243" s="918">
        <f t="shared" si="2360"/>
        <v>0.60166773954635533</v>
      </c>
      <c r="DN243" s="918">
        <f t="shared" si="2360"/>
        <v>0.60233682245458608</v>
      </c>
      <c r="DO243" s="918">
        <f t="shared" si="2360"/>
        <v>0.60555052428014089</v>
      </c>
      <c r="DP243" s="918">
        <f t="shared" ref="DP243:DQ243" si="2361">+DP8/DP6</f>
        <v>0.61271324985273079</v>
      </c>
      <c r="DQ243" s="918">
        <f t="shared" si="2361"/>
        <v>0.61187846041160576</v>
      </c>
      <c r="DR243" s="918">
        <f t="shared" si="2360"/>
        <v>0.61121702569769332</v>
      </c>
      <c r="DS243" s="918">
        <f t="shared" si="2360"/>
        <v>0.60794805847165279</v>
      </c>
      <c r="DT243" s="918">
        <f t="shared" si="2360"/>
        <v>0.60490798621959996</v>
      </c>
      <c r="DU243" s="918">
        <f t="shared" si="2360"/>
        <v>0.60206957453462551</v>
      </c>
      <c r="DX243" s="918">
        <v>0.6070105134859306</v>
      </c>
      <c r="DY243" s="918">
        <v>0.60367850718191784</v>
      </c>
    </row>
    <row r="244" spans="1:129" s="904" customFormat="1">
      <c r="A244" s="939"/>
      <c r="B244" s="912" t="s">
        <v>514</v>
      </c>
      <c r="C244" s="918" t="e">
        <f t="shared" ref="C244:AH244" si="2362">+C17/C6</f>
        <v>#REF!</v>
      </c>
      <c r="D244" s="918">
        <f t="shared" si="2362"/>
        <v>9.8488739669852887E-2</v>
      </c>
      <c r="E244" s="918">
        <f t="shared" si="2362"/>
        <v>2.2271439117906217E-2</v>
      </c>
      <c r="F244" s="918">
        <f t="shared" si="2362"/>
        <v>5.1712206617138226E-2</v>
      </c>
      <c r="G244" s="918">
        <f t="shared" si="2362"/>
        <v>8.5031683507449912E-2</v>
      </c>
      <c r="H244" s="918">
        <f t="shared" si="2362"/>
        <v>0.12057866942545524</v>
      </c>
      <c r="I244" s="918">
        <f t="shared" si="2362"/>
        <v>7.6471215704737985E-2</v>
      </c>
      <c r="J244" s="918">
        <f t="shared" si="2362"/>
        <v>0.11615343821813683</v>
      </c>
      <c r="K244" s="918">
        <f t="shared" si="2362"/>
        <v>9.1245801343570063E-2</v>
      </c>
      <c r="L244" s="918">
        <f t="shared" si="2362"/>
        <v>0.10615974373785643</v>
      </c>
      <c r="M244" s="918">
        <f t="shared" si="2362"/>
        <v>9.2148782970526574E-2</v>
      </c>
      <c r="N244" s="918">
        <f t="shared" si="2362"/>
        <v>0.1182309780027159</v>
      </c>
      <c r="O244" s="918">
        <f t="shared" si="2362"/>
        <v>7.134698105335846E-2</v>
      </c>
      <c r="P244" s="918">
        <f t="shared" si="2362"/>
        <v>0.11647435584021903</v>
      </c>
      <c r="Q244" s="918">
        <f t="shared" si="2362"/>
        <v>0.10173373692602902</v>
      </c>
      <c r="R244" s="918">
        <f t="shared" si="2362"/>
        <v>0.11385659213569777</v>
      </c>
      <c r="S244" s="918">
        <f t="shared" si="2362"/>
        <v>8.3963065977762694E-2</v>
      </c>
      <c r="T244" s="918">
        <f t="shared" si="2362"/>
        <v>0.10086925506800601</v>
      </c>
      <c r="U244" s="918">
        <f t="shared" si="2362"/>
        <v>7.9885405870504717E-2</v>
      </c>
      <c r="V244" s="918">
        <f t="shared" si="2362"/>
        <v>9.7294255471103638E-2</v>
      </c>
      <c r="W244" s="918">
        <f t="shared" si="2362"/>
        <v>4.2234702982816952E-2</v>
      </c>
      <c r="X244" s="918">
        <f t="shared" si="2362"/>
        <v>0.11687212877436771</v>
      </c>
      <c r="Y244" s="918">
        <f t="shared" si="2362"/>
        <v>8.3577911720027306E-2</v>
      </c>
      <c r="Z244" s="918">
        <f t="shared" si="2362"/>
        <v>0.17343397079236589</v>
      </c>
      <c r="AA244" s="918">
        <f t="shared" si="2362"/>
        <v>9.9014227943721014E-2</v>
      </c>
      <c r="AB244" s="918">
        <f t="shared" si="2362"/>
        <v>0.18458501064075281</v>
      </c>
      <c r="AC244" s="918">
        <f t="shared" si="2362"/>
        <v>0.12137797360659633</v>
      </c>
      <c r="AD244" s="918">
        <f t="shared" si="2362"/>
        <v>0.17084930069619184</v>
      </c>
      <c r="AE244" s="918">
        <f t="shared" si="2362"/>
        <v>9.8634360277035982E-2</v>
      </c>
      <c r="AF244" s="918">
        <f t="shared" si="2362"/>
        <v>0.18111974979047593</v>
      </c>
      <c r="AG244" s="918">
        <f t="shared" si="2362"/>
        <v>0.10328579015044709</v>
      </c>
      <c r="AH244" s="918">
        <f t="shared" si="2362"/>
        <v>0.17813071750104104</v>
      </c>
      <c r="AI244" s="918">
        <f t="shared" ref="AI244:BN244" si="2363">+AI17/AI6</f>
        <v>6.9405985822162314E-2</v>
      </c>
      <c r="AJ244" s="918">
        <f t="shared" si="2363"/>
        <v>0.16167706660917219</v>
      </c>
      <c r="AK244" s="918">
        <f t="shared" si="2363"/>
        <v>0.12188942587104926</v>
      </c>
      <c r="AL244" s="918">
        <f t="shared" si="2363"/>
        <v>0.189700785939724</v>
      </c>
      <c r="AM244" s="918">
        <f t="shared" si="2363"/>
        <v>5.5377866362536457E-2</v>
      </c>
      <c r="AN244" s="918">
        <f t="shared" si="2363"/>
        <v>0.14845407685010026</v>
      </c>
      <c r="AO244" s="918">
        <f t="shared" si="2363"/>
        <v>0.10836617112199994</v>
      </c>
      <c r="AP244" s="918">
        <f t="shared" si="2363"/>
        <v>0.23107778141352259</v>
      </c>
      <c r="AQ244" s="918">
        <f t="shared" si="2363"/>
        <v>0.12029174932400329</v>
      </c>
      <c r="AR244" s="918">
        <f t="shared" si="2363"/>
        <v>0.194248375593916</v>
      </c>
      <c r="AS244" s="918">
        <f t="shared" si="2363"/>
        <v>0.1609499228694396</v>
      </c>
      <c r="AT244" s="918">
        <f t="shared" si="2363"/>
        <v>0.24218901847174362</v>
      </c>
      <c r="AU244" s="918">
        <f t="shared" si="2363"/>
        <v>0.11122587264161</v>
      </c>
      <c r="AV244" s="918">
        <f t="shared" si="2363"/>
        <v>0.16523917951107825</v>
      </c>
      <c r="AW244" s="918">
        <f t="shared" si="2363"/>
        <v>0.11027414376269265</v>
      </c>
      <c r="AX244" s="918">
        <f t="shared" si="2363"/>
        <v>0.19468848298493974</v>
      </c>
      <c r="AY244" s="918">
        <f t="shared" si="2363"/>
        <v>8.4612492373948689E-2</v>
      </c>
      <c r="AZ244" s="921">
        <f t="shared" si="2363"/>
        <v>0.16536920817198558</v>
      </c>
      <c r="BA244" s="918">
        <f t="shared" si="2363"/>
        <v>9.1915433982856898E-2</v>
      </c>
      <c r="BB244" s="918">
        <f t="shared" si="2363"/>
        <v>0.22019829429761767</v>
      </c>
      <c r="BC244" s="918">
        <f t="shared" si="2363"/>
        <v>7.3506843662652505E-2</v>
      </c>
      <c r="BD244" s="918">
        <f t="shared" si="2363"/>
        <v>0.16094306691161533</v>
      </c>
      <c r="BE244" s="918">
        <f t="shared" si="2363"/>
        <v>0.11791726528693404</v>
      </c>
      <c r="BF244" s="918">
        <f t="shared" si="2363"/>
        <v>0.19684785304502764</v>
      </c>
      <c r="BG244" s="918">
        <f t="shared" si="2363"/>
        <v>0.10443810512287469</v>
      </c>
      <c r="BH244" s="918">
        <f t="shared" si="2363"/>
        <v>0.17423617027301161</v>
      </c>
      <c r="BI244" s="918">
        <f t="shared" si="2363"/>
        <v>0.13301601808378377</v>
      </c>
      <c r="BJ244" s="918">
        <f t="shared" si="2363"/>
        <v>0.22692540535354166</v>
      </c>
      <c r="BK244" s="918">
        <f t="shared" si="2363"/>
        <v>0.1310045837545987</v>
      </c>
      <c r="BL244" s="918">
        <f t="shared" si="2363"/>
        <v>0.16311664377549079</v>
      </c>
      <c r="BM244" s="918">
        <f t="shared" si="2363"/>
        <v>0.13031263548773336</v>
      </c>
      <c r="BN244" s="918">
        <f t="shared" si="2363"/>
        <v>0.24054753078515717</v>
      </c>
      <c r="BO244" s="918">
        <f t="shared" ref="BO244:CH244" si="2364">+BO17/BO6</f>
        <v>1.7349327515706146E-2</v>
      </c>
      <c r="BP244" s="918">
        <f t="shared" si="2364"/>
        <v>0.51979329776155037</v>
      </c>
      <c r="BQ244" s="918">
        <f t="shared" si="2364"/>
        <v>-7.0731978465273668E-2</v>
      </c>
      <c r="BR244" s="918">
        <f t="shared" si="2364"/>
        <v>0.17265780646621617</v>
      </c>
      <c r="BS244" s="918">
        <f t="shared" si="2364"/>
        <v>-0.10962669644629991</v>
      </c>
      <c r="BT244" s="918">
        <f t="shared" si="2364"/>
        <v>0.10464391137910278</v>
      </c>
      <c r="BU244" s="918">
        <f t="shared" si="2364"/>
        <v>7.9154275880430239E-2</v>
      </c>
      <c r="BV244" s="918">
        <f t="shared" si="2364"/>
        <v>0.13404342375526157</v>
      </c>
      <c r="BW244" s="918">
        <f t="shared" si="2364"/>
        <v>5.5048097529911702E-2</v>
      </c>
      <c r="BX244" s="918">
        <f t="shared" si="2364"/>
        <v>0.1198562075173929</v>
      </c>
      <c r="BY244" s="918">
        <f t="shared" si="2364"/>
        <v>6.6606862599548261E-2</v>
      </c>
      <c r="BZ244" s="918">
        <f t="shared" si="2364"/>
        <v>0.15642787104797437</v>
      </c>
      <c r="CA244" s="918">
        <f t="shared" si="2364"/>
        <v>-9.6065567154735437E-3</v>
      </c>
      <c r="CB244" s="918">
        <f t="shared" si="2364"/>
        <v>6.4048140412199139E-2</v>
      </c>
      <c r="CC244" s="918">
        <f t="shared" si="2364"/>
        <v>2.9649710567576853E-2</v>
      </c>
      <c r="CD244" s="918">
        <f t="shared" si="2364"/>
        <v>0.14034814994130701</v>
      </c>
      <c r="CE244" s="918">
        <f t="shared" si="2364"/>
        <v>2.620477132460116E-2</v>
      </c>
      <c r="CF244" s="918">
        <f t="shared" si="2364"/>
        <v>0.10076096660853866</v>
      </c>
      <c r="CG244" s="918">
        <f t="shared" si="2364"/>
        <v>8.0505021517418188E-2</v>
      </c>
      <c r="CH244" s="918">
        <f t="shared" si="2364"/>
        <v>0.12030233796678821</v>
      </c>
      <c r="CI244" s="918">
        <f t="shared" ref="CI244:CL244" si="2365">+CI17/CI6</f>
        <v>8.3806486786494008E-2</v>
      </c>
      <c r="CJ244" s="918">
        <f t="shared" si="2365"/>
        <v>0.1338673460720238</v>
      </c>
      <c r="CK244" s="918">
        <f t="shared" si="2365"/>
        <v>7.8211081776424787E-2</v>
      </c>
      <c r="CL244" s="918">
        <f t="shared" si="2365"/>
        <v>0.13376106306669447</v>
      </c>
      <c r="CM244" s="918">
        <f t="shared" ref="CM244:CP244" si="2366">+CM17/CM6</f>
        <v>5.7626785594926386E-2</v>
      </c>
      <c r="CN244" s="918">
        <f t="shared" si="2366"/>
        <v>0.11169605875240934</v>
      </c>
      <c r="CO244" s="918">
        <f t="shared" si="2366"/>
        <v>7.4113148046144661E-2</v>
      </c>
      <c r="CP244" s="918">
        <f t="shared" si="2366"/>
        <v>0.14079757767107381</v>
      </c>
      <c r="CQ244" s="918"/>
      <c r="CR244" s="918">
        <v>0.13376106306669447</v>
      </c>
      <c r="CT244" s="918"/>
      <c r="CU244" s="918"/>
      <c r="CV244" s="918"/>
      <c r="CW244" s="918"/>
      <c r="CX244" s="918">
        <f t="shared" ref="CX244:DU244" si="2367">+CX17/CX6</f>
        <v>0.10408303939171563</v>
      </c>
      <c r="CY244" s="918">
        <f t="shared" si="2367"/>
        <v>9.1506806895259613E-2</v>
      </c>
      <c r="CZ244" s="918">
        <f t="shared" si="2367"/>
        <v>0.11449305897543945</v>
      </c>
      <c r="DA244" s="918">
        <f t="shared" si="2367"/>
        <v>0.14957340755661427</v>
      </c>
      <c r="DB244" s="918">
        <f t="shared" si="2367"/>
        <v>0.14705846025773331</v>
      </c>
      <c r="DC244" s="918">
        <f t="shared" si="2367"/>
        <v>0.14478934412563033</v>
      </c>
      <c r="DD244" s="918">
        <f t="shared" si="2367"/>
        <v>0.14882772261097546</v>
      </c>
      <c r="DE244" s="918">
        <f t="shared" si="2367"/>
        <v>0.18996806564515181</v>
      </c>
      <c r="DF244" s="918">
        <f t="shared" si="2367"/>
        <v>0.15186707142064423</v>
      </c>
      <c r="DG244" s="918">
        <f t="shared" si="2367"/>
        <v>0.15123287628766907</v>
      </c>
      <c r="DH244" s="918">
        <f t="shared" si="2367"/>
        <v>0.14604976555904145</v>
      </c>
      <c r="DI244" s="918">
        <f t="shared" si="2367"/>
        <v>0.16896869633815342</v>
      </c>
      <c r="DJ244" s="918">
        <f t="shared" si="2367"/>
        <v>0.17483339568273745</v>
      </c>
      <c r="DK244" s="918">
        <f t="shared" si="2367"/>
        <v>0.11368694923034875</v>
      </c>
      <c r="DL244" s="918">
        <f t="shared" si="2367"/>
        <v>7.7020936296819331E-2</v>
      </c>
      <c r="DM244" s="918">
        <f t="shared" si="2367"/>
        <v>0.1060496926525587</v>
      </c>
      <c r="DN244" s="918">
        <f t="shared" si="2367"/>
        <v>6.5144111720462319E-2</v>
      </c>
      <c r="DO244" s="918">
        <f t="shared" si="2367"/>
        <v>8.7234072619106498E-2</v>
      </c>
      <c r="DP244" s="918">
        <f t="shared" ref="DP244:DQ244" si="2368">+DP17/DP6</f>
        <v>0.11098483236516368</v>
      </c>
      <c r="DQ244" s="918">
        <f t="shared" si="2368"/>
        <v>0.10119659601366268</v>
      </c>
      <c r="DR244" s="918">
        <f t="shared" si="2367"/>
        <v>0.12821997664853899</v>
      </c>
      <c r="DS244" s="918">
        <f t="shared" si="2367"/>
        <v>0.13457742081046659</v>
      </c>
      <c r="DT244" s="918">
        <f t="shared" si="2367"/>
        <v>0.13964233661938727</v>
      </c>
      <c r="DU244" s="918">
        <f t="shared" si="2367"/>
        <v>0.14396590272719376</v>
      </c>
      <c r="DX244" s="918">
        <v>0.11617856421717158</v>
      </c>
      <c r="DY244" s="918">
        <v>0.13725138727279365</v>
      </c>
    </row>
    <row r="245" spans="1:129" s="904" customFormat="1">
      <c r="A245" s="939"/>
      <c r="B245" s="912" t="s">
        <v>515</v>
      </c>
      <c r="C245" s="918">
        <f t="shared" ref="C245:AH245" si="2369">+C11/C6</f>
        <v>-0.29261197711408371</v>
      </c>
      <c r="D245" s="918">
        <f t="shared" si="2369"/>
        <v>-0.26787183309739465</v>
      </c>
      <c r="E245" s="918">
        <f t="shared" si="2369"/>
        <v>-0.27947417303707939</v>
      </c>
      <c r="F245" s="918">
        <f t="shared" si="2369"/>
        <v>-0.23470933795083943</v>
      </c>
      <c r="G245" s="918">
        <f t="shared" si="2369"/>
        <v>-0.28484234362809463</v>
      </c>
      <c r="H245" s="918">
        <f t="shared" si="2369"/>
        <v>-0.25205725838624393</v>
      </c>
      <c r="I245" s="918">
        <f t="shared" si="2369"/>
        <v>-0.26369143735723716</v>
      </c>
      <c r="J245" s="918">
        <f t="shared" si="2369"/>
        <v>-0.21809911024689177</v>
      </c>
      <c r="K245" s="918">
        <f t="shared" si="2369"/>
        <v>-0.2835517634357006</v>
      </c>
      <c r="L245" s="918">
        <f t="shared" si="2369"/>
        <v>-0.24684135902956467</v>
      </c>
      <c r="M245" s="918">
        <f t="shared" si="2369"/>
        <v>-0.25780378157197359</v>
      </c>
      <c r="N245" s="918">
        <f t="shared" si="2369"/>
        <v>-0.22268501357017653</v>
      </c>
      <c r="O245" s="918">
        <f t="shared" si="2369"/>
        <v>-0.26208513760412022</v>
      </c>
      <c r="P245" s="918">
        <f t="shared" si="2369"/>
        <v>-0.21865170553627014</v>
      </c>
      <c r="Q245" s="918">
        <f t="shared" si="2369"/>
        <v>-0.23465582011296993</v>
      </c>
      <c r="R245" s="918">
        <f t="shared" si="2369"/>
        <v>-0.21174710871241326</v>
      </c>
      <c r="S245" s="918">
        <f t="shared" si="2369"/>
        <v>-0.26314217097386039</v>
      </c>
      <c r="T245" s="918">
        <f t="shared" si="2369"/>
        <v>-0.2299597243386122</v>
      </c>
      <c r="U245" s="918">
        <f t="shared" si="2369"/>
        <v>-0.23720789252400415</v>
      </c>
      <c r="V245" s="918">
        <f t="shared" si="2369"/>
        <v>-0.22261849789084667</v>
      </c>
      <c r="W245" s="918">
        <f t="shared" si="2369"/>
        <v>-0.28844474559448768</v>
      </c>
      <c r="X245" s="918">
        <f t="shared" si="2369"/>
        <v>-0.22179963287437196</v>
      </c>
      <c r="Y245" s="918">
        <f t="shared" si="2369"/>
        <v>-0.24872761904072163</v>
      </c>
      <c r="Z245" s="918">
        <f t="shared" si="2369"/>
        <v>-0.20563607436865103</v>
      </c>
      <c r="AA245" s="918">
        <f t="shared" si="2369"/>
        <v>-0.27101909253601481</v>
      </c>
      <c r="AB245" s="918">
        <f t="shared" si="2369"/>
        <v>-0.2118620890062648</v>
      </c>
      <c r="AC245" s="918">
        <f t="shared" si="2369"/>
        <v>-0.24839370496976887</v>
      </c>
      <c r="AD245" s="918">
        <f t="shared" si="2369"/>
        <v>-0.21782113293440858</v>
      </c>
      <c r="AE245" s="918">
        <f t="shared" si="2369"/>
        <v>-0.27890648616239705</v>
      </c>
      <c r="AF245" s="918">
        <f t="shared" si="2369"/>
        <v>-0.22143327686243375</v>
      </c>
      <c r="AG245" s="918">
        <f t="shared" si="2369"/>
        <v>-0.25532872727860878</v>
      </c>
      <c r="AH245" s="918">
        <f t="shared" si="2369"/>
        <v>-0.2203584961476644</v>
      </c>
      <c r="AI245" s="918">
        <f t="shared" ref="AI245:BN245" si="2370">+AI11/AI6</f>
        <v>-0.29359797878399946</v>
      </c>
      <c r="AJ245" s="918">
        <f t="shared" si="2370"/>
        <v>-0.23662572975779053</v>
      </c>
      <c r="AK245" s="918">
        <f t="shared" si="2370"/>
        <v>-0.24056358818992812</v>
      </c>
      <c r="AL245" s="918">
        <f t="shared" si="2370"/>
        <v>-0.21466674918002351</v>
      </c>
      <c r="AM245" s="918">
        <f t="shared" si="2370"/>
        <v>-0.28788887249910949</v>
      </c>
      <c r="AN245" s="918">
        <f t="shared" si="2370"/>
        <v>-0.23536356966508928</v>
      </c>
      <c r="AO245" s="918">
        <f t="shared" si="2370"/>
        <v>-0.24406545693069065</v>
      </c>
      <c r="AP245" s="918">
        <f t="shared" si="2370"/>
        <v>-0.20012621228411237</v>
      </c>
      <c r="AQ245" s="918">
        <f t="shared" si="2370"/>
        <v>-0.27295352509125159</v>
      </c>
      <c r="AR245" s="918">
        <f t="shared" si="2370"/>
        <v>-0.22798168938232735</v>
      </c>
      <c r="AS245" s="918">
        <f t="shared" si="2370"/>
        <v>-0.23870600089881816</v>
      </c>
      <c r="AT245" s="918">
        <f t="shared" si="2370"/>
        <v>-0.18809458210216787</v>
      </c>
      <c r="AU245" s="918">
        <f t="shared" si="2370"/>
        <v>-0.26175968761792484</v>
      </c>
      <c r="AV245" s="918">
        <f t="shared" si="2370"/>
        <v>-0.22389922943294102</v>
      </c>
      <c r="AW245" s="918">
        <f t="shared" si="2370"/>
        <v>-0.23867999901450437</v>
      </c>
      <c r="AX245" s="918">
        <f t="shared" si="2370"/>
        <v>-0.1982713125761762</v>
      </c>
      <c r="AY245" s="918">
        <f t="shared" si="2370"/>
        <v>-0.28308383485560407</v>
      </c>
      <c r="AZ245" s="921">
        <f t="shared" si="2370"/>
        <v>-0.23935529685963655</v>
      </c>
      <c r="BA245" s="918">
        <f t="shared" si="2370"/>
        <v>-0.25954590757274892</v>
      </c>
      <c r="BB245" s="918">
        <f t="shared" si="2370"/>
        <v>-0.20121972596198032</v>
      </c>
      <c r="BC245" s="918">
        <f t="shared" si="2370"/>
        <v>-0.29565289181841053</v>
      </c>
      <c r="BD245" s="918">
        <f t="shared" si="2370"/>
        <v>-0.25292031923968339</v>
      </c>
      <c r="BE245" s="918">
        <f t="shared" si="2370"/>
        <v>-0.26083299421029937</v>
      </c>
      <c r="BF245" s="918">
        <f t="shared" si="2370"/>
        <v>-0.21575302348140218</v>
      </c>
      <c r="BG245" s="918">
        <f t="shared" si="2370"/>
        <v>-0.29362120267643566</v>
      </c>
      <c r="BH245" s="918">
        <f t="shared" si="2370"/>
        <v>-0.2513869383499901</v>
      </c>
      <c r="BI245" s="918">
        <f t="shared" si="2370"/>
        <v>-0.25968770455022622</v>
      </c>
      <c r="BJ245" s="918">
        <f t="shared" si="2370"/>
        <v>-0.20629298476015312</v>
      </c>
      <c r="BK245" s="918">
        <f t="shared" si="2370"/>
        <v>-0.2321072111291215</v>
      </c>
      <c r="BL245" s="918">
        <f t="shared" si="2370"/>
        <v>-0.21632990169301625</v>
      </c>
      <c r="BM245" s="918">
        <f t="shared" si="2370"/>
        <v>-0.21626189764821374</v>
      </c>
      <c r="BN245" s="918">
        <f t="shared" si="2370"/>
        <v>-0.17598246502112119</v>
      </c>
      <c r="BO245" s="918">
        <f t="shared" ref="BO245:CH245" si="2371">+BO11/BO6</f>
        <v>-0.25490929362724085</v>
      </c>
      <c r="BP245" s="918">
        <f t="shared" si="2371"/>
        <v>-0.33519231768224356</v>
      </c>
      <c r="BQ245" s="918">
        <f t="shared" si="2371"/>
        <v>-0.26717574309833475</v>
      </c>
      <c r="BR245" s="918">
        <f t="shared" si="2371"/>
        <v>-0.21505856825352843</v>
      </c>
      <c r="BS245" s="918">
        <f t="shared" si="2371"/>
        <v>-0.34023020196105463</v>
      </c>
      <c r="BT245" s="918">
        <f t="shared" si="2371"/>
        <v>-0.24120976929220778</v>
      </c>
      <c r="BU245" s="918">
        <f t="shared" si="2371"/>
        <v>-0.23966273063643012</v>
      </c>
      <c r="BV245" s="918">
        <f t="shared" si="2371"/>
        <v>-0.2005610209254626</v>
      </c>
      <c r="BW245" s="918">
        <f t="shared" si="2371"/>
        <v>-0.241011180915292</v>
      </c>
      <c r="BX245" s="918">
        <f t="shared" si="2371"/>
        <v>-0.20121819897047627</v>
      </c>
      <c r="BY245" s="918">
        <f t="shared" si="2371"/>
        <v>-0.22384472327971072</v>
      </c>
      <c r="BZ245" s="918">
        <f t="shared" si="2371"/>
        <v>-0.19792538583568503</v>
      </c>
      <c r="CA245" s="918">
        <f t="shared" si="2371"/>
        <v>-0.24285516623115694</v>
      </c>
      <c r="CB245" s="918">
        <f t="shared" si="2371"/>
        <v>-0.21088113495028513</v>
      </c>
      <c r="CC245" s="918">
        <f t="shared" si="2371"/>
        <v>-0.22293690605651229</v>
      </c>
      <c r="CD245" s="918">
        <f t="shared" si="2371"/>
        <v>-0.19693948884879775</v>
      </c>
      <c r="CE245" s="918">
        <f t="shared" si="2371"/>
        <v>-0.23985360263168662</v>
      </c>
      <c r="CF245" s="918">
        <f t="shared" si="2371"/>
        <v>-0.21690005456780226</v>
      </c>
      <c r="CG245" s="918">
        <f t="shared" si="2371"/>
        <v>-0.21999853119398888</v>
      </c>
      <c r="CH245" s="918">
        <f t="shared" si="2371"/>
        <v>-0.19759391858775535</v>
      </c>
      <c r="CI245" s="918">
        <f t="shared" ref="CI245:CL245" si="2372">+CI11/CI6</f>
        <v>-0.23247899665272584</v>
      </c>
      <c r="CJ245" s="918">
        <f t="shared" si="2372"/>
        <v>-0.20664819705314805</v>
      </c>
      <c r="CK245" s="918">
        <f t="shared" si="2372"/>
        <v>-0.22535465411261826</v>
      </c>
      <c r="CL245" s="918">
        <f t="shared" si="2372"/>
        <v>-0.19759391858775535</v>
      </c>
      <c r="CM245" s="918">
        <f t="shared" ref="CM245:CP245" si="2373">+CM11/CM6</f>
        <v>-0.23247899665272584</v>
      </c>
      <c r="CN245" s="918">
        <f t="shared" si="2373"/>
        <v>-0.20664819705314805</v>
      </c>
      <c r="CO245" s="918">
        <f t="shared" si="2373"/>
        <v>-0.22535465411261824</v>
      </c>
      <c r="CP245" s="918">
        <f t="shared" si="2373"/>
        <v>-0.19759391858775535</v>
      </c>
      <c r="CQ245" s="918"/>
      <c r="CR245" s="918">
        <v>-0.19759391858775535</v>
      </c>
      <c r="CT245" s="918"/>
      <c r="CU245" s="918"/>
      <c r="CV245" s="918"/>
      <c r="CW245" s="918"/>
      <c r="CX245" s="918">
        <f t="shared" ref="CX245:DU245" si="2374">+CX11/CX6</f>
        <v>-0.22783060469543576</v>
      </c>
      <c r="CY245" s="918">
        <f t="shared" si="2374"/>
        <v>-0.23595618337458377</v>
      </c>
      <c r="CZ245" s="918">
        <f t="shared" si="2374"/>
        <v>-0.23458429160595493</v>
      </c>
      <c r="DA245" s="918">
        <f t="shared" si="2374"/>
        <v>-0.23323306696596346</v>
      </c>
      <c r="DB245" s="918">
        <f t="shared" si="2374"/>
        <v>-0.23947226869375168</v>
      </c>
      <c r="DC245" s="918">
        <f t="shared" si="2374"/>
        <v>-0.2406609902167193</v>
      </c>
      <c r="DD245" s="918">
        <f t="shared" si="2374"/>
        <v>-0.23569015248552644</v>
      </c>
      <c r="DE245" s="918">
        <f t="shared" si="2374"/>
        <v>-0.22464400223617745</v>
      </c>
      <c r="DF245" s="918">
        <f t="shared" si="2374"/>
        <v>-0.22614861229857849</v>
      </c>
      <c r="DG245" s="918">
        <f t="shared" si="2374"/>
        <v>-0.23985767827415919</v>
      </c>
      <c r="DH245" s="918">
        <f t="shared" si="2374"/>
        <v>-0.2506614601873513</v>
      </c>
      <c r="DI245" s="918">
        <f t="shared" si="2374"/>
        <v>-0.24629168718220204</v>
      </c>
      <c r="DJ245" s="918">
        <f t="shared" si="2374"/>
        <v>-0.20605235243241415</v>
      </c>
      <c r="DK245" s="918">
        <f t="shared" si="2374"/>
        <v>-0.25017685659623362</v>
      </c>
      <c r="DL245" s="918">
        <f t="shared" si="2374"/>
        <v>-0.24075093232824873</v>
      </c>
      <c r="DM245" s="918">
        <f t="shared" si="2374"/>
        <v>-0.2132021544197758</v>
      </c>
      <c r="DN245" s="918">
        <f t="shared" si="2374"/>
        <v>-0.21575553774078246</v>
      </c>
      <c r="DO245" s="918">
        <f t="shared" si="2374"/>
        <v>-0.21607709308561449</v>
      </c>
      <c r="DP245" s="918">
        <f t="shared" ref="DP245:DQ245" si="2375">+DP11/DP6</f>
        <v>-0.21341921404669703</v>
      </c>
      <c r="DQ245" s="918">
        <f t="shared" si="2375"/>
        <v>-0.21334313661673526</v>
      </c>
      <c r="DR245" s="918">
        <f t="shared" si="2374"/>
        <v>-0.20834313661673526</v>
      </c>
      <c r="DS245" s="918">
        <f t="shared" si="2374"/>
        <v>-0.20834313661673526</v>
      </c>
      <c r="DT245" s="918">
        <f t="shared" si="2374"/>
        <v>-0.20834313661673526</v>
      </c>
      <c r="DU245" s="918">
        <f t="shared" si="2374"/>
        <v>-0.20834313661673529</v>
      </c>
      <c r="DX245" s="918">
        <v>-0.21099999999999994</v>
      </c>
      <c r="DY245" s="918">
        <v>-0.2</v>
      </c>
    </row>
    <row r="246" spans="1:129" s="904" customFormat="1">
      <c r="A246" s="939"/>
      <c r="B246" s="912" t="s">
        <v>516</v>
      </c>
      <c r="C246" s="918">
        <f t="shared" ref="C246:AH246" si="2376">+C12/C6</f>
        <v>-8.8770817621475109E-2</v>
      </c>
      <c r="D246" s="918">
        <f t="shared" si="2376"/>
        <v>-8.0899824194363368E-2</v>
      </c>
      <c r="E246" s="918">
        <f t="shared" si="2376"/>
        <v>-9.4415469981662739E-2</v>
      </c>
      <c r="F246" s="918">
        <f t="shared" si="2376"/>
        <v>-9.4550143738167891E-2</v>
      </c>
      <c r="G246" s="918">
        <f t="shared" si="2376"/>
        <v>-8.2434206770565732E-2</v>
      </c>
      <c r="H246" s="918">
        <f t="shared" si="2376"/>
        <v>-7.7273126829894984E-2</v>
      </c>
      <c r="I246" s="918">
        <f t="shared" si="2376"/>
        <v>-8.2227706930226907E-2</v>
      </c>
      <c r="J246" s="918">
        <f t="shared" si="2376"/>
        <v>-6.5268988274114662E-2</v>
      </c>
      <c r="K246" s="918">
        <f t="shared" si="2376"/>
        <v>-8.7047144913627639E-2</v>
      </c>
      <c r="L246" s="918">
        <f t="shared" si="2376"/>
        <v>-8.4831696686446467E-2</v>
      </c>
      <c r="M246" s="918">
        <f t="shared" si="2376"/>
        <v>-9.1174121290590479E-2</v>
      </c>
      <c r="N246" s="918">
        <f t="shared" si="2376"/>
        <v>-7.6916915499805338E-2</v>
      </c>
      <c r="O246" s="918">
        <f t="shared" si="2376"/>
        <v>-9.2198357094560576E-2</v>
      </c>
      <c r="P246" s="918">
        <f t="shared" si="2376"/>
        <v>-6.9313385159471302E-2</v>
      </c>
      <c r="Q246" s="918">
        <f t="shared" si="2376"/>
        <v>-8.222975955604804E-2</v>
      </c>
      <c r="R246" s="918">
        <f t="shared" si="2376"/>
        <v>-7.5264456437933697E-2</v>
      </c>
      <c r="S246" s="918">
        <f t="shared" si="2376"/>
        <v>-8.4951956590712766E-2</v>
      </c>
      <c r="T246" s="918">
        <f t="shared" si="2376"/>
        <v>-7.7519612534364971E-2</v>
      </c>
      <c r="U246" s="918">
        <f t="shared" si="2376"/>
        <v>-9.1864990124567336E-2</v>
      </c>
      <c r="V246" s="918">
        <f t="shared" si="2376"/>
        <v>-7.6327445125636051E-2</v>
      </c>
      <c r="W246" s="918">
        <f t="shared" si="2376"/>
        <v>-9.0670286829510366E-2</v>
      </c>
      <c r="X246" s="918">
        <f t="shared" si="2376"/>
        <v>-7.5312920800633829E-2</v>
      </c>
      <c r="Y246" s="918">
        <f t="shared" si="2376"/>
        <v>-7.9587406370686078E-2</v>
      </c>
      <c r="Z246" s="918">
        <f t="shared" si="2376"/>
        <v>-6.7013453283322783E-2</v>
      </c>
      <c r="AA246" s="918">
        <f t="shared" si="2376"/>
        <v>-8.1009304027130982E-2</v>
      </c>
      <c r="AB246" s="918">
        <f t="shared" si="2376"/>
        <v>-7.1362842548196775E-2</v>
      </c>
      <c r="AC246" s="918">
        <f t="shared" si="2376"/>
        <v>-8.8231685441073002E-2</v>
      </c>
      <c r="AD246" s="918">
        <f t="shared" si="2376"/>
        <v>-7.1008455663338341E-2</v>
      </c>
      <c r="AE246" s="918">
        <f t="shared" si="2376"/>
        <v>-8.604849632661786E-2</v>
      </c>
      <c r="AF246" s="918">
        <f t="shared" si="2376"/>
        <v>-7.2403902828606231E-2</v>
      </c>
      <c r="AG246" s="918">
        <f t="shared" si="2376"/>
        <v>-8.6176174853960383E-2</v>
      </c>
      <c r="AH246" s="918">
        <f t="shared" si="2376"/>
        <v>-7.0340690047614826E-2</v>
      </c>
      <c r="AI246" s="918">
        <f t="shared" ref="AI246:BN246" si="2377">+AI12/AI6</f>
        <v>-9.0509195292100678E-2</v>
      </c>
      <c r="AJ246" s="918">
        <f t="shared" si="2377"/>
        <v>-7.2188718661494955E-2</v>
      </c>
      <c r="AK246" s="918">
        <f t="shared" si="2377"/>
        <v>-8.1884254931728129E-2</v>
      </c>
      <c r="AL246" s="918">
        <f t="shared" si="2377"/>
        <v>-6.7030756853765708E-2</v>
      </c>
      <c r="AM246" s="918">
        <f t="shared" si="2377"/>
        <v>-9.4447102786702194E-2</v>
      </c>
      <c r="AN246" s="918">
        <f t="shared" si="2377"/>
        <v>-7.4645276036823777E-2</v>
      </c>
      <c r="AO246" s="918">
        <f t="shared" si="2377"/>
        <v>-8.4482125636971522E-2</v>
      </c>
      <c r="AP246" s="918">
        <f t="shared" si="2377"/>
        <v>-5.9155477585633248E-2</v>
      </c>
      <c r="AQ246" s="918">
        <f t="shared" si="2377"/>
        <v>-8.6972919645349422E-2</v>
      </c>
      <c r="AR246" s="918">
        <f t="shared" si="2377"/>
        <v>-7.3531661180279595E-2</v>
      </c>
      <c r="AS246" s="918">
        <f t="shared" si="2377"/>
        <v>-8.2066583984256564E-2</v>
      </c>
      <c r="AT246" s="918">
        <f t="shared" si="2377"/>
        <v>-6.8893020728673954E-2</v>
      </c>
      <c r="AU246" s="918">
        <f t="shared" si="2377"/>
        <v>-8.5483416201923942E-2</v>
      </c>
      <c r="AV246" s="918">
        <f t="shared" si="2377"/>
        <v>-7.5924839934366092E-2</v>
      </c>
      <c r="AW246" s="918">
        <f t="shared" si="2377"/>
        <v>-8.597111793918788E-2</v>
      </c>
      <c r="AX246" s="918">
        <f t="shared" si="2377"/>
        <v>-6.4666413470059497E-2</v>
      </c>
      <c r="AY246" s="918">
        <f t="shared" si="2377"/>
        <v>-9.6737212484838089E-2</v>
      </c>
      <c r="AZ246" s="921">
        <f t="shared" si="2377"/>
        <v>-7.9285376127411114E-2</v>
      </c>
      <c r="BA246" s="918">
        <f t="shared" si="2377"/>
        <v>-9.2867828768132335E-2</v>
      </c>
      <c r="BB246" s="918">
        <f t="shared" si="2377"/>
        <v>-6.4192188561504104E-2</v>
      </c>
      <c r="BC246" s="918">
        <f t="shared" si="2377"/>
        <v>-9.1643421880784892E-2</v>
      </c>
      <c r="BD246" s="918">
        <f t="shared" si="2377"/>
        <v>-7.4054465139596709E-2</v>
      </c>
      <c r="BE246" s="918">
        <f t="shared" si="2377"/>
        <v>-8.5947471456621349E-2</v>
      </c>
      <c r="BF246" s="918">
        <f t="shared" si="2377"/>
        <v>-6.9093156891043422E-2</v>
      </c>
      <c r="BG246" s="918">
        <f t="shared" si="2377"/>
        <v>-9.1690336765369695E-2</v>
      </c>
      <c r="BH246" s="918">
        <f t="shared" si="2377"/>
        <v>-7.9903093762329236E-2</v>
      </c>
      <c r="BI246" s="918">
        <f t="shared" si="2377"/>
        <v>-9.0832136049828954E-2</v>
      </c>
      <c r="BJ246" s="918">
        <f t="shared" si="2377"/>
        <v>-7.0630727112450623E-2</v>
      </c>
      <c r="BK246" s="918">
        <f t="shared" si="2377"/>
        <v>-8.9973822971835246E-2</v>
      </c>
      <c r="BL246" s="918">
        <f t="shared" si="2377"/>
        <v>-7.9604573115928251E-2</v>
      </c>
      <c r="BM246" s="918">
        <f t="shared" si="2377"/>
        <v>-8.8070789462452073E-2</v>
      </c>
      <c r="BN246" s="918">
        <f t="shared" si="2377"/>
        <v>-6.6796578703381806E-2</v>
      </c>
      <c r="BO246" s="918">
        <f t="shared" ref="BO246:CH246" si="2378">+BO12/BO6</f>
        <v>-0.10208605073289977</v>
      </c>
      <c r="BP246" s="918">
        <f t="shared" si="2378"/>
        <v>-0.1861185940487764</v>
      </c>
      <c r="BQ246" s="918">
        <f t="shared" si="2378"/>
        <v>-9.8120208554115296E-2</v>
      </c>
      <c r="BR246" s="918">
        <f t="shared" si="2378"/>
        <v>-6.7287960417239862E-2</v>
      </c>
      <c r="BS246" s="918">
        <f t="shared" si="2378"/>
        <v>-0.13375856997054497</v>
      </c>
      <c r="BT246" s="918">
        <f t="shared" si="2378"/>
        <v>-9.5102062287449704E-2</v>
      </c>
      <c r="BU246" s="918">
        <f t="shared" si="2378"/>
        <v>-8.9980199838914726E-2</v>
      </c>
      <c r="BV246" s="918">
        <f t="shared" si="2378"/>
        <v>-7.7438413887454816E-2</v>
      </c>
      <c r="BW246" s="918">
        <f t="shared" si="2378"/>
        <v>-0.11412907037975924</v>
      </c>
      <c r="BX246" s="918">
        <f t="shared" si="2378"/>
        <v>-9.0393694794499241E-2</v>
      </c>
      <c r="BY246" s="918">
        <f t="shared" si="2378"/>
        <v>-0.11018440949724817</v>
      </c>
      <c r="BZ246" s="918">
        <f t="shared" si="2378"/>
        <v>-8.4032859807719906E-2</v>
      </c>
      <c r="CA246" s="918">
        <f t="shared" si="2378"/>
        <v>-0.12086475945594194</v>
      </c>
      <c r="CB246" s="918">
        <f t="shared" si="2378"/>
        <v>-0.10104897629422591</v>
      </c>
      <c r="CC246" s="918">
        <f t="shared" si="2378"/>
        <v>-0.11191225586807771</v>
      </c>
      <c r="CD246" s="918">
        <f t="shared" si="2378"/>
        <v>-8.9004766143385108E-2</v>
      </c>
      <c r="CE246" s="918">
        <f t="shared" si="2378"/>
        <v>-0.11653438202849893</v>
      </c>
      <c r="CF246" s="918">
        <f t="shared" si="2378"/>
        <v>-0.10159950982717544</v>
      </c>
      <c r="CG246" s="918">
        <f t="shared" si="2378"/>
        <v>-0.10533551157068156</v>
      </c>
      <c r="CH246" s="918">
        <f t="shared" si="2378"/>
        <v>-8.5140031321898013E-2</v>
      </c>
      <c r="CI246" s="918">
        <f t="shared" ref="CI246:CL246" si="2379">+CI12/CI6</f>
        <v>-0.11163546145968659</v>
      </c>
      <c r="CJ246" s="918">
        <f t="shared" si="2379"/>
        <v>-9.9569868839509676E-2</v>
      </c>
      <c r="CK246" s="918">
        <f t="shared" si="2379"/>
        <v>-0.10466589887615224</v>
      </c>
      <c r="CL246" s="918">
        <f t="shared" si="2379"/>
        <v>-8.54973306664015E-2</v>
      </c>
      <c r="CM246" s="918">
        <f t="shared" ref="CM246:CP246" si="2380">+CM12/CM6</f>
        <v>-0.10906969217223186</v>
      </c>
      <c r="CN246" s="918">
        <f t="shared" si="2380"/>
        <v>-9.8119350992538365E-2</v>
      </c>
      <c r="CO246" s="918">
        <f t="shared" si="2380"/>
        <v>-0.10002404401305051</v>
      </c>
      <c r="CP246" s="918">
        <f t="shared" si="2380"/>
        <v>-8.0977854780461905E-2</v>
      </c>
      <c r="CQ246" s="918"/>
      <c r="CR246" s="918">
        <v>-8.54973306664015E-2</v>
      </c>
      <c r="CT246" s="918"/>
      <c r="CU246" s="918"/>
      <c r="CV246" s="918"/>
      <c r="CW246" s="918"/>
      <c r="CX246" s="918">
        <f t="shared" ref="CX246:DU246" si="2381">+CX12/CX6</f>
        <v>-7.8401233803864337E-2</v>
      </c>
      <c r="CY246" s="918">
        <f t="shared" si="2381"/>
        <v>-8.1982329878007715E-2</v>
      </c>
      <c r="CZ246" s="918">
        <f t="shared" si="2381"/>
        <v>-7.6300500755618061E-2</v>
      </c>
      <c r="DA246" s="918">
        <f t="shared" si="2381"/>
        <v>-7.6967642652411294E-2</v>
      </c>
      <c r="DB246" s="918">
        <f t="shared" si="2381"/>
        <v>-7.7405511492517315E-2</v>
      </c>
      <c r="DC246" s="918">
        <f t="shared" si="2381"/>
        <v>-7.6098483161717717E-2</v>
      </c>
      <c r="DD246" s="918">
        <f t="shared" si="2381"/>
        <v>-7.5566620949839167E-2</v>
      </c>
      <c r="DE246" s="918">
        <f t="shared" si="2381"/>
        <v>-7.63030373210042E-2</v>
      </c>
      <c r="DF246" s="918">
        <f t="shared" si="2381"/>
        <v>-7.6383055517495121E-2</v>
      </c>
      <c r="DG246" s="918">
        <f t="shared" si="2381"/>
        <v>-8.0765331903192711E-2</v>
      </c>
      <c r="DH246" s="918">
        <f t="shared" si="2381"/>
        <v>-7.8554715606090814E-2</v>
      </c>
      <c r="DI246" s="918">
        <f t="shared" si="2381"/>
        <v>-8.1581754601324552E-2</v>
      </c>
      <c r="DJ246" s="918">
        <f t="shared" si="2381"/>
        <v>-7.9370183065289993E-2</v>
      </c>
      <c r="DK246" s="918">
        <f t="shared" si="2381"/>
        <v>-9.5962017624628845E-2</v>
      </c>
      <c r="DL246" s="918">
        <f t="shared" si="2381"/>
        <v>-9.3142389421893179E-2</v>
      </c>
      <c r="DM246" s="918">
        <f t="shared" si="2381"/>
        <v>-9.7643178576183792E-2</v>
      </c>
      <c r="DN246" s="918">
        <f t="shared" si="2381"/>
        <v>-0.10377422845167762</v>
      </c>
      <c r="DO246" s="918">
        <f t="shared" si="2381"/>
        <v>-0.1002213437924752</v>
      </c>
      <c r="DP246" s="918">
        <f t="shared" ref="DP246:DQ246" si="2382">+DP12/DP6</f>
        <v>-9.8907551342203789E-2</v>
      </c>
      <c r="DQ246" s="918">
        <f t="shared" si="2382"/>
        <v>-9.5449242593216521E-2</v>
      </c>
      <c r="DR246" s="918">
        <f t="shared" si="2381"/>
        <v>-9.2492444473715671E-2</v>
      </c>
      <c r="DS246" s="918">
        <f t="shared" si="2381"/>
        <v>-9.0912804454384821E-2</v>
      </c>
      <c r="DT246" s="918">
        <f t="shared" si="2381"/>
        <v>-8.9360008012852571E-2</v>
      </c>
      <c r="DU246" s="918">
        <f t="shared" si="2381"/>
        <v>-8.7837976917600466E-2</v>
      </c>
      <c r="DX246" s="918">
        <v>-9.5636380945341215E-2</v>
      </c>
      <c r="DY246" s="918">
        <v>-9.3044250149835528E-2</v>
      </c>
    </row>
    <row r="247" spans="1:129" s="904" customFormat="1">
      <c r="A247" s="939"/>
      <c r="B247" s="912" t="s">
        <v>517</v>
      </c>
      <c r="C247" s="918" t="e">
        <f t="shared" ref="C247:AH247" si="2383">+C13/C6</f>
        <v>#REF!</v>
      </c>
      <c r="D247" s="918">
        <f t="shared" si="2383"/>
        <v>-2.8237475414354257E-2</v>
      </c>
      <c r="E247" s="918">
        <f t="shared" si="2383"/>
        <v>-3.2835607630206473E-2</v>
      </c>
      <c r="F247" s="918">
        <f t="shared" si="2383"/>
        <v>-2.1882345050864716E-2</v>
      </c>
      <c r="G247" s="918">
        <f t="shared" si="2383"/>
        <v>-3.3833799547106622E-2</v>
      </c>
      <c r="H247" s="918">
        <f t="shared" si="2383"/>
        <v>-2.6607433853310884E-2</v>
      </c>
      <c r="I247" s="918">
        <f t="shared" si="2383"/>
        <v>-2.9120856889582037E-2</v>
      </c>
      <c r="J247" s="918">
        <f t="shared" si="2383"/>
        <v>-1.9230451947439751E-2</v>
      </c>
      <c r="K247" s="918">
        <f t="shared" si="2383"/>
        <v>-3.2014755278310943E-2</v>
      </c>
      <c r="L247" s="918">
        <f t="shared" si="2383"/>
        <v>-2.456283148663551E-2</v>
      </c>
      <c r="M247" s="918">
        <f t="shared" si="2383"/>
        <v>-2.8960139797627939E-2</v>
      </c>
      <c r="N247" s="918">
        <f t="shared" si="2383"/>
        <v>-1.9970605712327158E-2</v>
      </c>
      <c r="O247" s="918">
        <f t="shared" si="2383"/>
        <v>-3.3672368402123405E-2</v>
      </c>
      <c r="P247" s="918">
        <f t="shared" si="2383"/>
        <v>-2.4650010593392981E-2</v>
      </c>
      <c r="Q247" s="918">
        <f t="shared" si="2383"/>
        <v>-2.8433916200463049E-2</v>
      </c>
      <c r="R247" s="918">
        <f t="shared" si="2383"/>
        <v>-2.0476484194294525E-2</v>
      </c>
      <c r="S247" s="918">
        <f t="shared" si="2383"/>
        <v>-3.3765866830941391E-2</v>
      </c>
      <c r="T247" s="918">
        <f t="shared" si="2383"/>
        <v>-2.7041725302685456E-2</v>
      </c>
      <c r="U247" s="918">
        <f t="shared" si="2383"/>
        <v>-3.1239611240393452E-2</v>
      </c>
      <c r="V247" s="918">
        <f t="shared" si="2383"/>
        <v>-2.3989855870810834E-2</v>
      </c>
      <c r="W247" s="918">
        <f t="shared" si="2383"/>
        <v>-4.3277328968778478E-2</v>
      </c>
      <c r="X247" s="918">
        <f t="shared" si="2383"/>
        <v>-2.9903132305425049E-2</v>
      </c>
      <c r="Y247" s="918">
        <f t="shared" si="2383"/>
        <v>-3.4036982786871887E-2</v>
      </c>
      <c r="Z247" s="918">
        <f t="shared" si="2383"/>
        <v>-2.4131674475999943E-2</v>
      </c>
      <c r="AA247" s="918">
        <f t="shared" si="2383"/>
        <v>-3.7166671610358019E-2</v>
      </c>
      <c r="AB247" s="918">
        <f t="shared" si="2383"/>
        <v>-2.553068439840574E-2</v>
      </c>
      <c r="AC247" s="918">
        <f t="shared" si="2383"/>
        <v>-2.8412435371571725E-2</v>
      </c>
      <c r="AD247" s="918">
        <f t="shared" si="2383"/>
        <v>-2.3089695827294632E-2</v>
      </c>
      <c r="AE247" s="918">
        <f t="shared" si="2383"/>
        <v>-3.5932173950802233E-2</v>
      </c>
      <c r="AF247" s="918">
        <f t="shared" si="2383"/>
        <v>-2.6994843493512218E-2</v>
      </c>
      <c r="AG247" s="918">
        <f t="shared" si="2383"/>
        <v>-3.2581592135022278E-2</v>
      </c>
      <c r="AH247" s="918">
        <f t="shared" si="2383"/>
        <v>-2.7671056325687702E-2</v>
      </c>
      <c r="AI247" s="918">
        <f t="shared" ref="AI247:BN247" si="2384">+AI13/AI6</f>
        <v>-4.2503905390849257E-2</v>
      </c>
      <c r="AJ247" s="918">
        <f t="shared" si="2384"/>
        <v>-3.3418667984015979E-2</v>
      </c>
      <c r="AK247" s="918">
        <f t="shared" si="2384"/>
        <v>-3.7289322894223348E-2</v>
      </c>
      <c r="AL247" s="918">
        <f t="shared" si="2384"/>
        <v>-2.8717742434556593E-2</v>
      </c>
      <c r="AM247" s="918">
        <f t="shared" si="2384"/>
        <v>-4.7119816082690828E-2</v>
      </c>
      <c r="AN247" s="918">
        <f t="shared" si="2384"/>
        <v>-3.8274163949143812E-2</v>
      </c>
      <c r="AO247" s="918">
        <f t="shared" si="2384"/>
        <v>-4.1388830419948404E-2</v>
      </c>
      <c r="AP247" s="918">
        <f t="shared" si="2384"/>
        <v>-3.1129613691420588E-2</v>
      </c>
      <c r="AQ247" s="918">
        <f t="shared" si="2384"/>
        <v>-5.146311476283115E-2</v>
      </c>
      <c r="AR247" s="918">
        <f t="shared" si="2384"/>
        <v>-4.1134359654182349E-2</v>
      </c>
      <c r="AS247" s="918">
        <f t="shared" si="2384"/>
        <v>-4.5708475556216425E-2</v>
      </c>
      <c r="AT247" s="918">
        <f t="shared" si="2384"/>
        <v>-3.1770255043035107E-2</v>
      </c>
      <c r="AU247" s="918">
        <f t="shared" si="2384"/>
        <v>-5.2289591472187417E-2</v>
      </c>
      <c r="AV247" s="918">
        <f t="shared" si="2384"/>
        <v>-4.145072522082438E-2</v>
      </c>
      <c r="AW247" s="918">
        <f t="shared" si="2384"/>
        <v>-4.8032352413232393E-2</v>
      </c>
      <c r="AX247" s="918">
        <f t="shared" si="2384"/>
        <v>-3.5484759798336346E-2</v>
      </c>
      <c r="AY247" s="918">
        <f t="shared" si="2384"/>
        <v>-5.8816597173731271E-2</v>
      </c>
      <c r="AZ247" s="921">
        <f t="shared" si="2384"/>
        <v>-4.6681799973294164E-2</v>
      </c>
      <c r="BA247" s="918">
        <f t="shared" si="2384"/>
        <v>-5.4363966969814548E-2</v>
      </c>
      <c r="BB247" s="918">
        <f t="shared" si="2384"/>
        <v>-3.9028767264764765E-2</v>
      </c>
      <c r="BC247" s="918">
        <f t="shared" si="2384"/>
        <v>-5.5898154768802055E-2</v>
      </c>
      <c r="BD247" s="918">
        <f t="shared" si="2384"/>
        <v>-4.3530450016710971E-2</v>
      </c>
      <c r="BE247" s="918">
        <f t="shared" si="2384"/>
        <v>-4.7394691982315384E-2</v>
      </c>
      <c r="BF247" s="918">
        <f t="shared" si="2384"/>
        <v>-3.5676116227311594E-2</v>
      </c>
      <c r="BG247" s="918">
        <f t="shared" si="2384"/>
        <v>-4.5353239758396106E-2</v>
      </c>
      <c r="BH247" s="918">
        <f t="shared" si="2384"/>
        <v>-3.7761058008600579E-2</v>
      </c>
      <c r="BI247" s="918">
        <f t="shared" si="2384"/>
        <v>-4.1828591541758095E-2</v>
      </c>
      <c r="BJ247" s="918">
        <f t="shared" si="2384"/>
        <v>-2.9334668138338571E-2</v>
      </c>
      <c r="BK247" s="918">
        <f t="shared" si="2384"/>
        <v>-8.5872068164917922E-2</v>
      </c>
      <c r="BL247" s="918">
        <f t="shared" si="2384"/>
        <v>-7.1928321242022267E-2</v>
      </c>
      <c r="BM247" s="918">
        <f t="shared" si="2384"/>
        <v>-7.5097663489467614E-2</v>
      </c>
      <c r="BN247" s="918">
        <f t="shared" si="2384"/>
        <v>-5.2621925456204866E-2</v>
      </c>
      <c r="BO247" s="918">
        <f t="shared" ref="BO247:CH247" si="2385">+BO13/BO6</f>
        <v>-9.7425581928154953E-2</v>
      </c>
      <c r="BP247" s="918">
        <f t="shared" si="2385"/>
        <v>-0.22635948279913817</v>
      </c>
      <c r="BQ247" s="918">
        <f t="shared" si="2385"/>
        <v>-0.11076965362207192</v>
      </c>
      <c r="BR247" s="918">
        <f t="shared" si="2385"/>
        <v>-6.3992215615989473E-2</v>
      </c>
      <c r="BS247" s="918">
        <f t="shared" si="2385"/>
        <v>-0.12740531455159182</v>
      </c>
      <c r="BT247" s="918">
        <f t="shared" si="2385"/>
        <v>-8.5183550690621543E-2</v>
      </c>
      <c r="BU247" s="918">
        <f t="shared" si="2385"/>
        <v>-8.61392985163702E-2</v>
      </c>
      <c r="BV247" s="918">
        <f t="shared" si="2385"/>
        <v>-6.1217128772731985E-2</v>
      </c>
      <c r="BW247" s="918">
        <f t="shared" si="2385"/>
        <v>-8.9945595601111969E-2</v>
      </c>
      <c r="BX247" s="918">
        <f t="shared" si="2385"/>
        <v>-6.9230465894372206E-2</v>
      </c>
      <c r="BY247" s="918">
        <f t="shared" si="2385"/>
        <v>-8.3236789641679299E-2</v>
      </c>
      <c r="BZ247" s="918">
        <f t="shared" si="2385"/>
        <v>-6.3921224549991232E-2</v>
      </c>
      <c r="CA247" s="918">
        <f t="shared" si="2385"/>
        <v>-9.2455136252329484E-2</v>
      </c>
      <c r="CB247" s="918">
        <f t="shared" si="2385"/>
        <v>-7.0674125013591285E-2</v>
      </c>
      <c r="CC247" s="918">
        <f t="shared" si="2385"/>
        <v>-8.5322831452431566E-2</v>
      </c>
      <c r="CD247" s="918">
        <f t="shared" si="2385"/>
        <v>-6.5963021769555402E-2</v>
      </c>
      <c r="CE247" s="918">
        <f t="shared" si="2385"/>
        <v>-0.1017299412808188</v>
      </c>
      <c r="CF247" s="918">
        <f t="shared" si="2385"/>
        <v>-8.5017544926117586E-2</v>
      </c>
      <c r="CG247" s="918">
        <f t="shared" si="2385"/>
        <v>-8.7368297798354172E-2</v>
      </c>
      <c r="CH247" s="918">
        <f t="shared" si="2385"/>
        <v>-6.6375481161054378E-2</v>
      </c>
      <c r="CI247" s="918">
        <f t="shared" ref="CI247:CL247" si="2386">+CI13/CI6</f>
        <v>-9.3612858149740782E-2</v>
      </c>
      <c r="CJ247" s="918">
        <f t="shared" si="2386"/>
        <v>-7.7520787913136824E-2</v>
      </c>
      <c r="CK247" s="918">
        <f t="shared" si="2386"/>
        <v>-8.6219844017295488E-2</v>
      </c>
      <c r="CL247" s="918">
        <f t="shared" si="2386"/>
        <v>-6.3732549943228037E-2</v>
      </c>
      <c r="CM247" s="918">
        <f t="shared" ref="CM247:CP247" si="2387">+CM13/CM6</f>
        <v>-9.9117242489475135E-2</v>
      </c>
      <c r="CN247" s="918">
        <f t="shared" si="2387"/>
        <v>-7.5725155790806492E-2</v>
      </c>
      <c r="CO247" s="918">
        <f t="shared" si="2387"/>
        <v>-8.3729359333359538E-2</v>
      </c>
      <c r="CP247" s="918">
        <f t="shared" si="2387"/>
        <v>-6.1173458435167534E-2</v>
      </c>
      <c r="CQ247" s="918"/>
      <c r="CR247" s="918">
        <v>-6.3732549943228037E-2</v>
      </c>
      <c r="CT247" s="918"/>
      <c r="CU247" s="918"/>
      <c r="CV247" s="918"/>
      <c r="CW247" s="918"/>
      <c r="CX247" s="918">
        <f t="shared" ref="CX247:DU247" si="2388">+CX13/CX6</f>
        <v>-2.5742397869637518E-2</v>
      </c>
      <c r="CY247" s="918">
        <f t="shared" si="2388"/>
        <v>-2.8413559828255247E-2</v>
      </c>
      <c r="CZ247" s="918">
        <f t="shared" si="2388"/>
        <v>-3.1339110892238543E-2</v>
      </c>
      <c r="DA247" s="918">
        <f t="shared" si="2388"/>
        <v>-2.7545506949709558E-2</v>
      </c>
      <c r="DB247" s="918">
        <f t="shared" si="2388"/>
        <v>-3.0148752123640824E-2</v>
      </c>
      <c r="DC247" s="918">
        <f t="shared" si="2388"/>
        <v>-3.4420640682168165E-2</v>
      </c>
      <c r="DD247" s="918">
        <f t="shared" si="2388"/>
        <v>-3.8311753983976689E-2</v>
      </c>
      <c r="DE247" s="918">
        <f t="shared" si="2388"/>
        <v>-4.0784165164250916E-2</v>
      </c>
      <c r="DF247" s="918">
        <f t="shared" si="2388"/>
        <v>-4.3087325212303948E-2</v>
      </c>
      <c r="DG247" s="918">
        <f t="shared" si="2388"/>
        <v>-4.8245701053075372E-2</v>
      </c>
      <c r="DH247" s="918">
        <f t="shared" si="2388"/>
        <v>-4.4201842885265984E-2</v>
      </c>
      <c r="DI247" s="918">
        <f t="shared" si="2388"/>
        <v>-3.7331332037665275E-2</v>
      </c>
      <c r="DJ247" s="918">
        <f t="shared" si="2388"/>
        <v>-6.9015523593678504E-2</v>
      </c>
      <c r="DK247" s="918">
        <f t="shared" si="2388"/>
        <v>-0.10078583767403725</v>
      </c>
      <c r="DL247" s="918">
        <f t="shared" si="2388"/>
        <v>-8.2959971768154561E-2</v>
      </c>
      <c r="DM247" s="918">
        <f t="shared" si="2388"/>
        <v>-7.4888082309752357E-2</v>
      </c>
      <c r="DN247" s="918">
        <f t="shared" si="2388"/>
        <v>-7.6953078833155317E-2</v>
      </c>
      <c r="DO247" s="918">
        <f t="shared" si="2388"/>
        <v>-8.2974067019359304E-2</v>
      </c>
      <c r="DP247" s="918">
        <f t="shared" ref="DP247:DQ247" si="2389">+DP13/DP6</f>
        <v>-7.8586318382432963E-2</v>
      </c>
      <c r="DQ247" s="918">
        <f t="shared" si="2389"/>
        <v>-7.7779316809314727E-2</v>
      </c>
      <c r="DR247" s="918">
        <f t="shared" si="2388"/>
        <v>-7.4528574250339791E-2</v>
      </c>
      <c r="DS247" s="918">
        <f t="shared" si="2388"/>
        <v>-7.3329581664120624E-2</v>
      </c>
      <c r="DT247" s="918">
        <f t="shared" si="2388"/>
        <v>-7.2686353444485874E-2</v>
      </c>
      <c r="DU247" s="918">
        <f t="shared" si="2388"/>
        <v>-7.2418545687193692E-2</v>
      </c>
      <c r="DX247" s="918">
        <v>-7.5769832054035272E-2</v>
      </c>
      <c r="DY247" s="918">
        <v>-7.4045919588638487E-2</v>
      </c>
    </row>
    <row r="248" spans="1:129" s="904" customFormat="1">
      <c r="A248" s="939"/>
      <c r="B248" s="912" t="s">
        <v>518</v>
      </c>
      <c r="C248" s="918">
        <f t="shared" ref="C248:AH248" si="2390">+C15/C6</f>
        <v>-3.2066366889137131E-2</v>
      </c>
      <c r="D248" s="918">
        <f t="shared" si="2390"/>
        <v>1.5977015814155487E-2</v>
      </c>
      <c r="E248" s="918">
        <f t="shared" si="2390"/>
        <v>-2.0990212188326071E-2</v>
      </c>
      <c r="F248" s="918">
        <f t="shared" si="2390"/>
        <v>-4.4575598959841721E-2</v>
      </c>
      <c r="G248" s="918">
        <f t="shared" si="2390"/>
        <v>-4.0199044737493105E-2</v>
      </c>
      <c r="H248" s="918">
        <f t="shared" si="2390"/>
        <v>-4.1020075596216135E-2</v>
      </c>
      <c r="I248" s="918">
        <f t="shared" si="2390"/>
        <v>-3.6256699047696114E-2</v>
      </c>
      <c r="J248" s="918">
        <f t="shared" si="2390"/>
        <v>-8.135053915502917E-2</v>
      </c>
      <c r="K248" s="918">
        <f t="shared" si="2390"/>
        <v>-3.9002519193857964E-2</v>
      </c>
      <c r="L248" s="918">
        <f t="shared" si="2390"/>
        <v>-4.214409494302368E-2</v>
      </c>
      <c r="M248" s="918">
        <f t="shared" si="2390"/>
        <v>-2.8821726304619263E-2</v>
      </c>
      <c r="N248" s="918">
        <f t="shared" si="2390"/>
        <v>-6.9125007683867978E-2</v>
      </c>
      <c r="O248" s="918">
        <f t="shared" si="2390"/>
        <v>-8.6527312223964564E-2</v>
      </c>
      <c r="P248" s="918">
        <f t="shared" si="2390"/>
        <v>-9.7982773513258042E-2</v>
      </c>
      <c r="Q248" s="918">
        <f t="shared" si="2390"/>
        <v>-9.0400709890723671E-2</v>
      </c>
      <c r="R248" s="918">
        <f t="shared" si="2390"/>
        <v>-9.8562837316885116E-2</v>
      </c>
      <c r="S248" s="918">
        <f t="shared" si="2390"/>
        <v>-9.0885300268413169E-2</v>
      </c>
      <c r="T248" s="918">
        <f t="shared" si="2390"/>
        <v>-0.10289098379615325</v>
      </c>
      <c r="U248" s="918">
        <f t="shared" si="2390"/>
        <v>-9.4759176330250106E-2</v>
      </c>
      <c r="V248" s="918">
        <f t="shared" si="2390"/>
        <v>-8.7081825646294769E-2</v>
      </c>
      <c r="W248" s="918">
        <f t="shared" si="2390"/>
        <v>-8.9171959325657191E-2</v>
      </c>
      <c r="X248" s="918">
        <f t="shared" si="2390"/>
        <v>-8.7321124069551725E-2</v>
      </c>
      <c r="Y248" s="918">
        <f t="shared" si="2390"/>
        <v>-8.8995149471946061E-2</v>
      </c>
      <c r="Z248" s="918">
        <f t="shared" si="2390"/>
        <v>-7.5909544422030156E-2</v>
      </c>
      <c r="AA248" s="918">
        <f t="shared" si="2390"/>
        <v>-9.1003470471331532E-2</v>
      </c>
      <c r="AB248" s="918">
        <f t="shared" si="2390"/>
        <v>-8.3655974633129071E-2</v>
      </c>
      <c r="AC248" s="918">
        <f t="shared" si="2390"/>
        <v>-6.3215882635240181E-2</v>
      </c>
      <c r="AD248" s="918">
        <f t="shared" si="2390"/>
        <v>-6.1848153713467711E-2</v>
      </c>
      <c r="AE248" s="918">
        <f t="shared" si="2390"/>
        <v>-8.3710358119268427E-2</v>
      </c>
      <c r="AF248" s="918">
        <f t="shared" si="2390"/>
        <v>-7.8135479944860156E-2</v>
      </c>
      <c r="AG248" s="918">
        <f t="shared" si="2390"/>
        <v>-7.4077868023862348E-2</v>
      </c>
      <c r="AH248" s="918">
        <f t="shared" si="2390"/>
        <v>-6.7702749299532516E-2</v>
      </c>
      <c r="AI248" s="918">
        <f t="shared" ref="AI248:BN248" si="2391">+AI15/AI6</f>
        <v>-8.8288621072755882E-2</v>
      </c>
      <c r="AJ248" s="918">
        <f t="shared" si="2391"/>
        <v>-8.449072378157399E-2</v>
      </c>
      <c r="AK248" s="918">
        <f t="shared" si="2391"/>
        <v>-8.2375936127850366E-2</v>
      </c>
      <c r="AL248" s="918">
        <f t="shared" si="2391"/>
        <v>-7.3234729871898011E-2</v>
      </c>
      <c r="AM248" s="918">
        <f t="shared" si="2391"/>
        <v>-8.5828077610801898E-2</v>
      </c>
      <c r="AN248" s="918">
        <f t="shared" si="2391"/>
        <v>-8.4278415167078152E-2</v>
      </c>
      <c r="AO248" s="918">
        <f t="shared" si="2391"/>
        <v>-7.3749186193933045E-2</v>
      </c>
      <c r="AP248" s="918">
        <f t="shared" si="2391"/>
        <v>-6.0693947584780833E-2</v>
      </c>
      <c r="AQ248" s="918">
        <f t="shared" si="2391"/>
        <v>-4.6147276729305131E-2</v>
      </c>
      <c r="AR248" s="918">
        <f t="shared" si="2391"/>
        <v>-5.4880069596917852E-2</v>
      </c>
      <c r="AS248" s="918">
        <f t="shared" si="2391"/>
        <v>-5.131155180706478E-2</v>
      </c>
      <c r="AT248" s="918">
        <f t="shared" si="2391"/>
        <v>-5.7161674088030176E-2</v>
      </c>
      <c r="AU248" s="918">
        <f t="shared" si="2391"/>
        <v>-4.8069897065199617E-2</v>
      </c>
      <c r="AV248" s="918">
        <f t="shared" si="2391"/>
        <v>-4.2592671887092037E-2</v>
      </c>
      <c r="AW248" s="918">
        <f t="shared" si="2391"/>
        <v>-4.3297749902330346E-2</v>
      </c>
      <c r="AX248" s="918">
        <f t="shared" si="2391"/>
        <v>-5.5690194881953294E-2</v>
      </c>
      <c r="AY248" s="918">
        <f t="shared" si="2391"/>
        <v>-4.4960232296938595E-2</v>
      </c>
      <c r="AZ248" s="921">
        <f t="shared" si="2391"/>
        <v>-3.5582490683305212E-2</v>
      </c>
      <c r="BA248" s="918">
        <f t="shared" si="2391"/>
        <v>-4.2727044484513726E-2</v>
      </c>
      <c r="BB248" s="918">
        <f t="shared" si="2391"/>
        <v>-3.9005553339441598E-2</v>
      </c>
      <c r="BC248" s="918">
        <f t="shared" si="2391"/>
        <v>-4.8117768164745348E-2</v>
      </c>
      <c r="BD248" s="918">
        <f t="shared" si="2391"/>
        <v>-4.7328105854739018E-2</v>
      </c>
      <c r="BE248" s="918">
        <f t="shared" si="2391"/>
        <v>-4.4726637324014232E-2</v>
      </c>
      <c r="BF248" s="918">
        <f t="shared" si="2391"/>
        <v>-5.8578912796066966E-2</v>
      </c>
      <c r="BG248" s="918">
        <f t="shared" si="2391"/>
        <v>-4.9217428152933916E-2</v>
      </c>
      <c r="BH248" s="918">
        <f t="shared" si="2391"/>
        <v>-3.8840231503734717E-2</v>
      </c>
      <c r="BI248" s="918">
        <f t="shared" si="2391"/>
        <v>-3.3403473005545241E-2</v>
      </c>
      <c r="BJ248" s="918">
        <f t="shared" si="2391"/>
        <v>-4.8186583869248366E-2</v>
      </c>
      <c r="BK248" s="918">
        <f t="shared" si="2391"/>
        <v>-2.9490248224607676E-2</v>
      </c>
      <c r="BL248" s="918">
        <f t="shared" si="2391"/>
        <v>-3.9724625262434095E-2</v>
      </c>
      <c r="BM248" s="918">
        <f t="shared" si="2391"/>
        <v>-4.52089291049554E-2</v>
      </c>
      <c r="BN248" s="918">
        <f t="shared" si="2391"/>
        <v>-4.8609417909550895E-2</v>
      </c>
      <c r="BO248" s="918">
        <f t="shared" ref="BO248:CH248" si="2392">+BO15/BO6</f>
        <v>-4.7481946451288552E-2</v>
      </c>
      <c r="BP248" s="918">
        <f t="shared" si="2392"/>
        <v>0.80983319851677049</v>
      </c>
      <c r="BQ248" s="918">
        <f t="shared" si="2392"/>
        <v>-5.7940637047572706E-2</v>
      </c>
      <c r="BR248" s="918">
        <f t="shared" si="2392"/>
        <v>-4.4908181603538877E-2</v>
      </c>
      <c r="BS248" s="918">
        <f t="shared" si="2392"/>
        <v>-5.9574653754851735E-2</v>
      </c>
      <c r="BT248" s="918">
        <f t="shared" si="2392"/>
        <v>-3.3032257650003435E-2</v>
      </c>
      <c r="BU248" s="918">
        <f t="shared" si="2392"/>
        <v>-5.3933559700312397E-2</v>
      </c>
      <c r="BV248" s="918">
        <f t="shared" si="2392"/>
        <v>-7.5840099943792122E-2</v>
      </c>
      <c r="BW248" s="918">
        <f t="shared" si="2392"/>
        <v>-4.6047797494397295E-2</v>
      </c>
      <c r="BX248" s="918">
        <f t="shared" si="2392"/>
        <v>-4.9698911049910692E-2</v>
      </c>
      <c r="BY248" s="918">
        <f t="shared" si="2392"/>
        <v>-2.6234477895250314E-2</v>
      </c>
      <c r="BZ248" s="918">
        <f t="shared" si="2392"/>
        <v>-2.1632507453643916E-2</v>
      </c>
      <c r="CA248" s="918">
        <f t="shared" si="2392"/>
        <v>-4.1903698781966009E-2</v>
      </c>
      <c r="CB248" s="918">
        <f t="shared" si="2392"/>
        <v>-3.8974818804234944E-2</v>
      </c>
      <c r="CC248" s="918">
        <f t="shared" si="2392"/>
        <v>-4.0353608670832292E-2</v>
      </c>
      <c r="CD248" s="918">
        <f t="shared" si="2392"/>
        <v>-4.6651221221816475E-2</v>
      </c>
      <c r="CE248" s="918">
        <f t="shared" si="2392"/>
        <v>-3.3162566203925457E-2</v>
      </c>
      <c r="CF248" s="918">
        <f t="shared" si="2392"/>
        <v>-3.6577471082047418E-2</v>
      </c>
      <c r="CG248" s="918">
        <f t="shared" si="2392"/>
        <v>-4.2974963346211439E-2</v>
      </c>
      <c r="CH248" s="918">
        <f t="shared" si="2392"/>
        <v>-8.4545084192490849E-2</v>
      </c>
      <c r="CI248" s="918">
        <f t="shared" ref="CI248:CL248" si="2393">+CI15/CI6</f>
        <v>-4.4632266445970868E-2</v>
      </c>
      <c r="CJ248" s="918">
        <f t="shared" si="2393"/>
        <v>-4.5807792845992124E-2</v>
      </c>
      <c r="CK248" s="918">
        <f t="shared" si="2393"/>
        <v>-4.5179252145098936E-2</v>
      </c>
      <c r="CL248" s="918">
        <f t="shared" si="2393"/>
        <v>-7.1478764906588679E-2</v>
      </c>
      <c r="CM248" s="918">
        <f t="shared" ref="CM248:CP248" si="2394">+CM15/CM6</f>
        <v>-4.4538694467951979E-2</v>
      </c>
      <c r="CN248" s="918">
        <f t="shared" si="2394"/>
        <v>-4.2363122574993445E-2</v>
      </c>
      <c r="CO248" s="918">
        <f t="shared" si="2394"/>
        <v>-4.559239154648758E-2</v>
      </c>
      <c r="CP248" s="918">
        <f t="shared" si="2394"/>
        <v>-6.9272322301754452E-2</v>
      </c>
      <c r="CQ248" s="918"/>
      <c r="CR248" s="918">
        <v>-7.1478764906588679E-2</v>
      </c>
      <c r="CT248" s="918"/>
      <c r="CU248" s="918"/>
      <c r="CV248" s="918"/>
      <c r="CW248" s="918"/>
      <c r="CX248" s="918">
        <f t="shared" ref="CX248:DU248" si="2395">+CX15/CX6</f>
        <v>-9.4372219940661001E-2</v>
      </c>
      <c r="CY248" s="918">
        <f t="shared" si="2395"/>
        <v>-9.3734010014626612E-2</v>
      </c>
      <c r="CZ248" s="918">
        <f t="shared" si="2395"/>
        <v>-8.4280605915990167E-2</v>
      </c>
      <c r="DA248" s="918">
        <f t="shared" si="2395"/>
        <v>-7.3091346828343159E-2</v>
      </c>
      <c r="DB248" s="918">
        <f t="shared" si="2395"/>
        <v>-7.4817309764702758E-2</v>
      </c>
      <c r="DC248" s="918">
        <f t="shared" si="2395"/>
        <v>-8.0925398730565742E-2</v>
      </c>
      <c r="DD248" s="918">
        <f t="shared" si="2395"/>
        <v>-7.4263073571143215E-2</v>
      </c>
      <c r="DE248" s="918">
        <f t="shared" si="2395"/>
        <v>-5.3280457565158576E-2</v>
      </c>
      <c r="DF248" s="918">
        <f t="shared" si="2395"/>
        <v>-4.8095054336735776E-2</v>
      </c>
      <c r="DG248" s="918">
        <f t="shared" si="2395"/>
        <v>-4.0116684595091434E-2</v>
      </c>
      <c r="DH248" s="918">
        <f t="shared" si="2395"/>
        <v>-5.0572938166826842E-2</v>
      </c>
      <c r="DI248" s="918">
        <f t="shared" si="2395"/>
        <v>-4.2735963972643107E-2</v>
      </c>
      <c r="DJ248" s="918">
        <f t="shared" si="2395"/>
        <v>-4.1923412543671087E-2</v>
      </c>
      <c r="DK248" s="918">
        <f t="shared" si="2395"/>
        <v>4.3047532366216543E-2</v>
      </c>
      <c r="DL248" s="918">
        <f t="shared" si="2395"/>
        <v>-5.7876531245138661E-2</v>
      </c>
      <c r="DM248" s="918">
        <f t="shared" si="2395"/>
        <v>-3.5155314876185818E-2</v>
      </c>
      <c r="DN248" s="918">
        <f t="shared" si="2395"/>
        <v>-4.22857843752521E-2</v>
      </c>
      <c r="DO248" s="918">
        <f t="shared" si="2395"/>
        <v>-5.2733631164518825E-2</v>
      </c>
      <c r="DP248" s="918">
        <f t="shared" ref="DP248:DQ248" si="2396">+DP15/DP6</f>
        <v>-5.3259891786280843E-2</v>
      </c>
      <c r="DQ248" s="918">
        <f t="shared" si="2396"/>
        <v>-5.1909394681780553E-2</v>
      </c>
      <c r="DR248" s="918">
        <f t="shared" si="2395"/>
        <v>-5.0116370642480527E-2</v>
      </c>
      <c r="DS248" s="918">
        <f t="shared" si="2395"/>
        <v>-4.8882059021706871E-2</v>
      </c>
      <c r="DT248" s="918">
        <f t="shared" si="2395"/>
        <v>-4.7691888642673763E-2</v>
      </c>
      <c r="DU248" s="918">
        <f t="shared" si="2395"/>
        <v>-4.6545822264906438E-2</v>
      </c>
      <c r="DX248" s="918">
        <v>-4.8555536777999141E-2</v>
      </c>
      <c r="DY248" s="918">
        <v>-4.6912730049891632E-2</v>
      </c>
    </row>
    <row r="249" spans="1:129" s="904" customFormat="1">
      <c r="A249" s="939"/>
      <c r="B249" s="912" t="s">
        <v>519</v>
      </c>
      <c r="C249" s="918" t="e">
        <f t="shared" ref="C249:AH249" si="2397">+C39/C6</f>
        <v>#REF!</v>
      </c>
      <c r="D249" s="918">
        <f t="shared" si="2397"/>
        <v>9.8488739669852887E-2</v>
      </c>
      <c r="E249" s="918">
        <f t="shared" si="2397"/>
        <v>2.2271439117906217E-2</v>
      </c>
      <c r="F249" s="918">
        <f t="shared" si="2397"/>
        <v>5.1712206617138226E-2</v>
      </c>
      <c r="G249" s="918">
        <f t="shared" si="2397"/>
        <v>8.5031683507449912E-2</v>
      </c>
      <c r="H249" s="918">
        <f t="shared" si="2397"/>
        <v>0.12057866942545524</v>
      </c>
      <c r="I249" s="918">
        <f t="shared" si="2397"/>
        <v>7.6471215704737985E-2</v>
      </c>
      <c r="J249" s="918">
        <f t="shared" si="2397"/>
        <v>0.11615343821813683</v>
      </c>
      <c r="K249" s="918">
        <f t="shared" si="2397"/>
        <v>9.1245801343570063E-2</v>
      </c>
      <c r="L249" s="918">
        <f t="shared" si="2397"/>
        <v>0.10615974373785643</v>
      </c>
      <c r="M249" s="918">
        <f t="shared" si="2397"/>
        <v>9.2148782970526574E-2</v>
      </c>
      <c r="N249" s="918">
        <f t="shared" si="2397"/>
        <v>0.1182309780027159</v>
      </c>
      <c r="O249" s="918">
        <f t="shared" si="2397"/>
        <v>7.134698105335846E-2</v>
      </c>
      <c r="P249" s="918">
        <f t="shared" si="2397"/>
        <v>0.11647435584021903</v>
      </c>
      <c r="Q249" s="918">
        <f t="shared" si="2397"/>
        <v>0.10173373692602902</v>
      </c>
      <c r="R249" s="918">
        <f t="shared" si="2397"/>
        <v>0.11385659213569777</v>
      </c>
      <c r="S249" s="918">
        <f t="shared" si="2397"/>
        <v>8.3963065977762694E-2</v>
      </c>
      <c r="T249" s="918">
        <f t="shared" si="2397"/>
        <v>0.10086925506800601</v>
      </c>
      <c r="U249" s="918">
        <f t="shared" si="2397"/>
        <v>7.9885405870504717E-2</v>
      </c>
      <c r="V249" s="918">
        <f t="shared" si="2397"/>
        <v>9.7294255471103638E-2</v>
      </c>
      <c r="W249" s="918">
        <f t="shared" si="2397"/>
        <v>4.2234702982816952E-2</v>
      </c>
      <c r="X249" s="918">
        <f t="shared" si="2397"/>
        <v>0.11687212877436771</v>
      </c>
      <c r="Y249" s="918">
        <f t="shared" si="2397"/>
        <v>8.3577911720027306E-2</v>
      </c>
      <c r="Z249" s="918">
        <f t="shared" si="2397"/>
        <v>0.17343397079236589</v>
      </c>
      <c r="AA249" s="918">
        <f t="shared" si="2397"/>
        <v>9.9014227943721014E-2</v>
      </c>
      <c r="AB249" s="918">
        <f t="shared" si="2397"/>
        <v>0.18458501064075281</v>
      </c>
      <c r="AC249" s="918">
        <f t="shared" si="2397"/>
        <v>0.12137797360659633</v>
      </c>
      <c r="AD249" s="918">
        <f t="shared" si="2397"/>
        <v>0.17084930069619184</v>
      </c>
      <c r="AE249" s="918">
        <f t="shared" si="2397"/>
        <v>9.8634360277035982E-2</v>
      </c>
      <c r="AF249" s="918">
        <f t="shared" si="2397"/>
        <v>0.18111974979047593</v>
      </c>
      <c r="AG249" s="918">
        <f t="shared" si="2397"/>
        <v>0.10328579015044709</v>
      </c>
      <c r="AH249" s="918">
        <f t="shared" si="2397"/>
        <v>0.17813071750104104</v>
      </c>
      <c r="AI249" s="918">
        <f t="shared" ref="AI249:BN249" si="2398">+AI39/AI6</f>
        <v>6.9405985822162314E-2</v>
      </c>
      <c r="AJ249" s="918">
        <f t="shared" si="2398"/>
        <v>0.16167706660917219</v>
      </c>
      <c r="AK249" s="918">
        <f t="shared" si="2398"/>
        <v>0.12188942587104926</v>
      </c>
      <c r="AL249" s="918">
        <f t="shared" si="2398"/>
        <v>0.189700785939724</v>
      </c>
      <c r="AM249" s="918">
        <f t="shared" si="2398"/>
        <v>5.5377866362536457E-2</v>
      </c>
      <c r="AN249" s="918">
        <f t="shared" si="2398"/>
        <v>0.14845407685010026</v>
      </c>
      <c r="AO249" s="918">
        <f t="shared" si="2398"/>
        <v>0.10836617112199994</v>
      </c>
      <c r="AP249" s="918">
        <f t="shared" si="2398"/>
        <v>0.23107778141352259</v>
      </c>
      <c r="AQ249" s="918">
        <f t="shared" si="2398"/>
        <v>0.17175486408683444</v>
      </c>
      <c r="AR249" s="918">
        <f t="shared" si="2398"/>
        <v>0.23538273524809836</v>
      </c>
      <c r="AS249" s="918">
        <f t="shared" si="2398"/>
        <v>0.20665839842565603</v>
      </c>
      <c r="AT249" s="918">
        <f t="shared" si="2398"/>
        <v>0.27395927351477872</v>
      </c>
      <c r="AU249" s="918">
        <f t="shared" si="2398"/>
        <v>0.16351546411379742</v>
      </c>
      <c r="AV249" s="918">
        <f t="shared" si="2398"/>
        <v>0.20668990473190263</v>
      </c>
      <c r="AW249" s="918">
        <f t="shared" si="2398"/>
        <v>0.15830649617592504</v>
      </c>
      <c r="AX249" s="918">
        <f t="shared" si="2398"/>
        <v>0.23017324278327608</v>
      </c>
      <c r="AY249" s="918">
        <f t="shared" si="2398"/>
        <v>0.14342908954767997</v>
      </c>
      <c r="AZ249" s="921">
        <f t="shared" si="2398"/>
        <v>0.21205100814527975</v>
      </c>
      <c r="BA249" s="918">
        <f t="shared" si="2398"/>
        <v>0.14627940095267145</v>
      </c>
      <c r="BB249" s="918">
        <f t="shared" si="2398"/>
        <v>0.25922706156238245</v>
      </c>
      <c r="BC249" s="918">
        <f t="shared" si="2398"/>
        <v>0.12940499843145456</v>
      </c>
      <c r="BD249" s="918">
        <f t="shared" si="2398"/>
        <v>0.2044735169283263</v>
      </c>
      <c r="BE249" s="918">
        <f t="shared" si="2398"/>
        <v>0.16531195726924941</v>
      </c>
      <c r="BF249" s="918">
        <f t="shared" si="2398"/>
        <v>0.23252396927233923</v>
      </c>
      <c r="BG249" s="918">
        <f t="shared" si="2398"/>
        <v>0.14979134488127077</v>
      </c>
      <c r="BH249" s="918">
        <f t="shared" si="2398"/>
        <v>0.21199722828161219</v>
      </c>
      <c r="BI249" s="918">
        <f t="shared" si="2398"/>
        <v>0.17484460962554185</v>
      </c>
      <c r="BJ249" s="918">
        <f t="shared" si="2398"/>
        <v>0.25626007349188024</v>
      </c>
      <c r="BK249" s="918">
        <f t="shared" si="2398"/>
        <v>0.21687665191951661</v>
      </c>
      <c r="BL249" s="918">
        <f t="shared" si="2398"/>
        <v>0.23504496501751307</v>
      </c>
      <c r="BM249" s="918">
        <f t="shared" si="2398"/>
        <v>0.20541029897720101</v>
      </c>
      <c r="BN249" s="918">
        <f t="shared" si="2398"/>
        <v>0.29316945624136204</v>
      </c>
      <c r="BO249" s="918">
        <f t="shared" ref="BO249:CH249" si="2399">+BO39/BO6</f>
        <v>0.1147749094438611</v>
      </c>
      <c r="BP249" s="918">
        <f t="shared" si="2399"/>
        <v>0.74615278056068846</v>
      </c>
      <c r="BQ249" s="918">
        <f t="shared" si="2399"/>
        <v>4.0037675156798257E-2</v>
      </c>
      <c r="BR249" s="918">
        <f t="shared" si="2399"/>
        <v>0.23665002208220565</v>
      </c>
      <c r="BS249" s="918">
        <f t="shared" si="2399"/>
        <v>1.7778618105291914E-2</v>
      </c>
      <c r="BT249" s="918">
        <f t="shared" si="2399"/>
        <v>0.18982746206972431</v>
      </c>
      <c r="BU249" s="918">
        <f t="shared" si="2399"/>
        <v>0.16529357439680045</v>
      </c>
      <c r="BV249" s="918">
        <f t="shared" si="2399"/>
        <v>0.19526055252799357</v>
      </c>
      <c r="BW249" s="918">
        <f t="shared" si="2399"/>
        <v>0.14499369313102367</v>
      </c>
      <c r="BX249" s="918">
        <f t="shared" si="2399"/>
        <v>0.1890866734117651</v>
      </c>
      <c r="BY249" s="918">
        <f t="shared" si="2399"/>
        <v>0.14984365224122756</v>
      </c>
      <c r="BZ249" s="918">
        <f t="shared" si="2399"/>
        <v>0.22034909559796559</v>
      </c>
      <c r="CA249" s="918">
        <f t="shared" si="2399"/>
        <v>8.284857953685594E-2</v>
      </c>
      <c r="CB249" s="918">
        <f t="shared" si="2399"/>
        <v>0.13472226542579044</v>
      </c>
      <c r="CC249" s="918">
        <f t="shared" si="2399"/>
        <v>0.11497254202000842</v>
      </c>
      <c r="CD249" s="918">
        <f t="shared" si="2399"/>
        <v>0.20631117171086238</v>
      </c>
      <c r="CE249" s="918">
        <f t="shared" si="2399"/>
        <v>0.12793471260541997</v>
      </c>
      <c r="CF249" s="918">
        <f t="shared" si="2399"/>
        <v>0.18577851153465624</v>
      </c>
      <c r="CG249" s="918">
        <f t="shared" si="2399"/>
        <v>0.16787331931577235</v>
      </c>
      <c r="CH249" s="918">
        <f t="shared" si="2399"/>
        <v>0.18667781912784259</v>
      </c>
      <c r="CI249" s="918">
        <f t="shared" ref="CI249:CL249" si="2400">+CI39/CI6</f>
        <v>0.17741934493623479</v>
      </c>
      <c r="CJ249" s="918">
        <f t="shared" si="2400"/>
        <v>0.21138813398516065</v>
      </c>
      <c r="CK249" s="918">
        <f t="shared" si="2400"/>
        <v>0.16443092579372029</v>
      </c>
      <c r="CL249" s="918">
        <f t="shared" si="2400"/>
        <v>0.19749361300992252</v>
      </c>
      <c r="CM249" s="918">
        <f t="shared" ref="CM249:CP249" si="2401">+CM39/CM6</f>
        <v>0.15674402808440152</v>
      </c>
      <c r="CN249" s="918">
        <f t="shared" si="2401"/>
        <v>0.18742121454321584</v>
      </c>
      <c r="CO249" s="918">
        <f t="shared" si="2401"/>
        <v>0.1578425073795042</v>
      </c>
      <c r="CP249" s="918">
        <f t="shared" si="2401"/>
        <v>0.20197103610624134</v>
      </c>
      <c r="CQ249" s="918"/>
      <c r="CR249" s="918">
        <v>0.19749361300992252</v>
      </c>
      <c r="CT249" s="918"/>
      <c r="CU249" s="918"/>
      <c r="CV249" s="918"/>
      <c r="CW249" s="918"/>
      <c r="CX249" s="918">
        <f t="shared" ref="CX249:DU249" si="2402">+CX39/CX6</f>
        <v>0.10408303939171563</v>
      </c>
      <c r="CY249" s="918">
        <f t="shared" si="2402"/>
        <v>9.1506806895259613E-2</v>
      </c>
      <c r="CZ249" s="918">
        <f t="shared" si="2402"/>
        <v>0.11449305897543945</v>
      </c>
      <c r="DA249" s="918">
        <f t="shared" si="2402"/>
        <v>0.14957340755661427</v>
      </c>
      <c r="DB249" s="918">
        <f t="shared" si="2402"/>
        <v>0.14705846025773331</v>
      </c>
      <c r="DC249" s="918">
        <f t="shared" si="2402"/>
        <v>0.14478934412563033</v>
      </c>
      <c r="DD249" s="918">
        <f t="shared" si="2402"/>
        <v>0.14882772261097546</v>
      </c>
      <c r="DE249" s="918">
        <f t="shared" si="2402"/>
        <v>0.23075223080940274</v>
      </c>
      <c r="DF249" s="918">
        <f t="shared" si="2402"/>
        <v>0.1949543966329482</v>
      </c>
      <c r="DG249" s="918">
        <f t="shared" si="2402"/>
        <v>0.19947857734074445</v>
      </c>
      <c r="DH249" s="918">
        <f t="shared" si="2402"/>
        <v>0.19025160844430744</v>
      </c>
      <c r="DI249" s="918">
        <f t="shared" si="2402"/>
        <v>0.20630002837581871</v>
      </c>
      <c r="DJ249" s="918">
        <f t="shared" si="2402"/>
        <v>0.24384891927641597</v>
      </c>
      <c r="DK249" s="918">
        <f t="shared" si="2402"/>
        <v>0.21447278690438598</v>
      </c>
      <c r="DL249" s="918">
        <f t="shared" si="2402"/>
        <v>0.15998090806497389</v>
      </c>
      <c r="DM249" s="918">
        <f t="shared" si="2402"/>
        <v>0.18093777496231106</v>
      </c>
      <c r="DN249" s="918">
        <f t="shared" si="2402"/>
        <v>0.14209719055361764</v>
      </c>
      <c r="DO249" s="918">
        <f t="shared" si="2402"/>
        <v>0.17020813963846579</v>
      </c>
      <c r="DP249" s="918">
        <f t="shared" ref="DP249:DQ249" si="2403">+DP39/DP6</f>
        <v>0.18957115074759662</v>
      </c>
      <c r="DQ249" s="918">
        <f t="shared" si="2403"/>
        <v>0.1789759128229774</v>
      </c>
      <c r="DR249" s="918">
        <f t="shared" si="2402"/>
        <v>0.20274855089887878</v>
      </c>
      <c r="DS249" s="918">
        <f t="shared" si="2402"/>
        <v>0.20790700247458721</v>
      </c>
      <c r="DT249" s="918">
        <f t="shared" si="2402"/>
        <v>0.21232869006387314</v>
      </c>
      <c r="DU249" s="918">
        <f t="shared" si="2402"/>
        <v>0.21638444841438745</v>
      </c>
      <c r="DX249" s="918">
        <v>0.19194839627120686</v>
      </c>
      <c r="DY249" s="918">
        <v>0.21129730686143214</v>
      </c>
    </row>
    <row r="250" spans="1:129" s="904" customFormat="1">
      <c r="A250" s="939"/>
      <c r="B250" s="912" t="s">
        <v>520</v>
      </c>
      <c r="C250" s="918" t="e">
        <f t="shared" ref="C250:AH250" si="2404">+C25/C6</f>
        <v>#REF!</v>
      </c>
      <c r="D250" s="918">
        <f t="shared" si="2404"/>
        <v>2.8199892261628855E-2</v>
      </c>
      <c r="E250" s="918">
        <f t="shared" si="2404"/>
        <v>8.5970803267366822E-2</v>
      </c>
      <c r="F250" s="918">
        <f t="shared" si="2404"/>
        <v>9.4891579046846752E-2</v>
      </c>
      <c r="G250" s="918">
        <f t="shared" si="2404"/>
        <v>3.9509238644364522E-2</v>
      </c>
      <c r="H250" s="918">
        <f t="shared" si="2404"/>
        <v>0.14522519964027561</v>
      </c>
      <c r="I250" s="918">
        <f t="shared" si="2404"/>
        <v>6.8978581438718198E-2</v>
      </c>
      <c r="J250" s="918">
        <f t="shared" si="2404"/>
        <v>0.11427258264097578</v>
      </c>
      <c r="K250" s="918">
        <f t="shared" si="2404"/>
        <v>7.1860754558541268E-2</v>
      </c>
      <c r="L250" s="918">
        <f t="shared" si="2404"/>
        <v>6.2744840623851286E-2</v>
      </c>
      <c r="M250" s="918">
        <f t="shared" si="2404"/>
        <v>8.1387133889101959E-2</v>
      </c>
      <c r="N250" s="918">
        <f t="shared" si="2404"/>
        <v>9.6038104534134069E-2</v>
      </c>
      <c r="O250" s="918">
        <f t="shared" si="2404"/>
        <v>4.1302815381738141E-2</v>
      </c>
      <c r="P250" s="918">
        <f t="shared" si="2404"/>
        <v>7.0405319513029876E-2</v>
      </c>
      <c r="Q250" s="918">
        <f t="shared" si="2404"/>
        <v>5.7919605776420455E-2</v>
      </c>
      <c r="R250" s="918">
        <f t="shared" si="2404"/>
        <v>8.5259830377794915E-2</v>
      </c>
      <c r="S250" s="918">
        <f t="shared" si="2404"/>
        <v>5.2427413807877313E-2</v>
      </c>
      <c r="T250" s="918">
        <f t="shared" si="2404"/>
        <v>6.1693625992545208E-2</v>
      </c>
      <c r="U250" s="918">
        <f t="shared" si="2404"/>
        <v>4.4464868881631696E-2</v>
      </c>
      <c r="V250" s="918">
        <f t="shared" si="2404"/>
        <v>7.4973310784224922E-2</v>
      </c>
      <c r="W250" s="918">
        <f t="shared" si="2404"/>
        <v>1.84523326668798E-2</v>
      </c>
      <c r="X250" s="918">
        <f t="shared" si="2404"/>
        <v>7.0655381194429864E-2</v>
      </c>
      <c r="Y250" s="918">
        <f t="shared" si="2404"/>
        <v>4.7246931529518692E-2</v>
      </c>
      <c r="Z250" s="918">
        <f t="shared" si="2404"/>
        <v>0.1276000970762832</v>
      </c>
      <c r="AA250" s="918">
        <f t="shared" si="2404"/>
        <v>6.5946865205311497E-2</v>
      </c>
      <c r="AB250" s="918">
        <f t="shared" si="2404"/>
        <v>0.12466774356213088</v>
      </c>
      <c r="AC250" s="918">
        <f t="shared" si="2404"/>
        <v>8.2643626926428043E-2</v>
      </c>
      <c r="AD250" s="918">
        <f t="shared" si="2404"/>
        <v>0.14475322088753345</v>
      </c>
      <c r="AE250" s="918">
        <f t="shared" si="2404"/>
        <v>7.9474987766526881E-2</v>
      </c>
      <c r="AF250" s="918">
        <f t="shared" si="2404"/>
        <v>0.13573221076996111</v>
      </c>
      <c r="AG250" s="918">
        <f t="shared" si="2404"/>
        <v>7.6417736635387548E-2</v>
      </c>
      <c r="AH250" s="918">
        <f t="shared" si="2404"/>
        <v>0.11858485784325733</v>
      </c>
      <c r="AI250" s="918">
        <f t="shared" ref="AI250:BN250" si="2405">+AI25/AI6</f>
        <v>5.037672217867234E-2</v>
      </c>
      <c r="AJ250" s="918">
        <f t="shared" si="2405"/>
        <v>0.10829616077801757</v>
      </c>
      <c r="AK250" s="918">
        <f t="shared" si="2405"/>
        <v>7.5711169891874458E-2</v>
      </c>
      <c r="AL250" s="918">
        <f t="shared" si="2405"/>
        <v>0.11423510118200383</v>
      </c>
      <c r="AM250" s="918">
        <f t="shared" si="2405"/>
        <v>2.5911041874287329E-2</v>
      </c>
      <c r="AN250" s="918">
        <f t="shared" si="2405"/>
        <v>9.2417781181099237E-2</v>
      </c>
      <c r="AO250" s="918">
        <f t="shared" si="2405"/>
        <v>7.013857954740145E-2</v>
      </c>
      <c r="AP250" s="918">
        <f t="shared" si="2405"/>
        <v>0.1485895296048923</v>
      </c>
      <c r="AQ250" s="918">
        <f t="shared" si="2405"/>
        <v>8.5315710185443663E-2</v>
      </c>
      <c r="AR250" s="918">
        <f t="shared" si="2405"/>
        <v>0.13774071324094109</v>
      </c>
      <c r="AS250" s="918">
        <f t="shared" si="2405"/>
        <v>0.1123447939571508</v>
      </c>
      <c r="AT250" s="918">
        <f t="shared" si="2405"/>
        <v>0.14960262791609552</v>
      </c>
      <c r="AU250" s="918">
        <f t="shared" si="2405"/>
        <v>6.2343953611193804E-2</v>
      </c>
      <c r="AV250" s="918">
        <f t="shared" si="2405"/>
        <v>0.10294749914898527</v>
      </c>
      <c r="AW250" s="918">
        <f t="shared" si="2405"/>
        <v>6.755290879590034E-2</v>
      </c>
      <c r="AX250" s="918">
        <f t="shared" si="2405"/>
        <v>0.124868277399224</v>
      </c>
      <c r="AY250" s="918">
        <f t="shared" si="2405"/>
        <v>5.2522549462107847E-2</v>
      </c>
      <c r="AZ250" s="921">
        <f t="shared" si="2405"/>
        <v>0.10609985554570947</v>
      </c>
      <c r="BA250" s="918">
        <f t="shared" si="2405"/>
        <v>5.8722712021961103E-2</v>
      </c>
      <c r="BB250" s="918">
        <f t="shared" si="2405"/>
        <v>0.14204743031321745</v>
      </c>
      <c r="BC250" s="918">
        <f t="shared" si="2405"/>
        <v>4.732202661722687E-2</v>
      </c>
      <c r="BD250" s="918">
        <f t="shared" si="2405"/>
        <v>0.10571766535673015</v>
      </c>
      <c r="BE250" s="918">
        <f t="shared" si="2405"/>
        <v>8.0348630335832408E-2</v>
      </c>
      <c r="BF250" s="918">
        <f t="shared" si="2405"/>
        <v>0.13534806842582742</v>
      </c>
      <c r="BG250" s="918">
        <f t="shared" si="2405"/>
        <v>6.8441335515588481E-2</v>
      </c>
      <c r="BH250" s="918">
        <f t="shared" si="2405"/>
        <v>0.1359882519255263</v>
      </c>
      <c r="BI250" s="918">
        <f t="shared" si="2405"/>
        <v>9.9939358854683399E-2</v>
      </c>
      <c r="BJ250" s="918">
        <f t="shared" si="2405"/>
        <v>0.1551302513588802</v>
      </c>
      <c r="BK250" s="918">
        <f t="shared" si="2405"/>
        <v>8.2436234122942709E-2</v>
      </c>
      <c r="BL250" s="918">
        <f t="shared" si="2405"/>
        <v>0.10066998137874104</v>
      </c>
      <c r="BM250" s="918">
        <f t="shared" si="2405"/>
        <v>8.389692486369793E-2</v>
      </c>
      <c r="BN250" s="918">
        <f t="shared" si="2405"/>
        <v>0.16131639443131657</v>
      </c>
      <c r="BO250" s="918">
        <f t="shared" ref="BO250:CH250" si="2406">+BO25/BO6</f>
        <v>3.8293536563969309E-3</v>
      </c>
      <c r="BP250" s="918">
        <f t="shared" si="2406"/>
        <v>1.0118057256223207</v>
      </c>
      <c r="BQ250" s="918">
        <f t="shared" si="2406"/>
        <v>-4.6296756662843656E-2</v>
      </c>
      <c r="BR250" s="918">
        <f t="shared" si="2406"/>
        <v>0.11510195214503098</v>
      </c>
      <c r="BS250" s="918">
        <f t="shared" si="2406"/>
        <v>-9.3400506135725828E-2</v>
      </c>
      <c r="BT250" s="918">
        <f t="shared" si="2406"/>
        <v>7.7530234394105432E-2</v>
      </c>
      <c r="BU250" s="918">
        <f t="shared" si="2406"/>
        <v>6.553439032885755E-2</v>
      </c>
      <c r="BV250" s="918">
        <f t="shared" si="2406"/>
        <v>0.10739435413285443</v>
      </c>
      <c r="BW250" s="918">
        <f t="shared" si="2406"/>
        <v>7.3336486767821493E-2</v>
      </c>
      <c r="BX250" s="918">
        <f t="shared" si="2406"/>
        <v>9.9380724957443281E-2</v>
      </c>
      <c r="BY250" s="918">
        <f t="shared" si="2406"/>
        <v>8.5451771455233777E-2</v>
      </c>
      <c r="BZ250" s="918">
        <f t="shared" si="2406"/>
        <v>0.12003131925511391</v>
      </c>
      <c r="CA250" s="918">
        <f t="shared" si="2406"/>
        <v>1.6850839479233177E-2</v>
      </c>
      <c r="CB250" s="918">
        <f t="shared" si="2406"/>
        <v>6.5552100221370327E-2</v>
      </c>
      <c r="CC250" s="918">
        <f t="shared" si="2406"/>
        <v>5.5827136130103816E-2</v>
      </c>
      <c r="CD250" s="918">
        <f t="shared" si="2406"/>
        <v>0.12335386847054979</v>
      </c>
      <c r="CE250" s="918">
        <f t="shared" si="2406"/>
        <v>4.7881044573556117E-2</v>
      </c>
      <c r="CF250" s="918">
        <f t="shared" si="2406"/>
        <v>8.9474152160938944E-2</v>
      </c>
      <c r="CG250" s="918">
        <f t="shared" si="2406"/>
        <v>7.5288400650167869E-2</v>
      </c>
      <c r="CH250" s="918">
        <f t="shared" si="2406"/>
        <v>0.1055111769708896</v>
      </c>
      <c r="CI250" s="918">
        <f t="shared" ref="CI250:CL250" si="2407">+CI25/CI6</f>
        <v>6.7851985648224325E-2</v>
      </c>
      <c r="CJ250" s="918">
        <f t="shared" si="2407"/>
        <v>9.704969279430728E-2</v>
      </c>
      <c r="CK250" s="918">
        <f t="shared" si="2407"/>
        <v>7.8405274406533859E-2</v>
      </c>
      <c r="CL250" s="918">
        <f t="shared" si="2407"/>
        <v>9.9823353132398096E-2</v>
      </c>
      <c r="CM250" s="918">
        <f t="shared" ref="CM250:CP250" si="2408">+CM25/CM6</f>
        <v>5.3671677320338756E-2</v>
      </c>
      <c r="CN250" s="918">
        <f t="shared" si="2408"/>
        <v>8.5721724521396134E-2</v>
      </c>
      <c r="CO250" s="918">
        <f t="shared" si="2408"/>
        <v>6.1614455732023288E-2</v>
      </c>
      <c r="CP250" s="918">
        <f t="shared" si="2408"/>
        <v>0.10287099793684509</v>
      </c>
      <c r="CQ250" s="918"/>
      <c r="CR250" s="918">
        <v>9.9823353132398096E-2</v>
      </c>
      <c r="CT250" s="918"/>
      <c r="CU250" s="918"/>
      <c r="CV250" s="918"/>
      <c r="CW250" s="918"/>
      <c r="CX250" s="918">
        <f t="shared" ref="CX250:DU250" si="2409">+CX25/CX6</f>
        <v>6.7284880568469541E-2</v>
      </c>
      <c r="CY250" s="918">
        <f t="shared" si="2409"/>
        <v>5.9921933369888415E-2</v>
      </c>
      <c r="CZ250" s="918">
        <f t="shared" si="2409"/>
        <v>7.4690687367047606E-2</v>
      </c>
      <c r="DA250" s="918">
        <f t="shared" si="2409"/>
        <v>0.11060872928008118</v>
      </c>
      <c r="DB250" s="918">
        <f t="shared" si="2409"/>
        <v>0.10612244645893125</v>
      </c>
      <c r="DC250" s="918">
        <f t="shared" si="2409"/>
        <v>9.2012754407240091E-2</v>
      </c>
      <c r="DD250" s="918">
        <f t="shared" si="2409"/>
        <v>9.3218396012064872E-2</v>
      </c>
      <c r="DE250" s="918">
        <f t="shared" si="2409"/>
        <v>0.12658113869438223</v>
      </c>
      <c r="DF250" s="918">
        <f t="shared" si="2409"/>
        <v>9.4193619369139961E-2</v>
      </c>
      <c r="DG250" s="918">
        <f t="shared" si="2409"/>
        <v>9.6884794112449976E-2</v>
      </c>
      <c r="DH250" s="918">
        <f t="shared" si="2409"/>
        <v>9.8421545060284332E-2</v>
      </c>
      <c r="DI250" s="918">
        <f t="shared" si="2409"/>
        <v>0.12106232763123086</v>
      </c>
      <c r="DJ250" s="918">
        <f t="shared" si="2409"/>
        <v>0.11328259235577186</v>
      </c>
      <c r="DK250" s="918">
        <f t="shared" si="2409"/>
        <v>0.14544418469507164</v>
      </c>
      <c r="DL250" s="918">
        <f t="shared" si="2409"/>
        <v>5.9915413005592111E-2</v>
      </c>
      <c r="DM250" s="918">
        <f t="shared" si="2409"/>
        <v>9.733175085149072E-2</v>
      </c>
      <c r="DN250" s="918">
        <f t="shared" si="2409"/>
        <v>7.1532078058601026E-2</v>
      </c>
      <c r="DO250" s="918">
        <f t="shared" si="2409"/>
        <v>8.2892606075517891E-2</v>
      </c>
      <c r="DP250" s="918">
        <f t="shared" ref="DP250:DQ250" si="2410">+DP25/DP6</f>
        <v>8.7682100090376219E-2</v>
      </c>
      <c r="DQ250" s="918">
        <f t="shared" si="2410"/>
        <v>7.9050414841001324E-2</v>
      </c>
      <c r="DR250" s="918">
        <f t="shared" si="2409"/>
        <v>9.8117733280885563E-2</v>
      </c>
      <c r="DS250" s="918">
        <f t="shared" si="2409"/>
        <v>0.10542678555288254</v>
      </c>
      <c r="DT250" s="918">
        <f t="shared" si="2409"/>
        <v>0.10953879647739205</v>
      </c>
      <c r="DU250" s="918">
        <f t="shared" si="2409"/>
        <v>0.11281342111340892</v>
      </c>
      <c r="DX250" s="918">
        <v>8.8504353737335228E-2</v>
      </c>
      <c r="DY250" s="918">
        <v>0.10399215804844159</v>
      </c>
    </row>
    <row r="251" spans="1:129" s="904" customFormat="1">
      <c r="A251" s="939"/>
      <c r="B251" s="912" t="s">
        <v>521</v>
      </c>
      <c r="C251" s="918" t="e">
        <f t="shared" ref="C251:AH251" si="2411">+C50/C6</f>
        <v>#REF!</v>
      </c>
      <c r="D251" s="918">
        <f t="shared" si="2411"/>
        <v>9.8488739669852887E-2</v>
      </c>
      <c r="E251" s="918">
        <f t="shared" si="2411"/>
        <v>2.2271439117906217E-2</v>
      </c>
      <c r="F251" s="918">
        <f t="shared" si="2411"/>
        <v>5.1712206617138226E-2</v>
      </c>
      <c r="G251" s="918">
        <f t="shared" si="2411"/>
        <v>8.5031683507449912E-2</v>
      </c>
      <c r="H251" s="918">
        <f t="shared" si="2411"/>
        <v>0.12364849788019555</v>
      </c>
      <c r="I251" s="918">
        <f t="shared" si="2411"/>
        <v>7.8325063358186175E-2</v>
      </c>
      <c r="J251" s="918">
        <f t="shared" si="2411"/>
        <v>0.10889870956337282</v>
      </c>
      <c r="K251" s="918">
        <f t="shared" si="2411"/>
        <v>9.1245801343570063E-2</v>
      </c>
      <c r="L251" s="918">
        <f t="shared" si="2411"/>
        <v>0.10615974373785643</v>
      </c>
      <c r="M251" s="918">
        <f t="shared" si="2411"/>
        <v>9.2148782970526574E-2</v>
      </c>
      <c r="N251" s="918">
        <f t="shared" si="2411"/>
        <v>0.11016710782934921</v>
      </c>
      <c r="O251" s="918">
        <f t="shared" si="2411"/>
        <v>7.134698105335846E-2</v>
      </c>
      <c r="P251" s="918">
        <f t="shared" si="2411"/>
        <v>0.11647435584021903</v>
      </c>
      <c r="Q251" s="918">
        <f t="shared" si="2411"/>
        <v>0.10173373692602902</v>
      </c>
      <c r="R251" s="918">
        <f t="shared" si="2411"/>
        <v>0.10557902852737086</v>
      </c>
      <c r="S251" s="918">
        <f t="shared" si="2411"/>
        <v>8.3963065977762694E-2</v>
      </c>
      <c r="T251" s="918">
        <f t="shared" si="2411"/>
        <v>0.10436534492104664</v>
      </c>
      <c r="U251" s="918">
        <f t="shared" si="2411"/>
        <v>8.0788861294170566E-2</v>
      </c>
      <c r="V251" s="918">
        <f t="shared" si="2411"/>
        <v>9.3429330371659389E-2</v>
      </c>
      <c r="W251" s="918">
        <f t="shared" si="2411"/>
        <v>4.1447365281747604E-2</v>
      </c>
      <c r="X251" s="918">
        <f t="shared" si="2411"/>
        <v>0.11611896696195392</v>
      </c>
      <c r="Y251" s="918">
        <f t="shared" si="2411"/>
        <v>8.3577911720027306E-2</v>
      </c>
      <c r="Z251" s="918">
        <f t="shared" si="2411"/>
        <v>0.17402721474532243</v>
      </c>
      <c r="AA251" s="918">
        <f t="shared" si="2411"/>
        <v>9.9405768299073549E-2</v>
      </c>
      <c r="AB251" s="918">
        <f t="shared" si="2411"/>
        <v>0.18533712810782629</v>
      </c>
      <c r="AC251" s="918">
        <f t="shared" si="2411"/>
        <v>0.12209550641197876</v>
      </c>
      <c r="AD251" s="918">
        <f t="shared" si="2411"/>
        <v>0.17150948261298668</v>
      </c>
      <c r="AE251" s="918">
        <f t="shared" si="2411"/>
        <v>9.9814886257926713E-2</v>
      </c>
      <c r="AF251" s="918">
        <f t="shared" si="2411"/>
        <v>0.18081122021379248</v>
      </c>
      <c r="AG251" s="918">
        <f t="shared" si="2411"/>
        <v>0.10348149805505161</v>
      </c>
      <c r="AH251" s="918">
        <f t="shared" si="2411"/>
        <v>0.1781400445058289</v>
      </c>
      <c r="AI251" s="918">
        <f t="shared" ref="AI251:BN251" si="2412">+AI50/AI6</f>
        <v>6.9773543726278628E-2</v>
      </c>
      <c r="AJ251" s="918">
        <f t="shared" si="2412"/>
        <v>0.16141388282429087</v>
      </c>
      <c r="AK251" s="918">
        <f t="shared" si="2412"/>
        <v>0.12060888915406537</v>
      </c>
      <c r="AL251" s="918">
        <f t="shared" si="2412"/>
        <v>0.1870505136456464</v>
      </c>
      <c r="AM251" s="918">
        <f t="shared" si="2412"/>
        <v>5.5377866362536457E-2</v>
      </c>
      <c r="AN251" s="918">
        <f t="shared" si="2412"/>
        <v>0.14845407685010026</v>
      </c>
      <c r="AO251" s="918">
        <f t="shared" si="2412"/>
        <v>0.10836617112199994</v>
      </c>
      <c r="AP251" s="918">
        <f t="shared" si="2412"/>
        <v>0.23368340514693145</v>
      </c>
      <c r="AQ251" s="918">
        <f t="shared" si="2412"/>
        <v>0.12029174932400329</v>
      </c>
      <c r="AR251" s="918">
        <f t="shared" si="2412"/>
        <v>0.194248375593916</v>
      </c>
      <c r="AS251" s="918">
        <f t="shared" si="2412"/>
        <v>0.1609499228694396</v>
      </c>
      <c r="AT251" s="918">
        <f t="shared" si="2412"/>
        <v>0.24218901847174362</v>
      </c>
      <c r="AU251" s="918">
        <f t="shared" si="2412"/>
        <v>0.11122587264161</v>
      </c>
      <c r="AV251" s="918">
        <f t="shared" si="2412"/>
        <v>0.16523917951107825</v>
      </c>
      <c r="AW251" s="918">
        <f t="shared" si="2412"/>
        <v>0.11027414376269265</v>
      </c>
      <c r="AX251" s="918">
        <f t="shared" si="2412"/>
        <v>0.19468848298493974</v>
      </c>
      <c r="AY251" s="918">
        <f t="shared" si="2412"/>
        <v>8.4612492373948689E-2</v>
      </c>
      <c r="AZ251" s="921">
        <f t="shared" si="2412"/>
        <v>0.16536920817198558</v>
      </c>
      <c r="BA251" s="918">
        <f t="shared" si="2412"/>
        <v>9.1915433982856898E-2</v>
      </c>
      <c r="BB251" s="918">
        <f t="shared" si="2412"/>
        <v>0.22019829429761767</v>
      </c>
      <c r="BC251" s="918">
        <f t="shared" si="2412"/>
        <v>7.3506843662652505E-2</v>
      </c>
      <c r="BD251" s="918">
        <f t="shared" si="2412"/>
        <v>0.16094306691161533</v>
      </c>
      <c r="BE251" s="918">
        <f t="shared" si="2412"/>
        <v>0.11791726528693404</v>
      </c>
      <c r="BF251" s="918">
        <f t="shared" si="2412"/>
        <v>0.19254390831304621</v>
      </c>
      <c r="BG251" s="918">
        <f t="shared" si="2412"/>
        <v>0.10443810512287469</v>
      </c>
      <c r="BH251" s="918">
        <f t="shared" si="2412"/>
        <v>0.17423617027301161</v>
      </c>
      <c r="BI251" s="918">
        <f t="shared" si="2412"/>
        <v>0.13301601808378377</v>
      </c>
      <c r="BJ251" s="918">
        <f t="shared" si="2412"/>
        <v>0.22692540535354166</v>
      </c>
      <c r="BK251" s="918">
        <f t="shared" si="2412"/>
        <v>8.6741533475142116E-2</v>
      </c>
      <c r="BL251" s="918">
        <f t="shared" si="2412"/>
        <v>0.10693533601955547</v>
      </c>
      <c r="BM251" s="918">
        <f t="shared" si="2412"/>
        <v>9.2424112057361646E-2</v>
      </c>
      <c r="BN251" s="918">
        <f t="shared" si="2412"/>
        <v>0.16250617379497553</v>
      </c>
      <c r="BO251" s="918">
        <f t="shared" ref="BO251:CH251" si="2413">+BO50/BO6</f>
        <v>-3.2100787866478548E-3</v>
      </c>
      <c r="BP251" s="918">
        <f t="shared" si="2413"/>
        <v>0.42973258158299971</v>
      </c>
      <c r="BQ251" s="918">
        <f t="shared" si="2413"/>
        <v>-4.1192686682284443E-2</v>
      </c>
      <c r="BR251" s="918">
        <f t="shared" si="2413"/>
        <v>0.11698825880113339</v>
      </c>
      <c r="BS251" s="918">
        <f t="shared" si="2413"/>
        <v>-8.0289270996604128E-2</v>
      </c>
      <c r="BT251" s="918">
        <f t="shared" si="2413"/>
        <v>7.8067252523525935E-2</v>
      </c>
      <c r="BU251" s="918">
        <f t="shared" si="2413"/>
        <v>5.3705113357512525E-2</v>
      </c>
      <c r="BV251" s="918">
        <f t="shared" si="2413"/>
        <v>9.9036993250841351E-2</v>
      </c>
      <c r="BW251" s="918">
        <f t="shared" si="2413"/>
        <v>4.2726778253392737E-2</v>
      </c>
      <c r="BX251" s="918">
        <f t="shared" si="2413"/>
        <v>8.6720568029775805E-2</v>
      </c>
      <c r="BY251" s="918">
        <f t="shared" si="2413"/>
        <v>6.1385788794373508E-2</v>
      </c>
      <c r="BZ251" s="918">
        <f t="shared" si="2413"/>
        <v>0.11488346425598191</v>
      </c>
      <c r="CA251" s="918">
        <f t="shared" si="2413"/>
        <v>3.1871495219588562E-2</v>
      </c>
      <c r="CB251" s="918">
        <f t="shared" si="2413"/>
        <v>5.5109893863252428E-2</v>
      </c>
      <c r="CC251" s="918">
        <f t="shared" si="2413"/>
        <v>2.3922589029268543E-2</v>
      </c>
      <c r="CD251" s="918">
        <f t="shared" si="2413"/>
        <v>0.1073816584471806</v>
      </c>
      <c r="CE251" s="918">
        <f t="shared" si="2413"/>
        <v>6.2387772284204154E-3</v>
      </c>
      <c r="CF251" s="918">
        <f t="shared" si="2413"/>
        <v>6.8384217379255652E-2</v>
      </c>
      <c r="CG251" s="918">
        <f t="shared" si="2413"/>
        <v>5.7874311389514321E-2</v>
      </c>
      <c r="CH251" s="918">
        <f t="shared" si="2413"/>
        <v>9.5952334582182885E-2</v>
      </c>
      <c r="CI251" s="918">
        <f t="shared" ref="CI251:CL251" si="2414">+CI50/CI6</f>
        <v>5.5960252936856636E-2</v>
      </c>
      <c r="CJ251" s="918">
        <f t="shared" si="2414"/>
        <v>9.3997438539352135E-2</v>
      </c>
      <c r="CK251" s="918">
        <f t="shared" si="2414"/>
        <v>6.6598907740504684E-2</v>
      </c>
      <c r="CL251" s="918">
        <f t="shared" si="2414"/>
        <v>9.4720864883100692E-2</v>
      </c>
      <c r="CM251" s="918">
        <f t="shared" ref="CM251:CP251" si="2415">+CM50/CM6</f>
        <v>4.1985768843706306E-2</v>
      </c>
      <c r="CN251" s="918">
        <f t="shared" si="2415"/>
        <v>7.8948650670621484E-2</v>
      </c>
      <c r="CO251" s="918">
        <f t="shared" si="2415"/>
        <v>5.3844758957827039E-2</v>
      </c>
      <c r="CP251" s="918">
        <f t="shared" si="2415"/>
        <v>9.8359283479473009E-2</v>
      </c>
      <c r="CQ251" s="918"/>
      <c r="CR251" s="918">
        <v>9.4720864883100692E-2</v>
      </c>
      <c r="CT251" s="918"/>
      <c r="CU251" s="918"/>
      <c r="CV251" s="918"/>
      <c r="CW251" s="918"/>
      <c r="CX251" s="918">
        <f t="shared" ref="CX251:DU251" si="2416">+CX50/CX6</f>
        <v>0.10130304478805389</v>
      </c>
      <c r="CY251" s="918">
        <f t="shared" si="2416"/>
        <v>9.1433055413931333E-2</v>
      </c>
      <c r="CZ251" s="918">
        <f t="shared" si="2416"/>
        <v>0.11435344309679865</v>
      </c>
      <c r="DA251" s="918">
        <f t="shared" si="2416"/>
        <v>0.15022109242848389</v>
      </c>
      <c r="DB251" s="918">
        <f t="shared" si="2416"/>
        <v>0.14724493305938294</v>
      </c>
      <c r="DC251" s="918">
        <f t="shared" si="2416"/>
        <v>0.14360467861814138</v>
      </c>
      <c r="DD251" s="918">
        <f t="shared" si="2416"/>
        <v>0.14969501064209034</v>
      </c>
      <c r="DE251" s="918">
        <f t="shared" si="2416"/>
        <v>0.13949507640081102</v>
      </c>
      <c r="DF251" s="918">
        <f t="shared" si="2416"/>
        <v>0.10608178580707267</v>
      </c>
      <c r="DG251" s="918">
        <f t="shared" si="2416"/>
        <v>0.10835818484397347</v>
      </c>
      <c r="DH251" s="918">
        <f t="shared" si="2416"/>
        <v>0.10514944388406024</v>
      </c>
      <c r="DI251" s="918">
        <f t="shared" si="2416"/>
        <v>0.12580058526253701</v>
      </c>
      <c r="DJ251" s="918">
        <f t="shared" si="2416"/>
        <v>0.11780799980582313</v>
      </c>
      <c r="DK251" s="918">
        <f t="shared" si="2416"/>
        <v>8.9047926507297745E-2</v>
      </c>
      <c r="DL251" s="918">
        <f t="shared" si="2416"/>
        <v>5.6683040240163421E-2</v>
      </c>
      <c r="DM251" s="918">
        <f t="shared" si="2416"/>
        <v>8.298888007898686E-2</v>
      </c>
      <c r="DN251" s="918">
        <f t="shared" si="2416"/>
        <v>5.5280801883358974E-2</v>
      </c>
      <c r="DO251" s="918">
        <f t="shared" si="2416"/>
        <v>6.3707599066637019E-2</v>
      </c>
      <c r="DP251" s="918">
        <f t="shared" ref="DP251:DQ251" si="2417">+DP50/DP6</f>
        <v>8.0661486830333834E-2</v>
      </c>
      <c r="DQ251" s="918">
        <f t="shared" si="2417"/>
        <v>7.2305475830450855E-2</v>
      </c>
      <c r="DR251" s="918">
        <f t="shared" si="2416"/>
        <v>9.1007586294092599E-2</v>
      </c>
      <c r="DS251" s="918">
        <f t="shared" si="2416"/>
        <v>9.6142503794012096E-2</v>
      </c>
      <c r="DT251" s="918">
        <f t="shared" si="2416"/>
        <v>9.9222629122954778E-2</v>
      </c>
      <c r="DU251" s="918">
        <f t="shared" si="2416"/>
        <v>0.10205926920916789</v>
      </c>
      <c r="DX251" s="918">
        <v>8.3208011000937943E-2</v>
      </c>
      <c r="DY251" s="918">
        <v>9.8504462030507098E-2</v>
      </c>
    </row>
    <row r="252" spans="1:129" s="904" customFormat="1">
      <c r="A252" s="939"/>
      <c r="B252" s="912" t="s">
        <v>522</v>
      </c>
      <c r="C252" s="918" t="e">
        <f t="shared" ref="C252:AH252" si="2418">+C57/C6</f>
        <v>#REF!</v>
      </c>
      <c r="D252" s="918">
        <f t="shared" si="2418"/>
        <v>-0.30421056587700285</v>
      </c>
      <c r="E252" s="918">
        <f t="shared" si="2418"/>
        <v>4.1689885927936939E-2</v>
      </c>
      <c r="F252" s="918">
        <f t="shared" si="2418"/>
        <v>-0.10926539583631835</v>
      </c>
      <c r="G252" s="918">
        <f t="shared" si="2418"/>
        <v>-0.26491408346177997</v>
      </c>
      <c r="H252" s="918">
        <f t="shared" si="2418"/>
        <v>0.29836163120135778</v>
      </c>
      <c r="I252" s="918">
        <f t="shared" si="2418"/>
        <v>4.0501421651027894E-2</v>
      </c>
      <c r="J252" s="918">
        <f t="shared" si="2418"/>
        <v>0.1364209533910789</v>
      </c>
      <c r="K252" s="918">
        <f t="shared" si="2418"/>
        <v>-0.32706034069097889</v>
      </c>
      <c r="L252" s="918">
        <f t="shared" si="2418"/>
        <v>0.16633146037914195</v>
      </c>
      <c r="M252" s="918">
        <f t="shared" si="2418"/>
        <v>5.4059119863201333E-2</v>
      </c>
      <c r="N252" s="918">
        <f t="shared" si="2418"/>
        <v>0.15823738588291833</v>
      </c>
      <c r="O252" s="918">
        <f t="shared" si="2418"/>
        <v>-0.35174001237214253</v>
      </c>
      <c r="P252" s="918">
        <f t="shared" si="2418"/>
        <v>0.23255757101647681</v>
      </c>
      <c r="Q252" s="918">
        <f t="shared" si="2418"/>
        <v>0.10079006873688098</v>
      </c>
      <c r="R252" s="918">
        <f t="shared" si="2418"/>
        <v>-0.14536468774094063</v>
      </c>
      <c r="S252" s="918">
        <f t="shared" si="2418"/>
        <v>0.21982320395926791</v>
      </c>
      <c r="T252" s="918">
        <f t="shared" si="2418"/>
        <v>3.1978627943645858E-2</v>
      </c>
      <c r="U252" s="918">
        <f t="shared" si="2418"/>
        <v>-3.1605295578543913E-2</v>
      </c>
      <c r="V252" s="918">
        <f t="shared" si="2418"/>
        <v>-0.2057705128338379</v>
      </c>
      <c r="W252" s="918">
        <f t="shared" si="2418"/>
        <v>-9.2326081873577423E-2</v>
      </c>
      <c r="X252" s="918">
        <f t="shared" si="2418"/>
        <v>0.23474358263750095</v>
      </c>
      <c r="Y252" s="918">
        <f t="shared" si="2418"/>
        <v>0.19486847084341974</v>
      </c>
      <c r="Z252" s="918">
        <f t="shared" si="2418"/>
        <v>8.7237678952295228E-2</v>
      </c>
      <c r="AA252" s="918">
        <f t="shared" si="2418"/>
        <v>-1.2663759776149655E-2</v>
      </c>
      <c r="AB252" s="918">
        <f t="shared" si="2418"/>
        <v>0.12846536698489214</v>
      </c>
      <c r="AC252" s="918">
        <f t="shared" si="2418"/>
        <v>0.12631217646958329</v>
      </c>
      <c r="AD252" s="918">
        <f t="shared" si="2418"/>
        <v>7.3641403408939349E-2</v>
      </c>
      <c r="AE252" s="918">
        <f t="shared" si="2418"/>
        <v>-4.281655468654752E-2</v>
      </c>
      <c r="AF252" s="918">
        <f t="shared" si="2418"/>
        <v>0.19670875482264283</v>
      </c>
      <c r="AG252" s="918">
        <f t="shared" si="2418"/>
        <v>3.7222511261291613E-2</v>
      </c>
      <c r="AH252" s="918">
        <f t="shared" si="2418"/>
        <v>2.8759112672102075E-2</v>
      </c>
      <c r="AI252" s="918">
        <f t="shared" ref="AI252:BN252" si="2419">+AI57/AI6</f>
        <v>-0.24079244187030152</v>
      </c>
      <c r="AJ252" s="918">
        <f t="shared" si="2419"/>
        <v>0.137392841518273</v>
      </c>
      <c r="AK252" s="918">
        <f t="shared" si="2419"/>
        <v>-2.3841521758826381E-2</v>
      </c>
      <c r="AL252" s="918">
        <f t="shared" si="2419"/>
        <v>0.11840455783154899</v>
      </c>
      <c r="AM252" s="918">
        <f t="shared" si="2419"/>
        <v>-0.18818424830275823</v>
      </c>
      <c r="AN252" s="918">
        <f t="shared" si="2419"/>
        <v>0.10596641650996509</v>
      </c>
      <c r="AO252" s="918">
        <f t="shared" si="2419"/>
        <v>1.5158086417637931E-2</v>
      </c>
      <c r="AP252" s="918">
        <f t="shared" si="2419"/>
        <v>0.16823243683198918</v>
      </c>
      <c r="AQ252" s="918">
        <f t="shared" si="2419"/>
        <v>2.1493947458699762E-2</v>
      </c>
      <c r="AR252" s="918">
        <f t="shared" si="2419"/>
        <v>0.16558744706141035</v>
      </c>
      <c r="AS252" s="918">
        <f t="shared" si="2419"/>
        <v>8.0668514698833613E-2</v>
      </c>
      <c r="AT252" s="918">
        <f t="shared" si="2419"/>
        <v>0.2182481782051135</v>
      </c>
      <c r="AU252" s="918">
        <f t="shared" si="2419"/>
        <v>-6.7296674594338482E-2</v>
      </c>
      <c r="AV252" s="918">
        <f t="shared" si="2419"/>
        <v>0.172953269569598</v>
      </c>
      <c r="AW252" s="918">
        <f t="shared" si="2419"/>
        <v>-5.8770735003748405E-3</v>
      </c>
      <c r="AX252" s="918">
        <f t="shared" si="2419"/>
        <v>0.24334343806736516</v>
      </c>
      <c r="AY252" s="918">
        <f t="shared" si="2419"/>
        <v>9.4454808480890579E-2</v>
      </c>
      <c r="AZ252" s="921">
        <f t="shared" si="2419"/>
        <v>0.18792774857670036</v>
      </c>
      <c r="BA252" s="918">
        <f t="shared" si="2419"/>
        <v>0.11080217646761824</v>
      </c>
      <c r="BB252" s="918">
        <f t="shared" si="2419"/>
        <v>0.22258316980939</v>
      </c>
      <c r="BC252" s="918">
        <f t="shared" si="2419"/>
        <v>-0.10361730947118822</v>
      </c>
      <c r="BD252" s="918">
        <f t="shared" si="2419"/>
        <v>0.19034455189467495</v>
      </c>
      <c r="BE252" s="918">
        <f t="shared" si="2419"/>
        <v>0.21466327144711592</v>
      </c>
      <c r="BF252" s="918">
        <f t="shared" si="2419"/>
        <v>0.16725266395954094</v>
      </c>
      <c r="BG252" s="918">
        <f t="shared" si="2419"/>
        <v>-8.4787368304688679E-2</v>
      </c>
      <c r="BH252" s="918">
        <f t="shared" si="2419"/>
        <v>0.15065632935844198</v>
      </c>
      <c r="BI252" s="918">
        <f t="shared" si="2419"/>
        <v>0.17626473269016224</v>
      </c>
      <c r="BJ252" s="918">
        <f t="shared" si="2419"/>
        <v>0.23067507841803031</v>
      </c>
      <c r="BK252" s="918">
        <f t="shared" si="2419"/>
        <v>-0.1728247987895194</v>
      </c>
      <c r="BL252" s="918">
        <f t="shared" si="2419"/>
        <v>9.0701000352723132E-2</v>
      </c>
      <c r="BM252" s="918">
        <f t="shared" si="2419"/>
        <v>6.7049747326753409E-2</v>
      </c>
      <c r="BN252" s="918">
        <f t="shared" si="2419"/>
        <v>8.8315863893428243E-2</v>
      </c>
      <c r="BO252" s="918">
        <f t="shared" ref="BO252:CH252" si="2420">+BO57/BO6</f>
        <v>-0.24145981554009832</v>
      </c>
      <c r="BP252" s="918">
        <f t="shared" si="2420"/>
        <v>8.0366430441690617E-2</v>
      </c>
      <c r="BQ252" s="918">
        <f t="shared" si="2420"/>
        <v>-6.5530213275878074E-2</v>
      </c>
      <c r="BR252" s="918">
        <f t="shared" si="2420"/>
        <v>9.574158504893289E-2</v>
      </c>
      <c r="BS252" s="918">
        <f t="shared" si="2420"/>
        <v>-0.11463085156180404</v>
      </c>
      <c r="BT252" s="918">
        <f t="shared" si="2420"/>
        <v>-0.28913477885904382</v>
      </c>
      <c r="BU252" s="918">
        <f t="shared" si="2420"/>
        <v>0.14068762527843229</v>
      </c>
      <c r="BV252" s="918">
        <f t="shared" si="2420"/>
        <v>-1.0079166905390034E-2</v>
      </c>
      <c r="BW252" s="918">
        <f t="shared" si="2420"/>
        <v>-0.28160670798265353</v>
      </c>
      <c r="BX252" s="918">
        <f t="shared" si="2420"/>
        <v>1.8710656726289698E-2</v>
      </c>
      <c r="BY252" s="918">
        <f t="shared" si="2420"/>
        <v>-8.1488118728569228E-3</v>
      </c>
      <c r="BZ252" s="918">
        <f t="shared" si="2420"/>
        <v>4.0604798304377875E-2</v>
      </c>
      <c r="CA252" s="918">
        <f t="shared" si="2420"/>
        <v>-5.9560613315743895E-2</v>
      </c>
      <c r="CB252" s="918">
        <f t="shared" si="2420"/>
        <v>3.536203097121688E-2</v>
      </c>
      <c r="CC252" s="918">
        <f t="shared" si="2420"/>
        <v>0.15938329096289314</v>
      </c>
      <c r="CD252" s="918">
        <f t="shared" si="2420"/>
        <v>4.080480249281896E-2</v>
      </c>
      <c r="CE252" s="918">
        <f t="shared" si="2420"/>
        <v>1.5403433925519733E-2</v>
      </c>
      <c r="CF252" s="918">
        <f t="shared" si="2420"/>
        <v>5.9640686621819906E-2</v>
      </c>
      <c r="CG252" s="918">
        <f t="shared" si="2420"/>
        <v>7.2008465013027781E-2</v>
      </c>
      <c r="CH252" s="918">
        <f t="shared" si="2420"/>
        <v>0.14512014989077576</v>
      </c>
      <c r="CI252" s="918">
        <f t="shared" ref="CI252:CL252" si="2421">+CI57/CI6</f>
        <v>8.5607526299207957E-3</v>
      </c>
      <c r="CJ252" s="918">
        <f t="shared" si="2421"/>
        <v>5.1882204183167073E-2</v>
      </c>
      <c r="CK252" s="918">
        <f t="shared" si="2421"/>
        <v>6.334119676319315E-2</v>
      </c>
      <c r="CL252" s="918">
        <f t="shared" si="2421"/>
        <v>-7.0459219573194868E-3</v>
      </c>
      <c r="CM252" s="918">
        <f t="shared" ref="CM252:CP252" si="2422">+CM57/CM6</f>
        <v>7.0752550527889049E-2</v>
      </c>
      <c r="CN252" s="918">
        <f t="shared" si="2422"/>
        <v>8.7913853150595744E-2</v>
      </c>
      <c r="CO252" s="918">
        <f t="shared" si="2422"/>
        <v>0.12372756409387266</v>
      </c>
      <c r="CP252" s="918">
        <f t="shared" si="2422"/>
        <v>-2.8476584959599226E-2</v>
      </c>
      <c r="CQ252" s="918"/>
      <c r="CR252" s="918">
        <v>-7.0459219573194868E-3</v>
      </c>
      <c r="CT252" s="918"/>
      <c r="CU252" s="918"/>
      <c r="CV252" s="918"/>
      <c r="CW252" s="918"/>
      <c r="CX252" s="918">
        <f t="shared" ref="CX252:DU252" si="2423">+CX57/CX6</f>
        <v>-2.9835225245334007E-2</v>
      </c>
      <c r="CY252" s="918">
        <f t="shared" si="2423"/>
        <v>-1.910987917125323E-2</v>
      </c>
      <c r="CZ252" s="918">
        <f t="shared" si="2423"/>
        <v>0.11882749738960614</v>
      </c>
      <c r="DA252" s="918">
        <f t="shared" si="2423"/>
        <v>8.4093266621549229E-2</v>
      </c>
      <c r="DB252" s="918">
        <f t="shared" si="2423"/>
        <v>6.0840927800226187E-2</v>
      </c>
      <c r="DC252" s="918">
        <f t="shared" si="2423"/>
        <v>2.3811010876870708E-2</v>
      </c>
      <c r="DD252" s="918">
        <f t="shared" si="2423"/>
        <v>4.934543021639759E-2</v>
      </c>
      <c r="DE252" s="918">
        <f t="shared" si="2423"/>
        <v>4.2555518375610321E-2</v>
      </c>
      <c r="DF252" s="918">
        <f t="shared" si="2423"/>
        <v>1.7217973988161564E-2</v>
      </c>
      <c r="DG252" s="918">
        <f t="shared" si="2423"/>
        <v>7.8160233051650096E-2</v>
      </c>
      <c r="DH252" s="918">
        <f t="shared" si="2423"/>
        <v>5.3590660164902097E-2</v>
      </c>
      <c r="DI252" s="918">
        <f t="shared" si="2423"/>
        <v>5.1650364404033491E-2</v>
      </c>
      <c r="DJ252" s="918">
        <f t="shared" si="2423"/>
        <v>3.2026494794333615E-2</v>
      </c>
      <c r="DK252" s="918">
        <f t="shared" si="2423"/>
        <v>-1.5988320915424195E-2</v>
      </c>
      <c r="DL252" s="918">
        <f t="shared" si="2423"/>
        <v>-5.2608395598215431E-2</v>
      </c>
      <c r="DM252" s="918">
        <f t="shared" si="2423"/>
        <v>-3.5560037958570018E-2</v>
      </c>
      <c r="DN252" s="918">
        <f t="shared" si="2423"/>
        <v>3.7135408478336372E-2</v>
      </c>
      <c r="DO252" s="918">
        <f t="shared" si="2423"/>
        <v>6.6336450310806788E-2</v>
      </c>
      <c r="DP252" s="918">
        <f t="shared" ref="DP252:DQ252" si="2424">+DP57/DP6</f>
        <v>2.8454859841186026E-2</v>
      </c>
      <c r="DQ252" s="918">
        <f t="shared" si="2424"/>
        <v>5.7474448577393991E-2</v>
      </c>
      <c r="DR252" s="918">
        <f t="shared" si="2423"/>
        <v>6.6396940105641969E-2</v>
      </c>
      <c r="DS252" s="918">
        <f t="shared" si="2423"/>
        <v>7.4235581491722824E-2</v>
      </c>
      <c r="DT252" s="918">
        <f t="shared" si="2423"/>
        <v>7.6158275906704209E-2</v>
      </c>
      <c r="DU252" s="918">
        <f t="shared" si="2423"/>
        <v>7.8117285328672459E-2</v>
      </c>
      <c r="DX252" s="918">
        <v>5.955506475055293E-2</v>
      </c>
      <c r="DY252" s="918">
        <v>7.0604757124506048E-2</v>
      </c>
    </row>
    <row r="253" spans="1:129" s="904" customFormat="1">
      <c r="A253" s="592"/>
      <c r="B253" s="592"/>
      <c r="C253" s="592"/>
      <c r="D253" s="592"/>
      <c r="E253" s="592"/>
      <c r="F253" s="592"/>
      <c r="G253" s="592"/>
      <c r="H253" s="592"/>
      <c r="I253" s="592"/>
      <c r="J253" s="592"/>
      <c r="K253" s="592"/>
      <c r="L253" s="592"/>
      <c r="M253" s="592"/>
      <c r="N253" s="592"/>
      <c r="O253" s="592"/>
      <c r="P253" s="592"/>
      <c r="Q253" s="592"/>
      <c r="R253" s="592"/>
      <c r="S253" s="592"/>
      <c r="T253" s="592"/>
      <c r="U253" s="592"/>
      <c r="V253" s="592"/>
      <c r="W253" s="592"/>
      <c r="X253" s="592"/>
      <c r="Y253" s="592"/>
      <c r="Z253" s="592"/>
      <c r="AA253" s="592"/>
      <c r="AB253" s="592"/>
      <c r="AC253" s="592"/>
      <c r="AD253" s="592"/>
      <c r="AE253" s="592"/>
      <c r="AF253" s="592"/>
      <c r="AG253" s="592"/>
      <c r="AH253" s="592"/>
      <c r="AI253" s="592"/>
      <c r="AJ253" s="592"/>
      <c r="AK253" s="592"/>
      <c r="AL253" s="592"/>
      <c r="AM253" s="592"/>
      <c r="AN253" s="592"/>
      <c r="AO253" s="592"/>
      <c r="AP253" s="592"/>
      <c r="AQ253" s="592"/>
      <c r="AR253" s="592"/>
      <c r="AS253" s="592"/>
      <c r="AT253" s="592"/>
      <c r="AU253" s="592"/>
      <c r="AV253" s="592"/>
      <c r="AW253" s="592"/>
      <c r="AX253" s="592"/>
      <c r="AY253" s="592"/>
      <c r="AZ253" s="910"/>
      <c r="BA253" s="592"/>
      <c r="BB253" s="592"/>
      <c r="BC253" s="592"/>
      <c r="BD253" s="592"/>
      <c r="BE253" s="592"/>
      <c r="BF253" s="592"/>
      <c r="BG253" s="592"/>
      <c r="BH253" s="592"/>
      <c r="BI253" s="592"/>
      <c r="BJ253" s="592"/>
      <c r="BK253" s="592"/>
      <c r="BL253" s="592"/>
      <c r="BM253" s="592"/>
      <c r="BN253" s="592"/>
      <c r="BO253" s="592"/>
      <c r="BP253" s="592"/>
      <c r="BQ253" s="592"/>
      <c r="BR253" s="592"/>
      <c r="BS253" s="592"/>
      <c r="BT253" s="592"/>
      <c r="BU253" s="592"/>
      <c r="BV253" s="592"/>
      <c r="BW253" s="592"/>
      <c r="BX253" s="592"/>
      <c r="BY253" s="592"/>
      <c r="BZ253" s="592"/>
      <c r="CA253" s="592"/>
      <c r="CB253" s="592"/>
      <c r="CC253" s="592"/>
      <c r="CD253" s="592"/>
      <c r="CE253" s="592"/>
      <c r="CF253" s="592"/>
      <c r="CG253" s="592"/>
      <c r="CH253" s="592"/>
      <c r="CI253" s="592"/>
      <c r="CJ253" s="592"/>
      <c r="CK253" s="592"/>
      <c r="CL253" s="592"/>
      <c r="CM253" s="592"/>
      <c r="CN253" s="592"/>
      <c r="CO253" s="592"/>
      <c r="CP253" s="592"/>
      <c r="CQ253" s="592"/>
      <c r="CR253" s="592"/>
      <c r="CT253" s="592"/>
      <c r="CU253" s="592"/>
      <c r="CV253" s="592"/>
      <c r="CW253" s="592"/>
      <c r="CX253" s="592"/>
      <c r="CY253" s="592"/>
      <c r="CZ253" s="592"/>
      <c r="DA253" s="592"/>
      <c r="DB253" s="592"/>
      <c r="DC253" s="592"/>
      <c r="DD253" s="592"/>
      <c r="DE253" s="592"/>
      <c r="DF253" s="592"/>
      <c r="DG253" s="592"/>
      <c r="DH253" s="592"/>
      <c r="DI253" s="592"/>
      <c r="DJ253" s="592"/>
      <c r="DK253" s="592"/>
      <c r="DL253" s="592"/>
      <c r="DM253" s="592"/>
      <c r="DN253" s="592"/>
      <c r="DO253" s="592"/>
      <c r="DP253" s="592"/>
      <c r="DQ253" s="592"/>
      <c r="DR253" s="592"/>
      <c r="DS253" s="592"/>
      <c r="DT253" s="592"/>
      <c r="DU253" s="592"/>
      <c r="DX253" s="592"/>
      <c r="DY253" s="592"/>
    </row>
    <row r="254" spans="1:129" s="590" customFormat="1">
      <c r="A254" s="943"/>
      <c r="B254" s="818" t="s">
        <v>136</v>
      </c>
      <c r="C254" s="1216">
        <v>0</v>
      </c>
      <c r="D254" s="1216">
        <f t="shared" ref="D254:O254" si="2425">+(D25)/((C126+D126)/2)*4</f>
        <v>0.59539763710104043</v>
      </c>
      <c r="E254" s="1216">
        <f t="shared" si="2425"/>
        <v>0.7165328543215268</v>
      </c>
      <c r="F254" s="1216">
        <f t="shared" si="2425"/>
        <v>0.96099164878590948</v>
      </c>
      <c r="G254" s="1216">
        <f t="shared" si="2425"/>
        <v>0.22207737946018216</v>
      </c>
      <c r="H254" s="1216">
        <f t="shared" si="2425"/>
        <v>0.99350365870934731</v>
      </c>
      <c r="I254" s="1216">
        <f t="shared" si="2425"/>
        <v>0.20478184667296384</v>
      </c>
      <c r="J254" s="1216">
        <f t="shared" si="2425"/>
        <v>0.36759586669787903</v>
      </c>
      <c r="K254" s="1216">
        <f t="shared" si="2425"/>
        <v>0.14624075100107092</v>
      </c>
      <c r="L254" s="1216">
        <f t="shared" si="2425"/>
        <v>0.17620411274423509</v>
      </c>
      <c r="M254" s="1216">
        <f t="shared" si="2425"/>
        <v>0.20369055619956608</v>
      </c>
      <c r="N254" s="1216">
        <f t="shared" si="2425"/>
        <v>0.3754549178462519</v>
      </c>
      <c r="O254" s="1216">
        <f t="shared" si="2425"/>
        <v>0.10395497818882619</v>
      </c>
      <c r="P254" s="1216">
        <f t="shared" ref="P254:AT254" si="2426">+(P25)/((O126+P126)/2)</f>
        <v>5.9487130055803611E-2</v>
      </c>
      <c r="Q254" s="1216">
        <f t="shared" si="2426"/>
        <v>4.153902935611032E-2</v>
      </c>
      <c r="R254" s="1216">
        <f t="shared" si="2426"/>
        <v>9.0644847157419828E-2</v>
      </c>
      <c r="S254" s="1216">
        <f t="shared" si="2426"/>
        <v>3.7950492360615172E-2</v>
      </c>
      <c r="T254" s="1216">
        <f t="shared" si="2426"/>
        <v>5.5164095026232152E-2</v>
      </c>
      <c r="U254" s="1216">
        <f t="shared" si="2426"/>
        <v>3.3815175039409895E-2</v>
      </c>
      <c r="V254" s="1216">
        <f t="shared" si="2426"/>
        <v>7.2151447451429512E-2</v>
      </c>
      <c r="W254" s="1216">
        <f t="shared" si="2426"/>
        <v>1.0760025960962557E-2</v>
      </c>
      <c r="X254" s="1216">
        <f t="shared" si="2426"/>
        <v>5.7601639495684961E-2</v>
      </c>
      <c r="Y254" s="1216">
        <f t="shared" si="2426"/>
        <v>3.2752729132608072E-2</v>
      </c>
      <c r="Z254" s="1216">
        <f t="shared" si="2426"/>
        <v>0.12481504648644846</v>
      </c>
      <c r="AA254" s="1216">
        <f t="shared" si="2426"/>
        <v>3.9568306912143858E-2</v>
      </c>
      <c r="AB254" s="1216">
        <f t="shared" si="2426"/>
        <v>9.5982549225616401E-2</v>
      </c>
      <c r="AC254" s="1216">
        <f t="shared" si="2426"/>
        <v>5.6236452660536305E-2</v>
      </c>
      <c r="AD254" s="1216">
        <f t="shared" si="2426"/>
        <v>0.13036558657607411</v>
      </c>
      <c r="AE254" s="1216">
        <f t="shared" si="2426"/>
        <v>4.579869823020518E-2</v>
      </c>
      <c r="AF254" s="1216">
        <f t="shared" si="2426"/>
        <v>0.1094925040904535</v>
      </c>
      <c r="AG254" s="1216">
        <f t="shared" si="2426"/>
        <v>5.4370727113535432E-2</v>
      </c>
      <c r="AH254" s="1216">
        <f t="shared" si="2426"/>
        <v>0.11321346994743178</v>
      </c>
      <c r="AI254" s="1216">
        <f t="shared" si="2426"/>
        <v>3.0733964682304167E-2</v>
      </c>
      <c r="AJ254" s="1216">
        <f t="shared" si="2426"/>
        <v>9.0367256716387928E-2</v>
      </c>
      <c r="AK254" s="1216">
        <f t="shared" si="2426"/>
        <v>5.9843193593251007E-2</v>
      </c>
      <c r="AL254" s="1216">
        <f t="shared" si="2426"/>
        <v>0.11928832832441476</v>
      </c>
      <c r="AM254" s="1216">
        <f t="shared" si="2426"/>
        <v>1.6475340176580415E-2</v>
      </c>
      <c r="AN254" s="1216">
        <f t="shared" si="2426"/>
        <v>7.5865691405462246E-2</v>
      </c>
      <c r="AO254" s="1216">
        <f t="shared" si="2426"/>
        <v>5.5497091403032502E-2</v>
      </c>
      <c r="AP254" s="1216">
        <f t="shared" si="2426"/>
        <v>0.15391522457778736</v>
      </c>
      <c r="AQ254" s="1216">
        <f t="shared" si="2426"/>
        <v>5.3183105550956421E-2</v>
      </c>
      <c r="AR254" s="1216">
        <f t="shared" si="2426"/>
        <v>0.11204974112605791</v>
      </c>
      <c r="AS254" s="1216">
        <f t="shared" si="2426"/>
        <v>8.3578936829894881E-2</v>
      </c>
      <c r="AT254" s="1216">
        <f t="shared" si="2426"/>
        <v>0.15440739748498009</v>
      </c>
      <c r="AU254" s="1216">
        <f t="shared" ref="AU254:CH254" si="2427">+(AU25)/((AT126+AU126)/2)*4</f>
        <v>0.1540829932799154</v>
      </c>
      <c r="AV254" s="1216">
        <f t="shared" si="2427"/>
        <v>0.32048783916304097</v>
      </c>
      <c r="AW254" s="1216">
        <f t="shared" si="2427"/>
        <v>0.18379023062594366</v>
      </c>
      <c r="AX254" s="1216">
        <f t="shared" si="2427"/>
        <v>0.44867577951112469</v>
      </c>
      <c r="AY254" s="1216">
        <f t="shared" si="2427"/>
        <v>0.1146440919095114</v>
      </c>
      <c r="AZ254" s="1216">
        <f t="shared" si="2427"/>
        <v>0.30681378896372152</v>
      </c>
      <c r="BA254" s="1216">
        <f t="shared" si="2427"/>
        <v>0.14565223498159147</v>
      </c>
      <c r="BB254" s="1216">
        <f t="shared" si="2427"/>
        <v>0.4794544944661307</v>
      </c>
      <c r="BC254" s="1216">
        <f t="shared" si="2427"/>
        <v>0.10095089880379304</v>
      </c>
      <c r="BD254" s="1216">
        <f t="shared" si="2427"/>
        <v>0.28235426246885498</v>
      </c>
      <c r="BE254" s="1216">
        <f t="shared" si="2427"/>
        <v>0.19581626743512634</v>
      </c>
      <c r="BF254" s="1216">
        <f t="shared" si="2427"/>
        <v>0.43216651465602884</v>
      </c>
      <c r="BG254" s="1216">
        <f t="shared" si="2427"/>
        <v>0.13733170421223923</v>
      </c>
      <c r="BH254" s="1216">
        <f t="shared" si="2427"/>
        <v>0.32654035277803067</v>
      </c>
      <c r="BI254" s="1216">
        <f t="shared" si="2427"/>
        <v>0.2197806496601839</v>
      </c>
      <c r="BJ254" s="1216">
        <f t="shared" si="2427"/>
        <v>0.46524686562829859</v>
      </c>
      <c r="BK254" s="1216">
        <f t="shared" si="2427"/>
        <v>0.15568648455632922</v>
      </c>
      <c r="BL254" s="1216">
        <f t="shared" si="2427"/>
        <v>0.22585833516155907</v>
      </c>
      <c r="BM254" s="1216">
        <f t="shared" si="2427"/>
        <v>0.1781540773648492</v>
      </c>
      <c r="BN254" s="1216">
        <f t="shared" si="2427"/>
        <v>0.45691626256106138</v>
      </c>
      <c r="BO254" s="1216">
        <f t="shared" si="2427"/>
        <v>6.0787121681453379E-3</v>
      </c>
      <c r="BP254" s="1216">
        <f t="shared" si="2427"/>
        <v>0.64705678211948703</v>
      </c>
      <c r="BQ254" s="1216">
        <f t="shared" si="2427"/>
        <v>-6.1881802904034687E-2</v>
      </c>
      <c r="BR254" s="1216">
        <f t="shared" si="2427"/>
        <v>0.2624312974258507</v>
      </c>
      <c r="BS254" s="1216">
        <f t="shared" si="2427"/>
        <v>-0.10873720079357403</v>
      </c>
      <c r="BT254" s="1216">
        <f t="shared" si="2427"/>
        <v>0.10502161648205081</v>
      </c>
      <c r="BU254" s="1216">
        <f t="shared" si="2427"/>
        <v>7.3141596340444232E-2</v>
      </c>
      <c r="BV254" s="1216">
        <f t="shared" si="2427"/>
        <v>0.1723086325923488</v>
      </c>
      <c r="BW254" s="1216">
        <f t="shared" si="2427"/>
        <v>7.8895142754025316E-2</v>
      </c>
      <c r="BX254" s="1216">
        <f t="shared" si="2427"/>
        <v>0.14959224223833392</v>
      </c>
      <c r="BY254" s="1216">
        <f t="shared" si="2427"/>
        <v>0.10612070035168208</v>
      </c>
      <c r="BZ254" s="1216">
        <f t="shared" si="2427"/>
        <v>0.19390896151273965</v>
      </c>
      <c r="CA254" s="1216">
        <f t="shared" si="2427"/>
        <v>1.8940028087463069E-2</v>
      </c>
      <c r="CB254" s="1216">
        <f t="shared" si="2427"/>
        <v>9.4827905619193298E-2</v>
      </c>
      <c r="CC254" s="1216">
        <f t="shared" si="2427"/>
        <v>7.1015836625624412E-2</v>
      </c>
      <c r="CD254" s="1216">
        <f t="shared" si="2427"/>
        <v>0.21275295886719328</v>
      </c>
      <c r="CE254" s="1216">
        <f t="shared" si="2427"/>
        <v>5.5293465851023522E-2</v>
      </c>
      <c r="CF254" s="1216">
        <f t="shared" si="2427"/>
        <v>0.12342049254526848</v>
      </c>
      <c r="CG254" s="1216">
        <f t="shared" si="2427"/>
        <v>9.8597145197695399E-2</v>
      </c>
      <c r="CH254" s="1216">
        <f t="shared" si="2427"/>
        <v>0.18411796077287193</v>
      </c>
      <c r="CI254" s="1216">
        <f t="shared" ref="CI254" si="2428">+(CI25)/((CH126+CI126)/2)*4</f>
        <v>8.4048094950281191E-2</v>
      </c>
      <c r="CJ254" s="1216">
        <f t="shared" ref="CJ254" si="2429">+(CJ25)/((CI126+CJ126)/2)*4</f>
        <v>0.15732994863041674</v>
      </c>
      <c r="CK254" s="1216">
        <f t="shared" ref="CK254" si="2430">+(CK25)/((CJ126+CK126)/2)*4</f>
        <v>0.10933313323785752</v>
      </c>
      <c r="CL254" s="1216">
        <f t="shared" ref="CL254" si="2431">+(CL25)/((CK126+CL126)/2)*4</f>
        <v>0.18741055068633672</v>
      </c>
      <c r="CM254" s="1216">
        <f t="shared" ref="CM254" si="2432">+(CM25)/((CL126+CM126)/2)*4</f>
        <v>7.0734918714246975E-2</v>
      </c>
      <c r="CN254" s="1216">
        <f t="shared" ref="CN254" si="2433">+(CN25)/((CM126+CN126)/2)*4</f>
        <v>0.14216833735409831</v>
      </c>
      <c r="CO254" s="1216">
        <f t="shared" ref="CO254" si="2434">+(CO25)/((CN126+CO126)/2)*4</f>
        <v>8.917201203927265E-2</v>
      </c>
      <c r="CP254" s="1216">
        <f t="shared" ref="CP254" si="2435">+(CP25)/((CO126+CP126)/2)*4</f>
        <v>0.19989469127718179</v>
      </c>
      <c r="CQ254" s="1216"/>
      <c r="CR254" s="1216">
        <v>0.18741055068633672</v>
      </c>
      <c r="CT254" s="1216"/>
      <c r="CU254" s="1216"/>
      <c r="CV254" s="1216"/>
      <c r="CW254" s="1216"/>
      <c r="CX254" s="1216">
        <f>+(CX25)/((AO126+CX126)/2)</f>
        <v>0.136877037911072</v>
      </c>
      <c r="CY254" s="1216">
        <f t="shared" ref="CY254:DU254" si="2436">+(CY25)/((CX126+CY126)/2)</f>
        <v>0.20211353184164965</v>
      </c>
      <c r="CZ254" s="1216">
        <f t="shared" si="2436"/>
        <v>0.23710575213899632</v>
      </c>
      <c r="DA254" s="1216">
        <f t="shared" si="2436"/>
        <v>0.33833329256876798</v>
      </c>
      <c r="DB254" s="1216">
        <f t="shared" si="2436"/>
        <v>0.31583977620794146</v>
      </c>
      <c r="DC254" s="1216">
        <f t="shared" si="2436"/>
        <v>0.28886312366373385</v>
      </c>
      <c r="DD254" s="1216">
        <f t="shared" si="2436"/>
        <v>0.29111062203637389</v>
      </c>
      <c r="DE254" s="1216">
        <f t="shared" si="2436"/>
        <v>0.39435487428628951</v>
      </c>
      <c r="DF254" s="1216">
        <f t="shared" si="2436"/>
        <v>0.27787597481040122</v>
      </c>
      <c r="DG254" s="1216">
        <f t="shared" si="2436"/>
        <v>0.25266730427035472</v>
      </c>
      <c r="DH254" s="1216">
        <f t="shared" si="2436"/>
        <v>0.25005110710445061</v>
      </c>
      <c r="DI254" s="1216">
        <f t="shared" si="2436"/>
        <v>0.2842414701618482</v>
      </c>
      <c r="DJ254" s="1216">
        <f t="shared" si="2436"/>
        <v>0.2508805161167536</v>
      </c>
      <c r="DK254" s="1216">
        <f t="shared" si="2436"/>
        <v>0.21482393079317613</v>
      </c>
      <c r="DL254" s="1216">
        <f t="shared" si="2436"/>
        <v>8.2754345411795452E-2</v>
      </c>
      <c r="DM254" s="1216">
        <f t="shared" si="2436"/>
        <v>0.12985766257956616</v>
      </c>
      <c r="DN254" s="1216">
        <f t="shared" si="2436"/>
        <v>9.6972614888022377E-2</v>
      </c>
      <c r="DO254" s="1216">
        <f t="shared" si="2436"/>
        <v>0.1149527487092806</v>
      </c>
      <c r="DP254" s="1216">
        <f t="shared" si="2436"/>
        <v>0.13081964394770618</v>
      </c>
      <c r="DQ254" s="1216">
        <f t="shared" si="2436"/>
        <v>0.12466611570587094</v>
      </c>
      <c r="DR254" s="1216">
        <f t="shared" si="2436"/>
        <v>0.1564213616617087</v>
      </c>
      <c r="DS254" s="1216">
        <f t="shared" si="2436"/>
        <v>0.16398808149284005</v>
      </c>
      <c r="DT254" s="1216">
        <f t="shared" si="2436"/>
        <v>0.16536124053994369</v>
      </c>
      <c r="DU254" s="1216">
        <f t="shared" si="2436"/>
        <v>0.1650243640255746</v>
      </c>
      <c r="DX254" s="1216">
        <v>0.13913046684943448</v>
      </c>
      <c r="DY254" s="1216">
        <v>0.16235627788994764</v>
      </c>
    </row>
    <row r="255" spans="1:129" s="904" customFormat="1">
      <c r="A255" s="969"/>
      <c r="B255" s="1002" t="s">
        <v>53</v>
      </c>
      <c r="C255" s="1003" t="e">
        <f>+C50/((C131+#REF!)/2)*4</f>
        <v>#REF!</v>
      </c>
      <c r="D255" s="1003">
        <f t="shared" ref="D255:AI255" si="2437">+D50/((D131+C131)/2)*4</f>
        <v>0.72447463302065374</v>
      </c>
      <c r="E255" s="1003">
        <f t="shared" si="2437"/>
        <v>7.2301638228950027E-2</v>
      </c>
      <c r="F255" s="1003">
        <f t="shared" si="2437"/>
        <v>0.24799435678702353</v>
      </c>
      <c r="G255" s="1003">
        <f t="shared" si="2437"/>
        <v>0.22173083781730218</v>
      </c>
      <c r="H255" s="1003">
        <f t="shared" si="2437"/>
        <v>0.43442832283085769</v>
      </c>
      <c r="I255" s="1003">
        <f t="shared" si="2437"/>
        <v>0.26721379362270825</v>
      </c>
      <c r="J255" s="1003">
        <f t="shared" si="2437"/>
        <v>0.59321125359097404</v>
      </c>
      <c r="K255" s="1003">
        <f t="shared" si="2437"/>
        <v>0.27133910978699211</v>
      </c>
      <c r="L255" s="1003">
        <f t="shared" si="2437"/>
        <v>0.39855932318255022</v>
      </c>
      <c r="M255" s="1003">
        <f t="shared" si="2437"/>
        <v>0.31990629856820008</v>
      </c>
      <c r="N255" s="1003">
        <f t="shared" si="2437"/>
        <v>0.61016818004201601</v>
      </c>
      <c r="O255" s="1003">
        <f t="shared" si="2437"/>
        <v>0.22439226341228358</v>
      </c>
      <c r="P255" s="1003">
        <f t="shared" si="2437"/>
        <v>0.47325503553613574</v>
      </c>
      <c r="Q255" s="1003">
        <f t="shared" si="2437"/>
        <v>0.39020408163265308</v>
      </c>
      <c r="R255" s="1003">
        <f t="shared" si="2437"/>
        <v>0.49330218433267708</v>
      </c>
      <c r="S255" s="1003">
        <f t="shared" si="2437"/>
        <v>0.23689672155650718</v>
      </c>
      <c r="T255" s="1003">
        <f t="shared" si="2437"/>
        <v>0.38912936854613861</v>
      </c>
      <c r="U255" s="1003">
        <f t="shared" si="2437"/>
        <v>0.24964404438096202</v>
      </c>
      <c r="V255" s="1003">
        <f t="shared" si="2437"/>
        <v>0.31851584695304441</v>
      </c>
      <c r="W255" s="1003">
        <f t="shared" si="2437"/>
        <v>7.6465853200923695E-2</v>
      </c>
      <c r="X255" s="1003">
        <f t="shared" si="2437"/>
        <v>0.31904433168221208</v>
      </c>
      <c r="Y255" s="1003">
        <f t="shared" si="2437"/>
        <v>0.22399934005090344</v>
      </c>
      <c r="Z255" s="1003">
        <f t="shared" si="2437"/>
        <v>0.64895639989537368</v>
      </c>
      <c r="AA255" s="1003">
        <f t="shared" si="2437"/>
        <v>0.22666947735796522</v>
      </c>
      <c r="AB255" s="1003">
        <f t="shared" si="2437"/>
        <v>0.5609465083116959</v>
      </c>
      <c r="AC255" s="1003">
        <f t="shared" si="2437"/>
        <v>0.32633237737603471</v>
      </c>
      <c r="AD255" s="1003">
        <f t="shared" si="2437"/>
        <v>0.61096646318076431</v>
      </c>
      <c r="AE255" s="1003">
        <f t="shared" si="2437"/>
        <v>0.21672966477463829</v>
      </c>
      <c r="AF255" s="1003">
        <f t="shared" si="2437"/>
        <v>0.49120288874209922</v>
      </c>
      <c r="AG255" s="1003">
        <f t="shared" si="2437"/>
        <v>0.22928655929573147</v>
      </c>
      <c r="AH255" s="1003">
        <f t="shared" si="2437"/>
        <v>0.53591469132858849</v>
      </c>
      <c r="AI255" s="1003">
        <f t="shared" si="2437"/>
        <v>0.12701276994371344</v>
      </c>
      <c r="AJ255" s="1003">
        <f t="shared" ref="AJ255:BO255" si="2438">+AJ50/((AJ131+AI131)/2)*4</f>
        <v>0.36594000579553854</v>
      </c>
      <c r="AK255" s="1003">
        <f t="shared" si="2438"/>
        <v>0.24489894175665336</v>
      </c>
      <c r="AL255" s="1003">
        <f t="shared" si="2438"/>
        <v>0.5075272590747486</v>
      </c>
      <c r="AM255" s="1003">
        <f t="shared" si="2438"/>
        <v>9.0396508800186598E-2</v>
      </c>
      <c r="AN255" s="1003">
        <f t="shared" si="2438"/>
        <v>0.29131611192060014</v>
      </c>
      <c r="AO255" s="1003">
        <f t="shared" si="2438"/>
        <v>0.19501563957986426</v>
      </c>
      <c r="AP255" s="1003">
        <f t="shared" si="2438"/>
        <v>0.56219091427221213</v>
      </c>
      <c r="AQ255" s="1003">
        <f t="shared" si="2438"/>
        <v>0.17762016239993064</v>
      </c>
      <c r="AR255" s="1003">
        <f t="shared" si="2438"/>
        <v>0.37043702121695637</v>
      </c>
      <c r="AS255" s="1003">
        <f t="shared" si="2438"/>
        <v>0.28314161190673082</v>
      </c>
      <c r="AT255" s="1003">
        <f t="shared" si="2438"/>
        <v>0.60890281668330448</v>
      </c>
      <c r="AU255" s="1003">
        <f t="shared" si="2438"/>
        <v>0.16775731817298553</v>
      </c>
      <c r="AV255" s="1003">
        <f t="shared" si="2438"/>
        <v>0.31131461079180728</v>
      </c>
      <c r="AW255" s="1003">
        <f t="shared" si="2438"/>
        <v>0.18455885319886323</v>
      </c>
      <c r="AX255" s="1003">
        <f t="shared" si="2438"/>
        <v>0.44863393236661359</v>
      </c>
      <c r="AY255" s="1003">
        <f t="shared" si="2438"/>
        <v>0.12184133457145269</v>
      </c>
      <c r="AZ255" s="1004">
        <f t="shared" si="2438"/>
        <v>0.31563969375446199</v>
      </c>
      <c r="BA255" s="1003">
        <f t="shared" si="2438"/>
        <v>0.15419383527491165</v>
      </c>
      <c r="BB255" s="1003">
        <f t="shared" si="2438"/>
        <v>0.53089258704124997</v>
      </c>
      <c r="BC255" s="1003">
        <f t="shared" si="2438"/>
        <v>0.11239472548782621</v>
      </c>
      <c r="BD255" s="1003">
        <f t="shared" si="2438"/>
        <v>0.30542047028501162</v>
      </c>
      <c r="BE255" s="1003">
        <f t="shared" si="2438"/>
        <v>0.21695549527199573</v>
      </c>
      <c r="BF255" s="1003">
        <f t="shared" si="2438"/>
        <v>0.49876646659447832</v>
      </c>
      <c r="BG255" s="1003">
        <f t="shared" si="2438"/>
        <v>0.16883397161304797</v>
      </c>
      <c r="BH255" s="1003">
        <f t="shared" si="2438"/>
        <v>0.32937181235273083</v>
      </c>
      <c r="BI255" s="1003">
        <f t="shared" si="2438"/>
        <v>0.23863181847660692</v>
      </c>
      <c r="BJ255" s="1003">
        <f t="shared" si="2438"/>
        <v>0.58314484209619832</v>
      </c>
      <c r="BK255" s="1003">
        <f t="shared" si="2438"/>
        <v>0.13830316796744052</v>
      </c>
      <c r="BL255" s="1003">
        <f t="shared" si="2438"/>
        <v>0.19653738279145946</v>
      </c>
      <c r="BM255" s="1003">
        <f t="shared" si="2438"/>
        <v>0.16472166161215546</v>
      </c>
      <c r="BN255" s="1003">
        <f t="shared" si="2438"/>
        <v>0.40779814425930155</v>
      </c>
      <c r="BO255" s="1003">
        <f t="shared" si="2438"/>
        <v>-4.4837593438297359E-3</v>
      </c>
      <c r="BP255" s="1003">
        <f t="shared" ref="BP255:CH255" si="2439">+BP50/((BP131+BO131)/2)*4</f>
        <v>0.24355612737214918</v>
      </c>
      <c r="BQ255" s="1003">
        <f t="shared" si="2439"/>
        <v>-5.0319495563871476E-2</v>
      </c>
      <c r="BR255" s="1003">
        <f t="shared" si="2439"/>
        <v>0.24534547494282691</v>
      </c>
      <c r="BS255" s="1003">
        <f t="shared" si="2439"/>
        <v>-8.698310088902271E-2</v>
      </c>
      <c r="BT255" s="1003">
        <f t="shared" si="2439"/>
        <v>0.12540557176148789</v>
      </c>
      <c r="BU255" s="1003">
        <f t="shared" si="2439"/>
        <v>8.58378244553233E-2</v>
      </c>
      <c r="BV255" s="1003">
        <f t="shared" si="2439"/>
        <v>0.22716766213325437</v>
      </c>
      <c r="BW255" s="1003">
        <f t="shared" si="2439"/>
        <v>6.1213577343875697E-2</v>
      </c>
      <c r="BX255" s="1003">
        <f t="shared" si="2439"/>
        <v>0.16009381517767168</v>
      </c>
      <c r="BY255" s="1003">
        <f t="shared" si="2439"/>
        <v>9.040641738707926E-2</v>
      </c>
      <c r="BZ255" s="1003">
        <f t="shared" si="2439"/>
        <v>0.21925609518446379</v>
      </c>
      <c r="CA255" s="1003">
        <f t="shared" si="2439"/>
        <v>4.1076391780845642E-2</v>
      </c>
      <c r="CB255" s="1003">
        <f t="shared" si="2439"/>
        <v>8.8483849711214271E-2</v>
      </c>
      <c r="CC255" s="1003">
        <f t="shared" si="2439"/>
        <v>3.4928721317806367E-2</v>
      </c>
      <c r="CD255" s="1003">
        <f t="shared" si="2439"/>
        <v>0.22205267780722471</v>
      </c>
      <c r="CE255" s="1003">
        <f t="shared" si="2439"/>
        <v>8.7760851733846706E-3</v>
      </c>
      <c r="CF255" s="1003">
        <f t="shared" si="2439"/>
        <v>0.11591435814486331</v>
      </c>
      <c r="CG255" s="1003">
        <f t="shared" si="2439"/>
        <v>9.4106699770318908E-2</v>
      </c>
      <c r="CH255" s="1003">
        <f t="shared" si="2439"/>
        <v>0.21396842504923458</v>
      </c>
      <c r="CI255" s="1003">
        <f t="shared" ref="CI255" si="2440">+CI50/((CI131+CH131)/2)*4</f>
        <v>8.7835596694667548E-2</v>
      </c>
      <c r="CJ255" s="1003">
        <f t="shared" ref="CJ255" si="2441">+CJ50/((CJ131+CI131)/2)*4</f>
        <v>0.1855368587027208</v>
      </c>
      <c r="CK255" s="1003">
        <f t="shared" ref="CK255" si="2442">+CK50/((CK131+CJ131)/2)*4</f>
        <v>0.11110650549406216</v>
      </c>
      <c r="CL255" s="1003">
        <f t="shared" ref="CL255" si="2443">+CL50/((CL131+CK131)/2)*4</f>
        <v>0.20796120726044298</v>
      </c>
      <c r="CM255" s="1003">
        <f t="shared" ref="CM255" si="2444">+CM50/((CM131+CL131)/2)*4</f>
        <v>6.4133945358532729E-2</v>
      </c>
      <c r="CN255" s="1003">
        <f t="shared" ref="CN255" si="2445">+CN50/((CN131+CM131)/2)*4</f>
        <v>0.15413312231713636</v>
      </c>
      <c r="CO255" s="1003">
        <f t="shared" ref="CO255" si="2446">+CO50/((CO131+CN131)/2)*4</f>
        <v>9.4265282348807308E-2</v>
      </c>
      <c r="CP255" s="1003">
        <f t="shared" ref="CP255" si="2447">+CP50/((CP131+CO131)/2)*4</f>
        <v>0.23006018715030072</v>
      </c>
      <c r="CQ255" s="1003"/>
      <c r="CR255" s="1003">
        <v>0.20796120726044298</v>
      </c>
      <c r="CT255" s="1003"/>
      <c r="CU255" s="1003"/>
      <c r="CV255" s="1003"/>
      <c r="CW255" s="1003"/>
      <c r="CX255" s="1003">
        <f>+CX50/((CX131+AO131)/2)</f>
        <v>0.13082023303001891</v>
      </c>
      <c r="CY255" s="1003">
        <f t="shared" ref="CY255:DU255" si="2448">+CY50/((CY131+CX131)/2)</f>
        <v>0.26090622230471805</v>
      </c>
      <c r="CZ255" s="1003">
        <f t="shared" si="2448"/>
        <v>0.3057448549802072</v>
      </c>
      <c r="DA255" s="1003">
        <f t="shared" si="2448"/>
        <v>0.42751666120171666</v>
      </c>
      <c r="DB255" s="1003">
        <f t="shared" si="2448"/>
        <v>0.38009399947313122</v>
      </c>
      <c r="DC255" s="1003">
        <f t="shared" si="2448"/>
        <v>0.32530953054016681</v>
      </c>
      <c r="DD255" s="1003">
        <f t="shared" si="2448"/>
        <v>0.29447779289422132</v>
      </c>
      <c r="DE255" s="1003">
        <f t="shared" si="2448"/>
        <v>0.2661157877510536</v>
      </c>
      <c r="DF255" s="1003">
        <f t="shared" si="2448"/>
        <v>0.20182748022551134</v>
      </c>
      <c r="DG255" s="1003">
        <f t="shared" si="2448"/>
        <v>0.19848679220860727</v>
      </c>
      <c r="DH255" s="1003">
        <f t="shared" si="2448"/>
        <v>0.21096477118214862</v>
      </c>
      <c r="DI255" s="1003">
        <f t="shared" si="2448"/>
        <v>0.25349840575568505</v>
      </c>
      <c r="DJ255" s="1003">
        <f t="shared" si="2448"/>
        <v>0.23436836514711318</v>
      </c>
      <c r="DK255" s="1003">
        <f t="shared" si="2448"/>
        <v>0.1219312924703589</v>
      </c>
      <c r="DL255" s="1003">
        <f t="shared" si="2448"/>
        <v>9.3444120397692856E-2</v>
      </c>
      <c r="DM255" s="1003">
        <f t="shared" si="2448"/>
        <v>0.14251749246394063</v>
      </c>
      <c r="DN255" s="1003">
        <f t="shared" si="2448"/>
        <v>8.9808936123816172E-2</v>
      </c>
      <c r="DO255" s="1003">
        <f t="shared" si="2448"/>
        <v>0.1111552779433899</v>
      </c>
      <c r="DP255" s="1003">
        <f t="shared" si="2448"/>
        <v>0.14750076606432247</v>
      </c>
      <c r="DQ255" s="1003">
        <f t="shared" si="2448"/>
        <v>0.13296107544034794</v>
      </c>
      <c r="DR255" s="1003">
        <f t="shared" si="2448"/>
        <v>0.17418864323453245</v>
      </c>
      <c r="DS255" s="1003">
        <f t="shared" si="2448"/>
        <v>0.18717398104633859</v>
      </c>
      <c r="DT255" s="1003">
        <f t="shared" si="2448"/>
        <v>0.19639867560300031</v>
      </c>
      <c r="DU255" s="1003">
        <f t="shared" si="2448"/>
        <v>0.20471241041276361</v>
      </c>
      <c r="DX255" s="1003">
        <v>0.15311928745318759</v>
      </c>
      <c r="DY255" s="1003">
        <v>0.18596699117224177</v>
      </c>
    </row>
    <row r="256" spans="1:129" s="904" customFormat="1">
      <c r="A256" s="939"/>
      <c r="B256" s="912"/>
      <c r="C256" s="918"/>
      <c r="D256" s="918"/>
      <c r="E256" s="918"/>
      <c r="F256" s="918"/>
      <c r="G256" s="918"/>
      <c r="H256" s="918"/>
      <c r="I256" s="918"/>
      <c r="J256" s="918"/>
      <c r="K256" s="918"/>
      <c r="L256" s="918"/>
      <c r="M256" s="918"/>
      <c r="N256" s="918"/>
      <c r="O256" s="918"/>
      <c r="P256" s="918"/>
      <c r="Q256" s="918"/>
      <c r="R256" s="979"/>
      <c r="S256" s="979"/>
      <c r="T256" s="979"/>
      <c r="U256" s="979"/>
      <c r="V256" s="979"/>
      <c r="W256" s="979"/>
      <c r="X256" s="979"/>
      <c r="Y256" s="979"/>
      <c r="Z256" s="979"/>
      <c r="AA256" s="979"/>
      <c r="AB256" s="979"/>
      <c r="AC256" s="979"/>
      <c r="AD256" s="979"/>
      <c r="AE256" s="979"/>
      <c r="AF256" s="979"/>
      <c r="AG256" s="979"/>
      <c r="AH256" s="979"/>
      <c r="AI256" s="979"/>
      <c r="AJ256" s="979"/>
      <c r="AK256" s="979"/>
      <c r="AL256" s="979"/>
      <c r="AM256" s="979"/>
      <c r="AN256" s="979"/>
      <c r="AO256" s="979"/>
      <c r="AP256" s="979"/>
      <c r="AQ256" s="979"/>
      <c r="AR256" s="979"/>
      <c r="AS256" s="979"/>
      <c r="AT256" s="979"/>
      <c r="AU256" s="979">
        <f t="shared" ref="AU256:BH256" si="2449">+AVERAGE(AR255:AU255)</f>
        <v>0.35755969199499432</v>
      </c>
      <c r="AV256" s="979">
        <f t="shared" si="2449"/>
        <v>0.34277908938870699</v>
      </c>
      <c r="AW256" s="979">
        <f t="shared" si="2449"/>
        <v>0.31813339971174015</v>
      </c>
      <c r="AX256" s="979">
        <f t="shared" si="2449"/>
        <v>0.27806617863256738</v>
      </c>
      <c r="AY256" s="979">
        <f t="shared" si="2449"/>
        <v>0.26658718273218418</v>
      </c>
      <c r="AZ256" s="979">
        <f t="shared" si="2449"/>
        <v>0.26766845347284784</v>
      </c>
      <c r="BA256" s="979">
        <f t="shared" si="2449"/>
        <v>0.26007719899185999</v>
      </c>
      <c r="BB256" s="979">
        <f t="shared" si="2449"/>
        <v>0.28064186266051905</v>
      </c>
      <c r="BC256" s="979">
        <f t="shared" si="2449"/>
        <v>0.27828021038961243</v>
      </c>
      <c r="BD256" s="979">
        <f t="shared" si="2449"/>
        <v>0.27572540452224992</v>
      </c>
      <c r="BE256" s="979">
        <f t="shared" si="2449"/>
        <v>0.2914158195215209</v>
      </c>
      <c r="BF256" s="979">
        <f t="shared" si="2449"/>
        <v>0.28338428940982796</v>
      </c>
      <c r="BG256" s="979">
        <f t="shared" si="2449"/>
        <v>0.29749410094113343</v>
      </c>
      <c r="BH256" s="979">
        <f t="shared" si="2449"/>
        <v>0.30348193645806321</v>
      </c>
      <c r="BI256" s="979">
        <f>+AVERAGE(BF255:BI255)</f>
        <v>0.30890101725921598</v>
      </c>
      <c r="BJ256" s="979">
        <f>+AVERAGE(BG255:BJ255)</f>
        <v>0.32999561113464604</v>
      </c>
      <c r="BK256" s="979">
        <f>+AVERAGE(BH255:BK255)</f>
        <v>0.32236291022324415</v>
      </c>
      <c r="BL256" s="979"/>
      <c r="BM256" s="979"/>
      <c r="BN256" s="979"/>
      <c r="BO256" s="979"/>
      <c r="BP256" s="979"/>
      <c r="BQ256" s="979"/>
      <c r="BR256" s="979"/>
      <c r="BS256" s="979"/>
      <c r="BT256" s="979"/>
      <c r="BU256" s="979"/>
      <c r="BV256" s="979"/>
      <c r="BW256" s="979"/>
      <c r="BX256" s="979"/>
      <c r="BY256" s="979"/>
      <c r="BZ256" s="979"/>
      <c r="CA256" s="979"/>
      <c r="CB256" s="979"/>
      <c r="CC256" s="979"/>
      <c r="CD256" s="979"/>
      <c r="CE256" s="979"/>
      <c r="CF256" s="979"/>
      <c r="CG256" s="979"/>
      <c r="CH256" s="979"/>
      <c r="CI256" s="979"/>
      <c r="CJ256" s="979"/>
      <c r="CK256" s="979"/>
      <c r="CL256" s="979"/>
      <c r="CM256" s="979"/>
      <c r="CN256" s="979"/>
      <c r="CO256" s="979"/>
      <c r="CP256" s="979"/>
      <c r="CQ256" s="979"/>
      <c r="CR256" s="979"/>
      <c r="CT256" s="979"/>
      <c r="CU256" s="979"/>
      <c r="CV256" s="979"/>
      <c r="CW256" s="979"/>
      <c r="CX256" s="918"/>
      <c r="CY256" s="918"/>
      <c r="CZ256" s="918"/>
      <c r="DA256" s="979"/>
      <c r="DB256" s="979"/>
      <c r="DC256" s="979"/>
      <c r="DD256" s="979"/>
      <c r="DE256" s="979"/>
      <c r="DF256" s="979"/>
      <c r="DG256" s="979"/>
      <c r="DH256" s="979"/>
      <c r="DI256" s="979"/>
      <c r="DJ256" s="979"/>
      <c r="DK256" s="979"/>
      <c r="DL256" s="979"/>
      <c r="DM256" s="979"/>
      <c r="DN256" s="979"/>
      <c r="DO256" s="979"/>
      <c r="DP256" s="979"/>
      <c r="DQ256" s="979"/>
      <c r="DR256" s="979"/>
      <c r="DS256" s="979"/>
      <c r="DT256" s="979"/>
      <c r="DU256" s="979"/>
      <c r="DX256" s="979"/>
      <c r="DY256" s="979"/>
    </row>
    <row r="257" spans="1:129" s="904" customFormat="1">
      <c r="A257" s="939"/>
      <c r="B257" s="912"/>
      <c r="C257" s="911"/>
      <c r="D257" s="911"/>
      <c r="E257" s="911"/>
      <c r="F257" s="911"/>
      <c r="G257" s="911"/>
      <c r="H257" s="911"/>
      <c r="I257" s="911"/>
      <c r="J257" s="911"/>
      <c r="K257" s="911"/>
      <c r="L257" s="911"/>
      <c r="M257" s="911"/>
      <c r="N257" s="911"/>
      <c r="O257" s="911"/>
      <c r="P257" s="911"/>
      <c r="Q257" s="911"/>
      <c r="R257" s="911"/>
      <c r="S257" s="911"/>
      <c r="T257" s="911"/>
      <c r="U257" s="911"/>
      <c r="V257" s="911"/>
      <c r="W257" s="911"/>
      <c r="X257" s="911"/>
      <c r="Y257" s="911"/>
      <c r="Z257" s="911"/>
      <c r="AA257" s="911"/>
      <c r="AB257" s="911"/>
      <c r="AC257" s="911"/>
      <c r="AD257" s="911"/>
      <c r="AE257" s="911"/>
      <c r="AF257" s="911"/>
      <c r="AG257" s="911"/>
      <c r="AH257" s="911"/>
      <c r="AI257" s="911"/>
      <c r="AJ257" s="911"/>
      <c r="AK257" s="911"/>
      <c r="AL257" s="911"/>
      <c r="AM257" s="911"/>
      <c r="AN257" s="911"/>
      <c r="AO257" s="911"/>
      <c r="AP257" s="911"/>
      <c r="AQ257" s="911"/>
      <c r="AR257" s="911"/>
      <c r="AS257" s="911"/>
      <c r="AT257" s="911"/>
      <c r="AU257" s="911"/>
      <c r="AV257" s="911"/>
      <c r="AW257" s="911"/>
      <c r="AX257" s="911"/>
      <c r="AY257" s="911"/>
      <c r="AZ257" s="926"/>
      <c r="BA257" s="911"/>
      <c r="BB257" s="911"/>
      <c r="BC257" s="911"/>
      <c r="BD257" s="911"/>
      <c r="BE257" s="911"/>
      <c r="BF257" s="911"/>
      <c r="BG257" s="911"/>
      <c r="BH257" s="911"/>
      <c r="BI257" s="911"/>
      <c r="BJ257" s="911"/>
      <c r="BK257" s="911"/>
      <c r="BL257" s="911"/>
      <c r="BM257" s="911"/>
      <c r="BN257" s="911"/>
      <c r="BO257" s="911"/>
      <c r="BP257" s="911"/>
      <c r="BQ257" s="911"/>
      <c r="BR257" s="911"/>
      <c r="BS257" s="911"/>
      <c r="BT257" s="911"/>
      <c r="BU257" s="911"/>
      <c r="BV257" s="911"/>
      <c r="BW257" s="911"/>
      <c r="BX257" s="911"/>
      <c r="BY257" s="911"/>
      <c r="BZ257" s="911"/>
      <c r="CA257" s="911"/>
      <c r="CB257" s="911"/>
      <c r="CC257" s="911"/>
      <c r="CD257" s="911"/>
      <c r="CE257" s="911"/>
      <c r="CF257" s="911"/>
      <c r="CG257" s="911"/>
      <c r="CH257" s="911"/>
      <c r="CI257" s="911"/>
      <c r="CJ257" s="911"/>
      <c r="CK257" s="911"/>
      <c r="CL257" s="911"/>
      <c r="CM257" s="911"/>
      <c r="CN257" s="911"/>
      <c r="CO257" s="911"/>
      <c r="CP257" s="911"/>
      <c r="CQ257" s="911"/>
      <c r="CR257" s="911"/>
      <c r="CT257" s="911"/>
      <c r="CU257" s="911"/>
      <c r="CV257" s="911"/>
      <c r="CW257" s="911"/>
      <c r="CX257" s="911"/>
      <c r="CY257" s="911"/>
      <c r="CZ257" s="911"/>
      <c r="DA257" s="911"/>
      <c r="DB257" s="911"/>
      <c r="DC257" s="911"/>
      <c r="DD257" s="911"/>
      <c r="DE257" s="911"/>
      <c r="DF257" s="911"/>
      <c r="DG257" s="911"/>
      <c r="DH257" s="911"/>
      <c r="DI257" s="911"/>
      <c r="DJ257" s="911"/>
      <c r="DK257" s="911"/>
      <c r="DL257" s="911"/>
      <c r="DM257" s="911"/>
      <c r="DN257" s="911"/>
      <c r="DO257" s="911"/>
      <c r="DP257" s="911"/>
      <c r="DQ257" s="911"/>
      <c r="DR257" s="911"/>
      <c r="DS257" s="911"/>
      <c r="DT257" s="911"/>
      <c r="DU257" s="911"/>
      <c r="DX257" s="911"/>
      <c r="DY257" s="911"/>
    </row>
    <row r="258" spans="1:129" s="904" customFormat="1">
      <c r="A258" s="592"/>
      <c r="B258" s="592"/>
      <c r="C258" s="592"/>
      <c r="D258" s="592"/>
      <c r="E258" s="592"/>
      <c r="F258" s="592"/>
      <c r="G258" s="592"/>
      <c r="H258" s="592"/>
      <c r="I258" s="592"/>
      <c r="J258" s="592"/>
      <c r="K258" s="592"/>
      <c r="L258" s="592"/>
      <c r="M258" s="592"/>
      <c r="N258" s="592"/>
      <c r="O258" s="592"/>
      <c r="P258" s="592"/>
      <c r="Q258" s="592"/>
      <c r="R258" s="592"/>
      <c r="S258" s="592"/>
      <c r="T258" s="592"/>
      <c r="U258" s="592"/>
      <c r="V258" s="592"/>
      <c r="W258" s="592"/>
      <c r="X258" s="592"/>
      <c r="Y258" s="592"/>
      <c r="Z258" s="592"/>
      <c r="AA258" s="592"/>
      <c r="AB258" s="592"/>
      <c r="AC258" s="592"/>
      <c r="AD258" s="592"/>
      <c r="AE258" s="592"/>
      <c r="AF258" s="592"/>
      <c r="AG258" s="592"/>
      <c r="AH258" s="592"/>
      <c r="AI258" s="592"/>
      <c r="AJ258" s="592"/>
      <c r="AK258" s="592"/>
      <c r="AL258" s="592"/>
      <c r="AM258" s="592"/>
      <c r="AN258" s="592"/>
      <c r="AO258" s="592"/>
      <c r="AP258" s="592"/>
      <c r="AQ258" s="592"/>
      <c r="AR258" s="592"/>
      <c r="AS258" s="592"/>
      <c r="AT258" s="592"/>
      <c r="AU258" s="592"/>
      <c r="AV258" s="592"/>
      <c r="AW258" s="592"/>
      <c r="AX258" s="592"/>
      <c r="AY258" s="592"/>
      <c r="AZ258" s="910"/>
      <c r="BA258" s="592"/>
      <c r="BB258" s="592"/>
      <c r="BC258" s="592"/>
      <c r="BD258" s="592"/>
      <c r="BE258" s="592"/>
      <c r="BF258" s="592"/>
      <c r="BG258" s="592"/>
      <c r="BH258" s="592"/>
      <c r="BI258" s="592"/>
      <c r="BJ258" s="592"/>
      <c r="BK258" s="592"/>
      <c r="BL258" s="592"/>
      <c r="BM258" s="592"/>
      <c r="BN258" s="592"/>
      <c r="BO258" s="592"/>
      <c r="BP258" s="592"/>
      <c r="BQ258" s="592"/>
      <c r="BR258" s="592"/>
      <c r="BS258" s="592"/>
      <c r="BT258" s="592"/>
      <c r="BU258" s="592"/>
      <c r="BV258" s="592"/>
      <c r="BW258" s="592"/>
      <c r="BX258" s="592"/>
      <c r="BY258" s="592"/>
      <c r="BZ258" s="592"/>
      <c r="CA258" s="592"/>
      <c r="CB258" s="592"/>
      <c r="CC258" s="592"/>
      <c r="CD258" s="592"/>
      <c r="CE258" s="592"/>
      <c r="CF258" s="592"/>
      <c r="CG258" s="592"/>
      <c r="CH258" s="592"/>
      <c r="CI258" s="592"/>
      <c r="CJ258" s="592"/>
      <c r="CK258" s="592"/>
      <c r="CL258" s="592"/>
      <c r="CM258" s="592"/>
      <c r="CN258" s="592"/>
      <c r="CO258" s="592"/>
      <c r="CP258" s="592"/>
      <c r="CQ258" s="592"/>
      <c r="CR258" s="592"/>
      <c r="CT258" s="592"/>
      <c r="CU258" s="592"/>
      <c r="CV258" s="592"/>
      <c r="CW258" s="592"/>
      <c r="CX258" s="592"/>
      <c r="CY258" s="592"/>
      <c r="CZ258" s="592"/>
      <c r="DA258" s="592"/>
      <c r="DB258" s="592"/>
      <c r="DC258" s="592"/>
      <c r="DD258" s="592"/>
      <c r="DE258" s="592"/>
      <c r="DF258" s="592"/>
      <c r="DG258" s="592"/>
      <c r="DH258" s="592"/>
      <c r="DI258" s="592"/>
      <c r="DJ258" s="592"/>
      <c r="DK258" s="592"/>
      <c r="DL258" s="592"/>
      <c r="DM258" s="592"/>
      <c r="DN258" s="592"/>
      <c r="DO258" s="592"/>
      <c r="DP258" s="592"/>
      <c r="DQ258" s="592"/>
      <c r="DR258" s="592"/>
      <c r="DS258" s="592"/>
      <c r="DT258" s="592"/>
      <c r="DU258" s="592"/>
      <c r="DX258" s="592"/>
      <c r="DY258" s="592"/>
    </row>
    <row r="259" spans="1:129" s="904" customFormat="1">
      <c r="A259" s="939"/>
      <c r="B259" s="912" t="s">
        <v>523</v>
      </c>
      <c r="C259" s="918">
        <v>0</v>
      </c>
      <c r="D259" s="918">
        <f t="shared" ref="D259:AI259" si="2450">+D19/((C140+D140+C141+D141)/2)</f>
        <v>0</v>
      </c>
      <c r="E259" s="918">
        <f t="shared" si="2450"/>
        <v>0</v>
      </c>
      <c r="F259" s="918">
        <f t="shared" si="2450"/>
        <v>0</v>
      </c>
      <c r="G259" s="918">
        <f t="shared" si="2450"/>
        <v>0</v>
      </c>
      <c r="H259" s="918">
        <f t="shared" si="2450"/>
        <v>0</v>
      </c>
      <c r="I259" s="918">
        <f t="shared" si="2450"/>
        <v>3.4803125049436258E-2</v>
      </c>
      <c r="J259" s="918">
        <f t="shared" si="2450"/>
        <v>3.0860675302297996E-2</v>
      </c>
      <c r="K259" s="918">
        <f t="shared" si="2450"/>
        <v>2.8382573100116527E-2</v>
      </c>
      <c r="L259" s="918">
        <f t="shared" si="2450"/>
        <v>2.735091949472775E-2</v>
      </c>
      <c r="M259" s="918">
        <f t="shared" si="2450"/>
        <v>2.4822603976752348E-2</v>
      </c>
      <c r="N259" s="918">
        <f t="shared" si="2450"/>
        <v>2.4671882651554514E-2</v>
      </c>
      <c r="O259" s="918">
        <f t="shared" si="2450"/>
        <v>1.9686775203686349E-2</v>
      </c>
      <c r="P259" s="918">
        <f t="shared" si="2450"/>
        <v>1.5626368787038637E-2</v>
      </c>
      <c r="Q259" s="918">
        <f t="shared" si="2450"/>
        <v>1.7826348117576392E-2</v>
      </c>
      <c r="R259" s="918">
        <f t="shared" si="2450"/>
        <v>2.0597913532660356E-2</v>
      </c>
      <c r="S259" s="918">
        <f t="shared" si="2450"/>
        <v>1.638329285135972E-2</v>
      </c>
      <c r="T259" s="918">
        <f t="shared" si="2450"/>
        <v>2.9782788706908026E-2</v>
      </c>
      <c r="U259" s="918">
        <f t="shared" si="2450"/>
        <v>2.5151696167510295E-2</v>
      </c>
      <c r="V259" s="918">
        <f t="shared" si="2450"/>
        <v>5.9166530427945285E-2</v>
      </c>
      <c r="W259" s="918">
        <f t="shared" si="2450"/>
        <v>3.2041761095294198E-2</v>
      </c>
      <c r="X259" s="918">
        <f t="shared" si="2450"/>
        <v>3.7649358970124905E-2</v>
      </c>
      <c r="Y259" s="918">
        <f t="shared" si="2450"/>
        <v>2.7816196753231701E-2</v>
      </c>
      <c r="Z259" s="918">
        <f t="shared" si="2450"/>
        <v>3.6099848900253653E-2</v>
      </c>
      <c r="AA259" s="918">
        <f t="shared" si="2450"/>
        <v>2.5344117718712696E-2</v>
      </c>
      <c r="AB259" s="918">
        <f t="shared" si="2450"/>
        <v>3.0707735226456534E-2</v>
      </c>
      <c r="AC259" s="918">
        <f t="shared" si="2450"/>
        <v>3.5773295106522066E-2</v>
      </c>
      <c r="AD259" s="918">
        <f t="shared" si="2450"/>
        <v>1.7424717506305115E-2</v>
      </c>
      <c r="AE259" s="918">
        <f t="shared" si="2450"/>
        <v>1.5526240173960135E-2</v>
      </c>
      <c r="AF259" s="918">
        <f t="shared" si="2450"/>
        <v>1.1320390527389345E-2</v>
      </c>
      <c r="AG259" s="918">
        <f t="shared" si="2450"/>
        <v>2.9046013854055221E-2</v>
      </c>
      <c r="AH259" s="918">
        <f t="shared" si="2450"/>
        <v>2.2236693263872339E-2</v>
      </c>
      <c r="AI259" s="918">
        <f t="shared" si="2450"/>
        <v>1.2697975990682404E-2</v>
      </c>
      <c r="AJ259" s="918">
        <f t="shared" ref="AJ259:BO259" si="2451">+AJ19/((AI140+AJ140+AI141+AJ141)/2)</f>
        <v>1.0966610997227271E-2</v>
      </c>
      <c r="AK259" s="918">
        <f t="shared" si="2451"/>
        <v>2.1882317417933908E-2</v>
      </c>
      <c r="AL259" s="918">
        <f t="shared" si="2451"/>
        <v>4.7074616847522094E-3</v>
      </c>
      <c r="AM259" s="918">
        <f t="shared" si="2451"/>
        <v>1.6131898801667988E-2</v>
      </c>
      <c r="AN259" s="918">
        <f t="shared" si="2451"/>
        <v>9.9215208920805219E-3</v>
      </c>
      <c r="AO259" s="918">
        <f t="shared" si="2451"/>
        <v>2.8109575884983955E-2</v>
      </c>
      <c r="AP259" s="918">
        <f t="shared" si="2451"/>
        <v>2.4158779764002866E-2</v>
      </c>
      <c r="AQ259" s="918">
        <f t="shared" si="2451"/>
        <v>2.4884945372955471E-2</v>
      </c>
      <c r="AR259" s="918">
        <f t="shared" si="2451"/>
        <v>2.3263727307207088E-2</v>
      </c>
      <c r="AS259" s="918">
        <f t="shared" si="2451"/>
        <v>4.7082589108371903E-2</v>
      </c>
      <c r="AT259" s="918">
        <f t="shared" si="2451"/>
        <v>3.2934643662625489E-2</v>
      </c>
      <c r="AU259" s="918">
        <f t="shared" si="2451"/>
        <v>3.9801188454582623E-2</v>
      </c>
      <c r="AV259" s="918">
        <f t="shared" si="2451"/>
        <v>3.845017078678499E-2</v>
      </c>
      <c r="AW259" s="918">
        <f t="shared" si="2451"/>
        <v>3.7739696002772875E-2</v>
      </c>
      <c r="AX259" s="918">
        <f t="shared" si="2451"/>
        <v>1.5195482604432925E-2</v>
      </c>
      <c r="AY259" s="918">
        <f t="shared" si="2451"/>
        <v>3.845722275384629E-2</v>
      </c>
      <c r="AZ259" s="921">
        <f t="shared" si="2451"/>
        <v>2.4620844505375744E-2</v>
      </c>
      <c r="BA259" s="918">
        <f t="shared" si="2451"/>
        <v>2.5876166498714923E-2</v>
      </c>
      <c r="BB259" s="918">
        <f t="shared" si="2451"/>
        <v>2.1006579555563173E-2</v>
      </c>
      <c r="BC259" s="918">
        <f t="shared" si="2451"/>
        <v>2.121955330666065E-2</v>
      </c>
      <c r="BD259" s="918">
        <f t="shared" si="2451"/>
        <v>1.5371111819856767E-2</v>
      </c>
      <c r="BE259" s="918">
        <f t="shared" si="2451"/>
        <v>1.2124937983994478E-2</v>
      </c>
      <c r="BF259" s="918">
        <f t="shared" si="2451"/>
        <v>9.5213042390335009E-3</v>
      </c>
      <c r="BG259" s="918">
        <f t="shared" si="2451"/>
        <v>9.968641657806792E-3</v>
      </c>
      <c r="BH259" s="918">
        <f t="shared" si="2451"/>
        <v>9.0201445325083906E-3</v>
      </c>
      <c r="BI259" s="918">
        <f t="shared" si="2451"/>
        <v>7.7021399776878528E-3</v>
      </c>
      <c r="BJ259" s="918">
        <f t="shared" si="2451"/>
        <v>5.2600748568762418E-3</v>
      </c>
      <c r="BK259" s="918">
        <f t="shared" si="2451"/>
        <v>5.6093901190593055E-3</v>
      </c>
      <c r="BL259" s="918">
        <f t="shared" si="2451"/>
        <v>8.8866716203261937E-3</v>
      </c>
      <c r="BM259" s="918">
        <f t="shared" si="2451"/>
        <v>1.1279435423973333E-2</v>
      </c>
      <c r="BN259" s="918">
        <f t="shared" si="2451"/>
        <v>5.7248868297733943E-3</v>
      </c>
      <c r="BO259" s="918">
        <f t="shared" si="2451"/>
        <v>6.6111628521968637E-3</v>
      </c>
      <c r="BP259" s="918">
        <f t="shared" ref="BP259:CH259" si="2452">+BP19/((BO140+BP140+BO141+BP141)/2)</f>
        <v>0.276672058375453</v>
      </c>
      <c r="BQ259" s="918">
        <f t="shared" si="2452"/>
        <v>5.6667572098948139E-3</v>
      </c>
      <c r="BR259" s="918">
        <f t="shared" si="2452"/>
        <v>4.9525371000419009E-3</v>
      </c>
      <c r="BS259" s="918">
        <f t="shared" si="2452"/>
        <v>4.4728308889372646E-3</v>
      </c>
      <c r="BT259" s="918">
        <f t="shared" si="2452"/>
        <v>8.5542604635631507E-3</v>
      </c>
      <c r="BU259" s="918">
        <f t="shared" si="2452"/>
        <v>1.3221709837127473E-2</v>
      </c>
      <c r="BV259" s="918">
        <f t="shared" si="2452"/>
        <v>1.7907313212112808E-2</v>
      </c>
      <c r="BW259" s="918">
        <f t="shared" si="2452"/>
        <v>3.2954609104030676E-2</v>
      </c>
      <c r="BX259" s="918">
        <f t="shared" si="2452"/>
        <v>2.7925682608524714E-2</v>
      </c>
      <c r="BY259" s="918">
        <f t="shared" si="2452"/>
        <v>5.2703018381848599E-2</v>
      </c>
      <c r="BZ259" s="918">
        <f t="shared" si="2452"/>
        <v>3.2193995346839296E-2</v>
      </c>
      <c r="CA259" s="918">
        <f t="shared" si="2452"/>
        <v>2.8275046633985744E-2</v>
      </c>
      <c r="CB259" s="918">
        <f t="shared" si="2452"/>
        <v>2.6760963168723988E-2</v>
      </c>
      <c r="CC259" s="918">
        <f t="shared" si="2452"/>
        <v>3.4557310968351233E-2</v>
      </c>
      <c r="CD259" s="918">
        <f t="shared" si="2452"/>
        <v>4.3526997635963467E-2</v>
      </c>
      <c r="CE259" s="918">
        <f t="shared" si="2452"/>
        <v>5.7085295173912802E-2</v>
      </c>
      <c r="CF259" s="918">
        <f t="shared" si="2452"/>
        <v>3.9409249967124499E-2</v>
      </c>
      <c r="CG259" s="918">
        <f t="shared" si="2452"/>
        <v>4.6251604940849046E-2</v>
      </c>
      <c r="CH259" s="918">
        <f t="shared" si="2452"/>
        <v>2.9519586731821961E-2</v>
      </c>
      <c r="CI259" s="918">
        <f t="shared" ref="CI259" si="2453">+CI19/((CH140+CI140+CH141+CI141)/2)</f>
        <v>4.0058480993449969E-2</v>
      </c>
      <c r="CJ259" s="918">
        <f t="shared" ref="CJ259" si="2454">+CJ19/((CI140+CJ140+CI141+CJ141)/2)</f>
        <v>1.6074384066135278E-2</v>
      </c>
      <c r="CK259" s="918">
        <f t="shared" ref="CK259" si="2455">+CK19/((CJ140+CK140+CJ141+CK141)/2)</f>
        <v>4.0229421925420353E-2</v>
      </c>
      <c r="CL259" s="918">
        <f t="shared" ref="CL259" si="2456">+CL19/((CK140+CL140+CK141+CL141)/2)</f>
        <v>4.3374096750691406E-2</v>
      </c>
      <c r="CM259" s="918">
        <f t="shared" ref="CM259" si="2457">+CM19/((CL140+CM140+CL141+CM141)/2)</f>
        <v>4.426456026948003E-2</v>
      </c>
      <c r="CN259" s="918">
        <f t="shared" ref="CN259" si="2458">+CN19/((CM140+CN140+CM141+CN141)/2)</f>
        <v>3.8835669302442449E-2</v>
      </c>
      <c r="CO259" s="918">
        <f t="shared" ref="CO259" si="2459">+CO19/((CN140+CO140+CN141+CO141)/2)</f>
        <v>3.243650765103976E-2</v>
      </c>
      <c r="CP259" s="918">
        <f t="shared" ref="CP259" si="2460">+CP19/((CO140+CP140+CO141+CP141)/2)</f>
        <v>3.1409098122267047E-2</v>
      </c>
      <c r="CQ259" s="918"/>
      <c r="CR259" s="918">
        <v>4.3374096750691406E-2</v>
      </c>
      <c r="CT259" s="918"/>
      <c r="CU259" s="918"/>
      <c r="CV259" s="918"/>
      <c r="CW259" s="918"/>
      <c r="CX259" s="918">
        <f>+CX19/((AO140+CX140+AO141+CX141)/2)</f>
        <v>3.3079169184994373E-2</v>
      </c>
      <c r="CY259" s="918">
        <f t="shared" ref="CY259:DU259" si="2461">+CY19/((CX140+CY140+CX141+CY141)/2)</f>
        <v>0.1062046699158859</v>
      </c>
      <c r="CZ259" s="918">
        <f t="shared" si="2461"/>
        <v>9.8908485643865438E-2</v>
      </c>
      <c r="DA259" s="918">
        <f t="shared" si="2461"/>
        <v>8.2052874848853985E-2</v>
      </c>
      <c r="DB259" s="918">
        <f t="shared" si="2461"/>
        <v>6.409215820868186E-2</v>
      </c>
      <c r="DC259" s="918">
        <f t="shared" si="2461"/>
        <v>4.0684247190024038E-2</v>
      </c>
      <c r="DD259" s="918">
        <f t="shared" si="2461"/>
        <v>6.9850331203595462E-2</v>
      </c>
      <c r="DE259" s="918">
        <f t="shared" si="2461"/>
        <v>0.11285733164086131</v>
      </c>
      <c r="DF259" s="918">
        <f t="shared" si="2461"/>
        <v>0.11808936632012708</v>
      </c>
      <c r="DG259" s="918">
        <f t="shared" si="2461"/>
        <v>0.10579091321944975</v>
      </c>
      <c r="DH259" s="918">
        <f t="shared" si="2461"/>
        <v>5.3244797697270127E-2</v>
      </c>
      <c r="DI259" s="918">
        <f t="shared" si="2461"/>
        <v>2.4666570494553269E-2</v>
      </c>
      <c r="DJ259" s="918">
        <f t="shared" si="2461"/>
        <v>2.597340410481357E-2</v>
      </c>
      <c r="DK259" s="918">
        <f t="shared" si="2461"/>
        <v>0.29599557935102</v>
      </c>
      <c r="DL259" s="918">
        <f t="shared" si="2461"/>
        <v>5.3179548843919067E-2</v>
      </c>
      <c r="DM259" s="918">
        <f t="shared" si="2461"/>
        <v>0.14896628753469407</v>
      </c>
      <c r="DN259" s="918">
        <f t="shared" si="2461"/>
        <v>0.12407443619002413</v>
      </c>
      <c r="DO259" s="918">
        <f t="shared" si="2461"/>
        <v>0.18633297640621541</v>
      </c>
      <c r="DP259" s="918">
        <f t="shared" si="2461"/>
        <v>0.12218042216179528</v>
      </c>
      <c r="DQ259" s="918">
        <f t="shared" si="2461"/>
        <v>0.15610768751735854</v>
      </c>
      <c r="DR259" s="918">
        <f t="shared" si="2461"/>
        <v>0.14440817068559542</v>
      </c>
      <c r="DS259" s="918">
        <f t="shared" si="2461"/>
        <v>0.13827259445764195</v>
      </c>
      <c r="DT259" s="918">
        <f t="shared" si="2461"/>
        <v>0.1154250315734138</v>
      </c>
      <c r="DU259" s="918">
        <f t="shared" si="2461"/>
        <v>9.8034541117788962E-2</v>
      </c>
      <c r="DX259" s="918">
        <v>0.17807310444033633</v>
      </c>
      <c r="DY259" s="918">
        <v>0.14976852969319654</v>
      </c>
    </row>
    <row r="260" spans="1:129" s="904" customFormat="1">
      <c r="A260" s="939"/>
      <c r="B260" s="912" t="s">
        <v>524</v>
      </c>
      <c r="C260" s="918">
        <v>0</v>
      </c>
      <c r="D260" s="918">
        <f t="shared" ref="D260:AI260" si="2462">(D20/(D142+C142)/2)</f>
        <v>0</v>
      </c>
      <c r="E260" s="918">
        <f t="shared" si="2462"/>
        <v>0</v>
      </c>
      <c r="F260" s="918">
        <f t="shared" si="2462"/>
        <v>0</v>
      </c>
      <c r="G260" s="918">
        <f t="shared" si="2462"/>
        <v>0</v>
      </c>
      <c r="H260" s="918">
        <f t="shared" si="2462"/>
        <v>0</v>
      </c>
      <c r="I260" s="918">
        <f t="shared" si="2462"/>
        <v>-3.7042947022886841E-3</v>
      </c>
      <c r="J260" s="918">
        <f t="shared" si="2462"/>
        <v>-5.6101907464853806E-3</v>
      </c>
      <c r="K260" s="918">
        <f t="shared" si="2462"/>
        <v>-6.4524454768357204E-3</v>
      </c>
      <c r="L260" s="918">
        <f t="shared" si="2462"/>
        <v>-5.9233411952225564E-3</v>
      </c>
      <c r="M260" s="918">
        <f t="shared" si="2462"/>
        <v>-4.7879471410635626E-3</v>
      </c>
      <c r="N260" s="918">
        <f t="shared" si="2462"/>
        <v>-6.6691564850877658E-3</v>
      </c>
      <c r="O260" s="918">
        <f t="shared" si="2462"/>
        <v>-2.033472501788941E-2</v>
      </c>
      <c r="P260" s="918">
        <f t="shared" si="2462"/>
        <v>-1.8109643022716736E-2</v>
      </c>
      <c r="Q260" s="918">
        <f t="shared" si="2462"/>
        <v>-1.61098180862384E-2</v>
      </c>
      <c r="R260" s="918">
        <f t="shared" si="2462"/>
        <v>-1.1943878396692765E-2</v>
      </c>
      <c r="S260" s="918">
        <f t="shared" si="2462"/>
        <v>-7.4079939918614245E-3</v>
      </c>
      <c r="T260" s="918">
        <f t="shared" si="2462"/>
        <v>-1.3389545298279262E-2</v>
      </c>
      <c r="U260" s="918">
        <f t="shared" si="2462"/>
        <v>-1.399289591438193E-2</v>
      </c>
      <c r="V260" s="918">
        <f t="shared" si="2462"/>
        <v>-1.1235733575131576E-2</v>
      </c>
      <c r="W260" s="918">
        <f t="shared" si="2462"/>
        <v>-7.3558571812355296E-3</v>
      </c>
      <c r="X260" s="918">
        <f t="shared" si="2462"/>
        <v>-7.9267634518862332E-3</v>
      </c>
      <c r="Y260" s="918">
        <f t="shared" si="2462"/>
        <v>-9.0338961292132421E-3</v>
      </c>
      <c r="Z260" s="918">
        <f t="shared" si="2462"/>
        <v>-8.6571351835517153E-3</v>
      </c>
      <c r="AA260" s="918">
        <f t="shared" si="2462"/>
        <v>-5.0830583137577044E-3</v>
      </c>
      <c r="AB260" s="918">
        <f t="shared" si="2462"/>
        <v>-4.8225592263203519E-3</v>
      </c>
      <c r="AC260" s="918">
        <f t="shared" si="2462"/>
        <v>-5.3380073160029943E-3</v>
      </c>
      <c r="AD260" s="918">
        <f t="shared" si="2462"/>
        <v>-2.3191474268377198E-3</v>
      </c>
      <c r="AE260" s="918">
        <f t="shared" si="2462"/>
        <v>-3.665048148871104E-3</v>
      </c>
      <c r="AF260" s="918">
        <f t="shared" si="2462"/>
        <v>-4.2285792258075511E-3</v>
      </c>
      <c r="AG260" s="918">
        <f t="shared" si="2462"/>
        <v>-7.9235351344888114E-3</v>
      </c>
      <c r="AH260" s="918">
        <f t="shared" si="2462"/>
        <v>-7.9585040837882991E-3</v>
      </c>
      <c r="AI260" s="918">
        <f t="shared" si="2462"/>
        <v>-5.0736774088130663E-3</v>
      </c>
      <c r="AJ260" s="918">
        <f t="shared" ref="AJ260:BO260" si="2463">(AJ20/(AJ142+AI142)/2)</f>
        <v>-4.6912202411890968E-3</v>
      </c>
      <c r="AK260" s="918">
        <f t="shared" si="2463"/>
        <v>-8.0705946151674313E-3</v>
      </c>
      <c r="AL260" s="918">
        <f t="shared" si="2463"/>
        <v>-6.1195998232318194E-3</v>
      </c>
      <c r="AM260" s="918">
        <f t="shared" si="2463"/>
        <v>-5.2090368929144006E-3</v>
      </c>
      <c r="AN260" s="918">
        <f t="shared" si="2463"/>
        <v>-4.3908230136098878E-3</v>
      </c>
      <c r="AO260" s="918">
        <f t="shared" si="2463"/>
        <v>-4.2122754982754787E-3</v>
      </c>
      <c r="AP260" s="918">
        <f t="shared" si="2463"/>
        <v>-5.5171862951670049E-3</v>
      </c>
      <c r="AQ260" s="918">
        <f t="shared" si="2463"/>
        <v>-4.8362766095372276E-3</v>
      </c>
      <c r="AR260" s="918">
        <f t="shared" si="2463"/>
        <v>-5.1894747317713444E-3</v>
      </c>
      <c r="AS260" s="918">
        <f t="shared" si="2463"/>
        <v>-7.2745413928428952E-3</v>
      </c>
      <c r="AT260" s="918">
        <f t="shared" si="2463"/>
        <v>-7.8220286116186429E-3</v>
      </c>
      <c r="AU260" s="918">
        <f t="shared" si="2463"/>
        <v>-7.5521040804377489E-3</v>
      </c>
      <c r="AV260" s="918">
        <f t="shared" si="2463"/>
        <v>-6.6371403125005399E-3</v>
      </c>
      <c r="AW260" s="918">
        <f t="shared" si="2463"/>
        <v>-6.4018374049317223E-3</v>
      </c>
      <c r="AX260" s="918">
        <f t="shared" si="2463"/>
        <v>-4.4278025210259583E-3</v>
      </c>
      <c r="AY260" s="918">
        <f t="shared" si="2463"/>
        <v>-6.9691042294953874E-3</v>
      </c>
      <c r="AZ260" s="921">
        <f t="shared" si="2463"/>
        <v>-5.7661151156630369E-3</v>
      </c>
      <c r="BA260" s="918">
        <f t="shared" si="2463"/>
        <v>-5.7850665282021202E-3</v>
      </c>
      <c r="BB260" s="918">
        <f t="shared" si="2463"/>
        <v>-5.7139291461102588E-3</v>
      </c>
      <c r="BC260" s="918">
        <f t="shared" si="2463"/>
        <v>-5.5934464997926059E-3</v>
      </c>
      <c r="BD260" s="918">
        <f t="shared" si="2463"/>
        <v>-4.3774185645491289E-3</v>
      </c>
      <c r="BE260" s="918">
        <f t="shared" si="2463"/>
        <v>-4.150203525358615E-3</v>
      </c>
      <c r="BF260" s="918">
        <f t="shared" si="2463"/>
        <v>-3.302440114197322E-3</v>
      </c>
      <c r="BG260" s="918">
        <f t="shared" si="2463"/>
        <v>-3.2166866538285875E-3</v>
      </c>
      <c r="BH260" s="918">
        <f t="shared" si="2463"/>
        <v>-2.7916419707986933E-3</v>
      </c>
      <c r="BI260" s="918">
        <f t="shared" si="2463"/>
        <v>-3.2945839748032241E-3</v>
      </c>
      <c r="BJ260" s="918">
        <f t="shared" si="2463"/>
        <v>-2.0403285865325657E-3</v>
      </c>
      <c r="BK260" s="918">
        <f t="shared" si="2463"/>
        <v>-6.6014554945507129E-3</v>
      </c>
      <c r="BL260" s="918">
        <f t="shared" si="2463"/>
        <v>-8.2013458090311412E-3</v>
      </c>
      <c r="BM260" s="918">
        <f t="shared" si="2463"/>
        <v>-4.8497891910751325E-3</v>
      </c>
      <c r="BN260" s="918">
        <f t="shared" si="2463"/>
        <v>-7.9126538741938895E-3</v>
      </c>
      <c r="BO260" s="918">
        <f t="shared" si="2463"/>
        <v>-5.6051869871133614E-3</v>
      </c>
      <c r="BP260" s="918">
        <f t="shared" ref="BP260:CH260" si="2464">(BP20/(BP142+BO142)/2)</f>
        <v>-5.9658781931902181E-3</v>
      </c>
      <c r="BQ260" s="918">
        <f t="shared" si="2464"/>
        <v>-5.3549045840757007E-3</v>
      </c>
      <c r="BR260" s="918">
        <f t="shared" si="2464"/>
        <v>-4.2063131151440824E-3</v>
      </c>
      <c r="BS260" s="918">
        <f t="shared" si="2464"/>
        <v>-6.263384874215884E-3</v>
      </c>
      <c r="BT260" s="918">
        <f t="shared" si="2464"/>
        <v>-6.0527175112441668E-3</v>
      </c>
      <c r="BU260" s="918">
        <f t="shared" si="2464"/>
        <v>-6.947129459424546E-3</v>
      </c>
      <c r="BV260" s="918">
        <f t="shared" si="2464"/>
        <v>-9.5956908326924016E-3</v>
      </c>
      <c r="BW260" s="918">
        <f t="shared" si="2464"/>
        <v>-1.217646374750223E-2</v>
      </c>
      <c r="BX260" s="918">
        <f t="shared" si="2464"/>
        <v>-1.0400294209806262E-2</v>
      </c>
      <c r="BY260" s="918">
        <f t="shared" si="2464"/>
        <v>-1.7561951499232998E-2</v>
      </c>
      <c r="BZ260" s="918">
        <f t="shared" si="2464"/>
        <v>-1.4099670759678298E-2</v>
      </c>
      <c r="CA260" s="918">
        <f t="shared" si="2464"/>
        <v>-1.0799104549925428E-2</v>
      </c>
      <c r="CB260" s="918">
        <f t="shared" si="2464"/>
        <v>-1.1074837925840766E-2</v>
      </c>
      <c r="CC260" s="918">
        <f t="shared" si="2464"/>
        <v>-1.3604759994651692E-2</v>
      </c>
      <c r="CD260" s="918">
        <f t="shared" si="2464"/>
        <v>-1.559550233051848E-2</v>
      </c>
      <c r="CE260" s="918">
        <f t="shared" si="2464"/>
        <v>-1.8323345229277491E-2</v>
      </c>
      <c r="CF260" s="918">
        <f t="shared" si="2464"/>
        <v>-1.2305288014911686E-2</v>
      </c>
      <c r="CG260" s="918">
        <f t="shared" si="2464"/>
        <v>-2.2234702965145955E-2</v>
      </c>
      <c r="CH260" s="918">
        <f t="shared" si="2464"/>
        <v>-1.809009785018793E-2</v>
      </c>
      <c r="CI260" s="918">
        <f t="shared" ref="CI260" si="2465">(CI20/(CI142+CH142)/2)</f>
        <v>-3.8926432673750108E-2</v>
      </c>
      <c r="CJ260" s="918">
        <f t="shared" ref="CJ260" si="2466">(CJ20/(CJ142+CI142)/2)</f>
        <v>-3.6126192425420152E-2</v>
      </c>
      <c r="CK260" s="918">
        <f t="shared" ref="CK260" si="2467">(CK20/(CK142+CJ142)/2)</f>
        <v>-4.5618553494332678E-2</v>
      </c>
      <c r="CL260" s="918">
        <f t="shared" ref="CL260" si="2468">(CL20/(CL142+CK142)/2)</f>
        <v>-6.5566411966250793E-2</v>
      </c>
      <c r="CM260" s="918">
        <f t="shared" ref="CM260" si="2469">(CM20/(CM142+CL142)/2)</f>
        <v>-6.2761189822982053E-2</v>
      </c>
      <c r="CN260" s="918">
        <f t="shared" ref="CN260" si="2470">(CN20/(CN142+CM142)/2)</f>
        <v>-5.9288367075417826E-2</v>
      </c>
      <c r="CO260" s="918">
        <f t="shared" ref="CO260" si="2471">(CO20/(CO142+CN142)/2)</f>
        <v>-5.9971834027048088E-2</v>
      </c>
      <c r="CP260" s="918">
        <f t="shared" ref="CP260" si="2472">(CP20/(CP142+CO142)/2)</f>
        <v>-6.4365000792340102E-2</v>
      </c>
      <c r="CQ260" s="918"/>
      <c r="CR260" s="918">
        <v>-6.5566411966250793E-2</v>
      </c>
      <c r="CT260" s="918"/>
      <c r="CU260" s="918"/>
      <c r="CV260" s="918"/>
      <c r="CW260" s="918"/>
      <c r="CX260" s="918">
        <f>(CX20/(CX142+AO142)/2)</f>
        <v>-7.6138726616938176E-3</v>
      </c>
      <c r="CY260" s="918">
        <f t="shared" ref="CY260:DU260" si="2473">(CY20/(CY142+CX142)/2)</f>
        <v>-2.682569981643898E-2</v>
      </c>
      <c r="CZ260" s="918">
        <f t="shared" si="2473"/>
        <v>-2.7899087627963379E-2</v>
      </c>
      <c r="DA260" s="918">
        <f t="shared" si="2473"/>
        <v>-1.9879922947831648E-2</v>
      </c>
      <c r="DB260" s="918">
        <f t="shared" si="2473"/>
        <v>-2.1614570799905718E-2</v>
      </c>
      <c r="DC260" s="918">
        <f t="shared" si="2473"/>
        <v>-2.1095376040320482E-2</v>
      </c>
      <c r="DD260" s="918">
        <f t="shared" si="2473"/>
        <v>-1.9379395787791024E-2</v>
      </c>
      <c r="DE260" s="918">
        <f t="shared" si="2473"/>
        <v>-2.5011966712071943E-2</v>
      </c>
      <c r="DF260" s="918">
        <f t="shared" si="2473"/>
        <v>-2.5717739004846529E-2</v>
      </c>
      <c r="DG260" s="918">
        <f t="shared" si="2473"/>
        <v>-2.5242846391520146E-2</v>
      </c>
      <c r="DH260" s="918">
        <f t="shared" si="2473"/>
        <v>-1.8401616767234202E-2</v>
      </c>
      <c r="DI260" s="918">
        <f t="shared" si="2473"/>
        <v>-1.119003142522515E-2</v>
      </c>
      <c r="DJ260" s="918">
        <f t="shared" si="2473"/>
        <v>-2.8491569703333251E-2</v>
      </c>
      <c r="DK260" s="918">
        <f t="shared" si="2473"/>
        <v>-2.3986045350226082E-2</v>
      </c>
      <c r="DL260" s="918">
        <f t="shared" si="2473"/>
        <v>-2.9429015798266244E-2</v>
      </c>
      <c r="DM260" s="918">
        <f t="shared" si="2473"/>
        <v>-6.190360558244843E-2</v>
      </c>
      <c r="DN260" s="918">
        <f t="shared" si="2473"/>
        <v>-5.282443981510869E-2</v>
      </c>
      <c r="DO260" s="918">
        <f t="shared" si="2473"/>
        <v>-8.4548287146636952E-2</v>
      </c>
      <c r="DP260" s="918">
        <f t="shared" si="2473"/>
        <v>-0.13871928314688936</v>
      </c>
      <c r="DQ260" s="918">
        <f t="shared" si="2473"/>
        <v>-0.24638639171778803</v>
      </c>
      <c r="DR260" s="918">
        <f t="shared" si="2473"/>
        <v>-0.23528061614516818</v>
      </c>
      <c r="DS260" s="918">
        <f t="shared" si="2473"/>
        <v>-0.22718166880819718</v>
      </c>
      <c r="DT260" s="918">
        <f t="shared" si="2473"/>
        <v>-0.24559777902451776</v>
      </c>
      <c r="DU260" s="918">
        <f t="shared" si="2473"/>
        <v>-0.26300824948801443</v>
      </c>
      <c r="DX260" s="918">
        <v>-0.26218449651726805</v>
      </c>
      <c r="DY260" s="918">
        <v>-0.25146936701428479</v>
      </c>
    </row>
    <row r="261" spans="1:129" s="904" customFormat="1">
      <c r="A261" s="939"/>
      <c r="B261" s="912" t="s">
        <v>525</v>
      </c>
      <c r="C261" s="918">
        <v>0</v>
      </c>
      <c r="D261" s="918">
        <f t="shared" ref="D261:AI261" si="2474">+D18/(C139+D139)/2</f>
        <v>-4.5579584953003849E-2</v>
      </c>
      <c r="E261" s="918">
        <f t="shared" si="2474"/>
        <v>1.8656419842076846E-2</v>
      </c>
      <c r="F261" s="918">
        <f t="shared" si="2474"/>
        <v>1.8928512412451855E-2</v>
      </c>
      <c r="G261" s="918">
        <f t="shared" si="2474"/>
        <v>-1.1741691412998795E-2</v>
      </c>
      <c r="H261" s="918">
        <f t="shared" si="2474"/>
        <v>3.6447012427202274E-2</v>
      </c>
      <c r="I261" s="918">
        <f t="shared" si="2474"/>
        <v>9.8312305423562188E-3</v>
      </c>
      <c r="J261" s="918">
        <f t="shared" si="2474"/>
        <v>-7.2241899876976292E-3</v>
      </c>
      <c r="K261" s="918">
        <f t="shared" si="2474"/>
        <v>-2.4614351035395438E-3</v>
      </c>
      <c r="L261" s="918">
        <f t="shared" si="2474"/>
        <v>1.1250589574165184E-2</v>
      </c>
      <c r="M261" s="918">
        <f t="shared" si="2474"/>
        <v>6.6226588006185923E-3</v>
      </c>
      <c r="N261" s="918">
        <f t="shared" si="2474"/>
        <v>-4.3154042670717394E-4</v>
      </c>
      <c r="O261" s="918">
        <f t="shared" si="2474"/>
        <v>5.2831063301839202E-3</v>
      </c>
      <c r="P261" s="918">
        <f t="shared" si="2474"/>
        <v>9.7542396105735965E-3</v>
      </c>
      <c r="Q261" s="918">
        <f t="shared" si="2474"/>
        <v>5.3531471151890197E-3</v>
      </c>
      <c r="R261" s="918">
        <f t="shared" si="2474"/>
        <v>1.016254580012195E-2</v>
      </c>
      <c r="S261" s="918">
        <f t="shared" si="2474"/>
        <v>5.6198297566239057E-3</v>
      </c>
      <c r="T261" s="918">
        <f t="shared" si="2474"/>
        <v>2.3970181094718169E-3</v>
      </c>
      <c r="U261" s="918">
        <f t="shared" si="2474"/>
        <v>2.2077304530942192E-2</v>
      </c>
      <c r="V261" s="918">
        <f t="shared" si="2474"/>
        <v>0</v>
      </c>
      <c r="W261" s="918">
        <f t="shared" si="2474"/>
        <v>-6.7537905649545839E-3</v>
      </c>
      <c r="X261" s="918">
        <f t="shared" si="2474"/>
        <v>-6.3763640248988398E-3</v>
      </c>
      <c r="Y261" s="918">
        <f t="shared" si="2474"/>
        <v>-1.8539281205582972E-2</v>
      </c>
      <c r="Z261" s="918">
        <f t="shared" si="2474"/>
        <v>0.11394712853236098</v>
      </c>
      <c r="AA261" s="918">
        <f t="shared" si="2474"/>
        <v>8.2622783083219645E-2</v>
      </c>
      <c r="AB261" s="918">
        <f t="shared" si="2474"/>
        <v>2.2049366080725181E-2</v>
      </c>
      <c r="AC261" s="918">
        <f t="shared" si="2474"/>
        <v>3.188860248199623E-2</v>
      </c>
      <c r="AD261" s="918">
        <f t="shared" si="2474"/>
        <v>-8.4043865475593397E-3</v>
      </c>
      <c r="AE261" s="918">
        <f t="shared" si="2474"/>
        <v>-4.0303146718820944E-3</v>
      </c>
      <c r="AF261" s="918">
        <f t="shared" si="2474"/>
        <v>-1.6446377579912533E-3</v>
      </c>
      <c r="AG261" s="918">
        <f t="shared" si="2474"/>
        <v>-4.5826414928360143E-3</v>
      </c>
      <c r="AH261" s="918">
        <f t="shared" si="2474"/>
        <v>7.3944959764113182E-3</v>
      </c>
      <c r="AI261" s="918">
        <f t="shared" si="2474"/>
        <v>0.15084324649902123</v>
      </c>
      <c r="AJ261" s="918">
        <f t="shared" ref="AJ261:BO261" si="2475">+AJ18/(AI139+AJ139)/2</f>
        <v>-9.7680134276465647E-3</v>
      </c>
      <c r="AK261" s="918">
        <f t="shared" si="2475"/>
        <v>-1.2502165404985393E-2</v>
      </c>
      <c r="AL261" s="918">
        <f t="shared" si="2475"/>
        <v>-1.3003618867971564E-2</v>
      </c>
      <c r="AM261" s="918">
        <f t="shared" si="2475"/>
        <v>-6.2103533911752034E-3</v>
      </c>
      <c r="AN261" s="918">
        <f t="shared" si="2475"/>
        <v>-5.4404629742691238E-3</v>
      </c>
      <c r="AO261" s="918">
        <f t="shared" si="2475"/>
        <v>-2.4422387065207501E-3</v>
      </c>
      <c r="AP261" s="918">
        <f t="shared" si="2475"/>
        <v>-5.0961740784902189E-3</v>
      </c>
      <c r="AQ261" s="918">
        <f t="shared" si="2475"/>
        <v>-3.7635634918048813E-3</v>
      </c>
      <c r="AR261" s="918">
        <f t="shared" si="2475"/>
        <v>-4.771896575064302E-3</v>
      </c>
      <c r="AS261" s="918">
        <f t="shared" si="2475"/>
        <v>-4.7043872711147591E-3</v>
      </c>
      <c r="AT261" s="918">
        <f t="shared" si="2475"/>
        <v>-7.5596787152762464E-3</v>
      </c>
      <c r="AU261" s="918">
        <f t="shared" si="2475"/>
        <v>-5.9310635985501793E-3</v>
      </c>
      <c r="AV261" s="918">
        <f t="shared" si="2475"/>
        <v>-4.9659002405818336E-3</v>
      </c>
      <c r="AW261" s="918">
        <f t="shared" si="2475"/>
        <v>-4.9729786041673059E-3</v>
      </c>
      <c r="AX261" s="918">
        <f t="shared" si="2475"/>
        <v>-4.7581608442773225E-3</v>
      </c>
      <c r="AY261" s="918">
        <f t="shared" si="2475"/>
        <v>-5.1679675293681343E-3</v>
      </c>
      <c r="AZ261" s="921">
        <f t="shared" si="2475"/>
        <v>-5.5078950084561798E-3</v>
      </c>
      <c r="BA261" s="918">
        <f t="shared" si="2475"/>
        <v>-5.3594523999578418E-3</v>
      </c>
      <c r="BB261" s="918">
        <f t="shared" si="2475"/>
        <v>-6.0679890484543536E-3</v>
      </c>
      <c r="BC261" s="918">
        <f t="shared" si="2475"/>
        <v>-5.8396232513216089E-3</v>
      </c>
      <c r="BD261" s="918">
        <f t="shared" si="2475"/>
        <v>-4.8123498753973835E-3</v>
      </c>
      <c r="BE261" s="918">
        <f t="shared" si="2475"/>
        <v>-5.1541702934961905E-3</v>
      </c>
      <c r="BF261" s="918">
        <f t="shared" si="2475"/>
        <v>-4.4576692996151027E-3</v>
      </c>
      <c r="BG261" s="918">
        <f t="shared" si="2475"/>
        <v>-4.0911928386883423E-3</v>
      </c>
      <c r="BH261" s="918">
        <f t="shared" si="2475"/>
        <v>-3.2501825451677268E-3</v>
      </c>
      <c r="BI261" s="918">
        <f t="shared" si="2475"/>
        <v>-4.6108112989433313E-3</v>
      </c>
      <c r="BJ261" s="918">
        <f t="shared" si="2475"/>
        <v>-3.2908933966335793E-3</v>
      </c>
      <c r="BK261" s="918">
        <f t="shared" si="2475"/>
        <v>-1.7516772947745115E-2</v>
      </c>
      <c r="BL261" s="918">
        <f t="shared" si="2475"/>
        <v>-1.6654409730618863E-2</v>
      </c>
      <c r="BM261" s="918">
        <f t="shared" si="2475"/>
        <v>-1.3372454244855838E-2</v>
      </c>
      <c r="BN261" s="918">
        <f t="shared" si="2475"/>
        <v>-2.4166531684078528E-2</v>
      </c>
      <c r="BO261" s="918">
        <f t="shared" si="2475"/>
        <v>-2.3905249384680121E-2</v>
      </c>
      <c r="BP261" s="918">
        <f t="shared" ref="BP261:CH261" si="2476">+BP18/(BO139+BP139)/2</f>
        <v>0.13096743518159343</v>
      </c>
      <c r="BQ261" s="918">
        <f t="shared" si="2476"/>
        <v>-1.2931426887164478E-2</v>
      </c>
      <c r="BR261" s="918">
        <f t="shared" si="2476"/>
        <v>-1.1734101944555542E-2</v>
      </c>
      <c r="BS261" s="918">
        <f t="shared" si="2476"/>
        <v>-2.3169289612565494E-2</v>
      </c>
      <c r="BT261" s="918">
        <f t="shared" si="2476"/>
        <v>2.0490492411521056E-2</v>
      </c>
      <c r="BU261" s="918">
        <f t="shared" si="2476"/>
        <v>1.9871766319217387E-3</v>
      </c>
      <c r="BV261" s="918">
        <f t="shared" si="2476"/>
        <v>2.6678871659683886E-3</v>
      </c>
      <c r="BW261" s="918">
        <f t="shared" si="2476"/>
        <v>-1.9082665861341092E-3</v>
      </c>
      <c r="BX261" s="918">
        <f t="shared" si="2476"/>
        <v>5.3464690520570277E-4</v>
      </c>
      <c r="BY261" s="918">
        <f t="shared" si="2476"/>
        <v>2.855164949467973E-5</v>
      </c>
      <c r="BZ261" s="918">
        <f t="shared" si="2476"/>
        <v>8.7035983370879547E-3</v>
      </c>
      <c r="CA261" s="918">
        <f t="shared" si="2476"/>
        <v>5.1125064278852309E-3</v>
      </c>
      <c r="CB261" s="918">
        <f t="shared" si="2476"/>
        <v>1.5131997136419214E-2</v>
      </c>
      <c r="CC261" s="918">
        <f t="shared" si="2476"/>
        <v>4.5774236913373179E-3</v>
      </c>
      <c r="CD261" s="918">
        <f t="shared" si="2476"/>
        <v>-2.3446090586016891E-3</v>
      </c>
      <c r="CE261" s="918">
        <f t="shared" si="2476"/>
        <v>-8.1082286708932215E-3</v>
      </c>
      <c r="CF261" s="918">
        <f t="shared" si="2476"/>
        <v>-6.8265181988181886E-3</v>
      </c>
      <c r="CG261" s="918">
        <f t="shared" si="2476"/>
        <v>-1.3082595719253439E-3</v>
      </c>
      <c r="CH261" s="918">
        <f t="shared" si="2476"/>
        <v>1.5846499403756628E-3</v>
      </c>
      <c r="CI261" s="918">
        <f t="shared" ref="CI261" si="2477">+CI18/(CH139+CI139)/2</f>
        <v>3.047994200829904E-3</v>
      </c>
      <c r="CJ261" s="918">
        <f t="shared" ref="CJ261" si="2478">+CJ18/(CI139+CJ139)/2</f>
        <v>9.5240469720012967E-3</v>
      </c>
      <c r="CK261" s="918">
        <f t="shared" ref="CK261" si="2479">+CK18/(CJ139+CK139)/2</f>
        <v>3.8821693328131095E-3</v>
      </c>
      <c r="CL261" s="918">
        <f t="shared" ref="CL261" si="2480">+CL18/(CK139+CL139)/2</f>
        <v>7.9855942438401117E-3</v>
      </c>
      <c r="CM261" s="918">
        <f t="shared" ref="CM261" si="2481">+CM18/(CL139+CM139)/2</f>
        <v>9.1104655227222785E-3</v>
      </c>
      <c r="CN261" s="918">
        <f t="shared" ref="CN261" si="2482">+CN18/(CM139+CN139)/2</f>
        <v>7.2190206465301424E-3</v>
      </c>
      <c r="CO261" s="918">
        <f t="shared" ref="CO261" si="2483">+CO18/(CN139+CO139)/2</f>
        <v>6.3557373101249962E-3</v>
      </c>
      <c r="CP261" s="918">
        <f t="shared" ref="CP261" si="2484">+CP18/(CO139+CP139)/2</f>
        <v>7.6159181050025121E-3</v>
      </c>
      <c r="CQ261" s="918"/>
      <c r="CR261" s="918">
        <v>7.9855942438401117E-3</v>
      </c>
      <c r="CT261" s="918"/>
      <c r="CU261" s="918"/>
      <c r="CV261" s="918"/>
      <c r="CW261" s="918"/>
      <c r="CX261" s="918">
        <f>+CX18/(AO139+CX139)/2</f>
        <v>-6.88098645821865E-3</v>
      </c>
      <c r="CY261" s="918">
        <f t="shared" ref="CY261:DU261" si="2485">+CY18/(CX139+CY139)/2</f>
        <v>-2.8115108696637976E-2</v>
      </c>
      <c r="CZ261" s="918">
        <f t="shared" si="2485"/>
        <v>-4.2011421410159649E-2</v>
      </c>
      <c r="DA261" s="918">
        <f t="shared" si="2485"/>
        <v>-2.173421647479367E-2</v>
      </c>
      <c r="DB261" s="918">
        <f t="shared" si="2485"/>
        <v>-6.3268249674724407E-3</v>
      </c>
      <c r="DC261" s="918">
        <f t="shared" si="2485"/>
        <v>-4.7117190346721981E-2</v>
      </c>
      <c r="DD261" s="918">
        <f t="shared" si="2485"/>
        <v>-2.1175979127946391E-2</v>
      </c>
      <c r="DE261" s="918">
        <f t="shared" si="2485"/>
        <v>-2.2481634913039752E-2</v>
      </c>
      <c r="DF261" s="918">
        <f t="shared" si="2485"/>
        <v>-2.3051867473252066E-2</v>
      </c>
      <c r="DG261" s="918">
        <f t="shared" si="2485"/>
        <v>-2.4305318655878941E-2</v>
      </c>
      <c r="DH261" s="918">
        <f t="shared" si="2485"/>
        <v>-2.4605648157085779E-2</v>
      </c>
      <c r="DI261" s="918">
        <f t="shared" si="2485"/>
        <v>-2.1326889824590429E-2</v>
      </c>
      <c r="DJ261" s="918">
        <f t="shared" si="2485"/>
        <v>-0.1135505714014762</v>
      </c>
      <c r="DK261" s="918">
        <f t="shared" si="2485"/>
        <v>0.17448163247079981</v>
      </c>
      <c r="DL261" s="918">
        <f t="shared" si="2485"/>
        <v>4.9240174366180292E-2</v>
      </c>
      <c r="DM261" s="918">
        <f t="shared" si="2485"/>
        <v>3.2298385892904407E-3</v>
      </c>
      <c r="DN261" s="918">
        <f t="shared" si="2485"/>
        <v>1.0639331285668074E-2</v>
      </c>
      <c r="DO261" s="918">
        <f t="shared" si="2485"/>
        <v>-1.0266259351014688E-2</v>
      </c>
      <c r="DP261" s="918">
        <f t="shared" si="2485"/>
        <v>2.1567868578287297E-2</v>
      </c>
      <c r="DQ261" s="918">
        <f t="shared" si="2485"/>
        <v>3.3060330280699532E-2</v>
      </c>
      <c r="DR261" s="918">
        <f t="shared" si="2485"/>
        <v>1.7616366337248678E-2</v>
      </c>
      <c r="DS261" s="918">
        <f t="shared" si="2485"/>
        <v>2.2598834657926851E-3</v>
      </c>
      <c r="DT261" s="918">
        <f t="shared" si="2485"/>
        <v>1.3146414885813001E-4</v>
      </c>
      <c r="DU261" s="918">
        <f t="shared" si="2485"/>
        <v>-2.7052179607162916E-4</v>
      </c>
      <c r="DX261" s="918">
        <v>3.5018533755068249E-2</v>
      </c>
      <c r="DY261" s="918">
        <v>1.9699001009720191E-2</v>
      </c>
    </row>
    <row r="262" spans="1:129" s="904" customFormat="1">
      <c r="A262" s="592"/>
      <c r="B262" s="592"/>
      <c r="C262" s="592"/>
      <c r="D262" s="592"/>
      <c r="E262" s="592"/>
      <c r="F262" s="592"/>
      <c r="G262" s="592"/>
      <c r="H262" s="592"/>
      <c r="I262" s="592"/>
      <c r="J262" s="592"/>
      <c r="K262" s="592"/>
      <c r="L262" s="592"/>
      <c r="M262" s="592"/>
      <c r="N262" s="592"/>
      <c r="O262" s="592"/>
      <c r="P262" s="592"/>
      <c r="Q262" s="592"/>
      <c r="R262" s="592"/>
      <c r="S262" s="592"/>
      <c r="T262" s="592"/>
      <c r="U262" s="592"/>
      <c r="V262" s="592"/>
      <c r="W262" s="592"/>
      <c r="X262" s="592"/>
      <c r="Y262" s="592"/>
      <c r="Z262" s="592"/>
      <c r="AA262" s="592"/>
      <c r="AB262" s="592"/>
      <c r="AC262" s="592"/>
      <c r="AD262" s="592"/>
      <c r="AE262" s="592"/>
      <c r="AF262" s="592"/>
      <c r="AG262" s="592"/>
      <c r="AH262" s="592"/>
      <c r="AI262" s="592"/>
      <c r="AJ262" s="592"/>
      <c r="AK262" s="592"/>
      <c r="AL262" s="592"/>
      <c r="AM262" s="592"/>
      <c r="AN262" s="592"/>
      <c r="AO262" s="592"/>
      <c r="AP262" s="592"/>
      <c r="AQ262" s="592"/>
      <c r="AR262" s="592"/>
      <c r="AS262" s="592"/>
      <c r="AT262" s="592"/>
      <c r="AU262" s="592"/>
      <c r="AV262" s="592"/>
      <c r="AW262" s="592"/>
      <c r="AX262" s="592"/>
      <c r="AY262" s="592"/>
      <c r="AZ262" s="910"/>
      <c r="BA262" s="592"/>
      <c r="BB262" s="592"/>
      <c r="BC262" s="592"/>
      <c r="BD262" s="592"/>
      <c r="BE262" s="592"/>
      <c r="BF262" s="592"/>
      <c r="BG262" s="592"/>
      <c r="BH262" s="592"/>
      <c r="BI262" s="592"/>
      <c r="BJ262" s="592"/>
      <c r="BK262" s="592"/>
      <c r="BL262" s="592"/>
      <c r="BM262" s="592"/>
      <c r="BN262" s="592"/>
      <c r="BO262" s="592"/>
      <c r="BP262" s="592"/>
      <c r="BQ262" s="592"/>
      <c r="BR262" s="592"/>
      <c r="BS262" s="592"/>
      <c r="BT262" s="592"/>
      <c r="BU262" s="592"/>
      <c r="BV262" s="592"/>
      <c r="BW262" s="592"/>
      <c r="BX262" s="592"/>
      <c r="BY262" s="592"/>
      <c r="BZ262" s="592"/>
      <c r="CA262" s="592"/>
      <c r="CB262" s="592"/>
      <c r="CC262" s="592"/>
      <c r="CD262" s="592"/>
      <c r="CE262" s="592"/>
      <c r="CF262" s="592"/>
      <c r="CG262" s="592"/>
      <c r="CH262" s="592"/>
      <c r="CI262" s="592"/>
      <c r="CJ262" s="592"/>
      <c r="CK262" s="592"/>
      <c r="CL262" s="592"/>
      <c r="CM262" s="592"/>
      <c r="CN262" s="592"/>
      <c r="CO262" s="592"/>
      <c r="CP262" s="592"/>
      <c r="CQ262" s="592"/>
      <c r="CR262" s="592"/>
      <c r="CT262" s="592"/>
      <c r="CU262" s="592"/>
      <c r="CV262" s="592"/>
      <c r="CW262" s="592"/>
      <c r="CX262" s="592"/>
      <c r="CY262" s="592"/>
      <c r="CZ262" s="592"/>
      <c r="DA262" s="592"/>
      <c r="DB262" s="592"/>
      <c r="DC262" s="592"/>
      <c r="DD262" s="592"/>
      <c r="DE262" s="592"/>
      <c r="DF262" s="592"/>
      <c r="DG262" s="592"/>
      <c r="DH262" s="592"/>
      <c r="DI262" s="592"/>
      <c r="DJ262" s="592"/>
      <c r="DK262" s="592"/>
      <c r="DL262" s="592"/>
      <c r="DM262" s="592"/>
      <c r="DN262" s="592"/>
      <c r="DO262" s="592"/>
      <c r="DP262" s="592"/>
      <c r="DQ262" s="592"/>
      <c r="DR262" s="592"/>
      <c r="DS262" s="592"/>
      <c r="DT262" s="592"/>
      <c r="DU262" s="592"/>
      <c r="DX262" s="592"/>
      <c r="DY262" s="592"/>
    </row>
    <row r="263" spans="1:129" s="904" customFormat="1">
      <c r="A263" s="939"/>
      <c r="B263" s="977" t="s">
        <v>526</v>
      </c>
      <c r="C263" s="920" t="e">
        <f t="shared" ref="C263:AH263" si="2486">+(C139)/(C144+C145)</f>
        <v>#DIV/0!</v>
      </c>
      <c r="D263" s="920">
        <f t="shared" si="2486"/>
        <v>2.1434050432022569</v>
      </c>
      <c r="E263" s="920">
        <f t="shared" si="2486"/>
        <v>1.5378373499413305</v>
      </c>
      <c r="F263" s="920">
        <f t="shared" si="2486"/>
        <v>0.97285180740760713</v>
      </c>
      <c r="G263" s="920">
        <f t="shared" si="2486"/>
        <v>1.3494739493904178</v>
      </c>
      <c r="H263" s="920">
        <f t="shared" si="2486"/>
        <v>0.63343518964757028</v>
      </c>
      <c r="I263" s="920">
        <f t="shared" si="2486"/>
        <v>-0.40013170671815879</v>
      </c>
      <c r="J263" s="920">
        <f t="shared" si="2486"/>
        <v>-0.49373525587398254</v>
      </c>
      <c r="K263" s="920">
        <f t="shared" si="2486"/>
        <v>-0.16906193037164249</v>
      </c>
      <c r="L263" s="920">
        <f t="shared" si="2486"/>
        <v>-0.2551248282697352</v>
      </c>
      <c r="M263" s="920">
        <f t="shared" si="2486"/>
        <v>-0.24888024176680179</v>
      </c>
      <c r="N263" s="920">
        <f t="shared" si="2486"/>
        <v>-0.38525753447825783</v>
      </c>
      <c r="O263" s="920">
        <f t="shared" si="2486"/>
        <v>-0.14948202652552062</v>
      </c>
      <c r="P263" s="920">
        <f t="shared" si="2486"/>
        <v>-0.21868330924218507</v>
      </c>
      <c r="Q263" s="920">
        <f t="shared" si="2486"/>
        <v>-0.23349188408527205</v>
      </c>
      <c r="R263" s="920">
        <f t="shared" si="2486"/>
        <v>-5.7128839239151318E-2</v>
      </c>
      <c r="S263" s="920">
        <f t="shared" si="2486"/>
        <v>-0.16415997377479102</v>
      </c>
      <c r="T263" s="920">
        <f t="shared" si="2486"/>
        <v>-0.10160416406514118</v>
      </c>
      <c r="U263" s="920">
        <f t="shared" si="2486"/>
        <v>-3.1396129467256825E-2</v>
      </c>
      <c r="V263" s="920">
        <f t="shared" si="2486"/>
        <v>0.20177710813739558</v>
      </c>
      <c r="W263" s="920">
        <f t="shared" si="2486"/>
        <v>0.25091935817092487</v>
      </c>
      <c r="X263" s="920">
        <f t="shared" si="2486"/>
        <v>0.13861528525185446</v>
      </c>
      <c r="Y263" s="920">
        <f t="shared" si="2486"/>
        <v>6.5291682828987098E-3</v>
      </c>
      <c r="Z263" s="920">
        <f t="shared" si="2486"/>
        <v>-4.0185690036520757E-3</v>
      </c>
      <c r="AA263" s="920">
        <f t="shared" si="2486"/>
        <v>1.6357893484816113E-2</v>
      </c>
      <c r="AB263" s="920">
        <f t="shared" si="2486"/>
        <v>7.2934618551792077E-2</v>
      </c>
      <c r="AC263" s="920">
        <f t="shared" si="2486"/>
        <v>8.6814442319583622E-3</v>
      </c>
      <c r="AD263" s="920">
        <f t="shared" si="2486"/>
        <v>-0.36946249319500091</v>
      </c>
      <c r="AE263" s="920">
        <f t="shared" si="2486"/>
        <v>-0.32030136659645375</v>
      </c>
      <c r="AF263" s="920">
        <f t="shared" si="2486"/>
        <v>-7.5220390483261138E-2</v>
      </c>
      <c r="AG263" s="920">
        <f t="shared" si="2486"/>
        <v>-9.8622576126087769E-2</v>
      </c>
      <c r="AH263" s="920">
        <f t="shared" si="2486"/>
        <v>-7.7888446560080621E-2</v>
      </c>
      <c r="AI263" s="920">
        <f t="shared" ref="AI263:BN263" si="2487">+(AI139)/(AI144+AI145)</f>
        <v>6.5527413684367042E-2</v>
      </c>
      <c r="AJ263" s="920">
        <f t="shared" si="2487"/>
        <v>0.22945999065947167</v>
      </c>
      <c r="AK263" s="920">
        <f t="shared" si="2487"/>
        <v>0.28850298316405093</v>
      </c>
      <c r="AL263" s="920">
        <f t="shared" si="2487"/>
        <v>0.47876551965523023</v>
      </c>
      <c r="AM263" s="920">
        <f t="shared" si="2487"/>
        <v>0.60914963109632492</v>
      </c>
      <c r="AN263" s="920">
        <f t="shared" si="2487"/>
        <v>0.77622600715274481</v>
      </c>
      <c r="AO263" s="920">
        <f t="shared" si="2487"/>
        <v>0.79865324882056643</v>
      </c>
      <c r="AP263" s="920">
        <f t="shared" si="2487"/>
        <v>0.65224044418460903</v>
      </c>
      <c r="AQ263" s="920">
        <f t="shared" si="2487"/>
        <v>0.69261757874920793</v>
      </c>
      <c r="AR263" s="920">
        <f t="shared" si="2487"/>
        <v>0.75219850448119885</v>
      </c>
      <c r="AS263" s="920">
        <f t="shared" si="2487"/>
        <v>0.71844899368362503</v>
      </c>
      <c r="AT263" s="920">
        <f t="shared" si="2487"/>
        <v>0.60036231962174735</v>
      </c>
      <c r="AU263" s="920">
        <f t="shared" si="2487"/>
        <v>0.64038990396383166</v>
      </c>
      <c r="AV263" s="920">
        <f t="shared" si="2487"/>
        <v>0.6742406962170947</v>
      </c>
      <c r="AW263" s="920">
        <f t="shared" si="2487"/>
        <v>0.62386207010770656</v>
      </c>
      <c r="AX263" s="920">
        <f t="shared" si="2487"/>
        <v>0.49965900672293345</v>
      </c>
      <c r="AY263" s="920">
        <f t="shared" si="2487"/>
        <v>0.51975700830407401</v>
      </c>
      <c r="AZ263" s="927">
        <f t="shared" si="2487"/>
        <v>0.55974393218886964</v>
      </c>
      <c r="BA263" s="920">
        <f t="shared" si="2487"/>
        <v>0.49112915938858631</v>
      </c>
      <c r="BB263" s="920">
        <f t="shared" si="2487"/>
        <v>0.36809635633549204</v>
      </c>
      <c r="BC263" s="920">
        <f t="shared" si="2487"/>
        <v>0.43593563610195246</v>
      </c>
      <c r="BD263" s="920">
        <f t="shared" si="2487"/>
        <v>0.41489162093125403</v>
      </c>
      <c r="BE263" s="920">
        <f t="shared" si="2487"/>
        <v>0.30810732841145344</v>
      </c>
      <c r="BF263" s="920">
        <f t="shared" si="2487"/>
        <v>0.22276222402981158</v>
      </c>
      <c r="BG263" s="920">
        <f t="shared" si="2487"/>
        <v>0.29934757027754882</v>
      </c>
      <c r="BH263" s="920">
        <f t="shared" si="2487"/>
        <v>0.30921088930184243</v>
      </c>
      <c r="BI263" s="920">
        <f t="shared" si="2487"/>
        <v>0.22818464513475051</v>
      </c>
      <c r="BJ263" s="920">
        <f t="shared" si="2487"/>
        <v>0.13635664779876758</v>
      </c>
      <c r="BK263" s="920">
        <f t="shared" si="2487"/>
        <v>0.18438849812056046</v>
      </c>
      <c r="BL263" s="920">
        <f t="shared" si="2487"/>
        <v>0.20910693659189009</v>
      </c>
      <c r="BM263" s="920">
        <f t="shared" si="2487"/>
        <v>0.15433822034054984</v>
      </c>
      <c r="BN263" s="920">
        <f t="shared" si="2487"/>
        <v>5.7970111894408344E-2</v>
      </c>
      <c r="BO263" s="920">
        <f t="shared" ref="BO263:CH263" si="2488">+(BO139)/(BO144+BO145)</f>
        <v>0.16385835396151799</v>
      </c>
      <c r="BP263" s="920">
        <f t="shared" si="2488"/>
        <v>0.20572647896627172</v>
      </c>
      <c r="BQ263" s="920">
        <f t="shared" si="2488"/>
        <v>0.20851842262975856</v>
      </c>
      <c r="BR263" s="920">
        <f t="shared" si="2488"/>
        <v>0.12953736887682873</v>
      </c>
      <c r="BS263" s="920">
        <f t="shared" si="2488"/>
        <v>0.18177304471499334</v>
      </c>
      <c r="BT263" s="920">
        <f t="shared" si="2488"/>
        <v>-0.23827014528745721</v>
      </c>
      <c r="BU263" s="920">
        <f t="shared" si="2488"/>
        <v>-0.25495021644907695</v>
      </c>
      <c r="BV263" s="920">
        <f t="shared" si="2488"/>
        <v>-0.2529311574292511</v>
      </c>
      <c r="BW263" s="920">
        <f t="shared" si="2488"/>
        <v>-0.2046781523448945</v>
      </c>
      <c r="BX263" s="920">
        <f t="shared" si="2488"/>
        <v>-0.13245421883234898</v>
      </c>
      <c r="BY263" s="920">
        <f t="shared" si="2488"/>
        <v>-0.10199490276742368</v>
      </c>
      <c r="BZ263" s="920">
        <f t="shared" si="2488"/>
        <v>-0.10885802893973393</v>
      </c>
      <c r="CA263" s="920">
        <f t="shared" si="2488"/>
        <v>-3.8507903447439637E-2</v>
      </c>
      <c r="CB263" s="920">
        <f t="shared" si="2488"/>
        <v>-5.918745778627086E-2</v>
      </c>
      <c r="CC263" s="920">
        <f t="shared" si="2488"/>
        <v>-0.11397661322357365</v>
      </c>
      <c r="CD263" s="920">
        <f t="shared" si="2488"/>
        <v>-0.11714104825603018</v>
      </c>
      <c r="CE263" s="920">
        <f t="shared" si="2488"/>
        <v>-0.10098808642724008</v>
      </c>
      <c r="CF263" s="920">
        <f t="shared" si="2488"/>
        <v>-0.11116277270999786</v>
      </c>
      <c r="CG263" s="920">
        <f t="shared" si="2488"/>
        <v>-0.13406029382677473</v>
      </c>
      <c r="CH263" s="920">
        <f t="shared" si="2488"/>
        <v>-0.16948067432962427</v>
      </c>
      <c r="CI263" s="920">
        <f t="shared" ref="CI263:CL263" si="2489">+(CI139)/(CI144+CI145)</f>
        <v>-0.11751204123608908</v>
      </c>
      <c r="CJ263" s="920">
        <f t="shared" si="2489"/>
        <v>-0.11651764949845594</v>
      </c>
      <c r="CK263" s="920">
        <f t="shared" si="2489"/>
        <v>-0.12425127547511935</v>
      </c>
      <c r="CL263" s="920">
        <f t="shared" si="2489"/>
        <v>-8.7535543049739775E-2</v>
      </c>
      <c r="CM263" s="920">
        <f t="shared" ref="CM263:CP263" si="2490">+(CM139)/(CM144+CM145)</f>
        <v>-9.627579846546927E-2</v>
      </c>
      <c r="CN263" s="920">
        <f t="shared" si="2490"/>
        <v>-0.11204861143050805</v>
      </c>
      <c r="CO263" s="920">
        <f t="shared" si="2490"/>
        <v>-0.14046388685128947</v>
      </c>
      <c r="CP263" s="920">
        <f t="shared" si="2490"/>
        <v>-0.11275663839754385</v>
      </c>
      <c r="CQ263" s="920"/>
      <c r="CR263" s="920">
        <v>-8.7535543049739775E-2</v>
      </c>
      <c r="CT263" s="920"/>
      <c r="CU263" s="920"/>
      <c r="CV263" s="920"/>
      <c r="CW263" s="920"/>
      <c r="CX263" s="920">
        <f t="shared" ref="CX263:DU263" si="2491">+(CX139)/(CX144+CX145)</f>
        <v>-5.7128839239151318E-2</v>
      </c>
      <c r="CY263" s="920">
        <f t="shared" si="2491"/>
        <v>0.20177710813739558</v>
      </c>
      <c r="CZ263" s="920">
        <f t="shared" si="2491"/>
        <v>-4.0185690036520757E-3</v>
      </c>
      <c r="DA263" s="920">
        <f t="shared" si="2491"/>
        <v>-0.36946249319500091</v>
      </c>
      <c r="DB263" s="920">
        <f t="shared" si="2491"/>
        <v>-7.7888446560080621E-2</v>
      </c>
      <c r="DC263" s="920">
        <f t="shared" si="2491"/>
        <v>0.47876551965523023</v>
      </c>
      <c r="DD263" s="920">
        <f t="shared" si="2491"/>
        <v>0.65224044418460903</v>
      </c>
      <c r="DE263" s="920">
        <f t="shared" si="2491"/>
        <v>0.60036231962174735</v>
      </c>
      <c r="DF263" s="920">
        <f t="shared" si="2491"/>
        <v>0.49965900672293345</v>
      </c>
      <c r="DG263" s="920">
        <f t="shared" si="2491"/>
        <v>0.36809635633549204</v>
      </c>
      <c r="DH263" s="920">
        <f t="shared" si="2491"/>
        <v>0.22276222402981158</v>
      </c>
      <c r="DI263" s="920">
        <f t="shared" si="2491"/>
        <v>0.13635664779876758</v>
      </c>
      <c r="DJ263" s="920">
        <f t="shared" si="2491"/>
        <v>5.7970111894408344E-2</v>
      </c>
      <c r="DK263" s="920">
        <f t="shared" si="2491"/>
        <v>0.12953736887682873</v>
      </c>
      <c r="DL263" s="920">
        <f t="shared" si="2491"/>
        <v>-0.2529311574292511</v>
      </c>
      <c r="DM263" s="920">
        <f t="shared" si="2491"/>
        <v>-0.10885802893973393</v>
      </c>
      <c r="DN263" s="920">
        <f t="shared" si="2491"/>
        <v>-0.11714104825603018</v>
      </c>
      <c r="DO263" s="920">
        <f t="shared" si="2491"/>
        <v>-0.16948067432962427</v>
      </c>
      <c r="DP263" s="920">
        <f t="shared" ref="DP263:DQ263" si="2492">+(DP139)/(DP144+DP145)</f>
        <v>-8.7535543049739775E-2</v>
      </c>
      <c r="DQ263" s="920">
        <f t="shared" si="2492"/>
        <v>-0.11275663839754385</v>
      </c>
      <c r="DR263" s="920">
        <f t="shared" si="2491"/>
        <v>-0.12821841950904875</v>
      </c>
      <c r="DS263" s="920">
        <f t="shared" si="2491"/>
        <v>-0.18061974464660527</v>
      </c>
      <c r="DT263" s="920">
        <f t="shared" si="2491"/>
        <v>-0.22173326797107543</v>
      </c>
      <c r="DU263" s="920">
        <f t="shared" si="2491"/>
        <v>-0.25914973412160219</v>
      </c>
      <c r="DX263" s="920">
        <v>-9.7444416172660156E-2</v>
      </c>
      <c r="DY263" s="920">
        <v>-0.13660337017805657</v>
      </c>
    </row>
    <row r="264" spans="1:129" s="904" customFormat="1">
      <c r="A264" s="939"/>
      <c r="B264" s="977" t="s">
        <v>527</v>
      </c>
      <c r="C264" s="920" t="e">
        <f t="shared" ref="C264:AH264" si="2493">+C139/C131</f>
        <v>#DIV/0!</v>
      </c>
      <c r="D264" s="920">
        <f t="shared" si="2493"/>
        <v>0.74676025295944892</v>
      </c>
      <c r="E264" s="920">
        <f t="shared" si="2493"/>
        <v>0.66307194756977006</v>
      </c>
      <c r="F264" s="920">
        <f t="shared" si="2493"/>
        <v>0.49717317531136412</v>
      </c>
      <c r="G264" s="920">
        <f t="shared" si="2493"/>
        <v>0.573987339095126</v>
      </c>
      <c r="H264" s="920">
        <f t="shared" si="2493"/>
        <v>0.38747463596533871</v>
      </c>
      <c r="I264" s="920">
        <f t="shared" si="2493"/>
        <v>-0.67500588410663576</v>
      </c>
      <c r="J264" s="920">
        <f t="shared" si="2493"/>
        <v>-0.83941399641959691</v>
      </c>
      <c r="K264" s="920">
        <f t="shared" si="2493"/>
        <v>-0.21728450038844022</v>
      </c>
      <c r="L264" s="920">
        <f t="shared" si="2493"/>
        <v>-0.35474129707911201</v>
      </c>
      <c r="M264" s="920">
        <f t="shared" si="2493"/>
        <v>-0.3444064057969568</v>
      </c>
      <c r="N264" s="920">
        <f t="shared" si="2493"/>
        <v>-0.55935695849803957</v>
      </c>
      <c r="O264" s="920">
        <f t="shared" si="2493"/>
        <v>-0.16454784237203623</v>
      </c>
      <c r="P264" s="920">
        <f t="shared" si="2493"/>
        <v>-0.28763080342785385</v>
      </c>
      <c r="Q264" s="920">
        <f t="shared" si="2493"/>
        <v>-0.31712652525153456</v>
      </c>
      <c r="R264" s="920">
        <f t="shared" si="2493"/>
        <v>-5.1925574694273405E-2</v>
      </c>
      <c r="S264" s="920">
        <f t="shared" si="2493"/>
        <v>-0.17179368428274927</v>
      </c>
      <c r="T264" s="920">
        <f t="shared" si="2493"/>
        <v>-0.10554056319937233</v>
      </c>
      <c r="U264" s="920">
        <f t="shared" si="2493"/>
        <v>-3.1234865777973103E-2</v>
      </c>
      <c r="V264" s="920">
        <f t="shared" si="2493"/>
        <v>0.16154215750368797</v>
      </c>
      <c r="W264" s="920">
        <f t="shared" si="2493"/>
        <v>0.19614809838197736</v>
      </c>
      <c r="X264" s="920">
        <f t="shared" si="2493"/>
        <v>0.12592750717101125</v>
      </c>
      <c r="Y264" s="920">
        <f t="shared" si="2493"/>
        <v>6.7215018557107492E-3</v>
      </c>
      <c r="Z264" s="920">
        <f t="shared" si="2493"/>
        <v>-3.5536966405342032E-3</v>
      </c>
      <c r="AA264" s="920">
        <f t="shared" si="2493"/>
        <v>1.6599017447240315E-2</v>
      </c>
      <c r="AB264" s="920">
        <f t="shared" si="2493"/>
        <v>6.9509120847323913E-2</v>
      </c>
      <c r="AC264" s="920">
        <f t="shared" si="2493"/>
        <v>8.7744077016121934E-3</v>
      </c>
      <c r="AD264" s="920">
        <f t="shared" si="2493"/>
        <v>-0.35794579232152751</v>
      </c>
      <c r="AE264" s="920">
        <f t="shared" si="2493"/>
        <v>-0.29384598022449282</v>
      </c>
      <c r="AF264" s="920">
        <f t="shared" si="2493"/>
        <v>-5.8341958084092656E-2</v>
      </c>
      <c r="AG264" s="920">
        <f t="shared" si="2493"/>
        <v>-7.7059700117431823E-2</v>
      </c>
      <c r="AH264" s="920">
        <f t="shared" si="2493"/>
        <v>-6.1829078450441409E-2</v>
      </c>
      <c r="AI264" s="920">
        <f t="shared" ref="AI264:BN264" si="2494">+AI139/AI131</f>
        <v>4.6134084195200022E-2</v>
      </c>
      <c r="AJ264" s="920">
        <f t="shared" si="2494"/>
        <v>0.15031626780011806</v>
      </c>
      <c r="AK264" s="920">
        <f t="shared" si="2494"/>
        <v>0.18187126753309998</v>
      </c>
      <c r="AL264" s="920">
        <f t="shared" si="2494"/>
        <v>0.31973002403412137</v>
      </c>
      <c r="AM264" s="920">
        <f t="shared" si="2494"/>
        <v>0.37642324749786649</v>
      </c>
      <c r="AN264" s="920">
        <f t="shared" si="2494"/>
        <v>0.44853546442970904</v>
      </c>
      <c r="AO264" s="920">
        <f t="shared" si="2494"/>
        <v>0.44721998148286102</v>
      </c>
      <c r="AP264" s="920">
        <f t="shared" si="2494"/>
        <v>0.39143973750757594</v>
      </c>
      <c r="AQ264" s="920">
        <f t="shared" si="2494"/>
        <v>0.40486462531365519</v>
      </c>
      <c r="AR264" s="920">
        <f t="shared" si="2494"/>
        <v>0.44195698324336374</v>
      </c>
      <c r="AS264" s="920">
        <f t="shared" si="2494"/>
        <v>0.4271900818788148</v>
      </c>
      <c r="AT264" s="920">
        <f t="shared" si="2494"/>
        <v>0.37373911246133701</v>
      </c>
      <c r="AU264" s="920">
        <f t="shared" si="2494"/>
        <v>0.38359626037415973</v>
      </c>
      <c r="AV264" s="920">
        <f t="shared" si="2494"/>
        <v>0.41217324549091594</v>
      </c>
      <c r="AW264" s="920">
        <f t="shared" si="2494"/>
        <v>0.38600395887190936</v>
      </c>
      <c r="AX264" s="920">
        <f t="shared" si="2494"/>
        <v>0.33183060333072101</v>
      </c>
      <c r="AY264" s="920">
        <f t="shared" si="2494"/>
        <v>0.34058219267415957</v>
      </c>
      <c r="AZ264" s="927">
        <f t="shared" si="2494"/>
        <v>0.3721295420579897</v>
      </c>
      <c r="BA264" s="920">
        <f t="shared" si="2494"/>
        <v>0.33785739579838431</v>
      </c>
      <c r="BB264" s="920">
        <f t="shared" si="2494"/>
        <v>0.27229912996248501</v>
      </c>
      <c r="BC264" s="920">
        <f t="shared" si="2494"/>
        <v>0.30315645910627009</v>
      </c>
      <c r="BD264" s="920">
        <f t="shared" si="2494"/>
        <v>0.30099749845506463</v>
      </c>
      <c r="BE264" s="920">
        <f t="shared" si="2494"/>
        <v>0.24209073997797861</v>
      </c>
      <c r="BF264" s="920">
        <f t="shared" si="2494"/>
        <v>0.1862018211973766</v>
      </c>
      <c r="BG264" s="920">
        <f t="shared" si="2494"/>
        <v>0.23286650721541127</v>
      </c>
      <c r="BH264" s="920">
        <f t="shared" si="2494"/>
        <v>0.24621625892499177</v>
      </c>
      <c r="BI264" s="920">
        <f t="shared" si="2494"/>
        <v>0.19062854676220342</v>
      </c>
      <c r="BJ264" s="920">
        <f t="shared" si="2494"/>
        <v>0.11963850013900257</v>
      </c>
      <c r="BK264" s="920">
        <f t="shared" si="2494"/>
        <v>0.15014700594581445</v>
      </c>
      <c r="BL264" s="920">
        <f t="shared" si="2494"/>
        <v>0.17232323341631861</v>
      </c>
      <c r="BM264" s="920">
        <f t="shared" si="2494"/>
        <v>0.13187737874582792</v>
      </c>
      <c r="BN264" s="920">
        <f t="shared" si="2494"/>
        <v>5.3138618832745656E-2</v>
      </c>
      <c r="BO264" s="920">
        <f t="shared" ref="BO264:CH264" si="2495">+BO139/BO131</f>
        <v>0.13860631364709108</v>
      </c>
      <c r="BP264" s="920">
        <f t="shared" si="2495"/>
        <v>0.19016385176084297</v>
      </c>
      <c r="BQ264" s="920">
        <f t="shared" si="2495"/>
        <v>0.18838349934981316</v>
      </c>
      <c r="BR264" s="920">
        <f t="shared" si="2495"/>
        <v>0.12126456321335624</v>
      </c>
      <c r="BS264" s="920">
        <f t="shared" si="2495"/>
        <v>0.16812717356489984</v>
      </c>
      <c r="BT264" s="920">
        <f t="shared" si="2495"/>
        <v>-0.33719967738553824</v>
      </c>
      <c r="BU264" s="920">
        <f t="shared" si="2495"/>
        <v>-0.36944471738173862</v>
      </c>
      <c r="BV264" s="920">
        <f t="shared" si="2495"/>
        <v>-0.35695613299249518</v>
      </c>
      <c r="BW264" s="920">
        <f t="shared" si="2495"/>
        <v>-0.25777337652642779</v>
      </c>
      <c r="BX264" s="920">
        <f t="shared" si="2495"/>
        <v>-0.15831247526297892</v>
      </c>
      <c r="BY264" s="920">
        <f t="shared" si="2495"/>
        <v>-0.12003533463143669</v>
      </c>
      <c r="BZ264" s="920">
        <f t="shared" si="2495"/>
        <v>-0.12908292226544552</v>
      </c>
      <c r="CA264" s="920">
        <f t="shared" si="2495"/>
        <v>-4.2684626039194137E-2</v>
      </c>
      <c r="CB264" s="920">
        <f t="shared" si="2495"/>
        <v>-6.5777274008298234E-2</v>
      </c>
      <c r="CC264" s="920">
        <f t="shared" si="2495"/>
        <v>-0.13523438851746078</v>
      </c>
      <c r="CD264" s="920">
        <f t="shared" si="2495"/>
        <v>-0.14189346325965718</v>
      </c>
      <c r="CE264" s="920">
        <f t="shared" si="2495"/>
        <v>-0.12370866687908155</v>
      </c>
      <c r="CF264" s="920">
        <f t="shared" si="2495"/>
        <v>-0.13702133475617609</v>
      </c>
      <c r="CG264" s="920">
        <f t="shared" si="2495"/>
        <v>-0.1676747289590485</v>
      </c>
      <c r="CH264" s="920">
        <f t="shared" si="2495"/>
        <v>-0.22121375833319501</v>
      </c>
      <c r="CI264" s="920">
        <f t="shared" ref="CI264:CL264" si="2496">+CI139/CI131</f>
        <v>-0.14447864134738511</v>
      </c>
      <c r="CJ264" s="920">
        <f t="shared" si="2496"/>
        <v>-0.14051382496841863</v>
      </c>
      <c r="CK264" s="920">
        <f t="shared" si="2496"/>
        <v>-0.14746180304845494</v>
      </c>
      <c r="CL264" s="920">
        <f t="shared" si="2496"/>
        <v>-0.10092998424730146</v>
      </c>
      <c r="CM264" s="920">
        <f t="shared" ref="CM264:CP264" si="2497">+CM139/CM131</f>
        <v>-0.11217344394897122</v>
      </c>
      <c r="CN264" s="920">
        <f t="shared" si="2497"/>
        <v>-0.13325470803057257</v>
      </c>
      <c r="CO264" s="920">
        <f t="shared" si="2497"/>
        <v>-0.17286703884511156</v>
      </c>
      <c r="CP264" s="920">
        <f t="shared" si="2497"/>
        <v>-0.13290193170607534</v>
      </c>
      <c r="CQ264" s="920"/>
      <c r="CR264" s="920">
        <v>-0.10092998424730146</v>
      </c>
      <c r="CT264" s="920"/>
      <c r="CU264" s="920"/>
      <c r="CV264" s="920"/>
      <c r="CW264" s="920"/>
      <c r="CX264" s="920">
        <f t="shared" ref="CX264:DU264" si="2498">+CX139/CX131</f>
        <v>-5.1925574694273405E-2</v>
      </c>
      <c r="CY264" s="920">
        <f t="shared" si="2498"/>
        <v>0.16154215750368797</v>
      </c>
      <c r="CZ264" s="920">
        <f t="shared" si="2498"/>
        <v>-3.5536966405342032E-3</v>
      </c>
      <c r="DA264" s="920">
        <f t="shared" si="2498"/>
        <v>-0.35794579232152751</v>
      </c>
      <c r="DB264" s="920">
        <f t="shared" si="2498"/>
        <v>-6.1829078450441409E-2</v>
      </c>
      <c r="DC264" s="920">
        <f t="shared" si="2498"/>
        <v>0.31973002403412137</v>
      </c>
      <c r="DD264" s="920">
        <f t="shared" si="2498"/>
        <v>0.39143973750757594</v>
      </c>
      <c r="DE264" s="920">
        <f t="shared" si="2498"/>
        <v>0.37373911246133701</v>
      </c>
      <c r="DF264" s="920">
        <f t="shared" si="2498"/>
        <v>0.33183060333072101</v>
      </c>
      <c r="DG264" s="920">
        <f t="shared" si="2498"/>
        <v>0.27229912996248501</v>
      </c>
      <c r="DH264" s="920">
        <f t="shared" si="2498"/>
        <v>0.1862018211973766</v>
      </c>
      <c r="DI264" s="920">
        <f t="shared" si="2498"/>
        <v>0.11963850013900257</v>
      </c>
      <c r="DJ264" s="920">
        <f t="shared" si="2498"/>
        <v>5.3138618832745656E-2</v>
      </c>
      <c r="DK264" s="920">
        <f t="shared" si="2498"/>
        <v>0.12126456321335624</v>
      </c>
      <c r="DL264" s="920">
        <f t="shared" si="2498"/>
        <v>-0.35695613299249518</v>
      </c>
      <c r="DM264" s="920">
        <f t="shared" si="2498"/>
        <v>-0.12908292226544552</v>
      </c>
      <c r="DN264" s="920">
        <f t="shared" si="2498"/>
        <v>-0.14189346325965718</v>
      </c>
      <c r="DO264" s="920">
        <f t="shared" si="2498"/>
        <v>-0.22121375833319501</v>
      </c>
      <c r="DP264" s="920">
        <f t="shared" ref="DP264:DQ264" si="2499">+DP139/DP131</f>
        <v>-0.10092998424730146</v>
      </c>
      <c r="DQ264" s="920">
        <f t="shared" si="2499"/>
        <v>-0.13290193170607534</v>
      </c>
      <c r="DR264" s="920">
        <f t="shared" si="2498"/>
        <v>-0.15661000269339842</v>
      </c>
      <c r="DS264" s="920">
        <f t="shared" si="2498"/>
        <v>-0.23126308160782208</v>
      </c>
      <c r="DT264" s="920">
        <f t="shared" si="2498"/>
        <v>-0.29721854268034037</v>
      </c>
      <c r="DU264" s="920">
        <f t="shared" si="2498"/>
        <v>-0.36290572102462554</v>
      </c>
      <c r="DX264" s="920">
        <v>-0.11546745042993578</v>
      </c>
      <c r="DY264" s="920">
        <v>-0.16832377066076601</v>
      </c>
    </row>
    <row r="265" spans="1:129" s="904" customFormat="1">
      <c r="A265" s="943"/>
      <c r="B265" s="1005" t="s">
        <v>528</v>
      </c>
      <c r="C265" s="1006" t="e">
        <f t="shared" ref="C265:O265" si="2500">+C139/(C39*4)</f>
        <v>#REF!</v>
      </c>
      <c r="D265" s="1006">
        <f t="shared" si="2500"/>
        <v>2.0615221539113842</v>
      </c>
      <c r="E265" s="1006">
        <f t="shared" si="2500"/>
        <v>9.1091210436270309</v>
      </c>
      <c r="F265" s="1006">
        <f t="shared" si="2500"/>
        <v>2.1267906620291224</v>
      </c>
      <c r="G265" s="1006">
        <f t="shared" si="2500"/>
        <v>2.8470963410540451</v>
      </c>
      <c r="H265" s="1006">
        <f t="shared" si="2500"/>
        <v>0.86603813262301976</v>
      </c>
      <c r="I265" s="1006">
        <f t="shared" si="2500"/>
        <v>-2.5865079365079366</v>
      </c>
      <c r="J265" s="1006">
        <f t="shared" si="2500"/>
        <v>-1.296376899819403</v>
      </c>
      <c r="K265" s="1006">
        <f t="shared" si="2500"/>
        <v>-0.92214461791290059</v>
      </c>
      <c r="L265" s="1006">
        <f t="shared" si="2500"/>
        <v>-0.87380663830629202</v>
      </c>
      <c r="M265" s="1006">
        <f t="shared" si="2500"/>
        <v>-1.0798050444360996</v>
      </c>
      <c r="N265" s="1006">
        <f t="shared" si="2500"/>
        <v>-0.82544390351499108</v>
      </c>
      <c r="O265" s="1006">
        <f t="shared" si="2500"/>
        <v>-0.8450719845142558</v>
      </c>
      <c r="P265" s="1006">
        <f t="shared" ref="P265:AU265" si="2501">+P139/(P39)</f>
        <v>-2.2994717878756079</v>
      </c>
      <c r="Q265" s="1006">
        <f t="shared" si="2501"/>
        <v>-3.2927984768988954</v>
      </c>
      <c r="R265" s="1006">
        <f t="shared" si="2501"/>
        <v>-0.45102659949076329</v>
      </c>
      <c r="S265" s="1006">
        <f t="shared" si="2501"/>
        <v>-2.7624879326989382</v>
      </c>
      <c r="T265" s="1006">
        <f t="shared" si="2501"/>
        <v>-1.1679240989374551</v>
      </c>
      <c r="U265" s="1006">
        <f t="shared" si="2501"/>
        <v>-0.52889770140265846</v>
      </c>
      <c r="V265" s="1006">
        <f t="shared" si="2501"/>
        <v>2.1908984082897125</v>
      </c>
      <c r="W265" s="1006">
        <f t="shared" si="2501"/>
        <v>10.291492486724664</v>
      </c>
      <c r="X265" s="1006">
        <f t="shared" si="2501"/>
        <v>1.5058236040786153</v>
      </c>
      <c r="Y265" s="1006">
        <f t="shared" si="2501"/>
        <v>0.11522713979333203</v>
      </c>
      <c r="Z265" s="1006">
        <f t="shared" si="2501"/>
        <v>-2.3137008107207639E-2</v>
      </c>
      <c r="AA265" s="1006">
        <f t="shared" si="2501"/>
        <v>0.29663877294242175</v>
      </c>
      <c r="AB265" s="1006">
        <f t="shared" si="2501"/>
        <v>0.51536478831936539</v>
      </c>
      <c r="AC265" s="1006">
        <f t="shared" si="2501"/>
        <v>0.10850650015354693</v>
      </c>
      <c r="AD265" s="1006">
        <f t="shared" si="2501"/>
        <v>-2.4546584093363344</v>
      </c>
      <c r="AE265" s="1006">
        <f t="shared" si="2501"/>
        <v>-5.7313872568109856</v>
      </c>
      <c r="AF265" s="1006">
        <f t="shared" si="2501"/>
        <v>-0.50494415546695492</v>
      </c>
      <c r="AG265" s="1006">
        <f t="shared" si="2501"/>
        <v>-1.3752707816781939</v>
      </c>
      <c r="AH265" s="1006">
        <f t="shared" si="2501"/>
        <v>-0.47579783576800616</v>
      </c>
      <c r="AI265" s="1006">
        <f t="shared" si="2501"/>
        <v>1.5576298041764849</v>
      </c>
      <c r="AJ265" s="1006">
        <f t="shared" si="2501"/>
        <v>1.6634471597345848</v>
      </c>
      <c r="AK265" s="1006">
        <f t="shared" si="2501"/>
        <v>3.0604167988614597</v>
      </c>
      <c r="AL265" s="1006">
        <f t="shared" si="2501"/>
        <v>2.5491008441055336</v>
      </c>
      <c r="AM265" s="1006">
        <f t="shared" si="2501"/>
        <v>17.375295060311366</v>
      </c>
      <c r="AN265" s="1006">
        <f t="shared" si="2501"/>
        <v>6.2443193728918001</v>
      </c>
      <c r="AO265" s="1006">
        <f t="shared" si="2501"/>
        <v>9.4914399804858665</v>
      </c>
      <c r="AP265" s="1006">
        <f t="shared" si="2501"/>
        <v>2.8974228536919862</v>
      </c>
      <c r="AQ265" s="1006">
        <f t="shared" si="2501"/>
        <v>6.5225735729059551</v>
      </c>
      <c r="AR265" s="1006">
        <f t="shared" si="2501"/>
        <v>3.991619818655042</v>
      </c>
      <c r="AS265" s="1006">
        <f t="shared" si="2501"/>
        <v>4.8181215229764929</v>
      </c>
      <c r="AT265" s="1006">
        <f t="shared" si="2501"/>
        <v>2.2358614652380937</v>
      </c>
      <c r="AU265" s="1006">
        <f t="shared" si="2501"/>
        <v>6.4876318281471441</v>
      </c>
      <c r="AV265" s="1006">
        <f t="shared" ref="AV265:CA265" si="2502">+AV139/(AV39)</f>
        <v>4.253860864518944</v>
      </c>
      <c r="AW265" s="1006">
        <f t="shared" si="2502"/>
        <v>6.0299389482015728</v>
      </c>
      <c r="AX265" s="1006">
        <f t="shared" si="2502"/>
        <v>2.4905025491649968</v>
      </c>
      <c r="AY265" s="1006">
        <f t="shared" si="2502"/>
        <v>6.5680094349641438</v>
      </c>
      <c r="AZ265" s="1007">
        <f t="shared" si="2502"/>
        <v>3.6804600267337588</v>
      </c>
      <c r="BA265" s="1006">
        <f t="shared" si="2502"/>
        <v>5.4945601550864085</v>
      </c>
      <c r="BB265" s="1006">
        <f t="shared" si="2502"/>
        <v>1.7738227301220628</v>
      </c>
      <c r="BC265" s="1006">
        <f t="shared" si="2502"/>
        <v>6.3571007371007369</v>
      </c>
      <c r="BD265" s="1006">
        <f t="shared" si="2502"/>
        <v>3.1181994455394775</v>
      </c>
      <c r="BE265" s="1006">
        <f t="shared" si="2502"/>
        <v>3.1149024756059123</v>
      </c>
      <c r="BF265" s="1006">
        <f t="shared" si="2502"/>
        <v>1.2597004347170129</v>
      </c>
      <c r="BG265" s="1006">
        <f t="shared" si="2502"/>
        <v>4.0113774738318098</v>
      </c>
      <c r="BH265" s="1006">
        <f t="shared" si="2502"/>
        <v>2.4994946651696832</v>
      </c>
      <c r="BI265" s="1006">
        <f t="shared" si="2502"/>
        <v>2.4227085554048768</v>
      </c>
      <c r="BJ265" s="1006">
        <f t="shared" si="2502"/>
        <v>0.74225813507848937</v>
      </c>
      <c r="BK265" s="1006">
        <f t="shared" si="2502"/>
        <v>1.8245450291941632</v>
      </c>
      <c r="BL265" s="1006">
        <f t="shared" si="2502"/>
        <v>1.5961791195491568</v>
      </c>
      <c r="BM265" s="1006">
        <f t="shared" si="2502"/>
        <v>1.442480527917094</v>
      </c>
      <c r="BN265" s="1006">
        <f t="shared" si="2502"/>
        <v>0.29267044192402913</v>
      </c>
      <c r="BO265" s="1006">
        <f t="shared" si="2502"/>
        <v>3.5911562177146785</v>
      </c>
      <c r="BP265" s="1006">
        <f t="shared" si="2502"/>
        <v>1.8503553141301807</v>
      </c>
      <c r="BQ265" s="1006">
        <f t="shared" si="2502"/>
        <v>15.384559572479036</v>
      </c>
      <c r="BR265" s="1006">
        <f t="shared" si="2502"/>
        <v>0.97932713912506919</v>
      </c>
      <c r="BS265" s="1006">
        <f t="shared" si="2502"/>
        <v>34.689596300906992</v>
      </c>
      <c r="BT265" s="1006">
        <f t="shared" si="2502"/>
        <v>-4.7086007539251069</v>
      </c>
      <c r="BU265" s="1006">
        <f t="shared" si="2502"/>
        <v>-5.5736642150179794</v>
      </c>
      <c r="BV265" s="1006">
        <f t="shared" si="2502"/>
        <v>-3.2810964126217534</v>
      </c>
      <c r="BW265" s="1006">
        <f t="shared" si="2502"/>
        <v>-5.1995766380202282</v>
      </c>
      <c r="BX265" s="1006">
        <f t="shared" si="2502"/>
        <v>-1.8637580721373446</v>
      </c>
      <c r="BY265" s="1006">
        <f t="shared" si="2502"/>
        <v>-2.2084733055710979</v>
      </c>
      <c r="BZ265" s="1006">
        <f t="shared" si="2502"/>
        <v>-1.2414820356512568</v>
      </c>
      <c r="CA265" s="1006">
        <f t="shared" si="2502"/>
        <v>-1.6187997164342036</v>
      </c>
      <c r="CB265" s="1006">
        <f t="shared" ref="CB265:CH265" si="2503">+CB139/(CB39)</f>
        <v>-1.2177161401293854</v>
      </c>
      <c r="CC265" s="1006">
        <f t="shared" si="2503"/>
        <v>-3.1256708445550312</v>
      </c>
      <c r="CD265" s="1006">
        <f t="shared" si="2503"/>
        <v>-1.3355627853246528</v>
      </c>
      <c r="CE265" s="1006">
        <f t="shared" si="2503"/>
        <v>-2.7413469653233564</v>
      </c>
      <c r="CF265" s="1006">
        <f t="shared" si="2503"/>
        <v>-1.7536073441965221</v>
      </c>
      <c r="CG265" s="1006">
        <f t="shared" si="2503"/>
        <v>-2.4483042152163832</v>
      </c>
      <c r="CH265" s="1006">
        <f t="shared" si="2503"/>
        <v>-2.1182726711619941</v>
      </c>
      <c r="CI265" s="1006">
        <f t="shared" ref="CI265:CL265" si="2504">+CI139/(CI39)</f>
        <v>-2.087267737911298</v>
      </c>
      <c r="CJ265" s="1006">
        <f t="shared" si="2504"/>
        <v>-1.3623432700624536</v>
      </c>
      <c r="CK265" s="1006">
        <f t="shared" si="2504"/>
        <v>-2.1508691088754066</v>
      </c>
      <c r="CL265" s="1006">
        <f t="shared" si="2504"/>
        <v>-0.95746858192913897</v>
      </c>
      <c r="CM265" s="1006">
        <f t="shared" ref="CM265:CP265" si="2505">+CM139/(CM39)</f>
        <v>-1.863178504059174</v>
      </c>
      <c r="CN265" s="1006">
        <f t="shared" si="2505"/>
        <v>-1.4540774872832887</v>
      </c>
      <c r="CO265" s="1006">
        <f t="shared" si="2505"/>
        <v>-2.464255735798492</v>
      </c>
      <c r="CP265" s="1006">
        <f t="shared" si="2505"/>
        <v>-1.1675197030589504</v>
      </c>
      <c r="CQ265" s="1006"/>
      <c r="CR265" s="1006">
        <v>-0.95746858192913897</v>
      </c>
      <c r="CT265" s="1006"/>
      <c r="CU265" s="1006"/>
      <c r="CV265" s="1006"/>
      <c r="CW265" s="1006"/>
      <c r="CX265" s="1006">
        <f t="shared" ref="CX265:DU265" si="2506">+CX139/(CX39)</f>
        <v>-0.16569972832847377</v>
      </c>
      <c r="CY265" s="1006">
        <f t="shared" si="2506"/>
        <v>0.7186774128954746</v>
      </c>
      <c r="CZ265" s="1006">
        <f t="shared" si="2506"/>
        <v>-1.154760013155026E-2</v>
      </c>
      <c r="DA265" s="1006">
        <f t="shared" si="2506"/>
        <v>-0.9169143215390485</v>
      </c>
      <c r="DB265" s="1006">
        <f t="shared" si="2506"/>
        <v>-0.18889250506556357</v>
      </c>
      <c r="DC265" s="1006">
        <f t="shared" si="2506"/>
        <v>1.1177755923111308</v>
      </c>
      <c r="DD265" s="1006">
        <f t="shared" si="2506"/>
        <v>1.4974001974066544</v>
      </c>
      <c r="DE265" s="1006">
        <f t="shared" si="2506"/>
        <v>0.92540731103239271</v>
      </c>
      <c r="DF265" s="1006">
        <f t="shared" si="2506"/>
        <v>0.96379619347141343</v>
      </c>
      <c r="DG265" s="1006">
        <f t="shared" si="2506"/>
        <v>0.75418119712312504</v>
      </c>
      <c r="DH265" s="1006">
        <f t="shared" si="2506"/>
        <v>0.50700173904939028</v>
      </c>
      <c r="DI265" s="1006">
        <f t="shared" si="2506"/>
        <v>0.31018485395046796</v>
      </c>
      <c r="DJ265" s="1006">
        <f t="shared" si="2506"/>
        <v>0.11664321487684602</v>
      </c>
      <c r="DK265" s="1006">
        <f t="shared" si="2506"/>
        <v>0.44083958132284168</v>
      </c>
      <c r="DL265" s="1006">
        <f t="shared" si="2506"/>
        <v>-1.4666100076330268</v>
      </c>
      <c r="DM265" s="1006">
        <f t="shared" si="2506"/>
        <v>-0.45730640283185847</v>
      </c>
      <c r="DN265" s="1006">
        <f t="shared" si="2506"/>
        <v>-0.60688354326075966</v>
      </c>
      <c r="DO265" s="1006">
        <f t="shared" si="2506"/>
        <v>-0.74304763943484964</v>
      </c>
      <c r="DP265" s="1006">
        <f t="shared" ref="DP265:DQ265" si="2507">+DP139/(DP39)</f>
        <v>-0.30447222001700425</v>
      </c>
      <c r="DQ265" s="1006">
        <f t="shared" si="2507"/>
        <v>-0.4097607759089642</v>
      </c>
      <c r="DR265" s="1006">
        <f t="shared" si="2506"/>
        <v>-0.41377238030119212</v>
      </c>
      <c r="DS265" s="1006">
        <f t="shared" si="2506"/>
        <v>-0.58492840978533633</v>
      </c>
      <c r="DT265" s="1006">
        <f t="shared" si="2506"/>
        <v>-0.72532347946841969</v>
      </c>
      <c r="DU265" s="1006">
        <f t="shared" si="2506"/>
        <v>-0.85872265183326646</v>
      </c>
      <c r="DX265" s="1006">
        <v>-0.33436126049603893</v>
      </c>
      <c r="DY265" s="1006">
        <v>-0.43365075813962761</v>
      </c>
    </row>
    <row r="266" spans="1:129" s="904" customFormat="1">
      <c r="A266" s="939"/>
      <c r="B266" s="912" t="s">
        <v>529</v>
      </c>
      <c r="C266" s="920" t="e">
        <f t="shared" ref="C266:O266" si="2508">+(C111/4-C52+C53+C54-C55)/C39</f>
        <v>#VALUE!</v>
      </c>
      <c r="D266" s="920">
        <f t="shared" si="2508"/>
        <v>4.7229913080347679</v>
      </c>
      <c r="E266" s="920">
        <f t="shared" si="2508"/>
        <v>2.6459046193327631</v>
      </c>
      <c r="F266" s="920">
        <f t="shared" si="2508"/>
        <v>3.8393709839061487</v>
      </c>
      <c r="G266" s="920">
        <f t="shared" si="2508"/>
        <v>5.6494768938122411</v>
      </c>
      <c r="H266" s="920">
        <f t="shared" si="2508"/>
        <v>-0.46200056077386792</v>
      </c>
      <c r="I266" s="920">
        <f t="shared" si="2508"/>
        <v>1.5681697931697931</v>
      </c>
      <c r="J266" s="920">
        <f t="shared" si="2508"/>
        <v>0.23774375519977273</v>
      </c>
      <c r="K266" s="920">
        <f t="shared" si="2508"/>
        <v>5.8095624486442068</v>
      </c>
      <c r="L266" s="920">
        <f t="shared" si="2508"/>
        <v>0.29419148199445982</v>
      </c>
      <c r="M266" s="920">
        <f t="shared" si="2508"/>
        <v>1.1502456502691201</v>
      </c>
      <c r="N266" s="920">
        <f t="shared" si="2508"/>
        <v>0.15360164484567757</v>
      </c>
      <c r="O266" s="920">
        <f t="shared" si="2508"/>
        <v>7.2431745775698673</v>
      </c>
      <c r="P266" s="920">
        <f t="shared" ref="P266:AU266" si="2509">+(P111-P52+P53+P54-P55)/P39</f>
        <v>1.1827054255430791</v>
      </c>
      <c r="Q266" s="920">
        <f t="shared" si="2509"/>
        <v>3.2446923911359056</v>
      </c>
      <c r="R266" s="920">
        <f t="shared" si="2509"/>
        <v>6.2048458746410962</v>
      </c>
      <c r="S266" s="920">
        <f t="shared" si="2509"/>
        <v>1.7752861674251827</v>
      </c>
      <c r="T266" s="920">
        <f t="shared" si="2509"/>
        <v>3.4671521347173839</v>
      </c>
      <c r="U266" s="920">
        <f t="shared" si="2509"/>
        <v>4.9371618809821056</v>
      </c>
      <c r="V266" s="920">
        <f t="shared" si="2509"/>
        <v>8.1561951561951567</v>
      </c>
      <c r="W266" s="920">
        <f t="shared" si="2509"/>
        <v>17.582250593153315</v>
      </c>
      <c r="X266" s="920">
        <f t="shared" si="2509"/>
        <v>3.171248831791996</v>
      </c>
      <c r="Y266" s="920">
        <f t="shared" si="2509"/>
        <v>5.0417885227789689</v>
      </c>
      <c r="Z266" s="920">
        <f t="shared" si="2509"/>
        <v>3.5997482693517937</v>
      </c>
      <c r="AA266" s="920">
        <f t="shared" si="2509"/>
        <v>9.1319526272692784</v>
      </c>
      <c r="AB266" s="920">
        <f t="shared" si="2509"/>
        <v>3.7807488694417435</v>
      </c>
      <c r="AC266" s="920">
        <f t="shared" si="2509"/>
        <v>5.3172535571706421</v>
      </c>
      <c r="AD266" s="920">
        <f t="shared" si="2509"/>
        <v>2.5836445011123979</v>
      </c>
      <c r="AE266" s="920">
        <f t="shared" si="2509"/>
        <v>4.1523222540171689</v>
      </c>
      <c r="AF266" s="920">
        <f t="shared" si="2509"/>
        <v>1.1320201726823851</v>
      </c>
      <c r="AG266" s="920">
        <f t="shared" si="2509"/>
        <v>3.9887772412893123</v>
      </c>
      <c r="AH266" s="920">
        <f t="shared" si="2509"/>
        <v>2.0681426319853604</v>
      </c>
      <c r="AI266" s="920">
        <f t="shared" si="2509"/>
        <v>10.014666449987812</v>
      </c>
      <c r="AJ266" s="920">
        <f t="shared" si="2509"/>
        <v>2.4003301505097911</v>
      </c>
      <c r="AK266" s="920">
        <f t="shared" si="2509"/>
        <v>4.6149097600551094</v>
      </c>
      <c r="AL266" s="920">
        <f t="shared" si="2509"/>
        <v>3.3907189169351222</v>
      </c>
      <c r="AM266" s="920">
        <f t="shared" si="2509"/>
        <v>19.471468479979162</v>
      </c>
      <c r="AN266" s="920">
        <f t="shared" si="2509"/>
        <v>5.6402068339039904</v>
      </c>
      <c r="AO266" s="920">
        <f t="shared" si="2509"/>
        <v>8.6094643550849685</v>
      </c>
      <c r="AP266" s="920">
        <f t="shared" si="2509"/>
        <v>2.7671524660342053</v>
      </c>
      <c r="AQ266" s="920">
        <f t="shared" si="2509"/>
        <v>5.7110000575641235</v>
      </c>
      <c r="AR266" s="920">
        <f t="shared" si="2509"/>
        <v>1.8952951170890038</v>
      </c>
      <c r="AS266" s="920">
        <f t="shared" si="2509"/>
        <v>2.7022863941859345</v>
      </c>
      <c r="AT266" s="920">
        <f t="shared" si="2509"/>
        <v>1.5943199190792274</v>
      </c>
      <c r="AU266" s="920">
        <f t="shared" si="2509"/>
        <v>4.6374245115403072</v>
      </c>
      <c r="AV266" s="920">
        <f t="shared" ref="AV266:CA266" si="2510">+(AV111-AV52+AV53+AV54-AV55)/AV39</f>
        <v>2.6561398837801673</v>
      </c>
      <c r="AW266" s="920">
        <f t="shared" si="2510"/>
        <v>4.4255972893535089</v>
      </c>
      <c r="AX266" s="920">
        <f t="shared" si="2510"/>
        <v>1.7186357046076914</v>
      </c>
      <c r="AY266" s="920">
        <f t="shared" si="2510"/>
        <v>4.9952378024582327</v>
      </c>
      <c r="AZ266" s="927">
        <f t="shared" si="2510"/>
        <v>3.0706984838466846</v>
      </c>
      <c r="BA266" s="920">
        <f t="shared" si="2510"/>
        <v>5.1094304829901418</v>
      </c>
      <c r="BB266" s="920">
        <f t="shared" si="2510"/>
        <v>2.2160982643641818</v>
      </c>
      <c r="BC266" s="920">
        <f t="shared" si="2510"/>
        <v>6.6822935567021569</v>
      </c>
      <c r="BD266" s="920">
        <f t="shared" si="2510"/>
        <v>3.1225849184601167</v>
      </c>
      <c r="BE266" s="920">
        <f t="shared" si="2510"/>
        <v>1.811387025150937</v>
      </c>
      <c r="BF266" s="920">
        <f t="shared" si="2510"/>
        <v>1.4080845038257488</v>
      </c>
      <c r="BG266" s="920">
        <f t="shared" si="2510"/>
        <v>3.9038798210764116</v>
      </c>
      <c r="BH266" s="920">
        <f t="shared" si="2510"/>
        <v>2.9030931875090635</v>
      </c>
      <c r="BI266" s="920">
        <f t="shared" si="2510"/>
        <v>3.4397032187905907</v>
      </c>
      <c r="BJ266" s="920">
        <f t="shared" si="2510"/>
        <v>2.3276137245678767</v>
      </c>
      <c r="BK266" s="920">
        <f t="shared" si="2510"/>
        <v>3.7371014436245602</v>
      </c>
      <c r="BL266" s="920">
        <f t="shared" si="2510"/>
        <v>1.6175488379650576</v>
      </c>
      <c r="BM266" s="920">
        <f t="shared" si="2510"/>
        <v>1.3701359135052547</v>
      </c>
      <c r="BN266" s="920">
        <f t="shared" si="2510"/>
        <v>1.0618391147084834</v>
      </c>
      <c r="BO266" s="920">
        <f t="shared" si="2510"/>
        <v>8.2113651249426916</v>
      </c>
      <c r="BP266" s="920">
        <f t="shared" si="2510"/>
        <v>3.5482744845168575</v>
      </c>
      <c r="BQ266" s="920">
        <f t="shared" si="2510"/>
        <v>19.551334692684424</v>
      </c>
      <c r="BR266" s="920">
        <f t="shared" si="2510"/>
        <v>1.6756121258429313</v>
      </c>
      <c r="BS266" s="920">
        <f t="shared" si="2510"/>
        <v>24.378253531492796</v>
      </c>
      <c r="BT266" s="920">
        <f t="shared" si="2510"/>
        <v>2.8390927954594476</v>
      </c>
      <c r="BU266" s="920">
        <f t="shared" si="2510"/>
        <v>0.84958933297979045</v>
      </c>
      <c r="BV266" s="920">
        <f t="shared" si="2510"/>
        <v>2.8360871071039391</v>
      </c>
      <c r="BW266" s="920">
        <f t="shared" si="2510"/>
        <v>6.8130031529309427</v>
      </c>
      <c r="BX266" s="920">
        <f t="shared" si="2510"/>
        <v>2.5007464608511447</v>
      </c>
      <c r="BY266" s="920">
        <f t="shared" si="2510"/>
        <v>3.3521562691531757</v>
      </c>
      <c r="BZ266" s="920">
        <f t="shared" si="2510"/>
        <v>0.58010475821158081</v>
      </c>
      <c r="CA266" s="920">
        <f t="shared" si="2510"/>
        <v>4.5902061291624907</v>
      </c>
      <c r="CB266" s="920">
        <f t="shared" ref="CB266:CH266" si="2511">+(CB111-CB52+CB53+CB54-CB55)/CB39</f>
        <v>1.748935118485377</v>
      </c>
      <c r="CC266" s="920">
        <f t="shared" si="2511"/>
        <v>0.85079169255413944</v>
      </c>
      <c r="CD266" s="920">
        <f t="shared" si="2511"/>
        <v>1.1986666084082538</v>
      </c>
      <c r="CE266" s="920">
        <f t="shared" si="2511"/>
        <v>1.8180049076268565</v>
      </c>
      <c r="CF266" s="920">
        <f t="shared" si="2511"/>
        <v>1.2142967041796955</v>
      </c>
      <c r="CG266" s="920">
        <f t="shared" si="2511"/>
        <v>1.1214956332787149</v>
      </c>
      <c r="CH266" s="920">
        <f t="shared" si="2511"/>
        <v>0.85453274210497443</v>
      </c>
      <c r="CI266" s="920">
        <f t="shared" ref="CI266:CL266" si="2512">+(CI111-CI52+CI53+CI54-CI55)/CI39</f>
        <v>0.58160771741306105</v>
      </c>
      <c r="CJ266" s="920">
        <f t="shared" si="2512"/>
        <v>0.40969035150703914</v>
      </c>
      <c r="CK266" s="920">
        <f t="shared" si="2512"/>
        <v>0.31782352407753972</v>
      </c>
      <c r="CL266" s="920">
        <f t="shared" si="2512"/>
        <v>0.71027371501886871</v>
      </c>
      <c r="CM266" s="920">
        <f t="shared" ref="CM266:CP266" si="2513">+(CM111-CM52+CM53+CM54-CM55)/CM39</f>
        <v>0.15561455442384722</v>
      </c>
      <c r="CN266" s="920">
        <f t="shared" si="2513"/>
        <v>0.18220606184734287</v>
      </c>
      <c r="CO266" s="920">
        <f t="shared" si="2513"/>
        <v>-0.14337313888286116</v>
      </c>
      <c r="CP266" s="920">
        <f t="shared" si="2513"/>
        <v>0.80367216655332763</v>
      </c>
      <c r="CQ266" s="920"/>
      <c r="CR266" s="920">
        <v>0.71027371501886871</v>
      </c>
      <c r="CT266" s="920"/>
      <c r="CU266" s="920"/>
      <c r="CV266" s="920"/>
      <c r="CW266" s="920"/>
      <c r="CX266" s="920">
        <f t="shared" ref="CX266:DU266" si="2514">+(CX111-CX52+CX53+CX54-CX55)/CX39</f>
        <v>2.9397944053578002</v>
      </c>
      <c r="CY266" s="920">
        <f t="shared" si="2514"/>
        <v>3.1136113336003204</v>
      </c>
      <c r="CZ266" s="920">
        <f t="shared" si="2514"/>
        <v>1.6780787749566735</v>
      </c>
      <c r="DA266" s="920">
        <f t="shared" si="2514"/>
        <v>1.4217997847042843</v>
      </c>
      <c r="DB266" s="920">
        <f t="shared" si="2514"/>
        <v>1.2398148050939095</v>
      </c>
      <c r="DC266" s="920">
        <f t="shared" si="2514"/>
        <v>2.3001734465802408</v>
      </c>
      <c r="DD266" s="920">
        <f t="shared" si="2514"/>
        <v>2.0747301032848831</v>
      </c>
      <c r="DE266" s="920">
        <f t="shared" si="2514"/>
        <v>1.0617276170138656</v>
      </c>
      <c r="DF266" s="920">
        <f t="shared" si="2514"/>
        <v>1.2403026821642877</v>
      </c>
      <c r="DG266" s="920">
        <f t="shared" si="2514"/>
        <v>1.1445399673025878</v>
      </c>
      <c r="DH266" s="920">
        <f t="shared" si="2514"/>
        <v>0.85239886597300729</v>
      </c>
      <c r="DI266" s="920">
        <f t="shared" si="2514"/>
        <v>1.3515553849450372</v>
      </c>
      <c r="DJ266" s="920">
        <f t="shared" si="2514"/>
        <v>0.77257729074174608</v>
      </c>
      <c r="DK266" s="920">
        <f t="shared" si="2514"/>
        <v>1.424774425346959</v>
      </c>
      <c r="DL266" s="920">
        <f t="shared" si="2514"/>
        <v>1.8830129795788155</v>
      </c>
      <c r="DM266" s="920">
        <f t="shared" si="2514"/>
        <v>0.90054460363685329</v>
      </c>
      <c r="DN266" s="920">
        <f t="shared" si="2514"/>
        <v>0.72398877026564623</v>
      </c>
      <c r="DO266" s="920">
        <f t="shared" si="2514"/>
        <v>0.49110676492543709</v>
      </c>
      <c r="DP266" s="920">
        <f t="shared" ref="DP266:DQ266" si="2515">+(DP111-DP52+DP53+DP54-DP55)/DP39</f>
        <v>0.52046070513084297</v>
      </c>
      <c r="DQ266" s="920">
        <f t="shared" si="2515"/>
        <v>0.3302551058892188</v>
      </c>
      <c r="DR266" s="920">
        <f t="shared" si="2514"/>
        <v>0.32455410369425819</v>
      </c>
      <c r="DS266" s="920">
        <f t="shared" si="2514"/>
        <v>0.29686159387952271</v>
      </c>
      <c r="DT266" s="920">
        <f t="shared" si="2514"/>
        <v>0.29092632853891587</v>
      </c>
      <c r="DU266" s="920">
        <f t="shared" si="2514"/>
        <v>0.28561688869206725</v>
      </c>
      <c r="DX266" s="920">
        <v>0.3493469479619708</v>
      </c>
      <c r="DY266" s="920">
        <v>0.32790637362889757</v>
      </c>
    </row>
    <row r="267" spans="1:129" s="904" customFormat="1">
      <c r="A267" s="592"/>
      <c r="B267" s="592"/>
      <c r="C267" s="592"/>
      <c r="D267" s="592"/>
      <c r="E267" s="592"/>
      <c r="F267" s="592"/>
      <c r="G267" s="592"/>
      <c r="H267" s="592"/>
      <c r="I267" s="592"/>
      <c r="J267" s="592"/>
      <c r="K267" s="592"/>
      <c r="L267" s="592"/>
      <c r="M267" s="592"/>
      <c r="N267" s="592"/>
      <c r="O267" s="592"/>
      <c r="P267" s="592"/>
      <c r="Q267" s="592"/>
      <c r="R267" s="592"/>
      <c r="S267" s="592"/>
      <c r="T267" s="592"/>
      <c r="U267" s="592"/>
      <c r="V267" s="592"/>
      <c r="W267" s="592"/>
      <c r="X267" s="592"/>
      <c r="Y267" s="592"/>
      <c r="Z267" s="592"/>
      <c r="AA267" s="592"/>
      <c r="AB267" s="592"/>
      <c r="AC267" s="592"/>
      <c r="AD267" s="592"/>
      <c r="AE267" s="592"/>
      <c r="AF267" s="592"/>
      <c r="AG267" s="592"/>
      <c r="AH267" s="592"/>
      <c r="AI267" s="592"/>
      <c r="AJ267" s="592"/>
      <c r="AK267" s="592"/>
      <c r="AL267" s="592"/>
      <c r="AM267" s="592"/>
      <c r="AN267" s="592"/>
      <c r="AO267" s="592"/>
      <c r="AP267" s="592"/>
      <c r="AQ267" s="592"/>
      <c r="AR267" s="592"/>
      <c r="AS267" s="592"/>
      <c r="AT267" s="592"/>
      <c r="AU267" s="592"/>
      <c r="AV267" s="592"/>
      <c r="AW267" s="592"/>
      <c r="AX267" s="592"/>
      <c r="AY267" s="592"/>
      <c r="AZ267" s="910"/>
      <c r="BA267" s="592"/>
      <c r="BB267" s="592"/>
      <c r="BC267" s="592"/>
      <c r="BD267" s="592"/>
      <c r="BE267" s="592"/>
      <c r="BF267" s="592"/>
      <c r="BG267" s="592"/>
      <c r="BH267" s="592"/>
      <c r="BI267" s="592"/>
      <c r="BJ267" s="592"/>
      <c r="BK267" s="592"/>
      <c r="BL267" s="592"/>
      <c r="BM267" s="592"/>
      <c r="BN267" s="592"/>
      <c r="BO267" s="592"/>
      <c r="BP267" s="592"/>
      <c r="BQ267" s="592"/>
      <c r="BR267" s="592"/>
      <c r="BS267" s="592"/>
      <c r="BT267" s="592"/>
      <c r="BU267" s="592"/>
      <c r="BV267" s="592"/>
      <c r="BW267" s="592"/>
      <c r="BX267" s="592"/>
      <c r="BY267" s="592"/>
      <c r="BZ267" s="592"/>
      <c r="CA267" s="592"/>
      <c r="CB267" s="592"/>
      <c r="CC267" s="592"/>
      <c r="CD267" s="592"/>
      <c r="CE267" s="592"/>
      <c r="CF267" s="592"/>
      <c r="CG267" s="592"/>
      <c r="CH267" s="592"/>
      <c r="CI267" s="592"/>
      <c r="CJ267" s="592"/>
      <c r="CK267" s="592"/>
      <c r="CL267" s="592"/>
      <c r="CM267" s="592"/>
      <c r="CN267" s="592"/>
      <c r="CO267" s="592"/>
      <c r="CP267" s="592"/>
      <c r="CQ267" s="592"/>
      <c r="CR267" s="592"/>
      <c r="CT267" s="592"/>
      <c r="CU267" s="592"/>
      <c r="CV267" s="592"/>
      <c r="CW267" s="592"/>
      <c r="CX267" s="592"/>
      <c r="CY267" s="592"/>
      <c r="CZ267" s="592"/>
      <c r="DA267" s="592"/>
      <c r="DB267" s="592"/>
      <c r="DC267" s="592"/>
      <c r="DD267" s="592"/>
      <c r="DE267" s="592"/>
      <c r="DF267" s="592"/>
      <c r="DG267" s="592"/>
      <c r="DH267" s="592"/>
      <c r="DI267" s="592"/>
      <c r="DJ267" s="592"/>
      <c r="DK267" s="592"/>
      <c r="DL267" s="592"/>
      <c r="DM267" s="592"/>
      <c r="DN267" s="592"/>
      <c r="DO267" s="592"/>
      <c r="DP267" s="592"/>
      <c r="DQ267" s="592"/>
      <c r="DR267" s="592"/>
      <c r="DS267" s="592"/>
      <c r="DT267" s="592"/>
      <c r="DU267" s="592"/>
      <c r="DX267" s="592"/>
      <c r="DY267" s="592"/>
    </row>
    <row r="268" spans="1:129">
      <c r="A268" s="592"/>
      <c r="B268" s="958" t="s">
        <v>530</v>
      </c>
      <c r="C268" s="958"/>
      <c r="D268" s="958"/>
      <c r="E268" s="958"/>
      <c r="F268" s="958"/>
      <c r="G268" s="958"/>
      <c r="H268" s="958"/>
      <c r="I268" s="958"/>
      <c r="J268" s="958"/>
      <c r="K268" s="958"/>
      <c r="L268" s="958"/>
      <c r="M268" s="958"/>
      <c r="N268" s="958"/>
      <c r="O268" s="958"/>
      <c r="P268" s="958"/>
      <c r="Q268" s="958"/>
      <c r="R268" s="958"/>
      <c r="S268" s="958"/>
      <c r="T268" s="958"/>
      <c r="U268" s="958"/>
      <c r="V268" s="958"/>
      <c r="W268" s="958"/>
      <c r="X268" s="958"/>
      <c r="Y268" s="958"/>
      <c r="Z268" s="958"/>
      <c r="AA268" s="958"/>
      <c r="AB268" s="958"/>
      <c r="AC268" s="958"/>
      <c r="AD268" s="958"/>
      <c r="AE268" s="958"/>
      <c r="AF268" s="958"/>
      <c r="AG268" s="958"/>
      <c r="AH268" s="958"/>
      <c r="AI268" s="958"/>
      <c r="AJ268" s="958"/>
      <c r="AK268" s="958"/>
      <c r="AL268" s="958"/>
      <c r="AM268" s="958"/>
      <c r="AN268" s="958"/>
      <c r="AO268" s="958"/>
      <c r="AP268" s="958"/>
      <c r="AQ268" s="958"/>
      <c r="AR268" s="958"/>
      <c r="AS268" s="958"/>
      <c r="AT268" s="958"/>
      <c r="AU268" s="958"/>
      <c r="AV268" s="958"/>
      <c r="AW268" s="958"/>
      <c r="AX268" s="958"/>
      <c r="AY268" s="958"/>
      <c r="AZ268" s="959"/>
      <c r="BA268" s="958"/>
      <c r="BB268" s="958"/>
      <c r="BC268" s="958"/>
      <c r="BD268" s="958"/>
      <c r="BE268" s="958"/>
      <c r="BF268" s="958"/>
      <c r="BG268" s="958"/>
      <c r="BH268" s="958"/>
      <c r="BI268" s="958"/>
      <c r="BJ268" s="958"/>
      <c r="BK268" s="958"/>
      <c r="BL268" s="958"/>
      <c r="BM268" s="958"/>
      <c r="BN268" s="958"/>
      <c r="BO268" s="958"/>
      <c r="BP268" s="958"/>
      <c r="BQ268" s="958"/>
      <c r="BR268" s="958"/>
      <c r="BS268" s="958"/>
      <c r="BT268" s="958"/>
      <c r="BU268" s="958"/>
      <c r="BV268" s="958"/>
      <c r="BW268" s="958"/>
      <c r="BX268" s="958"/>
      <c r="BY268" s="958"/>
      <c r="BZ268" s="958"/>
      <c r="CA268" s="958"/>
      <c r="CB268" s="958"/>
      <c r="CC268" s="958"/>
      <c r="CD268" s="958"/>
      <c r="CE268" s="958"/>
      <c r="CF268" s="958"/>
      <c r="CG268" s="958"/>
      <c r="CH268" s="958"/>
      <c r="CI268" s="958"/>
      <c r="CJ268" s="958"/>
      <c r="CK268" s="958"/>
      <c r="CL268" s="958"/>
      <c r="CM268" s="958"/>
      <c r="CN268" s="958"/>
      <c r="CO268" s="958"/>
      <c r="CP268" s="958"/>
      <c r="CQ268" s="958"/>
      <c r="CR268" s="958"/>
      <c r="CT268" s="958"/>
      <c r="CU268" s="958"/>
      <c r="CV268" s="958"/>
      <c r="CW268" s="958"/>
      <c r="CX268" s="958"/>
      <c r="CY268" s="958"/>
      <c r="CZ268" s="958"/>
      <c r="DA268" s="958"/>
      <c r="DB268" s="958"/>
      <c r="DC268" s="958"/>
      <c r="DD268" s="958"/>
      <c r="DE268" s="958"/>
      <c r="DF268" s="958"/>
      <c r="DG268" s="958"/>
      <c r="DH268" s="958"/>
      <c r="DI268" s="958"/>
      <c r="DJ268" s="958"/>
      <c r="DK268" s="958"/>
      <c r="DL268" s="958"/>
      <c r="DM268" s="958"/>
      <c r="DN268" s="958"/>
      <c r="DO268" s="958"/>
      <c r="DP268" s="958"/>
      <c r="DQ268" s="958"/>
      <c r="DR268" s="958"/>
      <c r="DS268" s="958"/>
      <c r="DT268" s="958"/>
      <c r="DU268" s="958"/>
      <c r="DX268" s="958"/>
      <c r="DY268" s="958"/>
    </row>
    <row r="269" spans="1:129" s="904" customFormat="1">
      <c r="A269" s="939"/>
      <c r="B269" s="949" t="s">
        <v>531</v>
      </c>
      <c r="C269" s="592">
        <f t="shared" ref="C269:R269" si="2516">+C277+C287</f>
        <v>0</v>
      </c>
      <c r="D269" s="592">
        <f t="shared" si="2516"/>
        <v>0</v>
      </c>
      <c r="E269" s="592">
        <f t="shared" si="2516"/>
        <v>117535</v>
      </c>
      <c r="F269" s="592">
        <f t="shared" si="2516"/>
        <v>123148</v>
      </c>
      <c r="G269" s="592">
        <f t="shared" si="2516"/>
        <v>126338</v>
      </c>
      <c r="H269" s="592">
        <f t="shared" si="2516"/>
        <v>113815</v>
      </c>
      <c r="I269" s="592">
        <f t="shared" si="2516"/>
        <v>139066</v>
      </c>
      <c r="J269" s="592">
        <f t="shared" si="2516"/>
        <v>303423</v>
      </c>
      <c r="K269" s="592">
        <f t="shared" si="2516"/>
        <v>318728</v>
      </c>
      <c r="L269" s="592">
        <f t="shared" si="2516"/>
        <v>181579</v>
      </c>
      <c r="M269" s="592">
        <f t="shared" si="2516"/>
        <v>235226</v>
      </c>
      <c r="N269" s="592">
        <f t="shared" si="2516"/>
        <v>232090</v>
      </c>
      <c r="O269" s="592">
        <f t="shared" si="2516"/>
        <v>302932</v>
      </c>
      <c r="P269" s="592">
        <f t="shared" si="2516"/>
        <v>184705</v>
      </c>
      <c r="Q269" s="592">
        <f t="shared" si="2516"/>
        <v>237658</v>
      </c>
      <c r="R269" s="592">
        <f t="shared" si="2516"/>
        <v>278432</v>
      </c>
      <c r="S269" s="592">
        <f t="shared" ref="S269:BJ269" si="2517">S277+S287</f>
        <v>313861</v>
      </c>
      <c r="T269" s="592">
        <f t="shared" si="2517"/>
        <v>211064</v>
      </c>
      <c r="U269" s="592">
        <f t="shared" si="2517"/>
        <v>232145</v>
      </c>
      <c r="V269" s="592">
        <f t="shared" si="2517"/>
        <v>181346</v>
      </c>
      <c r="W269" s="592">
        <f t="shared" si="2517"/>
        <v>204007</v>
      </c>
      <c r="X269" s="592">
        <f t="shared" si="2517"/>
        <v>95602</v>
      </c>
      <c r="Y269" s="592">
        <f t="shared" si="2517"/>
        <v>207192</v>
      </c>
      <c r="Z269" s="592">
        <f t="shared" si="2517"/>
        <v>310492</v>
      </c>
      <c r="AA269" s="592">
        <f t="shared" si="2517"/>
        <v>420813</v>
      </c>
      <c r="AB269" s="592">
        <f t="shared" si="2517"/>
        <v>400127</v>
      </c>
      <c r="AC269" s="592">
        <f t="shared" si="2517"/>
        <v>368409</v>
      </c>
      <c r="AD269" s="592">
        <f t="shared" si="2517"/>
        <v>408707</v>
      </c>
      <c r="AE269" s="592">
        <f t="shared" si="2517"/>
        <v>693176</v>
      </c>
      <c r="AF269" s="592">
        <f t="shared" si="2517"/>
        <v>514457</v>
      </c>
      <c r="AG269" s="592">
        <f t="shared" si="2517"/>
        <v>252301</v>
      </c>
      <c r="AH269" s="592">
        <f t="shared" si="2517"/>
        <v>665553</v>
      </c>
      <c r="AI269" s="592">
        <f t="shared" si="2517"/>
        <v>584453</v>
      </c>
      <c r="AJ269" s="592">
        <f t="shared" si="2517"/>
        <v>505957</v>
      </c>
      <c r="AK269" s="592">
        <f t="shared" si="2517"/>
        <v>362862</v>
      </c>
      <c r="AL269" s="592">
        <f t="shared" si="2517"/>
        <v>650559</v>
      </c>
      <c r="AM269" s="592">
        <f t="shared" si="2517"/>
        <v>690291</v>
      </c>
      <c r="AN269" s="592">
        <f t="shared" si="2517"/>
        <v>525065</v>
      </c>
      <c r="AO269" s="592">
        <f t="shared" si="2517"/>
        <v>455833</v>
      </c>
      <c r="AP269" s="592">
        <f t="shared" si="2517"/>
        <v>822806</v>
      </c>
      <c r="AQ269" s="592">
        <f t="shared" si="2517"/>
        <v>808485</v>
      </c>
      <c r="AR269" s="592">
        <f t="shared" si="2517"/>
        <v>760335</v>
      </c>
      <c r="AS269" s="592">
        <f t="shared" si="2517"/>
        <v>726701</v>
      </c>
      <c r="AT269" s="592">
        <f t="shared" si="2517"/>
        <v>632655</v>
      </c>
      <c r="AU269" s="592">
        <f t="shared" si="2517"/>
        <v>841173</v>
      </c>
      <c r="AV269" s="592">
        <f t="shared" si="2517"/>
        <v>753503</v>
      </c>
      <c r="AW269" s="592">
        <f t="shared" si="2517"/>
        <v>704748</v>
      </c>
      <c r="AX269" s="592">
        <f t="shared" si="2517"/>
        <v>570461</v>
      </c>
      <c r="AY269" s="592">
        <f t="shared" si="2517"/>
        <v>748352</v>
      </c>
      <c r="AZ269" s="910">
        <f t="shared" si="2517"/>
        <v>837982</v>
      </c>
      <c r="BA269" s="592">
        <f t="shared" si="2517"/>
        <v>795187</v>
      </c>
      <c r="BB269" s="592">
        <f t="shared" si="2517"/>
        <v>728068</v>
      </c>
      <c r="BC269" s="592">
        <f t="shared" si="2517"/>
        <v>905325</v>
      </c>
      <c r="BD269" s="592">
        <f t="shared" si="2517"/>
        <v>916014</v>
      </c>
      <c r="BE269" s="592">
        <f t="shared" si="2517"/>
        <v>980921</v>
      </c>
      <c r="BF269" s="592">
        <f t="shared" si="2517"/>
        <v>873439</v>
      </c>
      <c r="BG269" s="592">
        <f t="shared" si="2517"/>
        <v>1152754</v>
      </c>
      <c r="BH269" s="592">
        <f t="shared" si="2517"/>
        <v>894867</v>
      </c>
      <c r="BI269" s="592">
        <f t="shared" si="2517"/>
        <v>855881</v>
      </c>
      <c r="BJ269" s="592">
        <f t="shared" si="2517"/>
        <v>964652</v>
      </c>
      <c r="BK269" s="592">
        <f t="shared" ref="BK269:BV269" si="2518">BK277+BK287</f>
        <v>1384364</v>
      </c>
      <c r="BL269" s="592">
        <f t="shared" si="2518"/>
        <v>1325378</v>
      </c>
      <c r="BM269" s="592">
        <f t="shared" si="2518"/>
        <v>947689</v>
      </c>
      <c r="BN269" s="592">
        <f t="shared" si="2518"/>
        <v>1038226</v>
      </c>
      <c r="BO269" s="592">
        <f t="shared" si="2518"/>
        <v>1372302</v>
      </c>
      <c r="BP269" s="592">
        <f t="shared" si="2518"/>
        <v>1743640</v>
      </c>
      <c r="BQ269" s="592">
        <f t="shared" si="2518"/>
        <v>2339172</v>
      </c>
      <c r="BR269" s="592">
        <f t="shared" si="2518"/>
        <v>1931348</v>
      </c>
      <c r="BS269" s="592">
        <f t="shared" si="2518"/>
        <v>2672353</v>
      </c>
      <c r="BT269" s="592">
        <f t="shared" si="2518"/>
        <v>2872234</v>
      </c>
      <c r="BU269" s="592">
        <f>BU277+BU287</f>
        <v>5614765</v>
      </c>
      <c r="BV269" s="592">
        <f t="shared" si="2518"/>
        <v>5790719</v>
      </c>
      <c r="BW269" s="592">
        <f t="shared" ref="BW269:CD269" si="2519">BW277+BW287</f>
        <v>5947502</v>
      </c>
      <c r="BX269" s="592">
        <f t="shared" si="2519"/>
        <v>5657248</v>
      </c>
      <c r="BY269" s="592">
        <f t="shared" si="2519"/>
        <v>4720296</v>
      </c>
      <c r="BZ269" s="592">
        <f t="shared" si="2519"/>
        <v>4406316</v>
      </c>
      <c r="CA269" s="592">
        <f t="shared" si="2519"/>
        <v>3503481.9998000003</v>
      </c>
      <c r="CB269" s="592">
        <f t="shared" si="2519"/>
        <v>2763528</v>
      </c>
      <c r="CC269" s="592">
        <f t="shared" si="2519"/>
        <v>2901440</v>
      </c>
      <c r="CD269" s="592">
        <f t="shared" si="2519"/>
        <v>3273809</v>
      </c>
      <c r="CE269" s="592">
        <f t="shared" ref="CE269:CF269" si="2520">CE277+CE287</f>
        <v>3103842</v>
      </c>
      <c r="CF269" s="592">
        <f t="shared" si="2520"/>
        <v>2434537</v>
      </c>
      <c r="CG269" s="592">
        <f t="shared" ref="CG269:CH269" si="2521">CG277+CG287</f>
        <v>2401891</v>
      </c>
      <c r="CH269" s="592">
        <f t="shared" si="2521"/>
        <v>2579601</v>
      </c>
      <c r="CI269" s="592">
        <f t="shared" ref="CI269:CL269" si="2522">CI277+CI287</f>
        <v>2771307</v>
      </c>
      <c r="CJ269" s="592">
        <f t="shared" si="2522"/>
        <v>1630807</v>
      </c>
      <c r="CK269" s="592">
        <f t="shared" si="2522"/>
        <v>1790786</v>
      </c>
      <c r="CL269" s="592">
        <f t="shared" si="2522"/>
        <v>1634170</v>
      </c>
      <c r="CM269" s="592">
        <f t="shared" ref="CM269:CP269" si="2523">CM277+CM287</f>
        <v>1286789.9620764535</v>
      </c>
      <c r="CN269" s="592">
        <f t="shared" si="2523"/>
        <v>1376819.8814139431</v>
      </c>
      <c r="CO269" s="592">
        <f t="shared" si="2523"/>
        <v>1561011.7263125349</v>
      </c>
      <c r="CP269" s="592">
        <f t="shared" si="2523"/>
        <v>1867777.6023473395</v>
      </c>
      <c r="CQ269" s="592"/>
      <c r="CR269" s="592">
        <v>1634170</v>
      </c>
      <c r="CT269" s="592"/>
      <c r="CU269" s="592"/>
      <c r="CV269" s="592"/>
      <c r="CW269" s="592"/>
      <c r="CX269" s="592">
        <f t="shared" ref="CX269:DL269" si="2524">+CX277+CX287</f>
        <v>822806</v>
      </c>
      <c r="CY269" s="592">
        <f t="shared" si="2524"/>
        <v>313861</v>
      </c>
      <c r="CZ269" s="592">
        <f t="shared" si="2524"/>
        <v>204007</v>
      </c>
      <c r="DA269" s="592">
        <f t="shared" si="2524"/>
        <v>420813</v>
      </c>
      <c r="DB269" s="592">
        <f t="shared" si="2524"/>
        <v>693176</v>
      </c>
      <c r="DC269" s="592">
        <f t="shared" si="2524"/>
        <v>584453</v>
      </c>
      <c r="DD269" s="592">
        <f t="shared" si="2524"/>
        <v>690291</v>
      </c>
      <c r="DE269" s="592">
        <f t="shared" si="2524"/>
        <v>808485</v>
      </c>
      <c r="DF269" s="592">
        <f t="shared" si="2524"/>
        <v>841281</v>
      </c>
      <c r="DG269" s="592">
        <f t="shared" si="2524"/>
        <v>748352</v>
      </c>
      <c r="DH269" s="592">
        <f t="shared" si="2524"/>
        <v>905325</v>
      </c>
      <c r="DI269" s="592">
        <f t="shared" si="2524"/>
        <v>1152754</v>
      </c>
      <c r="DJ269" s="592">
        <f t="shared" si="2524"/>
        <v>1384364</v>
      </c>
      <c r="DK269" s="592">
        <f t="shared" si="2524"/>
        <v>1372302</v>
      </c>
      <c r="DL269" s="592">
        <f t="shared" si="2524"/>
        <v>2672353</v>
      </c>
      <c r="DM269" s="592">
        <f t="shared" ref="DM269:DN270" si="2525">+DM277+DM287</f>
        <v>5947502</v>
      </c>
      <c r="DN269" s="592">
        <f t="shared" si="2525"/>
        <v>3192710.31</v>
      </c>
      <c r="DO269" s="592">
        <f t="shared" ref="DO269:DP269" si="2526">+DO277+DO287</f>
        <v>2886866.1898499997</v>
      </c>
      <c r="DP269" s="592">
        <f t="shared" si="2526"/>
        <v>2392218</v>
      </c>
      <c r="DQ269" s="592">
        <f t="shared" ref="DQ269" si="2527">+DQ277+DQ287</f>
        <v>1174631.6518764535</v>
      </c>
      <c r="DR269" s="592">
        <f t="shared" ref="DR269" si="2528">+DR277+DR287</f>
        <v>1398333.9973007375</v>
      </c>
      <c r="DS269" s="592">
        <f t="shared" ref="DS269:DU269" si="2529">+DS277+DS287</f>
        <v>1722606.390235126</v>
      </c>
      <c r="DT269" s="592">
        <f t="shared" si="2529"/>
        <v>2608821.0835547391</v>
      </c>
      <c r="DU269" s="592">
        <f t="shared" si="2529"/>
        <v>3392943.6354740076</v>
      </c>
      <c r="DX269" s="592">
        <v>1205777.5725533089</v>
      </c>
      <c r="DY269" s="592">
        <v>1262626.0615780409</v>
      </c>
    </row>
    <row r="270" spans="1:129" s="904" customFormat="1">
      <c r="A270" s="939"/>
      <c r="B270" s="949" t="s">
        <v>532</v>
      </c>
      <c r="C270" s="592">
        <f t="shared" ref="C270:R270" si="2530">+C279+C288</f>
        <v>0</v>
      </c>
      <c r="D270" s="592">
        <f t="shared" si="2530"/>
        <v>117535</v>
      </c>
      <c r="E270" s="592">
        <f t="shared" si="2530"/>
        <v>123148</v>
      </c>
      <c r="F270" s="592">
        <f t="shared" si="2530"/>
        <v>126338</v>
      </c>
      <c r="G270" s="592">
        <f t="shared" si="2530"/>
        <v>113815</v>
      </c>
      <c r="H270" s="592">
        <f t="shared" si="2530"/>
        <v>139066</v>
      </c>
      <c r="I270" s="592">
        <f t="shared" si="2530"/>
        <v>303423</v>
      </c>
      <c r="J270" s="592">
        <f t="shared" si="2530"/>
        <v>318728</v>
      </c>
      <c r="K270" s="592">
        <f t="shared" si="2530"/>
        <v>181579</v>
      </c>
      <c r="L270" s="592">
        <f t="shared" si="2530"/>
        <v>235226</v>
      </c>
      <c r="M270" s="592">
        <f t="shared" si="2530"/>
        <v>232090</v>
      </c>
      <c r="N270" s="592">
        <f t="shared" si="2530"/>
        <v>302932</v>
      </c>
      <c r="O270" s="592">
        <f t="shared" si="2530"/>
        <v>184705</v>
      </c>
      <c r="P270" s="592">
        <f t="shared" si="2530"/>
        <v>237658</v>
      </c>
      <c r="Q270" s="592">
        <f t="shared" si="2530"/>
        <v>278432</v>
      </c>
      <c r="R270" s="592">
        <f t="shared" si="2530"/>
        <v>313861</v>
      </c>
      <c r="S270" s="592">
        <f t="shared" ref="S270:AX270" si="2531">S279+S288</f>
        <v>211064</v>
      </c>
      <c r="T270" s="592">
        <f t="shared" si="2531"/>
        <v>232145</v>
      </c>
      <c r="U270" s="592">
        <f t="shared" si="2531"/>
        <v>181346</v>
      </c>
      <c r="V270" s="592">
        <f t="shared" si="2531"/>
        <v>204007</v>
      </c>
      <c r="W270" s="592">
        <f t="shared" si="2531"/>
        <v>95602</v>
      </c>
      <c r="X270" s="592">
        <f t="shared" si="2531"/>
        <v>207192</v>
      </c>
      <c r="Y270" s="592">
        <f t="shared" si="2531"/>
        <v>310492</v>
      </c>
      <c r="Z270" s="592">
        <f t="shared" si="2531"/>
        <v>420813</v>
      </c>
      <c r="AA270" s="592">
        <f t="shared" si="2531"/>
        <v>400127</v>
      </c>
      <c r="AB270" s="592">
        <f t="shared" si="2531"/>
        <v>368409</v>
      </c>
      <c r="AC270" s="592">
        <f t="shared" si="2531"/>
        <v>408707</v>
      </c>
      <c r="AD270" s="592">
        <f t="shared" si="2531"/>
        <v>693176</v>
      </c>
      <c r="AE270" s="592">
        <f t="shared" si="2531"/>
        <v>514457</v>
      </c>
      <c r="AF270" s="592">
        <f t="shared" si="2531"/>
        <v>252301</v>
      </c>
      <c r="AG270" s="592">
        <f t="shared" si="2531"/>
        <v>665553</v>
      </c>
      <c r="AH270" s="592">
        <f t="shared" si="2531"/>
        <v>584453</v>
      </c>
      <c r="AI270" s="592">
        <f t="shared" si="2531"/>
        <v>505957</v>
      </c>
      <c r="AJ270" s="592">
        <f t="shared" si="2531"/>
        <v>362862</v>
      </c>
      <c r="AK270" s="592">
        <f t="shared" si="2531"/>
        <v>650559</v>
      </c>
      <c r="AL270" s="592">
        <f t="shared" si="2531"/>
        <v>690291</v>
      </c>
      <c r="AM270" s="592">
        <f t="shared" si="2531"/>
        <v>525065</v>
      </c>
      <c r="AN270" s="592">
        <f t="shared" si="2531"/>
        <v>455833</v>
      </c>
      <c r="AO270" s="592">
        <f t="shared" si="2531"/>
        <v>822806</v>
      </c>
      <c r="AP270" s="592">
        <f t="shared" si="2531"/>
        <v>808485</v>
      </c>
      <c r="AQ270" s="592">
        <f t="shared" si="2531"/>
        <v>760335</v>
      </c>
      <c r="AR270" s="592">
        <f t="shared" si="2531"/>
        <v>726701</v>
      </c>
      <c r="AS270" s="592">
        <f t="shared" si="2531"/>
        <v>632655</v>
      </c>
      <c r="AT270" s="592">
        <f t="shared" si="2531"/>
        <v>841173</v>
      </c>
      <c r="AU270" s="592">
        <f t="shared" si="2531"/>
        <v>753503</v>
      </c>
      <c r="AV270" s="592">
        <f t="shared" si="2531"/>
        <v>704748</v>
      </c>
      <c r="AW270" s="592">
        <f t="shared" si="2531"/>
        <v>570461</v>
      </c>
      <c r="AX270" s="592">
        <f t="shared" si="2531"/>
        <v>748352</v>
      </c>
      <c r="AY270" s="592">
        <f t="shared" ref="AY270:CD270" si="2532">AY279+AY288</f>
        <v>837982</v>
      </c>
      <c r="AZ270" s="910">
        <f t="shared" si="2532"/>
        <v>795187</v>
      </c>
      <c r="BA270" s="592">
        <f t="shared" si="2532"/>
        <v>728068</v>
      </c>
      <c r="BB270" s="592">
        <f t="shared" si="2532"/>
        <v>905325</v>
      </c>
      <c r="BC270" s="592">
        <f t="shared" si="2532"/>
        <v>916014</v>
      </c>
      <c r="BD270" s="592">
        <f t="shared" si="2532"/>
        <v>980921</v>
      </c>
      <c r="BE270" s="592">
        <f t="shared" si="2532"/>
        <v>873439</v>
      </c>
      <c r="BF270" s="592">
        <f t="shared" si="2532"/>
        <v>1152754</v>
      </c>
      <c r="BG270" s="592">
        <f t="shared" si="2532"/>
        <v>894867</v>
      </c>
      <c r="BH270" s="592">
        <f t="shared" si="2532"/>
        <v>855881</v>
      </c>
      <c r="BI270" s="592">
        <f t="shared" si="2532"/>
        <v>964652</v>
      </c>
      <c r="BJ270" s="592">
        <f t="shared" si="2532"/>
        <v>1384364</v>
      </c>
      <c r="BK270" s="592">
        <f t="shared" si="2532"/>
        <v>1325378</v>
      </c>
      <c r="BL270" s="592">
        <f t="shared" si="2532"/>
        <v>947689</v>
      </c>
      <c r="BM270" s="592">
        <f t="shared" si="2532"/>
        <v>1038226</v>
      </c>
      <c r="BN270" s="592">
        <f t="shared" si="2532"/>
        <v>1372302</v>
      </c>
      <c r="BO270" s="592">
        <f t="shared" si="2532"/>
        <v>1743640</v>
      </c>
      <c r="BP270" s="592">
        <f t="shared" si="2532"/>
        <v>2339172</v>
      </c>
      <c r="BQ270" s="592">
        <f t="shared" si="2532"/>
        <v>1931348</v>
      </c>
      <c r="BR270" s="592">
        <f t="shared" si="2532"/>
        <v>2672353</v>
      </c>
      <c r="BS270" s="592">
        <f t="shared" si="2532"/>
        <v>2872234</v>
      </c>
      <c r="BT270" s="592">
        <f t="shared" si="2532"/>
        <v>5614765</v>
      </c>
      <c r="BU270" s="592">
        <f t="shared" si="2532"/>
        <v>5790719</v>
      </c>
      <c r="BV270" s="592">
        <f t="shared" si="2532"/>
        <v>5947502</v>
      </c>
      <c r="BW270" s="592">
        <f t="shared" si="2532"/>
        <v>5657248</v>
      </c>
      <c r="BX270" s="592">
        <f t="shared" si="2532"/>
        <v>4720296</v>
      </c>
      <c r="BY270" s="592">
        <f t="shared" si="2532"/>
        <v>4406316</v>
      </c>
      <c r="BZ270" s="592">
        <f t="shared" si="2532"/>
        <v>3503481.9998000003</v>
      </c>
      <c r="CA270" s="592">
        <f t="shared" si="2532"/>
        <v>2763528</v>
      </c>
      <c r="CB270" s="592">
        <f t="shared" si="2532"/>
        <v>2901440</v>
      </c>
      <c r="CC270" s="592">
        <f t="shared" si="2532"/>
        <v>3273809</v>
      </c>
      <c r="CD270" s="592">
        <f t="shared" si="2532"/>
        <v>3103842</v>
      </c>
      <c r="CE270" s="592">
        <f t="shared" ref="CE270:CF270" si="2533">CE279+CE288</f>
        <v>2434537</v>
      </c>
      <c r="CF270" s="592">
        <f t="shared" si="2533"/>
        <v>2401891</v>
      </c>
      <c r="CG270" s="592">
        <f t="shared" ref="CG270:CH270" si="2534">CG279+CG288</f>
        <v>2579601</v>
      </c>
      <c r="CH270" s="592">
        <f t="shared" si="2534"/>
        <v>2771307</v>
      </c>
      <c r="CI270" s="592">
        <f t="shared" ref="CI270" si="2535">CI279+CI288</f>
        <v>1630807</v>
      </c>
      <c r="CJ270" s="592">
        <f>CJ278+CJ288</f>
        <v>1790786</v>
      </c>
      <c r="CK270" s="592">
        <f t="shared" ref="CK270:CL270" si="2536">CK278+CK288</f>
        <v>1634170</v>
      </c>
      <c r="CL270" s="592">
        <f t="shared" si="2536"/>
        <v>1327963.3520964412</v>
      </c>
      <c r="CM270" s="592">
        <f t="shared" ref="CM270:CP270" si="2537">CM278+CM288</f>
        <v>1327963.3520964412</v>
      </c>
      <c r="CN270" s="592">
        <f t="shared" si="2537"/>
        <v>1327963.3520964412</v>
      </c>
      <c r="CO270" s="592">
        <f t="shared" si="2537"/>
        <v>1327963.3520964412</v>
      </c>
      <c r="CP270" s="592">
        <f t="shared" si="2537"/>
        <v>1327963.3520964412</v>
      </c>
      <c r="CQ270" s="592"/>
      <c r="CR270" s="592">
        <v>1327963.3520964412</v>
      </c>
      <c r="CT270" s="592"/>
      <c r="CU270" s="592"/>
      <c r="CV270" s="592"/>
      <c r="CW270" s="592"/>
      <c r="CX270" s="592">
        <f t="shared" ref="CX270:DD270" si="2538">+CX279+CX288</f>
        <v>313861</v>
      </c>
      <c r="CY270" s="592">
        <f t="shared" si="2538"/>
        <v>269768</v>
      </c>
      <c r="CZ270" s="592">
        <f t="shared" si="2538"/>
        <v>458692</v>
      </c>
      <c r="DA270" s="592">
        <f t="shared" si="2538"/>
        <v>693176</v>
      </c>
      <c r="DB270" s="592">
        <f t="shared" si="2538"/>
        <v>584453</v>
      </c>
      <c r="DC270" s="592">
        <f t="shared" si="2538"/>
        <v>690291</v>
      </c>
      <c r="DD270" s="592">
        <f t="shared" si="2538"/>
        <v>808485</v>
      </c>
      <c r="DE270" s="592">
        <f t="shared" ref="DE270:DL270" si="2539">+DE278+DE288</f>
        <v>841281</v>
      </c>
      <c r="DF270" s="592">
        <f t="shared" si="2539"/>
        <v>748352</v>
      </c>
      <c r="DG270" s="592">
        <f t="shared" si="2539"/>
        <v>905325</v>
      </c>
      <c r="DH270" s="592">
        <f t="shared" si="2539"/>
        <v>1152754</v>
      </c>
      <c r="DI270" s="592">
        <f t="shared" si="2539"/>
        <v>1384364</v>
      </c>
      <c r="DJ270" s="592">
        <f t="shared" si="2539"/>
        <v>1372302</v>
      </c>
      <c r="DK270" s="592">
        <f t="shared" si="2539"/>
        <v>2672353</v>
      </c>
      <c r="DL270" s="592">
        <f t="shared" si="2539"/>
        <v>5947502</v>
      </c>
      <c r="DM270" s="592">
        <f t="shared" si="2525"/>
        <v>3192710.31</v>
      </c>
      <c r="DN270" s="592">
        <f t="shared" si="2525"/>
        <v>2886866.1898499997</v>
      </c>
      <c r="DO270" s="592">
        <f t="shared" ref="DO270:DP270" si="2540">+DO278+DO288</f>
        <v>2392218</v>
      </c>
      <c r="DP270" s="592">
        <f t="shared" si="2540"/>
        <v>1511320.9549468199</v>
      </c>
      <c r="DQ270" s="592">
        <f t="shared" ref="DQ270" si="2541">+DQ278+DQ288</f>
        <v>1409914.2651468199</v>
      </c>
      <c r="DR270" s="592">
        <f t="shared" ref="DR270" si="2542">+DR278+DR288</f>
        <v>2420673.3789576143</v>
      </c>
      <c r="DS270" s="592">
        <f t="shared" ref="DS270:DU270" si="2543">+DS278+DS288</f>
        <v>3347580.2522004973</v>
      </c>
      <c r="DT270" s="592">
        <f t="shared" si="2543"/>
        <v>4247430.5284194723</v>
      </c>
      <c r="DU270" s="592">
        <f t="shared" si="2543"/>
        <v>5191107.6846328005</v>
      </c>
      <c r="DX270" s="592">
        <v>1696860.8151607197</v>
      </c>
      <c r="DY270" s="592">
        <v>2420673.3789576143</v>
      </c>
    </row>
    <row r="271" spans="1:129" s="904" customFormat="1">
      <c r="A271" s="939"/>
      <c r="B271" s="949" t="s">
        <v>533</v>
      </c>
      <c r="C271" s="592" t="e">
        <f>+C285+#REF!</f>
        <v>#REF!</v>
      </c>
      <c r="D271" s="592" t="e">
        <f>+D285+#REF!</f>
        <v>#REF!</v>
      </c>
      <c r="E271" s="592" t="e">
        <f>+E285+#REF!</f>
        <v>#REF!</v>
      </c>
      <c r="F271" s="592" t="e">
        <f>+F285+#REF!</f>
        <v>#REF!</v>
      </c>
      <c r="G271" s="592" t="e">
        <f>+G285+#REF!</f>
        <v>#REF!</v>
      </c>
      <c r="H271" s="592" t="e">
        <f>+H285+#REF!</f>
        <v>#REF!</v>
      </c>
      <c r="I271" s="592" t="e">
        <f>+I285+#REF!</f>
        <v>#REF!</v>
      </c>
      <c r="J271" s="592" t="e">
        <f>+J285+#REF!</f>
        <v>#REF!</v>
      </c>
      <c r="K271" s="592" t="e">
        <f>+K285+#REF!</f>
        <v>#REF!</v>
      </c>
      <c r="L271" s="592" t="e">
        <f>+L285+#REF!</f>
        <v>#REF!</v>
      </c>
      <c r="M271" s="592" t="e">
        <f>+M285+#REF!</f>
        <v>#REF!</v>
      </c>
      <c r="N271" s="592" t="e">
        <f>+N285+#REF!</f>
        <v>#REF!</v>
      </c>
      <c r="O271" s="592" t="e">
        <f>+O285+#REF!</f>
        <v>#REF!</v>
      </c>
      <c r="P271" s="592" t="e">
        <f>+P285+#REF!</f>
        <v>#REF!</v>
      </c>
      <c r="Q271" s="592" t="e">
        <f>+Q285+#REF!</f>
        <v>#REF!</v>
      </c>
      <c r="R271" s="592" t="e">
        <f>+R285+#REF!</f>
        <v>#REF!</v>
      </c>
      <c r="S271" s="592" t="e">
        <f>S285+#REF!</f>
        <v>#REF!</v>
      </c>
      <c r="T271" s="592" t="e">
        <f>T285+#REF!</f>
        <v>#REF!</v>
      </c>
      <c r="U271" s="592">
        <f t="shared" ref="U271:BJ271" si="2544">U285</f>
        <v>3986.4938750898164</v>
      </c>
      <c r="V271" s="592">
        <f t="shared" si="2544"/>
        <v>3855.9542577718926</v>
      </c>
      <c r="W271" s="592">
        <f t="shared" si="2544"/>
        <v>2688.2130168798149</v>
      </c>
      <c r="X271" s="592">
        <f t="shared" si="2544"/>
        <v>2325.2158676126846</v>
      </c>
      <c r="Y271" s="592">
        <f t="shared" si="2544"/>
        <v>3649.7313419042794</v>
      </c>
      <c r="Z271" s="592">
        <f t="shared" si="2544"/>
        <v>5259.0107703375197</v>
      </c>
      <c r="AA271" s="592">
        <f t="shared" si="2544"/>
        <v>5950.1387576048091</v>
      </c>
      <c r="AB271" s="592">
        <f t="shared" si="2544"/>
        <v>6176.3346340762137</v>
      </c>
      <c r="AC271" s="592">
        <f t="shared" si="2544"/>
        <v>6861.9994548999257</v>
      </c>
      <c r="AD271" s="592">
        <f t="shared" si="2544"/>
        <v>9799.2289228257778</v>
      </c>
      <c r="AE271" s="592">
        <f t="shared" si="2544"/>
        <v>11397.049320928458</v>
      </c>
      <c r="AF271" s="592">
        <f t="shared" si="2544"/>
        <v>7565.3088447833907</v>
      </c>
      <c r="AG271" s="592">
        <f t="shared" si="2544"/>
        <v>9306.5802751631509</v>
      </c>
      <c r="AH271" s="592">
        <f t="shared" si="2544"/>
        <v>11780.962363101053</v>
      </c>
      <c r="AI271" s="592">
        <f t="shared" si="2544"/>
        <v>9446.2782398685449</v>
      </c>
      <c r="AJ271" s="592">
        <f t="shared" si="2544"/>
        <v>6504.4704878508837</v>
      </c>
      <c r="AK271" s="592">
        <f t="shared" si="2544"/>
        <v>6714.8685164842955</v>
      </c>
      <c r="AL271" s="592">
        <f t="shared" si="2544"/>
        <v>8233.9522961748971</v>
      </c>
      <c r="AM271" s="592">
        <f t="shared" si="2544"/>
        <v>7422.6225766166863</v>
      </c>
      <c r="AN271" s="592">
        <f t="shared" si="2544"/>
        <v>6573.9221045581535</v>
      </c>
      <c r="AO271" s="592">
        <f t="shared" si="2544"/>
        <v>9637.7390269281859</v>
      </c>
      <c r="AP271" s="592">
        <f t="shared" si="2544"/>
        <v>13649.564557410244</v>
      </c>
      <c r="AQ271" s="592">
        <f t="shared" si="2544"/>
        <v>13768.678099938323</v>
      </c>
      <c r="AR271" s="592">
        <f t="shared" si="2544"/>
        <v>13627.91465095913</v>
      </c>
      <c r="AS271" s="592">
        <f t="shared" si="2544"/>
        <v>12453.57311631222</v>
      </c>
      <c r="AT271" s="592">
        <f t="shared" si="2544"/>
        <v>13904.45718566916</v>
      </c>
      <c r="AU271" s="592">
        <f t="shared" si="2544"/>
        <v>16273.464867172521</v>
      </c>
      <c r="AV271" s="592">
        <f t="shared" si="2544"/>
        <v>15977.71390664182</v>
      </c>
      <c r="AW271" s="592">
        <f t="shared" si="2544"/>
        <v>14889.819731144917</v>
      </c>
      <c r="AX271" s="592">
        <f t="shared" si="2544"/>
        <v>15374.960257835242</v>
      </c>
      <c r="AY271" s="592">
        <f t="shared" si="2544"/>
        <v>18546.401991634993</v>
      </c>
      <c r="AZ271" s="910">
        <f t="shared" si="2544"/>
        <v>19105.61149343619</v>
      </c>
      <c r="BA271" s="592">
        <f t="shared" si="2544"/>
        <v>17808.805855905401</v>
      </c>
      <c r="BB271" s="592">
        <f t="shared" si="2544"/>
        <v>18744.048058259945</v>
      </c>
      <c r="BC271" s="592">
        <f t="shared" si="2544"/>
        <v>19219.556992188176</v>
      </c>
      <c r="BD271" s="592">
        <f t="shared" si="2544"/>
        <v>17384.884934370413</v>
      </c>
      <c r="BE271" s="592">
        <f t="shared" si="2544"/>
        <v>14348.609681598336</v>
      </c>
      <c r="BF271" s="592">
        <f t="shared" si="2544"/>
        <v>12886.58824974824</v>
      </c>
      <c r="BG271" s="592">
        <f t="shared" si="2544"/>
        <v>11807.474858186173</v>
      </c>
      <c r="BH271" s="592">
        <f t="shared" si="2544"/>
        <v>9612.2952288377783</v>
      </c>
      <c r="BI271" s="592">
        <f t="shared" si="2544"/>
        <v>9999.4353595118264</v>
      </c>
      <c r="BJ271" s="592">
        <f t="shared" si="2544"/>
        <v>12990.15479495022</v>
      </c>
      <c r="BK271" s="592">
        <f t="shared" ref="BK271:BV271" si="2545">BK285</f>
        <v>15049.635210354329</v>
      </c>
      <c r="BL271" s="592">
        <f t="shared" si="2545"/>
        <v>12624.386070221624</v>
      </c>
      <c r="BM271" s="592">
        <f t="shared" si="2545"/>
        <v>10365.632282313985</v>
      </c>
      <c r="BN271" s="592">
        <f t="shared" si="2545"/>
        <v>10455.550772803939</v>
      </c>
      <c r="BO271" s="592">
        <f t="shared" si="2545"/>
        <v>11460.032997913502</v>
      </c>
      <c r="BP271" s="592">
        <f t="shared" si="2545"/>
        <v>11192.513813407459</v>
      </c>
      <c r="BQ271" s="592">
        <f>BQ285</f>
        <v>7749.2404989129045</v>
      </c>
      <c r="BR271" s="592">
        <f t="shared" si="2545"/>
        <v>7996.7485662715017</v>
      </c>
      <c r="BS271" s="592">
        <f t="shared" si="2545"/>
        <v>10252.194185630678</v>
      </c>
      <c r="BT271" s="592">
        <f t="shared" si="2545"/>
        <v>24570.962047578345</v>
      </c>
      <c r="BU271" s="592">
        <f>BU285</f>
        <v>48893.555139180222</v>
      </c>
      <c r="BV271" s="592">
        <f t="shared" si="2545"/>
        <v>73712.321367628305</v>
      </c>
      <c r="BW271" s="592">
        <f t="shared" ref="BW271:CD271" si="2546">BW285</f>
        <v>94859.904069705357</v>
      </c>
      <c r="BX271" s="592">
        <f t="shared" si="2546"/>
        <v>101152.38625195157</v>
      </c>
      <c r="BY271" s="592">
        <f t="shared" si="2546"/>
        <v>94164.469588728898</v>
      </c>
      <c r="BZ271" s="592">
        <f t="shared" si="2546"/>
        <v>77772.320079897094</v>
      </c>
      <c r="CA271" s="592">
        <f t="shared" si="2546"/>
        <v>57948.153035014308</v>
      </c>
      <c r="CB271" s="592">
        <f t="shared" si="2546"/>
        <v>51894.71246833889</v>
      </c>
      <c r="CC271" s="592">
        <f t="shared" si="2546"/>
        <v>55372.292900681154</v>
      </c>
      <c r="CD271" s="592">
        <f t="shared" si="2546"/>
        <v>53473.76884570378</v>
      </c>
      <c r="CE271" s="592">
        <f t="shared" ref="CE271:CF271" si="2547">CE285</f>
        <v>158080.00000000003</v>
      </c>
      <c r="CF271" s="592">
        <f t="shared" si="2547"/>
        <v>95300</v>
      </c>
      <c r="CG271" s="592">
        <f t="shared" ref="CG271:CH271" si="2548">CG285</f>
        <v>115200.99999999999</v>
      </c>
      <c r="CH271" s="592">
        <f t="shared" si="2548"/>
        <v>65256.202533798234</v>
      </c>
      <c r="CI271" s="592">
        <f t="shared" ref="CI271:CL271" si="2549">CI285</f>
        <v>0</v>
      </c>
      <c r="CJ271" s="592">
        <f t="shared" si="2549"/>
        <v>0</v>
      </c>
      <c r="CK271" s="592">
        <f t="shared" si="2549"/>
        <v>0</v>
      </c>
      <c r="CL271" s="592">
        <f t="shared" si="2549"/>
        <v>63346.999999999993</v>
      </c>
      <c r="CM271" s="592">
        <f t="shared" ref="CM271:CP271" si="2550">CM285</f>
        <v>56787.183865866406</v>
      </c>
      <c r="CN271" s="592">
        <f t="shared" si="2550"/>
        <v>59531.804680576723</v>
      </c>
      <c r="CO271" s="592">
        <f t="shared" si="2550"/>
        <v>67166.113330522683</v>
      </c>
      <c r="CP271" s="592">
        <f t="shared" si="2550"/>
        <v>80953.551252834382</v>
      </c>
      <c r="CQ271" s="592"/>
      <c r="CR271" s="592">
        <v>63346.999999999993</v>
      </c>
      <c r="CT271" s="592"/>
      <c r="CU271" s="592"/>
      <c r="CV271" s="592"/>
      <c r="CW271" s="592"/>
      <c r="CX271" s="592" t="e">
        <f>+SUM(O271:R271)</f>
        <v>#REF!</v>
      </c>
      <c r="CY271" s="592" t="e">
        <f>+SUM(S271:V271)</f>
        <v>#REF!</v>
      </c>
      <c r="CZ271" s="592">
        <f>+SUM(W271:Z271)</f>
        <v>13922.170996734299</v>
      </c>
      <c r="DA271" s="592">
        <f>+SUM(AA271:AD271)</f>
        <v>28787.701769406725</v>
      </c>
      <c r="DB271" s="592">
        <f t="shared" ref="DB271:DL271" si="2551">+DB285</f>
        <v>40049.900803976052</v>
      </c>
      <c r="DC271" s="592">
        <f t="shared" si="2551"/>
        <v>30899.569540378623</v>
      </c>
      <c r="DD271" s="592">
        <f t="shared" si="2551"/>
        <v>37283.848265513268</v>
      </c>
      <c r="DE271" s="592">
        <f t="shared" si="2551"/>
        <v>53754.623052878836</v>
      </c>
      <c r="DF271" s="592">
        <f t="shared" si="2551"/>
        <v>62515.9587627945</v>
      </c>
      <c r="DG271" s="592">
        <f t="shared" si="2551"/>
        <v>77020.092804675136</v>
      </c>
      <c r="DH271" s="592">
        <f t="shared" si="2551"/>
        <v>69664.137808493659</v>
      </c>
      <c r="DI271" s="592">
        <f t="shared" si="2551"/>
        <v>56814.436481970901</v>
      </c>
      <c r="DJ271" s="592">
        <f t="shared" si="2551"/>
        <v>56966.025645686343</v>
      </c>
      <c r="DK271" s="592">
        <f t="shared" si="2551"/>
        <v>40328.690260192103</v>
      </c>
      <c r="DL271" s="592">
        <f t="shared" si="2551"/>
        <v>127043.84957462219</v>
      </c>
      <c r="DM271" s="592">
        <f>+DM285</f>
        <v>1126790.1443427661</v>
      </c>
      <c r="DN271" s="592">
        <f>+DN285</f>
        <v>417673.46690931992</v>
      </c>
      <c r="DO271" s="592">
        <f>+DO285</f>
        <v>456170.72089074366</v>
      </c>
      <c r="DP271" s="592">
        <f>+DP285</f>
        <v>460488.70184403704</v>
      </c>
      <c r="DQ271" s="592">
        <f>+DQ285</f>
        <v>345294.0200963979</v>
      </c>
      <c r="DR271" s="592">
        <f t="shared" ref="DR271" si="2552">+DR285</f>
        <v>71288.408099467575</v>
      </c>
      <c r="DS271" s="592">
        <f t="shared" ref="DS271:DU271" si="2553">+DS285</f>
        <v>98143.615268183014</v>
      </c>
      <c r="DT271" s="592">
        <f t="shared" si="2553"/>
        <v>130702.51915328467</v>
      </c>
      <c r="DU271" s="592">
        <f t="shared" si="2553"/>
        <v>156819.13587083522</v>
      </c>
      <c r="DX271" s="592">
        <v>51837.49979446717</v>
      </c>
      <c r="DY271" s="592">
        <v>67683.673421441767</v>
      </c>
    </row>
    <row r="272" spans="1:129" s="904" customFormat="1">
      <c r="A272" s="939"/>
      <c r="B272" s="949" t="s">
        <v>534</v>
      </c>
      <c r="C272" s="911">
        <v>0</v>
      </c>
      <c r="D272" s="911" t="e">
        <f t="shared" ref="D272:AI272" si="2554">+D271/((D269+D270)/2)</f>
        <v>#REF!</v>
      </c>
      <c r="E272" s="911" t="e">
        <f t="shared" si="2554"/>
        <v>#REF!</v>
      </c>
      <c r="F272" s="911" t="e">
        <f t="shared" si="2554"/>
        <v>#REF!</v>
      </c>
      <c r="G272" s="911" t="e">
        <f t="shared" si="2554"/>
        <v>#REF!</v>
      </c>
      <c r="H272" s="911" t="e">
        <f t="shared" si="2554"/>
        <v>#REF!</v>
      </c>
      <c r="I272" s="911" t="e">
        <f t="shared" si="2554"/>
        <v>#REF!</v>
      </c>
      <c r="J272" s="911" t="e">
        <f t="shared" si="2554"/>
        <v>#REF!</v>
      </c>
      <c r="K272" s="911" t="e">
        <f t="shared" si="2554"/>
        <v>#REF!</v>
      </c>
      <c r="L272" s="911" t="e">
        <f t="shared" si="2554"/>
        <v>#REF!</v>
      </c>
      <c r="M272" s="911" t="e">
        <f t="shared" si="2554"/>
        <v>#REF!</v>
      </c>
      <c r="N272" s="911" t="e">
        <f t="shared" si="2554"/>
        <v>#REF!</v>
      </c>
      <c r="O272" s="911" t="e">
        <f t="shared" si="2554"/>
        <v>#REF!</v>
      </c>
      <c r="P272" s="911" t="e">
        <f t="shared" si="2554"/>
        <v>#REF!</v>
      </c>
      <c r="Q272" s="911" t="e">
        <f t="shared" si="2554"/>
        <v>#REF!</v>
      </c>
      <c r="R272" s="911" t="e">
        <f t="shared" si="2554"/>
        <v>#REF!</v>
      </c>
      <c r="S272" s="911" t="e">
        <f t="shared" si="2554"/>
        <v>#REF!</v>
      </c>
      <c r="T272" s="911" t="e">
        <f t="shared" si="2554"/>
        <v>#REF!</v>
      </c>
      <c r="U272" s="911">
        <f t="shared" si="2554"/>
        <v>1.9282131292288424E-2</v>
      </c>
      <c r="V272" s="911">
        <f t="shared" si="2554"/>
        <v>2.0012582010633849E-2</v>
      </c>
      <c r="W272" s="911">
        <f t="shared" si="2554"/>
        <v>1.7944808179192313E-2</v>
      </c>
      <c r="X272" s="911">
        <f t="shared" si="2554"/>
        <v>1.5358401207505331E-2</v>
      </c>
      <c r="Y272" s="911">
        <f t="shared" si="2554"/>
        <v>1.4100228486506361E-2</v>
      </c>
      <c r="Z272" s="911">
        <f t="shared" si="2554"/>
        <v>1.4382537437423563E-2</v>
      </c>
      <c r="AA272" s="911">
        <f t="shared" si="2554"/>
        <v>1.4495916285245717E-2</v>
      </c>
      <c r="AB272" s="911">
        <f t="shared" si="2554"/>
        <v>1.6072987170610651E-2</v>
      </c>
      <c r="AC272" s="911">
        <f t="shared" si="2554"/>
        <v>1.7660167735318602E-2</v>
      </c>
      <c r="AD272" s="911">
        <f t="shared" si="2554"/>
        <v>1.7786332891651432E-2</v>
      </c>
      <c r="AE272" s="911">
        <f t="shared" si="2554"/>
        <v>1.8875021336661812E-2</v>
      </c>
      <c r="AF272" s="911">
        <f t="shared" si="2554"/>
        <v>1.9733237461580812E-2</v>
      </c>
      <c r="AG272" s="911">
        <f t="shared" si="2554"/>
        <v>2.0278999220275012E-2</v>
      </c>
      <c r="AH272" s="911">
        <f t="shared" si="2554"/>
        <v>1.8849449303605027E-2</v>
      </c>
      <c r="AI272" s="911">
        <f t="shared" si="2554"/>
        <v>1.7326103465427765E-2</v>
      </c>
      <c r="AJ272" s="911">
        <f t="shared" ref="AJ272:BJ272" si="2555">+AJ271/((AJ269+AJ270)/2)</f>
        <v>1.4973131314694738E-2</v>
      </c>
      <c r="AK272" s="911">
        <f t="shared" si="2555"/>
        <v>1.3251883504455296E-2</v>
      </c>
      <c r="AL272" s="911">
        <f t="shared" si="2555"/>
        <v>1.2281690414550319E-2</v>
      </c>
      <c r="AM272" s="911">
        <f t="shared" si="2555"/>
        <v>1.2214729801994948E-2</v>
      </c>
      <c r="AN272" s="911">
        <f t="shared" si="2555"/>
        <v>1.3403885224678109E-2</v>
      </c>
      <c r="AO272" s="911">
        <f t="shared" si="2555"/>
        <v>1.5074996190368331E-2</v>
      </c>
      <c r="AP272" s="911">
        <f t="shared" si="2555"/>
        <v>1.6734677696879641E-2</v>
      </c>
      <c r="AQ272" s="911">
        <f t="shared" si="2555"/>
        <v>1.7552909957724051E-2</v>
      </c>
      <c r="AR272" s="911">
        <f t="shared" si="2555"/>
        <v>1.8328963994091778E-2</v>
      </c>
      <c r="AS272" s="911">
        <f t="shared" si="2555"/>
        <v>1.8322754475372485E-2</v>
      </c>
      <c r="AT272" s="911">
        <f t="shared" si="2555"/>
        <v>1.8868493726091728E-2</v>
      </c>
      <c r="AU272" s="911">
        <f t="shared" si="2555"/>
        <v>2.0409744508818745E-2</v>
      </c>
      <c r="AV272" s="911">
        <f t="shared" si="2555"/>
        <v>2.1913530533004016E-2</v>
      </c>
      <c r="AW272" s="911">
        <f t="shared" si="2555"/>
        <v>2.3352751950691874E-2</v>
      </c>
      <c r="AX272" s="911">
        <f t="shared" si="2555"/>
        <v>2.3316361391395507E-2</v>
      </c>
      <c r="AY272" s="911">
        <f t="shared" si="2555"/>
        <v>2.3382720148007914E-2</v>
      </c>
      <c r="AZ272" s="926">
        <f t="shared" si="2555"/>
        <v>2.3396980341209257E-2</v>
      </c>
      <c r="BA272" s="911">
        <f t="shared" si="2555"/>
        <v>2.3382566748056499E-2</v>
      </c>
      <c r="BB272" s="911">
        <f t="shared" si="2555"/>
        <v>2.2951057165372872E-2</v>
      </c>
      <c r="BC272" s="911">
        <f t="shared" si="2555"/>
        <v>2.1104865148320193E-2</v>
      </c>
      <c r="BD272" s="911">
        <f t="shared" si="2555"/>
        <v>1.8329447170694214E-2</v>
      </c>
      <c r="BE272" s="911">
        <f t="shared" si="2555"/>
        <v>1.5475538386934939E-2</v>
      </c>
      <c r="BF272" s="911">
        <f t="shared" si="2555"/>
        <v>1.2720000759797552E-2</v>
      </c>
      <c r="BG272" s="911">
        <f t="shared" si="2555"/>
        <v>1.1532871423164906E-2</v>
      </c>
      <c r="BH272" s="911">
        <f t="shared" si="2555"/>
        <v>1.0980786759531101E-2</v>
      </c>
      <c r="BI272" s="911">
        <f t="shared" si="2555"/>
        <v>1.0985173418456931E-2</v>
      </c>
      <c r="BJ272" s="911">
        <f t="shared" si="2555"/>
        <v>1.1060082004507607E-2</v>
      </c>
      <c r="BK272" s="911">
        <f t="shared" ref="BK272:BV272" si="2556">+BK271/((BK269+BK270)/2)</f>
        <v>1.1107799347948498E-2</v>
      </c>
      <c r="BL272" s="911">
        <f t="shared" si="2556"/>
        <v>1.1107799347948498E-2</v>
      </c>
      <c r="BM272" s="911">
        <f t="shared" si="2556"/>
        <v>1.0439149996161957E-2</v>
      </c>
      <c r="BN272" s="911">
        <f t="shared" si="2556"/>
        <v>8.6749050604713485E-3</v>
      </c>
      <c r="BO272" s="911">
        <f t="shared" si="2556"/>
        <v>7.3557421787141756E-3</v>
      </c>
      <c r="BP272" s="911">
        <f t="shared" si="2556"/>
        <v>5.4827475834828832E-3</v>
      </c>
      <c r="BQ272" s="911">
        <f t="shared" si="2556"/>
        <v>3.6291788816878996E-3</v>
      </c>
      <c r="BR272" s="911">
        <f t="shared" si="2556"/>
        <v>3.4740521012426749E-3</v>
      </c>
      <c r="BS272" s="911">
        <f t="shared" si="2556"/>
        <v>3.6980911961993486E-3</v>
      </c>
      <c r="BT272" s="911">
        <f t="shared" si="2556"/>
        <v>5.7902592064823727E-3</v>
      </c>
      <c r="BU272" s="911">
        <f>+BU271/((BU269+BU270)/2)</f>
        <v>8.5736922938439483E-3</v>
      </c>
      <c r="BV272" s="911">
        <f t="shared" si="2556"/>
        <v>1.2559368471189681E-2</v>
      </c>
      <c r="BW272" s="911">
        <f t="shared" ref="BW272:CD272" si="2557">+BW271/((BW269+BW270)/2)</f>
        <v>1.6348461460988881E-2</v>
      </c>
      <c r="BX272" s="911">
        <f t="shared" si="2557"/>
        <v>1.9494475041869554E-2</v>
      </c>
      <c r="BY272" s="911">
        <f t="shared" si="2557"/>
        <v>2.0635142501670697E-2</v>
      </c>
      <c r="BZ272" s="911">
        <f t="shared" si="2557"/>
        <v>1.9664805620033171E-2</v>
      </c>
      <c r="CA272" s="911">
        <f t="shared" si="2557"/>
        <v>1.8493078210139641E-2</v>
      </c>
      <c r="CB272" s="911">
        <f t="shared" si="2557"/>
        <v>1.8321272942173332E-2</v>
      </c>
      <c r="CC272" s="911">
        <f t="shared" si="2557"/>
        <v>1.7933622725393308E-2</v>
      </c>
      <c r="CD272" s="911">
        <f t="shared" si="2557"/>
        <v>1.6769111024013003E-2</v>
      </c>
      <c r="CE272" s="911">
        <f t="shared" ref="CE272:CF272" si="2558">+CE271/((CE269+CE270)/2)</f>
        <v>5.7085295173912809E-2</v>
      </c>
      <c r="CF272" s="911">
        <f t="shared" si="2558"/>
        <v>3.9409249967124499E-2</v>
      </c>
      <c r="CG272" s="911">
        <f t="shared" ref="CG272:CH272" si="2559">+CG271/((CG269+CG270)/2)</f>
        <v>4.6251604940849039E-2</v>
      </c>
      <c r="CH272" s="911">
        <f t="shared" si="2559"/>
        <v>2.4390702487801411E-2</v>
      </c>
      <c r="CI272" s="911">
        <f t="shared" ref="CI272:CL272" si="2560">+CI271/((CI269+CI270)/2)</f>
        <v>0</v>
      </c>
      <c r="CJ272" s="911">
        <f t="shared" si="2560"/>
        <v>0</v>
      </c>
      <c r="CK272" s="911">
        <f t="shared" si="2560"/>
        <v>0</v>
      </c>
      <c r="CL272" s="911">
        <f t="shared" si="2560"/>
        <v>4.2771200665335567E-2</v>
      </c>
      <c r="CM272" s="911">
        <f t="shared" ref="CM272:CP272" si="2561">+CM271/((CM269+CM270)/2)</f>
        <v>4.3435978115457116E-2</v>
      </c>
      <c r="CN272" s="911">
        <f t="shared" si="2561"/>
        <v>4.4019649296120324E-2</v>
      </c>
      <c r="CO272" s="911">
        <f t="shared" si="2561"/>
        <v>4.6498229654173814E-2</v>
      </c>
      <c r="CP272" s="911">
        <f t="shared" si="2561"/>
        <v>5.0663400073316871E-2</v>
      </c>
      <c r="CQ272" s="911"/>
      <c r="CR272" s="911">
        <v>4.2771200665335567E-2</v>
      </c>
      <c r="CT272" s="911"/>
      <c r="CU272" s="911"/>
      <c r="CV272" s="911"/>
      <c r="CW272" s="911"/>
      <c r="CX272" s="911" t="e">
        <f t="shared" ref="CX272:DF272" si="2562">+CX271/((CX269+CX270)/2)</f>
        <v>#REF!</v>
      </c>
      <c r="CY272" s="911" t="e">
        <f t="shared" si="2562"/>
        <v>#REF!</v>
      </c>
      <c r="CZ272" s="911">
        <f t="shared" si="2562"/>
        <v>4.2016574634137972E-2</v>
      </c>
      <c r="DA272" s="911">
        <f t="shared" si="2562"/>
        <v>5.1683996465686333E-2</v>
      </c>
      <c r="DB272" s="911">
        <f t="shared" si="2562"/>
        <v>6.2694101032421859E-2</v>
      </c>
      <c r="DC272" s="911">
        <f t="shared" si="2562"/>
        <v>4.8479646957159436E-2</v>
      </c>
      <c r="DD272" s="911">
        <f t="shared" si="2562"/>
        <v>4.9752395642195059E-2</v>
      </c>
      <c r="DE272" s="911">
        <f t="shared" si="2562"/>
        <v>6.5166360626754141E-2</v>
      </c>
      <c r="DF272" s="911">
        <f t="shared" si="2562"/>
        <v>7.8654580979124741E-2</v>
      </c>
      <c r="DG272" s="911">
        <f t="shared" ref="DG272:DL272" si="2563">+DG271/((DG269+DG270)/2)</f>
        <v>9.3150104651241003E-2</v>
      </c>
      <c r="DH272" s="911">
        <f t="shared" si="2563"/>
        <v>6.7698215480060442E-2</v>
      </c>
      <c r="DI272" s="911">
        <f t="shared" si="2563"/>
        <v>4.4786593672009656E-2</v>
      </c>
      <c r="DJ272" s="911">
        <f t="shared" si="2563"/>
        <v>4.1329653752530296E-2</v>
      </c>
      <c r="DK272" s="911">
        <f t="shared" si="2563"/>
        <v>1.9941720745127633E-2</v>
      </c>
      <c r="DL272" s="911">
        <f t="shared" si="2563"/>
        <v>2.9477027067072982E-2</v>
      </c>
      <c r="DM272" s="911">
        <f>+DM271/((DM269+DM270)/2)</f>
        <v>0.24655666764107498</v>
      </c>
      <c r="DN272" s="911">
        <f>+DN271/((DN269+DN270)/2)</f>
        <v>0.1374021584956206</v>
      </c>
      <c r="DO272" s="911">
        <f>+DO271/((DO269+DO270)/2)</f>
        <v>0.17282191550110715</v>
      </c>
      <c r="DP272" s="911">
        <f>+DP271/((DP269+DP270)/2)</f>
        <v>0.2359339600085075</v>
      </c>
      <c r="DQ272" s="911">
        <f>+DQ271/((DQ269+DQ270)/2)</f>
        <v>0.26719898286356397</v>
      </c>
      <c r="DR272" s="911">
        <f t="shared" ref="DR272" si="2564">+DR271/((DR269+DR270)/2)</f>
        <v>3.7333474945687034E-2</v>
      </c>
      <c r="DS272" s="911">
        <f t="shared" ref="DS272:DU272" si="2565">+DS271/((DS269+DS270)/2)</f>
        <v>3.8714004903392135E-2</v>
      </c>
      <c r="DT272" s="911">
        <f t="shared" si="2565"/>
        <v>3.8126523514690487E-2</v>
      </c>
      <c r="DU272" s="911">
        <f t="shared" si="2565"/>
        <v>3.6537324865127667E-2</v>
      </c>
      <c r="DX272" s="911">
        <v>3.5717504470332437E-2</v>
      </c>
      <c r="DY272" s="911">
        <v>3.6751654061337277E-2</v>
      </c>
    </row>
    <row r="273" spans="1:129" s="904" customFormat="1">
      <c r="A273" s="939"/>
      <c r="B273" s="940"/>
      <c r="C273" s="911"/>
      <c r="D273" s="911"/>
      <c r="E273" s="911"/>
      <c r="F273" s="911"/>
      <c r="G273" s="911"/>
      <c r="H273" s="911"/>
      <c r="I273" s="911"/>
      <c r="J273" s="911"/>
      <c r="K273" s="911"/>
      <c r="L273" s="911"/>
      <c r="M273" s="911"/>
      <c r="N273" s="911"/>
      <c r="O273" s="911"/>
      <c r="P273" s="911"/>
      <c r="Q273" s="911"/>
      <c r="R273" s="911"/>
      <c r="S273" s="911"/>
      <c r="T273" s="911"/>
      <c r="U273" s="911"/>
      <c r="V273" s="911"/>
      <c r="W273" s="911"/>
      <c r="X273" s="911"/>
      <c r="Y273" s="911"/>
      <c r="Z273" s="911"/>
      <c r="AA273" s="911"/>
      <c r="AB273" s="911"/>
      <c r="AC273" s="911"/>
      <c r="AD273" s="911"/>
      <c r="AE273" s="911"/>
      <c r="AF273" s="911"/>
      <c r="AG273" s="911"/>
      <c r="AH273" s="911"/>
      <c r="AI273" s="911"/>
      <c r="AJ273" s="911"/>
      <c r="AK273" s="911"/>
      <c r="AL273" s="911"/>
      <c r="AM273" s="911"/>
      <c r="AN273" s="911"/>
      <c r="AO273" s="911"/>
      <c r="AP273" s="911"/>
      <c r="AQ273" s="911"/>
      <c r="AR273" s="911"/>
      <c r="AS273" s="911"/>
      <c r="AT273" s="911"/>
      <c r="AU273" s="911"/>
      <c r="AV273" s="911"/>
      <c r="AW273" s="911"/>
      <c r="AX273" s="911"/>
      <c r="AY273" s="911"/>
      <c r="AZ273" s="926"/>
      <c r="BA273" s="911"/>
      <c r="BB273" s="911"/>
      <c r="BC273" s="911"/>
      <c r="BD273" s="911"/>
      <c r="BE273" s="911"/>
      <c r="BF273" s="911"/>
      <c r="BG273" s="911"/>
      <c r="BH273" s="911"/>
      <c r="BI273" s="911"/>
      <c r="BJ273" s="911"/>
      <c r="BK273" s="911"/>
      <c r="BL273" s="911"/>
      <c r="BM273" s="911"/>
      <c r="BN273" s="911"/>
      <c r="BO273" s="911"/>
      <c r="BP273" s="911"/>
      <c r="BQ273" s="911"/>
      <c r="BR273" s="911"/>
      <c r="BS273" s="911"/>
      <c r="BT273" s="911"/>
      <c r="BU273" s="911"/>
      <c r="BV273" s="911"/>
      <c r="BW273" s="911"/>
      <c r="BX273" s="911"/>
      <c r="BY273" s="911"/>
      <c r="BZ273" s="911"/>
      <c r="CA273" s="911"/>
      <c r="CB273" s="911"/>
      <c r="CC273" s="911"/>
      <c r="CD273" s="911"/>
      <c r="CE273" s="911"/>
      <c r="CF273" s="911"/>
      <c r="CG273" s="911"/>
      <c r="CH273" s="911"/>
      <c r="CI273" s="911"/>
      <c r="CJ273" s="911"/>
      <c r="CK273" s="911"/>
      <c r="CL273" s="911"/>
      <c r="CM273" s="911"/>
      <c r="CN273" s="911"/>
      <c r="CO273" s="911"/>
      <c r="CP273" s="911"/>
      <c r="CQ273" s="911"/>
      <c r="CR273" s="911"/>
      <c r="CT273" s="911"/>
      <c r="CU273" s="911"/>
      <c r="CV273" s="911"/>
      <c r="CW273" s="911"/>
      <c r="CX273" s="911" t="e">
        <f>+CX272/MACRO!DP6</f>
        <v>#REF!</v>
      </c>
      <c r="CY273" s="911" t="e">
        <f>+CY272/MACRO!DQ6</f>
        <v>#REF!</v>
      </c>
      <c r="CZ273" s="911">
        <f>+CZ272/MACRO!DR6</f>
        <v>0.48018942439014822</v>
      </c>
      <c r="DA273" s="911">
        <f>+DA272/MACRO!DS6</f>
        <v>0.48078136247150072</v>
      </c>
      <c r="DB273" s="911">
        <f>+DB272/MACRO!DT6</f>
        <v>0.56994637302201678</v>
      </c>
      <c r="DC273" s="911">
        <f>+DC272/MACRO!DU6</f>
        <v>0.57933083291608833</v>
      </c>
      <c r="DD273" s="911">
        <f>+DD272/MACRO!DV6</f>
        <v>0.5996395907316685</v>
      </c>
      <c r="DE273" s="911">
        <f>+DE272/MACRO!DW6</f>
        <v>0.59458358236089548</v>
      </c>
      <c r="DF273" s="911">
        <f>+DF272/MACRO!DX6</f>
        <v>0.58230302409124368</v>
      </c>
      <c r="DG273" s="911">
        <f>+DG272/MACRO!DY6</f>
        <v>0.65702771751889266</v>
      </c>
      <c r="DH273" s="911">
        <f>+DH272/MACRO!DZ6</f>
        <v>0.66714181305799891</v>
      </c>
      <c r="DI273" s="911">
        <f>+DI272/MACRO!EA6</f>
        <v>0.68051804249967196</v>
      </c>
      <c r="DJ273" s="911">
        <f>+DJ272/MACRO!EB6</f>
        <v>0.6845491304766923</v>
      </c>
      <c r="DK273" s="911">
        <f>+DK272/MACRO!EC6</f>
        <v>0.69182032073296207</v>
      </c>
      <c r="DL273" s="911">
        <f>+DL272/MACRO!ED6</f>
        <v>0.64963145051400517</v>
      </c>
      <c r="DM273" s="911">
        <f>+DM272/MACRO!EE6</f>
        <v>1.9622496429850778</v>
      </c>
      <c r="DN273" s="911">
        <f>+DN272/MACRO!EF6</f>
        <v>1.0332931640956615</v>
      </c>
      <c r="DO273" s="911">
        <f>+DO272/MACRO!EG6</f>
        <v>1.580086084581551</v>
      </c>
      <c r="DP273" s="911">
        <f>+DP272/MACRO!EH6</f>
        <v>1.6178328686297656</v>
      </c>
      <c r="DQ273" s="911">
        <f>+DQ272/MACRO!EI6</f>
        <v>2.0165960970835015</v>
      </c>
      <c r="DR273" s="911">
        <f>+DR272/MACRO!EJ6</f>
        <v>0.3246389125711916</v>
      </c>
      <c r="DS273" s="911">
        <f>+DS272/MACRO!EK6</f>
        <v>0.35194549912174666</v>
      </c>
      <c r="DT273" s="911">
        <f>+DT272/MACRO!EL6</f>
        <v>0.38126523514690486</v>
      </c>
      <c r="DU273" s="911">
        <f>+DU272/MACRO!EM6</f>
        <v>0.4059702762791963</v>
      </c>
      <c r="DX273" s="911">
        <v>0.26956607147420708</v>
      </c>
      <c r="DY273" s="911">
        <v>0.31957960053336759</v>
      </c>
    </row>
    <row r="274" spans="1:129" s="904" customFormat="1">
      <c r="A274" s="939"/>
      <c r="B274" s="940" t="s">
        <v>535</v>
      </c>
      <c r="C274" s="903">
        <f t="shared" ref="C274:AH274" si="2566">+C19</f>
        <v>0</v>
      </c>
      <c r="D274" s="903">
        <f t="shared" si="2566"/>
        <v>0</v>
      </c>
      <c r="E274" s="903">
        <f t="shared" si="2566"/>
        <v>0</v>
      </c>
      <c r="F274" s="903">
        <f t="shared" si="2566"/>
        <v>0</v>
      </c>
      <c r="G274" s="903">
        <f t="shared" si="2566"/>
        <v>0</v>
      </c>
      <c r="H274" s="903">
        <f t="shared" si="2566"/>
        <v>0</v>
      </c>
      <c r="I274" s="903">
        <f t="shared" si="2566"/>
        <v>7700</v>
      </c>
      <c r="J274" s="903">
        <f t="shared" si="2566"/>
        <v>9600</v>
      </c>
      <c r="K274" s="903">
        <f t="shared" si="2566"/>
        <v>7100</v>
      </c>
      <c r="L274" s="903">
        <f t="shared" si="2566"/>
        <v>5700</v>
      </c>
      <c r="M274" s="903">
        <f t="shared" si="2566"/>
        <v>5800</v>
      </c>
      <c r="N274" s="903">
        <f t="shared" si="2566"/>
        <v>6600</v>
      </c>
      <c r="O274" s="903">
        <f t="shared" si="2566"/>
        <v>4800</v>
      </c>
      <c r="P274" s="903">
        <f t="shared" si="2566"/>
        <v>3300</v>
      </c>
      <c r="Q274" s="903">
        <f t="shared" si="2566"/>
        <v>4600</v>
      </c>
      <c r="R274" s="903">
        <f t="shared" si="2566"/>
        <v>6100</v>
      </c>
      <c r="S274" s="903">
        <f t="shared" si="2566"/>
        <v>4300</v>
      </c>
      <c r="T274" s="903">
        <f t="shared" si="2566"/>
        <v>6600</v>
      </c>
      <c r="U274" s="903">
        <f t="shared" si="2566"/>
        <v>5200</v>
      </c>
      <c r="V274" s="903">
        <f t="shared" si="2566"/>
        <v>11400</v>
      </c>
      <c r="W274" s="903">
        <f t="shared" si="2566"/>
        <v>4800</v>
      </c>
      <c r="X274" s="903">
        <f t="shared" si="2566"/>
        <v>5700</v>
      </c>
      <c r="Y274" s="903">
        <f t="shared" si="2566"/>
        <v>7200</v>
      </c>
      <c r="Z274" s="903">
        <f t="shared" si="2566"/>
        <v>13200</v>
      </c>
      <c r="AA274" s="903">
        <f t="shared" si="2566"/>
        <v>10403</v>
      </c>
      <c r="AB274" s="903">
        <f t="shared" si="2566"/>
        <v>11800</v>
      </c>
      <c r="AC274" s="903">
        <f t="shared" si="2566"/>
        <v>13900</v>
      </c>
      <c r="AD274" s="903">
        <f t="shared" si="2566"/>
        <v>9600</v>
      </c>
      <c r="AE274" s="903">
        <f t="shared" si="2566"/>
        <v>9375</v>
      </c>
      <c r="AF274" s="903">
        <f t="shared" si="2566"/>
        <v>4340</v>
      </c>
      <c r="AG274" s="903">
        <f t="shared" si="2566"/>
        <v>13330</v>
      </c>
      <c r="AH274" s="903">
        <f t="shared" si="2566"/>
        <v>13898.000000000004</v>
      </c>
      <c r="AI274" s="903">
        <f t="shared" ref="AI274:BO274" si="2567">+AI19</f>
        <v>6923</v>
      </c>
      <c r="AJ274" s="903">
        <f t="shared" si="2567"/>
        <v>4764</v>
      </c>
      <c r="AK274" s="903">
        <f t="shared" si="2567"/>
        <v>11088</v>
      </c>
      <c r="AL274" s="903">
        <f t="shared" si="2567"/>
        <v>3156</v>
      </c>
      <c r="AM274" s="903">
        <f t="shared" si="2567"/>
        <v>9803</v>
      </c>
      <c r="AN274" s="903">
        <f t="shared" si="2567"/>
        <v>4866</v>
      </c>
      <c r="AO274" s="903">
        <f t="shared" si="2567"/>
        <v>17971</v>
      </c>
      <c r="AP274" s="903">
        <f t="shared" si="2567"/>
        <v>19705</v>
      </c>
      <c r="AQ274" s="903">
        <f t="shared" si="2567"/>
        <v>19520</v>
      </c>
      <c r="AR274" s="903">
        <f t="shared" si="2567"/>
        <v>17297</v>
      </c>
      <c r="AS274" s="903">
        <f t="shared" si="2567"/>
        <v>32001</v>
      </c>
      <c r="AT274" s="903">
        <f t="shared" si="2567"/>
        <v>24270</v>
      </c>
      <c r="AU274" s="903">
        <f t="shared" si="2567"/>
        <v>31735</v>
      </c>
      <c r="AV274" s="903">
        <f t="shared" si="2567"/>
        <v>28035</v>
      </c>
      <c r="AW274" s="903">
        <f t="shared" si="2567"/>
        <v>24063</v>
      </c>
      <c r="AX274" s="903">
        <f t="shared" si="2567"/>
        <v>10020</v>
      </c>
      <c r="AY274" s="903">
        <f t="shared" si="2567"/>
        <v>30503</v>
      </c>
      <c r="AZ274" s="903">
        <f t="shared" si="2567"/>
        <v>20105</v>
      </c>
      <c r="BA274" s="903">
        <f t="shared" si="2567"/>
        <v>19708</v>
      </c>
      <c r="BB274" s="903">
        <f t="shared" si="2567"/>
        <v>17156</v>
      </c>
      <c r="BC274" s="903">
        <f t="shared" si="2567"/>
        <v>19324</v>
      </c>
      <c r="BD274" s="903">
        <f t="shared" si="2567"/>
        <v>14578.999999999998</v>
      </c>
      <c r="BE274" s="903">
        <f t="shared" si="2567"/>
        <v>11242</v>
      </c>
      <c r="BF274" s="903">
        <f t="shared" si="2567"/>
        <v>9646.0000000000036</v>
      </c>
      <c r="BG274" s="903">
        <f t="shared" si="2567"/>
        <v>10206</v>
      </c>
      <c r="BH274" s="903">
        <f t="shared" si="2567"/>
        <v>7896</v>
      </c>
      <c r="BI274" s="903">
        <f t="shared" si="2567"/>
        <v>7011</v>
      </c>
      <c r="BJ274" s="903">
        <f t="shared" si="2567"/>
        <v>6178.0000000000009</v>
      </c>
      <c r="BK274" s="903">
        <f t="shared" si="2567"/>
        <v>7600</v>
      </c>
      <c r="BL274" s="903">
        <f t="shared" si="2567"/>
        <v>10100</v>
      </c>
      <c r="BM274" s="903">
        <f t="shared" si="2567"/>
        <v>11200</v>
      </c>
      <c r="BN274" s="903">
        <f t="shared" si="2567"/>
        <v>6900</v>
      </c>
      <c r="BO274" s="903">
        <f t="shared" si="2567"/>
        <v>10300</v>
      </c>
      <c r="BP274" s="609"/>
      <c r="BQ274" s="609"/>
      <c r="BR274" s="609"/>
      <c r="BS274" s="609"/>
      <c r="BT274" s="609"/>
      <c r="BU274" s="609"/>
      <c r="BV274" s="609"/>
      <c r="BW274" s="609"/>
      <c r="BX274" s="609"/>
      <c r="BY274" s="609"/>
      <c r="BZ274" s="609"/>
      <c r="CA274" s="609"/>
      <c r="CB274" s="609"/>
      <c r="CC274" s="609"/>
      <c r="CD274" s="609"/>
      <c r="CE274" s="609"/>
      <c r="CF274" s="609"/>
      <c r="CG274" s="609"/>
      <c r="CH274" s="609"/>
      <c r="CI274" s="609"/>
      <c r="CJ274" s="609"/>
      <c r="CK274" s="609"/>
      <c r="CL274" s="609"/>
      <c r="CM274" s="609"/>
      <c r="CN274" s="609"/>
      <c r="CO274" s="609"/>
      <c r="CP274" s="609"/>
      <c r="CQ274" s="609"/>
      <c r="CR274" s="609"/>
      <c r="CT274" s="903"/>
      <c r="CU274" s="903"/>
      <c r="CV274" s="903"/>
      <c r="CW274" s="903"/>
      <c r="CX274" s="903">
        <f>+CX19</f>
        <v>18800</v>
      </c>
      <c r="CY274" s="903">
        <f>+CY19</f>
        <v>27500</v>
      </c>
      <c r="CZ274" s="903">
        <f>+CZ19</f>
        <v>30900</v>
      </c>
      <c r="DA274" s="911"/>
      <c r="DB274" s="911"/>
      <c r="DC274" s="911"/>
      <c r="DD274" s="911"/>
      <c r="DE274" s="911"/>
      <c r="DF274" s="911"/>
      <c r="DG274" s="911"/>
      <c r="DH274" s="911"/>
      <c r="DI274" s="911"/>
      <c r="DJ274" s="911"/>
      <c r="DK274" s="911"/>
      <c r="DL274" s="911"/>
      <c r="DM274" s="911"/>
      <c r="DN274" s="911"/>
      <c r="DO274" s="911"/>
      <c r="DP274" s="911"/>
      <c r="DQ274" s="911"/>
      <c r="DR274" s="911"/>
      <c r="DS274" s="911"/>
      <c r="DT274" s="911"/>
      <c r="DU274" s="911"/>
      <c r="DX274" s="911"/>
      <c r="DY274" s="911"/>
    </row>
    <row r="275" spans="1:129" s="904" customFormat="1">
      <c r="A275" s="939"/>
      <c r="B275" s="940" t="s">
        <v>536</v>
      </c>
      <c r="C275" s="911"/>
      <c r="D275" s="911"/>
      <c r="E275" s="911"/>
      <c r="F275" s="911"/>
      <c r="G275" s="911"/>
      <c r="H275" s="911"/>
      <c r="I275" s="911">
        <f t="shared" ref="I275:BD275" si="2568">+I274/((I269+I270)/2)</f>
        <v>3.4803125049436258E-2</v>
      </c>
      <c r="J275" s="911">
        <f t="shared" si="2568"/>
        <v>3.0860675302297996E-2</v>
      </c>
      <c r="K275" s="911">
        <f t="shared" si="2568"/>
        <v>2.8382573100116527E-2</v>
      </c>
      <c r="L275" s="911">
        <f t="shared" si="2568"/>
        <v>2.735091949472775E-2</v>
      </c>
      <c r="M275" s="911">
        <f t="shared" si="2568"/>
        <v>2.4822603976752348E-2</v>
      </c>
      <c r="N275" s="911">
        <f t="shared" si="2568"/>
        <v>2.4671882651554514E-2</v>
      </c>
      <c r="O275" s="911">
        <f t="shared" si="2568"/>
        <v>1.9686775203686349E-2</v>
      </c>
      <c r="P275" s="911">
        <f t="shared" si="2568"/>
        <v>1.5626368787038637E-2</v>
      </c>
      <c r="Q275" s="911">
        <f t="shared" si="2568"/>
        <v>1.7826348117576392E-2</v>
      </c>
      <c r="R275" s="911">
        <f t="shared" si="2568"/>
        <v>2.0597913532660356E-2</v>
      </c>
      <c r="S275" s="911">
        <f t="shared" si="2568"/>
        <v>1.638329285135972E-2</v>
      </c>
      <c r="T275" s="911">
        <f t="shared" si="2568"/>
        <v>2.9782788706908026E-2</v>
      </c>
      <c r="U275" s="911">
        <f t="shared" si="2568"/>
        <v>2.5151696167510295E-2</v>
      </c>
      <c r="V275" s="911">
        <f t="shared" si="2568"/>
        <v>5.9166530427945285E-2</v>
      </c>
      <c r="W275" s="911">
        <f t="shared" si="2568"/>
        <v>3.2041761095294198E-2</v>
      </c>
      <c r="X275" s="911">
        <f t="shared" si="2568"/>
        <v>3.7649358970124905E-2</v>
      </c>
      <c r="Y275" s="911">
        <f t="shared" si="2568"/>
        <v>2.7816196753231701E-2</v>
      </c>
      <c r="Z275" s="911">
        <f t="shared" si="2568"/>
        <v>3.6099848900253653E-2</v>
      </c>
      <c r="AA275" s="911">
        <f t="shared" si="2568"/>
        <v>2.5344117718712696E-2</v>
      </c>
      <c r="AB275" s="911">
        <f t="shared" si="2568"/>
        <v>3.0707735226456534E-2</v>
      </c>
      <c r="AC275" s="911">
        <f t="shared" si="2568"/>
        <v>3.5773295106522066E-2</v>
      </c>
      <c r="AD275" s="911">
        <f t="shared" si="2568"/>
        <v>1.7424717506305115E-2</v>
      </c>
      <c r="AE275" s="911">
        <f t="shared" si="2568"/>
        <v>1.5526240173960135E-2</v>
      </c>
      <c r="AF275" s="911">
        <f t="shared" si="2568"/>
        <v>1.1320390527389345E-2</v>
      </c>
      <c r="AG275" s="911">
        <f t="shared" si="2568"/>
        <v>2.9046013854055221E-2</v>
      </c>
      <c r="AH275" s="911">
        <f t="shared" si="2568"/>
        <v>2.2236693263872339E-2</v>
      </c>
      <c r="AI275" s="911">
        <f t="shared" si="2568"/>
        <v>1.2697975990682404E-2</v>
      </c>
      <c r="AJ275" s="911">
        <f t="shared" si="2568"/>
        <v>1.0966610997227271E-2</v>
      </c>
      <c r="AK275" s="911">
        <f t="shared" si="2568"/>
        <v>2.1882317417933908E-2</v>
      </c>
      <c r="AL275" s="911">
        <f t="shared" si="2568"/>
        <v>4.7074616847522094E-3</v>
      </c>
      <c r="AM275" s="911">
        <f t="shared" si="2568"/>
        <v>1.6131898801667988E-2</v>
      </c>
      <c r="AN275" s="911">
        <f t="shared" si="2568"/>
        <v>9.9215208920805219E-3</v>
      </c>
      <c r="AO275" s="911">
        <f t="shared" si="2568"/>
        <v>2.8109575884983955E-2</v>
      </c>
      <c r="AP275" s="911">
        <f t="shared" si="2568"/>
        <v>2.4158779764002866E-2</v>
      </c>
      <c r="AQ275" s="911">
        <f t="shared" si="2568"/>
        <v>2.4884945372955471E-2</v>
      </c>
      <c r="AR275" s="911">
        <f t="shared" si="2568"/>
        <v>2.3263727307207088E-2</v>
      </c>
      <c r="AS275" s="911">
        <f t="shared" si="2568"/>
        <v>4.7082589108371903E-2</v>
      </c>
      <c r="AT275" s="911">
        <f t="shared" si="2568"/>
        <v>3.2934643662625489E-2</v>
      </c>
      <c r="AU275" s="911">
        <f t="shared" si="2568"/>
        <v>3.9801188454582623E-2</v>
      </c>
      <c r="AV275" s="911">
        <f t="shared" si="2568"/>
        <v>3.845017078678499E-2</v>
      </c>
      <c r="AW275" s="911">
        <f t="shared" si="2568"/>
        <v>3.7739696002772875E-2</v>
      </c>
      <c r="AX275" s="911">
        <f t="shared" si="2568"/>
        <v>1.5195482604432925E-2</v>
      </c>
      <c r="AY275" s="911">
        <f t="shared" si="2568"/>
        <v>3.845722275384629E-2</v>
      </c>
      <c r="AZ275" s="911">
        <f t="shared" si="2568"/>
        <v>2.4620844505375744E-2</v>
      </c>
      <c r="BA275" s="911">
        <f t="shared" si="2568"/>
        <v>2.5876166498714923E-2</v>
      </c>
      <c r="BB275" s="911">
        <f t="shared" si="2568"/>
        <v>2.1006579555563173E-2</v>
      </c>
      <c r="BC275" s="911">
        <f t="shared" si="2568"/>
        <v>2.121955330666065E-2</v>
      </c>
      <c r="BD275" s="911">
        <f t="shared" si="2568"/>
        <v>1.5371111819856767E-2</v>
      </c>
      <c r="BE275" s="911">
        <f t="shared" ref="BE275:BO275" si="2569">+BE274/((BE269+BE270)/2)</f>
        <v>1.2124937983994478E-2</v>
      </c>
      <c r="BF275" s="911">
        <f t="shared" si="2569"/>
        <v>9.5213042390335009E-3</v>
      </c>
      <c r="BG275" s="911">
        <f t="shared" si="2569"/>
        <v>9.968641657806792E-3</v>
      </c>
      <c r="BH275" s="911">
        <f t="shared" si="2569"/>
        <v>9.0201445325083906E-3</v>
      </c>
      <c r="BI275" s="911">
        <f t="shared" si="2569"/>
        <v>7.7021399776878528E-3</v>
      </c>
      <c r="BJ275" s="911">
        <f t="shared" si="2569"/>
        <v>5.2600748568762418E-3</v>
      </c>
      <c r="BK275" s="911">
        <f t="shared" si="2569"/>
        <v>5.6093901190593055E-3</v>
      </c>
      <c r="BL275" s="911">
        <f t="shared" si="2569"/>
        <v>8.8866716203261937E-3</v>
      </c>
      <c r="BM275" s="911">
        <f t="shared" si="2569"/>
        <v>1.1279435423973333E-2</v>
      </c>
      <c r="BN275" s="911">
        <f t="shared" si="2569"/>
        <v>5.7248868297733943E-3</v>
      </c>
      <c r="BO275" s="911">
        <f t="shared" si="2569"/>
        <v>6.6111628521968637E-3</v>
      </c>
      <c r="BP275" s="608"/>
      <c r="BQ275" s="608"/>
      <c r="BR275" s="608"/>
      <c r="BS275" s="608"/>
      <c r="BT275" s="608"/>
      <c r="BU275" s="608"/>
      <c r="BV275" s="608"/>
      <c r="BW275" s="608"/>
      <c r="BX275" s="608"/>
      <c r="BY275" s="608"/>
      <c r="BZ275" s="608"/>
      <c r="CA275" s="608"/>
      <c r="CB275" s="608"/>
      <c r="CC275" s="608"/>
      <c r="CD275" s="608"/>
      <c r="CE275" s="608"/>
      <c r="CF275" s="608"/>
      <c r="CG275" s="608"/>
      <c r="CH275" s="608"/>
      <c r="CI275" s="608"/>
      <c r="CJ275" s="608"/>
      <c r="CK275" s="608"/>
      <c r="CL275" s="608"/>
      <c r="CM275" s="608"/>
      <c r="CN275" s="608"/>
      <c r="CO275" s="608"/>
      <c r="CP275" s="608"/>
      <c r="CQ275" s="608"/>
      <c r="CR275" s="608"/>
      <c r="CT275" s="911"/>
      <c r="CU275" s="911"/>
      <c r="CV275" s="911"/>
      <c r="CW275" s="911"/>
      <c r="CX275" s="911"/>
      <c r="CY275" s="911"/>
      <c r="CZ275" s="911"/>
      <c r="DA275" s="911"/>
      <c r="DB275" s="911"/>
      <c r="DC275" s="911"/>
      <c r="DD275" s="911"/>
      <c r="DE275" s="911"/>
      <c r="DF275" s="911"/>
      <c r="DG275" s="911"/>
      <c r="DH275" s="911"/>
      <c r="DI275" s="911"/>
      <c r="DJ275" s="911"/>
      <c r="DK275" s="911"/>
      <c r="DL275" s="911"/>
      <c r="DM275" s="911"/>
      <c r="DN275" s="911"/>
      <c r="DO275" s="911"/>
      <c r="DP275" s="911"/>
      <c r="DQ275" s="911"/>
      <c r="DR275" s="911"/>
      <c r="DS275" s="911"/>
      <c r="DT275" s="911"/>
      <c r="DU275" s="911"/>
      <c r="DX275" s="911"/>
      <c r="DY275" s="911"/>
    </row>
    <row r="276" spans="1:129" s="904" customFormat="1">
      <c r="A276" s="592"/>
      <c r="B276" s="592"/>
      <c r="C276" s="592"/>
      <c r="D276" s="592"/>
      <c r="E276" s="592"/>
      <c r="F276" s="592"/>
      <c r="G276" s="592"/>
      <c r="H276" s="592"/>
      <c r="I276" s="592"/>
      <c r="J276" s="592"/>
      <c r="K276" s="592"/>
      <c r="L276" s="592"/>
      <c r="M276" s="592"/>
      <c r="N276" s="592"/>
      <c r="O276" s="592"/>
      <c r="P276" s="592"/>
      <c r="Q276" s="592"/>
      <c r="R276" s="592"/>
      <c r="S276" s="592"/>
      <c r="T276" s="592"/>
      <c r="U276" s="592"/>
      <c r="V276" s="592"/>
      <c r="W276" s="592"/>
      <c r="X276" s="592"/>
      <c r="Y276" s="592"/>
      <c r="Z276" s="592"/>
      <c r="AA276" s="592"/>
      <c r="AB276" s="592"/>
      <c r="AC276" s="592"/>
      <c r="AD276" s="592"/>
      <c r="AE276" s="592"/>
      <c r="AF276" s="592"/>
      <c r="AG276" s="592"/>
      <c r="AH276" s="592"/>
      <c r="AI276" s="592"/>
      <c r="AJ276" s="592"/>
      <c r="AK276" s="592"/>
      <c r="AL276" s="592"/>
      <c r="AM276" s="592"/>
      <c r="AN276" s="592"/>
      <c r="AO276" s="592"/>
      <c r="AP276" s="592"/>
      <c r="AQ276" s="592"/>
      <c r="AR276" s="592"/>
      <c r="AS276" s="592"/>
      <c r="AT276" s="592"/>
      <c r="AU276" s="592"/>
      <c r="AV276" s="592"/>
      <c r="AW276" s="592"/>
      <c r="AX276" s="592"/>
      <c r="AY276" s="592"/>
      <c r="AZ276" s="910"/>
      <c r="BA276" s="592"/>
      <c r="BB276" s="592"/>
      <c r="BC276" s="592"/>
      <c r="BD276" s="592"/>
      <c r="BE276" s="592"/>
      <c r="BF276" s="592"/>
      <c r="BG276" s="592"/>
      <c r="BH276" s="592"/>
      <c r="BI276" s="592"/>
      <c r="BJ276" s="592"/>
      <c r="BK276" s="592"/>
      <c r="BL276" s="592"/>
      <c r="BM276" s="592"/>
      <c r="BN276" s="592"/>
      <c r="BO276" s="592"/>
      <c r="BP276" s="592"/>
      <c r="BQ276" s="592"/>
      <c r="BR276" s="592"/>
      <c r="BS276" s="592"/>
      <c r="BT276" s="592"/>
      <c r="BU276" s="592"/>
      <c r="BV276" s="592"/>
      <c r="BW276" s="592"/>
      <c r="BX276" s="592"/>
      <c r="BY276" s="592"/>
      <c r="BZ276" s="592"/>
      <c r="CA276" s="592"/>
      <c r="CB276" s="592"/>
      <c r="CC276" s="592"/>
      <c r="CD276" s="592"/>
      <c r="CE276" s="592"/>
      <c r="CF276" s="592"/>
      <c r="CG276" s="592"/>
      <c r="CH276" s="592"/>
      <c r="CI276" s="592"/>
      <c r="CJ276" s="592"/>
      <c r="CK276" s="592"/>
      <c r="CL276" s="592"/>
      <c r="CM276" s="592"/>
      <c r="CN276" s="592"/>
      <c r="CO276" s="592"/>
      <c r="CP276" s="592"/>
      <c r="CQ276" s="592"/>
      <c r="CR276" s="592"/>
      <c r="CT276" s="592"/>
      <c r="CU276" s="592"/>
      <c r="CV276" s="592"/>
      <c r="CW276" s="592"/>
      <c r="CX276" s="592"/>
      <c r="CY276" s="592"/>
      <c r="CZ276" s="592"/>
      <c r="DA276" s="592"/>
      <c r="DB276" s="592"/>
      <c r="DC276" s="592"/>
      <c r="DD276" s="592"/>
      <c r="DE276" s="592"/>
      <c r="DF276" s="592"/>
      <c r="DG276" s="592"/>
      <c r="DH276" s="592"/>
      <c r="DI276" s="592"/>
      <c r="DJ276" s="592"/>
      <c r="DK276" s="592"/>
      <c r="DL276" s="592"/>
      <c r="DM276" s="592"/>
      <c r="DN276" s="592"/>
      <c r="DO276" s="592"/>
      <c r="DP276" s="592"/>
      <c r="DQ276" s="592"/>
      <c r="DR276" s="592"/>
      <c r="DS276" s="592"/>
      <c r="DT276" s="592"/>
      <c r="DU276" s="592"/>
      <c r="DX276" s="592"/>
      <c r="DY276" s="592"/>
    </row>
    <row r="277" spans="1:129" s="904" customFormat="1">
      <c r="A277" s="939"/>
      <c r="B277" s="949" t="s">
        <v>537</v>
      </c>
      <c r="C277" s="592">
        <v>0</v>
      </c>
      <c r="D277" s="592">
        <f t="shared" ref="D277:R277" si="2570">+C90</f>
        <v>0</v>
      </c>
      <c r="E277" s="592">
        <f t="shared" si="2570"/>
        <v>97531</v>
      </c>
      <c r="F277" s="592">
        <f t="shared" si="2570"/>
        <v>101924</v>
      </c>
      <c r="G277" s="592">
        <f t="shared" si="2570"/>
        <v>99751</v>
      </c>
      <c r="H277" s="592">
        <f t="shared" si="2570"/>
        <v>85882</v>
      </c>
      <c r="I277" s="592">
        <f t="shared" si="2570"/>
        <v>110136</v>
      </c>
      <c r="J277" s="592">
        <f t="shared" si="2570"/>
        <v>266313</v>
      </c>
      <c r="K277" s="592">
        <f t="shared" si="2570"/>
        <v>276516</v>
      </c>
      <c r="L277" s="592">
        <f t="shared" si="2570"/>
        <v>167074</v>
      </c>
      <c r="M277" s="592">
        <f t="shared" si="2570"/>
        <v>219862</v>
      </c>
      <c r="N277" s="592">
        <f t="shared" si="2570"/>
        <v>217485</v>
      </c>
      <c r="O277" s="592">
        <f t="shared" si="2570"/>
        <v>287203</v>
      </c>
      <c r="P277" s="592">
        <f t="shared" si="2570"/>
        <v>168508</v>
      </c>
      <c r="Q277" s="592">
        <f t="shared" si="2570"/>
        <v>220800</v>
      </c>
      <c r="R277" s="592">
        <f t="shared" si="2570"/>
        <v>261762</v>
      </c>
      <c r="S277" s="592">
        <f t="shared" ref="S277:AX277" si="2571">R90</f>
        <v>296432</v>
      </c>
      <c r="T277" s="592">
        <f t="shared" si="2571"/>
        <v>190600</v>
      </c>
      <c r="U277" s="592">
        <f t="shared" si="2571"/>
        <v>210317</v>
      </c>
      <c r="V277" s="592">
        <f t="shared" si="2571"/>
        <v>157877</v>
      </c>
      <c r="W277" s="592">
        <f t="shared" si="2571"/>
        <v>178700</v>
      </c>
      <c r="X277" s="592">
        <f t="shared" si="2571"/>
        <v>83339</v>
      </c>
      <c r="Y277" s="592">
        <f t="shared" si="2571"/>
        <v>194402</v>
      </c>
      <c r="Z277" s="592">
        <f t="shared" si="2571"/>
        <v>297666</v>
      </c>
      <c r="AA277" s="592">
        <f t="shared" si="2571"/>
        <v>411370</v>
      </c>
      <c r="AB277" s="592">
        <f t="shared" si="2571"/>
        <v>390846</v>
      </c>
      <c r="AC277" s="592">
        <f t="shared" si="2571"/>
        <v>359077</v>
      </c>
      <c r="AD277" s="592">
        <f t="shared" si="2571"/>
        <v>399221</v>
      </c>
      <c r="AE277" s="592">
        <f t="shared" si="2571"/>
        <v>683661</v>
      </c>
      <c r="AF277" s="592">
        <f t="shared" si="2571"/>
        <v>504977</v>
      </c>
      <c r="AG277" s="592">
        <f t="shared" si="2571"/>
        <v>242212</v>
      </c>
      <c r="AH277" s="592">
        <f t="shared" si="2571"/>
        <v>659093</v>
      </c>
      <c r="AI277" s="592">
        <f t="shared" si="2571"/>
        <v>578264</v>
      </c>
      <c r="AJ277" s="592">
        <f t="shared" si="2571"/>
        <v>499359</v>
      </c>
      <c r="AK277" s="592">
        <f t="shared" si="2571"/>
        <v>356209</v>
      </c>
      <c r="AL277" s="592">
        <f t="shared" si="2571"/>
        <v>643715</v>
      </c>
      <c r="AM277" s="592">
        <f t="shared" si="2571"/>
        <v>683270</v>
      </c>
      <c r="AN277" s="592">
        <f t="shared" si="2571"/>
        <v>518146</v>
      </c>
      <c r="AO277" s="592">
        <f t="shared" si="2571"/>
        <v>448708</v>
      </c>
      <c r="AP277" s="592">
        <f t="shared" si="2571"/>
        <v>815695</v>
      </c>
      <c r="AQ277" s="592">
        <f t="shared" si="2571"/>
        <v>801592</v>
      </c>
      <c r="AR277" s="592">
        <f t="shared" si="2571"/>
        <v>753394</v>
      </c>
      <c r="AS277" s="592">
        <f t="shared" si="2571"/>
        <v>719629</v>
      </c>
      <c r="AT277" s="592">
        <f t="shared" si="2571"/>
        <v>626461</v>
      </c>
      <c r="AU277" s="592">
        <f t="shared" si="2571"/>
        <v>834340</v>
      </c>
      <c r="AV277" s="592">
        <f t="shared" si="2571"/>
        <v>748236</v>
      </c>
      <c r="AW277" s="592">
        <f t="shared" si="2571"/>
        <v>696597</v>
      </c>
      <c r="AX277" s="592">
        <f t="shared" si="2571"/>
        <v>559617</v>
      </c>
      <c r="AY277" s="592">
        <f t="shared" ref="AY277:CI277" si="2572">AX90</f>
        <v>737527</v>
      </c>
      <c r="AZ277" s="910">
        <f t="shared" si="2572"/>
        <v>827183</v>
      </c>
      <c r="BA277" s="592">
        <f t="shared" si="2572"/>
        <v>784706</v>
      </c>
      <c r="BB277" s="592">
        <f t="shared" si="2572"/>
        <v>717775</v>
      </c>
      <c r="BC277" s="592">
        <f t="shared" si="2572"/>
        <v>894881</v>
      </c>
      <c r="BD277" s="592">
        <f t="shared" si="2572"/>
        <v>905490</v>
      </c>
      <c r="BE277" s="592">
        <f t="shared" si="2572"/>
        <v>970338</v>
      </c>
      <c r="BF277" s="592">
        <f t="shared" si="2572"/>
        <v>862824</v>
      </c>
      <c r="BG277" s="592">
        <f t="shared" si="2572"/>
        <v>1142233</v>
      </c>
      <c r="BH277" s="592">
        <f t="shared" si="2572"/>
        <v>884855</v>
      </c>
      <c r="BI277" s="592">
        <f t="shared" si="2572"/>
        <v>845874</v>
      </c>
      <c r="BJ277" s="592">
        <f t="shared" si="2572"/>
        <v>954561</v>
      </c>
      <c r="BK277" s="592">
        <f t="shared" si="2572"/>
        <v>1384364</v>
      </c>
      <c r="BL277" s="592">
        <f t="shared" si="2572"/>
        <v>1325378</v>
      </c>
      <c r="BM277" s="592">
        <f t="shared" si="2572"/>
        <v>947689</v>
      </c>
      <c r="BN277" s="592">
        <f t="shared" si="2572"/>
        <v>1038226</v>
      </c>
      <c r="BO277" s="592">
        <f t="shared" si="2572"/>
        <v>1372302</v>
      </c>
      <c r="BP277" s="592">
        <f t="shared" si="2572"/>
        <v>1743640</v>
      </c>
      <c r="BQ277" s="592">
        <f t="shared" si="2572"/>
        <v>2339172</v>
      </c>
      <c r="BR277" s="592">
        <f t="shared" si="2572"/>
        <v>1931348</v>
      </c>
      <c r="BS277" s="592">
        <f t="shared" si="2572"/>
        <v>2672353</v>
      </c>
      <c r="BT277" s="592">
        <f t="shared" si="2572"/>
        <v>2872234</v>
      </c>
      <c r="BU277" s="592">
        <f t="shared" si="2572"/>
        <v>5614765</v>
      </c>
      <c r="BV277" s="592">
        <f t="shared" si="2572"/>
        <v>5790719</v>
      </c>
      <c r="BW277" s="592">
        <f t="shared" si="2572"/>
        <v>5489417</v>
      </c>
      <c r="BX277" s="592">
        <f t="shared" si="2572"/>
        <v>5312889</v>
      </c>
      <c r="BY277" s="592">
        <f t="shared" si="2572"/>
        <v>4365617</v>
      </c>
      <c r="BZ277" s="592">
        <f t="shared" si="2572"/>
        <v>3940208</v>
      </c>
      <c r="CA277" s="592">
        <f t="shared" si="2572"/>
        <v>2848351.31</v>
      </c>
      <c r="CB277" s="592">
        <f t="shared" si="2572"/>
        <v>2209804</v>
      </c>
      <c r="CC277" s="592">
        <f t="shared" si="2572"/>
        <v>2319961</v>
      </c>
      <c r="CD277" s="592">
        <f t="shared" si="2572"/>
        <v>2647874</v>
      </c>
      <c r="CE277" s="592">
        <f t="shared" si="2572"/>
        <v>2532187.1898499997</v>
      </c>
      <c r="CF277" s="592">
        <f t="shared" si="2572"/>
        <v>1965873.8107</v>
      </c>
      <c r="CG277" s="592">
        <f t="shared" si="2572"/>
        <v>1832734</v>
      </c>
      <c r="CH277" s="592">
        <f t="shared" si="2572"/>
        <v>1784367</v>
      </c>
      <c r="CI277" s="592">
        <f t="shared" si="2572"/>
        <v>1926110</v>
      </c>
      <c r="CJ277" s="592">
        <f t="shared" ref="CJ277" si="2573">CI90</f>
        <v>915570</v>
      </c>
      <c r="CK277" s="592">
        <f t="shared" ref="CK277" si="2574">CJ90</f>
        <v>833472</v>
      </c>
      <c r="CL277" s="592">
        <f t="shared" ref="CL277" si="2575">CK90</f>
        <v>866881</v>
      </c>
      <c r="CM277" s="592">
        <f t="shared" ref="CM277" si="2576">CL90</f>
        <v>519500.96207645349</v>
      </c>
      <c r="CN277" s="592">
        <f t="shared" ref="CN277" si="2577">CM90</f>
        <v>609530.88141394313</v>
      </c>
      <c r="CO277" s="592">
        <f t="shared" ref="CO277" si="2578">CN90</f>
        <v>793722.72631253488</v>
      </c>
      <c r="CP277" s="592">
        <f t="shared" ref="CP277" si="2579">CO90</f>
        <v>1100488.6023473395</v>
      </c>
      <c r="CQ277" s="592"/>
      <c r="CR277" s="592">
        <v>866881</v>
      </c>
      <c r="CT277" s="592"/>
      <c r="CU277" s="592"/>
      <c r="CV277" s="592"/>
      <c r="CW277" s="592"/>
      <c r="CX277" s="592">
        <f>+AO90</f>
        <v>815695</v>
      </c>
      <c r="CY277" s="592">
        <f t="shared" ref="CY277:DU277" si="2580">+CX90</f>
        <v>296432</v>
      </c>
      <c r="CZ277" s="592">
        <f t="shared" si="2580"/>
        <v>178700</v>
      </c>
      <c r="DA277" s="592">
        <f t="shared" si="2580"/>
        <v>411370</v>
      </c>
      <c r="DB277" s="592">
        <f t="shared" si="2580"/>
        <v>683661</v>
      </c>
      <c r="DC277" s="592">
        <f t="shared" si="2580"/>
        <v>578264</v>
      </c>
      <c r="DD277" s="592">
        <f t="shared" si="2580"/>
        <v>683270</v>
      </c>
      <c r="DE277" s="592">
        <f t="shared" si="2580"/>
        <v>801592</v>
      </c>
      <c r="DF277" s="592">
        <f t="shared" si="2580"/>
        <v>834340</v>
      </c>
      <c r="DG277" s="592">
        <f t="shared" si="2580"/>
        <v>737527</v>
      </c>
      <c r="DH277" s="592">
        <f t="shared" si="2580"/>
        <v>894881</v>
      </c>
      <c r="DI277" s="592">
        <f t="shared" si="2580"/>
        <v>1142233</v>
      </c>
      <c r="DJ277" s="592">
        <f t="shared" si="2580"/>
        <v>1384364</v>
      </c>
      <c r="DK277" s="592">
        <f t="shared" si="2580"/>
        <v>1372302</v>
      </c>
      <c r="DL277" s="592">
        <f t="shared" si="2580"/>
        <v>2672353</v>
      </c>
      <c r="DM277" s="592">
        <f t="shared" si="2580"/>
        <v>5489417</v>
      </c>
      <c r="DN277" s="592">
        <f t="shared" si="2580"/>
        <v>2848351.31</v>
      </c>
      <c r="DO277" s="592">
        <f t="shared" si="2580"/>
        <v>2532187.1898499997</v>
      </c>
      <c r="DP277" s="592">
        <f t="shared" si="2580"/>
        <v>1926110</v>
      </c>
      <c r="DQ277" s="592">
        <f t="shared" si="2580"/>
        <v>519500.96207645349</v>
      </c>
      <c r="DR277" s="592">
        <f t="shared" si="2580"/>
        <v>844609.99730073754</v>
      </c>
      <c r="DS277" s="592">
        <f t="shared" si="2580"/>
        <v>1141127.390235126</v>
      </c>
      <c r="DT277" s="592">
        <f t="shared" si="2580"/>
        <v>1982886.0835547391</v>
      </c>
      <c r="DU277" s="592">
        <f t="shared" si="2580"/>
        <v>2821288.8253240073</v>
      </c>
      <c r="DX277" s="592">
        <v>550646.88275330886</v>
      </c>
      <c r="DY277" s="592">
        <v>708902.06157804094</v>
      </c>
    </row>
    <row r="278" spans="1:129">
      <c r="A278" s="939" t="s">
        <v>538</v>
      </c>
      <c r="B278" s="1008" t="s">
        <v>539</v>
      </c>
      <c r="C278" s="928">
        <v>0</v>
      </c>
      <c r="D278" s="928">
        <v>97531</v>
      </c>
      <c r="E278" s="928">
        <v>101924</v>
      </c>
      <c r="F278" s="928">
        <v>99751</v>
      </c>
      <c r="G278" s="928">
        <v>85882</v>
      </c>
      <c r="H278" s="928">
        <v>110136</v>
      </c>
      <c r="I278" s="928">
        <v>266313</v>
      </c>
      <c r="J278" s="928">
        <v>276516</v>
      </c>
      <c r="K278" s="928">
        <v>167074</v>
      </c>
      <c r="L278" s="928">
        <v>219862</v>
      </c>
      <c r="M278" s="928">
        <v>217485</v>
      </c>
      <c r="N278" s="928">
        <v>287203</v>
      </c>
      <c r="O278" s="928">
        <v>168508</v>
      </c>
      <c r="P278" s="928">
        <v>220800</v>
      </c>
      <c r="Q278" s="928">
        <v>261762</v>
      </c>
      <c r="R278" s="928">
        <v>296432</v>
      </c>
      <c r="S278" s="928">
        <v>190600</v>
      </c>
      <c r="T278" s="928">
        <v>210317</v>
      </c>
      <c r="U278" s="928">
        <v>157877</v>
      </c>
      <c r="V278" s="928">
        <v>178700</v>
      </c>
      <c r="W278" s="928">
        <v>83339</v>
      </c>
      <c r="X278" s="928">
        <v>194402</v>
      </c>
      <c r="Y278" s="928">
        <v>297666</v>
      </c>
      <c r="Z278" s="928">
        <v>411370</v>
      </c>
      <c r="AA278" s="928">
        <v>390846</v>
      </c>
      <c r="AB278" s="928">
        <v>359077</v>
      </c>
      <c r="AC278" s="928">
        <v>399221</v>
      </c>
      <c r="AD278" s="928">
        <v>683661</v>
      </c>
      <c r="AE278" s="928">
        <v>504977</v>
      </c>
      <c r="AF278" s="928">
        <v>242212</v>
      </c>
      <c r="AG278" s="928">
        <v>659093</v>
      </c>
      <c r="AH278" s="928">
        <v>578264</v>
      </c>
      <c r="AI278" s="928">
        <v>499359</v>
      </c>
      <c r="AJ278" s="928">
        <v>356209</v>
      </c>
      <c r="AK278" s="928">
        <v>643715</v>
      </c>
      <c r="AL278" s="928">
        <v>683270</v>
      </c>
      <c r="AM278" s="928">
        <v>518146</v>
      </c>
      <c r="AN278" s="928">
        <v>448708</v>
      </c>
      <c r="AO278" s="928">
        <v>815695</v>
      </c>
      <c r="AP278" s="928">
        <v>801592</v>
      </c>
      <c r="AQ278" s="928">
        <v>753394</v>
      </c>
      <c r="AR278" s="928">
        <v>719629</v>
      </c>
      <c r="AS278" s="928">
        <v>626461</v>
      </c>
      <c r="AT278" s="928">
        <v>834340</v>
      </c>
      <c r="AU278" s="928">
        <v>748236</v>
      </c>
      <c r="AV278" s="928">
        <v>696597</v>
      </c>
      <c r="AW278" s="928">
        <v>559617</v>
      </c>
      <c r="AX278" s="928">
        <v>737527</v>
      </c>
      <c r="AY278" s="928">
        <v>827183</v>
      </c>
      <c r="AZ278" s="929">
        <v>784706</v>
      </c>
      <c r="BA278" s="928">
        <v>717775</v>
      </c>
      <c r="BB278" s="928">
        <v>894881</v>
      </c>
      <c r="BC278" s="928">
        <v>905490</v>
      </c>
      <c r="BD278" s="928">
        <v>970338</v>
      </c>
      <c r="BE278" s="928">
        <v>862824</v>
      </c>
      <c r="BF278" s="928">
        <v>1142233</v>
      </c>
      <c r="BG278" s="928">
        <v>884855</v>
      </c>
      <c r="BH278" s="928">
        <v>845874</v>
      </c>
      <c r="BI278" s="928">
        <v>954561</v>
      </c>
      <c r="BJ278" s="928">
        <v>1384364</v>
      </c>
      <c r="BK278" s="928">
        <v>1325378</v>
      </c>
      <c r="BL278" s="928">
        <v>947689</v>
      </c>
      <c r="BM278" s="928">
        <v>1038226</v>
      </c>
      <c r="BN278" s="928">
        <v>1372302</v>
      </c>
      <c r="BO278" s="928">
        <v>1743640</v>
      </c>
      <c r="BP278" s="928">
        <v>2339172</v>
      </c>
      <c r="BQ278" s="928">
        <v>1931348</v>
      </c>
      <c r="BR278" s="928">
        <v>2672353</v>
      </c>
      <c r="BS278" s="928">
        <v>2872234</v>
      </c>
      <c r="BT278" s="928">
        <v>5614765</v>
      </c>
      <c r="BU278" s="928">
        <v>5790719</v>
      </c>
      <c r="BV278" s="928">
        <v>5489417</v>
      </c>
      <c r="BW278" s="928">
        <v>5312889</v>
      </c>
      <c r="BX278" s="928">
        <v>4365617</v>
      </c>
      <c r="BY278" s="928">
        <v>3940208</v>
      </c>
      <c r="BZ278" s="928">
        <v>2848351.31</v>
      </c>
      <c r="CA278" s="928">
        <v>2209804</v>
      </c>
      <c r="CB278" s="928">
        <v>2319961</v>
      </c>
      <c r="CC278" s="928">
        <v>2647874</v>
      </c>
      <c r="CD278" s="928">
        <v>2532187.1898499997</v>
      </c>
      <c r="CE278" s="928">
        <v>1965873.8107</v>
      </c>
      <c r="CF278" s="928">
        <v>1832734</v>
      </c>
      <c r="CG278" s="928">
        <v>1784367</v>
      </c>
      <c r="CH278" s="928">
        <v>1926110</v>
      </c>
      <c r="CI278" s="928">
        <v>915570</v>
      </c>
      <c r="CJ278" s="928">
        <v>833472</v>
      </c>
      <c r="CK278" s="928">
        <v>866881</v>
      </c>
      <c r="CL278" s="928">
        <v>560674.3520964412</v>
      </c>
      <c r="CM278" s="928">
        <v>560674.3520964412</v>
      </c>
      <c r="CN278" s="928">
        <v>560674.3520964412</v>
      </c>
      <c r="CO278" s="928">
        <v>560674.3520964412</v>
      </c>
      <c r="CP278" s="928">
        <v>560674.3520964412</v>
      </c>
      <c r="CQ278" s="928"/>
      <c r="CR278" s="928">
        <v>560674.3520964412</v>
      </c>
      <c r="CT278" s="928"/>
      <c r="CU278" s="928"/>
      <c r="CV278" s="928"/>
      <c r="CW278" s="928"/>
      <c r="CX278" s="928">
        <v>296432</v>
      </c>
      <c r="CY278" s="928">
        <v>178700</v>
      </c>
      <c r="CZ278" s="928">
        <v>411370</v>
      </c>
      <c r="DA278" s="928">
        <v>683661</v>
      </c>
      <c r="DB278" s="928">
        <v>578264</v>
      </c>
      <c r="DC278" s="928">
        <v>683270</v>
      </c>
      <c r="DD278" s="928">
        <v>801592</v>
      </c>
      <c r="DE278" s="928">
        <v>834340</v>
      </c>
      <c r="DF278" s="928">
        <v>737527</v>
      </c>
      <c r="DG278" s="928">
        <v>894881</v>
      </c>
      <c r="DH278" s="928">
        <v>1142233</v>
      </c>
      <c r="DI278" s="928">
        <v>1384364</v>
      </c>
      <c r="DJ278" s="928">
        <v>1372302</v>
      </c>
      <c r="DK278" s="928">
        <v>2672353</v>
      </c>
      <c r="DL278" s="928">
        <v>5489417</v>
      </c>
      <c r="DM278" s="928">
        <v>2848351.31</v>
      </c>
      <c r="DN278" s="928">
        <v>2532187.1898499997</v>
      </c>
      <c r="DO278" s="928">
        <v>1926110</v>
      </c>
      <c r="DP278" s="928">
        <v>856190.26514681987</v>
      </c>
      <c r="DQ278" s="928">
        <v>856190.26514681987</v>
      </c>
      <c r="DR278" s="928">
        <v>1839194.3789576143</v>
      </c>
      <c r="DS278" s="928">
        <v>2721645.2522004973</v>
      </c>
      <c r="DT278" s="928">
        <v>3675775.718269472</v>
      </c>
      <c r="DU278" s="928">
        <v>4722444.4953328008</v>
      </c>
      <c r="DX278" s="928">
        <v>1143136.8151607197</v>
      </c>
      <c r="DY278" s="928">
        <v>1839194.3789576143</v>
      </c>
    </row>
    <row r="279" spans="1:129" s="904" customFormat="1">
      <c r="A279" s="939" t="s">
        <v>540</v>
      </c>
      <c r="B279" s="949" t="s">
        <v>541</v>
      </c>
      <c r="C279" s="592">
        <f t="shared" ref="C279:AH279" si="2581">C90</f>
        <v>0</v>
      </c>
      <c r="D279" s="592">
        <f t="shared" si="2581"/>
        <v>97531</v>
      </c>
      <c r="E279" s="592">
        <f t="shared" si="2581"/>
        <v>101924</v>
      </c>
      <c r="F279" s="592">
        <f t="shared" si="2581"/>
        <v>99751</v>
      </c>
      <c r="G279" s="592">
        <f t="shared" si="2581"/>
        <v>85882</v>
      </c>
      <c r="H279" s="592">
        <f t="shared" si="2581"/>
        <v>110136</v>
      </c>
      <c r="I279" s="592">
        <f t="shared" si="2581"/>
        <v>266313</v>
      </c>
      <c r="J279" s="592">
        <f t="shared" si="2581"/>
        <v>276516</v>
      </c>
      <c r="K279" s="592">
        <f t="shared" si="2581"/>
        <v>167074</v>
      </c>
      <c r="L279" s="592">
        <f t="shared" si="2581"/>
        <v>219862</v>
      </c>
      <c r="M279" s="592">
        <f t="shared" si="2581"/>
        <v>217485</v>
      </c>
      <c r="N279" s="592">
        <f t="shared" si="2581"/>
        <v>287203</v>
      </c>
      <c r="O279" s="592">
        <f t="shared" si="2581"/>
        <v>168508</v>
      </c>
      <c r="P279" s="592">
        <f t="shared" si="2581"/>
        <v>220800</v>
      </c>
      <c r="Q279" s="592">
        <f t="shared" si="2581"/>
        <v>261762</v>
      </c>
      <c r="R279" s="592">
        <f t="shared" si="2581"/>
        <v>296432</v>
      </c>
      <c r="S279" s="592">
        <f t="shared" si="2581"/>
        <v>190600</v>
      </c>
      <c r="T279" s="592">
        <f t="shared" si="2581"/>
        <v>210317</v>
      </c>
      <c r="U279" s="592">
        <f t="shared" si="2581"/>
        <v>157877</v>
      </c>
      <c r="V279" s="592">
        <f t="shared" si="2581"/>
        <v>178700</v>
      </c>
      <c r="W279" s="592">
        <f t="shared" si="2581"/>
        <v>83339</v>
      </c>
      <c r="X279" s="592">
        <f t="shared" si="2581"/>
        <v>194402</v>
      </c>
      <c r="Y279" s="592">
        <f t="shared" si="2581"/>
        <v>297666</v>
      </c>
      <c r="Z279" s="592">
        <f t="shared" si="2581"/>
        <v>411370</v>
      </c>
      <c r="AA279" s="592">
        <f t="shared" si="2581"/>
        <v>390846</v>
      </c>
      <c r="AB279" s="592">
        <f t="shared" si="2581"/>
        <v>359077</v>
      </c>
      <c r="AC279" s="592">
        <f t="shared" si="2581"/>
        <v>399221</v>
      </c>
      <c r="AD279" s="592">
        <f t="shared" si="2581"/>
        <v>683661</v>
      </c>
      <c r="AE279" s="592">
        <f t="shared" si="2581"/>
        <v>504977</v>
      </c>
      <c r="AF279" s="592">
        <f t="shared" si="2581"/>
        <v>242212</v>
      </c>
      <c r="AG279" s="592">
        <f t="shared" si="2581"/>
        <v>659093</v>
      </c>
      <c r="AH279" s="592">
        <f t="shared" si="2581"/>
        <v>578264</v>
      </c>
      <c r="AI279" s="592">
        <f t="shared" ref="AI279:BN279" si="2582">AI90</f>
        <v>499359</v>
      </c>
      <c r="AJ279" s="592">
        <f t="shared" si="2582"/>
        <v>356209</v>
      </c>
      <c r="AK279" s="592">
        <f t="shared" si="2582"/>
        <v>643715</v>
      </c>
      <c r="AL279" s="592">
        <f t="shared" si="2582"/>
        <v>683270</v>
      </c>
      <c r="AM279" s="592">
        <f t="shared" si="2582"/>
        <v>518146</v>
      </c>
      <c r="AN279" s="592">
        <f t="shared" si="2582"/>
        <v>448708</v>
      </c>
      <c r="AO279" s="592">
        <f t="shared" si="2582"/>
        <v>815695</v>
      </c>
      <c r="AP279" s="592">
        <f t="shared" si="2582"/>
        <v>801592</v>
      </c>
      <c r="AQ279" s="592">
        <f t="shared" si="2582"/>
        <v>753394</v>
      </c>
      <c r="AR279" s="592">
        <f t="shared" si="2582"/>
        <v>719629</v>
      </c>
      <c r="AS279" s="592">
        <f t="shared" si="2582"/>
        <v>626461</v>
      </c>
      <c r="AT279" s="592">
        <f t="shared" si="2582"/>
        <v>834340</v>
      </c>
      <c r="AU279" s="592">
        <f t="shared" si="2582"/>
        <v>748236</v>
      </c>
      <c r="AV279" s="592">
        <f t="shared" si="2582"/>
        <v>696597</v>
      </c>
      <c r="AW279" s="592">
        <f t="shared" si="2582"/>
        <v>559617</v>
      </c>
      <c r="AX279" s="592">
        <f t="shared" si="2582"/>
        <v>737527</v>
      </c>
      <c r="AY279" s="592">
        <f t="shared" si="2582"/>
        <v>827183</v>
      </c>
      <c r="AZ279" s="910">
        <f t="shared" si="2582"/>
        <v>784706</v>
      </c>
      <c r="BA279" s="592">
        <f t="shared" si="2582"/>
        <v>717775</v>
      </c>
      <c r="BB279" s="592">
        <f t="shared" si="2582"/>
        <v>894881</v>
      </c>
      <c r="BC279" s="592">
        <f t="shared" si="2582"/>
        <v>905490</v>
      </c>
      <c r="BD279" s="592">
        <f t="shared" si="2582"/>
        <v>970338</v>
      </c>
      <c r="BE279" s="592">
        <f t="shared" si="2582"/>
        <v>862824</v>
      </c>
      <c r="BF279" s="592">
        <f t="shared" si="2582"/>
        <v>1142233</v>
      </c>
      <c r="BG279" s="592">
        <f t="shared" si="2582"/>
        <v>884855</v>
      </c>
      <c r="BH279" s="592">
        <f t="shared" si="2582"/>
        <v>845874</v>
      </c>
      <c r="BI279" s="592">
        <f t="shared" si="2582"/>
        <v>954561</v>
      </c>
      <c r="BJ279" s="592">
        <f t="shared" si="2582"/>
        <v>1384364</v>
      </c>
      <c r="BK279" s="592">
        <f t="shared" si="2582"/>
        <v>1325378</v>
      </c>
      <c r="BL279" s="592">
        <f t="shared" si="2582"/>
        <v>947689</v>
      </c>
      <c r="BM279" s="592">
        <f t="shared" si="2582"/>
        <v>1038226</v>
      </c>
      <c r="BN279" s="592">
        <f t="shared" si="2582"/>
        <v>1372302</v>
      </c>
      <c r="BO279" s="592">
        <f t="shared" ref="BO279:CF279" si="2583">BO90</f>
        <v>1743640</v>
      </c>
      <c r="BP279" s="592">
        <f t="shared" si="2583"/>
        <v>2339172</v>
      </c>
      <c r="BQ279" s="592">
        <f t="shared" si="2583"/>
        <v>1931348</v>
      </c>
      <c r="BR279" s="592">
        <f t="shared" si="2583"/>
        <v>2672353</v>
      </c>
      <c r="BS279" s="592">
        <f t="shared" si="2583"/>
        <v>2872234</v>
      </c>
      <c r="BT279" s="592">
        <f t="shared" si="2583"/>
        <v>5614765</v>
      </c>
      <c r="BU279" s="592">
        <f t="shared" si="2583"/>
        <v>5790719</v>
      </c>
      <c r="BV279" s="592">
        <f t="shared" si="2583"/>
        <v>5489417</v>
      </c>
      <c r="BW279" s="592">
        <f t="shared" si="2583"/>
        <v>5312889</v>
      </c>
      <c r="BX279" s="592">
        <f t="shared" si="2583"/>
        <v>4365617</v>
      </c>
      <c r="BY279" s="592">
        <f t="shared" si="2583"/>
        <v>3940208</v>
      </c>
      <c r="BZ279" s="592">
        <f t="shared" si="2583"/>
        <v>2848351.31</v>
      </c>
      <c r="CA279" s="592">
        <f t="shared" si="2583"/>
        <v>2209804</v>
      </c>
      <c r="CB279" s="592">
        <f t="shared" si="2583"/>
        <v>2319961</v>
      </c>
      <c r="CC279" s="592">
        <f t="shared" si="2583"/>
        <v>2647874</v>
      </c>
      <c r="CD279" s="592">
        <f t="shared" si="2583"/>
        <v>2532187.1898499997</v>
      </c>
      <c r="CE279" s="592">
        <f t="shared" si="2583"/>
        <v>1965873.8107</v>
      </c>
      <c r="CF279" s="592">
        <f t="shared" si="2583"/>
        <v>1832734</v>
      </c>
      <c r="CG279" s="592">
        <f t="shared" ref="CG279:CH279" si="2584">CG90</f>
        <v>1784367</v>
      </c>
      <c r="CH279" s="592">
        <f t="shared" si="2584"/>
        <v>1926110</v>
      </c>
      <c r="CI279" s="592">
        <f t="shared" ref="CI279" si="2585">CI90</f>
        <v>915570</v>
      </c>
      <c r="CJ279" s="592">
        <f t="shared" ref="CJ279:CL279" si="2586">CJ90</f>
        <v>833472</v>
      </c>
      <c r="CK279" s="592">
        <f t="shared" si="2586"/>
        <v>866881</v>
      </c>
      <c r="CL279" s="592">
        <f t="shared" si="2586"/>
        <v>519500.96207645349</v>
      </c>
      <c r="CM279" s="592">
        <f t="shared" ref="CM279:CP279" si="2587">CM90</f>
        <v>609530.88141394313</v>
      </c>
      <c r="CN279" s="592">
        <f t="shared" si="2587"/>
        <v>793722.72631253488</v>
      </c>
      <c r="CO279" s="592">
        <f t="shared" si="2587"/>
        <v>1100488.6023473395</v>
      </c>
      <c r="CP279" s="592">
        <f t="shared" si="2587"/>
        <v>844609.99730073754</v>
      </c>
      <c r="CQ279" s="592"/>
      <c r="CR279" s="592">
        <v>519500.96207645349</v>
      </c>
      <c r="CT279" s="592"/>
      <c r="CU279" s="592"/>
      <c r="CV279" s="592"/>
      <c r="CW279" s="592"/>
      <c r="CX279" s="592">
        <f t="shared" ref="CX279:DU279" si="2588">CX90</f>
        <v>296432</v>
      </c>
      <c r="CY279" s="592">
        <f t="shared" si="2588"/>
        <v>178700</v>
      </c>
      <c r="CZ279" s="592">
        <f t="shared" si="2588"/>
        <v>411370</v>
      </c>
      <c r="DA279" s="592">
        <f t="shared" si="2588"/>
        <v>683661</v>
      </c>
      <c r="DB279" s="592">
        <f t="shared" si="2588"/>
        <v>578264</v>
      </c>
      <c r="DC279" s="592">
        <f t="shared" si="2588"/>
        <v>683270</v>
      </c>
      <c r="DD279" s="592">
        <f t="shared" si="2588"/>
        <v>801592</v>
      </c>
      <c r="DE279" s="592">
        <f t="shared" si="2588"/>
        <v>834340</v>
      </c>
      <c r="DF279" s="592">
        <f t="shared" si="2588"/>
        <v>737527</v>
      </c>
      <c r="DG279" s="592">
        <f t="shared" si="2588"/>
        <v>894881</v>
      </c>
      <c r="DH279" s="592">
        <f t="shared" si="2588"/>
        <v>1142233</v>
      </c>
      <c r="DI279" s="592">
        <f t="shared" si="2588"/>
        <v>1384364</v>
      </c>
      <c r="DJ279" s="592">
        <f t="shared" si="2588"/>
        <v>1372302</v>
      </c>
      <c r="DK279" s="592">
        <f t="shared" si="2588"/>
        <v>2672353</v>
      </c>
      <c r="DL279" s="592">
        <f t="shared" si="2588"/>
        <v>5489417</v>
      </c>
      <c r="DM279" s="592">
        <f t="shared" si="2588"/>
        <v>2848351.31</v>
      </c>
      <c r="DN279" s="592">
        <f t="shared" si="2588"/>
        <v>2532187.1898499997</v>
      </c>
      <c r="DO279" s="592">
        <f t="shared" si="2588"/>
        <v>1926110</v>
      </c>
      <c r="DP279" s="592">
        <f t="shared" ref="DP279:DQ279" si="2589">DP90</f>
        <v>519500.96207645349</v>
      </c>
      <c r="DQ279" s="592">
        <f t="shared" si="2589"/>
        <v>844609.99730073754</v>
      </c>
      <c r="DR279" s="592">
        <f t="shared" si="2588"/>
        <v>1141127.390235126</v>
      </c>
      <c r="DS279" s="592">
        <f t="shared" si="2588"/>
        <v>1982886.0835547391</v>
      </c>
      <c r="DT279" s="592">
        <f t="shared" si="2588"/>
        <v>2821288.8253240073</v>
      </c>
      <c r="DU279" s="592">
        <f t="shared" si="2588"/>
        <v>3749724.3098203298</v>
      </c>
      <c r="DX279" s="592">
        <v>708902.06157804094</v>
      </c>
      <c r="DY279" s="592">
        <v>1305072.5196300019</v>
      </c>
    </row>
    <row r="280" spans="1:129" s="1430" customFormat="1">
      <c r="A280" s="967"/>
      <c r="B280" s="1442" t="s">
        <v>542</v>
      </c>
      <c r="C280" s="967">
        <f t="shared" ref="C280:AH280" si="2590">+C278-C279</f>
        <v>0</v>
      </c>
      <c r="D280" s="967">
        <f t="shared" si="2590"/>
        <v>0</v>
      </c>
      <c r="E280" s="967">
        <f t="shared" si="2590"/>
        <v>0</v>
      </c>
      <c r="F280" s="967">
        <f t="shared" si="2590"/>
        <v>0</v>
      </c>
      <c r="G280" s="967">
        <f t="shared" si="2590"/>
        <v>0</v>
      </c>
      <c r="H280" s="967">
        <f t="shared" si="2590"/>
        <v>0</v>
      </c>
      <c r="I280" s="967">
        <f t="shared" si="2590"/>
        <v>0</v>
      </c>
      <c r="J280" s="967">
        <f t="shared" si="2590"/>
        <v>0</v>
      </c>
      <c r="K280" s="967">
        <f t="shared" si="2590"/>
        <v>0</v>
      </c>
      <c r="L280" s="967">
        <f t="shared" si="2590"/>
        <v>0</v>
      </c>
      <c r="M280" s="967">
        <f t="shared" si="2590"/>
        <v>0</v>
      </c>
      <c r="N280" s="967">
        <f t="shared" si="2590"/>
        <v>0</v>
      </c>
      <c r="O280" s="967">
        <f t="shared" si="2590"/>
        <v>0</v>
      </c>
      <c r="P280" s="967">
        <f t="shared" si="2590"/>
        <v>0</v>
      </c>
      <c r="Q280" s="967">
        <f t="shared" si="2590"/>
        <v>0</v>
      </c>
      <c r="R280" s="967">
        <f t="shared" si="2590"/>
        <v>0</v>
      </c>
      <c r="S280" s="967">
        <f t="shared" si="2590"/>
        <v>0</v>
      </c>
      <c r="T280" s="967">
        <f t="shared" si="2590"/>
        <v>0</v>
      </c>
      <c r="U280" s="967">
        <f t="shared" si="2590"/>
        <v>0</v>
      </c>
      <c r="V280" s="967">
        <f t="shared" si="2590"/>
        <v>0</v>
      </c>
      <c r="W280" s="967">
        <f t="shared" si="2590"/>
        <v>0</v>
      </c>
      <c r="X280" s="967">
        <f t="shared" si="2590"/>
        <v>0</v>
      </c>
      <c r="Y280" s="967">
        <f t="shared" si="2590"/>
        <v>0</v>
      </c>
      <c r="Z280" s="967">
        <f t="shared" si="2590"/>
        <v>0</v>
      </c>
      <c r="AA280" s="967">
        <f t="shared" si="2590"/>
        <v>0</v>
      </c>
      <c r="AB280" s="967">
        <f t="shared" si="2590"/>
        <v>0</v>
      </c>
      <c r="AC280" s="967">
        <f t="shared" si="2590"/>
        <v>0</v>
      </c>
      <c r="AD280" s="967">
        <f t="shared" si="2590"/>
        <v>0</v>
      </c>
      <c r="AE280" s="967">
        <f t="shared" si="2590"/>
        <v>0</v>
      </c>
      <c r="AF280" s="967">
        <f t="shared" si="2590"/>
        <v>0</v>
      </c>
      <c r="AG280" s="967">
        <f t="shared" si="2590"/>
        <v>0</v>
      </c>
      <c r="AH280" s="967">
        <f t="shared" si="2590"/>
        <v>0</v>
      </c>
      <c r="AI280" s="967">
        <f t="shared" ref="AI280:BJ280" si="2591">+AI278-AI279</f>
        <v>0</v>
      </c>
      <c r="AJ280" s="967">
        <f t="shared" si="2591"/>
        <v>0</v>
      </c>
      <c r="AK280" s="967">
        <f t="shared" si="2591"/>
        <v>0</v>
      </c>
      <c r="AL280" s="967">
        <f t="shared" si="2591"/>
        <v>0</v>
      </c>
      <c r="AM280" s="967">
        <f t="shared" si="2591"/>
        <v>0</v>
      </c>
      <c r="AN280" s="967">
        <f t="shared" si="2591"/>
        <v>0</v>
      </c>
      <c r="AO280" s="967">
        <f t="shared" si="2591"/>
        <v>0</v>
      </c>
      <c r="AP280" s="967">
        <f t="shared" si="2591"/>
        <v>0</v>
      </c>
      <c r="AQ280" s="967">
        <f t="shared" si="2591"/>
        <v>0</v>
      </c>
      <c r="AR280" s="967">
        <f t="shared" si="2591"/>
        <v>0</v>
      </c>
      <c r="AS280" s="967">
        <f t="shared" si="2591"/>
        <v>0</v>
      </c>
      <c r="AT280" s="967">
        <f t="shared" si="2591"/>
        <v>0</v>
      </c>
      <c r="AU280" s="967">
        <f t="shared" si="2591"/>
        <v>0</v>
      </c>
      <c r="AV280" s="967">
        <f t="shared" si="2591"/>
        <v>0</v>
      </c>
      <c r="AW280" s="967">
        <f t="shared" si="2591"/>
        <v>0</v>
      </c>
      <c r="AX280" s="967">
        <f t="shared" si="2591"/>
        <v>0</v>
      </c>
      <c r="AY280" s="967">
        <f t="shared" si="2591"/>
        <v>0</v>
      </c>
      <c r="AZ280" s="1429">
        <f t="shared" si="2591"/>
        <v>0</v>
      </c>
      <c r="BA280" s="967">
        <f t="shared" si="2591"/>
        <v>0</v>
      </c>
      <c r="BB280" s="967">
        <f t="shared" si="2591"/>
        <v>0</v>
      </c>
      <c r="BC280" s="967">
        <f t="shared" si="2591"/>
        <v>0</v>
      </c>
      <c r="BD280" s="967">
        <f t="shared" si="2591"/>
        <v>0</v>
      </c>
      <c r="BE280" s="967">
        <f t="shared" si="2591"/>
        <v>0</v>
      </c>
      <c r="BF280" s="967">
        <f t="shared" si="2591"/>
        <v>0</v>
      </c>
      <c r="BG280" s="967">
        <f t="shared" si="2591"/>
        <v>0</v>
      </c>
      <c r="BH280" s="967">
        <f t="shared" si="2591"/>
        <v>0</v>
      </c>
      <c r="BI280" s="967">
        <f t="shared" si="2591"/>
        <v>0</v>
      </c>
      <c r="BJ280" s="967">
        <f t="shared" si="2591"/>
        <v>0</v>
      </c>
      <c r="BK280" s="967">
        <f t="shared" ref="BK280:BR280" si="2592">+BK278-BK279</f>
        <v>0</v>
      </c>
      <c r="BL280" s="967">
        <f t="shared" si="2592"/>
        <v>0</v>
      </c>
      <c r="BM280" s="967">
        <f t="shared" si="2592"/>
        <v>0</v>
      </c>
      <c r="BN280" s="967">
        <f t="shared" si="2592"/>
        <v>0</v>
      </c>
      <c r="BO280" s="967">
        <f t="shared" si="2592"/>
        <v>0</v>
      </c>
      <c r="BP280" s="967">
        <f t="shared" si="2592"/>
        <v>0</v>
      </c>
      <c r="BQ280" s="967">
        <f t="shared" si="2592"/>
        <v>0</v>
      </c>
      <c r="BR280" s="967">
        <f t="shared" si="2592"/>
        <v>0</v>
      </c>
      <c r="BS280" s="967">
        <f t="shared" ref="BS280:BX280" si="2593">+BS278-BS279</f>
        <v>0</v>
      </c>
      <c r="BT280" s="967">
        <f t="shared" si="2593"/>
        <v>0</v>
      </c>
      <c r="BU280" s="967">
        <f t="shared" si="2593"/>
        <v>0</v>
      </c>
      <c r="BV280" s="967">
        <f t="shared" si="2593"/>
        <v>0</v>
      </c>
      <c r="BW280" s="967">
        <f t="shared" si="2593"/>
        <v>0</v>
      </c>
      <c r="BX280" s="967">
        <f t="shared" si="2593"/>
        <v>0</v>
      </c>
      <c r="BY280" s="967">
        <f t="shared" ref="BY280:CD280" si="2594">+BY278-BY279</f>
        <v>0</v>
      </c>
      <c r="BZ280" s="967">
        <f t="shared" si="2594"/>
        <v>0</v>
      </c>
      <c r="CA280" s="967">
        <f t="shared" ref="CA280:CB280" si="2595">+CA278-CA279</f>
        <v>0</v>
      </c>
      <c r="CB280" s="967">
        <f t="shared" si="2595"/>
        <v>0</v>
      </c>
      <c r="CC280" s="967">
        <f t="shared" si="2594"/>
        <v>0</v>
      </c>
      <c r="CD280" s="967">
        <f t="shared" si="2594"/>
        <v>0</v>
      </c>
      <c r="CE280" s="967">
        <f t="shared" ref="CE280:CF280" si="2596">+CE278-CE279</f>
        <v>0</v>
      </c>
      <c r="CF280" s="967">
        <f t="shared" si="2596"/>
        <v>0</v>
      </c>
      <c r="CG280" s="967">
        <f t="shared" ref="CG280:CH280" si="2597">+CG278-CG279</f>
        <v>0</v>
      </c>
      <c r="CH280" s="967">
        <f t="shared" si="2597"/>
        <v>0</v>
      </c>
      <c r="CI280" s="967">
        <f t="shared" ref="CI280" si="2598">+CI278-CI279</f>
        <v>0</v>
      </c>
      <c r="CJ280" s="967">
        <f t="shared" ref="CJ280:CL280" si="2599">+CJ278-CJ279</f>
        <v>0</v>
      </c>
      <c r="CK280" s="967">
        <f t="shared" si="2599"/>
        <v>0</v>
      </c>
      <c r="CL280" s="967">
        <f t="shared" si="2599"/>
        <v>41173.39001998771</v>
      </c>
      <c r="CM280" s="967">
        <f t="shared" ref="CM280:CP280" si="2600">+CM278-CM279</f>
        <v>-48856.529317501932</v>
      </c>
      <c r="CN280" s="967">
        <f t="shared" si="2600"/>
        <v>-233048.37421609368</v>
      </c>
      <c r="CO280" s="967">
        <f t="shared" si="2600"/>
        <v>-539814.2502508983</v>
      </c>
      <c r="CP280" s="967">
        <f t="shared" si="2600"/>
        <v>-283935.64520429634</v>
      </c>
      <c r="CQ280" s="967"/>
      <c r="CR280" s="967">
        <v>41173.39001998771</v>
      </c>
      <c r="CT280" s="967"/>
      <c r="CU280" s="967"/>
      <c r="CV280" s="967"/>
      <c r="CW280" s="967"/>
      <c r="CX280" s="967">
        <f t="shared" ref="CX280:DL280" si="2601">+CX278-CX279</f>
        <v>0</v>
      </c>
      <c r="CY280" s="967">
        <f t="shared" si="2601"/>
        <v>0</v>
      </c>
      <c r="CZ280" s="967">
        <f t="shared" si="2601"/>
        <v>0</v>
      </c>
      <c r="DA280" s="967">
        <f t="shared" si="2601"/>
        <v>0</v>
      </c>
      <c r="DB280" s="967">
        <f t="shared" si="2601"/>
        <v>0</v>
      </c>
      <c r="DC280" s="967">
        <f t="shared" si="2601"/>
        <v>0</v>
      </c>
      <c r="DD280" s="967">
        <f t="shared" si="2601"/>
        <v>0</v>
      </c>
      <c r="DE280" s="967">
        <f t="shared" si="2601"/>
        <v>0</v>
      </c>
      <c r="DF280" s="967">
        <f t="shared" si="2601"/>
        <v>0</v>
      </c>
      <c r="DG280" s="967">
        <f t="shared" si="2601"/>
        <v>0</v>
      </c>
      <c r="DH280" s="967">
        <f t="shared" si="2601"/>
        <v>0</v>
      </c>
      <c r="DI280" s="967">
        <f t="shared" si="2601"/>
        <v>0</v>
      </c>
      <c r="DJ280" s="967">
        <f t="shared" si="2601"/>
        <v>0</v>
      </c>
      <c r="DK280" s="967">
        <f t="shared" si="2601"/>
        <v>0</v>
      </c>
      <c r="DL280" s="967">
        <f t="shared" si="2601"/>
        <v>0</v>
      </c>
      <c r="DM280" s="967">
        <f t="shared" ref="DM280:DR280" si="2602">+DM278-DM279</f>
        <v>0</v>
      </c>
      <c r="DN280" s="967">
        <f t="shared" si="2602"/>
        <v>0</v>
      </c>
      <c r="DO280" s="967">
        <f t="shared" ref="DO280:DP280" si="2603">+DO278-DO279</f>
        <v>0</v>
      </c>
      <c r="DP280" s="967">
        <f t="shared" si="2603"/>
        <v>336689.30307036638</v>
      </c>
      <c r="DQ280" s="967">
        <f t="shared" ref="DQ280" si="2604">+DQ278-DQ279</f>
        <v>11580.267846082337</v>
      </c>
      <c r="DR280" s="967">
        <f t="shared" si="2602"/>
        <v>698066.98872248828</v>
      </c>
      <c r="DS280" s="967">
        <f t="shared" ref="DS280:DU280" si="2605">+DS278-DS279</f>
        <v>738759.16864575818</v>
      </c>
      <c r="DT280" s="967">
        <f t="shared" si="2605"/>
        <v>854486.8929454647</v>
      </c>
      <c r="DU280" s="967">
        <f t="shared" si="2605"/>
        <v>972720.18551247101</v>
      </c>
      <c r="DX280" s="967">
        <v>434234.75358267874</v>
      </c>
      <c r="DY280" s="967">
        <v>534121.85932761244</v>
      </c>
    </row>
    <row r="281" spans="1:129" s="904" customFormat="1">
      <c r="A281" s="592"/>
      <c r="B281" s="908"/>
      <c r="C281" s="592"/>
      <c r="D281" s="592"/>
      <c r="E281" s="592"/>
      <c r="F281" s="592"/>
      <c r="G281" s="592"/>
      <c r="H281" s="592"/>
      <c r="I281" s="592"/>
      <c r="J281" s="592"/>
      <c r="K281" s="592"/>
      <c r="L281" s="592"/>
      <c r="M281" s="592"/>
      <c r="N281" s="592"/>
      <c r="O281" s="592"/>
      <c r="P281" s="592"/>
      <c r="Q281" s="592"/>
      <c r="R281" s="592"/>
      <c r="S281" s="592"/>
      <c r="T281" s="592"/>
      <c r="U281" s="592"/>
      <c r="V281" s="592"/>
      <c r="W281" s="592"/>
      <c r="X281" s="592"/>
      <c r="Y281" s="592"/>
      <c r="Z281" s="592"/>
      <c r="AA281" s="592"/>
      <c r="AB281" s="592"/>
      <c r="AC281" s="592"/>
      <c r="AD281" s="592"/>
      <c r="AE281" s="592"/>
      <c r="AF281" s="592"/>
      <c r="AG281" s="592"/>
      <c r="AH281" s="592"/>
      <c r="AI281" s="592"/>
      <c r="AJ281" s="592"/>
      <c r="AK281" s="592"/>
      <c r="AL281" s="592"/>
      <c r="AM281" s="592"/>
      <c r="AN281" s="592"/>
      <c r="AO281" s="592"/>
      <c r="AP281" s="592"/>
      <c r="AQ281" s="592"/>
      <c r="AR281" s="592"/>
      <c r="AS281" s="592"/>
      <c r="AT281" s="592"/>
      <c r="AU281" s="592"/>
      <c r="AV281" s="592"/>
      <c r="AW281" s="592"/>
      <c r="AX281" s="592"/>
      <c r="AY281" s="592"/>
      <c r="AZ281" s="910"/>
      <c r="BA281" s="592"/>
      <c r="BB281" s="592"/>
      <c r="BC281" s="592"/>
      <c r="BD281" s="592"/>
      <c r="BE281" s="592"/>
      <c r="BF281" s="592"/>
      <c r="BG281" s="592"/>
      <c r="BH281" s="592"/>
      <c r="BI281" s="592"/>
      <c r="BJ281" s="592"/>
      <c r="BK281" s="592"/>
      <c r="BL281" s="592"/>
      <c r="BM281" s="592"/>
      <c r="BN281" s="592"/>
      <c r="BO281" s="592"/>
      <c r="BP281" s="592"/>
      <c r="BQ281" s="592"/>
      <c r="BR281" s="592"/>
      <c r="BS281" s="592"/>
      <c r="BT281" s="592"/>
      <c r="BU281" s="592"/>
      <c r="BV281" s="592"/>
      <c r="BW281" s="592"/>
      <c r="BX281" s="592"/>
      <c r="BY281" s="592"/>
      <c r="BZ281" s="592"/>
      <c r="CA281" s="592"/>
      <c r="CB281" s="592"/>
      <c r="CC281" s="592"/>
      <c r="CD281" s="592"/>
      <c r="CE281" s="592"/>
      <c r="CF281" s="592"/>
      <c r="CG281" s="592"/>
      <c r="CH281" s="592"/>
      <c r="CI281" s="592"/>
      <c r="CJ281" s="592"/>
      <c r="CK281" s="592"/>
      <c r="CL281" s="592"/>
      <c r="CM281" s="592"/>
      <c r="CN281" s="592"/>
      <c r="CO281" s="592"/>
      <c r="CP281" s="592"/>
      <c r="CQ281" s="592"/>
      <c r="CR281" s="592"/>
      <c r="CT281" s="592"/>
      <c r="CU281" s="592"/>
      <c r="CV281" s="592"/>
      <c r="CW281" s="592"/>
      <c r="CX281" s="592"/>
      <c r="CY281" s="592"/>
      <c r="CZ281" s="592"/>
      <c r="DA281" s="592"/>
      <c r="DB281" s="592"/>
      <c r="DC281" s="592"/>
      <c r="DD281" s="592"/>
      <c r="DE281" s="592"/>
      <c r="DF281" s="592"/>
      <c r="DG281" s="592"/>
      <c r="DH281" s="592"/>
      <c r="DI281" s="592"/>
      <c r="DJ281" s="592"/>
      <c r="DK281" s="592"/>
      <c r="DL281" s="592"/>
      <c r="DM281" s="592"/>
      <c r="DN281" s="592"/>
      <c r="DO281" s="592"/>
      <c r="DP281" s="592"/>
      <c r="DQ281" s="592"/>
      <c r="DR281" s="592"/>
      <c r="DS281" s="592"/>
      <c r="DT281" s="592"/>
      <c r="DU281" s="592"/>
      <c r="DX281" s="592"/>
      <c r="DY281" s="592"/>
    </row>
    <row r="282" spans="1:129" s="904" customFormat="1">
      <c r="A282" s="939"/>
      <c r="B282" s="949" t="s">
        <v>543</v>
      </c>
      <c r="C282" s="1009">
        <f t="shared" ref="C282:R282" si="2606">+C283+C284</f>
        <v>2.6010599999999995E-2</v>
      </c>
      <c r="D282" s="1009">
        <f t="shared" si="2606"/>
        <v>2.5248874000000001E-2</v>
      </c>
      <c r="E282" s="1009">
        <f t="shared" si="2606"/>
        <v>2.6304774363766326E-2</v>
      </c>
      <c r="F282" s="1009">
        <f t="shared" si="2606"/>
        <v>2.7959771358386495E-2</v>
      </c>
      <c r="G282" s="1009">
        <f t="shared" si="2606"/>
        <v>2.9572644819424784E-2</v>
      </c>
      <c r="H282" s="1009">
        <f t="shared" si="2606"/>
        <v>3.1497147542024283E-2</v>
      </c>
      <c r="I282" s="1009">
        <f t="shared" si="2606"/>
        <v>3.2626981378185073E-2</v>
      </c>
      <c r="J282" s="1009">
        <f t="shared" si="2606"/>
        <v>2.9668782225375497E-2</v>
      </c>
      <c r="K282" s="1009">
        <f t="shared" si="2606"/>
        <v>2.7242952561667019E-2</v>
      </c>
      <c r="L282" s="1009">
        <f t="shared" si="2606"/>
        <v>2.5677296651214362E-2</v>
      </c>
      <c r="M282" s="1009">
        <f t="shared" si="2606"/>
        <v>2.4639999999999999E-2</v>
      </c>
      <c r="N282" s="1009">
        <f t="shared" si="2606"/>
        <v>2.1612349914236616E-2</v>
      </c>
      <c r="O282" s="1009">
        <f t="shared" si="2606"/>
        <v>2.128E-2</v>
      </c>
      <c r="P282" s="1009">
        <f t="shared" si="2606"/>
        <v>2.0369999999999999E-2</v>
      </c>
      <c r="Q282" s="1009">
        <f t="shared" si="2606"/>
        <v>1.9311091258573863E-2</v>
      </c>
      <c r="R282" s="1009">
        <f t="shared" si="2606"/>
        <v>1.8907550515614102E-2</v>
      </c>
      <c r="S282" s="1009">
        <f t="shared" ref="S282:BD282" si="2607">S283+S284</f>
        <v>1.8907550515614102E-2</v>
      </c>
      <c r="T282" s="1009">
        <f t="shared" si="2607"/>
        <v>1.9783714755412917E-2</v>
      </c>
      <c r="U282" s="1009">
        <f t="shared" si="2607"/>
        <v>2.165431199362193E-2</v>
      </c>
      <c r="V282" s="1009">
        <f t="shared" si="2607"/>
        <v>2.291276146481722E-2</v>
      </c>
      <c r="W282" s="1009">
        <f t="shared" si="2607"/>
        <v>2.0517655897632145E-2</v>
      </c>
      <c r="X282" s="1009">
        <f t="shared" si="2607"/>
        <v>1.6743771122107898E-2</v>
      </c>
      <c r="Y282" s="1009">
        <f t="shared" si="2607"/>
        <v>1.483425600487851E-2</v>
      </c>
      <c r="Z282" s="1009">
        <f t="shared" si="2607"/>
        <v>1.483425600487851E-2</v>
      </c>
      <c r="AA282" s="1009">
        <f t="shared" si="2607"/>
        <v>1.483425600487851E-2</v>
      </c>
      <c r="AB282" s="1009">
        <f t="shared" si="2607"/>
        <v>1.6471916807662156E-2</v>
      </c>
      <c r="AC282" s="1009">
        <f t="shared" si="2607"/>
        <v>1.8098424247195499E-2</v>
      </c>
      <c r="AD282" s="1009">
        <f t="shared" si="2607"/>
        <v>1.8098424247195499E-2</v>
      </c>
      <c r="AE282" s="1009">
        <f t="shared" si="2607"/>
        <v>1.9176653145749099E-2</v>
      </c>
      <c r="AF282" s="1009">
        <f t="shared" si="2607"/>
        <v>2.0250054122272654E-2</v>
      </c>
      <c r="AG282" s="1009">
        <f t="shared" si="2607"/>
        <v>2.0651345050040001E-2</v>
      </c>
      <c r="AH282" s="1009">
        <f t="shared" si="2607"/>
        <v>1.904213959770875E-2</v>
      </c>
      <c r="AI282" s="1009">
        <f t="shared" si="2607"/>
        <v>1.7531693811042536E-2</v>
      </c>
      <c r="AJ282" s="1009">
        <f t="shared" si="2607"/>
        <v>1.5205034521746685E-2</v>
      </c>
      <c r="AK282" s="1009">
        <f t="shared" si="2607"/>
        <v>1.3430757770559153E-2</v>
      </c>
      <c r="AL282" s="1009">
        <f t="shared" si="2607"/>
        <v>1.2410015631186332E-2</v>
      </c>
      <c r="AM282" s="1009">
        <f t="shared" si="2607"/>
        <v>1.2356457008424537E-2</v>
      </c>
      <c r="AN282" s="1009">
        <f t="shared" si="2607"/>
        <v>1.359858283579145E-2</v>
      </c>
      <c r="AO282" s="1009">
        <f t="shared" si="2607"/>
        <v>1.524472660524878E-2</v>
      </c>
      <c r="AP282" s="1009">
        <f t="shared" si="2607"/>
        <v>1.6879582359111578E-2</v>
      </c>
      <c r="AQ282" s="1009">
        <f t="shared" si="2607"/>
        <v>1.7709070178044461E-2</v>
      </c>
      <c r="AR282" s="1009">
        <f t="shared" si="2607"/>
        <v>1.8503329073557073E-2</v>
      </c>
      <c r="AS282" s="1009">
        <f t="shared" si="2607"/>
        <v>1.8503329073557073E-2</v>
      </c>
      <c r="AT282" s="1009">
        <f t="shared" si="2607"/>
        <v>1.9036757485337372E-2</v>
      </c>
      <c r="AU282" s="1009">
        <f t="shared" si="2607"/>
        <v>2.0565792564998485E-2</v>
      </c>
      <c r="AV282" s="1009">
        <f t="shared" si="2607"/>
        <v>2.2117039002627736E-2</v>
      </c>
      <c r="AW282" s="1009">
        <f t="shared" si="2607"/>
        <v>2.3705864973873746E-2</v>
      </c>
      <c r="AX282" s="1009">
        <f t="shared" si="2607"/>
        <v>2.3705864973873746E-2</v>
      </c>
      <c r="AY282" s="1009">
        <f t="shared" si="2607"/>
        <v>2.3705864973873746E-2</v>
      </c>
      <c r="AZ282" s="1009">
        <f t="shared" si="2607"/>
        <v>2.3705864973873746E-2</v>
      </c>
      <c r="BA282" s="1009">
        <f t="shared" si="2607"/>
        <v>2.3705864973873746E-2</v>
      </c>
      <c r="BB282" s="1009">
        <f t="shared" si="2607"/>
        <v>2.3246182767136879E-2</v>
      </c>
      <c r="BC282" s="1009">
        <f t="shared" si="2607"/>
        <v>2.1350662715838208E-2</v>
      </c>
      <c r="BD282" s="1009">
        <f t="shared" si="2607"/>
        <v>1.8535691901784612E-2</v>
      </c>
      <c r="BE282" s="1009">
        <f t="shared" ref="BE282:BN282" si="2608">BE283+BE284</f>
        <v>1.5654491726970487E-2</v>
      </c>
      <c r="BF282" s="1009">
        <f t="shared" si="2608"/>
        <v>1.2854086691548659E-2</v>
      </c>
      <c r="BG282" s="1009">
        <f t="shared" si="2608"/>
        <v>1.1649691437358589E-2</v>
      </c>
      <c r="BH282" s="1009">
        <f t="shared" si="2608"/>
        <v>1.1107799347948498E-2</v>
      </c>
      <c r="BI282" s="1009">
        <f t="shared" si="2608"/>
        <v>1.1107799347948498E-2</v>
      </c>
      <c r="BJ282" s="1009">
        <f t="shared" si="2608"/>
        <v>1.1107799347948498E-2</v>
      </c>
      <c r="BK282" s="1009">
        <f t="shared" si="2608"/>
        <v>1.1107799347948498E-2</v>
      </c>
      <c r="BL282" s="1009">
        <f t="shared" si="2608"/>
        <v>1.1107799347948498E-2</v>
      </c>
      <c r="BM282" s="1009">
        <f t="shared" si="2608"/>
        <v>1.0439149996161955E-2</v>
      </c>
      <c r="BN282" s="1009">
        <f t="shared" si="2608"/>
        <v>8.6749050604713485E-3</v>
      </c>
      <c r="BO282" s="1009">
        <f t="shared" ref="BO282:BY282" si="2609">BO283+BO284</f>
        <v>7.3557421787141747E-3</v>
      </c>
      <c r="BP282" s="1009">
        <f t="shared" si="2609"/>
        <v>5.4827475834828832E-3</v>
      </c>
      <c r="BQ282" s="1009">
        <f t="shared" si="2609"/>
        <v>3.6291788816878996E-3</v>
      </c>
      <c r="BR282" s="1009">
        <f t="shared" si="2609"/>
        <v>3.4740521012426749E-3</v>
      </c>
      <c r="BS282" s="1009">
        <f t="shared" si="2609"/>
        <v>3.6980911961993486E-3</v>
      </c>
      <c r="BT282" s="1009">
        <f t="shared" si="2609"/>
        <v>5.7902592064823727E-3</v>
      </c>
      <c r="BU282" s="1009">
        <f t="shared" si="2609"/>
        <v>8.5736922938439483E-3</v>
      </c>
      <c r="BV282" s="1009">
        <f t="shared" si="2609"/>
        <v>1.3069402951813401E-2</v>
      </c>
      <c r="BW282" s="1009">
        <f t="shared" si="2609"/>
        <v>1.7562898897643772E-2</v>
      </c>
      <c r="BX282" s="1009">
        <f t="shared" si="2609"/>
        <v>2.0902479422330589E-2</v>
      </c>
      <c r="BY282" s="1009">
        <f t="shared" si="2609"/>
        <v>2.26743206337068E-2</v>
      </c>
      <c r="BZ282" s="1009">
        <f t="shared" ref="BZ282:CA282" si="2610">BZ283+BZ284</f>
        <v>2.291276146481722E-2</v>
      </c>
      <c r="CA282" s="1009">
        <f t="shared" si="2610"/>
        <v>2.291276146481722E-2</v>
      </c>
      <c r="CB282" s="1009">
        <f t="shared" ref="CB282:CC282" si="2611">CB283+CB284</f>
        <v>2.291276146481722E-2</v>
      </c>
      <c r="CC282" s="1009">
        <f t="shared" si="2611"/>
        <v>2.2292323678496227E-2</v>
      </c>
      <c r="CD282" s="1009">
        <f t="shared" ref="CD282" si="2612">CD283+CD284</f>
        <v>2.0645998912322591E-2</v>
      </c>
      <c r="CE282" s="1009">
        <f t="shared" ref="CE282" si="2613">CE283+CE284</f>
        <v>7.0288064115035701E-2</v>
      </c>
      <c r="CF282" s="1009">
        <f t="shared" ref="CF282:CH282" si="2614">CF283+CF284</f>
        <v>5.0176277599154565E-2</v>
      </c>
      <c r="CG282" s="1009">
        <f t="shared" si="2614"/>
        <v>6.3697972492335705E-2</v>
      </c>
      <c r="CH282" s="1009">
        <f t="shared" si="2614"/>
        <v>3.5174023465876884E-2</v>
      </c>
      <c r="CI282" s="1009">
        <f t="shared" ref="CI282:CK282" si="2615">CI283+CI284</f>
        <v>0</v>
      </c>
      <c r="CJ282" s="1009">
        <f t="shared" si="2615"/>
        <v>0</v>
      </c>
      <c r="CK282" s="1009">
        <f t="shared" si="2615"/>
        <v>0</v>
      </c>
      <c r="CL282" s="1009">
        <f t="shared" ref="CL282:CP282" si="2616">CL283+CL284</f>
        <v>8.8748922984977843E-2</v>
      </c>
      <c r="CM282" s="1009">
        <f t="shared" si="2616"/>
        <v>0.10514438373246689</v>
      </c>
      <c r="CN282" s="1009">
        <f t="shared" si="2616"/>
        <v>0.10174592110136627</v>
      </c>
      <c r="CO282" s="1009">
        <f t="shared" si="2616"/>
        <v>9.9182306874765841E-2</v>
      </c>
      <c r="CP282" s="1009">
        <f t="shared" si="2616"/>
        <v>9.7466116778339357E-2</v>
      </c>
      <c r="CQ282" s="1009"/>
      <c r="CR282" s="1009">
        <v>8.8748922984977843E-2</v>
      </c>
      <c r="CT282" s="1009"/>
      <c r="CU282" s="1009"/>
      <c r="CV282" s="1009"/>
      <c r="CW282" s="1009"/>
      <c r="CX282" s="1009">
        <f t="shared" ref="CX282:DL282" si="2617">+CX283+CX284</f>
        <v>7.9868641774187968E-2</v>
      </c>
      <c r="CY282" s="1009">
        <f t="shared" si="2617"/>
        <v>8.3258338729466169E-2</v>
      </c>
      <c r="CZ282" s="1009">
        <f t="shared" si="2617"/>
        <v>6.6929939029497065E-2</v>
      </c>
      <c r="DA282" s="1009">
        <f t="shared" si="2617"/>
        <v>6.7503021306931671E-2</v>
      </c>
      <c r="DB282" s="1009">
        <f t="shared" si="2617"/>
        <v>7.9120191915770494E-2</v>
      </c>
      <c r="DC282" s="1009">
        <f t="shared" si="2617"/>
        <v>5.8577501734534701E-2</v>
      </c>
      <c r="DD282" s="1009">
        <f t="shared" si="2617"/>
        <v>5.8079348808576348E-2</v>
      </c>
      <c r="DE282" s="1009">
        <f t="shared" si="2617"/>
        <v>7.3752485810495982E-2</v>
      </c>
      <c r="DF282" s="1009">
        <f t="shared" si="2617"/>
        <v>9.0094561515373706E-2</v>
      </c>
      <c r="DG282" s="1009">
        <f t="shared" si="2617"/>
        <v>9.4363777688758116E-2</v>
      </c>
      <c r="DH282" s="1009">
        <f t="shared" si="2617"/>
        <v>6.8394933036141969E-2</v>
      </c>
      <c r="DI282" s="1009">
        <f t="shared" si="2617"/>
        <v>4.4973089481204084E-2</v>
      </c>
      <c r="DJ282" s="1009">
        <f t="shared" si="2617"/>
        <v>4.1329653752530296E-2</v>
      </c>
      <c r="DK282" s="1009">
        <f t="shared" si="2617"/>
        <v>1.9941720745127633E-2</v>
      </c>
      <c r="DL282" s="1009">
        <f t="shared" si="2617"/>
        <v>3.1131445648339071E-2</v>
      </c>
      <c r="DM282" s="1009">
        <f t="shared" ref="DM282:DR282" si="2618">+DM283+DM284</f>
        <v>0.27028578930199754</v>
      </c>
      <c r="DN282" s="1009">
        <f t="shared" si="2618"/>
        <v>0.15525340704130786</v>
      </c>
      <c r="DO282" s="1009">
        <f t="shared" ref="DO282:DP282" si="2619">+DO283+DO284</f>
        <v>0.20463899173401295</v>
      </c>
      <c r="DP282" s="1009">
        <f t="shared" si="2619"/>
        <v>0.33101294465767334</v>
      </c>
      <c r="DQ282" s="1009">
        <f t="shared" ref="DQ282" si="2620">+DQ283+DQ284</f>
        <v>0.50199348991030091</v>
      </c>
      <c r="DR282" s="1009">
        <f t="shared" si="2618"/>
        <v>5.3124891463851701E-2</v>
      </c>
      <c r="DS282" s="1009">
        <f t="shared" ref="DS282:DU282" si="2621">+DS283+DS284</f>
        <v>5.0815113574119018E-2</v>
      </c>
      <c r="DT282" s="1009">
        <f t="shared" si="2621"/>
        <v>4.6195557794653654E-2</v>
      </c>
      <c r="DU282" s="1009">
        <f t="shared" si="2621"/>
        <v>4.1576002015188282E-2</v>
      </c>
      <c r="DX282" s="1009">
        <v>6.1209114077916092E-2</v>
      </c>
      <c r="DY282" s="1009">
        <v>5.3124891463851701E-2</v>
      </c>
    </row>
    <row r="283" spans="1:129" s="904" customFormat="1">
      <c r="A283" s="939"/>
      <c r="B283" s="949" t="s">
        <v>544</v>
      </c>
      <c r="C283" s="594">
        <v>0</v>
      </c>
      <c r="D283" s="594">
        <v>0</v>
      </c>
      <c r="E283" s="594">
        <v>0</v>
      </c>
      <c r="F283" s="594">
        <v>0</v>
      </c>
      <c r="G283" s="594">
        <v>0</v>
      </c>
      <c r="H283" s="594">
        <v>0</v>
      </c>
      <c r="I283" s="594">
        <v>0</v>
      </c>
      <c r="J283" s="594">
        <v>0</v>
      </c>
      <c r="K283" s="594">
        <v>0</v>
      </c>
      <c r="L283" s="594">
        <v>0</v>
      </c>
      <c r="M283" s="594">
        <v>0</v>
      </c>
      <c r="N283" s="594">
        <v>0</v>
      </c>
      <c r="O283" s="594">
        <v>0</v>
      </c>
      <c r="P283" s="594">
        <v>0</v>
      </c>
      <c r="Q283" s="594">
        <v>0</v>
      </c>
      <c r="R283" s="594">
        <v>0</v>
      </c>
      <c r="S283" s="594">
        <v>0</v>
      </c>
      <c r="T283" s="594">
        <v>0</v>
      </c>
      <c r="U283" s="594">
        <v>0</v>
      </c>
      <c r="V283" s="594">
        <f t="shared" ref="V283:BD283" si="2622">U283</f>
        <v>0</v>
      </c>
      <c r="W283" s="594">
        <f t="shared" si="2622"/>
        <v>0</v>
      </c>
      <c r="X283" s="594">
        <f t="shared" si="2622"/>
        <v>0</v>
      </c>
      <c r="Y283" s="594">
        <f t="shared" si="2622"/>
        <v>0</v>
      </c>
      <c r="Z283" s="594">
        <f t="shared" si="2622"/>
        <v>0</v>
      </c>
      <c r="AA283" s="594">
        <f t="shared" si="2622"/>
        <v>0</v>
      </c>
      <c r="AB283" s="594">
        <f t="shared" si="2622"/>
        <v>0</v>
      </c>
      <c r="AC283" s="594">
        <f t="shared" si="2622"/>
        <v>0</v>
      </c>
      <c r="AD283" s="594">
        <f t="shared" si="2622"/>
        <v>0</v>
      </c>
      <c r="AE283" s="594">
        <f t="shared" si="2622"/>
        <v>0</v>
      </c>
      <c r="AF283" s="594">
        <f t="shared" si="2622"/>
        <v>0</v>
      </c>
      <c r="AG283" s="594">
        <f t="shared" si="2622"/>
        <v>0</v>
      </c>
      <c r="AH283" s="594">
        <f t="shared" si="2622"/>
        <v>0</v>
      </c>
      <c r="AI283" s="594">
        <f t="shared" si="2622"/>
        <v>0</v>
      </c>
      <c r="AJ283" s="594">
        <f t="shared" si="2622"/>
        <v>0</v>
      </c>
      <c r="AK283" s="594">
        <f t="shared" si="2622"/>
        <v>0</v>
      </c>
      <c r="AL283" s="594">
        <f t="shared" si="2622"/>
        <v>0</v>
      </c>
      <c r="AM283" s="594">
        <f t="shared" si="2622"/>
        <v>0</v>
      </c>
      <c r="AN283" s="594">
        <f t="shared" si="2622"/>
        <v>0</v>
      </c>
      <c r="AO283" s="594">
        <f t="shared" si="2622"/>
        <v>0</v>
      </c>
      <c r="AP283" s="594">
        <f t="shared" si="2622"/>
        <v>0</v>
      </c>
      <c r="AQ283" s="594">
        <f t="shared" si="2622"/>
        <v>0</v>
      </c>
      <c r="AR283" s="594">
        <f t="shared" si="2622"/>
        <v>0</v>
      </c>
      <c r="AS283" s="594">
        <f t="shared" si="2622"/>
        <v>0</v>
      </c>
      <c r="AT283" s="594">
        <f t="shared" si="2622"/>
        <v>0</v>
      </c>
      <c r="AU283" s="594">
        <f t="shared" si="2622"/>
        <v>0</v>
      </c>
      <c r="AV283" s="594">
        <f t="shared" si="2622"/>
        <v>0</v>
      </c>
      <c r="AW283" s="594">
        <f t="shared" si="2622"/>
        <v>0</v>
      </c>
      <c r="AX283" s="594">
        <f t="shared" si="2622"/>
        <v>0</v>
      </c>
      <c r="AY283" s="594">
        <f t="shared" si="2622"/>
        <v>0</v>
      </c>
      <c r="AZ283" s="594">
        <f t="shared" si="2622"/>
        <v>0</v>
      </c>
      <c r="BA283" s="594">
        <f t="shared" si="2622"/>
        <v>0</v>
      </c>
      <c r="BB283" s="594">
        <f t="shared" si="2622"/>
        <v>0</v>
      </c>
      <c r="BC283" s="594">
        <f t="shared" si="2622"/>
        <v>0</v>
      </c>
      <c r="BD283" s="594">
        <f t="shared" si="2622"/>
        <v>0</v>
      </c>
      <c r="BE283" s="594">
        <f t="shared" ref="BE283:CD283" si="2623">BD283</f>
        <v>0</v>
      </c>
      <c r="BF283" s="594">
        <f t="shared" si="2623"/>
        <v>0</v>
      </c>
      <c r="BG283" s="594">
        <f t="shared" si="2623"/>
        <v>0</v>
      </c>
      <c r="BH283" s="594">
        <f t="shared" si="2623"/>
        <v>0</v>
      </c>
      <c r="BI283" s="594">
        <f t="shared" si="2623"/>
        <v>0</v>
      </c>
      <c r="BJ283" s="594">
        <f t="shared" si="2623"/>
        <v>0</v>
      </c>
      <c r="BK283" s="594">
        <f t="shared" si="2623"/>
        <v>0</v>
      </c>
      <c r="BL283" s="594">
        <f t="shared" si="2623"/>
        <v>0</v>
      </c>
      <c r="BM283" s="594">
        <f t="shared" si="2623"/>
        <v>0</v>
      </c>
      <c r="BN283" s="594">
        <f t="shared" si="2623"/>
        <v>0</v>
      </c>
      <c r="BO283" s="594">
        <f t="shared" si="2623"/>
        <v>0</v>
      </c>
      <c r="BP283" s="594">
        <f t="shared" si="2623"/>
        <v>0</v>
      </c>
      <c r="BQ283" s="594">
        <f t="shared" si="2623"/>
        <v>0</v>
      </c>
      <c r="BR283" s="594">
        <f t="shared" si="2623"/>
        <v>0</v>
      </c>
      <c r="BS283" s="594">
        <f t="shared" si="2623"/>
        <v>0</v>
      </c>
      <c r="BT283" s="594">
        <f t="shared" si="2623"/>
        <v>0</v>
      </c>
      <c r="BU283" s="594">
        <f t="shared" si="2623"/>
        <v>0</v>
      </c>
      <c r="BV283" s="594">
        <f t="shared" si="2623"/>
        <v>0</v>
      </c>
      <c r="BW283" s="594">
        <f t="shared" si="2623"/>
        <v>0</v>
      </c>
      <c r="BX283" s="594">
        <f t="shared" si="2623"/>
        <v>0</v>
      </c>
      <c r="BY283" s="594">
        <f t="shared" si="2623"/>
        <v>0</v>
      </c>
      <c r="BZ283" s="594">
        <f t="shared" si="2623"/>
        <v>0</v>
      </c>
      <c r="CA283" s="594">
        <f t="shared" si="2623"/>
        <v>0</v>
      </c>
      <c r="CB283" s="594">
        <f t="shared" si="2623"/>
        <v>0</v>
      </c>
      <c r="CC283" s="594">
        <f t="shared" si="2623"/>
        <v>0</v>
      </c>
      <c r="CD283" s="594">
        <f t="shared" si="2623"/>
        <v>0</v>
      </c>
      <c r="CE283" s="594">
        <f t="shared" ref="CE283:CI283" si="2624">CD283</f>
        <v>0</v>
      </c>
      <c r="CF283" s="594">
        <f t="shared" si="2624"/>
        <v>0</v>
      </c>
      <c r="CG283" s="594">
        <f t="shared" si="2624"/>
        <v>0</v>
      </c>
      <c r="CH283" s="594">
        <f t="shared" si="2624"/>
        <v>0</v>
      </c>
      <c r="CI283" s="594">
        <f t="shared" si="2624"/>
        <v>0</v>
      </c>
      <c r="CJ283" s="594">
        <f t="shared" ref="CJ283" si="2625">CI283</f>
        <v>0</v>
      </c>
      <c r="CK283" s="594">
        <f t="shared" ref="CK283" si="2626">CJ283</f>
        <v>0</v>
      </c>
      <c r="CL283" s="608">
        <f t="shared" ref="CL283" si="2627">CK283</f>
        <v>0</v>
      </c>
      <c r="CM283" s="608">
        <f t="shared" ref="CM283" si="2628">CL283</f>
        <v>0</v>
      </c>
      <c r="CN283" s="608">
        <f t="shared" ref="CN283" si="2629">CM283</f>
        <v>0</v>
      </c>
      <c r="CO283" s="608">
        <f t="shared" ref="CO283" si="2630">CN283</f>
        <v>0</v>
      </c>
      <c r="CP283" s="608">
        <f t="shared" ref="CP283" si="2631">CO283</f>
        <v>0</v>
      </c>
      <c r="CQ283" s="608"/>
      <c r="CR283" s="608">
        <v>0</v>
      </c>
      <c r="CT283" s="957"/>
      <c r="CU283" s="957"/>
      <c r="CV283" s="957"/>
      <c r="CW283" s="957"/>
      <c r="CX283" s="911">
        <f>+SUM(O283:R283)</f>
        <v>0</v>
      </c>
      <c r="CY283" s="911">
        <f>+SUM(S283:V283)</f>
        <v>0</v>
      </c>
      <c r="CZ283" s="911">
        <f>+SUM(W283:Z283)</f>
        <v>0</v>
      </c>
      <c r="DA283" s="911">
        <f>+SUM(AA283:AD283)</f>
        <v>0</v>
      </c>
      <c r="DB283" s="911">
        <f>+SUM(AE283:AH283)</f>
        <v>0</v>
      </c>
      <c r="DC283" s="911">
        <f>+SUM(AI283:AL283)</f>
        <v>0</v>
      </c>
      <c r="DD283" s="911">
        <f>+SUM(AM283:AP283)</f>
        <v>0</v>
      </c>
      <c r="DE283" s="911">
        <f>+SUM(AQ283:AT283)</f>
        <v>0</v>
      </c>
      <c r="DF283" s="911">
        <f>+SUM(AU283:AX283)</f>
        <v>0</v>
      </c>
      <c r="DG283" s="911">
        <f>+SUM(AY283:BB283)</f>
        <v>0</v>
      </c>
      <c r="DH283" s="911">
        <f>+SUM(BC283:BF283)</f>
        <v>0</v>
      </c>
      <c r="DI283" s="911">
        <f>+SUM(BD283:BG283)</f>
        <v>0</v>
      </c>
      <c r="DJ283" s="930">
        <f>+SUM(BK283:BN283)</f>
        <v>0</v>
      </c>
      <c r="DK283" s="930">
        <f>+SUM(BO283:BR283)</f>
        <v>0</v>
      </c>
      <c r="DL283" s="930">
        <f>+SUM(BS283:BV283)</f>
        <v>0</v>
      </c>
      <c r="DM283" s="930">
        <f>+SUM(BA283:BW283)</f>
        <v>0</v>
      </c>
      <c r="DN283" s="930">
        <f>+SUM(BX283:CD283)</f>
        <v>0</v>
      </c>
      <c r="DO283" s="930">
        <f>+SUM(BY283:CE283)</f>
        <v>0</v>
      </c>
      <c r="DP283" s="930">
        <f>+SUM(BZ283:CI283)</f>
        <v>0</v>
      </c>
      <c r="DQ283" s="930">
        <f>+SUM(CA283:CM283)</f>
        <v>0</v>
      </c>
      <c r="DR283" s="957">
        <f>+DQ283</f>
        <v>0</v>
      </c>
      <c r="DS283" s="957">
        <f t="shared" ref="DS283:DU283" si="2632">+DR283</f>
        <v>0</v>
      </c>
      <c r="DT283" s="957">
        <f t="shared" si="2632"/>
        <v>0</v>
      </c>
      <c r="DU283" s="957">
        <f t="shared" si="2632"/>
        <v>0</v>
      </c>
      <c r="DX283" s="957">
        <v>0</v>
      </c>
      <c r="DY283" s="957">
        <v>0</v>
      </c>
    </row>
    <row r="284" spans="1:129">
      <c r="A284" s="939"/>
      <c r="B284" s="949" t="s">
        <v>545</v>
      </c>
      <c r="C284" s="594">
        <f>MACRO!P6*70%</f>
        <v>2.6010599999999995E-2</v>
      </c>
      <c r="D284" s="594">
        <f>MACRO!Q6*70%</f>
        <v>2.5248874000000001E-2</v>
      </c>
      <c r="E284" s="594">
        <f>MACRO!R6*70%</f>
        <v>2.6304774363766326E-2</v>
      </c>
      <c r="F284" s="594">
        <f>MACRO!S6*70%</f>
        <v>2.7959771358386495E-2</v>
      </c>
      <c r="G284" s="594">
        <f>MACRO!T6*70%</f>
        <v>2.9572644819424784E-2</v>
      </c>
      <c r="H284" s="594">
        <f>MACRO!U6*70%</f>
        <v>3.1497147542024283E-2</v>
      </c>
      <c r="I284" s="594">
        <f>MACRO!V6*70%</f>
        <v>3.2626981378185073E-2</v>
      </c>
      <c r="J284" s="594">
        <f>MACRO!W6*70%</f>
        <v>2.9668782225375497E-2</v>
      </c>
      <c r="K284" s="594">
        <f>MACRO!X6*70%</f>
        <v>2.7242952561667019E-2</v>
      </c>
      <c r="L284" s="594">
        <f>MACRO!Y6*70%</f>
        <v>2.5677296651214362E-2</v>
      </c>
      <c r="M284" s="594">
        <f>MACRO!Z6*70%</f>
        <v>2.4639999999999999E-2</v>
      </c>
      <c r="N284" s="594">
        <f>MACRO!AA6*70%</f>
        <v>2.1612349914236616E-2</v>
      </c>
      <c r="O284" s="594">
        <f>MACRO!AB6*70%</f>
        <v>2.128E-2</v>
      </c>
      <c r="P284" s="594">
        <f>MACRO!AC6*70%</f>
        <v>2.0369999999999999E-2</v>
      </c>
      <c r="Q284" s="594">
        <f>MACRO!AD6*70%</f>
        <v>1.9311091258573863E-2</v>
      </c>
      <c r="R284" s="594">
        <f>MACRO!AE6*70%</f>
        <v>1.8907550515614102E-2</v>
      </c>
      <c r="S284" s="594">
        <f>MACRO!AF6*70%</f>
        <v>1.8907550515614102E-2</v>
      </c>
      <c r="T284" s="594">
        <f>MACRO!AG6*70%</f>
        <v>1.9783714755412917E-2</v>
      </c>
      <c r="U284" s="594">
        <f>MACRO!AH6*70%</f>
        <v>2.165431199362193E-2</v>
      </c>
      <c r="V284" s="594">
        <f>MACRO!AI6*70%</f>
        <v>2.291276146481722E-2</v>
      </c>
      <c r="W284" s="594">
        <f>MACRO!AJ6*70%</f>
        <v>2.0517655897632145E-2</v>
      </c>
      <c r="X284" s="594">
        <f>MACRO!AK6*70%</f>
        <v>1.6743771122107898E-2</v>
      </c>
      <c r="Y284" s="594">
        <f>MACRO!AL6*70%</f>
        <v>1.483425600487851E-2</v>
      </c>
      <c r="Z284" s="594">
        <f>MACRO!AM6*70%</f>
        <v>1.483425600487851E-2</v>
      </c>
      <c r="AA284" s="594">
        <f>MACRO!AN6*70%</f>
        <v>1.483425600487851E-2</v>
      </c>
      <c r="AB284" s="594">
        <f>MACRO!AO6*70%</f>
        <v>1.6471916807662156E-2</v>
      </c>
      <c r="AC284" s="594">
        <f>MACRO!AP6*70%</f>
        <v>1.8098424247195499E-2</v>
      </c>
      <c r="AD284" s="594">
        <f>MACRO!AQ6*70%</f>
        <v>1.8098424247195499E-2</v>
      </c>
      <c r="AE284" s="594">
        <f>MACRO!AR6*70%</f>
        <v>1.9176653145749099E-2</v>
      </c>
      <c r="AF284" s="594">
        <f>MACRO!AS6*70%</f>
        <v>2.0250054122272654E-2</v>
      </c>
      <c r="AG284" s="594">
        <f>MACRO!AT6*70%</f>
        <v>2.0651345050040001E-2</v>
      </c>
      <c r="AH284" s="594">
        <f>MACRO!AU6*70%</f>
        <v>1.904213959770875E-2</v>
      </c>
      <c r="AI284" s="594">
        <f>MACRO!AV6*70%</f>
        <v>1.7531693811042536E-2</v>
      </c>
      <c r="AJ284" s="594">
        <f>MACRO!AW6*70%</f>
        <v>1.5205034521746685E-2</v>
      </c>
      <c r="AK284" s="594">
        <f>MACRO!AX6*70%</f>
        <v>1.3430757770559153E-2</v>
      </c>
      <c r="AL284" s="594">
        <f>MACRO!AY6*70%</f>
        <v>1.2410015631186332E-2</v>
      </c>
      <c r="AM284" s="594">
        <f>MACRO!AZ6*70%</f>
        <v>1.2356457008424537E-2</v>
      </c>
      <c r="AN284" s="594">
        <f>MACRO!BA6*70%</f>
        <v>1.359858283579145E-2</v>
      </c>
      <c r="AO284" s="594">
        <f>MACRO!BB6*70%</f>
        <v>1.524472660524878E-2</v>
      </c>
      <c r="AP284" s="594">
        <f>MACRO!BC6*70%</f>
        <v>1.6879582359111578E-2</v>
      </c>
      <c r="AQ284" s="594">
        <f>MACRO!BD6*70%</f>
        <v>1.7709070178044461E-2</v>
      </c>
      <c r="AR284" s="594">
        <f>MACRO!BE6*70%</f>
        <v>1.8503329073557073E-2</v>
      </c>
      <c r="AS284" s="594">
        <f>MACRO!BF6*70%</f>
        <v>1.8503329073557073E-2</v>
      </c>
      <c r="AT284" s="594">
        <f>MACRO!BG6*70%</f>
        <v>1.9036757485337372E-2</v>
      </c>
      <c r="AU284" s="594">
        <f>MACRO!BH6*70%</f>
        <v>2.0565792564998485E-2</v>
      </c>
      <c r="AV284" s="594">
        <f>MACRO!BI6*70%</f>
        <v>2.2117039002627736E-2</v>
      </c>
      <c r="AW284" s="594">
        <f>MACRO!BJ6*70%</f>
        <v>2.3705864973873746E-2</v>
      </c>
      <c r="AX284" s="594">
        <f>MACRO!BK6*70%</f>
        <v>2.3705864973873746E-2</v>
      </c>
      <c r="AY284" s="594">
        <f>MACRO!BL6*70%</f>
        <v>2.3705864973873746E-2</v>
      </c>
      <c r="AZ284" s="594">
        <f>MACRO!BM6*70%</f>
        <v>2.3705864973873746E-2</v>
      </c>
      <c r="BA284" s="594">
        <f>MACRO!BN6*70%</f>
        <v>2.3705864973873746E-2</v>
      </c>
      <c r="BB284" s="594">
        <f>MACRO!BO6*70%</f>
        <v>2.3246182767136879E-2</v>
      </c>
      <c r="BC284" s="594">
        <f>MACRO!BP6*70%</f>
        <v>2.1350662715838208E-2</v>
      </c>
      <c r="BD284" s="594">
        <f>MACRO!BQ6*70%</f>
        <v>1.8535691901784612E-2</v>
      </c>
      <c r="BE284" s="594">
        <f>MACRO!BR6*70%</f>
        <v>1.5654491726970487E-2</v>
      </c>
      <c r="BF284" s="594">
        <f>MACRO!BS6*70%</f>
        <v>1.2854086691548659E-2</v>
      </c>
      <c r="BG284" s="594">
        <f>MACRO!BT6*70%</f>
        <v>1.1649691437358589E-2</v>
      </c>
      <c r="BH284" s="594">
        <f>MACRO!BU6*70%</f>
        <v>1.1107799347948498E-2</v>
      </c>
      <c r="BI284" s="594">
        <f>MACRO!BV6*70%</f>
        <v>1.1107799347948498E-2</v>
      </c>
      <c r="BJ284" s="594">
        <f>MACRO!BW6*70%</f>
        <v>1.1107799347948498E-2</v>
      </c>
      <c r="BK284" s="594">
        <f>MACRO!BX6*70%</f>
        <v>1.1107799347948498E-2</v>
      </c>
      <c r="BL284" s="594">
        <f>MACRO!BY6*70%</f>
        <v>1.1107799347948498E-2</v>
      </c>
      <c r="BM284" s="594">
        <f>MACRO!BZ6*70%</f>
        <v>1.0439149996161955E-2</v>
      </c>
      <c r="BN284" s="594">
        <f>MACRO!CA6*70%</f>
        <v>8.6749050604713485E-3</v>
      </c>
      <c r="BO284" s="594">
        <f>MACRO!CB6*70%</f>
        <v>7.3557421787141747E-3</v>
      </c>
      <c r="BP284" s="594">
        <f>MACRO!CC6*70%</f>
        <v>5.4827475834828832E-3</v>
      </c>
      <c r="BQ284" s="594">
        <f>MACRO!CD6*70%</f>
        <v>3.6291788816878996E-3</v>
      </c>
      <c r="BR284" s="594">
        <f>MACRO!CE6*70%</f>
        <v>3.4740521012426749E-3</v>
      </c>
      <c r="BS284" s="594">
        <f>MACRO!CF6*70%</f>
        <v>3.6980911961993486E-3</v>
      </c>
      <c r="BT284" s="594">
        <f>MACRO!CG6*70%</f>
        <v>5.7902592064823727E-3</v>
      </c>
      <c r="BU284" s="594">
        <f>MACRO!CH6*70%</f>
        <v>8.5736922938439483E-3</v>
      </c>
      <c r="BV284" s="594">
        <f>MACRO!CI6*70%</f>
        <v>1.3069402951813401E-2</v>
      </c>
      <c r="BW284" s="594">
        <f>MACRO!CJ6*70%</f>
        <v>1.7562898897643772E-2</v>
      </c>
      <c r="BX284" s="594">
        <f>MACRO!CK6*70%</f>
        <v>2.0902479422330589E-2</v>
      </c>
      <c r="BY284" s="594">
        <f>MACRO!CL6*70%</f>
        <v>2.26743206337068E-2</v>
      </c>
      <c r="BZ284" s="594">
        <f>MACRO!CM6*70%</f>
        <v>2.291276146481722E-2</v>
      </c>
      <c r="CA284" s="594">
        <f>MACRO!CN6*70%</f>
        <v>2.291276146481722E-2</v>
      </c>
      <c r="CB284" s="594">
        <f>MACRO!CO6*70%</f>
        <v>2.291276146481722E-2</v>
      </c>
      <c r="CC284" s="594">
        <f>MACRO!CP6*70%</f>
        <v>2.2292323678496227E-2</v>
      </c>
      <c r="CD284" s="594">
        <f>MACRO!CQ6*70%</f>
        <v>2.0645998912322591E-2</v>
      </c>
      <c r="CE284" s="594">
        <f>MACRO!CR6*Cartao!CE287</f>
        <v>7.0288064115035701E-2</v>
      </c>
      <c r="CF284" s="594">
        <f>MACRO!CS6*Cartao!CF287</f>
        <v>5.0176277599154565E-2</v>
      </c>
      <c r="CG284" s="594">
        <f>MACRO!CT6*Cartao!CG287</f>
        <v>6.3697972492335705E-2</v>
      </c>
      <c r="CH284" s="594">
        <v>3.5174023465876884E-2</v>
      </c>
      <c r="CI284" s="594">
        <v>0</v>
      </c>
      <c r="CJ284" s="594">
        <v>0</v>
      </c>
      <c r="CK284" s="594">
        <v>0</v>
      </c>
      <c r="CL284" s="1010">
        <f>MACRO!CY6*Cartao!CL287</f>
        <v>8.8748922984977843E-2</v>
      </c>
      <c r="CM284" s="1010">
        <f>MACRO!CZ6*Cartao!CM287</f>
        <v>0.10514438373246689</v>
      </c>
      <c r="CN284" s="1010">
        <f>MACRO!DA6*Cartao!CN287</f>
        <v>0.10174592110136627</v>
      </c>
      <c r="CO284" s="1010">
        <f>MACRO!DB6*Cartao!CO287</f>
        <v>9.9182306874765841E-2</v>
      </c>
      <c r="CP284" s="1010">
        <f>MACRO!DC6*Cartao!CP287</f>
        <v>9.7466116778339357E-2</v>
      </c>
      <c r="CQ284" s="1010"/>
      <c r="CR284" s="1010">
        <v>8.8748922984977843E-2</v>
      </c>
      <c r="CT284" s="1011"/>
      <c r="CU284" s="1011"/>
      <c r="CV284" s="1011"/>
      <c r="CW284" s="1011"/>
      <c r="CX284" s="930">
        <f>+SUM(O284:R284)</f>
        <v>7.9868641774187968E-2</v>
      </c>
      <c r="CY284" s="930">
        <f>+SUM(S284:V284)</f>
        <v>8.3258338729466169E-2</v>
      </c>
      <c r="CZ284" s="930">
        <f>+SUM(W284:Z284)</f>
        <v>6.6929939029497065E-2</v>
      </c>
      <c r="DA284" s="930">
        <f>+SUM(AA284:AD284)</f>
        <v>6.7503021306931671E-2</v>
      </c>
      <c r="DB284" s="930">
        <f>+SUM(AE284:AH284)</f>
        <v>7.9120191915770494E-2</v>
      </c>
      <c r="DC284" s="930">
        <f>+SUM(AI284:AL284)</f>
        <v>5.8577501734534701E-2</v>
      </c>
      <c r="DD284" s="930">
        <f>+SUM(AM284:AP284)</f>
        <v>5.8079348808576348E-2</v>
      </c>
      <c r="DE284" s="930">
        <f>+SUM(AQ284:AT284)</f>
        <v>7.3752485810495982E-2</v>
      </c>
      <c r="DF284" s="930">
        <f>+SUM(AU284:AX284)</f>
        <v>9.0094561515373706E-2</v>
      </c>
      <c r="DG284" s="930">
        <f>+SUM(AY284:BB284)</f>
        <v>9.4363777688758116E-2</v>
      </c>
      <c r="DH284" s="930">
        <f>+SUM(BC284:BF284)</f>
        <v>6.8394933036141969E-2</v>
      </c>
      <c r="DI284" s="930">
        <f>+SUM(BG284:BJ284)</f>
        <v>4.4973089481204084E-2</v>
      </c>
      <c r="DJ284" s="930">
        <f>+SUM(BK284:BN284)</f>
        <v>4.1329653752530296E-2</v>
      </c>
      <c r="DK284" s="930">
        <f>+SUM(BO284:BR284)</f>
        <v>1.9941720745127633E-2</v>
      </c>
      <c r="DL284" s="930">
        <f>+SUM(BS284:BV284)</f>
        <v>3.1131445648339071E-2</v>
      </c>
      <c r="DM284" s="930">
        <f>+SUM(BA284:BW284)</f>
        <v>0.27028578930199754</v>
      </c>
      <c r="DN284" s="930">
        <f>+SUM(BX284:CD284)</f>
        <v>0.15525340704130786</v>
      </c>
      <c r="DO284" s="930">
        <f>+SUM(BY284:CE284)</f>
        <v>0.20463899173401295</v>
      </c>
      <c r="DP284" s="930">
        <f>+SUM(BZ284:CI284)</f>
        <v>0.33101294465767334</v>
      </c>
      <c r="DQ284" s="930">
        <f>+SUM(CA284:CM284)</f>
        <v>0.50199348991030091</v>
      </c>
      <c r="DR284" s="1012">
        <f>MACRO!EJ6*Cartao!$BN$287</f>
        <v>5.3124891463851701E-2</v>
      </c>
      <c r="DS284" s="1012">
        <f>MACRO!EK6*Cartao!$BN$287</f>
        <v>5.0815113574119018E-2</v>
      </c>
      <c r="DT284" s="1012">
        <f>MACRO!EL6*Cartao!$BN$287</f>
        <v>4.6195557794653654E-2</v>
      </c>
      <c r="DU284" s="1012">
        <f>MACRO!EM6*Cartao!$BN$287</f>
        <v>4.1576002015188282E-2</v>
      </c>
      <c r="DX284" s="1012">
        <v>6.1209114077916092E-2</v>
      </c>
      <c r="DY284" s="1012">
        <v>5.3124891463851701E-2</v>
      </c>
    </row>
    <row r="285" spans="1:129" s="904" customFormat="1">
      <c r="A285" s="939"/>
      <c r="B285" s="949" t="s">
        <v>546</v>
      </c>
      <c r="C285" s="592">
        <f t="shared" ref="C285:AH285" si="2633">+C282*(C277+C278)/2</f>
        <v>0</v>
      </c>
      <c r="D285" s="592">
        <f t="shared" si="2633"/>
        <v>1231.273965047</v>
      </c>
      <c r="E285" s="592">
        <f t="shared" si="2633"/>
        <v>2623.3093853625064</v>
      </c>
      <c r="F285" s="592">
        <f t="shared" si="2633"/>
        <v>2819.3934443512981</v>
      </c>
      <c r="G285" s="592">
        <f t="shared" si="2633"/>
        <v>2744.8293878821405</v>
      </c>
      <c r="H285" s="592">
        <f t="shared" si="2633"/>
        <v>3087.0039334462581</v>
      </c>
      <c r="I285" s="592">
        <f t="shared" si="2633"/>
        <v>6141.197256418196</v>
      </c>
      <c r="J285" s="592">
        <f t="shared" si="2633"/>
        <v>8052.5376933091775</v>
      </c>
      <c r="K285" s="592">
        <f t="shared" si="2633"/>
        <v>6042.3506634149362</v>
      </c>
      <c r="L285" s="592">
        <f t="shared" si="2633"/>
        <v>4967.7352285171401</v>
      </c>
      <c r="M285" s="592">
        <f t="shared" si="2633"/>
        <v>5388.1150399999997</v>
      </c>
      <c r="N285" s="592">
        <f t="shared" si="2633"/>
        <v>5453.7468267581244</v>
      </c>
      <c r="O285" s="592">
        <f t="shared" si="2633"/>
        <v>4848.7650400000002</v>
      </c>
      <c r="P285" s="592">
        <f t="shared" si="2633"/>
        <v>3965.1019799999999</v>
      </c>
      <c r="Q285" s="592">
        <f t="shared" si="2633"/>
        <v>4659.3994099599604</v>
      </c>
      <c r="R285" s="592">
        <f t="shared" si="2633"/>
        <v>5277.0406262563492</v>
      </c>
      <c r="S285" s="592">
        <f t="shared" si="2633"/>
        <v>4604.2910713602841</v>
      </c>
      <c r="T285" s="592">
        <f t="shared" si="2633"/>
        <v>3965.8137842979404</v>
      </c>
      <c r="U285" s="592">
        <f t="shared" si="2633"/>
        <v>3986.4938750898164</v>
      </c>
      <c r="V285" s="592">
        <f t="shared" si="2633"/>
        <v>3855.9542577718926</v>
      </c>
      <c r="W285" s="592">
        <f t="shared" si="2633"/>
        <v>2688.2130168798149</v>
      </c>
      <c r="X285" s="592">
        <f t="shared" si="2633"/>
        <v>2325.2158676126846</v>
      </c>
      <c r="Y285" s="592">
        <f t="shared" si="2633"/>
        <v>3649.7313419042794</v>
      </c>
      <c r="Z285" s="592">
        <f t="shared" si="2633"/>
        <v>5259.0107703375197</v>
      </c>
      <c r="AA285" s="592">
        <f t="shared" si="2633"/>
        <v>5950.1387576048091</v>
      </c>
      <c r="AB285" s="592">
        <f t="shared" si="2633"/>
        <v>6176.3346340762137</v>
      </c>
      <c r="AC285" s="592">
        <f t="shared" si="2633"/>
        <v>6861.9994548999257</v>
      </c>
      <c r="AD285" s="592">
        <f t="shared" si="2633"/>
        <v>9799.2289228257778</v>
      </c>
      <c r="AE285" s="592">
        <f t="shared" si="2633"/>
        <v>11397.049320928458</v>
      </c>
      <c r="AF285" s="592">
        <f t="shared" si="2633"/>
        <v>7565.3088447833907</v>
      </c>
      <c r="AG285" s="592">
        <f t="shared" si="2633"/>
        <v>9306.5802751631509</v>
      </c>
      <c r="AH285" s="592">
        <f t="shared" si="2633"/>
        <v>11780.962363101053</v>
      </c>
      <c r="AI285" s="592">
        <f t="shared" ref="AI285:BD285" si="2634">+AI282*(AI277+AI278)/2</f>
        <v>9446.2782398685449</v>
      </c>
      <c r="AJ285" s="592">
        <f t="shared" si="2634"/>
        <v>6504.4704878508837</v>
      </c>
      <c r="AK285" s="592">
        <f t="shared" si="2634"/>
        <v>6714.8685164842955</v>
      </c>
      <c r="AL285" s="592">
        <f t="shared" si="2634"/>
        <v>8233.9522961748971</v>
      </c>
      <c r="AM285" s="592">
        <f t="shared" si="2634"/>
        <v>7422.6225766166863</v>
      </c>
      <c r="AN285" s="592">
        <f t="shared" si="2634"/>
        <v>6573.9221045581535</v>
      </c>
      <c r="AO285" s="592">
        <f t="shared" si="2634"/>
        <v>9637.7390269281859</v>
      </c>
      <c r="AP285" s="592">
        <f t="shared" si="2634"/>
        <v>13649.564557410244</v>
      </c>
      <c r="AQ285" s="592">
        <f t="shared" si="2634"/>
        <v>13768.678099938323</v>
      </c>
      <c r="AR285" s="592">
        <f t="shared" si="2634"/>
        <v>13627.91465095913</v>
      </c>
      <c r="AS285" s="592">
        <f t="shared" si="2634"/>
        <v>12453.57311631222</v>
      </c>
      <c r="AT285" s="592">
        <f t="shared" si="2634"/>
        <v>13904.45718566916</v>
      </c>
      <c r="AU285" s="592">
        <f t="shared" si="2634"/>
        <v>16273.464867172521</v>
      </c>
      <c r="AV285" s="592">
        <f t="shared" si="2634"/>
        <v>15977.71390664182</v>
      </c>
      <c r="AW285" s="592">
        <f t="shared" si="2634"/>
        <v>14889.819731144917</v>
      </c>
      <c r="AX285" s="592">
        <f t="shared" si="2634"/>
        <v>15374.960257835242</v>
      </c>
      <c r="AY285" s="592">
        <f t="shared" si="2634"/>
        <v>18546.401991634993</v>
      </c>
      <c r="AZ285" s="592">
        <f t="shared" si="2634"/>
        <v>19105.61149343619</v>
      </c>
      <c r="BA285" s="592">
        <f t="shared" si="2634"/>
        <v>17808.805855905401</v>
      </c>
      <c r="BB285" s="592">
        <f t="shared" si="2634"/>
        <v>18744.048058259945</v>
      </c>
      <c r="BC285" s="592">
        <f t="shared" si="2634"/>
        <v>19219.556992188176</v>
      </c>
      <c r="BD285" s="592">
        <f t="shared" si="2634"/>
        <v>17384.884934370413</v>
      </c>
      <c r="BE285" s="592">
        <f t="shared" ref="BE285:BN285" si="2635">+BE282*(BE277+BE278)/2</f>
        <v>14348.609681598336</v>
      </c>
      <c r="BF285" s="592">
        <f t="shared" si="2635"/>
        <v>12886.58824974824</v>
      </c>
      <c r="BG285" s="592">
        <f t="shared" si="2635"/>
        <v>11807.474858186173</v>
      </c>
      <c r="BH285" s="592">
        <f t="shared" si="2635"/>
        <v>9612.2952288377783</v>
      </c>
      <c r="BI285" s="592">
        <f t="shared" si="2635"/>
        <v>9999.4353595118264</v>
      </c>
      <c r="BJ285" s="592">
        <f t="shared" si="2635"/>
        <v>12990.15479495022</v>
      </c>
      <c r="BK285" s="592">
        <f t="shared" si="2635"/>
        <v>15049.635210354329</v>
      </c>
      <c r="BL285" s="592">
        <f t="shared" si="2635"/>
        <v>12624.386070221624</v>
      </c>
      <c r="BM285" s="592">
        <f t="shared" si="2635"/>
        <v>10365.632282313985</v>
      </c>
      <c r="BN285" s="592">
        <f t="shared" si="2635"/>
        <v>10455.550772803939</v>
      </c>
      <c r="BO285" s="592">
        <f t="shared" ref="BO285:BY285" si="2636">+BO282*(BO277+BO278)/2</f>
        <v>11460.032997913502</v>
      </c>
      <c r="BP285" s="592">
        <f t="shared" si="2636"/>
        <v>11192.513813407459</v>
      </c>
      <c r="BQ285" s="592">
        <f t="shared" si="2636"/>
        <v>7749.2404989129045</v>
      </c>
      <c r="BR285" s="592">
        <f t="shared" si="2636"/>
        <v>7996.7485662715017</v>
      </c>
      <c r="BS285" s="592">
        <f t="shared" si="2636"/>
        <v>10252.194185630678</v>
      </c>
      <c r="BT285" s="592">
        <f t="shared" si="2636"/>
        <v>24570.962047578345</v>
      </c>
      <c r="BU285" s="592">
        <f t="shared" si="2636"/>
        <v>48893.555139180222</v>
      </c>
      <c r="BV285" s="592">
        <f t="shared" si="2636"/>
        <v>73712.321367628305</v>
      </c>
      <c r="BW285" s="592">
        <f t="shared" si="2636"/>
        <v>94859.904069705357</v>
      </c>
      <c r="BX285" s="592">
        <f t="shared" si="2636"/>
        <v>101152.38625195157</v>
      </c>
      <c r="BY285" s="592">
        <f t="shared" si="2636"/>
        <v>94164.469588728898</v>
      </c>
      <c r="BZ285" s="592">
        <f t="shared" ref="BZ285:CA285" si="2637">+BZ282*(BZ277+BZ278)/2</f>
        <v>77772.320079897094</v>
      </c>
      <c r="CA285" s="592">
        <f t="shared" si="2637"/>
        <v>57948.153035014308</v>
      </c>
      <c r="CB285" s="592">
        <f t="shared" ref="CB285:CC285" si="2638">+CB282*(CB277+CB278)/2</f>
        <v>51894.71246833889</v>
      </c>
      <c r="CC285" s="592">
        <f t="shared" si="2638"/>
        <v>55372.292900681154</v>
      </c>
      <c r="CD285" s="592">
        <f t="shared" ref="CD285" si="2639">+CD282*(CD277+CD278)/2</f>
        <v>53473.76884570378</v>
      </c>
      <c r="CE285" s="592">
        <f t="shared" ref="CE285" si="2640">+CE282*(CE277+CE278)/2</f>
        <v>158080.00000000003</v>
      </c>
      <c r="CF285" s="592">
        <f t="shared" ref="CF285:CH285" si="2641">+CF282*(CF277+CF278)/2</f>
        <v>95300</v>
      </c>
      <c r="CG285" s="592">
        <f t="shared" si="2641"/>
        <v>115200.99999999999</v>
      </c>
      <c r="CH285" s="592">
        <f t="shared" si="2641"/>
        <v>65256.202533798234</v>
      </c>
      <c r="CI285" s="592">
        <f t="shared" ref="CI285:CK285" si="2642">+CI282*(CI277+CI278)/2</f>
        <v>0</v>
      </c>
      <c r="CJ285" s="592">
        <f t="shared" si="2642"/>
        <v>0</v>
      </c>
      <c r="CK285" s="592">
        <f t="shared" si="2642"/>
        <v>0</v>
      </c>
      <c r="CL285" s="592">
        <f t="shared" ref="CL285:CP285" si="2643">+CL282*(CL277+CL278)/2</f>
        <v>63346.999999999993</v>
      </c>
      <c r="CM285" s="592">
        <f t="shared" si="2643"/>
        <v>56787.183865866406</v>
      </c>
      <c r="CN285" s="592">
        <f t="shared" si="2643"/>
        <v>59531.804680576723</v>
      </c>
      <c r="CO285" s="592">
        <f t="shared" si="2643"/>
        <v>67166.113330522683</v>
      </c>
      <c r="CP285" s="592">
        <f t="shared" si="2643"/>
        <v>80953.551252834382</v>
      </c>
      <c r="CQ285" s="592"/>
      <c r="CR285" s="592">
        <v>63346.999999999993</v>
      </c>
      <c r="CT285" s="592"/>
      <c r="CU285" s="592"/>
      <c r="CV285" s="592"/>
      <c r="CW285" s="592"/>
      <c r="CX285" s="903">
        <f>+SUM(O285:R285)</f>
        <v>18750.307056216308</v>
      </c>
      <c r="CY285" s="903">
        <f>+SUM(S285:V285)</f>
        <v>16412.552988519932</v>
      </c>
      <c r="CZ285" s="903">
        <f>+SUM(W285:Z285)</f>
        <v>13922.170996734299</v>
      </c>
      <c r="DA285" s="903">
        <f>+SUM(AA285:AD285)</f>
        <v>28787.701769406725</v>
      </c>
      <c r="DB285" s="903">
        <f>+SUM(AE285:AH285)</f>
        <v>40049.900803976052</v>
      </c>
      <c r="DC285" s="903">
        <f>+SUM(AI285:AL285)</f>
        <v>30899.569540378623</v>
      </c>
      <c r="DD285" s="903">
        <f>+SUM(AM285:AP285)</f>
        <v>37283.848265513268</v>
      </c>
      <c r="DE285" s="903">
        <f>+SUM(AQ285:AT285)</f>
        <v>53754.623052878836</v>
      </c>
      <c r="DF285" s="903">
        <f>+SUM(AU285:AX285)</f>
        <v>62515.9587627945</v>
      </c>
      <c r="DG285" s="592">
        <f t="shared" ref="DG285:DL285" si="2644">+DG282*((DG277+DG278)/2)</f>
        <v>77020.092804675136</v>
      </c>
      <c r="DH285" s="592">
        <f t="shared" si="2644"/>
        <v>69664.137808493659</v>
      </c>
      <c r="DI285" s="592">
        <f>+DI282*((DI277+DI278)/2)</f>
        <v>56814.436481970901</v>
      </c>
      <c r="DJ285" s="592">
        <f>+DJ282*((DJ277+DJ278)/2)</f>
        <v>56966.025645686343</v>
      </c>
      <c r="DK285" s="592">
        <f t="shared" si="2644"/>
        <v>40328.690260192103</v>
      </c>
      <c r="DL285" s="592">
        <f t="shared" si="2644"/>
        <v>127043.84957462219</v>
      </c>
      <c r="DM285" s="592">
        <f t="shared" ref="DM285:DR285" si="2645">+DM282*((DM277+DM278)/2)</f>
        <v>1126790.1443427661</v>
      </c>
      <c r="DN285" s="592">
        <f t="shared" si="2645"/>
        <v>417673.46690931992</v>
      </c>
      <c r="DO285" s="592">
        <f t="shared" ref="DO285:DP285" si="2646">+DO282*((DO277+DO278)/2)</f>
        <v>456170.72089074366</v>
      </c>
      <c r="DP285" s="592">
        <f t="shared" si="2646"/>
        <v>460488.70184403704</v>
      </c>
      <c r="DQ285" s="592">
        <f t="shared" ref="DQ285" si="2647">+DQ282*((DQ277+DQ278)/2)</f>
        <v>345294.0200963979</v>
      </c>
      <c r="DR285" s="592">
        <f t="shared" si="2645"/>
        <v>71288.408099467575</v>
      </c>
      <c r="DS285" s="592">
        <f t="shared" ref="DS285:DU285" si="2648">+DS282*((DS277+DS278)/2)</f>
        <v>98143.615268183014</v>
      </c>
      <c r="DT285" s="592">
        <f t="shared" si="2648"/>
        <v>130702.51915328467</v>
      </c>
      <c r="DU285" s="592">
        <f t="shared" si="2648"/>
        <v>156819.13587083522</v>
      </c>
      <c r="DX285" s="592">
        <v>51837.49979446717</v>
      </c>
      <c r="DY285" s="592">
        <v>67683.673421441767</v>
      </c>
    </row>
    <row r="286" spans="1:129" s="904" customFormat="1">
      <c r="A286" s="592"/>
      <c r="B286" s="592"/>
      <c r="C286" s="592"/>
      <c r="D286" s="592"/>
      <c r="E286" s="592"/>
      <c r="F286" s="592"/>
      <c r="G286" s="592"/>
      <c r="H286" s="592"/>
      <c r="I286" s="592"/>
      <c r="J286" s="592"/>
      <c r="K286" s="592"/>
      <c r="L286" s="592"/>
      <c r="M286" s="592"/>
      <c r="N286" s="592"/>
      <c r="O286" s="592"/>
      <c r="P286" s="592"/>
      <c r="Q286" s="592"/>
      <c r="R286" s="592"/>
      <c r="S286" s="592"/>
      <c r="T286" s="592"/>
      <c r="U286" s="592"/>
      <c r="V286" s="592"/>
      <c r="W286" s="592"/>
      <c r="X286" s="592"/>
      <c r="Y286" s="592"/>
      <c r="Z286" s="592"/>
      <c r="AA286" s="592"/>
      <c r="AB286" s="592"/>
      <c r="AC286" s="592"/>
      <c r="AD286" s="592"/>
      <c r="AE286" s="592"/>
      <c r="AF286" s="592"/>
      <c r="AG286" s="919"/>
      <c r="AH286" s="592"/>
      <c r="AI286" s="592"/>
      <c r="AJ286" s="592"/>
      <c r="AK286" s="592"/>
      <c r="AL286" s="592"/>
      <c r="AM286" s="592"/>
      <c r="AN286" s="592"/>
      <c r="AO286" s="592"/>
      <c r="AP286" s="592"/>
      <c r="AQ286" s="592"/>
      <c r="AR286" s="592"/>
      <c r="AS286" s="592"/>
      <c r="AT286" s="592"/>
      <c r="AU286" s="592"/>
      <c r="AV286" s="592"/>
      <c r="AW286" s="592"/>
      <c r="AX286" s="592"/>
      <c r="AY286" s="592"/>
      <c r="AZ286" s="910"/>
      <c r="BA286" s="910"/>
      <c r="BB286" s="910"/>
      <c r="BC286" s="592"/>
      <c r="BD286" s="592"/>
      <c r="BE286" s="592"/>
      <c r="BF286" s="592"/>
      <c r="BG286" s="592"/>
      <c r="BH286" s="592"/>
      <c r="BI286" s="592"/>
      <c r="BJ286" s="592"/>
      <c r="BK286" s="592"/>
      <c r="BL286" s="592"/>
      <c r="BM286" s="592"/>
      <c r="BN286" s="592"/>
      <c r="BO286" s="592"/>
      <c r="BP286" s="592"/>
      <c r="BQ286" s="592"/>
      <c r="BR286" s="592"/>
      <c r="BS286" s="592"/>
      <c r="BT286" s="592"/>
      <c r="BU286" s="592"/>
      <c r="BV286" s="592"/>
      <c r="BW286" s="592"/>
      <c r="BX286" s="592"/>
      <c r="BY286" s="592"/>
      <c r="BZ286" s="592"/>
      <c r="CA286" s="592"/>
      <c r="CB286" s="592"/>
      <c r="CC286" s="592"/>
      <c r="CD286" s="592"/>
      <c r="CE286" s="592"/>
      <c r="CF286" s="592"/>
      <c r="CG286" s="592"/>
      <c r="CH286" s="592"/>
      <c r="CI286" s="592"/>
      <c r="CJ286" s="592"/>
      <c r="CK286" s="592"/>
      <c r="CL286" s="592"/>
      <c r="CM286" s="592"/>
      <c r="CN286" s="592"/>
      <c r="CO286" s="592"/>
      <c r="CP286" s="592"/>
      <c r="CQ286" s="592"/>
      <c r="CR286" s="592"/>
      <c r="CT286" s="592"/>
      <c r="CU286" s="592"/>
      <c r="CV286" s="592"/>
      <c r="CW286" s="592"/>
      <c r="CX286" s="592"/>
      <c r="CY286" s="592"/>
      <c r="CZ286" s="592"/>
      <c r="DA286" s="592"/>
      <c r="DB286" s="592"/>
      <c r="DC286" s="592"/>
      <c r="DD286" s="592"/>
      <c r="DE286" s="592"/>
      <c r="DF286" s="592"/>
      <c r="DG286" s="592"/>
      <c r="DH286" s="592"/>
      <c r="DI286" s="592"/>
      <c r="DJ286" s="592"/>
      <c r="DK286" s="592"/>
      <c r="DL286" s="592"/>
      <c r="DM286" s="592"/>
      <c r="DN286" s="592"/>
      <c r="DO286" s="592"/>
      <c r="DP286" s="592"/>
      <c r="DQ286" s="592"/>
      <c r="DR286" s="592"/>
      <c r="DS286" s="592"/>
      <c r="DT286" s="592"/>
      <c r="DU286" s="592"/>
      <c r="DX286" s="592"/>
      <c r="DY286" s="592"/>
    </row>
    <row r="287" spans="1:129" s="904" customFormat="1">
      <c r="A287" s="939"/>
      <c r="B287" s="949" t="s">
        <v>547</v>
      </c>
      <c r="C287" s="592">
        <v>0</v>
      </c>
      <c r="D287" s="592">
        <f t="shared" ref="D287:AI287" si="2649">+C91+C97</f>
        <v>0</v>
      </c>
      <c r="E287" s="592">
        <f t="shared" si="2649"/>
        <v>20004</v>
      </c>
      <c r="F287" s="592">
        <f t="shared" si="2649"/>
        <v>21224</v>
      </c>
      <c r="G287" s="592">
        <f t="shared" si="2649"/>
        <v>26587</v>
      </c>
      <c r="H287" s="592">
        <f t="shared" si="2649"/>
        <v>27933</v>
      </c>
      <c r="I287" s="592">
        <f t="shared" si="2649"/>
        <v>28930</v>
      </c>
      <c r="J287" s="592">
        <f t="shared" si="2649"/>
        <v>37110</v>
      </c>
      <c r="K287" s="592">
        <f t="shared" si="2649"/>
        <v>42212</v>
      </c>
      <c r="L287" s="592">
        <f t="shared" si="2649"/>
        <v>14505</v>
      </c>
      <c r="M287" s="592">
        <f t="shared" si="2649"/>
        <v>15364</v>
      </c>
      <c r="N287" s="592">
        <f t="shared" si="2649"/>
        <v>14605</v>
      </c>
      <c r="O287" s="592">
        <f t="shared" si="2649"/>
        <v>15729</v>
      </c>
      <c r="P287" s="592">
        <f t="shared" si="2649"/>
        <v>16197</v>
      </c>
      <c r="Q287" s="592">
        <f t="shared" si="2649"/>
        <v>16858</v>
      </c>
      <c r="R287" s="592">
        <f t="shared" si="2649"/>
        <v>16670</v>
      </c>
      <c r="S287" s="592">
        <f t="shared" si="2649"/>
        <v>17429</v>
      </c>
      <c r="T287" s="592">
        <f t="shared" si="2649"/>
        <v>20464</v>
      </c>
      <c r="U287" s="592">
        <f t="shared" si="2649"/>
        <v>21828</v>
      </c>
      <c r="V287" s="592">
        <f t="shared" si="2649"/>
        <v>23469</v>
      </c>
      <c r="W287" s="592">
        <f t="shared" si="2649"/>
        <v>25307</v>
      </c>
      <c r="X287" s="592">
        <f t="shared" si="2649"/>
        <v>12263</v>
      </c>
      <c r="Y287" s="592">
        <f t="shared" si="2649"/>
        <v>12790</v>
      </c>
      <c r="Z287" s="592">
        <f t="shared" si="2649"/>
        <v>12826</v>
      </c>
      <c r="AA287" s="592">
        <f t="shared" si="2649"/>
        <v>9443</v>
      </c>
      <c r="AB287" s="592">
        <f t="shared" si="2649"/>
        <v>9281</v>
      </c>
      <c r="AC287" s="592">
        <f t="shared" si="2649"/>
        <v>9332</v>
      </c>
      <c r="AD287" s="592">
        <f t="shared" si="2649"/>
        <v>9486</v>
      </c>
      <c r="AE287" s="592">
        <f t="shared" si="2649"/>
        <v>9515</v>
      </c>
      <c r="AF287" s="592">
        <f t="shared" si="2649"/>
        <v>9480</v>
      </c>
      <c r="AG287" s="592">
        <f t="shared" si="2649"/>
        <v>10089</v>
      </c>
      <c r="AH287" s="592">
        <f t="shared" si="2649"/>
        <v>6460</v>
      </c>
      <c r="AI287" s="592">
        <f t="shared" si="2649"/>
        <v>6189</v>
      </c>
      <c r="AJ287" s="592">
        <f t="shared" ref="AJ287:BO287" si="2650">+AI91+AI97</f>
        <v>6598</v>
      </c>
      <c r="AK287" s="592">
        <f t="shared" si="2650"/>
        <v>6653</v>
      </c>
      <c r="AL287" s="592">
        <f t="shared" si="2650"/>
        <v>6844</v>
      </c>
      <c r="AM287" s="592">
        <f t="shared" si="2650"/>
        <v>7021</v>
      </c>
      <c r="AN287" s="592">
        <f t="shared" si="2650"/>
        <v>6919</v>
      </c>
      <c r="AO287" s="592">
        <f t="shared" si="2650"/>
        <v>7125</v>
      </c>
      <c r="AP287" s="592">
        <f t="shared" si="2650"/>
        <v>7111</v>
      </c>
      <c r="AQ287" s="592">
        <f t="shared" si="2650"/>
        <v>6893</v>
      </c>
      <c r="AR287" s="592">
        <f t="shared" si="2650"/>
        <v>6941</v>
      </c>
      <c r="AS287" s="592">
        <f t="shared" si="2650"/>
        <v>7072</v>
      </c>
      <c r="AT287" s="592">
        <f t="shared" si="2650"/>
        <v>6194</v>
      </c>
      <c r="AU287" s="592">
        <f t="shared" si="2650"/>
        <v>6833</v>
      </c>
      <c r="AV287" s="592">
        <f t="shared" si="2650"/>
        <v>5267</v>
      </c>
      <c r="AW287" s="592">
        <f t="shared" si="2650"/>
        <v>8151</v>
      </c>
      <c r="AX287" s="592">
        <f t="shared" si="2650"/>
        <v>10844</v>
      </c>
      <c r="AY287" s="592">
        <f t="shared" si="2650"/>
        <v>10825</v>
      </c>
      <c r="AZ287" s="910">
        <f t="shared" si="2650"/>
        <v>10799</v>
      </c>
      <c r="BA287" s="910">
        <f t="shared" si="2650"/>
        <v>10481</v>
      </c>
      <c r="BB287" s="910">
        <f t="shared" si="2650"/>
        <v>10293</v>
      </c>
      <c r="BC287" s="910">
        <f t="shared" si="2650"/>
        <v>10444</v>
      </c>
      <c r="BD287" s="910">
        <f t="shared" si="2650"/>
        <v>10524</v>
      </c>
      <c r="BE287" s="592">
        <f t="shared" si="2650"/>
        <v>10583</v>
      </c>
      <c r="BF287" s="592">
        <f t="shared" si="2650"/>
        <v>10615</v>
      </c>
      <c r="BG287" s="592">
        <f t="shared" si="2650"/>
        <v>10521</v>
      </c>
      <c r="BH287" s="592">
        <f t="shared" si="2650"/>
        <v>10012</v>
      </c>
      <c r="BI287" s="592">
        <f t="shared" si="2650"/>
        <v>10007</v>
      </c>
      <c r="BJ287" s="592">
        <f t="shared" si="2650"/>
        <v>10091</v>
      </c>
      <c r="BK287" s="592">
        <f t="shared" si="2650"/>
        <v>0</v>
      </c>
      <c r="BL287" s="592">
        <f t="shared" si="2650"/>
        <v>0</v>
      </c>
      <c r="BM287" s="592">
        <f t="shared" si="2650"/>
        <v>0</v>
      </c>
      <c r="BN287" s="592">
        <f t="shared" si="2650"/>
        <v>0</v>
      </c>
      <c r="BO287" s="592">
        <f t="shared" si="2650"/>
        <v>0</v>
      </c>
      <c r="BP287" s="592">
        <f t="shared" ref="BP287:CI287" si="2651">+BO91+BO97</f>
        <v>0</v>
      </c>
      <c r="BQ287" s="592">
        <f t="shared" si="2651"/>
        <v>0</v>
      </c>
      <c r="BR287" s="592">
        <f t="shared" si="2651"/>
        <v>0</v>
      </c>
      <c r="BS287" s="592">
        <f t="shared" si="2651"/>
        <v>0</v>
      </c>
      <c r="BT287" s="592">
        <f t="shared" si="2651"/>
        <v>0</v>
      </c>
      <c r="BU287" s="592">
        <f t="shared" si="2651"/>
        <v>0</v>
      </c>
      <c r="BV287" s="592">
        <f t="shared" si="2651"/>
        <v>0</v>
      </c>
      <c r="BW287" s="592">
        <f t="shared" si="2651"/>
        <v>458085</v>
      </c>
      <c r="BX287" s="592">
        <f t="shared" si="2651"/>
        <v>344359</v>
      </c>
      <c r="BY287" s="592">
        <f t="shared" si="2651"/>
        <v>354679</v>
      </c>
      <c r="BZ287" s="592">
        <f t="shared" si="2651"/>
        <v>466108</v>
      </c>
      <c r="CA287" s="592">
        <f t="shared" si="2651"/>
        <v>655130.68980000005</v>
      </c>
      <c r="CB287" s="592">
        <f t="shared" si="2651"/>
        <v>553724</v>
      </c>
      <c r="CC287" s="592">
        <f t="shared" si="2651"/>
        <v>581479</v>
      </c>
      <c r="CD287" s="592">
        <f t="shared" si="2651"/>
        <v>625935</v>
      </c>
      <c r="CE287" s="592">
        <f t="shared" si="2651"/>
        <v>571654.81015000003</v>
      </c>
      <c r="CF287" s="592">
        <f t="shared" si="2651"/>
        <v>468663.18929999997</v>
      </c>
      <c r="CG287" s="592">
        <f t="shared" si="2651"/>
        <v>569157</v>
      </c>
      <c r="CH287" s="592">
        <f t="shared" si="2651"/>
        <v>795234</v>
      </c>
      <c r="CI287" s="592">
        <f t="shared" si="2651"/>
        <v>845197</v>
      </c>
      <c r="CJ287" s="592">
        <f t="shared" ref="CJ287" si="2652">+CI91+CI97</f>
        <v>715237</v>
      </c>
      <c r="CK287" s="592">
        <f t="shared" ref="CK287" si="2653">+CJ91+CJ97</f>
        <v>957314</v>
      </c>
      <c r="CL287" s="592">
        <f t="shared" ref="CL287" si="2654">+CK91+CK97</f>
        <v>767289</v>
      </c>
      <c r="CM287" s="592">
        <f t="shared" ref="CM287" si="2655">+CL91+CL97</f>
        <v>767289</v>
      </c>
      <c r="CN287" s="592">
        <f t="shared" ref="CN287" si="2656">+CM91+CM97</f>
        <v>767289</v>
      </c>
      <c r="CO287" s="592">
        <f t="shared" ref="CO287" si="2657">+CN91+CN97</f>
        <v>767289</v>
      </c>
      <c r="CP287" s="592">
        <f t="shared" ref="CP287" si="2658">+CO91+CO97</f>
        <v>767289</v>
      </c>
      <c r="CQ287" s="592"/>
      <c r="CR287" s="592">
        <v>767289</v>
      </c>
      <c r="CT287" s="592"/>
      <c r="CU287" s="592"/>
      <c r="CV287" s="592"/>
      <c r="CW287" s="592"/>
      <c r="CX287" s="592">
        <f>+AO91+AO97</f>
        <v>7111</v>
      </c>
      <c r="CY287" s="592">
        <f t="shared" ref="CY287:DE287" si="2659">+CX91+CX97</f>
        <v>17429</v>
      </c>
      <c r="CZ287" s="592">
        <f t="shared" si="2659"/>
        <v>25307</v>
      </c>
      <c r="DA287" s="592">
        <f t="shared" si="2659"/>
        <v>9443</v>
      </c>
      <c r="DB287" s="592">
        <f t="shared" si="2659"/>
        <v>9515</v>
      </c>
      <c r="DC287" s="592">
        <f t="shared" si="2659"/>
        <v>6189</v>
      </c>
      <c r="DD287" s="592">
        <f t="shared" si="2659"/>
        <v>7021</v>
      </c>
      <c r="DE287" s="592">
        <f t="shared" si="2659"/>
        <v>6893</v>
      </c>
      <c r="DF287" s="592">
        <f t="shared" ref="DF287:DL287" si="2660">+DE288</f>
        <v>6941</v>
      </c>
      <c r="DG287" s="592">
        <f t="shared" si="2660"/>
        <v>10825</v>
      </c>
      <c r="DH287" s="592">
        <f t="shared" si="2660"/>
        <v>10444</v>
      </c>
      <c r="DI287" s="592">
        <f t="shared" si="2660"/>
        <v>10521</v>
      </c>
      <c r="DJ287" s="592">
        <f t="shared" si="2660"/>
        <v>0</v>
      </c>
      <c r="DK287" s="592">
        <f t="shared" si="2660"/>
        <v>0</v>
      </c>
      <c r="DL287" s="592">
        <f t="shared" si="2660"/>
        <v>0</v>
      </c>
      <c r="DM287" s="592">
        <f t="shared" ref="DM287:DR287" si="2661">+DL288</f>
        <v>458085</v>
      </c>
      <c r="DN287" s="592">
        <f t="shared" si="2661"/>
        <v>344359</v>
      </c>
      <c r="DO287" s="592">
        <f t="shared" si="2661"/>
        <v>354679</v>
      </c>
      <c r="DP287" s="592">
        <f t="shared" si="2661"/>
        <v>466108</v>
      </c>
      <c r="DQ287" s="592">
        <f t="shared" si="2661"/>
        <v>655130.68980000005</v>
      </c>
      <c r="DR287" s="592">
        <f t="shared" si="2661"/>
        <v>553724</v>
      </c>
      <c r="DS287" s="592">
        <f t="shared" ref="DS287" si="2662">+DR288</f>
        <v>581479</v>
      </c>
      <c r="DT287" s="592">
        <f t="shared" ref="DT287" si="2663">+DS288</f>
        <v>625935</v>
      </c>
      <c r="DU287" s="592">
        <f t="shared" ref="DU287" si="2664">+DT288</f>
        <v>571654.81015000003</v>
      </c>
      <c r="DX287" s="592">
        <v>655130.68980000005</v>
      </c>
      <c r="DY287" s="592">
        <v>553724</v>
      </c>
    </row>
    <row r="288" spans="1:129" s="904" customFormat="1">
      <c r="A288" s="939"/>
      <c r="B288" s="949" t="s">
        <v>548</v>
      </c>
      <c r="C288" s="592">
        <f t="shared" ref="C288:AH288" si="2665">+C91+C97</f>
        <v>0</v>
      </c>
      <c r="D288" s="592">
        <f t="shared" si="2665"/>
        <v>20004</v>
      </c>
      <c r="E288" s="592">
        <f t="shared" si="2665"/>
        <v>21224</v>
      </c>
      <c r="F288" s="592">
        <f t="shared" si="2665"/>
        <v>26587</v>
      </c>
      <c r="G288" s="592">
        <f t="shared" si="2665"/>
        <v>27933</v>
      </c>
      <c r="H288" s="592">
        <f t="shared" si="2665"/>
        <v>28930</v>
      </c>
      <c r="I288" s="592">
        <f t="shared" si="2665"/>
        <v>37110</v>
      </c>
      <c r="J288" s="592">
        <f t="shared" si="2665"/>
        <v>42212</v>
      </c>
      <c r="K288" s="592">
        <f t="shared" si="2665"/>
        <v>14505</v>
      </c>
      <c r="L288" s="592">
        <f t="shared" si="2665"/>
        <v>15364</v>
      </c>
      <c r="M288" s="592">
        <f t="shared" si="2665"/>
        <v>14605</v>
      </c>
      <c r="N288" s="592">
        <f t="shared" si="2665"/>
        <v>15729</v>
      </c>
      <c r="O288" s="592">
        <f t="shared" si="2665"/>
        <v>16197</v>
      </c>
      <c r="P288" s="592">
        <f t="shared" si="2665"/>
        <v>16858</v>
      </c>
      <c r="Q288" s="592">
        <f t="shared" si="2665"/>
        <v>16670</v>
      </c>
      <c r="R288" s="592">
        <f t="shared" si="2665"/>
        <v>17429</v>
      </c>
      <c r="S288" s="592">
        <f t="shared" si="2665"/>
        <v>20464</v>
      </c>
      <c r="T288" s="592">
        <f t="shared" si="2665"/>
        <v>21828</v>
      </c>
      <c r="U288" s="592">
        <f t="shared" si="2665"/>
        <v>23469</v>
      </c>
      <c r="V288" s="592">
        <f t="shared" si="2665"/>
        <v>25307</v>
      </c>
      <c r="W288" s="592">
        <f t="shared" si="2665"/>
        <v>12263</v>
      </c>
      <c r="X288" s="592">
        <f t="shared" si="2665"/>
        <v>12790</v>
      </c>
      <c r="Y288" s="592">
        <f t="shared" si="2665"/>
        <v>12826</v>
      </c>
      <c r="Z288" s="592">
        <f t="shared" si="2665"/>
        <v>9443</v>
      </c>
      <c r="AA288" s="592">
        <f t="shared" si="2665"/>
        <v>9281</v>
      </c>
      <c r="AB288" s="592">
        <f t="shared" si="2665"/>
        <v>9332</v>
      </c>
      <c r="AC288" s="592">
        <f t="shared" si="2665"/>
        <v>9486</v>
      </c>
      <c r="AD288" s="592">
        <f t="shared" si="2665"/>
        <v>9515</v>
      </c>
      <c r="AE288" s="592">
        <f t="shared" si="2665"/>
        <v>9480</v>
      </c>
      <c r="AF288" s="592">
        <f t="shared" si="2665"/>
        <v>10089</v>
      </c>
      <c r="AG288" s="592">
        <f t="shared" si="2665"/>
        <v>6460</v>
      </c>
      <c r="AH288" s="592">
        <f t="shared" si="2665"/>
        <v>6189</v>
      </c>
      <c r="AI288" s="592">
        <f t="shared" ref="AI288:BN288" si="2666">+AI91+AI97</f>
        <v>6598</v>
      </c>
      <c r="AJ288" s="592">
        <f t="shared" si="2666"/>
        <v>6653</v>
      </c>
      <c r="AK288" s="592">
        <f t="shared" si="2666"/>
        <v>6844</v>
      </c>
      <c r="AL288" s="592">
        <f t="shared" si="2666"/>
        <v>7021</v>
      </c>
      <c r="AM288" s="592">
        <f t="shared" si="2666"/>
        <v>6919</v>
      </c>
      <c r="AN288" s="592">
        <f t="shared" si="2666"/>
        <v>7125</v>
      </c>
      <c r="AO288" s="592">
        <f t="shared" si="2666"/>
        <v>7111</v>
      </c>
      <c r="AP288" s="592">
        <f t="shared" si="2666"/>
        <v>6893</v>
      </c>
      <c r="AQ288" s="592">
        <f t="shared" si="2666"/>
        <v>6941</v>
      </c>
      <c r="AR288" s="592">
        <f t="shared" si="2666"/>
        <v>7072</v>
      </c>
      <c r="AS288" s="592">
        <f t="shared" si="2666"/>
        <v>6194</v>
      </c>
      <c r="AT288" s="592">
        <f t="shared" si="2666"/>
        <v>6833</v>
      </c>
      <c r="AU288" s="592">
        <f t="shared" si="2666"/>
        <v>5267</v>
      </c>
      <c r="AV288" s="592">
        <f t="shared" si="2666"/>
        <v>8151</v>
      </c>
      <c r="AW288" s="592">
        <f t="shared" si="2666"/>
        <v>10844</v>
      </c>
      <c r="AX288" s="592">
        <f t="shared" si="2666"/>
        <v>10825</v>
      </c>
      <c r="AY288" s="592">
        <f t="shared" si="2666"/>
        <v>10799</v>
      </c>
      <c r="AZ288" s="592">
        <f t="shared" si="2666"/>
        <v>10481</v>
      </c>
      <c r="BA288" s="592">
        <f t="shared" si="2666"/>
        <v>10293</v>
      </c>
      <c r="BB288" s="592">
        <f t="shared" si="2666"/>
        <v>10444</v>
      </c>
      <c r="BC288" s="592">
        <f t="shared" si="2666"/>
        <v>10524</v>
      </c>
      <c r="BD288" s="592">
        <f t="shared" si="2666"/>
        <v>10583</v>
      </c>
      <c r="BE288" s="592">
        <f t="shared" si="2666"/>
        <v>10615</v>
      </c>
      <c r="BF288" s="592">
        <f t="shared" si="2666"/>
        <v>10521</v>
      </c>
      <c r="BG288" s="592">
        <f t="shared" si="2666"/>
        <v>10012</v>
      </c>
      <c r="BH288" s="592">
        <f t="shared" si="2666"/>
        <v>10007</v>
      </c>
      <c r="BI288" s="592">
        <f t="shared" si="2666"/>
        <v>10091</v>
      </c>
      <c r="BJ288" s="592">
        <f t="shared" si="2666"/>
        <v>0</v>
      </c>
      <c r="BK288" s="592">
        <f t="shared" si="2666"/>
        <v>0</v>
      </c>
      <c r="BL288" s="592">
        <f t="shared" si="2666"/>
        <v>0</v>
      </c>
      <c r="BM288" s="592">
        <f t="shared" si="2666"/>
        <v>0</v>
      </c>
      <c r="BN288" s="592">
        <f t="shared" si="2666"/>
        <v>0</v>
      </c>
      <c r="BO288" s="592">
        <f t="shared" ref="BO288:CE288" si="2667">+BO91+BO97</f>
        <v>0</v>
      </c>
      <c r="BP288" s="592">
        <f t="shared" si="2667"/>
        <v>0</v>
      </c>
      <c r="BQ288" s="592">
        <f t="shared" si="2667"/>
        <v>0</v>
      </c>
      <c r="BR288" s="592">
        <f t="shared" si="2667"/>
        <v>0</v>
      </c>
      <c r="BS288" s="592">
        <f t="shared" si="2667"/>
        <v>0</v>
      </c>
      <c r="BT288" s="592">
        <f t="shared" si="2667"/>
        <v>0</v>
      </c>
      <c r="BU288" s="592">
        <f t="shared" si="2667"/>
        <v>0</v>
      </c>
      <c r="BV288" s="592">
        <f t="shared" si="2667"/>
        <v>458085</v>
      </c>
      <c r="BW288" s="592">
        <f t="shared" si="2667"/>
        <v>344359</v>
      </c>
      <c r="BX288" s="592">
        <f t="shared" si="2667"/>
        <v>354679</v>
      </c>
      <c r="BY288" s="592">
        <f t="shared" si="2667"/>
        <v>466108</v>
      </c>
      <c r="BZ288" s="592">
        <f t="shared" si="2667"/>
        <v>655130.68980000005</v>
      </c>
      <c r="CA288" s="592">
        <f t="shared" si="2667"/>
        <v>553724</v>
      </c>
      <c r="CB288" s="592">
        <f t="shared" si="2667"/>
        <v>581479</v>
      </c>
      <c r="CC288" s="592">
        <f t="shared" si="2667"/>
        <v>625935</v>
      </c>
      <c r="CD288" s="592">
        <f t="shared" ref="CD288" si="2668">+CD91+CD97</f>
        <v>571654.81015000003</v>
      </c>
      <c r="CE288" s="592">
        <f t="shared" si="2667"/>
        <v>468663.18929999997</v>
      </c>
      <c r="CF288" s="592">
        <f t="shared" ref="CF288:CH288" si="2669">+CF91+CF97</f>
        <v>569157</v>
      </c>
      <c r="CG288" s="592">
        <f t="shared" si="2669"/>
        <v>795234</v>
      </c>
      <c r="CH288" s="592">
        <f t="shared" si="2669"/>
        <v>845197</v>
      </c>
      <c r="CI288" s="592">
        <f t="shared" ref="CI288:CK288" si="2670">+CI91+CI97</f>
        <v>715237</v>
      </c>
      <c r="CJ288" s="592">
        <f t="shared" si="2670"/>
        <v>957314</v>
      </c>
      <c r="CK288" s="592">
        <f t="shared" si="2670"/>
        <v>767289</v>
      </c>
      <c r="CL288" s="592">
        <f t="shared" ref="CL288:CP288" si="2671">+CL91+CL97</f>
        <v>767289</v>
      </c>
      <c r="CM288" s="592">
        <f t="shared" si="2671"/>
        <v>767289</v>
      </c>
      <c r="CN288" s="592">
        <f t="shared" si="2671"/>
        <v>767289</v>
      </c>
      <c r="CO288" s="592">
        <f t="shared" si="2671"/>
        <v>767289</v>
      </c>
      <c r="CP288" s="592">
        <f t="shared" si="2671"/>
        <v>767289</v>
      </c>
      <c r="CQ288" s="592"/>
      <c r="CR288" s="592">
        <v>767289</v>
      </c>
      <c r="CT288" s="592"/>
      <c r="CU288" s="592"/>
      <c r="CV288" s="592"/>
      <c r="CW288" s="592"/>
      <c r="CX288" s="592">
        <f>+CX91+CX97</f>
        <v>17429</v>
      </c>
      <c r="CY288" s="903">
        <f>+SUM(S288:V288)</f>
        <v>91068</v>
      </c>
      <c r="CZ288" s="903">
        <f>+SUM(W288:Z288)</f>
        <v>47322</v>
      </c>
      <c r="DA288" s="903">
        <f>+AD288</f>
        <v>9515</v>
      </c>
      <c r="DB288" s="903">
        <f>+AH288</f>
        <v>6189</v>
      </c>
      <c r="DC288" s="903">
        <f>+AL288</f>
        <v>7021</v>
      </c>
      <c r="DD288" s="903">
        <f>+AP288</f>
        <v>6893</v>
      </c>
      <c r="DE288" s="903">
        <f>+AQ288</f>
        <v>6941</v>
      </c>
      <c r="DF288" s="592">
        <f>+AX288</f>
        <v>10825</v>
      </c>
      <c r="DG288" s="592">
        <f>+BB288</f>
        <v>10444</v>
      </c>
      <c r="DH288" s="592">
        <f>+BF288</f>
        <v>10521</v>
      </c>
      <c r="DI288" s="592">
        <f>+BJ288</f>
        <v>0</v>
      </c>
      <c r="DJ288" s="592">
        <f>+BN288</f>
        <v>0</v>
      </c>
      <c r="DK288" s="592">
        <f>+BR288</f>
        <v>0</v>
      </c>
      <c r="DL288" s="592">
        <f t="shared" ref="DL288:DU288" si="2672">+BV288</f>
        <v>458085</v>
      </c>
      <c r="DM288" s="592">
        <f t="shared" si="2672"/>
        <v>344359</v>
      </c>
      <c r="DN288" s="592">
        <f t="shared" si="2672"/>
        <v>354679</v>
      </c>
      <c r="DO288" s="592">
        <f t="shared" si="2672"/>
        <v>466108</v>
      </c>
      <c r="DP288" s="592">
        <f t="shared" si="2672"/>
        <v>655130.68980000005</v>
      </c>
      <c r="DQ288" s="592">
        <f t="shared" si="2672"/>
        <v>553724</v>
      </c>
      <c r="DR288" s="592">
        <f t="shared" si="2672"/>
        <v>581479</v>
      </c>
      <c r="DS288" s="592">
        <f t="shared" si="2672"/>
        <v>625935</v>
      </c>
      <c r="DT288" s="592">
        <f t="shared" si="2672"/>
        <v>571654.81015000003</v>
      </c>
      <c r="DU288" s="592">
        <f t="shared" si="2672"/>
        <v>468663.18929999997</v>
      </c>
      <c r="DX288" s="592">
        <v>553724</v>
      </c>
      <c r="DY288" s="592">
        <v>581479</v>
      </c>
    </row>
    <row r="289" spans="1:129" s="904" customFormat="1">
      <c r="A289" s="592"/>
      <c r="B289" s="908"/>
      <c r="C289" s="592"/>
      <c r="D289" s="592"/>
      <c r="E289" s="592"/>
      <c r="F289" s="592"/>
      <c r="G289" s="592"/>
      <c r="H289" s="592"/>
      <c r="I289" s="592"/>
      <c r="J289" s="592"/>
      <c r="K289" s="592"/>
      <c r="L289" s="592"/>
      <c r="M289" s="592"/>
      <c r="N289" s="592"/>
      <c r="O289" s="592"/>
      <c r="P289" s="592"/>
      <c r="Q289" s="592"/>
      <c r="R289" s="592"/>
      <c r="S289" s="592"/>
      <c r="T289" s="592"/>
      <c r="U289" s="592"/>
      <c r="V289" s="592"/>
      <c r="W289" s="592"/>
      <c r="X289" s="592"/>
      <c r="Y289" s="592"/>
      <c r="Z289" s="592"/>
      <c r="AA289" s="592"/>
      <c r="AB289" s="592"/>
      <c r="AC289" s="592"/>
      <c r="AD289" s="592"/>
      <c r="AE289" s="592"/>
      <c r="AF289" s="592"/>
      <c r="AG289" s="592"/>
      <c r="AH289" s="592"/>
      <c r="AI289" s="592"/>
      <c r="AJ289" s="592"/>
      <c r="AK289" s="592"/>
      <c r="AL289" s="592"/>
      <c r="AM289" s="592"/>
      <c r="AN289" s="592"/>
      <c r="AO289" s="592"/>
      <c r="AP289" s="592"/>
      <c r="AQ289" s="592"/>
      <c r="AR289" s="592"/>
      <c r="AS289" s="592"/>
      <c r="AT289" s="592"/>
      <c r="AU289" s="592"/>
      <c r="AV289" s="592"/>
      <c r="AW289" s="592"/>
      <c r="AX289" s="592"/>
      <c r="AY289" s="592"/>
      <c r="AZ289" s="910"/>
      <c r="BA289" s="910"/>
      <c r="BB289" s="910"/>
      <c r="BC289" s="592"/>
      <c r="BD289" s="592"/>
      <c r="BE289" s="592"/>
      <c r="BF289" s="592"/>
      <c r="BG289" s="592"/>
      <c r="BH289" s="592"/>
      <c r="BI289" s="592"/>
      <c r="BJ289" s="592"/>
      <c r="BK289" s="592"/>
      <c r="BL289" s="592"/>
      <c r="BM289" s="592"/>
      <c r="BN289" s="592"/>
      <c r="BO289" s="592"/>
      <c r="BP289" s="592"/>
      <c r="BQ289" s="592"/>
      <c r="BR289" s="592"/>
      <c r="BS289" s="592"/>
      <c r="BT289" s="592"/>
      <c r="BU289" s="592"/>
      <c r="BV289" s="592"/>
      <c r="BW289" s="592"/>
      <c r="BX289" s="592"/>
      <c r="BY289" s="592"/>
      <c r="BZ289" s="592"/>
      <c r="CA289" s="592"/>
      <c r="CB289" s="592"/>
      <c r="CC289" s="592"/>
      <c r="CD289" s="592"/>
      <c r="CE289" s="592"/>
      <c r="CF289" s="592"/>
      <c r="CG289" s="592"/>
      <c r="CH289" s="592"/>
      <c r="CI289" s="592"/>
      <c r="CJ289" s="592"/>
      <c r="CK289" s="592"/>
      <c r="CL289" s="592"/>
      <c r="CM289" s="592"/>
      <c r="CN289" s="592"/>
      <c r="CO289" s="592"/>
      <c r="CP289" s="592"/>
      <c r="CQ289" s="592"/>
      <c r="CR289" s="592"/>
      <c r="CT289" s="592"/>
      <c r="CU289" s="592"/>
      <c r="CV289" s="592"/>
      <c r="CW289" s="592"/>
      <c r="CX289" s="592"/>
      <c r="CY289" s="592"/>
      <c r="CZ289" s="592"/>
      <c r="DA289" s="592"/>
      <c r="DB289" s="592"/>
      <c r="DC289" s="592"/>
      <c r="DD289" s="592"/>
      <c r="DE289" s="592"/>
      <c r="DF289" s="592"/>
      <c r="DG289" s="592"/>
      <c r="DH289" s="592"/>
      <c r="DI289" s="592"/>
      <c r="DJ289" s="592"/>
      <c r="DK289" s="592"/>
      <c r="DL289" s="592"/>
      <c r="DM289" s="592"/>
      <c r="DN289" s="592"/>
      <c r="DO289" s="592"/>
      <c r="DP289" s="592"/>
      <c r="DQ289" s="592"/>
      <c r="DR289" s="592"/>
      <c r="DS289" s="592"/>
      <c r="DT289" s="592"/>
      <c r="DU289" s="592"/>
      <c r="DX289" s="592"/>
      <c r="DY289" s="592"/>
    </row>
    <row r="290" spans="1:129" s="904" customFormat="1">
      <c r="A290" s="592"/>
      <c r="B290" s="592"/>
      <c r="C290" s="592"/>
      <c r="D290" s="592"/>
      <c r="E290" s="592"/>
      <c r="F290" s="592"/>
      <c r="G290" s="592"/>
      <c r="H290" s="592"/>
      <c r="I290" s="592"/>
      <c r="J290" s="592"/>
      <c r="K290" s="592"/>
      <c r="L290" s="592"/>
      <c r="M290" s="592"/>
      <c r="N290" s="592"/>
      <c r="O290" s="592"/>
      <c r="P290" s="592"/>
      <c r="Q290" s="592"/>
      <c r="R290" s="592"/>
      <c r="S290" s="592"/>
      <c r="T290" s="592"/>
      <c r="U290" s="592"/>
      <c r="V290" s="592"/>
      <c r="W290" s="592"/>
      <c r="X290" s="592"/>
      <c r="Y290" s="592"/>
      <c r="Z290" s="592"/>
      <c r="AA290" s="592"/>
      <c r="AB290" s="592"/>
      <c r="AC290" s="592"/>
      <c r="AD290" s="592"/>
      <c r="AE290" s="592"/>
      <c r="AF290" s="592"/>
      <c r="AG290" s="592"/>
      <c r="AH290" s="592"/>
      <c r="AI290" s="592"/>
      <c r="AJ290" s="592"/>
      <c r="AK290" s="592"/>
      <c r="AL290" s="592"/>
      <c r="AM290" s="592"/>
      <c r="AN290" s="592"/>
      <c r="AO290" s="592"/>
      <c r="AP290" s="592"/>
      <c r="AQ290" s="592"/>
      <c r="AR290" s="592"/>
      <c r="AS290" s="592"/>
      <c r="AT290" s="592"/>
      <c r="AU290" s="592"/>
      <c r="AV290" s="592"/>
      <c r="AW290" s="592"/>
      <c r="AX290" s="592"/>
      <c r="AY290" s="592"/>
      <c r="AZ290" s="910"/>
      <c r="BA290" s="592"/>
      <c r="BB290" s="592"/>
      <c r="BC290" s="592"/>
      <c r="BD290" s="592"/>
      <c r="BE290" s="592"/>
      <c r="BF290" s="592"/>
      <c r="BG290" s="592"/>
      <c r="BH290" s="592"/>
      <c r="BI290" s="592"/>
      <c r="BJ290" s="592"/>
      <c r="BK290" s="592"/>
      <c r="BL290" s="592"/>
      <c r="BM290" s="592"/>
      <c r="BN290" s="592"/>
      <c r="BO290" s="592"/>
      <c r="BP290" s="592"/>
      <c r="BQ290" s="592"/>
      <c r="BR290" s="592"/>
      <c r="BS290" s="592"/>
      <c r="BT290" s="592"/>
      <c r="BU290" s="592"/>
      <c r="BV290" s="592"/>
      <c r="BW290" s="592"/>
      <c r="BX290" s="592"/>
      <c r="BY290" s="592"/>
      <c r="BZ290" s="592"/>
      <c r="CA290" s="592"/>
      <c r="CB290" s="592"/>
      <c r="CC290" s="592"/>
      <c r="CD290" s="592"/>
      <c r="CE290" s="592"/>
      <c r="CF290" s="592"/>
      <c r="CG290" s="592"/>
      <c r="CH290" s="592"/>
      <c r="CI290" s="592"/>
      <c r="CJ290" s="592"/>
      <c r="CK290" s="592"/>
      <c r="CL290" s="592"/>
      <c r="CM290" s="592"/>
      <c r="CN290" s="592"/>
      <c r="CO290" s="592"/>
      <c r="CP290" s="592"/>
      <c r="CQ290" s="592"/>
      <c r="CR290" s="592"/>
      <c r="CT290" s="592"/>
      <c r="CU290" s="592"/>
      <c r="CV290" s="592"/>
      <c r="CW290" s="592"/>
      <c r="CX290" s="592"/>
      <c r="CY290" s="592"/>
      <c r="CZ290" s="592"/>
      <c r="DA290" s="592"/>
      <c r="DB290" s="592"/>
      <c r="DC290" s="592"/>
      <c r="DD290" s="592"/>
      <c r="DE290" s="592"/>
      <c r="DF290" s="592"/>
      <c r="DG290" s="592"/>
      <c r="DH290" s="592"/>
      <c r="DI290" s="592"/>
      <c r="DJ290" s="592"/>
      <c r="DK290" s="592"/>
      <c r="DL290" s="592"/>
      <c r="DM290" s="592"/>
      <c r="DN290" s="592"/>
      <c r="DO290" s="592"/>
      <c r="DP290" s="592"/>
      <c r="DQ290" s="592"/>
      <c r="DR290" s="592"/>
      <c r="DS290" s="592"/>
      <c r="DT290" s="592"/>
      <c r="DU290" s="592"/>
      <c r="DX290" s="592"/>
      <c r="DY290" s="592"/>
    </row>
    <row r="291" spans="1:129" s="904" customFormat="1">
      <c r="A291" s="592"/>
      <c r="B291" s="939" t="s">
        <v>549</v>
      </c>
      <c r="C291" s="592"/>
      <c r="D291" s="592"/>
      <c r="E291" s="592"/>
      <c r="F291" s="592"/>
      <c r="G291" s="592"/>
      <c r="H291" s="592"/>
      <c r="I291" s="903">
        <f>-Cartao!I316*1000</f>
        <v>5700</v>
      </c>
      <c r="J291" s="903">
        <f>-Cartao!J316*1000</f>
        <v>200</v>
      </c>
      <c r="K291" s="903">
        <f>-Cartao!K316*1000</f>
        <v>700</v>
      </c>
      <c r="L291" s="903">
        <f>-Cartao!L316*1000</f>
        <v>7200</v>
      </c>
      <c r="M291" s="931">
        <f>-Cartao!M299*1000</f>
        <v>0</v>
      </c>
      <c r="N291" s="931">
        <f>-Cartao!N299*1000</f>
        <v>0</v>
      </c>
      <c r="O291" s="931">
        <f>-Cartao!O299*1000</f>
        <v>1700</v>
      </c>
      <c r="P291" s="931">
        <f>-Cartao!P299*1000</f>
        <v>1800</v>
      </c>
      <c r="Q291" s="931">
        <f>-Cartao!Q299*1000</f>
        <v>1400</v>
      </c>
      <c r="R291" s="931">
        <f>-Cartao!R299*1000</f>
        <v>1500</v>
      </c>
      <c r="S291" s="931">
        <f>-Cartao!S299*1000</f>
        <v>1800</v>
      </c>
      <c r="T291" s="931">
        <f>-Cartao!T299*1000</f>
        <v>6000</v>
      </c>
      <c r="U291" s="931">
        <f>-Cartao!U299*1000</f>
        <v>2600</v>
      </c>
      <c r="V291" s="931">
        <f>-Cartao!V299*1000</f>
        <v>2100</v>
      </c>
      <c r="W291" s="931">
        <f>-Cartao!W299*1000</f>
        <v>1900</v>
      </c>
      <c r="X291" s="931">
        <f>-Cartao!X299*1000</f>
        <v>2599.9999999999995</v>
      </c>
      <c r="Y291" s="931">
        <f>-Cartao!Y299*1000</f>
        <v>2000</v>
      </c>
      <c r="Z291" s="931">
        <f>-Cartao!Z299*1000</f>
        <v>6400</v>
      </c>
      <c r="AA291" s="931">
        <f>-Cartao!AA299*1000</f>
        <v>3065</v>
      </c>
      <c r="AB291" s="931">
        <f>-Cartao!AB299*1000</f>
        <v>2200</v>
      </c>
      <c r="AC291" s="931">
        <f>-Cartao!AC299*1000</f>
        <v>2100</v>
      </c>
      <c r="AD291" s="931">
        <f>-Cartao!AD299*1000</f>
        <v>4200</v>
      </c>
      <c r="AE291" s="931">
        <f>-Cartao!AE299*1000</f>
        <v>1222</v>
      </c>
      <c r="AF291" s="931">
        <f>-Cartao!AF299*1000</f>
        <v>1510</v>
      </c>
      <c r="AG291" s="931">
        <f>-Cartao!AG299*1000</f>
        <v>9351</v>
      </c>
      <c r="AH291" s="931">
        <f>-Cartao!AH299*1000</f>
        <v>16102.999999999998</v>
      </c>
      <c r="AI291" s="931">
        <f>-Cartao!AI299*1000</f>
        <v>11000</v>
      </c>
      <c r="AJ291" s="931">
        <f>-Cartao!AJ299*1000</f>
        <v>9327</v>
      </c>
      <c r="AK291" s="931">
        <f>-Cartao!AK299*1000</f>
        <v>16309.999999999998</v>
      </c>
      <c r="AL291" s="931">
        <f>-Cartao!AL299*1000</f>
        <v>17672.000000000011</v>
      </c>
      <c r="AM291" s="931">
        <f>-Cartao!AM299*1000</f>
        <v>15836</v>
      </c>
      <c r="AN291" s="931">
        <f>-Cartao!AN299*1000</f>
        <v>19891</v>
      </c>
      <c r="AO291" s="931">
        <f>-Cartao!AO299*1000</f>
        <v>20819</v>
      </c>
      <c r="AP291" s="931">
        <f>-Cartao!AP299*1000</f>
        <v>28975</v>
      </c>
      <c r="AQ291" s="931">
        <f>-Cartao!AQ299*1000</f>
        <v>29810.000000000004</v>
      </c>
      <c r="AR291" s="931">
        <f>-Cartao!AR299*1000</f>
        <v>31083.000000000004</v>
      </c>
      <c r="AS291" s="931">
        <f>-Cartao!AS299*1000</f>
        <v>32195.999999999996</v>
      </c>
      <c r="AT291" s="931">
        <f>-Cartao!AT299*1000</f>
        <v>34775.000000000007</v>
      </c>
      <c r="AU291" s="931">
        <f>-Cartao!AU299*1000</f>
        <v>44133.999999999993</v>
      </c>
      <c r="AV291" s="931">
        <f>-Cartao!AV299*1000</f>
        <v>39786.999999999993</v>
      </c>
      <c r="AW291" s="931">
        <f>-Cartao!AW299*1000</f>
        <v>40889</v>
      </c>
      <c r="AX291" s="931">
        <f>-Cartao!AX299*1000</f>
        <v>31749.000000000004</v>
      </c>
      <c r="AY291" s="931">
        <f>-Cartao!AY299*1000</f>
        <v>36405</v>
      </c>
      <c r="AZ291" s="931">
        <f>-Cartao!AZ299*1000</f>
        <v>42486.000000000007</v>
      </c>
      <c r="BA291" s="931">
        <f>-Cartao!BA299*1000</f>
        <v>37395</v>
      </c>
      <c r="BB291" s="931">
        <f>-Cartao!BB299*1000</f>
        <v>36650.999999999971</v>
      </c>
      <c r="BC291" s="931">
        <f>-Cartao!BC299*1000</f>
        <v>35804</v>
      </c>
      <c r="BD291" s="931">
        <f>-Cartao!BD299*1000</f>
        <v>34864</v>
      </c>
      <c r="BE291" s="931">
        <f>-Cartao!BE299*1000</f>
        <v>27471.000000000004</v>
      </c>
      <c r="BF291" s="931">
        <f>-Cartao!BF299*1000</f>
        <v>22564</v>
      </c>
      <c r="BG291" s="931">
        <f>-Cartao!BG299*1000</f>
        <v>21585</v>
      </c>
      <c r="BH291" s="931">
        <f>-Cartao!BH299*1000</f>
        <v>21968</v>
      </c>
      <c r="BI291" s="931">
        <f>-Cartao!BI299*1000</f>
        <v>23285</v>
      </c>
      <c r="BJ291" s="931">
        <f>-Cartao!BJ299*1000</f>
        <v>14687.000000000005</v>
      </c>
      <c r="BK291" s="931">
        <f>-Cartao!BK299*1000</f>
        <v>16100.000000000002</v>
      </c>
      <c r="BL291" s="931">
        <f>-Cartao!BL299*1000</f>
        <v>23000</v>
      </c>
      <c r="BM291" s="931">
        <f>-Cartao!BM299*1000</f>
        <v>14900</v>
      </c>
      <c r="BN291" s="931">
        <f>-Cartao!BN299*1000</f>
        <v>13300</v>
      </c>
      <c r="BO291" s="931">
        <f>-Cartao!BO299*1000</f>
        <v>14600</v>
      </c>
      <c r="BP291" s="931">
        <f>-Cartao!BP299*1000</f>
        <v>25500</v>
      </c>
      <c r="BQ291" s="931">
        <f>-Cartao!BQ299*1000</f>
        <v>24500</v>
      </c>
      <c r="BR291" s="931">
        <f>-Cartao!BR299*1000</f>
        <v>23000</v>
      </c>
      <c r="BS291" s="931">
        <f>-Cartao!BS299*1000</f>
        <v>26900</v>
      </c>
      <c r="BT291" s="931">
        <f>-Cartao!BT299*1000</f>
        <v>32800</v>
      </c>
      <c r="BU291" s="931">
        <f>-Cartao!BU299*1000</f>
        <v>44500</v>
      </c>
      <c r="BV291" s="931">
        <f>-Cartao!BV299*1000</f>
        <v>62600</v>
      </c>
      <c r="BW291" s="931">
        <f>-Cartao!BW299*1000</f>
        <v>79802</v>
      </c>
      <c r="BX291" s="931">
        <f>-Cartao!BX299*1000</f>
        <v>85300</v>
      </c>
      <c r="BY291" s="931">
        <f>-Cartao!BY299*1000</f>
        <v>89000</v>
      </c>
      <c r="BZ291" s="931">
        <f>-Cartao!BZ299*1000</f>
        <v>61924.999999999971</v>
      </c>
      <c r="CA291" s="931">
        <f>-Cartao!CA299*1000</f>
        <v>40800</v>
      </c>
      <c r="CB291" s="931">
        <f>-Cartao!CB299*1000</f>
        <v>39700</v>
      </c>
      <c r="CC291" s="931">
        <f>-Cartao!CC299*1000</f>
        <v>41500</v>
      </c>
      <c r="CD291" s="931">
        <f>-Cartao!CD299*1000</f>
        <v>34800.000000000015</v>
      </c>
      <c r="CE291" s="931">
        <f>-Cartao!CE300*1000</f>
        <v>72585.737630123418</v>
      </c>
      <c r="CF291" s="931">
        <f>-Cartao!CF300*1000</f>
        <v>68481.097617359337</v>
      </c>
      <c r="CG291" s="931">
        <f>-Cartao!CG300*1000</f>
        <v>68057.303600724656</v>
      </c>
      <c r="CH291" s="931">
        <v>72372.208729176069</v>
      </c>
      <c r="CI291" s="931">
        <v>0</v>
      </c>
      <c r="CJ291" s="931">
        <v>0</v>
      </c>
      <c r="CK291" s="931">
        <v>0</v>
      </c>
      <c r="CL291" s="609">
        <f>-Cartao!CL300*1000</f>
        <v>92911.085847177441</v>
      </c>
      <c r="CM291" s="609">
        <f>-Cartao!CM300*1000</f>
        <v>90178.47101940446</v>
      </c>
      <c r="CN291" s="609">
        <f>-Cartao!CN300*1000</f>
        <v>84665.679962845039</v>
      </c>
      <c r="CO291" s="609">
        <f>-Cartao!CO300*1000</f>
        <v>80505.074863959628</v>
      </c>
      <c r="CP291" s="609">
        <f>-Cartao!CP300*1000</f>
        <v>77726.476167749584</v>
      </c>
      <c r="CQ291" s="609"/>
      <c r="CR291" s="609">
        <v>92911.085847177441</v>
      </c>
      <c r="CT291" s="903"/>
      <c r="CU291" s="903"/>
      <c r="CV291" s="903"/>
      <c r="CW291" s="903"/>
      <c r="CX291" s="592"/>
      <c r="CY291" s="592"/>
      <c r="CZ291" s="592"/>
      <c r="DA291" s="592"/>
      <c r="DB291" s="592"/>
      <c r="DC291" s="592"/>
      <c r="DD291" s="592"/>
      <c r="DE291" s="592"/>
      <c r="DF291" s="592"/>
      <c r="DG291" s="592"/>
      <c r="DH291" s="592"/>
      <c r="DI291" s="592"/>
      <c r="DJ291" s="592"/>
      <c r="DK291" s="592"/>
      <c r="DL291" s="592"/>
      <c r="DM291" s="592"/>
      <c r="DN291" s="592"/>
      <c r="DO291" s="592"/>
      <c r="DP291" s="592"/>
      <c r="DQ291" s="592"/>
      <c r="DR291" s="592"/>
      <c r="DS291" s="592"/>
      <c r="DT291" s="592"/>
      <c r="DU291" s="592"/>
      <c r="DX291" s="592"/>
      <c r="DY291" s="592"/>
    </row>
    <row r="292" spans="1:129" s="904" customFormat="1">
      <c r="A292" s="592"/>
      <c r="B292" s="939" t="s">
        <v>550</v>
      </c>
      <c r="C292" s="592"/>
      <c r="D292" s="592"/>
      <c r="E292" s="592"/>
      <c r="F292" s="592"/>
      <c r="G292" s="592"/>
      <c r="H292" s="592"/>
      <c r="I292" s="911">
        <f t="shared" ref="I292:AN292" si="2673">+I291/I301</f>
        <v>3.2483815081608462E-2</v>
      </c>
      <c r="J292" s="911">
        <f t="shared" si="2673"/>
        <v>2.6400897630519437E-3</v>
      </c>
      <c r="K292" s="911">
        <f t="shared" si="2673"/>
        <v>9.0334236675700084E-3</v>
      </c>
      <c r="L292" s="911">
        <f t="shared" si="2673"/>
        <v>7.7541921101095285E-2</v>
      </c>
      <c r="M292" s="911">
        <f t="shared" si="2673"/>
        <v>0</v>
      </c>
      <c r="N292" s="911">
        <f t="shared" si="2673"/>
        <v>0</v>
      </c>
      <c r="O292" s="911">
        <f t="shared" si="2673"/>
        <v>1.7503307610335188E-2</v>
      </c>
      <c r="P292" s="911">
        <f t="shared" si="2673"/>
        <v>1.7385257301808066E-2</v>
      </c>
      <c r="Q292" s="911">
        <f t="shared" si="2673"/>
        <v>1.18703922740704E-2</v>
      </c>
      <c r="R292" s="911">
        <f t="shared" si="2673"/>
        <v>7.3125786102200595E-3</v>
      </c>
      <c r="S292" s="911">
        <f t="shared" si="2673"/>
        <v>9.1961304726555608E-3</v>
      </c>
      <c r="T292" s="911">
        <f t="shared" si="2673"/>
        <v>4.3425552318743552E-2</v>
      </c>
      <c r="U292" s="911">
        <f t="shared" si="2673"/>
        <v>1.599188104500792E-2</v>
      </c>
      <c r="V292" s="911">
        <f t="shared" si="2673"/>
        <v>8.278961581675898E-3</v>
      </c>
      <c r="W292" s="911">
        <f t="shared" si="2673"/>
        <v>6.0765776714554361E-3</v>
      </c>
      <c r="X292" s="911">
        <f t="shared" si="2673"/>
        <v>8.7700361595337024E-3</v>
      </c>
      <c r="Y292" s="911">
        <f t="shared" si="2673"/>
        <v>6.339576231026837E-3</v>
      </c>
      <c r="Z292" s="911">
        <f t="shared" si="2673"/>
        <v>1.7450603204639679E-2</v>
      </c>
      <c r="AA292" s="911">
        <f t="shared" si="2673"/>
        <v>7.3618777231741822E-3</v>
      </c>
      <c r="AB292" s="911">
        <f t="shared" si="2673"/>
        <v>5.1754294136120852E-3</v>
      </c>
      <c r="AC292" s="911">
        <f t="shared" si="2673"/>
        <v>4.9273913686181479E-3</v>
      </c>
      <c r="AD292" s="911">
        <f t="shared" si="2673"/>
        <v>7.8234945128431051E-3</v>
      </c>
      <c r="AE292" s="911">
        <f t="shared" si="2673"/>
        <v>2.0823162445375411E-3</v>
      </c>
      <c r="AF292" s="911">
        <f t="shared" si="2673"/>
        <v>2.9177757273908611E-3</v>
      </c>
      <c r="AG292" s="911">
        <f t="shared" si="2673"/>
        <v>1.3162423118907312E-2</v>
      </c>
      <c r="AH292" s="911">
        <f t="shared" si="2673"/>
        <v>1.8496641072926936E-2</v>
      </c>
      <c r="AI292" s="911">
        <f t="shared" si="2673"/>
        <v>1.2462562744754819E-2</v>
      </c>
      <c r="AJ292" s="911">
        <f t="shared" si="2673"/>
        <v>9.8580637524058566E-3</v>
      </c>
      <c r="AK292" s="911">
        <f t="shared" si="2673"/>
        <v>1.4186056524172612E-2</v>
      </c>
      <c r="AL292" s="911">
        <f t="shared" si="2673"/>
        <v>1.3338793040006198E-2</v>
      </c>
      <c r="AM292" s="911">
        <f t="shared" si="2673"/>
        <v>1.1984209237815341E-2</v>
      </c>
      <c r="AN292" s="911">
        <f t="shared" si="2673"/>
        <v>1.4381337158523678E-2</v>
      </c>
      <c r="AO292" s="911">
        <f t="shared" ref="AO292:BT292" si="2674">+AO291/AO301</f>
        <v>1.2571009690165882E-2</v>
      </c>
      <c r="AP292" s="911">
        <f t="shared" si="2674"/>
        <v>1.5851311145509566E-2</v>
      </c>
      <c r="AQ292" s="911">
        <f t="shared" si="2674"/>
        <v>1.6587402143508574E-2</v>
      </c>
      <c r="AR292" s="911">
        <f t="shared" si="2674"/>
        <v>1.6720684470576213E-2</v>
      </c>
      <c r="AS292" s="911">
        <f t="shared" si="2674"/>
        <v>1.7229324850315021E-2</v>
      </c>
      <c r="AT292" s="911">
        <f t="shared" si="2674"/>
        <v>1.8368885247685471E-2</v>
      </c>
      <c r="AU292" s="911">
        <f t="shared" si="2674"/>
        <v>2.2324485029205598E-2</v>
      </c>
      <c r="AV292" s="911">
        <f t="shared" si="2674"/>
        <v>1.9626302609695945E-2</v>
      </c>
      <c r="AW292" s="911">
        <f t="shared" si="2674"/>
        <v>2.0536204420841267E-2</v>
      </c>
      <c r="AX292" s="911">
        <f t="shared" si="2674"/>
        <v>1.6581051778380346E-2</v>
      </c>
      <c r="AY292" s="911">
        <f t="shared" si="2674"/>
        <v>1.8592619641630514E-2</v>
      </c>
      <c r="AZ292" s="926">
        <f t="shared" si="2674"/>
        <v>2.0754790257471074E-2</v>
      </c>
      <c r="BA292" s="911">
        <f t="shared" si="2674"/>
        <v>1.8833226354026882E-2</v>
      </c>
      <c r="BB292" s="911">
        <f t="shared" si="2674"/>
        <v>1.9463842849025227E-2</v>
      </c>
      <c r="BC292" s="911">
        <f t="shared" si="2674"/>
        <v>1.8100027880028419E-2</v>
      </c>
      <c r="BD292" s="911">
        <f t="shared" si="2674"/>
        <v>1.6489041200847154E-2</v>
      </c>
      <c r="BE292" s="911">
        <f t="shared" si="2674"/>
        <v>1.4011766497081329E-2</v>
      </c>
      <c r="BF292" s="911">
        <f t="shared" si="2674"/>
        <v>1.2385831495823542E-2</v>
      </c>
      <c r="BG292" s="911">
        <f t="shared" si="2674"/>
        <v>1.1530233142008564E-2</v>
      </c>
      <c r="BH292" s="911">
        <f t="shared" si="2674"/>
        <v>1.1563456361743319E-2</v>
      </c>
      <c r="BI292" s="911">
        <f t="shared" si="2674"/>
        <v>1.2538616083568517E-2</v>
      </c>
      <c r="BJ292" s="911">
        <f t="shared" si="2674"/>
        <v>7.9145080093506216E-3</v>
      </c>
      <c r="BK292" s="911">
        <f t="shared" si="2674"/>
        <v>1.094217941708088E-2</v>
      </c>
      <c r="BL292" s="911">
        <f t="shared" si="2674"/>
        <v>2.0777306122891442E-2</v>
      </c>
      <c r="BM292" s="911">
        <f t="shared" si="2674"/>
        <v>1.3872266220892099E-2</v>
      </c>
      <c r="BN292" s="911">
        <f t="shared" si="2674"/>
        <v>1.2624386993464269E-2</v>
      </c>
      <c r="BO292" s="911">
        <f t="shared" si="2674"/>
        <v>1.036591686534674E-2</v>
      </c>
      <c r="BP292" s="911">
        <f t="shared" si="2674"/>
        <v>1.1968824731816187E-2</v>
      </c>
      <c r="BQ292" s="911">
        <f t="shared" si="2674"/>
        <v>9.9866688161782402E-3</v>
      </c>
      <c r="BR292" s="911">
        <f t="shared" si="2674"/>
        <v>9.3273254543117176E-3</v>
      </c>
      <c r="BS292" s="911">
        <f t="shared" si="2674"/>
        <v>9.4211821797463499E-3</v>
      </c>
      <c r="BT292" s="911">
        <f t="shared" si="2674"/>
        <v>1.1593950856140808E-2</v>
      </c>
      <c r="BU292" s="911">
        <f t="shared" ref="BU292:BX292" si="2675">+BU291/BU301</f>
        <v>1.7259186832442774E-2</v>
      </c>
      <c r="BV292" s="911">
        <f t="shared" si="2675"/>
        <v>2.3845111904424524E-2</v>
      </c>
      <c r="BW292" s="911">
        <f t="shared" si="2675"/>
        <v>2.9820455834227832E-2</v>
      </c>
      <c r="BX292" s="911">
        <f t="shared" si="2675"/>
        <v>3.3608108182648443E-2</v>
      </c>
      <c r="BY292" s="911">
        <f t="shared" ref="BY292:CD292" si="2676">+BY291/BY301</f>
        <v>3.7995875526365616E-2</v>
      </c>
      <c r="BZ292" s="911">
        <f t="shared" si="2676"/>
        <v>3.5739102531546198E-2</v>
      </c>
      <c r="CA292" s="911">
        <f t="shared" si="2676"/>
        <v>3.5484632675345615E-2</v>
      </c>
      <c r="CB292" s="911">
        <f t="shared" si="2676"/>
        <v>3.4577167833827534E-2</v>
      </c>
      <c r="CC292" s="911">
        <f t="shared" si="2676"/>
        <v>3.6131177941698206E-2</v>
      </c>
      <c r="CD292" s="911">
        <f t="shared" si="2676"/>
        <v>3.1166165366061403E-2</v>
      </c>
      <c r="CE292" s="911">
        <f t="shared" ref="CE292" si="2677">+CE291/CE301</f>
        <v>8.7456489233416645E-2</v>
      </c>
      <c r="CF292" s="911">
        <f t="shared" ref="CF292:CH292" si="2678">+CF291/CF301</f>
        <v>0.12099101789899733</v>
      </c>
      <c r="CG292" s="911">
        <f t="shared" si="2678"/>
        <v>0.12595425528997306</v>
      </c>
      <c r="CH292" s="911">
        <f t="shared" si="2678"/>
        <v>0.1406436699729508</v>
      </c>
      <c r="CI292" s="911">
        <f t="shared" ref="CI292:CK292" si="2679">+CI291/CI301</f>
        <v>0</v>
      </c>
      <c r="CJ292" s="911" t="e">
        <f t="shared" si="2679"/>
        <v>#DIV/0!</v>
      </c>
      <c r="CK292" s="911" t="e">
        <f t="shared" si="2679"/>
        <v>#DIV/0!</v>
      </c>
      <c r="CL292" s="911" t="e">
        <f t="shared" ref="CL292:CP292" si="2680">+CL291/CL301</f>
        <v>#DIV/0!</v>
      </c>
      <c r="CM292" s="911" t="e">
        <f t="shared" si="2680"/>
        <v>#DIV/0!</v>
      </c>
      <c r="CN292" s="911" t="e">
        <f t="shared" si="2680"/>
        <v>#DIV/0!</v>
      </c>
      <c r="CO292" s="911" t="e">
        <f t="shared" si="2680"/>
        <v>#DIV/0!</v>
      </c>
      <c r="CP292" s="911" t="e">
        <f t="shared" si="2680"/>
        <v>#DIV/0!</v>
      </c>
      <c r="CQ292" s="911"/>
      <c r="CR292" s="911" t="e">
        <v>#DIV/0!</v>
      </c>
      <c r="CT292" s="911"/>
      <c r="CU292" s="911"/>
      <c r="CV292" s="911"/>
      <c r="CW292" s="911"/>
      <c r="CX292" s="592"/>
      <c r="CY292" s="592"/>
      <c r="CZ292" s="592"/>
      <c r="DA292" s="592"/>
      <c r="DB292" s="592"/>
      <c r="DC292" s="592"/>
      <c r="DD292" s="592"/>
      <c r="DE292" s="592"/>
      <c r="DF292" s="592"/>
      <c r="DG292" s="592"/>
      <c r="DH292" s="592"/>
      <c r="DI292" s="592"/>
      <c r="DJ292" s="592"/>
      <c r="DK292" s="592"/>
      <c r="DL292" s="592"/>
      <c r="DM292" s="592"/>
      <c r="DN292" s="592"/>
      <c r="DO292" s="592"/>
      <c r="DP292" s="592"/>
      <c r="DQ292" s="592"/>
      <c r="DR292" s="592"/>
      <c r="DS292" s="592"/>
      <c r="DT292" s="592"/>
      <c r="DU292" s="592"/>
      <c r="DX292" s="592"/>
      <c r="DY292" s="592"/>
    </row>
    <row r="293" spans="1:129" s="904" customFormat="1">
      <c r="A293" s="592"/>
      <c r="B293" s="939"/>
      <c r="C293" s="592"/>
      <c r="D293" s="592"/>
      <c r="E293" s="592"/>
      <c r="F293" s="592"/>
      <c r="G293" s="592"/>
      <c r="H293" s="592"/>
      <c r="I293" s="911"/>
      <c r="J293" s="911"/>
      <c r="K293" s="911"/>
      <c r="L293" s="911"/>
      <c r="M293" s="911"/>
      <c r="N293" s="911"/>
      <c r="O293" s="911"/>
      <c r="P293" s="911"/>
      <c r="Q293" s="911"/>
      <c r="R293" s="911"/>
      <c r="S293" s="911"/>
      <c r="T293" s="911"/>
      <c r="U293" s="911"/>
      <c r="V293" s="911"/>
      <c r="W293" s="911"/>
      <c r="X293" s="911"/>
      <c r="Y293" s="911"/>
      <c r="Z293" s="911"/>
      <c r="AA293" s="911"/>
      <c r="AB293" s="911"/>
      <c r="AC293" s="911"/>
      <c r="AD293" s="911"/>
      <c r="AE293" s="911"/>
      <c r="AF293" s="911"/>
      <c r="AG293" s="911"/>
      <c r="AH293" s="911"/>
      <c r="AI293" s="911"/>
      <c r="AJ293" s="911"/>
      <c r="AK293" s="911"/>
      <c r="AL293" s="911"/>
      <c r="AM293" s="911"/>
      <c r="AN293" s="911"/>
      <c r="AO293" s="911"/>
      <c r="AP293" s="911"/>
      <c r="AQ293" s="911"/>
      <c r="AR293" s="911"/>
      <c r="AS293" s="911"/>
      <c r="AT293" s="911"/>
      <c r="AU293" s="911"/>
      <c r="AV293" s="911"/>
      <c r="AW293" s="911"/>
      <c r="AX293" s="911"/>
      <c r="AY293" s="911"/>
      <c r="AZ293" s="926"/>
      <c r="BA293" s="911"/>
      <c r="BB293" s="911"/>
      <c r="BC293" s="911"/>
      <c r="BD293" s="911"/>
      <c r="BE293" s="911"/>
      <c r="BF293" s="911"/>
      <c r="BG293" s="911"/>
      <c r="BH293" s="911"/>
      <c r="BI293" s="911"/>
      <c r="BJ293" s="911"/>
      <c r="BK293" s="911"/>
      <c r="BL293" s="911"/>
      <c r="BM293" s="911"/>
      <c r="BN293" s="911"/>
      <c r="BO293" s="911"/>
      <c r="BP293" s="911"/>
      <c r="BQ293" s="911"/>
      <c r="BR293" s="911"/>
      <c r="BS293" s="911"/>
      <c r="BT293" s="911"/>
      <c r="BU293" s="911"/>
      <c r="BV293" s="911"/>
      <c r="BW293" s="911"/>
      <c r="BX293" s="911"/>
      <c r="BY293" s="911"/>
      <c r="BZ293" s="911"/>
      <c r="CA293" s="911"/>
      <c r="CB293" s="911"/>
      <c r="CC293" s="911"/>
      <c r="CD293" s="911"/>
      <c r="CE293" s="911"/>
      <c r="CF293" s="911"/>
      <c r="CG293" s="911"/>
      <c r="CH293" s="911"/>
      <c r="CI293" s="911"/>
      <c r="CJ293" s="911"/>
      <c r="CK293" s="911"/>
      <c r="CL293" s="911"/>
      <c r="CM293" s="911"/>
      <c r="CN293" s="911"/>
      <c r="CO293" s="911"/>
      <c r="CP293" s="911"/>
      <c r="CQ293" s="911"/>
      <c r="CR293" s="911"/>
      <c r="CT293" s="911"/>
      <c r="CU293" s="911"/>
      <c r="CV293" s="911"/>
      <c r="CW293" s="911"/>
      <c r="CX293" s="592"/>
      <c r="CY293" s="592"/>
      <c r="CZ293" s="592"/>
      <c r="DA293" s="592"/>
      <c r="DB293" s="592"/>
      <c r="DC293" s="592"/>
      <c r="DD293" s="592"/>
      <c r="DE293" s="592"/>
      <c r="DF293" s="592"/>
      <c r="DG293" s="592"/>
      <c r="DH293" s="592"/>
      <c r="DI293" s="592"/>
      <c r="DJ293" s="592"/>
      <c r="DK293" s="592"/>
      <c r="DL293" s="592"/>
      <c r="DM293" s="592"/>
      <c r="DN293" s="592"/>
      <c r="DO293" s="592"/>
      <c r="DP293" s="592"/>
      <c r="DQ293" s="592"/>
      <c r="DR293" s="592"/>
      <c r="DS293" s="592"/>
      <c r="DT293" s="592"/>
      <c r="DU293" s="592"/>
      <c r="DX293" s="592"/>
      <c r="DY293" s="592"/>
    </row>
    <row r="294" spans="1:129" s="904" customFormat="1">
      <c r="A294" s="592"/>
      <c r="B294" s="592"/>
      <c r="C294" s="592"/>
      <c r="D294" s="592"/>
      <c r="E294" s="592"/>
      <c r="F294" s="592"/>
      <c r="G294" s="592"/>
      <c r="H294" s="592"/>
      <c r="I294" s="592"/>
      <c r="J294" s="592"/>
      <c r="K294" s="592"/>
      <c r="L294" s="592"/>
      <c r="M294" s="592"/>
      <c r="N294" s="592"/>
      <c r="O294" s="592"/>
      <c r="P294" s="592"/>
      <c r="Q294" s="592"/>
      <c r="R294" s="592"/>
      <c r="S294" s="592"/>
      <c r="T294" s="592"/>
      <c r="U294" s="592"/>
      <c r="V294" s="592"/>
      <c r="W294" s="592"/>
      <c r="X294" s="592"/>
      <c r="Y294" s="592"/>
      <c r="Z294" s="592"/>
      <c r="AA294" s="592"/>
      <c r="AB294" s="592"/>
      <c r="AC294" s="592"/>
      <c r="AD294" s="592"/>
      <c r="AE294" s="592"/>
      <c r="AF294" s="592"/>
      <c r="AG294" s="592"/>
      <c r="AH294" s="592"/>
      <c r="AI294" s="592"/>
      <c r="AJ294" s="592"/>
      <c r="AK294" s="592"/>
      <c r="AL294" s="592"/>
      <c r="AM294" s="592"/>
      <c r="AN294" s="592"/>
      <c r="AO294" s="592"/>
      <c r="AP294" s="592"/>
      <c r="AQ294" s="592"/>
      <c r="AR294" s="592"/>
      <c r="AS294" s="592"/>
      <c r="AT294" s="592"/>
      <c r="AU294" s="592"/>
      <c r="AV294" s="592"/>
      <c r="AW294" s="592"/>
      <c r="AX294" s="592"/>
      <c r="AY294" s="592"/>
      <c r="AZ294" s="910"/>
      <c r="BA294" s="592"/>
      <c r="BB294" s="592"/>
      <c r="BC294" s="592"/>
      <c r="BD294" s="592"/>
      <c r="BE294" s="592"/>
      <c r="BF294" s="592"/>
      <c r="BG294" s="592"/>
      <c r="BH294" s="592"/>
      <c r="BI294" s="592"/>
      <c r="BJ294" s="592"/>
      <c r="BK294" s="592"/>
      <c r="BL294" s="592"/>
      <c r="BM294" s="592"/>
      <c r="BN294" s="592"/>
      <c r="BO294" s="592"/>
      <c r="BP294" s="592"/>
      <c r="BQ294" s="592"/>
      <c r="BR294" s="592"/>
      <c r="BS294" s="592"/>
      <c r="BT294" s="592"/>
      <c r="BU294" s="592"/>
      <c r="BV294" s="592"/>
      <c r="BW294" s="592"/>
      <c r="BX294" s="592"/>
      <c r="BY294" s="592"/>
      <c r="BZ294" s="592"/>
      <c r="CA294" s="592"/>
      <c r="CB294" s="592"/>
      <c r="CC294" s="592"/>
      <c r="CD294" s="592"/>
      <c r="CE294" s="592"/>
      <c r="CF294" s="592"/>
      <c r="CG294" s="592"/>
      <c r="CH294" s="592"/>
      <c r="CI294" s="592"/>
      <c r="CJ294" s="592"/>
      <c r="CK294" s="592"/>
      <c r="CL294" s="592"/>
      <c r="CM294" s="592"/>
      <c r="CN294" s="592"/>
      <c r="CO294" s="592"/>
      <c r="CP294" s="592"/>
      <c r="CQ294" s="592"/>
      <c r="CR294" s="592"/>
      <c r="CT294" s="592"/>
      <c r="CU294" s="592"/>
      <c r="CV294" s="592"/>
      <c r="CW294" s="592"/>
      <c r="CX294" s="592"/>
      <c r="CY294" s="592"/>
      <c r="CZ294" s="592"/>
      <c r="DA294" s="592"/>
      <c r="DB294" s="592"/>
      <c r="DC294" s="592"/>
      <c r="DD294" s="592"/>
      <c r="DE294" s="592"/>
      <c r="DF294" s="592"/>
      <c r="DG294" s="592"/>
      <c r="DH294" s="592"/>
      <c r="DI294" s="592"/>
      <c r="DJ294" s="592"/>
      <c r="DK294" s="592"/>
      <c r="DL294" s="592"/>
      <c r="DM294" s="592"/>
      <c r="DN294" s="592"/>
      <c r="DO294" s="592"/>
      <c r="DP294" s="592"/>
      <c r="DQ294" s="592"/>
      <c r="DR294" s="592"/>
      <c r="DS294" s="592"/>
      <c r="DT294" s="592"/>
      <c r="DU294" s="592"/>
      <c r="DX294" s="592"/>
      <c r="DY294" s="592"/>
    </row>
    <row r="295" spans="1:129" s="590" customFormat="1">
      <c r="A295" s="943"/>
      <c r="B295" s="944" t="s">
        <v>551</v>
      </c>
      <c r="C295" s="589">
        <f t="shared" ref="C295:AV295" si="2681">C312+C319+C332</f>
        <v>0</v>
      </c>
      <c r="D295" s="589">
        <f t="shared" si="2681"/>
        <v>5936.7324853709497</v>
      </c>
      <c r="E295" s="589">
        <f t="shared" si="2681"/>
        <v>12003.411923668431</v>
      </c>
      <c r="F295" s="589">
        <f t="shared" si="2681"/>
        <v>11886.884099043044</v>
      </c>
      <c r="G295" s="589">
        <f t="shared" si="2681"/>
        <v>13103.995481090373</v>
      </c>
      <c r="H295" s="589">
        <f t="shared" si="2681"/>
        <v>13766.170977211044</v>
      </c>
      <c r="I295" s="589">
        <f t="shared" si="2681"/>
        <v>8628.5762408492847</v>
      </c>
      <c r="J295" s="589">
        <f t="shared" si="2681"/>
        <v>3387.3918862070054</v>
      </c>
      <c r="K295" s="589">
        <f t="shared" si="2681"/>
        <v>3181.6635652482487</v>
      </c>
      <c r="L295" s="589">
        <f t="shared" si="2681"/>
        <v>3593.3511391182051</v>
      </c>
      <c r="M295" s="589">
        <f t="shared" si="2681"/>
        <v>3490.2640960000003</v>
      </c>
      <c r="N295" s="589">
        <f t="shared" si="2681"/>
        <v>3052.5692109776887</v>
      </c>
      <c r="O295" s="589">
        <f t="shared" si="2681"/>
        <v>3114.9769639999995</v>
      </c>
      <c r="P295" s="589">
        <f t="shared" si="2681"/>
        <v>3178.6069680000001</v>
      </c>
      <c r="Q295" s="589">
        <f t="shared" si="2681"/>
        <v>3432.6079218626164</v>
      </c>
      <c r="R295" s="589">
        <f t="shared" si="2681"/>
        <v>5845.3483835064008</v>
      </c>
      <c r="S295" s="589">
        <f t="shared" si="2681"/>
        <v>5577.7246335005484</v>
      </c>
      <c r="T295" s="589">
        <f t="shared" si="2681"/>
        <v>4119.7243727632604</v>
      </c>
      <c r="U295" s="589">
        <f t="shared" si="2681"/>
        <v>6311.9546936104452</v>
      </c>
      <c r="V295" s="589">
        <f t="shared" si="2681"/>
        <v>10419.971884635081</v>
      </c>
      <c r="W295" s="589">
        <f t="shared" si="2681"/>
        <v>11501.85730312468</v>
      </c>
      <c r="X295" s="589">
        <f t="shared" si="2681"/>
        <v>8509.5863347621635</v>
      </c>
      <c r="Y295" s="589">
        <f t="shared" si="2681"/>
        <v>8022.6665709172539</v>
      </c>
      <c r="Z295" s="589">
        <f t="shared" si="2681"/>
        <v>9326.4959531334698</v>
      </c>
      <c r="AA295" s="589">
        <f t="shared" si="2681"/>
        <v>10587.437382060152</v>
      </c>
      <c r="AB295" s="589">
        <f t="shared" si="2681"/>
        <v>12003.382272245952</v>
      </c>
      <c r="AC295" s="589">
        <f t="shared" si="2681"/>
        <v>13222.884568265146</v>
      </c>
      <c r="AD295" s="589">
        <f t="shared" si="2681"/>
        <v>7227.197215827372</v>
      </c>
      <c r="AE295" s="589">
        <f t="shared" si="2681"/>
        <v>1550.7775865904396</v>
      </c>
      <c r="AF295" s="589">
        <f t="shared" si="2681"/>
        <v>1673.076828771415</v>
      </c>
      <c r="AG295" s="589">
        <f t="shared" si="2681"/>
        <v>6735.7379386333523</v>
      </c>
      <c r="AH295" s="589">
        <f t="shared" si="2681"/>
        <v>11049.499322145921</v>
      </c>
      <c r="AI295" s="589">
        <f t="shared" si="2681"/>
        <v>10536.39099497771</v>
      </c>
      <c r="AJ295" s="589">
        <f t="shared" si="2681"/>
        <v>9966.3289729645767</v>
      </c>
      <c r="AK295" s="589">
        <f t="shared" si="2681"/>
        <v>12193.954959031524</v>
      </c>
      <c r="AL295" s="589">
        <f t="shared" si="2681"/>
        <v>17457.970292046241</v>
      </c>
      <c r="AM295" s="589">
        <f t="shared" si="2681"/>
        <v>18656.040885023824</v>
      </c>
      <c r="AN295" s="589">
        <f t="shared" si="2681"/>
        <v>17767.602168236022</v>
      </c>
      <c r="AO295" s="589">
        <f t="shared" si="2681"/>
        <v>21703.272545985692</v>
      </c>
      <c r="AP295" s="589">
        <f t="shared" si="2681"/>
        <v>32695.400771161065</v>
      </c>
      <c r="AQ295" s="589">
        <f t="shared" si="2681"/>
        <v>33508.20263832753</v>
      </c>
      <c r="AR295" s="589">
        <f t="shared" si="2681"/>
        <v>32631.110164640853</v>
      </c>
      <c r="AS295" s="589">
        <f t="shared" si="2681"/>
        <v>30168.579888930039</v>
      </c>
      <c r="AT295" s="589">
        <f t="shared" si="2681"/>
        <v>38196.374030332016</v>
      </c>
      <c r="AU295" s="589">
        <f t="shared" si="2681"/>
        <v>41065.428587583876</v>
      </c>
      <c r="AV295" s="589">
        <f t="shared" si="2681"/>
        <v>42041.920697751557</v>
      </c>
      <c r="AW295" s="589">
        <f t="shared" ref="AW295:BD295" si="2682">AW312+AW332</f>
        <v>40643.722707764318</v>
      </c>
      <c r="AX295" s="589">
        <f t="shared" si="2682"/>
        <v>39603.642996037343</v>
      </c>
      <c r="AY295" s="589">
        <f t="shared" si="2682"/>
        <v>47090.744022858824</v>
      </c>
      <c r="AZ295" s="589">
        <f t="shared" si="2682"/>
        <v>49041.248992484914</v>
      </c>
      <c r="BA295" s="589">
        <f t="shared" si="2682"/>
        <v>44000.622410264878</v>
      </c>
      <c r="BB295" s="589">
        <f t="shared" si="2682"/>
        <v>40099.352475448264</v>
      </c>
      <c r="BC295" s="589">
        <f t="shared" si="2682"/>
        <v>41764.122376129766</v>
      </c>
      <c r="BD295" s="589">
        <f t="shared" si="2682"/>
        <v>37055.588219432277</v>
      </c>
      <c r="BE295" s="589">
        <f t="shared" ref="BE295:BJ295" si="2683">BE312+BE319+BE332</f>
        <v>29319.35085487843</v>
      </c>
      <c r="BF295" s="589">
        <f t="shared" si="2683"/>
        <v>22825.305314191919</v>
      </c>
      <c r="BG295" s="589">
        <f t="shared" si="2683"/>
        <v>20634.270497359241</v>
      </c>
      <c r="BH295" s="589">
        <f t="shared" si="2683"/>
        <v>20345.397753703626</v>
      </c>
      <c r="BI295" s="589">
        <f t="shared" si="2683"/>
        <v>19277.974426637265</v>
      </c>
      <c r="BJ295" s="589">
        <f t="shared" si="2683"/>
        <v>17925.231100190755</v>
      </c>
      <c r="BK295" s="589">
        <f t="shared" ref="BK295:BP295" si="2684">BK312+BK324+BK332</f>
        <v>35721.799394803071</v>
      </c>
      <c r="BL295" s="589">
        <f t="shared" si="2684"/>
        <v>32381.055667583008</v>
      </c>
      <c r="BM295" s="589">
        <f t="shared" si="2684"/>
        <v>27503.326685746735</v>
      </c>
      <c r="BN295" s="589">
        <f t="shared" si="2684"/>
        <v>21802.499718220031</v>
      </c>
      <c r="BO295" s="589">
        <f t="shared" si="2684"/>
        <v>23017.257312152324</v>
      </c>
      <c r="BP295" s="589">
        <f t="shared" si="2684"/>
        <v>24644.509257633737</v>
      </c>
      <c r="BQ295" s="589">
        <f t="shared" ref="BQ295:BY295" si="2685">BQ312+BQ324+BQ332</f>
        <v>17753.597739147099</v>
      </c>
      <c r="BR295" s="589">
        <f t="shared" si="2685"/>
        <v>18723.217798897898</v>
      </c>
      <c r="BS295" s="589">
        <f t="shared" si="2685"/>
        <v>24239.278860881073</v>
      </c>
      <c r="BT295" s="589">
        <f t="shared" si="2685"/>
        <v>37852.573928730817</v>
      </c>
      <c r="BU295" s="589">
        <f t="shared" si="2685"/>
        <v>49593.946456189165</v>
      </c>
      <c r="BV295" s="589">
        <f t="shared" si="2685"/>
        <v>72576.204367658298</v>
      </c>
      <c r="BW295" s="589">
        <f t="shared" si="2685"/>
        <v>108662.19270370946</v>
      </c>
      <c r="BX295" s="589">
        <f t="shared" si="2685"/>
        <v>135427.21201409708</v>
      </c>
      <c r="BY295" s="589">
        <f t="shared" si="2685"/>
        <v>142189.05099496775</v>
      </c>
      <c r="BZ295" s="589">
        <f t="shared" ref="BZ295:CA295" si="2686">BZ312+BZ324+BZ332</f>
        <v>123786.27084334672</v>
      </c>
      <c r="CA295" s="589">
        <f t="shared" si="2686"/>
        <v>104268.97593173714</v>
      </c>
      <c r="CB295" s="589">
        <f t="shared" ref="CB295:CC295" si="2687">CB312+CB324+CB332</f>
        <v>104082.58877550816</v>
      </c>
      <c r="CC295" s="589">
        <f t="shared" si="2687"/>
        <v>101252.7542350525</v>
      </c>
      <c r="CD295" s="589">
        <f t="shared" ref="CD295" si="2688">CD312+CD324+CD332</f>
        <v>93797.004419854507</v>
      </c>
      <c r="CE295" s="589">
        <f t="shared" ref="CE295" si="2689">CE312+CE324+CE332</f>
        <v>86576.767481696806</v>
      </c>
      <c r="CF295" s="589">
        <f t="shared" ref="CF295:CH295" si="2690">CF312+CF324+CF332</f>
        <v>81065.469684897107</v>
      </c>
      <c r="CG295" s="589">
        <f t="shared" si="2690"/>
        <v>80549.653230127326</v>
      </c>
      <c r="CH295" s="589">
        <f t="shared" si="2690"/>
        <v>85990.224614835985</v>
      </c>
      <c r="CI295" s="589">
        <f t="shared" ref="CI295:CK295" si="2691">CI312+CI324+CI332</f>
        <v>0</v>
      </c>
      <c r="CJ295" s="589">
        <f t="shared" si="2691"/>
        <v>0</v>
      </c>
      <c r="CK295" s="589">
        <f t="shared" si="2691"/>
        <v>0</v>
      </c>
      <c r="CL295" s="966">
        <f t="shared" ref="CL295:CP295" si="2692">CL312+CL324+CL332</f>
        <v>113007.85839271481</v>
      </c>
      <c r="CM295" s="966">
        <f t="shared" si="2692"/>
        <v>109424.69733102852</v>
      </c>
      <c r="CN295" s="966">
        <f t="shared" si="2692"/>
        <v>102223.02123771893</v>
      </c>
      <c r="CO295" s="966">
        <f t="shared" si="2692"/>
        <v>96790.470907690004</v>
      </c>
      <c r="CP295" s="966">
        <f t="shared" si="2692"/>
        <v>93153.695538761909</v>
      </c>
      <c r="CQ295" s="966"/>
      <c r="CR295" s="966">
        <v>113007.85839271481</v>
      </c>
      <c r="CT295" s="589"/>
      <c r="CU295" s="589"/>
      <c r="CV295" s="589"/>
      <c r="CW295" s="589"/>
      <c r="CX295" s="589">
        <f>+SUM(O295:R295)</f>
        <v>15571.540237369016</v>
      </c>
      <c r="CY295" s="589">
        <f>+SUM(S295:V295)</f>
        <v>26429.375584509333</v>
      </c>
      <c r="CZ295" s="589">
        <f>+SUM(W295:Z295)</f>
        <v>37360.606161937561</v>
      </c>
      <c r="DA295" s="589">
        <f>+SUM(AA295:AD295)</f>
        <v>43040.901438398621</v>
      </c>
      <c r="DB295" s="819">
        <f>+SUM(AE295:AH295)</f>
        <v>21009.091676141128</v>
      </c>
      <c r="DC295" s="589">
        <f>+SUM(AI295:AL295)</f>
        <v>50154.645219020051</v>
      </c>
      <c r="DD295" s="589">
        <f>+SUM(AM295:AP295)</f>
        <v>90822.316370406596</v>
      </c>
      <c r="DE295" s="819">
        <f>+SUM(AQ295:AT295)</f>
        <v>134504.26672223044</v>
      </c>
      <c r="DF295" s="819">
        <f>+SUM(AU295:AX295)</f>
        <v>163354.71498913708</v>
      </c>
      <c r="DG295" s="589">
        <f>DG312+DG319+DG332</f>
        <v>180231.96790105689</v>
      </c>
      <c r="DH295" s="589">
        <f>DH312+DH319+DH332</f>
        <v>130964.36676463239</v>
      </c>
      <c r="DI295" s="589">
        <f t="shared" ref="DI295:DL295" si="2693">DI312+DI324+DI332</f>
        <v>132901.16319071889</v>
      </c>
      <c r="DJ295" s="589">
        <f t="shared" si="2693"/>
        <v>117408.68146635285</v>
      </c>
      <c r="DK295" s="589">
        <f t="shared" si="2693"/>
        <v>84138.582107831055</v>
      </c>
      <c r="DL295" s="589">
        <f t="shared" si="2693"/>
        <v>184262.00361345935</v>
      </c>
      <c r="DM295" s="589">
        <f t="shared" ref="DM295:DR295" si="2694">DM312+DM324+DM332</f>
        <v>510064.72655612102</v>
      </c>
      <c r="DN295" s="589">
        <f t="shared" si="2694"/>
        <v>403401.32336215232</v>
      </c>
      <c r="DO295" s="589">
        <f t="shared" si="2694"/>
        <v>334182.11501155724</v>
      </c>
      <c r="DP295" s="589">
        <f t="shared" si="2694"/>
        <v>113007.85839271481</v>
      </c>
      <c r="DQ295" s="589">
        <f t="shared" ref="DQ295" si="2695">DQ312+DQ324+DQ332</f>
        <v>401591.88501519931</v>
      </c>
      <c r="DR295" s="966">
        <f t="shared" si="2694"/>
        <v>362187.15347403887</v>
      </c>
      <c r="DS295" s="966">
        <f t="shared" ref="DS295:DU295" si="2696">DS312+DS324+DS332</f>
        <v>346439.88593168941</v>
      </c>
      <c r="DT295" s="966">
        <f t="shared" si="2696"/>
        <v>314945.35084699036</v>
      </c>
      <c r="DU295" s="966">
        <f t="shared" si="2696"/>
        <v>283450.81576229131</v>
      </c>
      <c r="DX295" s="966">
        <v>417974.59142120508</v>
      </c>
      <c r="DY295" s="966">
        <v>362770.40010142326</v>
      </c>
    </row>
    <row r="296" spans="1:129" s="904" customFormat="1">
      <c r="A296" s="939"/>
      <c r="B296" s="949" t="s">
        <v>534</v>
      </c>
      <c r="C296" s="911">
        <v>0</v>
      </c>
      <c r="D296" s="911">
        <f t="shared" ref="D296:O296" si="2697">+D295/((D301))</f>
        <v>3.8053660099999997E-2</v>
      </c>
      <c r="E296" s="911">
        <f t="shared" si="2697"/>
        <v>3.9645052791104959E-2</v>
      </c>
      <c r="F296" s="911">
        <f t="shared" si="2697"/>
        <v>4.213936969013965E-2</v>
      </c>
      <c r="G296" s="911">
        <f t="shared" si="2697"/>
        <v>4.4570200406418778E-2</v>
      </c>
      <c r="H296" s="911">
        <f t="shared" si="2697"/>
        <v>4.7470700938336594E-2</v>
      </c>
      <c r="I296" s="911">
        <f t="shared" si="2697"/>
        <v>4.9173521934264636E-2</v>
      </c>
      <c r="J296" s="911">
        <f t="shared" si="2697"/>
        <v>4.4715093211101647E-2</v>
      </c>
      <c r="K296" s="911">
        <f t="shared" si="2697"/>
        <v>4.1059021360798149E-2</v>
      </c>
      <c r="L296" s="911">
        <f t="shared" si="2697"/>
        <v>3.8699354238615931E-2</v>
      </c>
      <c r="M296" s="911">
        <f t="shared" si="2697"/>
        <v>3.7136000000000002E-2</v>
      </c>
      <c r="N296" s="911">
        <f t="shared" si="2697"/>
        <v>3.2572898799313757E-2</v>
      </c>
      <c r="O296" s="911">
        <f t="shared" si="2697"/>
        <v>3.2071999999999996E-2</v>
      </c>
      <c r="P296" s="911">
        <f t="shared" ref="P296:AT296" si="2698">+P295/((O300))</f>
        <v>3.1507542999881052E-2</v>
      </c>
      <c r="Q296" s="911">
        <f t="shared" si="2698"/>
        <v>3.232576112049023E-2</v>
      </c>
      <c r="R296" s="911">
        <f t="shared" si="2698"/>
        <v>4.5070654418560764E-2</v>
      </c>
      <c r="S296" s="911">
        <f t="shared" si="2698"/>
        <v>1.9880754613113637E-2</v>
      </c>
      <c r="T296" s="911">
        <f t="shared" si="2698"/>
        <v>3.7144751354821572E-2</v>
      </c>
      <c r="U296" s="911">
        <f t="shared" si="2698"/>
        <v>3.8155990289318091E-2</v>
      </c>
      <c r="V296" s="911">
        <f t="shared" si="2698"/>
        <v>6.5230824368568183E-2</v>
      </c>
      <c r="W296" s="911">
        <f t="shared" si="2698"/>
        <v>3.3092203881591273E-2</v>
      </c>
      <c r="X296" s="911">
        <f t="shared" si="2698"/>
        <v>3.0634045167657241E-2</v>
      </c>
      <c r="Y296" s="911">
        <f t="shared" si="2698"/>
        <v>2.545698365493217E-2</v>
      </c>
      <c r="Z296" s="911">
        <f t="shared" si="2698"/>
        <v>2.9531890761035778E-2</v>
      </c>
      <c r="AA296" s="911">
        <f t="shared" si="2698"/>
        <v>2.5347717392072915E-2</v>
      </c>
      <c r="AB296" s="911">
        <f t="shared" si="2698"/>
        <v>2.8925206690071696E-2</v>
      </c>
      <c r="AC296" s="911">
        <f t="shared" si="2698"/>
        <v>3.0384094726832921E-2</v>
      </c>
      <c r="AD296" s="911">
        <f t="shared" si="2698"/>
        <v>1.7323639556907026E-2</v>
      </c>
      <c r="AE296" s="911">
        <f t="shared" si="2698"/>
        <v>2.3621825776470439E-3</v>
      </c>
      <c r="AF296" s="911">
        <f t="shared" si="2698"/>
        <v>3.2349302845011128E-3</v>
      </c>
      <c r="AG296" s="911">
        <f t="shared" si="2698"/>
        <v>1.3007272341927979E-2</v>
      </c>
      <c r="AH296" s="911">
        <f t="shared" si="2698"/>
        <v>1.2236175896792781E-2</v>
      </c>
      <c r="AI296" s="911">
        <f t="shared" si="2698"/>
        <v>1.257082878366916E-2</v>
      </c>
      <c r="AJ296" s="911">
        <f t="shared" si="2698"/>
        <v>1.0749714410639963E-2</v>
      </c>
      <c r="AK296" s="911">
        <f t="shared" si="2698"/>
        <v>1.2634481422800301E-2</v>
      </c>
      <c r="AL296" s="911">
        <f t="shared" si="2698"/>
        <v>1.3083913378355103E-2</v>
      </c>
      <c r="AM296" s="911">
        <f t="shared" si="2698"/>
        <v>1.4182713703837538E-2</v>
      </c>
      <c r="AN296" s="911">
        <f t="shared" si="2698"/>
        <v>1.3385225724975984E-2</v>
      </c>
      <c r="AO296" s="911">
        <f t="shared" si="2698"/>
        <v>1.5084077609420005E-2</v>
      </c>
      <c r="AP296" s="911">
        <f t="shared" si="2698"/>
        <v>1.7452402563014207E-2</v>
      </c>
      <c r="AQ296" s="911">
        <f t="shared" si="2698"/>
        <v>1.8799010706264444E-2</v>
      </c>
      <c r="AR296" s="911">
        <f t="shared" si="2698"/>
        <v>1.8009839762938774E-2</v>
      </c>
      <c r="AS296" s="911">
        <f t="shared" si="2698"/>
        <v>1.5827709548083737E-2</v>
      </c>
      <c r="AT296" s="911">
        <f t="shared" si="2698"/>
        <v>2.0857655393543787E-2</v>
      </c>
      <c r="AU296" s="911">
        <f t="shared" ref="AU296:BO296" si="2699">+AU295/((AU301))</f>
        <v>2.0772296771682328E-2</v>
      </c>
      <c r="AV296" s="911">
        <f t="shared" si="2699"/>
        <v>2.0738619597026955E-2</v>
      </c>
      <c r="AW296" s="911">
        <f t="shared" si="2699"/>
        <v>2.0413015675380571E-2</v>
      </c>
      <c r="AX296" s="911">
        <f t="shared" si="2699"/>
        <v>2.0683172859925832E-2</v>
      </c>
      <c r="AY296" s="911">
        <f t="shared" si="2699"/>
        <v>2.4050001160785595E-2</v>
      </c>
      <c r="AZ296" s="911">
        <f t="shared" si="2699"/>
        <v>2.3957087906685472E-2</v>
      </c>
      <c r="BA296" s="911">
        <f t="shared" si="2699"/>
        <v>2.2160012877940536E-2</v>
      </c>
      <c r="BB296" s="911">
        <f t="shared" si="2699"/>
        <v>2.1295121413598437E-2</v>
      </c>
      <c r="BC296" s="911">
        <f t="shared" si="2699"/>
        <v>2.1113053831774874E-2</v>
      </c>
      <c r="BD296" s="911">
        <f t="shared" si="2699"/>
        <v>1.7525559914864767E-2</v>
      </c>
      <c r="BE296" s="911">
        <f t="shared" si="2699"/>
        <v>1.495453015997082E-2</v>
      </c>
      <c r="BF296" s="911">
        <f t="shared" si="2699"/>
        <v>1.2529267216021394E-2</v>
      </c>
      <c r="BG296" s="911">
        <f t="shared" si="2699"/>
        <v>1.1022374313172158E-2</v>
      </c>
      <c r="BH296" s="911">
        <f t="shared" si="2699"/>
        <v>1.0709355384525785E-2</v>
      </c>
      <c r="BI296" s="911">
        <f t="shared" si="2699"/>
        <v>1.0380894146637603E-2</v>
      </c>
      <c r="BJ296" s="911">
        <f t="shared" si="2699"/>
        <v>9.6595210125907625E-3</v>
      </c>
      <c r="BK296" s="911">
        <f t="shared" si="2699"/>
        <v>2.4277909197447597E-2</v>
      </c>
      <c r="BL296" s="911">
        <f t="shared" si="2699"/>
        <v>2.925178722555483E-2</v>
      </c>
      <c r="BM296" s="911">
        <f t="shared" si="2699"/>
        <v>2.5606273137237897E-2</v>
      </c>
      <c r="BN296" s="911">
        <f t="shared" si="2699"/>
        <v>2.0694976982534238E-2</v>
      </c>
      <c r="BO296" s="911">
        <f t="shared" si="2699"/>
        <v>1.6342121627812695E-2</v>
      </c>
      <c r="BP296" s="911">
        <f t="shared" ref="BP296:BU296" si="2700">+BP295/((BP301))</f>
        <v>1.1567286741421164E-2</v>
      </c>
      <c r="BQ296" s="911">
        <f t="shared" si="2700"/>
        <v>7.2367061598576669E-3</v>
      </c>
      <c r="BR296" s="911">
        <f t="shared" si="2700"/>
        <v>7.5929367809688085E-3</v>
      </c>
      <c r="BS296" s="911">
        <f t="shared" si="2700"/>
        <v>8.4893182919715676E-3</v>
      </c>
      <c r="BT296" s="911">
        <f t="shared" si="2700"/>
        <v>1.3379904936223838E-2</v>
      </c>
      <c r="BU296" s="911">
        <f t="shared" si="2700"/>
        <v>1.9234858149337796E-2</v>
      </c>
      <c r="BV296" s="911">
        <f t="shared" ref="BV296:CA296" si="2701">+BV295/((BV301))</f>
        <v>2.7645171162063834E-2</v>
      </c>
      <c r="BW296" s="911">
        <f t="shared" si="2701"/>
        <v>4.060494872774268E-2</v>
      </c>
      <c r="BX296" s="911">
        <f t="shared" si="2701"/>
        <v>5.3358175759018078E-2</v>
      </c>
      <c r="BY296" s="911">
        <f t="shared" si="2701"/>
        <v>6.0703342503560083E-2</v>
      </c>
      <c r="BZ296" s="911">
        <f t="shared" si="2701"/>
        <v>7.1441424718096377E-2</v>
      </c>
      <c r="CA296" s="911">
        <f t="shared" si="2701"/>
        <v>9.0684958587552572E-2</v>
      </c>
      <c r="CB296" s="911">
        <f t="shared" ref="CB296:CC296" si="2702">+CB295/((CB301))</f>
        <v>9.0651917901007545E-2</v>
      </c>
      <c r="CC296" s="911">
        <f t="shared" si="2702"/>
        <v>8.8153765791655875E-2</v>
      </c>
      <c r="CD296" s="911">
        <f t="shared" ref="CD296" si="2703">+CD295/((CD301))</f>
        <v>8.4002670993976333E-2</v>
      </c>
      <c r="CE296" s="911">
        <f t="shared" ref="CE296" si="2704">+CE295/((CE301))</f>
        <v>0.10431388286925314</v>
      </c>
      <c r="CF296" s="911">
        <f t="shared" ref="CF296:CH296" si="2705">+CF295/((CF301))</f>
        <v>0.14322483188630614</v>
      </c>
      <c r="CG296" s="911">
        <f t="shared" si="2705"/>
        <v>0.14907395752831784</v>
      </c>
      <c r="CH296" s="911">
        <f t="shared" si="2705"/>
        <v>0.16710807897111127</v>
      </c>
      <c r="CI296" s="911">
        <f t="shared" ref="CI296:CK296" si="2706">+CI295/((CI301))</f>
        <v>0</v>
      </c>
      <c r="CJ296" s="911" t="e">
        <f t="shared" si="2706"/>
        <v>#DIV/0!</v>
      </c>
      <c r="CK296" s="911" t="e">
        <f t="shared" si="2706"/>
        <v>#DIV/0!</v>
      </c>
      <c r="CL296" s="911" t="e">
        <f t="shared" ref="CL296:CP296" si="2707">+CL295/((CL301))</f>
        <v>#DIV/0!</v>
      </c>
      <c r="CM296" s="911" t="e">
        <f t="shared" si="2707"/>
        <v>#DIV/0!</v>
      </c>
      <c r="CN296" s="911" t="e">
        <f t="shared" si="2707"/>
        <v>#DIV/0!</v>
      </c>
      <c r="CO296" s="911" t="e">
        <f t="shared" si="2707"/>
        <v>#DIV/0!</v>
      </c>
      <c r="CP296" s="911" t="e">
        <f t="shared" si="2707"/>
        <v>#DIV/0!</v>
      </c>
      <c r="CQ296" s="911"/>
      <c r="CR296" s="911" t="e">
        <v>#DIV/0!</v>
      </c>
      <c r="CT296" s="911"/>
      <c r="CU296" s="911"/>
      <c r="CV296" s="911"/>
      <c r="CW296" s="911"/>
      <c r="CX296" s="911">
        <f t="shared" ref="CX296:DE296" si="2708">+CX295/((CX301))</f>
        <v>1.445850298948405E-2</v>
      </c>
      <c r="CY296" s="911">
        <f t="shared" si="2708"/>
        <v>8.4152699794180275E-2</v>
      </c>
      <c r="CZ296" s="911">
        <f t="shared" si="2708"/>
        <v>9.7641857156508166E-2</v>
      </c>
      <c r="DA296" s="911">
        <f t="shared" si="2708"/>
        <v>0.1173529647454937</v>
      </c>
      <c r="DB296" s="911">
        <f t="shared" si="2708"/>
        <v>5.1852983097420757E-2</v>
      </c>
      <c r="DC296" s="911">
        <f t="shared" si="2708"/>
        <v>5.5422590121349369E-2</v>
      </c>
      <c r="DD296" s="911">
        <f t="shared" si="2708"/>
        <v>5.8635671665661623E-2</v>
      </c>
      <c r="DE296" s="911">
        <f t="shared" si="2708"/>
        <v>7.1976470981013771E-2</v>
      </c>
      <c r="DF296" s="911">
        <f t="shared" ref="DF296:DR296" si="2709">+DF295/((DF301))</f>
        <v>8.4683231124964731E-2</v>
      </c>
      <c r="DG296" s="911">
        <f t="shared" si="2709"/>
        <v>9.5387780410474118E-2</v>
      </c>
      <c r="DH296" s="911">
        <f t="shared" si="2709"/>
        <v>6.990851064213352E-2</v>
      </c>
      <c r="DI296" s="911">
        <f t="shared" si="2709"/>
        <v>7.005114014781709E-2</v>
      </c>
      <c r="DJ296" s="911">
        <f t="shared" si="2709"/>
        <v>7.630751048019993E-2</v>
      </c>
      <c r="DK296" s="911">
        <f t="shared" si="2709"/>
        <v>4.4556938339090718E-2</v>
      </c>
      <c r="DL296" s="911">
        <f t="shared" si="2709"/>
        <v>6.9697304039346944E-2</v>
      </c>
      <c r="DM296" s="911">
        <f t="shared" si="2709"/>
        <v>0.26610068836005274</v>
      </c>
      <c r="DN296" s="911">
        <f t="shared" si="2709"/>
        <v>0.3552603487617908</v>
      </c>
      <c r="DO296" s="911">
        <f t="shared" ref="DO296:DP296" si="2710">+DO295/((DO301))</f>
        <v>0.41147451696445236</v>
      </c>
      <c r="DP296" s="911">
        <f t="shared" si="2710"/>
        <v>0.43261564349098391</v>
      </c>
      <c r="DQ296" s="911" t="e">
        <f t="shared" ref="DQ296" si="2711">+DQ295/((DQ301))</f>
        <v>#DIV/0!</v>
      </c>
      <c r="DR296" s="911" t="e">
        <f t="shared" si="2709"/>
        <v>#DIV/0!</v>
      </c>
      <c r="DS296" s="911" t="e">
        <f t="shared" ref="DS296:DU296" si="2712">+DS295/((DS301))</f>
        <v>#DIV/0!</v>
      </c>
      <c r="DT296" s="911" t="e">
        <f t="shared" si="2712"/>
        <v>#DIV/0!</v>
      </c>
      <c r="DU296" s="911" t="e">
        <f t="shared" si="2712"/>
        <v>#DIV/0!</v>
      </c>
      <c r="DX296" s="911" t="e">
        <v>#DIV/0!</v>
      </c>
      <c r="DY296" s="911" t="e">
        <v>#DIV/0!</v>
      </c>
    </row>
    <row r="297" spans="1:129" s="904" customFormat="1">
      <c r="A297" s="939"/>
      <c r="B297" s="949"/>
      <c r="C297" s="911"/>
      <c r="D297" s="911"/>
      <c r="E297" s="911"/>
      <c r="F297" s="911"/>
      <c r="G297" s="911"/>
      <c r="H297" s="911"/>
      <c r="I297" s="911"/>
      <c r="J297" s="911"/>
      <c r="K297" s="911"/>
      <c r="L297" s="911"/>
      <c r="M297" s="911"/>
      <c r="N297" s="911"/>
      <c r="O297" s="911"/>
      <c r="P297" s="911"/>
      <c r="Q297" s="911"/>
      <c r="R297" s="911"/>
      <c r="S297" s="911"/>
      <c r="T297" s="911"/>
      <c r="U297" s="911"/>
      <c r="V297" s="911"/>
      <c r="W297" s="911"/>
      <c r="X297" s="911"/>
      <c r="Y297" s="911"/>
      <c r="Z297" s="911"/>
      <c r="AA297" s="911"/>
      <c r="AB297" s="911"/>
      <c r="AC297" s="911"/>
      <c r="AD297" s="911"/>
      <c r="AE297" s="911"/>
      <c r="AF297" s="911"/>
      <c r="AG297" s="911"/>
      <c r="AH297" s="911"/>
      <c r="AI297" s="911"/>
      <c r="AJ297" s="911"/>
      <c r="AK297" s="911"/>
      <c r="AL297" s="911"/>
      <c r="AM297" s="911"/>
      <c r="AN297" s="911"/>
      <c r="AO297" s="911"/>
      <c r="AP297" s="911"/>
      <c r="AQ297" s="911"/>
      <c r="AR297" s="911"/>
      <c r="AS297" s="911"/>
      <c r="AT297" s="911"/>
      <c r="AU297" s="911"/>
      <c r="AV297" s="911"/>
      <c r="AW297" s="911"/>
      <c r="AX297" s="911"/>
      <c r="AY297" s="911"/>
      <c r="AZ297" s="926"/>
      <c r="BA297" s="911"/>
      <c r="BB297" s="911"/>
      <c r="BC297" s="911"/>
      <c r="BD297" s="911"/>
      <c r="BE297" s="911"/>
      <c r="BF297" s="911"/>
      <c r="BG297" s="911"/>
      <c r="BH297" s="911"/>
      <c r="BI297" s="911"/>
      <c r="BJ297" s="911"/>
      <c r="BK297" s="911"/>
      <c r="BL297" s="911"/>
      <c r="BM297" s="911"/>
      <c r="BN297" s="911"/>
      <c r="BO297" s="911"/>
      <c r="BP297" s="911"/>
      <c r="BQ297" s="911"/>
      <c r="BR297" s="911"/>
      <c r="BS297" s="911"/>
      <c r="BT297" s="911"/>
      <c r="BU297" s="911"/>
      <c r="BV297" s="911"/>
      <c r="BW297" s="911"/>
      <c r="BX297" s="911"/>
      <c r="BY297" s="911"/>
      <c r="BZ297" s="911"/>
      <c r="CA297" s="911"/>
      <c r="CB297" s="911"/>
      <c r="CC297" s="911"/>
      <c r="CD297" s="911"/>
      <c r="CE297" s="911"/>
      <c r="CF297" s="911"/>
      <c r="CG297" s="911"/>
      <c r="CH297" s="911"/>
      <c r="CI297" s="911"/>
      <c r="CJ297" s="911"/>
      <c r="CK297" s="911"/>
      <c r="CL297" s="911"/>
      <c r="CM297" s="911"/>
      <c r="CN297" s="911"/>
      <c r="CO297" s="911"/>
      <c r="CP297" s="911"/>
      <c r="CQ297" s="911"/>
      <c r="CR297" s="911"/>
      <c r="CT297" s="911"/>
      <c r="CU297" s="911"/>
      <c r="CV297" s="911"/>
      <c r="CW297" s="911"/>
      <c r="CX297" s="911"/>
      <c r="CY297" s="911"/>
      <c r="CZ297" s="911"/>
      <c r="DA297" s="911"/>
      <c r="DB297" s="911"/>
      <c r="DC297" s="911"/>
      <c r="DD297" s="911"/>
      <c r="DE297" s="911"/>
      <c r="DF297" s="911"/>
      <c r="DG297" s="911"/>
      <c r="DH297" s="911"/>
      <c r="DI297" s="911"/>
      <c r="DJ297" s="911"/>
      <c r="DK297" s="911"/>
      <c r="DL297" s="911"/>
      <c r="DM297" s="911"/>
      <c r="DN297" s="911"/>
      <c r="DO297" s="911"/>
      <c r="DP297" s="911"/>
      <c r="DQ297" s="911"/>
      <c r="DR297" s="911"/>
      <c r="DS297" s="911"/>
      <c r="DT297" s="911"/>
      <c r="DU297" s="911"/>
      <c r="DX297" s="911"/>
      <c r="DY297" s="911"/>
    </row>
    <row r="298" spans="1:129" s="904" customFormat="1">
      <c r="A298" s="939"/>
      <c r="B298" s="949" t="s">
        <v>552</v>
      </c>
      <c r="C298" s="903">
        <f t="shared" ref="C298:R298" si="2713">+C111</f>
        <v>0</v>
      </c>
      <c r="D298" s="903">
        <f t="shared" si="2713"/>
        <v>63419</v>
      </c>
      <c r="E298" s="903">
        <f t="shared" si="2713"/>
        <v>64837</v>
      </c>
      <c r="F298" s="903">
        <f t="shared" si="2713"/>
        <v>58293</v>
      </c>
      <c r="G298" s="903">
        <f t="shared" si="2713"/>
        <v>104075</v>
      </c>
      <c r="H298" s="903">
        <f t="shared" si="2713"/>
        <v>74583</v>
      </c>
      <c r="I298" s="903">
        <f t="shared" si="2713"/>
        <v>88329</v>
      </c>
      <c r="J298" s="903">
        <f t="shared" si="2713"/>
        <v>63181</v>
      </c>
      <c r="K298" s="903">
        <f t="shared" si="2713"/>
        <v>91799</v>
      </c>
      <c r="L298" s="903">
        <f t="shared" si="2713"/>
        <v>93907</v>
      </c>
      <c r="M298" s="903">
        <f t="shared" si="2713"/>
        <v>94065</v>
      </c>
      <c r="N298" s="903">
        <f t="shared" si="2713"/>
        <v>93365</v>
      </c>
      <c r="O298" s="903">
        <f t="shared" si="2713"/>
        <v>100884</v>
      </c>
      <c r="P298" s="903">
        <f t="shared" si="2713"/>
        <v>106188</v>
      </c>
      <c r="Q298" s="903">
        <f t="shared" si="2713"/>
        <v>129693</v>
      </c>
      <c r="R298" s="903">
        <f t="shared" si="2713"/>
        <v>280559</v>
      </c>
      <c r="S298" s="903">
        <f t="shared" ref="S298:AX298" si="2714">S111</f>
        <v>110910</v>
      </c>
      <c r="T298" s="903">
        <f t="shared" si="2714"/>
        <v>135685</v>
      </c>
      <c r="U298" s="903">
        <f t="shared" si="2714"/>
        <v>130000</v>
      </c>
      <c r="V298" s="903">
        <f t="shared" si="2714"/>
        <v>317909</v>
      </c>
      <c r="W298" s="903">
        <f t="shared" si="2714"/>
        <v>249604</v>
      </c>
      <c r="X298" s="903">
        <f t="shared" si="2714"/>
        <v>275466</v>
      </c>
      <c r="Y298" s="903">
        <f t="shared" si="2714"/>
        <v>278335</v>
      </c>
      <c r="Z298" s="903">
        <f t="shared" si="2714"/>
        <v>382417</v>
      </c>
      <c r="AA298" s="903">
        <f t="shared" si="2714"/>
        <v>381913</v>
      </c>
      <c r="AB298" s="903">
        <f t="shared" si="2714"/>
        <v>404329</v>
      </c>
      <c r="AC298" s="903">
        <f t="shared" si="2714"/>
        <v>388529</v>
      </c>
      <c r="AD298" s="903">
        <f t="shared" si="2714"/>
        <v>279426</v>
      </c>
      <c r="AE298" s="903">
        <f t="shared" si="2714"/>
        <v>142587</v>
      </c>
      <c r="AF298" s="903">
        <f t="shared" si="2714"/>
        <v>145461</v>
      </c>
      <c r="AG298" s="903">
        <f t="shared" si="2714"/>
        <v>234900</v>
      </c>
      <c r="AH298" s="903">
        <f t="shared" si="2714"/>
        <v>172159</v>
      </c>
      <c r="AI298" s="903">
        <f t="shared" si="2714"/>
        <v>263235</v>
      </c>
      <c r="AJ298" s="903">
        <f t="shared" si="2714"/>
        <v>303355</v>
      </c>
      <c r="AK298" s="903">
        <f t="shared" si="2714"/>
        <v>351440</v>
      </c>
      <c r="AL298" s="903">
        <f t="shared" si="2714"/>
        <v>670248</v>
      </c>
      <c r="AM298" s="903">
        <f t="shared" si="2714"/>
        <v>689198</v>
      </c>
      <c r="AN298" s="903">
        <f t="shared" si="2714"/>
        <v>802838</v>
      </c>
      <c r="AO298" s="903">
        <f t="shared" si="2714"/>
        <v>828653</v>
      </c>
      <c r="AP298" s="903">
        <f t="shared" si="2714"/>
        <v>735599</v>
      </c>
      <c r="AQ298" s="903">
        <f t="shared" si="2714"/>
        <v>762059</v>
      </c>
      <c r="AR298" s="903">
        <f t="shared" si="2714"/>
        <v>422734</v>
      </c>
      <c r="AS298" s="903">
        <f t="shared" si="2714"/>
        <v>484460</v>
      </c>
      <c r="AT298" s="903">
        <f t="shared" si="2714"/>
        <v>559537</v>
      </c>
      <c r="AU298" s="903">
        <f t="shared" si="2714"/>
        <v>589832</v>
      </c>
      <c r="AV298" s="903">
        <f t="shared" si="2714"/>
        <v>721727</v>
      </c>
      <c r="AW298" s="903">
        <f t="shared" si="2714"/>
        <v>728270</v>
      </c>
      <c r="AX298" s="903">
        <f t="shared" si="2714"/>
        <v>706589</v>
      </c>
      <c r="AY298" s="903">
        <f t="shared" ref="AY298:CE298" si="2715">AY111</f>
        <v>816656</v>
      </c>
      <c r="AZ298" s="903">
        <f t="shared" si="2715"/>
        <v>962526</v>
      </c>
      <c r="BA298" s="903">
        <f t="shared" si="2715"/>
        <v>1007573</v>
      </c>
      <c r="BB298" s="903">
        <f t="shared" si="2715"/>
        <v>996171</v>
      </c>
      <c r="BC298" s="903">
        <f t="shared" si="2715"/>
        <v>881934</v>
      </c>
      <c r="BD298" s="903">
        <f t="shared" si="2715"/>
        <v>1064598</v>
      </c>
      <c r="BE298" s="903">
        <f t="shared" si="2715"/>
        <v>564824</v>
      </c>
      <c r="BF298" s="903">
        <f t="shared" si="2715"/>
        <v>516839</v>
      </c>
      <c r="BG298" s="903">
        <f t="shared" si="2715"/>
        <v>525475</v>
      </c>
      <c r="BH298" s="903">
        <f t="shared" si="2715"/>
        <v>1055403</v>
      </c>
      <c r="BI298" s="903">
        <f t="shared" si="2715"/>
        <v>1124664</v>
      </c>
      <c r="BJ298" s="903">
        <f t="shared" si="2715"/>
        <v>1423835</v>
      </c>
      <c r="BK298" s="903">
        <f t="shared" si="2715"/>
        <v>957726</v>
      </c>
      <c r="BL298" s="903">
        <f t="shared" si="2715"/>
        <v>748594</v>
      </c>
      <c r="BM298" s="903">
        <f t="shared" si="2715"/>
        <v>508147</v>
      </c>
      <c r="BN298" s="903">
        <f t="shared" si="2715"/>
        <v>709022</v>
      </c>
      <c r="BO298" s="903">
        <f t="shared" si="2715"/>
        <v>1257286</v>
      </c>
      <c r="BP298" s="903">
        <f t="shared" si="2715"/>
        <v>1698108</v>
      </c>
      <c r="BQ298" s="903">
        <f t="shared" si="2715"/>
        <v>1259027</v>
      </c>
      <c r="BR298" s="903">
        <f t="shared" si="2715"/>
        <v>1077081</v>
      </c>
      <c r="BS298" s="903">
        <f t="shared" si="2715"/>
        <v>543875</v>
      </c>
      <c r="BT298" s="903">
        <f t="shared" si="2715"/>
        <v>323791</v>
      </c>
      <c r="BU298" s="903">
        <f t="shared" si="2715"/>
        <v>488284</v>
      </c>
      <c r="BV298" s="903">
        <f t="shared" si="2715"/>
        <v>1610452</v>
      </c>
      <c r="BW298" s="903">
        <f t="shared" si="2715"/>
        <v>1632135</v>
      </c>
      <c r="BX298" s="903">
        <f t="shared" si="2715"/>
        <v>1335093</v>
      </c>
      <c r="BY298" s="903">
        <f t="shared" si="2715"/>
        <v>1195202</v>
      </c>
      <c r="BZ298" s="903">
        <f t="shared" si="2715"/>
        <v>122824</v>
      </c>
      <c r="CA298" s="903">
        <f t="shared" si="2715"/>
        <v>585450</v>
      </c>
      <c r="CB298" s="903">
        <f t="shared" si="2715"/>
        <v>619302</v>
      </c>
      <c r="CC298" s="903">
        <f t="shared" si="2715"/>
        <v>631512</v>
      </c>
      <c r="CD298" s="903">
        <f t="shared" ref="CD298" si="2716">CD111</f>
        <v>601954</v>
      </c>
      <c r="CE298" s="903">
        <f t="shared" si="2715"/>
        <v>558053</v>
      </c>
      <c r="CF298" s="903">
        <f t="shared" ref="CF298:CH298" si="2717">CF111</f>
        <v>573950</v>
      </c>
      <c r="CG298" s="903">
        <f t="shared" si="2717"/>
        <v>506717</v>
      </c>
      <c r="CH298" s="903">
        <f t="shared" si="2717"/>
        <v>522440</v>
      </c>
      <c r="CI298" s="903">
        <f t="shared" ref="CI298:CK298" si="2718">CI111</f>
        <v>0</v>
      </c>
      <c r="CJ298" s="903">
        <f t="shared" si="2718"/>
        <v>0</v>
      </c>
      <c r="CK298" s="903">
        <f t="shared" si="2718"/>
        <v>0</v>
      </c>
      <c r="CL298" s="903">
        <f t="shared" ref="CL298:CP298" si="2719">CL111</f>
        <v>0</v>
      </c>
      <c r="CM298" s="903">
        <f t="shared" si="2719"/>
        <v>0</v>
      </c>
      <c r="CN298" s="903">
        <f t="shared" si="2719"/>
        <v>0</v>
      </c>
      <c r="CO298" s="903">
        <f t="shared" si="2719"/>
        <v>0</v>
      </c>
      <c r="CP298" s="903">
        <f t="shared" si="2719"/>
        <v>0</v>
      </c>
      <c r="CQ298" s="903"/>
      <c r="CR298" s="903">
        <v>0</v>
      </c>
      <c r="CT298" s="903"/>
      <c r="CU298" s="903"/>
      <c r="CV298" s="903"/>
      <c r="CW298" s="903"/>
      <c r="CX298" s="903">
        <f t="shared" ref="CX298:DI298" si="2720">+CX111</f>
        <v>280559</v>
      </c>
      <c r="CY298" s="903">
        <f t="shared" si="2720"/>
        <v>317909</v>
      </c>
      <c r="CZ298" s="903">
        <f t="shared" si="2720"/>
        <v>382417</v>
      </c>
      <c r="DA298" s="903">
        <f t="shared" si="2720"/>
        <v>279426</v>
      </c>
      <c r="DB298" s="903">
        <f t="shared" si="2720"/>
        <v>172159</v>
      </c>
      <c r="DC298" s="903">
        <f t="shared" si="2720"/>
        <v>670248</v>
      </c>
      <c r="DD298" s="903">
        <f t="shared" si="2720"/>
        <v>735599</v>
      </c>
      <c r="DE298" s="903">
        <f t="shared" si="2720"/>
        <v>559537</v>
      </c>
      <c r="DF298" s="903">
        <f t="shared" si="2720"/>
        <v>706589</v>
      </c>
      <c r="DG298" s="903">
        <f t="shared" si="2720"/>
        <v>996171</v>
      </c>
      <c r="DH298" s="903">
        <f t="shared" si="2720"/>
        <v>516839</v>
      </c>
      <c r="DI298" s="903">
        <f t="shared" si="2720"/>
        <v>1423835</v>
      </c>
      <c r="DJ298" s="903">
        <f t="shared" ref="DJ298:DU298" si="2721">DJ111</f>
        <v>709022</v>
      </c>
      <c r="DK298" s="903">
        <f t="shared" si="2721"/>
        <v>1077081</v>
      </c>
      <c r="DL298" s="903">
        <f t="shared" si="2721"/>
        <v>1610452</v>
      </c>
      <c r="DM298" s="903">
        <f t="shared" si="2721"/>
        <v>122824</v>
      </c>
      <c r="DN298" s="903">
        <f t="shared" si="2721"/>
        <v>601954</v>
      </c>
      <c r="DO298" s="903">
        <f t="shared" si="2721"/>
        <v>522440</v>
      </c>
      <c r="DP298" s="903">
        <f t="shared" ref="DP298:DQ298" si="2722">DP111</f>
        <v>0</v>
      </c>
      <c r="DQ298" s="903">
        <f t="shared" si="2722"/>
        <v>0</v>
      </c>
      <c r="DR298" s="903">
        <f t="shared" si="2721"/>
        <v>0</v>
      </c>
      <c r="DS298" s="903">
        <f t="shared" si="2721"/>
        <v>0</v>
      </c>
      <c r="DT298" s="903">
        <f t="shared" si="2721"/>
        <v>0</v>
      </c>
      <c r="DU298" s="903">
        <f t="shared" si="2721"/>
        <v>0</v>
      </c>
      <c r="DX298" s="903">
        <v>0</v>
      </c>
      <c r="DY298" s="903">
        <v>0</v>
      </c>
    </row>
    <row r="299" spans="1:129" s="904" customFormat="1">
      <c r="A299" s="939"/>
      <c r="B299" s="949" t="s">
        <v>553</v>
      </c>
      <c r="C299" s="903">
        <f t="shared" ref="C299:Z299" si="2723">+C120</f>
        <v>0</v>
      </c>
      <c r="D299" s="903">
        <f t="shared" si="2723"/>
        <v>248600</v>
      </c>
      <c r="E299" s="903">
        <f t="shared" si="2723"/>
        <v>228688</v>
      </c>
      <c r="F299" s="903">
        <f t="shared" si="2723"/>
        <v>212352</v>
      </c>
      <c r="G299" s="903">
        <f t="shared" si="2723"/>
        <v>213296</v>
      </c>
      <c r="H299" s="903">
        <f t="shared" si="2723"/>
        <v>188032</v>
      </c>
      <c r="I299" s="903">
        <f t="shared" si="2723"/>
        <v>0</v>
      </c>
      <c r="J299" s="903">
        <f t="shared" si="2723"/>
        <v>0</v>
      </c>
      <c r="K299" s="903">
        <f t="shared" si="2723"/>
        <v>0</v>
      </c>
      <c r="L299" s="903">
        <f t="shared" si="2723"/>
        <v>0</v>
      </c>
      <c r="M299" s="903">
        <f t="shared" si="2723"/>
        <v>0</v>
      </c>
      <c r="N299" s="903">
        <f t="shared" si="2723"/>
        <v>0</v>
      </c>
      <c r="O299" s="903">
        <f t="shared" si="2723"/>
        <v>0</v>
      </c>
      <c r="P299" s="903">
        <f t="shared" si="2723"/>
        <v>0</v>
      </c>
      <c r="Q299" s="903">
        <f t="shared" si="2723"/>
        <v>0</v>
      </c>
      <c r="R299" s="903">
        <f t="shared" si="2723"/>
        <v>0</v>
      </c>
      <c r="S299" s="903">
        <f t="shared" si="2723"/>
        <v>0</v>
      </c>
      <c r="T299" s="903">
        <f t="shared" si="2723"/>
        <v>29740</v>
      </c>
      <c r="U299" s="903">
        <f t="shared" si="2723"/>
        <v>29740</v>
      </c>
      <c r="V299" s="903">
        <f t="shared" si="2723"/>
        <v>29661</v>
      </c>
      <c r="W299" s="903">
        <f t="shared" si="2723"/>
        <v>28178</v>
      </c>
      <c r="X299" s="903">
        <f t="shared" si="2723"/>
        <v>39680</v>
      </c>
      <c r="Y299" s="903">
        <f t="shared" si="2723"/>
        <v>37476</v>
      </c>
      <c r="Z299" s="903">
        <f t="shared" si="2723"/>
        <v>35271</v>
      </c>
      <c r="AA299" s="903">
        <f t="shared" ref="AA299:AT299" si="2724">+AA120+AA122</f>
        <v>33067</v>
      </c>
      <c r="AB299" s="903">
        <f t="shared" si="2724"/>
        <v>30862</v>
      </c>
      <c r="AC299" s="903">
        <f t="shared" si="2724"/>
        <v>28658</v>
      </c>
      <c r="AD299" s="903">
        <f t="shared" si="2724"/>
        <v>377076</v>
      </c>
      <c r="AE299" s="903">
        <f t="shared" si="2724"/>
        <v>374604</v>
      </c>
      <c r="AF299" s="903">
        <f t="shared" si="2724"/>
        <v>372383</v>
      </c>
      <c r="AG299" s="903">
        <f t="shared" si="2724"/>
        <v>668119</v>
      </c>
      <c r="AH299" s="903">
        <f t="shared" si="2724"/>
        <v>666003</v>
      </c>
      <c r="AI299" s="903">
        <f t="shared" si="2724"/>
        <v>663890</v>
      </c>
      <c r="AJ299" s="903">
        <f t="shared" si="2724"/>
        <v>661778</v>
      </c>
      <c r="AK299" s="903">
        <f t="shared" si="2724"/>
        <v>982868</v>
      </c>
      <c r="AL299" s="903">
        <f t="shared" si="2724"/>
        <v>645159</v>
      </c>
      <c r="AM299" s="903">
        <f t="shared" si="2724"/>
        <v>638206</v>
      </c>
      <c r="AN299" s="903">
        <f t="shared" si="2724"/>
        <v>635982</v>
      </c>
      <c r="AO299" s="903">
        <f t="shared" si="2724"/>
        <v>1044751</v>
      </c>
      <c r="AP299" s="903">
        <f t="shared" si="2724"/>
        <v>1046846</v>
      </c>
      <c r="AQ299" s="903">
        <f t="shared" si="2724"/>
        <v>1049790</v>
      </c>
      <c r="AR299" s="903">
        <f t="shared" si="2724"/>
        <v>1483327</v>
      </c>
      <c r="AS299" s="903">
        <f t="shared" si="2724"/>
        <v>1346828</v>
      </c>
      <c r="AT299" s="903">
        <f t="shared" si="2724"/>
        <v>1395469</v>
      </c>
      <c r="AU299" s="903">
        <f t="shared" ref="AU299:CE299" si="2725">+AU120</f>
        <v>1409027</v>
      </c>
      <c r="AV299" s="903">
        <f t="shared" si="2725"/>
        <v>1333871</v>
      </c>
      <c r="AW299" s="903">
        <f t="shared" si="2725"/>
        <v>1198270</v>
      </c>
      <c r="AX299" s="903">
        <f t="shared" si="2725"/>
        <v>1196423</v>
      </c>
      <c r="AY299" s="903">
        <f t="shared" si="2725"/>
        <v>1196402</v>
      </c>
      <c r="AZ299" s="903">
        <f t="shared" si="2725"/>
        <v>1118507</v>
      </c>
      <c r="BA299" s="903">
        <f t="shared" si="2725"/>
        <v>882567</v>
      </c>
      <c r="BB299" s="903">
        <f t="shared" si="2725"/>
        <v>879749</v>
      </c>
      <c r="BC299" s="903">
        <f t="shared" si="2725"/>
        <v>1198383</v>
      </c>
      <c r="BD299" s="903">
        <f t="shared" si="2725"/>
        <v>1083833</v>
      </c>
      <c r="BE299" s="903">
        <f t="shared" si="2725"/>
        <v>1207878</v>
      </c>
      <c r="BF299" s="903">
        <f t="shared" si="2725"/>
        <v>1353977</v>
      </c>
      <c r="BG299" s="903">
        <f t="shared" si="2725"/>
        <v>1347779</v>
      </c>
      <c r="BH299" s="903">
        <f t="shared" si="2725"/>
        <v>870899</v>
      </c>
      <c r="BI299" s="903">
        <f t="shared" si="2725"/>
        <v>663160</v>
      </c>
      <c r="BJ299" s="903">
        <f t="shared" si="2725"/>
        <v>499753</v>
      </c>
      <c r="BK299" s="903">
        <f t="shared" si="2725"/>
        <v>61427</v>
      </c>
      <c r="BL299" s="903">
        <f t="shared" si="2725"/>
        <v>446207</v>
      </c>
      <c r="BM299" s="903">
        <f t="shared" si="2725"/>
        <v>445223</v>
      </c>
      <c r="BN299" s="903">
        <f t="shared" si="2725"/>
        <v>444641</v>
      </c>
      <c r="BO299" s="903">
        <f t="shared" si="2725"/>
        <v>405975</v>
      </c>
      <c r="BP299" s="903">
        <f t="shared" si="2725"/>
        <v>899701</v>
      </c>
      <c r="BQ299" s="903">
        <f t="shared" si="2725"/>
        <v>1049705</v>
      </c>
      <c r="BR299" s="903">
        <f t="shared" si="2725"/>
        <v>1545933</v>
      </c>
      <c r="BS299" s="903">
        <f t="shared" si="2725"/>
        <v>2543647</v>
      </c>
      <c r="BT299" s="903">
        <f t="shared" si="2725"/>
        <v>2246810</v>
      </c>
      <c r="BU299" s="903">
        <f t="shared" si="2725"/>
        <v>2097789</v>
      </c>
      <c r="BV299" s="903">
        <f t="shared" si="2725"/>
        <v>1054027</v>
      </c>
      <c r="BW299" s="903">
        <f t="shared" si="2725"/>
        <v>1055551</v>
      </c>
      <c r="BX299" s="903">
        <f t="shared" si="2725"/>
        <v>1053377</v>
      </c>
      <c r="BY299" s="903">
        <f t="shared" si="2725"/>
        <v>1101047</v>
      </c>
      <c r="BZ299" s="903">
        <f t="shared" si="2725"/>
        <v>1046319</v>
      </c>
      <c r="CA299" s="903">
        <f t="shared" si="2725"/>
        <v>544994</v>
      </c>
      <c r="CB299" s="903">
        <f t="shared" si="2725"/>
        <v>546567</v>
      </c>
      <c r="CC299" s="903">
        <f t="shared" si="2725"/>
        <v>499804</v>
      </c>
      <c r="CD299" s="903">
        <f t="shared" ref="CD299" si="2726">+CD120</f>
        <v>499921</v>
      </c>
      <c r="CE299" s="903">
        <f t="shared" si="2725"/>
        <v>0</v>
      </c>
      <c r="CF299" s="903">
        <f t="shared" ref="CF299:CH299" si="2727">+CF120</f>
        <v>0</v>
      </c>
      <c r="CG299" s="903">
        <f t="shared" si="2727"/>
        <v>0</v>
      </c>
      <c r="CH299" s="903">
        <f t="shared" si="2727"/>
        <v>0</v>
      </c>
      <c r="CI299" s="903">
        <f t="shared" ref="CI299:CK299" si="2728">+CI120</f>
        <v>0</v>
      </c>
      <c r="CJ299" s="903">
        <f t="shared" si="2728"/>
        <v>0</v>
      </c>
      <c r="CK299" s="903">
        <f t="shared" si="2728"/>
        <v>0</v>
      </c>
      <c r="CL299" s="903">
        <f t="shared" ref="CL299:CP299" si="2729">+CL120</f>
        <v>0</v>
      </c>
      <c r="CM299" s="903">
        <f t="shared" si="2729"/>
        <v>0</v>
      </c>
      <c r="CN299" s="903">
        <f t="shared" si="2729"/>
        <v>0</v>
      </c>
      <c r="CO299" s="903">
        <f t="shared" si="2729"/>
        <v>0</v>
      </c>
      <c r="CP299" s="903">
        <f t="shared" si="2729"/>
        <v>0</v>
      </c>
      <c r="CQ299" s="903"/>
      <c r="CR299" s="903">
        <v>0</v>
      </c>
      <c r="CT299" s="903"/>
      <c r="CU299" s="903"/>
      <c r="CV299" s="903"/>
      <c r="CW299" s="903"/>
      <c r="CX299" s="903">
        <f>+CX120</f>
        <v>0</v>
      </c>
      <c r="CY299" s="903">
        <f t="shared" ref="CY299:DI299" si="2730">+CY120+CY122</f>
        <v>29661</v>
      </c>
      <c r="CZ299" s="903">
        <f t="shared" si="2730"/>
        <v>35271</v>
      </c>
      <c r="DA299" s="903">
        <f t="shared" si="2730"/>
        <v>36415</v>
      </c>
      <c r="DB299" s="903">
        <f t="shared" si="2730"/>
        <v>322333</v>
      </c>
      <c r="DC299" s="903">
        <f t="shared" si="2730"/>
        <v>645159</v>
      </c>
      <c r="DD299" s="903">
        <f t="shared" si="2730"/>
        <v>1046846</v>
      </c>
      <c r="DE299" s="903">
        <f t="shared" si="2730"/>
        <v>1395469</v>
      </c>
      <c r="DF299" s="903">
        <f t="shared" si="2730"/>
        <v>1196423</v>
      </c>
      <c r="DG299" s="903">
        <f t="shared" si="2730"/>
        <v>879749</v>
      </c>
      <c r="DH299" s="903">
        <f t="shared" si="2730"/>
        <v>1353977</v>
      </c>
      <c r="DI299" s="903">
        <f t="shared" si="2730"/>
        <v>499753</v>
      </c>
      <c r="DJ299" s="903">
        <f t="shared" ref="DJ299:DU299" si="2731">+DJ120</f>
        <v>444641</v>
      </c>
      <c r="DK299" s="903">
        <f t="shared" si="2731"/>
        <v>1545933</v>
      </c>
      <c r="DL299" s="903">
        <f t="shared" si="2731"/>
        <v>1054027</v>
      </c>
      <c r="DM299" s="903">
        <f t="shared" si="2731"/>
        <v>1046319</v>
      </c>
      <c r="DN299" s="903">
        <f t="shared" si="2731"/>
        <v>499921</v>
      </c>
      <c r="DO299" s="903">
        <f t="shared" si="2731"/>
        <v>0</v>
      </c>
      <c r="DP299" s="903">
        <f t="shared" ref="DP299:DQ299" si="2732">+DP120</f>
        <v>0</v>
      </c>
      <c r="DQ299" s="903">
        <f t="shared" si="2732"/>
        <v>0</v>
      </c>
      <c r="DR299" s="903">
        <f t="shared" si="2731"/>
        <v>0</v>
      </c>
      <c r="DS299" s="903">
        <f t="shared" si="2731"/>
        <v>0</v>
      </c>
      <c r="DT299" s="903">
        <f t="shared" si="2731"/>
        <v>0</v>
      </c>
      <c r="DU299" s="903">
        <f t="shared" si="2731"/>
        <v>0</v>
      </c>
      <c r="DX299" s="903">
        <v>0</v>
      </c>
      <c r="DY299" s="903">
        <v>0</v>
      </c>
    </row>
    <row r="300" spans="1:129" s="904" customFormat="1">
      <c r="A300" s="939"/>
      <c r="B300" s="949" t="s">
        <v>554</v>
      </c>
      <c r="C300" s="903">
        <f t="shared" ref="C300:AH300" si="2733">+C299+C298</f>
        <v>0</v>
      </c>
      <c r="D300" s="903">
        <f t="shared" si="2733"/>
        <v>312019</v>
      </c>
      <c r="E300" s="903">
        <f t="shared" si="2733"/>
        <v>293525</v>
      </c>
      <c r="F300" s="903">
        <f t="shared" si="2733"/>
        <v>270645</v>
      </c>
      <c r="G300" s="903">
        <f t="shared" si="2733"/>
        <v>317371</v>
      </c>
      <c r="H300" s="903">
        <f t="shared" si="2733"/>
        <v>262615</v>
      </c>
      <c r="I300" s="903">
        <f t="shared" si="2733"/>
        <v>88329</v>
      </c>
      <c r="J300" s="903">
        <f t="shared" si="2733"/>
        <v>63181</v>
      </c>
      <c r="K300" s="903">
        <f t="shared" si="2733"/>
        <v>91799</v>
      </c>
      <c r="L300" s="903">
        <f t="shared" si="2733"/>
        <v>93907</v>
      </c>
      <c r="M300" s="903">
        <f t="shared" si="2733"/>
        <v>94065</v>
      </c>
      <c r="N300" s="903">
        <f t="shared" si="2733"/>
        <v>93365</v>
      </c>
      <c r="O300" s="903">
        <f t="shared" si="2733"/>
        <v>100884</v>
      </c>
      <c r="P300" s="903">
        <f t="shared" si="2733"/>
        <v>106188</v>
      </c>
      <c r="Q300" s="903">
        <f t="shared" si="2733"/>
        <v>129693</v>
      </c>
      <c r="R300" s="903">
        <f t="shared" si="2733"/>
        <v>280559</v>
      </c>
      <c r="S300" s="903">
        <f t="shared" si="2733"/>
        <v>110910</v>
      </c>
      <c r="T300" s="903">
        <f t="shared" si="2733"/>
        <v>165425</v>
      </c>
      <c r="U300" s="903">
        <f t="shared" si="2733"/>
        <v>159740</v>
      </c>
      <c r="V300" s="903">
        <f t="shared" si="2733"/>
        <v>347570</v>
      </c>
      <c r="W300" s="903">
        <f t="shared" si="2733"/>
        <v>277782</v>
      </c>
      <c r="X300" s="903">
        <f t="shared" si="2733"/>
        <v>315146</v>
      </c>
      <c r="Y300" s="903">
        <f t="shared" si="2733"/>
        <v>315811</v>
      </c>
      <c r="Z300" s="903">
        <f t="shared" si="2733"/>
        <v>417688</v>
      </c>
      <c r="AA300" s="903">
        <f t="shared" si="2733"/>
        <v>414980</v>
      </c>
      <c r="AB300" s="903">
        <f t="shared" si="2733"/>
        <v>435191</v>
      </c>
      <c r="AC300" s="903">
        <f t="shared" si="2733"/>
        <v>417187</v>
      </c>
      <c r="AD300" s="903">
        <f t="shared" si="2733"/>
        <v>656502</v>
      </c>
      <c r="AE300" s="903">
        <f t="shared" si="2733"/>
        <v>517191</v>
      </c>
      <c r="AF300" s="903">
        <f t="shared" si="2733"/>
        <v>517844</v>
      </c>
      <c r="AG300" s="903">
        <f t="shared" si="2733"/>
        <v>903019</v>
      </c>
      <c r="AH300" s="903">
        <f t="shared" si="2733"/>
        <v>838162</v>
      </c>
      <c r="AI300" s="903">
        <f t="shared" ref="AI300:BM300" si="2734">+AI299+AI298</f>
        <v>927125</v>
      </c>
      <c r="AJ300" s="903">
        <f t="shared" si="2734"/>
        <v>965133</v>
      </c>
      <c r="AK300" s="903">
        <f t="shared" si="2734"/>
        <v>1334308</v>
      </c>
      <c r="AL300" s="903">
        <f t="shared" si="2734"/>
        <v>1315407</v>
      </c>
      <c r="AM300" s="903">
        <f t="shared" si="2734"/>
        <v>1327404</v>
      </c>
      <c r="AN300" s="903">
        <f t="shared" si="2734"/>
        <v>1438820</v>
      </c>
      <c r="AO300" s="903">
        <f t="shared" si="2734"/>
        <v>1873404</v>
      </c>
      <c r="AP300" s="903">
        <f t="shared" si="2734"/>
        <v>1782445</v>
      </c>
      <c r="AQ300" s="903">
        <f t="shared" si="2734"/>
        <v>1811849</v>
      </c>
      <c r="AR300" s="903">
        <f t="shared" si="2734"/>
        <v>1906061</v>
      </c>
      <c r="AS300" s="903">
        <f t="shared" si="2734"/>
        <v>1831288</v>
      </c>
      <c r="AT300" s="903">
        <f t="shared" si="2734"/>
        <v>1955006</v>
      </c>
      <c r="AU300" s="903">
        <f t="shared" si="2734"/>
        <v>1998859</v>
      </c>
      <c r="AV300" s="903">
        <f t="shared" si="2734"/>
        <v>2055598</v>
      </c>
      <c r="AW300" s="903">
        <f t="shared" si="2734"/>
        <v>1926540</v>
      </c>
      <c r="AX300" s="903">
        <f t="shared" si="2734"/>
        <v>1903012</v>
      </c>
      <c r="AY300" s="903">
        <f t="shared" si="2734"/>
        <v>2013058</v>
      </c>
      <c r="AZ300" s="903">
        <f t="shared" si="2734"/>
        <v>2081033</v>
      </c>
      <c r="BA300" s="903">
        <f t="shared" si="2734"/>
        <v>1890140</v>
      </c>
      <c r="BB300" s="903">
        <f t="shared" si="2734"/>
        <v>1875920</v>
      </c>
      <c r="BC300" s="903">
        <f t="shared" si="2734"/>
        <v>2080317</v>
      </c>
      <c r="BD300" s="903">
        <f t="shared" si="2734"/>
        <v>2148431</v>
      </c>
      <c r="BE300" s="903">
        <f t="shared" si="2734"/>
        <v>1772702</v>
      </c>
      <c r="BF300" s="903">
        <f t="shared" si="2734"/>
        <v>1870816</v>
      </c>
      <c r="BG300" s="903">
        <f t="shared" si="2734"/>
        <v>1873254</v>
      </c>
      <c r="BH300" s="903">
        <f t="shared" si="2734"/>
        <v>1926302</v>
      </c>
      <c r="BI300" s="903">
        <f t="shared" si="2734"/>
        <v>1787824</v>
      </c>
      <c r="BJ300" s="903">
        <f t="shared" si="2734"/>
        <v>1923588</v>
      </c>
      <c r="BK300" s="903">
        <f t="shared" si="2734"/>
        <v>1019153</v>
      </c>
      <c r="BL300" s="903">
        <f t="shared" si="2734"/>
        <v>1194801</v>
      </c>
      <c r="BM300" s="903">
        <f t="shared" si="2734"/>
        <v>953370</v>
      </c>
      <c r="BN300" s="903">
        <f t="shared" ref="BN300:BY300" si="2735">+BN299+BN298</f>
        <v>1153663</v>
      </c>
      <c r="BO300" s="903">
        <f t="shared" si="2735"/>
        <v>1663261</v>
      </c>
      <c r="BP300" s="903">
        <f t="shared" si="2735"/>
        <v>2597809</v>
      </c>
      <c r="BQ300" s="903">
        <f t="shared" si="2735"/>
        <v>2308732</v>
      </c>
      <c r="BR300" s="903">
        <f t="shared" si="2735"/>
        <v>2623014</v>
      </c>
      <c r="BS300" s="903">
        <f t="shared" si="2735"/>
        <v>3087522</v>
      </c>
      <c r="BT300" s="903">
        <f t="shared" si="2735"/>
        <v>2570601</v>
      </c>
      <c r="BU300" s="903">
        <f t="shared" si="2735"/>
        <v>2586073</v>
      </c>
      <c r="BV300" s="903">
        <f t="shared" si="2735"/>
        <v>2664479</v>
      </c>
      <c r="BW300" s="903">
        <f t="shared" si="2735"/>
        <v>2687686</v>
      </c>
      <c r="BX300" s="903">
        <f t="shared" si="2735"/>
        <v>2388470</v>
      </c>
      <c r="BY300" s="903">
        <f t="shared" si="2735"/>
        <v>2296249</v>
      </c>
      <c r="BZ300" s="903">
        <f t="shared" ref="BZ300:CA300" si="2736">+BZ299+BZ298</f>
        <v>1169143</v>
      </c>
      <c r="CA300" s="903">
        <f t="shared" si="2736"/>
        <v>1130444</v>
      </c>
      <c r="CB300" s="903">
        <f t="shared" ref="CB300:CC300" si="2737">+CB299+CB298</f>
        <v>1165869</v>
      </c>
      <c r="CC300" s="903">
        <f t="shared" si="2737"/>
        <v>1131316</v>
      </c>
      <c r="CD300" s="903">
        <f t="shared" ref="CD300" si="2738">+CD299+CD298</f>
        <v>1101875</v>
      </c>
      <c r="CE300" s="903">
        <f t="shared" ref="CE300" si="2739">+CE299+CE298</f>
        <v>558053</v>
      </c>
      <c r="CF300" s="903">
        <f t="shared" ref="CF300:CH300" si="2740">+CF299+CF298</f>
        <v>573950</v>
      </c>
      <c r="CG300" s="903">
        <f t="shared" si="2740"/>
        <v>506717</v>
      </c>
      <c r="CH300" s="903">
        <f t="shared" si="2740"/>
        <v>522440</v>
      </c>
      <c r="CI300" s="903">
        <f t="shared" ref="CI300:CK300" si="2741">+CI299+CI298</f>
        <v>0</v>
      </c>
      <c r="CJ300" s="903">
        <f t="shared" si="2741"/>
        <v>0</v>
      </c>
      <c r="CK300" s="903">
        <f t="shared" si="2741"/>
        <v>0</v>
      </c>
      <c r="CL300" s="903">
        <f t="shared" ref="CL300:CP300" si="2742">+CL299+CL298</f>
        <v>0</v>
      </c>
      <c r="CM300" s="903">
        <f t="shared" si="2742"/>
        <v>0</v>
      </c>
      <c r="CN300" s="903">
        <f t="shared" si="2742"/>
        <v>0</v>
      </c>
      <c r="CO300" s="903">
        <f t="shared" si="2742"/>
        <v>0</v>
      </c>
      <c r="CP300" s="903">
        <f t="shared" si="2742"/>
        <v>0</v>
      </c>
      <c r="CQ300" s="903"/>
      <c r="CR300" s="903">
        <v>0</v>
      </c>
      <c r="CT300" s="903"/>
      <c r="CU300" s="903"/>
      <c r="CV300" s="903"/>
      <c r="CW300" s="903"/>
      <c r="CX300" s="903">
        <f t="shared" ref="CX300:DL300" si="2743">+CX299+CX298</f>
        <v>280559</v>
      </c>
      <c r="CY300" s="903">
        <f t="shared" si="2743"/>
        <v>347570</v>
      </c>
      <c r="CZ300" s="903">
        <f t="shared" si="2743"/>
        <v>417688</v>
      </c>
      <c r="DA300" s="903">
        <f t="shared" si="2743"/>
        <v>315841</v>
      </c>
      <c r="DB300" s="903">
        <f t="shared" si="2743"/>
        <v>494492</v>
      </c>
      <c r="DC300" s="903">
        <f t="shared" si="2743"/>
        <v>1315407</v>
      </c>
      <c r="DD300" s="903">
        <f t="shared" si="2743"/>
        <v>1782445</v>
      </c>
      <c r="DE300" s="903">
        <f t="shared" si="2743"/>
        <v>1955006</v>
      </c>
      <c r="DF300" s="903">
        <f t="shared" si="2743"/>
        <v>1903012</v>
      </c>
      <c r="DG300" s="903">
        <f t="shared" si="2743"/>
        <v>1875920</v>
      </c>
      <c r="DH300" s="903">
        <f t="shared" si="2743"/>
        <v>1870816</v>
      </c>
      <c r="DI300" s="903">
        <f t="shared" si="2743"/>
        <v>1923588</v>
      </c>
      <c r="DJ300" s="903">
        <f t="shared" si="2743"/>
        <v>1153663</v>
      </c>
      <c r="DK300" s="903">
        <f t="shared" si="2743"/>
        <v>2623014</v>
      </c>
      <c r="DL300" s="903">
        <f t="shared" si="2743"/>
        <v>2664479</v>
      </c>
      <c r="DM300" s="903">
        <f t="shared" ref="DM300:DR300" si="2744">+DM299+DM298</f>
        <v>1169143</v>
      </c>
      <c r="DN300" s="903">
        <f t="shared" si="2744"/>
        <v>1101875</v>
      </c>
      <c r="DO300" s="903">
        <f t="shared" si="2744"/>
        <v>522440</v>
      </c>
      <c r="DP300" s="903">
        <f t="shared" si="2744"/>
        <v>0</v>
      </c>
      <c r="DQ300" s="903">
        <f t="shared" ref="DQ300" si="2745">+DQ299+DQ298</f>
        <v>0</v>
      </c>
      <c r="DR300" s="903">
        <f t="shared" si="2744"/>
        <v>0</v>
      </c>
      <c r="DS300" s="903">
        <f t="shared" ref="DS300:DU300" si="2746">+DS299+DS298</f>
        <v>0</v>
      </c>
      <c r="DT300" s="903">
        <f t="shared" si="2746"/>
        <v>0</v>
      </c>
      <c r="DU300" s="903">
        <f t="shared" si="2746"/>
        <v>0</v>
      </c>
      <c r="DX300" s="903">
        <v>0</v>
      </c>
      <c r="DY300" s="903">
        <v>0</v>
      </c>
    </row>
    <row r="301" spans="1:129" s="904" customFormat="1">
      <c r="A301" s="939"/>
      <c r="B301" s="949" t="s">
        <v>555</v>
      </c>
      <c r="C301" s="903">
        <v>0</v>
      </c>
      <c r="D301" s="903">
        <f t="shared" ref="D301:AI301" si="2747">+(C300+D300)/2</f>
        <v>156009.5</v>
      </c>
      <c r="E301" s="903">
        <f t="shared" si="2747"/>
        <v>302772</v>
      </c>
      <c r="F301" s="903">
        <f t="shared" si="2747"/>
        <v>282085</v>
      </c>
      <c r="G301" s="903">
        <f t="shared" si="2747"/>
        <v>294008</v>
      </c>
      <c r="H301" s="903">
        <f t="shared" si="2747"/>
        <v>289993</v>
      </c>
      <c r="I301" s="903">
        <f t="shared" si="2747"/>
        <v>175472</v>
      </c>
      <c r="J301" s="903">
        <f t="shared" si="2747"/>
        <v>75755</v>
      </c>
      <c r="K301" s="903">
        <f t="shared" si="2747"/>
        <v>77490</v>
      </c>
      <c r="L301" s="903">
        <f t="shared" si="2747"/>
        <v>92853</v>
      </c>
      <c r="M301" s="903">
        <f t="shared" si="2747"/>
        <v>93986</v>
      </c>
      <c r="N301" s="903">
        <f t="shared" si="2747"/>
        <v>93715</v>
      </c>
      <c r="O301" s="903">
        <f t="shared" si="2747"/>
        <v>97124.5</v>
      </c>
      <c r="P301" s="903">
        <f t="shared" si="2747"/>
        <v>103536</v>
      </c>
      <c r="Q301" s="903">
        <f t="shared" si="2747"/>
        <v>117940.5</v>
      </c>
      <c r="R301" s="903">
        <f t="shared" si="2747"/>
        <v>205126</v>
      </c>
      <c r="S301" s="903">
        <f t="shared" si="2747"/>
        <v>195734.5</v>
      </c>
      <c r="T301" s="903">
        <f t="shared" si="2747"/>
        <v>138167.5</v>
      </c>
      <c r="U301" s="903">
        <f t="shared" si="2747"/>
        <v>162582.5</v>
      </c>
      <c r="V301" s="903">
        <f t="shared" si="2747"/>
        <v>253655</v>
      </c>
      <c r="W301" s="903">
        <f t="shared" si="2747"/>
        <v>312676</v>
      </c>
      <c r="X301" s="903">
        <f t="shared" si="2747"/>
        <v>296464</v>
      </c>
      <c r="Y301" s="903">
        <f t="shared" si="2747"/>
        <v>315478.5</v>
      </c>
      <c r="Z301" s="903">
        <f t="shared" si="2747"/>
        <v>366749.5</v>
      </c>
      <c r="AA301" s="903">
        <f t="shared" si="2747"/>
        <v>416334</v>
      </c>
      <c r="AB301" s="903">
        <f t="shared" si="2747"/>
        <v>425085.5</v>
      </c>
      <c r="AC301" s="903">
        <f t="shared" si="2747"/>
        <v>426189</v>
      </c>
      <c r="AD301" s="903">
        <f t="shared" si="2747"/>
        <v>536844.5</v>
      </c>
      <c r="AE301" s="903">
        <f t="shared" si="2747"/>
        <v>586846.5</v>
      </c>
      <c r="AF301" s="903">
        <f t="shared" si="2747"/>
        <v>517517.5</v>
      </c>
      <c r="AG301" s="903">
        <f t="shared" si="2747"/>
        <v>710431.5</v>
      </c>
      <c r="AH301" s="903">
        <f t="shared" si="2747"/>
        <v>870590.5</v>
      </c>
      <c r="AI301" s="903">
        <f t="shared" si="2747"/>
        <v>882643.5</v>
      </c>
      <c r="AJ301" s="903">
        <f t="shared" ref="AJ301:BJ301" si="2748">+(AI300+AJ300)/2</f>
        <v>946129</v>
      </c>
      <c r="AK301" s="903">
        <f t="shared" si="2748"/>
        <v>1149720.5</v>
      </c>
      <c r="AL301" s="903">
        <f t="shared" si="2748"/>
        <v>1324857.5</v>
      </c>
      <c r="AM301" s="903">
        <f t="shared" si="2748"/>
        <v>1321405.5</v>
      </c>
      <c r="AN301" s="903">
        <f t="shared" si="2748"/>
        <v>1383112</v>
      </c>
      <c r="AO301" s="903">
        <f t="shared" si="2748"/>
        <v>1656112</v>
      </c>
      <c r="AP301" s="903">
        <f t="shared" si="2748"/>
        <v>1827924.5</v>
      </c>
      <c r="AQ301" s="903">
        <f t="shared" si="2748"/>
        <v>1797147</v>
      </c>
      <c r="AR301" s="903">
        <f t="shared" si="2748"/>
        <v>1858955</v>
      </c>
      <c r="AS301" s="903">
        <f t="shared" si="2748"/>
        <v>1868674.5</v>
      </c>
      <c r="AT301" s="903">
        <f t="shared" si="2748"/>
        <v>1893147</v>
      </c>
      <c r="AU301" s="903">
        <f t="shared" si="2748"/>
        <v>1976932.5</v>
      </c>
      <c r="AV301" s="903">
        <f t="shared" si="2748"/>
        <v>2027228.5</v>
      </c>
      <c r="AW301" s="903">
        <f t="shared" si="2748"/>
        <v>1991069</v>
      </c>
      <c r="AX301" s="903">
        <f t="shared" si="2748"/>
        <v>1914776</v>
      </c>
      <c r="AY301" s="903">
        <f t="shared" si="2748"/>
        <v>1958035</v>
      </c>
      <c r="AZ301" s="931">
        <f t="shared" si="2748"/>
        <v>2047045.5</v>
      </c>
      <c r="BA301" s="903">
        <f t="shared" si="2748"/>
        <v>1985586.5</v>
      </c>
      <c r="BB301" s="903">
        <f t="shared" si="2748"/>
        <v>1883030</v>
      </c>
      <c r="BC301" s="903">
        <f t="shared" si="2748"/>
        <v>1978118.5</v>
      </c>
      <c r="BD301" s="903">
        <f t="shared" si="2748"/>
        <v>2114374</v>
      </c>
      <c r="BE301" s="903">
        <f t="shared" si="2748"/>
        <v>1960566.5</v>
      </c>
      <c r="BF301" s="903">
        <f t="shared" si="2748"/>
        <v>1821759</v>
      </c>
      <c r="BG301" s="903">
        <f t="shared" si="2748"/>
        <v>1872035</v>
      </c>
      <c r="BH301" s="903">
        <f t="shared" si="2748"/>
        <v>1899778</v>
      </c>
      <c r="BI301" s="903">
        <f t="shared" si="2748"/>
        <v>1857063</v>
      </c>
      <c r="BJ301" s="903">
        <f t="shared" si="2748"/>
        <v>1855706</v>
      </c>
      <c r="BK301" s="903">
        <f t="shared" ref="BK301:CD301" si="2749">+(BJ300+BK300)/2</f>
        <v>1471370.5</v>
      </c>
      <c r="BL301" s="903">
        <f t="shared" si="2749"/>
        <v>1106977</v>
      </c>
      <c r="BM301" s="903">
        <f t="shared" si="2749"/>
        <v>1074085.5</v>
      </c>
      <c r="BN301" s="903">
        <f t="shared" si="2749"/>
        <v>1053516.5</v>
      </c>
      <c r="BO301" s="903">
        <f t="shared" si="2749"/>
        <v>1408462</v>
      </c>
      <c r="BP301" s="903">
        <f t="shared" si="2749"/>
        <v>2130535</v>
      </c>
      <c r="BQ301" s="903">
        <f t="shared" si="2749"/>
        <v>2453270.5</v>
      </c>
      <c r="BR301" s="903">
        <f t="shared" si="2749"/>
        <v>2465873</v>
      </c>
      <c r="BS301" s="903">
        <f t="shared" si="2749"/>
        <v>2855268</v>
      </c>
      <c r="BT301" s="903">
        <f t="shared" si="2749"/>
        <v>2829061.5</v>
      </c>
      <c r="BU301" s="903">
        <f t="shared" si="2749"/>
        <v>2578337</v>
      </c>
      <c r="BV301" s="903">
        <f t="shared" si="2749"/>
        <v>2625276</v>
      </c>
      <c r="BW301" s="903">
        <f t="shared" si="2749"/>
        <v>2676082.5</v>
      </c>
      <c r="BX301" s="903">
        <f t="shared" si="2749"/>
        <v>2538078</v>
      </c>
      <c r="BY301" s="903">
        <f t="shared" si="2749"/>
        <v>2342359.5</v>
      </c>
      <c r="BZ301" s="903">
        <f t="shared" si="2749"/>
        <v>1732696</v>
      </c>
      <c r="CA301" s="903">
        <f t="shared" si="2749"/>
        <v>1149793.5</v>
      </c>
      <c r="CB301" s="903">
        <f t="shared" si="2749"/>
        <v>1148156.5</v>
      </c>
      <c r="CC301" s="903">
        <f t="shared" si="2749"/>
        <v>1148592.5</v>
      </c>
      <c r="CD301" s="903">
        <f t="shared" si="2749"/>
        <v>1116595.5</v>
      </c>
      <c r="CE301" s="903">
        <f t="shared" ref="CE301:CI301" si="2750">+(CD300+CE300)/2</f>
        <v>829964</v>
      </c>
      <c r="CF301" s="903">
        <f t="shared" si="2750"/>
        <v>566001.5</v>
      </c>
      <c r="CG301" s="903">
        <f t="shared" si="2750"/>
        <v>540333.5</v>
      </c>
      <c r="CH301" s="903">
        <f t="shared" si="2750"/>
        <v>514578.5</v>
      </c>
      <c r="CI301" s="903">
        <f t="shared" si="2750"/>
        <v>261220</v>
      </c>
      <c r="CJ301" s="903">
        <f t="shared" ref="CJ301" si="2751">+(CI300+CJ300)/2</f>
        <v>0</v>
      </c>
      <c r="CK301" s="903">
        <f t="shared" ref="CK301" si="2752">+(CJ300+CK300)/2</f>
        <v>0</v>
      </c>
      <c r="CL301" s="903">
        <f t="shared" ref="CL301" si="2753">+(CK300+CL300)/2</f>
        <v>0</v>
      </c>
      <c r="CM301" s="903">
        <f t="shared" ref="CM301" si="2754">+(CL300+CM300)/2</f>
        <v>0</v>
      </c>
      <c r="CN301" s="903">
        <f t="shared" ref="CN301" si="2755">+(CM300+CN300)/2</f>
        <v>0</v>
      </c>
      <c r="CO301" s="903">
        <f t="shared" ref="CO301" si="2756">+(CN300+CO300)/2</f>
        <v>0</v>
      </c>
      <c r="CP301" s="903">
        <f t="shared" ref="CP301" si="2757">+(CO300+CP300)/2</f>
        <v>0</v>
      </c>
      <c r="CQ301" s="903"/>
      <c r="CR301" s="903">
        <v>0</v>
      </c>
      <c r="CT301" s="903"/>
      <c r="CU301" s="903"/>
      <c r="CV301" s="903"/>
      <c r="CW301" s="903"/>
      <c r="CX301" s="903">
        <f>+(AO300+CX300)/2</f>
        <v>1076981.5</v>
      </c>
      <c r="CY301" s="903">
        <f t="shared" ref="CY301:DL301" si="2758">+(CX300+CY300)/2</f>
        <v>314064.5</v>
      </c>
      <c r="CZ301" s="903">
        <f t="shared" si="2758"/>
        <v>382629</v>
      </c>
      <c r="DA301" s="903">
        <f t="shared" si="2758"/>
        <v>366764.5</v>
      </c>
      <c r="DB301" s="903">
        <f t="shared" si="2758"/>
        <v>405166.5</v>
      </c>
      <c r="DC301" s="903">
        <f t="shared" si="2758"/>
        <v>904949.5</v>
      </c>
      <c r="DD301" s="903">
        <f t="shared" si="2758"/>
        <v>1548926</v>
      </c>
      <c r="DE301" s="903">
        <f t="shared" si="2758"/>
        <v>1868725.5</v>
      </c>
      <c r="DF301" s="903">
        <f t="shared" si="2758"/>
        <v>1929009</v>
      </c>
      <c r="DG301" s="903">
        <f t="shared" si="2758"/>
        <v>1889466</v>
      </c>
      <c r="DH301" s="903">
        <f t="shared" si="2758"/>
        <v>1873368</v>
      </c>
      <c r="DI301" s="903">
        <f t="shared" si="2758"/>
        <v>1897202</v>
      </c>
      <c r="DJ301" s="903">
        <f t="shared" si="2758"/>
        <v>1538625.5</v>
      </c>
      <c r="DK301" s="903">
        <f t="shared" si="2758"/>
        <v>1888338.5</v>
      </c>
      <c r="DL301" s="903">
        <f t="shared" si="2758"/>
        <v>2643746.5</v>
      </c>
      <c r="DM301" s="903">
        <f t="shared" ref="DM301:DR301" si="2759">+(DL300+DM300)/2</f>
        <v>1916811</v>
      </c>
      <c r="DN301" s="903">
        <f t="shared" si="2759"/>
        <v>1135509</v>
      </c>
      <c r="DO301" s="903">
        <f t="shared" si="2759"/>
        <v>812157.5</v>
      </c>
      <c r="DP301" s="903">
        <f t="shared" si="2759"/>
        <v>261220</v>
      </c>
      <c r="DQ301" s="903">
        <f t="shared" si="2759"/>
        <v>0</v>
      </c>
      <c r="DR301" s="903">
        <f t="shared" si="2759"/>
        <v>0</v>
      </c>
      <c r="DS301" s="903">
        <f t="shared" ref="DS301" si="2760">+(DR300+DS300)/2</f>
        <v>0</v>
      </c>
      <c r="DT301" s="903">
        <f t="shared" ref="DT301" si="2761">+(DS300+DT300)/2</f>
        <v>0</v>
      </c>
      <c r="DU301" s="903">
        <f t="shared" ref="DU301" si="2762">+(DT300+DU300)/2</f>
        <v>0</v>
      </c>
      <c r="DX301" s="903">
        <v>0</v>
      </c>
      <c r="DY301" s="903">
        <v>0</v>
      </c>
    </row>
    <row r="302" spans="1:129" s="904" customFormat="1">
      <c r="A302" s="592"/>
      <c r="B302" s="592"/>
      <c r="C302" s="592"/>
      <c r="D302" s="592"/>
      <c r="E302" s="592"/>
      <c r="F302" s="592"/>
      <c r="G302" s="592"/>
      <c r="H302" s="592"/>
      <c r="I302" s="592"/>
      <c r="J302" s="592"/>
      <c r="K302" s="592"/>
      <c r="L302" s="592"/>
      <c r="M302" s="592"/>
      <c r="N302" s="592"/>
      <c r="O302" s="592"/>
      <c r="P302" s="592"/>
      <c r="Q302" s="592"/>
      <c r="R302" s="592"/>
      <c r="S302" s="592"/>
      <c r="T302" s="592"/>
      <c r="U302" s="592"/>
      <c r="V302" s="592"/>
      <c r="W302" s="592"/>
      <c r="X302" s="592"/>
      <c r="Y302" s="592"/>
      <c r="Z302" s="592"/>
      <c r="AA302" s="592"/>
      <c r="AB302" s="592"/>
      <c r="AC302" s="592"/>
      <c r="AD302" s="592"/>
      <c r="AE302" s="592"/>
      <c r="AF302" s="592"/>
      <c r="AG302" s="592"/>
      <c r="AH302" s="592"/>
      <c r="AI302" s="592"/>
      <c r="AJ302" s="592"/>
      <c r="AK302" s="592"/>
      <c r="AL302" s="592"/>
      <c r="AM302" s="592"/>
      <c r="AN302" s="592"/>
      <c r="AO302" s="592"/>
      <c r="AP302" s="592"/>
      <c r="AQ302" s="592"/>
      <c r="AR302" s="592"/>
      <c r="AS302" s="592"/>
      <c r="AT302" s="592"/>
      <c r="AU302" s="592"/>
      <c r="AV302" s="592"/>
      <c r="AW302" s="592"/>
      <c r="AX302" s="592"/>
      <c r="AY302" s="592"/>
      <c r="AZ302" s="910"/>
      <c r="BA302" s="592"/>
      <c r="BB302" s="592"/>
      <c r="BC302" s="592"/>
      <c r="BD302" s="592"/>
      <c r="BE302" s="592"/>
      <c r="BF302" s="592"/>
      <c r="BG302" s="592"/>
      <c r="BH302" s="592"/>
      <c r="BI302" s="592"/>
      <c r="BJ302" s="592"/>
      <c r="BK302" s="592"/>
      <c r="BL302" s="592"/>
      <c r="BM302" s="592"/>
      <c r="BN302" s="592"/>
      <c r="BO302" s="592"/>
      <c r="BP302" s="592"/>
      <c r="BQ302" s="592"/>
      <c r="BR302" s="592"/>
      <c r="BS302" s="592"/>
      <c r="BT302" s="592"/>
      <c r="BU302" s="592"/>
      <c r="BV302" s="592"/>
      <c r="BW302" s="592"/>
      <c r="BX302" s="592"/>
      <c r="BY302" s="592"/>
      <c r="BZ302" s="592"/>
      <c r="CA302" s="592"/>
      <c r="CB302" s="592"/>
      <c r="CC302" s="592"/>
      <c r="CD302" s="592"/>
      <c r="CE302" s="592"/>
      <c r="CF302" s="592"/>
      <c r="CG302" s="592"/>
      <c r="CH302" s="592"/>
      <c r="CI302" s="592"/>
      <c r="CJ302" s="592"/>
      <c r="CK302" s="592"/>
      <c r="CL302" s="592"/>
      <c r="CM302" s="592"/>
      <c r="CN302" s="592"/>
      <c r="CO302" s="592"/>
      <c r="CP302" s="592"/>
      <c r="CQ302" s="592"/>
      <c r="CR302" s="592"/>
      <c r="CT302" s="592"/>
      <c r="CU302" s="592"/>
      <c r="CV302" s="592"/>
      <c r="CW302" s="592"/>
      <c r="CX302" s="592"/>
      <c r="CY302" s="592"/>
      <c r="CZ302" s="592"/>
      <c r="DA302" s="592"/>
      <c r="DB302" s="592"/>
      <c r="DC302" s="592"/>
      <c r="DD302" s="592"/>
      <c r="DE302" s="592"/>
      <c r="DF302" s="592"/>
      <c r="DG302" s="592"/>
      <c r="DH302" s="592"/>
      <c r="DI302" s="592"/>
      <c r="DJ302" s="592"/>
      <c r="DK302" s="592"/>
      <c r="DL302" s="592"/>
      <c r="DM302" s="592"/>
      <c r="DN302" s="592"/>
      <c r="DO302" s="592"/>
      <c r="DP302" s="592"/>
      <c r="DQ302" s="592"/>
      <c r="DR302" s="592"/>
      <c r="DS302" s="592"/>
      <c r="DT302" s="592"/>
      <c r="DU302" s="592"/>
      <c r="DX302" s="592"/>
      <c r="DY302" s="592"/>
    </row>
    <row r="303" spans="1:129" s="904" customFormat="1">
      <c r="A303" s="592"/>
      <c r="B303" s="949"/>
      <c r="C303" s="592"/>
      <c r="D303" s="592"/>
      <c r="E303" s="592"/>
      <c r="F303" s="592"/>
      <c r="G303" s="592"/>
      <c r="H303" s="592"/>
      <c r="I303" s="592"/>
      <c r="J303" s="592"/>
      <c r="K303" s="592"/>
      <c r="L303" s="592"/>
      <c r="M303" s="592"/>
      <c r="N303" s="592"/>
      <c r="O303" s="592"/>
      <c r="P303" s="592"/>
      <c r="Q303" s="592"/>
      <c r="R303" s="592"/>
      <c r="S303" s="592"/>
      <c r="T303" s="592"/>
      <c r="U303" s="592"/>
      <c r="V303" s="592"/>
      <c r="W303" s="592"/>
      <c r="X303" s="592"/>
      <c r="Y303" s="592"/>
      <c r="Z303" s="592"/>
      <c r="AA303" s="592"/>
      <c r="AB303" s="592"/>
      <c r="AC303" s="592"/>
      <c r="AD303" s="592"/>
      <c r="AE303" s="592"/>
      <c r="AF303" s="592"/>
      <c r="AG303" s="592"/>
      <c r="AH303" s="592"/>
      <c r="AI303" s="592"/>
      <c r="AJ303" s="592"/>
      <c r="AK303" s="592"/>
      <c r="AL303" s="592"/>
      <c r="AM303" s="592"/>
      <c r="AN303" s="592"/>
      <c r="AO303" s="592"/>
      <c r="AP303" s="592"/>
      <c r="AQ303" s="592"/>
      <c r="AR303" s="592"/>
      <c r="AS303" s="592"/>
      <c r="AT303" s="592"/>
      <c r="AU303" s="592"/>
      <c r="AV303" s="592"/>
      <c r="AW303" s="592"/>
      <c r="AX303" s="592"/>
      <c r="AY303" s="592"/>
      <c r="AZ303" s="910"/>
      <c r="BA303" s="592"/>
      <c r="BB303" s="592"/>
      <c r="BC303" s="592"/>
      <c r="BD303" s="592"/>
      <c r="BE303" s="592"/>
      <c r="BF303" s="592"/>
      <c r="BG303" s="592"/>
      <c r="BH303" s="592"/>
      <c r="BI303" s="592"/>
      <c r="BJ303" s="592"/>
      <c r="BK303" s="592"/>
      <c r="BL303" s="592"/>
      <c r="BM303" s="592"/>
      <c r="BN303" s="592"/>
      <c r="BO303" s="592"/>
      <c r="BP303" s="592"/>
      <c r="BQ303" s="592"/>
      <c r="BR303" s="592"/>
      <c r="BS303" s="592"/>
      <c r="BT303" s="592"/>
      <c r="BU303" s="592"/>
      <c r="BV303" s="592"/>
      <c r="BW303" s="592"/>
      <c r="BX303" s="592"/>
      <c r="BY303" s="592"/>
      <c r="BZ303" s="592"/>
      <c r="CA303" s="592"/>
      <c r="CB303" s="592"/>
      <c r="CC303" s="592"/>
      <c r="CD303" s="592"/>
      <c r="CE303" s="592"/>
      <c r="CF303" s="592"/>
      <c r="CG303" s="592"/>
      <c r="CH303" s="592"/>
      <c r="CI303" s="592"/>
      <c r="CJ303" s="592"/>
      <c r="CK303" s="592"/>
      <c r="CL303" s="592"/>
      <c r="CM303" s="592"/>
      <c r="CN303" s="592"/>
      <c r="CO303" s="592"/>
      <c r="CP303" s="592"/>
      <c r="CQ303" s="592"/>
      <c r="CR303" s="592"/>
      <c r="CT303" s="592"/>
      <c r="CU303" s="592"/>
      <c r="CV303" s="592"/>
      <c r="CW303" s="592"/>
      <c r="CX303" s="592"/>
      <c r="CY303" s="592"/>
      <c r="CZ303" s="592"/>
      <c r="DA303" s="592"/>
      <c r="DB303" s="592"/>
      <c r="DC303" s="592"/>
      <c r="DD303" s="592"/>
      <c r="DE303" s="592"/>
      <c r="DF303" s="592"/>
      <c r="DG303" s="592"/>
      <c r="DH303" s="592"/>
      <c r="DI303" s="592"/>
      <c r="DJ303" s="592"/>
      <c r="DK303" s="592"/>
      <c r="DL303" s="592"/>
      <c r="DM303" s="592"/>
      <c r="DN303" s="592"/>
      <c r="DO303" s="592"/>
      <c r="DP303" s="592"/>
      <c r="DQ303" s="592"/>
      <c r="DR303" s="592"/>
      <c r="DS303" s="592"/>
      <c r="DT303" s="592"/>
      <c r="DU303" s="592"/>
      <c r="DX303" s="592"/>
      <c r="DY303" s="592"/>
    </row>
    <row r="304" spans="1:129" s="904" customFormat="1">
      <c r="A304" s="592"/>
      <c r="B304" s="949"/>
      <c r="C304" s="592"/>
      <c r="D304" s="592"/>
      <c r="E304" s="592"/>
      <c r="F304" s="592"/>
      <c r="G304" s="592"/>
      <c r="H304" s="592"/>
      <c r="I304" s="592"/>
      <c r="J304" s="592"/>
      <c r="K304" s="592"/>
      <c r="L304" s="592"/>
      <c r="M304" s="592"/>
      <c r="N304" s="592"/>
      <c r="O304" s="592"/>
      <c r="P304" s="957"/>
      <c r="Q304" s="957"/>
      <c r="R304" s="957"/>
      <c r="S304" s="957"/>
      <c r="T304" s="957"/>
      <c r="U304" s="957"/>
      <c r="V304" s="957"/>
      <c r="W304" s="957"/>
      <c r="X304" s="957"/>
      <c r="Y304" s="957"/>
      <c r="Z304" s="957"/>
      <c r="AA304" s="957"/>
      <c r="AB304" s="957"/>
      <c r="AC304" s="957"/>
      <c r="AD304" s="957"/>
      <c r="AE304" s="957"/>
      <c r="AF304" s="957"/>
      <c r="AG304" s="957"/>
      <c r="AH304" s="957"/>
      <c r="AI304" s="957"/>
      <c r="AJ304" s="957"/>
      <c r="AK304" s="957"/>
      <c r="AL304" s="957"/>
      <c r="AM304" s="957"/>
      <c r="AN304" s="957"/>
      <c r="AO304" s="957"/>
      <c r="AP304" s="957"/>
      <c r="AQ304" s="957"/>
      <c r="AR304" s="957"/>
      <c r="AS304" s="957"/>
      <c r="AT304" s="957"/>
      <c r="AU304" s="957"/>
      <c r="AV304" s="957"/>
      <c r="AW304" s="957"/>
      <c r="AX304" s="957"/>
      <c r="AY304" s="957"/>
      <c r="AZ304" s="1014"/>
      <c r="BA304" s="957"/>
      <c r="BB304" s="957"/>
      <c r="BC304" s="957"/>
      <c r="BD304" s="957"/>
      <c r="BE304" s="957"/>
      <c r="BF304" s="957"/>
      <c r="BG304" s="957"/>
      <c r="BH304" s="957"/>
      <c r="BI304" s="957"/>
      <c r="BJ304" s="957"/>
      <c r="BK304" s="957"/>
      <c r="BL304" s="957"/>
      <c r="BM304" s="957"/>
      <c r="BN304" s="957"/>
      <c r="BO304" s="957"/>
      <c r="BP304" s="957"/>
      <c r="BQ304" s="957"/>
      <c r="BR304" s="957"/>
      <c r="BS304" s="957"/>
      <c r="BT304" s="957"/>
      <c r="BU304" s="957"/>
      <c r="BV304" s="957"/>
      <c r="BW304" s="957"/>
      <c r="BX304" s="957"/>
      <c r="BY304" s="957"/>
      <c r="BZ304" s="957"/>
      <c r="CA304" s="957"/>
      <c r="CB304" s="957"/>
      <c r="CC304" s="957"/>
      <c r="CD304" s="957"/>
      <c r="CE304" s="957"/>
      <c r="CF304" s="957"/>
      <c r="CG304" s="957"/>
      <c r="CH304" s="957"/>
      <c r="CI304" s="957"/>
      <c r="CJ304" s="957"/>
      <c r="CK304" s="957"/>
      <c r="CL304" s="957"/>
      <c r="CM304" s="957"/>
      <c r="CN304" s="957"/>
      <c r="CO304" s="957"/>
      <c r="CP304" s="957"/>
      <c r="CQ304" s="957"/>
      <c r="CR304" s="957"/>
      <c r="CT304" s="957"/>
      <c r="CU304" s="957"/>
      <c r="CV304" s="957"/>
      <c r="CW304" s="957"/>
      <c r="CX304" s="957"/>
      <c r="CY304" s="957"/>
      <c r="CZ304" s="957"/>
      <c r="DA304" s="957"/>
      <c r="DB304" s="957"/>
      <c r="DC304" s="957"/>
      <c r="DD304" s="957"/>
      <c r="DE304" s="957"/>
      <c r="DF304" s="957"/>
      <c r="DG304" s="957"/>
      <c r="DH304" s="957"/>
      <c r="DI304" s="957"/>
      <c r="DJ304" s="957"/>
      <c r="DK304" s="957"/>
      <c r="DL304" s="957"/>
      <c r="DM304" s="957"/>
      <c r="DN304" s="957"/>
      <c r="DO304" s="957"/>
      <c r="DP304" s="957"/>
      <c r="DQ304" s="957"/>
      <c r="DR304" s="957"/>
      <c r="DS304" s="957"/>
      <c r="DT304" s="957"/>
      <c r="DU304" s="957"/>
      <c r="DX304" s="957"/>
      <c r="DY304" s="957"/>
    </row>
    <row r="305" spans="1:129" s="904" customFormat="1">
      <c r="A305" s="592"/>
      <c r="B305" s="949"/>
      <c r="C305" s="592"/>
      <c r="D305" s="592"/>
      <c r="E305" s="592"/>
      <c r="F305" s="592"/>
      <c r="G305" s="592"/>
      <c r="H305" s="592"/>
      <c r="I305" s="592"/>
      <c r="J305" s="592"/>
      <c r="K305" s="592"/>
      <c r="L305" s="592"/>
      <c r="M305" s="592"/>
      <c r="N305" s="592"/>
      <c r="O305" s="592"/>
      <c r="P305" s="592"/>
      <c r="Q305" s="592"/>
      <c r="R305" s="592"/>
      <c r="S305" s="592"/>
      <c r="T305" s="592"/>
      <c r="U305" s="592"/>
      <c r="V305" s="592"/>
      <c r="W305" s="592"/>
      <c r="X305" s="592"/>
      <c r="Y305" s="592"/>
      <c r="Z305" s="592"/>
      <c r="AA305" s="592"/>
      <c r="AB305" s="592"/>
      <c r="AC305" s="592"/>
      <c r="AD305" s="592"/>
      <c r="AE305" s="592"/>
      <c r="AF305" s="592"/>
      <c r="AG305" s="592"/>
      <c r="AH305" s="592"/>
      <c r="AI305" s="592"/>
      <c r="AJ305" s="592"/>
      <c r="AK305" s="592"/>
      <c r="AL305" s="592"/>
      <c r="AM305" s="592"/>
      <c r="AN305" s="592"/>
      <c r="AO305" s="592"/>
      <c r="AP305" s="592"/>
      <c r="AQ305" s="592"/>
      <c r="AR305" s="592"/>
      <c r="AS305" s="592"/>
      <c r="AT305" s="592"/>
      <c r="AU305" s="592"/>
      <c r="AV305" s="592"/>
      <c r="AW305" s="592"/>
      <c r="AX305" s="592"/>
      <c r="AY305" s="592"/>
      <c r="AZ305" s="910"/>
      <c r="BA305" s="592"/>
      <c r="BB305" s="592"/>
      <c r="BC305" s="592"/>
      <c r="BD305" s="592"/>
      <c r="BE305" s="592"/>
      <c r="BF305" s="592"/>
      <c r="BG305" s="592"/>
      <c r="BH305" s="932"/>
      <c r="BI305" s="592"/>
      <c r="BJ305" s="592"/>
      <c r="BK305" s="592"/>
      <c r="BL305" s="592"/>
      <c r="BM305" s="592"/>
      <c r="BN305" s="592"/>
      <c r="BO305" s="592"/>
      <c r="BP305" s="592"/>
      <c r="BQ305" s="592"/>
      <c r="BR305" s="592"/>
      <c r="BS305" s="592"/>
      <c r="BT305" s="592"/>
      <c r="BU305" s="592"/>
      <c r="BV305" s="592"/>
      <c r="BW305" s="592"/>
      <c r="BX305" s="592"/>
      <c r="BY305" s="592"/>
      <c r="BZ305" s="592"/>
      <c r="CA305" s="592"/>
      <c r="CB305" s="592"/>
      <c r="CC305" s="592"/>
      <c r="CD305" s="592"/>
      <c r="CE305" s="592"/>
      <c r="CF305" s="592"/>
      <c r="CG305" s="592"/>
      <c r="CH305" s="592"/>
      <c r="CI305" s="592"/>
      <c r="CJ305" s="592"/>
      <c r="CK305" s="592"/>
      <c r="CL305" s="592"/>
      <c r="CM305" s="592"/>
      <c r="CN305" s="592"/>
      <c r="CO305" s="592"/>
      <c r="CP305" s="592"/>
      <c r="CQ305" s="592"/>
      <c r="CR305" s="592"/>
      <c r="CT305" s="592"/>
      <c r="CU305" s="592"/>
      <c r="CV305" s="592"/>
      <c r="CW305" s="592"/>
      <c r="CX305" s="592"/>
      <c r="CY305" s="592"/>
      <c r="CZ305" s="592"/>
      <c r="DA305" s="592"/>
      <c r="DB305" s="592"/>
      <c r="DC305" s="592"/>
      <c r="DD305" s="592"/>
      <c r="DE305" s="592"/>
      <c r="DF305" s="592"/>
      <c r="DG305" s="592"/>
      <c r="DH305" s="592"/>
      <c r="DI305" s="592"/>
      <c r="DJ305" s="592"/>
      <c r="DK305" s="592"/>
      <c r="DL305" s="592"/>
      <c r="DM305" s="592"/>
      <c r="DN305" s="592"/>
      <c r="DO305" s="592"/>
      <c r="DP305" s="592"/>
      <c r="DQ305" s="592"/>
      <c r="DR305" s="592"/>
      <c r="DS305" s="592"/>
      <c r="DT305" s="592"/>
      <c r="DU305" s="592"/>
      <c r="DX305" s="592"/>
      <c r="DY305" s="592"/>
    </row>
    <row r="306" spans="1:129" s="904" customFormat="1">
      <c r="A306" s="592"/>
      <c r="B306" s="592"/>
      <c r="C306" s="592"/>
      <c r="D306" s="592"/>
      <c r="E306" s="592"/>
      <c r="F306" s="592"/>
      <c r="G306" s="592"/>
      <c r="H306" s="592"/>
      <c r="I306" s="592"/>
      <c r="J306" s="592"/>
      <c r="K306" s="592"/>
      <c r="L306" s="592"/>
      <c r="M306" s="592"/>
      <c r="N306" s="592"/>
      <c r="O306" s="592"/>
      <c r="P306" s="592"/>
      <c r="Q306" s="592"/>
      <c r="R306" s="592"/>
      <c r="S306" s="592"/>
      <c r="T306" s="592"/>
      <c r="U306" s="592"/>
      <c r="V306" s="592"/>
      <c r="W306" s="592"/>
      <c r="X306" s="592"/>
      <c r="Y306" s="592"/>
      <c r="Z306" s="592"/>
      <c r="AA306" s="592"/>
      <c r="AB306" s="592"/>
      <c r="AC306" s="592"/>
      <c r="AD306" s="592"/>
      <c r="AE306" s="592"/>
      <c r="AF306" s="592"/>
      <c r="AG306" s="592"/>
      <c r="AH306" s="592"/>
      <c r="AI306" s="592"/>
      <c r="AJ306" s="592"/>
      <c r="AK306" s="592"/>
      <c r="AL306" s="592"/>
      <c r="AM306" s="592"/>
      <c r="AN306" s="941"/>
      <c r="AO306" s="592"/>
      <c r="AP306" s="592"/>
      <c r="AQ306" s="592"/>
      <c r="AR306" s="592"/>
      <c r="AS306" s="592"/>
      <c r="AT306" s="592"/>
      <c r="AU306" s="592"/>
      <c r="AV306" s="592"/>
      <c r="AW306" s="592"/>
      <c r="AX306" s="592"/>
      <c r="AY306" s="592"/>
      <c r="AZ306" s="910"/>
      <c r="BA306" s="592"/>
      <c r="BB306" s="592"/>
      <c r="BC306" s="592"/>
      <c r="BD306" s="592"/>
      <c r="BE306" s="592"/>
      <c r="BF306" s="592"/>
      <c r="BG306" s="592"/>
      <c r="BH306" s="592"/>
      <c r="BI306" s="592"/>
      <c r="BJ306" s="592"/>
      <c r="BK306" s="592"/>
      <c r="BL306" s="592"/>
      <c r="BM306" s="592"/>
      <c r="BN306" s="592"/>
      <c r="BO306" s="592"/>
      <c r="BP306" s="592"/>
      <c r="BQ306" s="592"/>
      <c r="BR306" s="592"/>
      <c r="BS306" s="592"/>
      <c r="BT306" s="592"/>
      <c r="BU306" s="592"/>
      <c r="BV306" s="592"/>
      <c r="BW306" s="592"/>
      <c r="BX306" s="592"/>
      <c r="BY306" s="592"/>
      <c r="BZ306" s="592"/>
      <c r="CA306" s="592"/>
      <c r="CB306" s="592"/>
      <c r="CC306" s="592"/>
      <c r="CD306" s="592"/>
      <c r="CE306" s="592"/>
      <c r="CF306" s="592"/>
      <c r="CG306" s="592"/>
      <c r="CH306" s="592"/>
      <c r="CI306" s="592"/>
      <c r="CJ306" s="592"/>
      <c r="CK306" s="592"/>
      <c r="CL306" s="592"/>
      <c r="CM306" s="592"/>
      <c r="CN306" s="592"/>
      <c r="CO306" s="592"/>
      <c r="CP306" s="592"/>
      <c r="CQ306" s="592"/>
      <c r="CR306" s="592"/>
      <c r="CT306" s="592"/>
      <c r="CU306" s="592"/>
      <c r="CV306" s="592"/>
      <c r="CW306" s="592"/>
      <c r="CX306" s="592"/>
      <c r="CY306" s="592"/>
      <c r="CZ306" s="592"/>
      <c r="DA306" s="592"/>
      <c r="DB306" s="592"/>
      <c r="DC306" s="592"/>
      <c r="DD306" s="592"/>
      <c r="DE306" s="592"/>
      <c r="DF306" s="592"/>
      <c r="DG306" s="592"/>
      <c r="DH306" s="592"/>
      <c r="DI306" s="592"/>
      <c r="DJ306" s="592"/>
      <c r="DK306" s="592"/>
      <c r="DL306" s="592"/>
      <c r="DM306" s="592"/>
      <c r="DN306" s="592"/>
      <c r="DO306" s="592"/>
      <c r="DP306" s="592"/>
      <c r="DQ306" s="592"/>
      <c r="DR306" s="592"/>
      <c r="DS306" s="592"/>
      <c r="DT306" s="592"/>
      <c r="DU306" s="592"/>
      <c r="DX306" s="592"/>
      <c r="DY306" s="592"/>
    </row>
    <row r="307" spans="1:129" s="904" customFormat="1">
      <c r="A307" s="943"/>
      <c r="B307" s="944" t="s">
        <v>556</v>
      </c>
      <c r="C307" s="950">
        <f t="shared" ref="C307:U307" si="2763">C298</f>
        <v>0</v>
      </c>
      <c r="D307" s="950">
        <f t="shared" si="2763"/>
        <v>63419</v>
      </c>
      <c r="E307" s="950">
        <f t="shared" si="2763"/>
        <v>64837</v>
      </c>
      <c r="F307" s="950">
        <f t="shared" si="2763"/>
        <v>58293</v>
      </c>
      <c r="G307" s="950">
        <f t="shared" si="2763"/>
        <v>104075</v>
      </c>
      <c r="H307" s="950">
        <f t="shared" si="2763"/>
        <v>74583</v>
      </c>
      <c r="I307" s="950">
        <f t="shared" si="2763"/>
        <v>88329</v>
      </c>
      <c r="J307" s="950">
        <f t="shared" si="2763"/>
        <v>63181</v>
      </c>
      <c r="K307" s="950">
        <f t="shared" si="2763"/>
        <v>91799</v>
      </c>
      <c r="L307" s="950">
        <f t="shared" si="2763"/>
        <v>93907</v>
      </c>
      <c r="M307" s="950">
        <f t="shared" si="2763"/>
        <v>94065</v>
      </c>
      <c r="N307" s="950">
        <f t="shared" si="2763"/>
        <v>93365</v>
      </c>
      <c r="O307" s="950">
        <f t="shared" si="2763"/>
        <v>100884</v>
      </c>
      <c r="P307" s="950">
        <f t="shared" si="2763"/>
        <v>106188</v>
      </c>
      <c r="Q307" s="950">
        <f t="shared" si="2763"/>
        <v>129693</v>
      </c>
      <c r="R307" s="950">
        <f t="shared" si="2763"/>
        <v>280559</v>
      </c>
      <c r="S307" s="950">
        <f t="shared" si="2763"/>
        <v>110910</v>
      </c>
      <c r="T307" s="950">
        <f t="shared" si="2763"/>
        <v>135685</v>
      </c>
      <c r="U307" s="950">
        <f t="shared" si="2763"/>
        <v>130000</v>
      </c>
      <c r="V307" s="950">
        <f t="shared" ref="V307:AC307" si="2764">V308*V298</f>
        <v>317909</v>
      </c>
      <c r="W307" s="950">
        <f t="shared" si="2764"/>
        <v>249604</v>
      </c>
      <c r="X307" s="950">
        <f t="shared" si="2764"/>
        <v>275466</v>
      </c>
      <c r="Y307" s="950">
        <f t="shared" si="2764"/>
        <v>278335</v>
      </c>
      <c r="Z307" s="950">
        <f t="shared" si="2764"/>
        <v>382417</v>
      </c>
      <c r="AA307" s="950">
        <f t="shared" si="2764"/>
        <v>381913</v>
      </c>
      <c r="AB307" s="950">
        <f t="shared" si="2764"/>
        <v>404329</v>
      </c>
      <c r="AC307" s="950">
        <f t="shared" si="2764"/>
        <v>388529</v>
      </c>
      <c r="AD307" s="943">
        <f t="shared" ref="AD307:AL307" si="2765">AD308*AD300</f>
        <v>27638.383842447362</v>
      </c>
      <c r="AE307" s="943">
        <f t="shared" si="2765"/>
        <v>21773.465089000783</v>
      </c>
      <c r="AF307" s="943">
        <f t="shared" si="2765"/>
        <v>21800.956040512156</v>
      </c>
      <c r="AG307" s="943">
        <f t="shared" si="2765"/>
        <v>38016.617982920041</v>
      </c>
      <c r="AH307" s="943">
        <f t="shared" si="2765"/>
        <v>35286.172895365686</v>
      </c>
      <c r="AI307" s="943">
        <f t="shared" si="2765"/>
        <v>39031.467718192798</v>
      </c>
      <c r="AJ307" s="943">
        <f t="shared" si="2765"/>
        <v>40631.584234340109</v>
      </c>
      <c r="AK307" s="943">
        <f t="shared" si="2765"/>
        <v>56173.654715519915</v>
      </c>
      <c r="AL307" s="943">
        <f t="shared" si="2765"/>
        <v>55377.932702477912</v>
      </c>
      <c r="AM307" s="946">
        <v>55883</v>
      </c>
      <c r="AN307" s="946">
        <v>69851</v>
      </c>
      <c r="AO307" s="946">
        <v>70807</v>
      </c>
      <c r="AP307" s="946">
        <v>51807</v>
      </c>
      <c r="AQ307" s="943">
        <v>9130</v>
      </c>
      <c r="AR307" s="943">
        <v>77381</v>
      </c>
      <c r="AS307" s="943">
        <v>201785</v>
      </c>
      <c r="AT307" s="943">
        <f>+Divida!D12</f>
        <v>236924</v>
      </c>
      <c r="AU307" s="943">
        <f>+Divida!E12</f>
        <v>253985</v>
      </c>
      <c r="AV307" s="943">
        <f>+Divida!F12</f>
        <v>359972.23800000001</v>
      </c>
      <c r="AW307" s="943">
        <f>+Divida!G12</f>
        <v>390728</v>
      </c>
      <c r="AX307" s="943">
        <f>+Divida!H12</f>
        <v>382022</v>
      </c>
      <c r="AY307" s="943">
        <f>+Divida!I12</f>
        <v>410616</v>
      </c>
      <c r="AZ307" s="943">
        <f>+Divida!J12</f>
        <v>515140</v>
      </c>
      <c r="BA307" s="943">
        <f>+Divida!K12</f>
        <v>198626</v>
      </c>
      <c r="BB307" s="943">
        <f>+Divida!L12</f>
        <v>331543</v>
      </c>
      <c r="BC307" s="943">
        <f>+Divida!M12</f>
        <v>573399</v>
      </c>
      <c r="BD307" s="943">
        <f>+Divida!N12</f>
        <v>650143.30499999993</v>
      </c>
      <c r="BE307" s="943">
        <f>+Divida!O12</f>
        <v>385235</v>
      </c>
      <c r="BF307" s="943">
        <f>+Divida!P12</f>
        <v>379553</v>
      </c>
      <c r="BG307" s="943">
        <f>+Divida!Q12</f>
        <v>386029</v>
      </c>
      <c r="BH307" s="943">
        <f>+Divida!R12</f>
        <v>519383</v>
      </c>
      <c r="BI307" s="943">
        <f>+Divida!S12</f>
        <v>665877</v>
      </c>
      <c r="BJ307" s="943">
        <f>+Divida!T12</f>
        <v>710804</v>
      </c>
      <c r="BK307" s="943">
        <f>+Divida!U12</f>
        <v>957726</v>
      </c>
      <c r="BL307" s="943">
        <f>+Divida!V12</f>
        <v>748597</v>
      </c>
      <c r="BM307" s="943">
        <f>+Divida!W12</f>
        <v>508147</v>
      </c>
      <c r="BN307" s="943">
        <f>+Divida!X12</f>
        <v>709022</v>
      </c>
      <c r="BO307" s="943">
        <f>+Divida!Y12</f>
        <v>1257286</v>
      </c>
      <c r="BP307" s="943">
        <f>+Divida!Z12</f>
        <v>1698108</v>
      </c>
      <c r="BQ307" s="943">
        <f>+Divida!AA12</f>
        <v>1259027</v>
      </c>
      <c r="BR307" s="943">
        <f>+Divida!AB12</f>
        <v>1418471</v>
      </c>
      <c r="BS307" s="943">
        <f>+Divida!AC12</f>
        <v>801744</v>
      </c>
      <c r="BT307" s="943">
        <f>+Divida!AD12</f>
        <v>323791</v>
      </c>
      <c r="BU307" s="943">
        <f>+Divida!AE12</f>
        <v>488284</v>
      </c>
      <c r="BV307" s="943">
        <f>+Divida!AF12</f>
        <v>1610452</v>
      </c>
      <c r="BW307" s="943">
        <f>+Divida!AG12</f>
        <v>1632135</v>
      </c>
      <c r="BX307" s="943">
        <f>+Divida!AH12</f>
        <v>1335093</v>
      </c>
      <c r="BY307" s="943">
        <f>+Divida!AI12</f>
        <v>1195202</v>
      </c>
      <c r="BZ307" s="943">
        <f>+Divida!AJ12</f>
        <v>122824</v>
      </c>
      <c r="CA307" s="943">
        <f>+Divida!AK12</f>
        <v>585450</v>
      </c>
      <c r="CB307" s="943">
        <f>+Divida!AL12</f>
        <v>619302</v>
      </c>
      <c r="CC307" s="943">
        <f>+Divida!AM12</f>
        <v>631512</v>
      </c>
      <c r="CD307" s="943">
        <f>+Divida!AN12</f>
        <v>601954</v>
      </c>
      <c r="CE307" s="943">
        <f t="shared" ref="CE307:CI307" si="2766">+CD307</f>
        <v>601954</v>
      </c>
      <c r="CF307" s="943">
        <f t="shared" si="2766"/>
        <v>601954</v>
      </c>
      <c r="CG307" s="943">
        <f t="shared" si="2766"/>
        <v>601954</v>
      </c>
      <c r="CH307" s="943">
        <f t="shared" si="2766"/>
        <v>601954</v>
      </c>
      <c r="CI307" s="943">
        <f t="shared" si="2766"/>
        <v>601954</v>
      </c>
      <c r="CJ307" s="943">
        <f t="shared" ref="CJ307" si="2767">+CI307</f>
        <v>601954</v>
      </c>
      <c r="CK307" s="943">
        <f t="shared" ref="CK307" si="2768">+CJ307</f>
        <v>601954</v>
      </c>
      <c r="CL307" s="1016">
        <f t="shared" ref="CL307" si="2769">+CK307</f>
        <v>601954</v>
      </c>
      <c r="CM307" s="1016">
        <f t="shared" ref="CM307" si="2770">+CL307</f>
        <v>601954</v>
      </c>
      <c r="CN307" s="1016">
        <f t="shared" ref="CN307" si="2771">+CM307</f>
        <v>601954</v>
      </c>
      <c r="CO307" s="1016">
        <f t="shared" ref="CO307" si="2772">+CN307</f>
        <v>601954</v>
      </c>
      <c r="CP307" s="1016">
        <f t="shared" ref="CP307" si="2773">+CO307</f>
        <v>601954</v>
      </c>
      <c r="CQ307" s="1016"/>
      <c r="CR307" s="1016">
        <v>601954</v>
      </c>
      <c r="CT307" s="1017"/>
      <c r="CU307" s="1017"/>
      <c r="CV307" s="1017"/>
      <c r="CW307" s="1017"/>
      <c r="CX307" s="943">
        <f>+R307</f>
        <v>280559</v>
      </c>
      <c r="CY307" s="943">
        <f>+V307</f>
        <v>317909</v>
      </c>
      <c r="CZ307" s="943">
        <f>+Z307</f>
        <v>382417</v>
      </c>
      <c r="DA307" s="943">
        <f>+AD307</f>
        <v>27638.383842447362</v>
      </c>
      <c r="DB307" s="943">
        <f>+AH307</f>
        <v>35286.172895365686</v>
      </c>
      <c r="DC307" s="943">
        <f>+AL307</f>
        <v>55377.932702477912</v>
      </c>
      <c r="DD307" s="943">
        <f>+AP307</f>
        <v>51807</v>
      </c>
      <c r="DE307" s="943">
        <f>AT307</f>
        <v>236924</v>
      </c>
      <c r="DF307" s="943">
        <f>+AX307</f>
        <v>382022</v>
      </c>
      <c r="DG307" s="943">
        <f>+BB307</f>
        <v>331543</v>
      </c>
      <c r="DH307" s="943">
        <f>+BF307</f>
        <v>379553</v>
      </c>
      <c r="DI307" s="943">
        <f>+BJ307</f>
        <v>710804</v>
      </c>
      <c r="DJ307" s="943">
        <f>+BN307</f>
        <v>709022</v>
      </c>
      <c r="DK307" s="943">
        <f>+BS307</f>
        <v>801744</v>
      </c>
      <c r="DL307" s="943">
        <f t="shared" ref="DL307:DQ307" si="2774">+BV307</f>
        <v>1610452</v>
      </c>
      <c r="DM307" s="943">
        <f t="shared" si="2774"/>
        <v>1632135</v>
      </c>
      <c r="DN307" s="943">
        <f t="shared" si="2774"/>
        <v>1335093</v>
      </c>
      <c r="DO307" s="943">
        <f t="shared" si="2774"/>
        <v>1195202</v>
      </c>
      <c r="DP307" s="943">
        <f t="shared" si="2774"/>
        <v>122824</v>
      </c>
      <c r="DQ307" s="943">
        <f t="shared" si="2774"/>
        <v>585450</v>
      </c>
      <c r="DR307" s="1016">
        <f>+DQ307</f>
        <v>585450</v>
      </c>
      <c r="DS307" s="1016">
        <f t="shared" ref="DS307:DU307" si="2775">+DR307</f>
        <v>585450</v>
      </c>
      <c r="DT307" s="1016">
        <f t="shared" si="2775"/>
        <v>585450</v>
      </c>
      <c r="DU307" s="1016">
        <f t="shared" si="2775"/>
        <v>585450</v>
      </c>
      <c r="DX307" s="1016">
        <v>122824</v>
      </c>
      <c r="DY307" s="1016">
        <v>122824</v>
      </c>
    </row>
    <row r="308" spans="1:129" s="904" customFormat="1">
      <c r="A308" s="939"/>
      <c r="B308" s="949" t="s">
        <v>557</v>
      </c>
      <c r="C308" s="919"/>
      <c r="D308" s="919">
        <f t="shared" ref="D308:U308" si="2776">+D307/D298</f>
        <v>1</v>
      </c>
      <c r="E308" s="919">
        <f t="shared" si="2776"/>
        <v>1</v>
      </c>
      <c r="F308" s="919">
        <f t="shared" si="2776"/>
        <v>1</v>
      </c>
      <c r="G308" s="919">
        <f t="shared" si="2776"/>
        <v>1</v>
      </c>
      <c r="H308" s="919">
        <f t="shared" si="2776"/>
        <v>1</v>
      </c>
      <c r="I308" s="919">
        <f t="shared" si="2776"/>
        <v>1</v>
      </c>
      <c r="J308" s="919">
        <f t="shared" si="2776"/>
        <v>1</v>
      </c>
      <c r="K308" s="919">
        <f t="shared" si="2776"/>
        <v>1</v>
      </c>
      <c r="L308" s="919">
        <f t="shared" si="2776"/>
        <v>1</v>
      </c>
      <c r="M308" s="919">
        <f t="shared" si="2776"/>
        <v>1</v>
      </c>
      <c r="N308" s="919">
        <f t="shared" si="2776"/>
        <v>1</v>
      </c>
      <c r="O308" s="919">
        <f t="shared" si="2776"/>
        <v>1</v>
      </c>
      <c r="P308" s="919">
        <f t="shared" si="2776"/>
        <v>1</v>
      </c>
      <c r="Q308" s="919">
        <f t="shared" si="2776"/>
        <v>1</v>
      </c>
      <c r="R308" s="919">
        <f t="shared" si="2776"/>
        <v>1</v>
      </c>
      <c r="S308" s="919">
        <f t="shared" si="2776"/>
        <v>1</v>
      </c>
      <c r="T308" s="919">
        <f t="shared" si="2776"/>
        <v>1</v>
      </c>
      <c r="U308" s="919">
        <f t="shared" si="2776"/>
        <v>1</v>
      </c>
      <c r="V308" s="983">
        <f t="shared" ref="V308:AC308" si="2777">U308</f>
        <v>1</v>
      </c>
      <c r="W308" s="983">
        <f t="shared" si="2777"/>
        <v>1</v>
      </c>
      <c r="X308" s="983">
        <f t="shared" si="2777"/>
        <v>1</v>
      </c>
      <c r="Y308" s="983">
        <f t="shared" si="2777"/>
        <v>1</v>
      </c>
      <c r="Z308" s="983">
        <f t="shared" si="2777"/>
        <v>1</v>
      </c>
      <c r="AA308" s="983">
        <f t="shared" si="2777"/>
        <v>1</v>
      </c>
      <c r="AB308" s="983">
        <f t="shared" si="2777"/>
        <v>1</v>
      </c>
      <c r="AC308" s="983">
        <f t="shared" si="2777"/>
        <v>1</v>
      </c>
      <c r="AD308" s="983">
        <f t="shared" ref="AD308:AL308" si="2778">+AE308</f>
        <v>4.2099466326755076E-2</v>
      </c>
      <c r="AE308" s="983">
        <f t="shared" si="2778"/>
        <v>4.2099466326755076E-2</v>
      </c>
      <c r="AF308" s="983">
        <f t="shared" si="2778"/>
        <v>4.2099466326755076E-2</v>
      </c>
      <c r="AG308" s="983">
        <f t="shared" si="2778"/>
        <v>4.2099466326755076E-2</v>
      </c>
      <c r="AH308" s="983">
        <f t="shared" si="2778"/>
        <v>4.2099466326755076E-2</v>
      </c>
      <c r="AI308" s="983">
        <f t="shared" si="2778"/>
        <v>4.2099466326755076E-2</v>
      </c>
      <c r="AJ308" s="983">
        <f t="shared" si="2778"/>
        <v>4.2099466326755076E-2</v>
      </c>
      <c r="AK308" s="983">
        <f t="shared" si="2778"/>
        <v>4.2099466326755076E-2</v>
      </c>
      <c r="AL308" s="983">
        <f t="shared" si="2778"/>
        <v>4.2099466326755076E-2</v>
      </c>
      <c r="AM308" s="982">
        <f t="shared" ref="AM308:BG308" si="2779">+AM307/AM300</f>
        <v>4.2099466326755076E-2</v>
      </c>
      <c r="AN308" s="982">
        <f t="shared" si="2779"/>
        <v>4.8547420803158145E-2</v>
      </c>
      <c r="AO308" s="982">
        <f t="shared" si="2779"/>
        <v>3.7795905207846252E-2</v>
      </c>
      <c r="AP308" s="982">
        <f t="shared" si="2779"/>
        <v>2.9065132444479353E-2</v>
      </c>
      <c r="AQ308" s="982">
        <f t="shared" si="2779"/>
        <v>5.0390512675173261E-3</v>
      </c>
      <c r="AR308" s="982">
        <f t="shared" si="2779"/>
        <v>4.0597336601504358E-2</v>
      </c>
      <c r="AS308" s="982">
        <f t="shared" si="2779"/>
        <v>0.11018747460803544</v>
      </c>
      <c r="AT308" s="982">
        <f t="shared" si="2779"/>
        <v>0.12118837486943775</v>
      </c>
      <c r="AU308" s="982">
        <f t="shared" si="2779"/>
        <v>0.12706499057712425</v>
      </c>
      <c r="AV308" s="982">
        <f t="shared" si="2779"/>
        <v>0.17511801334696767</v>
      </c>
      <c r="AW308" s="982">
        <f t="shared" si="2779"/>
        <v>0.20281333374858554</v>
      </c>
      <c r="AX308" s="982">
        <f t="shared" si="2779"/>
        <v>0.20074597532753341</v>
      </c>
      <c r="AY308" s="982">
        <f t="shared" si="2779"/>
        <v>0.20397623913468962</v>
      </c>
      <c r="AZ308" s="982">
        <f t="shared" si="2779"/>
        <v>0.24754052434536117</v>
      </c>
      <c r="BA308" s="982">
        <f t="shared" si="2779"/>
        <v>0.10508533759404065</v>
      </c>
      <c r="BB308" s="982">
        <f t="shared" si="2779"/>
        <v>0.17673621476395582</v>
      </c>
      <c r="BC308" s="982">
        <f t="shared" si="2779"/>
        <v>0.27563058899196613</v>
      </c>
      <c r="BD308" s="982">
        <f t="shared" si="2779"/>
        <v>0.30261307205118521</v>
      </c>
      <c r="BE308" s="982">
        <f t="shared" si="2779"/>
        <v>0.21731514941597629</v>
      </c>
      <c r="BF308" s="982">
        <f t="shared" si="2779"/>
        <v>0.2028809888305424</v>
      </c>
      <c r="BG308" s="982">
        <f t="shared" si="2779"/>
        <v>0.2060740294695754</v>
      </c>
      <c r="BH308" s="982">
        <f t="shared" ref="BH308:BP308" si="2780">+BH307/BH300</f>
        <v>0.26962698476147562</v>
      </c>
      <c r="BI308" s="982">
        <f t="shared" si="2780"/>
        <v>0.37245109138259697</v>
      </c>
      <c r="BJ308" s="982">
        <f t="shared" si="2780"/>
        <v>0.36951987639764855</v>
      </c>
      <c r="BK308" s="982">
        <f t="shared" si="2780"/>
        <v>0.93972740108698105</v>
      </c>
      <c r="BL308" s="982">
        <f t="shared" si="2780"/>
        <v>0.62654534102331683</v>
      </c>
      <c r="BM308" s="982">
        <f t="shared" si="2780"/>
        <v>0.53300082863945797</v>
      </c>
      <c r="BN308" s="982">
        <f t="shared" si="2780"/>
        <v>0.61458328818727825</v>
      </c>
      <c r="BO308" s="982">
        <f>+BO307/BO300</f>
        <v>0.75591623924326967</v>
      </c>
      <c r="BP308" s="982">
        <f t="shared" si="2780"/>
        <v>0.65366930363240716</v>
      </c>
      <c r="BQ308" s="982">
        <f t="shared" ref="BQ308:BY308" si="2781">+BQ307/BQ300</f>
        <v>0.54533267611831948</v>
      </c>
      <c r="BR308" s="982">
        <f t="shared" si="2781"/>
        <v>0.54077904273480815</v>
      </c>
      <c r="BS308" s="982">
        <f t="shared" si="2781"/>
        <v>0.25967231974379451</v>
      </c>
      <c r="BT308" s="982">
        <f t="shared" si="2781"/>
        <v>0.12595926011076788</v>
      </c>
      <c r="BU308" s="982">
        <f t="shared" si="2781"/>
        <v>0.18881292214102233</v>
      </c>
      <c r="BV308" s="982">
        <f t="shared" si="2781"/>
        <v>0.6044153472404924</v>
      </c>
      <c r="BW308" s="982">
        <f t="shared" si="2781"/>
        <v>0.60726401819260134</v>
      </c>
      <c r="BX308" s="982">
        <f t="shared" si="2781"/>
        <v>0.55897415500299352</v>
      </c>
      <c r="BY308" s="982">
        <f t="shared" si="2781"/>
        <v>0.52050191420878134</v>
      </c>
      <c r="BZ308" s="982">
        <f t="shared" ref="BZ308:CA308" si="2782">+BZ307/BZ300</f>
        <v>0.10505472812136753</v>
      </c>
      <c r="CA308" s="982">
        <f t="shared" si="2782"/>
        <v>0.51789385409626665</v>
      </c>
      <c r="CB308" s="982">
        <f t="shared" ref="CB308:CC308" si="2783">+CB307/CB300</f>
        <v>0.53119347027839325</v>
      </c>
      <c r="CC308" s="982">
        <f t="shared" si="2783"/>
        <v>0.55821008453871424</v>
      </c>
      <c r="CD308" s="982">
        <f t="shared" ref="CD308" si="2784">+CD307/CD300</f>
        <v>0.54629971639251274</v>
      </c>
      <c r="CE308" s="982">
        <f t="shared" ref="CE308" si="2785">+CE307/CE300</f>
        <v>1.0786681551752253</v>
      </c>
      <c r="CF308" s="982">
        <f t="shared" ref="CF308:CH308" si="2786">+CF307/CF300</f>
        <v>1.048791706594651</v>
      </c>
      <c r="CG308" s="982">
        <f t="shared" si="2786"/>
        <v>1.1879490918994231</v>
      </c>
      <c r="CH308" s="982">
        <f t="shared" si="2786"/>
        <v>1.1521973815174948</v>
      </c>
      <c r="CI308" s="982" t="e">
        <f t="shared" ref="CI308:CK308" si="2787">+CI307/CI300</f>
        <v>#DIV/0!</v>
      </c>
      <c r="CJ308" s="982" t="e">
        <f t="shared" si="2787"/>
        <v>#DIV/0!</v>
      </c>
      <c r="CK308" s="982" t="e">
        <f t="shared" si="2787"/>
        <v>#DIV/0!</v>
      </c>
      <c r="CL308" s="982" t="e">
        <f t="shared" ref="CL308:CP308" si="2788">+CL307/CL300</f>
        <v>#DIV/0!</v>
      </c>
      <c r="CM308" s="982" t="e">
        <f t="shared" si="2788"/>
        <v>#DIV/0!</v>
      </c>
      <c r="CN308" s="982" t="e">
        <f t="shared" si="2788"/>
        <v>#DIV/0!</v>
      </c>
      <c r="CO308" s="982" t="e">
        <f t="shared" si="2788"/>
        <v>#DIV/0!</v>
      </c>
      <c r="CP308" s="982" t="e">
        <f t="shared" si="2788"/>
        <v>#DIV/0!</v>
      </c>
      <c r="CQ308" s="982"/>
      <c r="CR308" s="982" t="e">
        <v>#DIV/0!</v>
      </c>
      <c r="CT308" s="982"/>
      <c r="CU308" s="982"/>
      <c r="CV308" s="982"/>
      <c r="CW308" s="982"/>
      <c r="CX308" s="919">
        <f>+CX307/CX$298</f>
        <v>1</v>
      </c>
      <c r="CY308" s="919">
        <f>+CY307/CY$298</f>
        <v>1</v>
      </c>
      <c r="CZ308" s="919">
        <f>+CZ307/CZ$298</f>
        <v>1</v>
      </c>
      <c r="DA308" s="919">
        <f t="shared" ref="DA308:DJ308" si="2789">+DA307/DA$300</f>
        <v>8.7507270564769493E-2</v>
      </c>
      <c r="DB308" s="919">
        <f t="shared" si="2789"/>
        <v>7.1358430258458547E-2</v>
      </c>
      <c r="DC308" s="919">
        <f t="shared" si="2789"/>
        <v>4.2099466326755076E-2</v>
      </c>
      <c r="DD308" s="919">
        <f t="shared" si="2789"/>
        <v>2.9065132444479353E-2</v>
      </c>
      <c r="DE308" s="919">
        <f t="shared" si="2789"/>
        <v>0.12118837486943775</v>
      </c>
      <c r="DF308" s="919">
        <f t="shared" si="2789"/>
        <v>0.20074597532753341</v>
      </c>
      <c r="DG308" s="919">
        <f t="shared" si="2789"/>
        <v>0.17673621476395582</v>
      </c>
      <c r="DH308" s="919">
        <f t="shared" si="2789"/>
        <v>0.2028809888305424</v>
      </c>
      <c r="DI308" s="919">
        <f t="shared" si="2789"/>
        <v>0.36951987639764855</v>
      </c>
      <c r="DJ308" s="919">
        <f t="shared" si="2789"/>
        <v>0.61458328818727825</v>
      </c>
      <c r="DK308" s="919">
        <f t="shared" ref="DK308:DL308" si="2790">+DK307/DK$300</f>
        <v>0.3056575374740661</v>
      </c>
      <c r="DL308" s="919">
        <f t="shared" si="2790"/>
        <v>0.6044153472404924</v>
      </c>
      <c r="DM308" s="919">
        <f t="shared" ref="DM308:DR308" si="2791">+DM307/DM$300</f>
        <v>1.3960097267827802</v>
      </c>
      <c r="DN308" s="919">
        <f t="shared" si="2791"/>
        <v>1.2116555870674985</v>
      </c>
      <c r="DO308" s="919">
        <f t="shared" si="2791"/>
        <v>2.2877306484955211</v>
      </c>
      <c r="DP308" s="919" t="e">
        <f t="shared" si="2791"/>
        <v>#DIV/0!</v>
      </c>
      <c r="DQ308" s="919" t="e">
        <f t="shared" ref="DQ308" si="2792">+DQ307/DQ$300</f>
        <v>#DIV/0!</v>
      </c>
      <c r="DR308" s="919" t="e">
        <f t="shared" si="2791"/>
        <v>#DIV/0!</v>
      </c>
      <c r="DS308" s="919" t="e">
        <f t="shared" ref="DS308:DU308" si="2793">+DS307/DS$300</f>
        <v>#DIV/0!</v>
      </c>
      <c r="DT308" s="919" t="e">
        <f t="shared" si="2793"/>
        <v>#DIV/0!</v>
      </c>
      <c r="DU308" s="919" t="e">
        <f t="shared" si="2793"/>
        <v>#DIV/0!</v>
      </c>
      <c r="DX308" s="919" t="e">
        <v>#DIV/0!</v>
      </c>
      <c r="DY308" s="919" t="e">
        <v>#DIV/0!</v>
      </c>
    </row>
    <row r="309" spans="1:129" s="904" customFormat="1">
      <c r="A309" s="939"/>
      <c r="B309" s="949" t="s">
        <v>558</v>
      </c>
      <c r="C309" s="1009">
        <f t="shared" ref="C309:AH309" si="2794">+C311+C310</f>
        <v>3.9201689999999997E-2</v>
      </c>
      <c r="D309" s="1009">
        <f t="shared" si="2794"/>
        <v>3.8053660099999997E-2</v>
      </c>
      <c r="E309" s="1009">
        <f t="shared" si="2794"/>
        <v>3.9645052791104959E-2</v>
      </c>
      <c r="F309" s="1009">
        <f t="shared" si="2794"/>
        <v>4.213936969013965E-2</v>
      </c>
      <c r="G309" s="1009">
        <f t="shared" si="2794"/>
        <v>4.4570200406418785E-2</v>
      </c>
      <c r="H309" s="1009">
        <f t="shared" si="2794"/>
        <v>4.7470700938336594E-2</v>
      </c>
      <c r="I309" s="1009">
        <f t="shared" si="2794"/>
        <v>4.9173521934264643E-2</v>
      </c>
      <c r="J309" s="1009">
        <f t="shared" si="2794"/>
        <v>4.4715093211101647E-2</v>
      </c>
      <c r="K309" s="1009">
        <f t="shared" si="2794"/>
        <v>4.1059021360798149E-2</v>
      </c>
      <c r="L309" s="1009">
        <f t="shared" si="2794"/>
        <v>3.8699354238615931E-2</v>
      </c>
      <c r="M309" s="1009">
        <f t="shared" si="2794"/>
        <v>3.7136000000000002E-2</v>
      </c>
      <c r="N309" s="1009">
        <f t="shared" si="2794"/>
        <v>3.2572898799313757E-2</v>
      </c>
      <c r="O309" s="1009">
        <f t="shared" si="2794"/>
        <v>3.2071999999999996E-2</v>
      </c>
      <c r="P309" s="1009">
        <f t="shared" si="2794"/>
        <v>3.0700499999999999E-2</v>
      </c>
      <c r="Q309" s="1009">
        <f t="shared" si="2794"/>
        <v>2.9104573253993467E-2</v>
      </c>
      <c r="R309" s="1009">
        <f t="shared" si="2794"/>
        <v>2.8496379705675538E-2</v>
      </c>
      <c r="S309" s="1009">
        <f t="shared" si="2794"/>
        <v>2.8496379705675538E-2</v>
      </c>
      <c r="T309" s="1009">
        <f t="shared" si="2794"/>
        <v>2.9816884381372324E-2</v>
      </c>
      <c r="U309" s="1009">
        <f t="shared" si="2794"/>
        <v>3.8823087931422175E-2</v>
      </c>
      <c r="V309" s="1009">
        <f t="shared" si="2794"/>
        <v>4.1079308054779447E-2</v>
      </c>
      <c r="W309" s="1009">
        <f t="shared" si="2794"/>
        <v>3.6785225930754777E-2</v>
      </c>
      <c r="X309" s="1009">
        <f t="shared" si="2794"/>
        <v>2.8703607637899253E-2</v>
      </c>
      <c r="Y309" s="1009">
        <f t="shared" si="2794"/>
        <v>2.5430153151220301E-2</v>
      </c>
      <c r="Z309" s="1009">
        <f t="shared" si="2794"/>
        <v>2.5430153151220301E-2</v>
      </c>
      <c r="AA309" s="1009">
        <f t="shared" si="2794"/>
        <v>2.5430153151220301E-2</v>
      </c>
      <c r="AB309" s="1009">
        <f t="shared" si="2794"/>
        <v>2.8237571670277982E-2</v>
      </c>
      <c r="AC309" s="1009">
        <f t="shared" si="2794"/>
        <v>3.1025870138049427E-2</v>
      </c>
      <c r="AD309" s="1009">
        <f t="shared" si="2794"/>
        <v>3.1025870138049427E-2</v>
      </c>
      <c r="AE309" s="1009">
        <f t="shared" si="2794"/>
        <v>3.2874262535569888E-2</v>
      </c>
      <c r="AF309" s="1009">
        <f t="shared" si="2794"/>
        <v>3.4714378495324549E-2</v>
      </c>
      <c r="AG309" s="1009">
        <f t="shared" si="2794"/>
        <v>3.5402305800068576E-2</v>
      </c>
      <c r="AH309" s="1009">
        <f t="shared" si="2794"/>
        <v>3.264366788178643E-2</v>
      </c>
      <c r="AI309" s="1009">
        <f t="shared" ref="AI309:BG309" si="2795">+AI311+AI310</f>
        <v>3.0054332247501491E-2</v>
      </c>
      <c r="AJ309" s="1009">
        <f t="shared" si="2795"/>
        <v>2.6065773465851459E-2</v>
      </c>
      <c r="AK309" s="1009">
        <f t="shared" si="2795"/>
        <v>2.4303576507581737E-2</v>
      </c>
      <c r="AL309" s="1009">
        <f t="shared" si="2795"/>
        <v>2.0898466322917784E-2</v>
      </c>
      <c r="AM309" s="1009">
        <f t="shared" si="2795"/>
        <v>3.0467633953957286E-2</v>
      </c>
      <c r="AN309" s="1009">
        <f t="shared" si="2795"/>
        <v>2.5449276267553677E-2</v>
      </c>
      <c r="AO309" s="1009">
        <f t="shared" si="2795"/>
        <v>2.3535473359664487E-2</v>
      </c>
      <c r="AP309" s="1009">
        <f t="shared" si="2795"/>
        <v>2.6945838873859037E-2</v>
      </c>
      <c r="AQ309" s="594">
        <f t="shared" si="2795"/>
        <v>2.1250000000000002E-2</v>
      </c>
      <c r="AR309" s="594">
        <f t="shared" si="2795"/>
        <v>2.0278309443275043E-2</v>
      </c>
      <c r="AS309" s="594">
        <f t="shared" si="2795"/>
        <v>2.8172500786899E-2</v>
      </c>
      <c r="AT309" s="594">
        <f t="shared" si="2795"/>
        <v>3.2624136107400302E-2</v>
      </c>
      <c r="AU309" s="594">
        <f t="shared" si="2795"/>
        <v>3.246519025939526E-2</v>
      </c>
      <c r="AV309" s="594">
        <f t="shared" si="2795"/>
        <v>3.2132852515664001E-2</v>
      </c>
      <c r="AW309" s="594">
        <f t="shared" si="2795"/>
        <v>3.174138830627958E-2</v>
      </c>
      <c r="AX309" s="594">
        <f t="shared" si="2795"/>
        <v>3.2460161561606513E-2</v>
      </c>
      <c r="AY309" s="594">
        <f t="shared" si="2795"/>
        <v>3.6310703126522098E-2</v>
      </c>
      <c r="AZ309" s="594">
        <f t="shared" si="2795"/>
        <v>3.6561762676165697E-2</v>
      </c>
      <c r="BA309" s="594">
        <f t="shared" si="2795"/>
        <v>3.453076800116802E-2</v>
      </c>
      <c r="BB309" s="594">
        <f t="shared" si="2795"/>
        <v>3.5870563999239914E-2</v>
      </c>
      <c r="BC309" s="594">
        <f t="shared" si="2795"/>
        <v>3.4374513453982306E-2</v>
      </c>
      <c r="BD309" s="594">
        <f t="shared" si="2795"/>
        <v>2.8850354605533139E-2</v>
      </c>
      <c r="BE309" s="1009">
        <f t="shared" si="2795"/>
        <v>2.436583645679824E-2</v>
      </c>
      <c r="BF309" s="1009">
        <f t="shared" si="2795"/>
        <v>2.0199279086719327E-2</v>
      </c>
      <c r="BG309" s="1009">
        <f t="shared" si="2795"/>
        <v>1.8306657972992069E-2</v>
      </c>
      <c r="BH309" s="1009">
        <f t="shared" ref="BH309:BN309" si="2796">+BH311+BH310</f>
        <v>1.745511326106193E-2</v>
      </c>
      <c r="BI309" s="1009">
        <f t="shared" si="2796"/>
        <v>1.745511326106193E-2</v>
      </c>
      <c r="BJ309" s="1009">
        <f t="shared" si="2796"/>
        <v>1.745511326106193E-2</v>
      </c>
      <c r="BK309" s="1009">
        <f t="shared" si="2796"/>
        <v>1.745511326106193E-2</v>
      </c>
      <c r="BL309" s="1009">
        <f t="shared" si="2796"/>
        <v>1.6820381869750586E-2</v>
      </c>
      <c r="BM309" s="1009">
        <f t="shared" si="2796"/>
        <v>1.580785570847382E-2</v>
      </c>
      <c r="BN309" s="1009">
        <f t="shared" si="2796"/>
        <v>1.3136284805856616E-2</v>
      </c>
      <c r="BO309" s="1009">
        <f t="shared" ref="BO309:BY309" si="2797">+BO311+BO310</f>
        <v>1.1138695299195752E-2</v>
      </c>
      <c r="BP309" s="1009">
        <f t="shared" si="2797"/>
        <v>8.3024463407026516E-3</v>
      </c>
      <c r="BQ309" s="1009">
        <f t="shared" si="2797"/>
        <v>5.495613735127392E-3</v>
      </c>
      <c r="BR309" s="1009">
        <f t="shared" si="2797"/>
        <v>5.2607074675960512E-3</v>
      </c>
      <c r="BS309" s="1009">
        <f t="shared" si="2797"/>
        <v>5.5999666685304433E-3</v>
      </c>
      <c r="BT309" s="1009">
        <f t="shared" si="2797"/>
        <v>8.7681067983875934E-3</v>
      </c>
      <c r="BU309" s="1009">
        <f t="shared" si="2797"/>
        <v>1.2983019759249408E-2</v>
      </c>
      <c r="BV309" s="1009">
        <f t="shared" si="2797"/>
        <v>1.9790810184174581E-2</v>
      </c>
      <c r="BW309" s="1009">
        <f t="shared" si="2797"/>
        <v>2.6595246902146288E-2</v>
      </c>
      <c r="BX309" s="1009">
        <f t="shared" si="2797"/>
        <v>3.165232598238632E-2</v>
      </c>
      <c r="BY309" s="1009">
        <f t="shared" si="2797"/>
        <v>3.4335399816756013E-2</v>
      </c>
      <c r="BZ309" s="1009">
        <f t="shared" ref="BZ309:CA309" si="2798">+BZ311+BZ310</f>
        <v>3.469646736100894E-2</v>
      </c>
      <c r="CA309" s="1009">
        <f t="shared" si="2798"/>
        <v>3.469646736100894E-2</v>
      </c>
      <c r="CB309" s="1009">
        <f t="shared" ref="CB309:CC309" si="2799">+CB311+CB310</f>
        <v>3.469646736100894E-2</v>
      </c>
      <c r="CC309" s="1009">
        <f t="shared" si="2799"/>
        <v>3.3756947284580008E-2</v>
      </c>
      <c r="CD309" s="1009">
        <f t="shared" ref="CD309" si="2800">+CD311+CD310</f>
        <v>3.1263941210088499E-2</v>
      </c>
      <c r="CE309" s="1009">
        <f t="shared" ref="CE309" si="2801">+CE311+CE310</f>
        <v>2.8875987496697061E-2</v>
      </c>
      <c r="CF309" s="1009">
        <f t="shared" ref="CF309:CH309" si="2802">+CF311+CF310</f>
        <v>2.7037801908345004E-2</v>
      </c>
      <c r="CG309" s="1009">
        <f t="shared" si="2802"/>
        <v>2.6865761418363991E-2</v>
      </c>
      <c r="CH309" s="1009">
        <f t="shared" si="2802"/>
        <v>2.8680357595253458E-2</v>
      </c>
      <c r="CI309" s="1009">
        <f t="shared" ref="CI309:CK309" si="2803">+CI311+CI310</f>
        <v>0</v>
      </c>
      <c r="CJ309" s="1009">
        <f t="shared" si="2803"/>
        <v>0</v>
      </c>
      <c r="CK309" s="1009">
        <f t="shared" si="2803"/>
        <v>0</v>
      </c>
      <c r="CL309" s="1009">
        <f t="shared" ref="CL309:CP309" si="2804">+CL311+CL310</f>
        <v>3.7691560922119442E-2</v>
      </c>
      <c r="CM309" s="1009">
        <f t="shared" si="2804"/>
        <v>3.6496467630633606E-2</v>
      </c>
      <c r="CN309" s="1009">
        <f t="shared" si="2804"/>
        <v>3.4094489422453987E-2</v>
      </c>
      <c r="CO309" s="1009">
        <f t="shared" si="2804"/>
        <v>3.2282568511474527E-2</v>
      </c>
      <c r="CP309" s="1009">
        <f t="shared" si="2804"/>
        <v>3.1069593216414396E-2</v>
      </c>
      <c r="CQ309" s="1009"/>
      <c r="CR309" s="1009">
        <v>3.7691560922119442E-2</v>
      </c>
      <c r="CT309" s="1009"/>
      <c r="CU309" s="1009"/>
      <c r="CV309" s="1009"/>
      <c r="CW309" s="1009"/>
      <c r="CX309" s="1009">
        <f t="shared" ref="CX309:DJ309" si="2805">+CX311+CX310</f>
        <v>0.120373452959669</v>
      </c>
      <c r="CY309" s="1009">
        <f t="shared" si="2805"/>
        <v>0.13821566007324948</v>
      </c>
      <c r="CZ309" s="1009">
        <f t="shared" si="2805"/>
        <v>0.11634913987109463</v>
      </c>
      <c r="DA309" s="1009">
        <f t="shared" si="2805"/>
        <v>0.11571946509759715</v>
      </c>
      <c r="DB309" s="1009">
        <f t="shared" si="2805"/>
        <v>0.13563461471274943</v>
      </c>
      <c r="DC309" s="594">
        <f t="shared" si="2805"/>
        <v>0.10132214854385246</v>
      </c>
      <c r="DD309" s="1009">
        <f t="shared" si="2805"/>
        <v>0.1063982224550345</v>
      </c>
      <c r="DE309" s="1009">
        <f t="shared" si="2805"/>
        <v>0.10232494633757436</v>
      </c>
      <c r="DF309" s="1009">
        <f t="shared" si="2805"/>
        <v>0.12879959264294535</v>
      </c>
      <c r="DG309" s="1009">
        <f t="shared" si="2805"/>
        <v>0.14327379780309574</v>
      </c>
      <c r="DH309" s="1009">
        <f t="shared" si="2805"/>
        <v>0.107789983603033</v>
      </c>
      <c r="DI309" s="594">
        <f t="shared" si="2805"/>
        <v>7.0671997756177857E-2</v>
      </c>
      <c r="DJ309" s="594">
        <f t="shared" si="2805"/>
        <v>6.3219635645142949E-2</v>
      </c>
      <c r="DK309" s="594">
        <f t="shared" ref="DK309:DL309" si="2806">+DK311+DK310</f>
        <v>5.6903217683276774E-2</v>
      </c>
      <c r="DL309" s="594">
        <f t="shared" si="2806"/>
        <v>4.838528215422884E-2</v>
      </c>
      <c r="DM309" s="594">
        <f t="shared" ref="DM309:DR309" si="2807">+DM311+DM310</f>
        <v>3.8073040180882416E-2</v>
      </c>
      <c r="DN309" s="594">
        <f t="shared" si="2807"/>
        <v>3.0197462842621849E-2</v>
      </c>
      <c r="DO309" s="594">
        <f t="shared" si="2807"/>
        <v>2.4658734211956541E-2</v>
      </c>
      <c r="DP309" s="594">
        <f t="shared" si="2807"/>
        <v>2.5124394669641479E-2</v>
      </c>
      <c r="DQ309" s="594">
        <f t="shared" ref="DQ309" si="2808">+DQ311+DQ310</f>
        <v>3.2611800693763501E-2</v>
      </c>
      <c r="DR309" s="1009">
        <f t="shared" si="2807"/>
        <v>0.12190000000000001</v>
      </c>
      <c r="DS309" s="1009">
        <f t="shared" ref="DS309:DU309" si="2809">+DS311+DS310</f>
        <v>0.11660000000000001</v>
      </c>
      <c r="DT309" s="1009">
        <f t="shared" si="2809"/>
        <v>0.10600000000000001</v>
      </c>
      <c r="DU309" s="1009">
        <f t="shared" si="2809"/>
        <v>9.5399999999999999E-2</v>
      </c>
      <c r="DX309" s="1009">
        <v>0.14045000000000002</v>
      </c>
      <c r="DY309" s="1009">
        <v>0.12190000000000001</v>
      </c>
    </row>
    <row r="310" spans="1:129" s="904" customFormat="1">
      <c r="A310" s="939"/>
      <c r="B310" s="949" t="s">
        <v>544</v>
      </c>
      <c r="C310" s="1013">
        <v>0</v>
      </c>
      <c r="D310" s="1013">
        <v>0</v>
      </c>
      <c r="E310" s="1013">
        <v>0</v>
      </c>
      <c r="F310" s="1013">
        <v>0</v>
      </c>
      <c r="G310" s="1013">
        <v>0</v>
      </c>
      <c r="H310" s="1013">
        <v>0</v>
      </c>
      <c r="I310" s="1013">
        <v>0</v>
      </c>
      <c r="J310" s="1013">
        <v>0</v>
      </c>
      <c r="K310" s="1013">
        <v>0</v>
      </c>
      <c r="L310" s="1013">
        <v>0</v>
      </c>
      <c r="M310" s="1013">
        <v>0</v>
      </c>
      <c r="N310" s="1013">
        <v>0</v>
      </c>
      <c r="O310" s="1013">
        <v>0</v>
      </c>
      <c r="P310" s="1013">
        <v>0</v>
      </c>
      <c r="Q310" s="1013">
        <v>0</v>
      </c>
      <c r="R310" s="1013">
        <v>0</v>
      </c>
      <c r="S310" s="1013">
        <v>0</v>
      </c>
      <c r="T310" s="1013">
        <v>0</v>
      </c>
      <c r="U310" s="1013">
        <v>0</v>
      </c>
      <c r="V310" s="1013">
        <f t="shared" ref="V310:BD310" si="2810">U310</f>
        <v>0</v>
      </c>
      <c r="W310" s="1013">
        <f t="shared" si="2810"/>
        <v>0</v>
      </c>
      <c r="X310" s="1013">
        <f t="shared" si="2810"/>
        <v>0</v>
      </c>
      <c r="Y310" s="1013">
        <f t="shared" si="2810"/>
        <v>0</v>
      </c>
      <c r="Z310" s="1013">
        <f t="shared" si="2810"/>
        <v>0</v>
      </c>
      <c r="AA310" s="1013">
        <f t="shared" si="2810"/>
        <v>0</v>
      </c>
      <c r="AB310" s="1013">
        <f t="shared" si="2810"/>
        <v>0</v>
      </c>
      <c r="AC310" s="1013">
        <f t="shared" si="2810"/>
        <v>0</v>
      </c>
      <c r="AD310" s="1013">
        <f t="shared" si="2810"/>
        <v>0</v>
      </c>
      <c r="AE310" s="1013">
        <f t="shared" si="2810"/>
        <v>0</v>
      </c>
      <c r="AF310" s="1013">
        <f t="shared" si="2810"/>
        <v>0</v>
      </c>
      <c r="AG310" s="1013">
        <f t="shared" si="2810"/>
        <v>0</v>
      </c>
      <c r="AH310" s="1013">
        <f t="shared" si="2810"/>
        <v>0</v>
      </c>
      <c r="AI310" s="1013">
        <f t="shared" si="2810"/>
        <v>0</v>
      </c>
      <c r="AJ310" s="1015">
        <f t="shared" si="2810"/>
        <v>0</v>
      </c>
      <c r="AK310" s="1015">
        <f t="shared" si="2810"/>
        <v>0</v>
      </c>
      <c r="AL310" s="1015">
        <f t="shared" si="2810"/>
        <v>0</v>
      </c>
      <c r="AM310" s="1015">
        <f t="shared" si="2810"/>
        <v>0</v>
      </c>
      <c r="AN310" s="1015">
        <f t="shared" si="2810"/>
        <v>0</v>
      </c>
      <c r="AO310" s="1015">
        <f t="shared" si="2810"/>
        <v>0</v>
      </c>
      <c r="AP310" s="1015">
        <f t="shared" si="2810"/>
        <v>0</v>
      </c>
      <c r="AQ310" s="594">
        <f t="shared" si="2810"/>
        <v>0</v>
      </c>
      <c r="AR310" s="594">
        <f t="shared" si="2810"/>
        <v>0</v>
      </c>
      <c r="AS310" s="594">
        <f t="shared" si="2810"/>
        <v>0</v>
      </c>
      <c r="AT310" s="594">
        <f t="shared" si="2810"/>
        <v>0</v>
      </c>
      <c r="AU310" s="594">
        <f t="shared" si="2810"/>
        <v>0</v>
      </c>
      <c r="AV310" s="594">
        <f t="shared" si="2810"/>
        <v>0</v>
      </c>
      <c r="AW310" s="594">
        <f t="shared" si="2810"/>
        <v>0</v>
      </c>
      <c r="AX310" s="594">
        <f t="shared" si="2810"/>
        <v>0</v>
      </c>
      <c r="AY310" s="594">
        <f t="shared" si="2810"/>
        <v>0</v>
      </c>
      <c r="AZ310" s="594">
        <f t="shared" si="2810"/>
        <v>0</v>
      </c>
      <c r="BA310" s="594">
        <f t="shared" si="2810"/>
        <v>0</v>
      </c>
      <c r="BB310" s="594">
        <f t="shared" si="2810"/>
        <v>0</v>
      </c>
      <c r="BC310" s="594">
        <f t="shared" si="2810"/>
        <v>0</v>
      </c>
      <c r="BD310" s="594">
        <f t="shared" si="2810"/>
        <v>0</v>
      </c>
      <c r="BE310" s="594">
        <f t="shared" ref="BE310:BN310" si="2811">BD310</f>
        <v>0</v>
      </c>
      <c r="BF310" s="594">
        <f t="shared" si="2811"/>
        <v>0</v>
      </c>
      <c r="BG310" s="594">
        <f t="shared" si="2811"/>
        <v>0</v>
      </c>
      <c r="BH310" s="594">
        <f t="shared" si="2811"/>
        <v>0</v>
      </c>
      <c r="BI310" s="594">
        <f t="shared" si="2811"/>
        <v>0</v>
      </c>
      <c r="BJ310" s="594">
        <f t="shared" si="2811"/>
        <v>0</v>
      </c>
      <c r="BK310" s="594">
        <f t="shared" si="2811"/>
        <v>0</v>
      </c>
      <c r="BL310" s="594">
        <f t="shared" si="2811"/>
        <v>0</v>
      </c>
      <c r="BM310" s="594">
        <f t="shared" si="2811"/>
        <v>0</v>
      </c>
      <c r="BN310" s="594">
        <f t="shared" si="2811"/>
        <v>0</v>
      </c>
      <c r="BO310" s="594">
        <f>BN310</f>
        <v>0</v>
      </c>
      <c r="BP310" s="594">
        <f t="shared" ref="BP310:CD310" si="2812">BO310</f>
        <v>0</v>
      </c>
      <c r="BQ310" s="594">
        <f t="shared" si="2812"/>
        <v>0</v>
      </c>
      <c r="BR310" s="594">
        <f t="shared" si="2812"/>
        <v>0</v>
      </c>
      <c r="BS310" s="594">
        <f t="shared" si="2812"/>
        <v>0</v>
      </c>
      <c r="BT310" s="594">
        <f t="shared" si="2812"/>
        <v>0</v>
      </c>
      <c r="BU310" s="594">
        <f t="shared" si="2812"/>
        <v>0</v>
      </c>
      <c r="BV310" s="594">
        <f t="shared" si="2812"/>
        <v>0</v>
      </c>
      <c r="BW310" s="594">
        <f t="shared" si="2812"/>
        <v>0</v>
      </c>
      <c r="BX310" s="594">
        <f t="shared" si="2812"/>
        <v>0</v>
      </c>
      <c r="BY310" s="594">
        <f t="shared" si="2812"/>
        <v>0</v>
      </c>
      <c r="BZ310" s="594">
        <f t="shared" si="2812"/>
        <v>0</v>
      </c>
      <c r="CA310" s="594">
        <f t="shared" si="2812"/>
        <v>0</v>
      </c>
      <c r="CB310" s="594">
        <f t="shared" si="2812"/>
        <v>0</v>
      </c>
      <c r="CC310" s="594">
        <f t="shared" si="2812"/>
        <v>0</v>
      </c>
      <c r="CD310" s="594">
        <f t="shared" si="2812"/>
        <v>0</v>
      </c>
      <c r="CE310" s="594">
        <f t="shared" ref="CE310:CI310" si="2813">CD310</f>
        <v>0</v>
      </c>
      <c r="CF310" s="594">
        <f t="shared" si="2813"/>
        <v>0</v>
      </c>
      <c r="CG310" s="594">
        <f t="shared" si="2813"/>
        <v>0</v>
      </c>
      <c r="CH310" s="594">
        <f t="shared" si="2813"/>
        <v>0</v>
      </c>
      <c r="CI310" s="594">
        <f t="shared" si="2813"/>
        <v>0</v>
      </c>
      <c r="CJ310" s="594">
        <f t="shared" ref="CJ310" si="2814">CI310</f>
        <v>0</v>
      </c>
      <c r="CK310" s="594">
        <f t="shared" ref="CK310" si="2815">CJ310</f>
        <v>0</v>
      </c>
      <c r="CL310" s="608">
        <f t="shared" ref="CL310" si="2816">CK310</f>
        <v>0</v>
      </c>
      <c r="CM310" s="608">
        <f t="shared" ref="CM310" si="2817">CL310</f>
        <v>0</v>
      </c>
      <c r="CN310" s="608">
        <f t="shared" ref="CN310" si="2818">CM310</f>
        <v>0</v>
      </c>
      <c r="CO310" s="608">
        <f t="shared" ref="CO310" si="2819">CN310</f>
        <v>0</v>
      </c>
      <c r="CP310" s="608">
        <f t="shared" ref="CP310" si="2820">CO310</f>
        <v>0</v>
      </c>
      <c r="CQ310" s="608"/>
      <c r="CR310" s="608">
        <v>0</v>
      </c>
      <c r="CT310" s="957"/>
      <c r="CU310" s="957"/>
      <c r="CV310" s="957"/>
      <c r="CW310" s="957"/>
      <c r="CX310" s="911">
        <f>+SUM(O310:R310)</f>
        <v>0</v>
      </c>
      <c r="CY310" s="911">
        <f>+SUM(S310:V310)</f>
        <v>0</v>
      </c>
      <c r="CZ310" s="911">
        <f>+SUM(W310:Z310)</f>
        <v>0</v>
      </c>
      <c r="DA310" s="911">
        <f>+SUM(AA310:AD310)</f>
        <v>0</v>
      </c>
      <c r="DB310" s="911">
        <f>+SUM(AE310:AH310)</f>
        <v>0</v>
      </c>
      <c r="DC310" s="594">
        <f>+SUM(AI310:AL310)</f>
        <v>0</v>
      </c>
      <c r="DD310" s="594">
        <f>+SUM(AM310:AP310)</f>
        <v>0</v>
      </c>
      <c r="DE310" s="594">
        <f>+SUM(AQ310:AT310)</f>
        <v>0</v>
      </c>
      <c r="DF310" s="911">
        <f>+SUM(AU310:AX310)</f>
        <v>0</v>
      </c>
      <c r="DG310" s="911">
        <f>+SUM(AY310:BB310)</f>
        <v>0</v>
      </c>
      <c r="DH310" s="911">
        <f>+SUM(BC310:BF310)</f>
        <v>0</v>
      </c>
      <c r="DI310" s="594">
        <v>0</v>
      </c>
      <c r="DJ310" s="594">
        <v>0</v>
      </c>
      <c r="DK310" s="594">
        <v>0</v>
      </c>
      <c r="DL310" s="594">
        <v>0</v>
      </c>
      <c r="DM310" s="594">
        <v>0</v>
      </c>
      <c r="DN310" s="594">
        <v>0</v>
      </c>
      <c r="DO310" s="594">
        <v>0</v>
      </c>
      <c r="DP310" s="594">
        <v>0</v>
      </c>
      <c r="DQ310" s="594">
        <v>0</v>
      </c>
      <c r="DR310" s="957">
        <f>+DQ310</f>
        <v>0</v>
      </c>
      <c r="DS310" s="957">
        <f t="shared" ref="DS310:DU310" si="2821">+DR310</f>
        <v>0</v>
      </c>
      <c r="DT310" s="957">
        <f t="shared" si="2821"/>
        <v>0</v>
      </c>
      <c r="DU310" s="957">
        <f t="shared" si="2821"/>
        <v>0</v>
      </c>
      <c r="DX310" s="957">
        <v>0</v>
      </c>
      <c r="DY310" s="957">
        <v>0</v>
      </c>
    </row>
    <row r="311" spans="1:129" s="904" customFormat="1">
      <c r="A311" s="939"/>
      <c r="B311" s="949" t="s">
        <v>545</v>
      </c>
      <c r="C311" s="1013">
        <f>105.5%*MACRO!P6</f>
        <v>3.9201689999999997E-2</v>
      </c>
      <c r="D311" s="1013">
        <f>105.5%*MACRO!Q6</f>
        <v>3.8053660099999997E-2</v>
      </c>
      <c r="E311" s="1013">
        <f>105.5%*MACRO!R6</f>
        <v>3.9645052791104959E-2</v>
      </c>
      <c r="F311" s="1013">
        <f>105.5%*MACRO!S6</f>
        <v>4.213936969013965E-2</v>
      </c>
      <c r="G311" s="1013">
        <f>105.5%*MACRO!T6</f>
        <v>4.4570200406418785E-2</v>
      </c>
      <c r="H311" s="1013">
        <f>105.5%*MACRO!U6</f>
        <v>4.7470700938336594E-2</v>
      </c>
      <c r="I311" s="1013">
        <f>105.5%*MACRO!V6</f>
        <v>4.9173521934264643E-2</v>
      </c>
      <c r="J311" s="1013">
        <f>105.5%*MACRO!W6</f>
        <v>4.4715093211101647E-2</v>
      </c>
      <c r="K311" s="1013">
        <f>105.5%*MACRO!X6</f>
        <v>4.1059021360798149E-2</v>
      </c>
      <c r="L311" s="1013">
        <f>105.5%*MACRO!Y6</f>
        <v>3.8699354238615931E-2</v>
      </c>
      <c r="M311" s="1013">
        <f>105.5%*MACRO!Z6</f>
        <v>3.7136000000000002E-2</v>
      </c>
      <c r="N311" s="1013">
        <f>105.5%*MACRO!AA6</f>
        <v>3.2572898799313757E-2</v>
      </c>
      <c r="O311" s="1013">
        <f>105.5%*MACRO!AB6</f>
        <v>3.2071999999999996E-2</v>
      </c>
      <c r="P311" s="1013">
        <f>105.5%*MACRO!AC6</f>
        <v>3.0700499999999999E-2</v>
      </c>
      <c r="Q311" s="1013">
        <f>105.5%*MACRO!AD6</f>
        <v>2.9104573253993467E-2</v>
      </c>
      <c r="R311" s="1013">
        <f>105.5%*MACRO!AE6</f>
        <v>2.8496379705675538E-2</v>
      </c>
      <c r="S311" s="1013">
        <f>105.5%*MACRO!AF6</f>
        <v>2.8496379705675538E-2</v>
      </c>
      <c r="T311" s="1013">
        <f>105.5%*MACRO!AG6</f>
        <v>2.9816884381372324E-2</v>
      </c>
      <c r="U311" s="1013">
        <f>125.5%*MACRO!AH6</f>
        <v>3.8823087931422175E-2</v>
      </c>
      <c r="V311" s="1013">
        <f>125.5%*MACRO!AI6</f>
        <v>4.1079308054779447E-2</v>
      </c>
      <c r="W311" s="1013">
        <f>125.5%*MACRO!AJ6</f>
        <v>3.6785225930754777E-2</v>
      </c>
      <c r="X311" s="1013">
        <f>120%*MACRO!AK6</f>
        <v>2.8703607637899253E-2</v>
      </c>
      <c r="Y311" s="1013">
        <f>120%*MACRO!AL6</f>
        <v>2.5430153151220301E-2</v>
      </c>
      <c r="Z311" s="1013">
        <f>120%*MACRO!AM6</f>
        <v>2.5430153151220301E-2</v>
      </c>
      <c r="AA311" s="1013">
        <f>120%*MACRO!AN6</f>
        <v>2.5430153151220301E-2</v>
      </c>
      <c r="AB311" s="1013">
        <f>120%*MACRO!AO6</f>
        <v>2.8237571670277982E-2</v>
      </c>
      <c r="AC311" s="1013">
        <f>120%*MACRO!AP6</f>
        <v>3.1025870138049427E-2</v>
      </c>
      <c r="AD311" s="1013">
        <f>120%*MACRO!AQ6</f>
        <v>3.1025870138049427E-2</v>
      </c>
      <c r="AE311" s="1013">
        <f>120%*MACRO!AR6</f>
        <v>3.2874262535569888E-2</v>
      </c>
      <c r="AF311" s="1013">
        <f>120%*MACRO!AS6</f>
        <v>3.4714378495324549E-2</v>
      </c>
      <c r="AG311" s="1013">
        <f>120%*MACRO!AT6</f>
        <v>3.5402305800068576E-2</v>
      </c>
      <c r="AH311" s="1013">
        <f>120%*MACRO!AU6</f>
        <v>3.264366788178643E-2</v>
      </c>
      <c r="AI311" s="1013">
        <f>120%*MACRO!AV6</f>
        <v>3.0054332247501491E-2</v>
      </c>
      <c r="AJ311" s="1015">
        <f>120%*MACRO!AW6</f>
        <v>2.6065773465851459E-2</v>
      </c>
      <c r="AK311" s="1015">
        <f>+AK331</f>
        <v>2.4303576507581737E-2</v>
      </c>
      <c r="AL311" s="1015">
        <f>+(117.88%*MACRO!AY6)</f>
        <v>2.0898466322917784E-2</v>
      </c>
      <c r="AM311" s="1015">
        <v>3.0467633953957286E-2</v>
      </c>
      <c r="AN311" s="1015">
        <v>2.5449276267553677E-2</v>
      </c>
      <c r="AO311" s="1015">
        <v>2.3535473359664487E-2</v>
      </c>
      <c r="AP311" s="1015">
        <v>2.6945838873859037E-2</v>
      </c>
      <c r="AQ311" s="594">
        <v>2.1250000000000002E-2</v>
      </c>
      <c r="AR311" s="594">
        <v>2.0278309443275043E-2</v>
      </c>
      <c r="AS311" s="594">
        <v>2.8172500786899E-2</v>
      </c>
      <c r="AT311" s="594">
        <f>+Divida!D30/4</f>
        <v>3.2624136107400302E-2</v>
      </c>
      <c r="AU311" s="594">
        <f>+Divida!E30/4</f>
        <v>3.246519025939526E-2</v>
      </c>
      <c r="AV311" s="594">
        <f>+Divida!F30/4</f>
        <v>3.2132852515664001E-2</v>
      </c>
      <c r="AW311" s="594">
        <f>+Divida!G30/4</f>
        <v>3.174138830627958E-2</v>
      </c>
      <c r="AX311" s="594">
        <f>+Divida!H30/4</f>
        <v>3.2460161561606513E-2</v>
      </c>
      <c r="AY311" s="594">
        <f>+Divida!I30/4</f>
        <v>3.6310703126522098E-2</v>
      </c>
      <c r="AZ311" s="594">
        <f>+Divida!J30/4</f>
        <v>3.6561762676165697E-2</v>
      </c>
      <c r="BA311" s="594">
        <f>+Divida!K30/4</f>
        <v>3.453076800116802E-2</v>
      </c>
      <c r="BB311" s="594">
        <f>+Divida!L30/4</f>
        <v>3.5870563999239914E-2</v>
      </c>
      <c r="BC311" s="594">
        <f>+Divida!M30/4</f>
        <v>3.4374513453982306E-2</v>
      </c>
      <c r="BD311" s="594">
        <f>+Divida!N30/4</f>
        <v>2.8850354605533139E-2</v>
      </c>
      <c r="BE311" s="1018">
        <f>+AVERAGE(BD313)*MACRO!BR6</f>
        <v>2.436583645679824E-2</v>
      </c>
      <c r="BF311" s="1018">
        <f>+AVERAGE(BE313)*MACRO!BS6</f>
        <v>2.0199279086719327E-2</v>
      </c>
      <c r="BG311" s="1018">
        <f>+AVERAGE(BF313)*MACRO!BT6</f>
        <v>1.8306657972992069E-2</v>
      </c>
      <c r="BH311" s="1018">
        <f>+AVERAGE(BG313)*MACRO!BU6</f>
        <v>1.745511326106193E-2</v>
      </c>
      <c r="BI311" s="1018">
        <f>+AVERAGE(BH313)*MACRO!BV6</f>
        <v>1.745511326106193E-2</v>
      </c>
      <c r="BJ311" s="1018">
        <f>+AVERAGE(BI313)*MACRO!BW6</f>
        <v>1.745511326106193E-2</v>
      </c>
      <c r="BK311" s="1018">
        <f>+AVERAGE(BJ313)*MACRO!BX6</f>
        <v>1.745511326106193E-2</v>
      </c>
      <c r="BL311" s="1018">
        <f>+AVERAGE(BK313)*MACRO!BY6</f>
        <v>1.6820381869750586E-2</v>
      </c>
      <c r="BM311" s="1018">
        <f>+AVERAGE(BL313)*MACRO!BZ6</f>
        <v>1.580785570847382E-2</v>
      </c>
      <c r="BN311" s="1018">
        <f>+AVERAGE(BM313)*MACRO!CA6</f>
        <v>1.3136284805856616E-2</v>
      </c>
      <c r="BO311" s="1018">
        <f>+AVERAGE(BN313)*MACRO!CB6</f>
        <v>1.1138695299195752E-2</v>
      </c>
      <c r="BP311" s="1018">
        <f>+AVERAGE(BO313)*MACRO!CC6</f>
        <v>8.3024463407026516E-3</v>
      </c>
      <c r="BQ311" s="1018">
        <f>+AVERAGE(BP313)*MACRO!CD6</f>
        <v>5.495613735127392E-3</v>
      </c>
      <c r="BR311" s="1018">
        <f>+AVERAGE(BQ313)*MACRO!CE6</f>
        <v>5.2607074675960512E-3</v>
      </c>
      <c r="BS311" s="1018">
        <f>+AVERAGE(BR313)*MACRO!CF6</f>
        <v>5.5999666685304433E-3</v>
      </c>
      <c r="BT311" s="1018">
        <f>+AVERAGE(BS313)*MACRO!CG6</f>
        <v>8.7681067983875934E-3</v>
      </c>
      <c r="BU311" s="1018">
        <f>+AVERAGE(BT313)*MACRO!CH6</f>
        <v>1.2983019759249408E-2</v>
      </c>
      <c r="BV311" s="1018">
        <f>+AVERAGE(BU313)*MACRO!CI6</f>
        <v>1.9790810184174581E-2</v>
      </c>
      <c r="BW311" s="1018">
        <f>+AVERAGE(BV313)*MACRO!CJ6</f>
        <v>2.6595246902146288E-2</v>
      </c>
      <c r="BX311" s="1018">
        <f>+AVERAGE(BW313)*MACRO!CK6</f>
        <v>3.165232598238632E-2</v>
      </c>
      <c r="BY311" s="1018">
        <f>+AVERAGE(BX313)*MACRO!CL6</f>
        <v>3.4335399816756013E-2</v>
      </c>
      <c r="BZ311" s="1018">
        <f>+AVERAGE(BY313)*MACRO!CM6</f>
        <v>3.469646736100894E-2</v>
      </c>
      <c r="CA311" s="1018">
        <f>+AVERAGE(BZ313)*MACRO!CN6</f>
        <v>3.469646736100894E-2</v>
      </c>
      <c r="CB311" s="1018">
        <f>+AVERAGE(CA313)*MACRO!CO6</f>
        <v>3.469646736100894E-2</v>
      </c>
      <c r="CC311" s="1018">
        <f>+AVERAGE(CB313)*MACRO!CP6</f>
        <v>3.3756947284580008E-2</v>
      </c>
      <c r="CD311" s="1018">
        <f>+AVERAGE(CC313)*MACRO!CQ6</f>
        <v>3.1263941210088499E-2</v>
      </c>
      <c r="CE311" s="1018">
        <f>+AVERAGE(CD313)*MACRO!CR6</f>
        <v>2.8875987496697061E-2</v>
      </c>
      <c r="CF311" s="1018">
        <f>+AVERAGE(CE313)*MACRO!CS6</f>
        <v>2.7037801908345004E-2</v>
      </c>
      <c r="CG311" s="1018">
        <f>+AVERAGE(CF313)*MACRO!CT6</f>
        <v>2.6865761418363991E-2</v>
      </c>
      <c r="CH311" s="1018">
        <v>2.8680357595253458E-2</v>
      </c>
      <c r="CI311" s="1018">
        <v>0</v>
      </c>
      <c r="CJ311" s="1018">
        <v>0</v>
      </c>
      <c r="CK311" s="1018">
        <v>0</v>
      </c>
      <c r="CL311" s="1018">
        <f>+AVERAGE(CK313)*MACRO!CY6</f>
        <v>3.7691560922119442E-2</v>
      </c>
      <c r="CM311" s="1018">
        <f>+AVERAGE(CL313)*MACRO!CZ6</f>
        <v>3.6496467630633606E-2</v>
      </c>
      <c r="CN311" s="1018">
        <f>+AVERAGE(CM313)*MACRO!DA6</f>
        <v>3.4094489422453987E-2</v>
      </c>
      <c r="CO311" s="1018">
        <f>+AVERAGE(CN313)*MACRO!DB6</f>
        <v>3.2282568511474527E-2</v>
      </c>
      <c r="CP311" s="1018">
        <f>+AVERAGE(CO313)*MACRO!DC6</f>
        <v>3.1069593216414396E-2</v>
      </c>
      <c r="CQ311" s="1018"/>
      <c r="CR311" s="1018">
        <v>3.7691560922119442E-2</v>
      </c>
      <c r="CT311" s="957"/>
      <c r="CU311" s="957"/>
      <c r="CV311" s="957"/>
      <c r="CW311" s="957"/>
      <c r="CX311" s="911">
        <f>+SUM(O311:R311)</f>
        <v>0.120373452959669</v>
      </c>
      <c r="CY311" s="911">
        <f>+SUM(S311:V311)</f>
        <v>0.13821566007324948</v>
      </c>
      <c r="CZ311" s="911">
        <f>+SUM(W311:Z311)</f>
        <v>0.11634913987109463</v>
      </c>
      <c r="DA311" s="911">
        <f>+SUM(AA311:AD311)</f>
        <v>0.11571946509759715</v>
      </c>
      <c r="DB311" s="911">
        <f>+SUM(AE311:AH311)</f>
        <v>0.13563461471274943</v>
      </c>
      <c r="DC311" s="594">
        <f>+SUM(AI311:AL311)</f>
        <v>0.10132214854385246</v>
      </c>
      <c r="DD311" s="594">
        <f>+SUM(AM311:AP311)</f>
        <v>0.1063982224550345</v>
      </c>
      <c r="DE311" s="594">
        <f>+SUM(AQ311:AT311)</f>
        <v>0.10232494633757436</v>
      </c>
      <c r="DF311" s="911">
        <f>+SUM(AU311:AX311)</f>
        <v>0.12879959264294535</v>
      </c>
      <c r="DG311" s="911">
        <f>+SUM(AY311:BB311)</f>
        <v>0.14327379780309574</v>
      </c>
      <c r="DH311" s="911">
        <f>+SUM(BC311:BF311)</f>
        <v>0.107789983603033</v>
      </c>
      <c r="DI311" s="594">
        <f>+SUM(BG311:BJ311)</f>
        <v>7.0671997756177857E-2</v>
      </c>
      <c r="DJ311" s="594">
        <f t="shared" ref="DJ311:DQ311" si="2822">+SUM(BK311:BN311)</f>
        <v>6.3219635645142949E-2</v>
      </c>
      <c r="DK311" s="594">
        <f t="shared" si="2822"/>
        <v>5.6903217683276774E-2</v>
      </c>
      <c r="DL311" s="594">
        <f t="shared" si="2822"/>
        <v>4.838528215422884E-2</v>
      </c>
      <c r="DM311" s="594">
        <f t="shared" si="2822"/>
        <v>3.8073040180882416E-2</v>
      </c>
      <c r="DN311" s="594">
        <f t="shared" si="2822"/>
        <v>3.0197462842621849E-2</v>
      </c>
      <c r="DO311" s="594">
        <f t="shared" si="2822"/>
        <v>2.4658734211956541E-2</v>
      </c>
      <c r="DP311" s="594">
        <f t="shared" si="2822"/>
        <v>2.5124394669641479E-2</v>
      </c>
      <c r="DQ311" s="594">
        <f t="shared" si="2822"/>
        <v>3.2611800693763501E-2</v>
      </c>
      <c r="DR311" s="957">
        <f>+MACRO!EJ6*$DL$313</f>
        <v>0.12190000000000001</v>
      </c>
      <c r="DS311" s="957">
        <f>+MACRO!EK6*$DL$313</f>
        <v>0.11660000000000001</v>
      </c>
      <c r="DT311" s="957">
        <f>+MACRO!EL6*$DL$313</f>
        <v>0.10600000000000001</v>
      </c>
      <c r="DU311" s="957">
        <f>+MACRO!EM6*$DL$313</f>
        <v>9.5399999999999999E-2</v>
      </c>
      <c r="DX311" s="957">
        <v>0.14045000000000002</v>
      </c>
      <c r="DY311" s="957">
        <v>0.12190000000000001</v>
      </c>
    </row>
    <row r="312" spans="1:129" s="904" customFormat="1">
      <c r="A312" s="939"/>
      <c r="B312" s="949" t="s">
        <v>559</v>
      </c>
      <c r="C312" s="939">
        <v>0</v>
      </c>
      <c r="D312" s="939">
        <f t="shared" ref="D312:AI312" si="2823">+(C307+D307)/2*D309</f>
        <v>1206.6625349409499</v>
      </c>
      <c r="E312" s="939">
        <f t="shared" si="2823"/>
        <v>2542.3579453879788</v>
      </c>
      <c r="F312" s="939">
        <f t="shared" si="2823"/>
        <v>2594.3102949734475</v>
      </c>
      <c r="G312" s="939">
        <f t="shared" si="2823"/>
        <v>3618.3871497947025</v>
      </c>
      <c r="H312" s="939">
        <f t="shared" si="2823"/>
        <v>4240.51024412067</v>
      </c>
      <c r="I312" s="939">
        <f t="shared" si="2823"/>
        <v>4005.4784026774605</v>
      </c>
      <c r="J312" s="939">
        <f t="shared" si="2823"/>
        <v>3387.3918862070054</v>
      </c>
      <c r="K312" s="939">
        <f t="shared" si="2823"/>
        <v>3181.6635652482487</v>
      </c>
      <c r="L312" s="939">
        <f t="shared" si="2823"/>
        <v>3593.3511391182051</v>
      </c>
      <c r="M312" s="939">
        <f t="shared" si="2823"/>
        <v>3490.2640960000003</v>
      </c>
      <c r="N312" s="939">
        <f t="shared" si="2823"/>
        <v>3052.5692109776887</v>
      </c>
      <c r="O312" s="939">
        <f t="shared" si="2823"/>
        <v>3114.9769639999995</v>
      </c>
      <c r="P312" s="939">
        <f t="shared" si="2823"/>
        <v>3178.6069680000001</v>
      </c>
      <c r="Q312" s="939">
        <f t="shared" si="2823"/>
        <v>3432.6079218626164</v>
      </c>
      <c r="R312" s="939">
        <f t="shared" si="2823"/>
        <v>5845.3483835064008</v>
      </c>
      <c r="S312" s="939">
        <f t="shared" si="2823"/>
        <v>5577.7246335005484</v>
      </c>
      <c r="T312" s="939">
        <f t="shared" si="2823"/>
        <v>3676.3473020122542</v>
      </c>
      <c r="U312" s="939">
        <f t="shared" si="2823"/>
        <v>5157.3560585299501</v>
      </c>
      <c r="V312" s="939">
        <f t="shared" si="2823"/>
        <v>9199.8958957541035</v>
      </c>
      <c r="W312" s="939">
        <f t="shared" si="2823"/>
        <v>10438.046961820217</v>
      </c>
      <c r="X312" s="939">
        <f t="shared" si="2823"/>
        <v>7535.7016312158803</v>
      </c>
      <c r="Y312" s="939">
        <f t="shared" si="2823"/>
        <v>7041.6221226494772</v>
      </c>
      <c r="Z312" s="939">
        <f t="shared" si="2823"/>
        <v>8401.5122774875581</v>
      </c>
      <c r="AA312" s="939">
        <f t="shared" si="2823"/>
        <v>9718.5144790361064</v>
      </c>
      <c r="AB312" s="939">
        <f t="shared" si="2823"/>
        <v>11100.78241259135</v>
      </c>
      <c r="AC312" s="939">
        <f t="shared" si="2823"/>
        <v>12299.554672956796</v>
      </c>
      <c r="AD312" s="939">
        <f t="shared" si="2823"/>
        <v>6455.9776033937706</v>
      </c>
      <c r="AE312" s="939">
        <f t="shared" si="2823"/>
        <v>812.18904707017236</v>
      </c>
      <c r="AF312" s="939">
        <f t="shared" si="2823"/>
        <v>756.32947390228981</v>
      </c>
      <c r="AG312" s="939">
        <f t="shared" si="2823"/>
        <v>1058.8400238978925</v>
      </c>
      <c r="AH312" s="939">
        <f t="shared" si="2823"/>
        <v>1196.4359801194016</v>
      </c>
      <c r="AI312" s="939">
        <f t="shared" si="2823"/>
        <v>1116.7835314251486</v>
      </c>
      <c r="AJ312" s="939">
        <f t="shared" ref="AJ312:BD312" si="2824">+(AI307+AJ307)/2*AJ309</f>
        <v>1038.2395328965392</v>
      </c>
      <c r="AK312" s="939">
        <f t="shared" si="2824"/>
        <v>1176.3567655763272</v>
      </c>
      <c r="AL312" s="939">
        <f t="shared" si="2824"/>
        <v>1165.6285464615235</v>
      </c>
      <c r="AM312" s="939">
        <f t="shared" si="2824"/>
        <v>1694.9286854774862</v>
      </c>
      <c r="AN312" s="939">
        <f t="shared" si="2824"/>
        <v>1599.9196511122971</v>
      </c>
      <c r="AO312" s="939">
        <f t="shared" si="2824"/>
        <v>1655.2263059118436</v>
      </c>
      <c r="AP312" s="939">
        <f t="shared" si="2824"/>
        <v>1651.9685438396759</v>
      </c>
      <c r="AQ312" s="939">
        <f t="shared" si="2824"/>
        <v>647.45562500000005</v>
      </c>
      <c r="AR312" s="939">
        <f t="shared" si="2824"/>
        <v>877.14841412358362</v>
      </c>
      <c r="AS312" s="939">
        <f t="shared" si="2824"/>
        <v>3932.4021773377231</v>
      </c>
      <c r="AT312" s="939">
        <f t="shared" si="2824"/>
        <v>7156.2510637707392</v>
      </c>
      <c r="AU312" s="939">
        <f t="shared" si="2824"/>
        <v>7968.7270425247343</v>
      </c>
      <c r="AV312" s="939">
        <f t="shared" si="2824"/>
        <v>9864.0986897892108</v>
      </c>
      <c r="AW312" s="939">
        <f t="shared" si="2824"/>
        <v>11914.133877987249</v>
      </c>
      <c r="AX312" s="939">
        <f t="shared" si="2824"/>
        <v>12541.794923365716</v>
      </c>
      <c r="AY312" s="939">
        <f t="shared" si="2824"/>
        <v>14390.621552400111</v>
      </c>
      <c r="AZ312" s="939">
        <f t="shared" si="2824"/>
        <v>16923.635584018226</v>
      </c>
      <c r="BA312" s="939">
        <f t="shared" si="2824"/>
        <v>12323.444076560847</v>
      </c>
      <c r="BB312" s="939">
        <f t="shared" si="2824"/>
        <v>9508.7305224565134</v>
      </c>
      <c r="BC312" s="939">
        <f t="shared" si="2824"/>
        <v>15553.470477036828</v>
      </c>
      <c r="BD312" s="939">
        <f t="shared" si="2824"/>
        <v>17649.814687060691</v>
      </c>
      <c r="BE312" s="939">
        <f t="shared" ref="BE312:BO312" si="2825">+(BD307+BE307)/2*BE309</f>
        <v>12613.929225273483</v>
      </c>
      <c r="BF312" s="939">
        <f t="shared" si="2825"/>
        <v>7724.0831270869503</v>
      </c>
      <c r="BG312" s="939">
        <f t="shared" si="2825"/>
        <v>7007.6239121396075</v>
      </c>
      <c r="BH312" s="939">
        <f t="shared" si="2825"/>
        <v>7902.0345039623026</v>
      </c>
      <c r="BI312" s="939">
        <f t="shared" si="2825"/>
        <v>10344.423771903132</v>
      </c>
      <c r="BJ312" s="939">
        <f t="shared" si="2825"/>
        <v>12015.061389675999</v>
      </c>
      <c r="BK312" s="939">
        <f t="shared" si="2825"/>
        <v>14562.190064739831</v>
      </c>
      <c r="BL312" s="939">
        <f t="shared" si="2825"/>
        <v>14350.502226569215</v>
      </c>
      <c r="BM312" s="939">
        <f t="shared" si="2825"/>
        <v>9933.2139072451118</v>
      </c>
      <c r="BN312" s="939">
        <f t="shared" si="2825"/>
        <v>7994.5393204298452</v>
      </c>
      <c r="BO312" s="939">
        <f t="shared" si="2825"/>
        <v>10951.0528381855</v>
      </c>
      <c r="BP312" s="939">
        <f>+(BO307+BP307)/2*BP309</f>
        <v>12268.500050317287</v>
      </c>
      <c r="BQ312" s="939">
        <f t="shared" ref="BQ312:CD312" si="2826">+(BP307+BQ307)/2*BQ309</f>
        <v>8125.6358613129705</v>
      </c>
      <c r="BR312" s="939">
        <f t="shared" si="2826"/>
        <v>7042.7668615367456</v>
      </c>
      <c r="BS312" s="939">
        <f t="shared" si="2826"/>
        <v>6216.5649984856591</v>
      </c>
      <c r="BT312" s="939">
        <f t="shared" si="2826"/>
        <v>4934.4055426615896</v>
      </c>
      <c r="BU312" s="939">
        <f t="shared" si="2826"/>
        <v>5271.5928854962312</v>
      </c>
      <c r="BV312" s="939">
        <f t="shared" si="2826"/>
        <v>20767.84290134691</v>
      </c>
      <c r="BW312" s="939">
        <f t="shared" si="2826"/>
        <v>43118.70093334491</v>
      </c>
      <c r="BX312" s="939">
        <f t="shared" si="2826"/>
        <v>46959.833960032098</v>
      </c>
      <c r="BY312" s="939">
        <f t="shared" si="2826"/>
        <v>43439.345239669325</v>
      </c>
      <c r="BZ312" s="939">
        <f t="shared" si="2826"/>
        <v>22865.423044980584</v>
      </c>
      <c r="CA312" s="939">
        <f t="shared" si="2826"/>
        <v>12287.302861825623</v>
      </c>
      <c r="CB312" s="939">
        <f t="shared" si="2826"/>
        <v>20900.319223055121</v>
      </c>
      <c r="CC312" s="939">
        <f t="shared" si="2826"/>
        <v>21111.831130407329</v>
      </c>
      <c r="CD312" s="939">
        <f t="shared" si="2826"/>
        <v>19281.50425432151</v>
      </c>
      <c r="CE312" s="939">
        <f t="shared" ref="CE312:CI312" si="2827">+(CD307+CE307)/2*CE309</f>
        <v>17382.016177586782</v>
      </c>
      <c r="CF312" s="939">
        <f t="shared" si="2827"/>
        <v>16275.513009935908</v>
      </c>
      <c r="CG312" s="939">
        <f t="shared" si="2827"/>
        <v>16171.952548829879</v>
      </c>
      <c r="CH312" s="939">
        <f t="shared" si="2827"/>
        <v>17264.2559758932</v>
      </c>
      <c r="CI312" s="939">
        <f t="shared" si="2827"/>
        <v>0</v>
      </c>
      <c r="CJ312" s="939">
        <f t="shared" ref="CJ312" si="2828">+(CI307+CJ307)/2*CJ309</f>
        <v>0</v>
      </c>
      <c r="CK312" s="939">
        <f t="shared" ref="CK312" si="2829">+(CJ307+CK307)/2*CK309</f>
        <v>0</v>
      </c>
      <c r="CL312" s="939">
        <f t="shared" ref="CL312" si="2830">+(CK307+CL307)/2*CL309</f>
        <v>22688.585863313489</v>
      </c>
      <c r="CM312" s="939">
        <f t="shared" ref="CM312" si="2831">+(CL307+CM307)/2*CM309</f>
        <v>21969.194676130421</v>
      </c>
      <c r="CN312" s="939">
        <f t="shared" ref="CN312" si="2832">+(CM307+CN307)/2*CN309</f>
        <v>20523.314285803866</v>
      </c>
      <c r="CO312" s="939">
        <f t="shared" ref="CO312" si="2833">+(CN307+CO307)/2*CO309</f>
        <v>19432.621245756138</v>
      </c>
      <c r="CP312" s="939">
        <f t="shared" ref="CP312" si="2834">+(CO307+CP307)/2*CP309</f>
        <v>18702.465914993511</v>
      </c>
      <c r="CQ312" s="939"/>
      <c r="CR312" s="939">
        <v>22688.585863313489</v>
      </c>
      <c r="CT312" s="939"/>
      <c r="CU312" s="939"/>
      <c r="CV312" s="939"/>
      <c r="CW312" s="939"/>
      <c r="CX312" s="903">
        <f>+SUM(O312:R312)</f>
        <v>15571.540237369016</v>
      </c>
      <c r="CY312" s="903">
        <f>+SUM(S312:V312)</f>
        <v>23611.323889796855</v>
      </c>
      <c r="CZ312" s="903">
        <f>+SUM(W312:Z312)</f>
        <v>33416.882993173131</v>
      </c>
      <c r="DA312" s="903">
        <f>+SUM(AA312:AD312)</f>
        <v>39574.829167978023</v>
      </c>
      <c r="DB312" s="903">
        <f>+SUM(AE312:AH312)</f>
        <v>3823.7945249897566</v>
      </c>
      <c r="DC312" s="939">
        <f>+SUM(AI312:AL312)</f>
        <v>4497.0083763595385</v>
      </c>
      <c r="DD312" s="954">
        <f>+SUM(AM312:AP312)</f>
        <v>6602.0431863413032</v>
      </c>
      <c r="DE312" s="954">
        <f>+SUM(AQ312:AT312)</f>
        <v>12613.257280232046</v>
      </c>
      <c r="DF312" s="903">
        <f>+SUM(AU312:AX312)</f>
        <v>42288.754533666914</v>
      </c>
      <c r="DG312" s="939">
        <f>+SUM(AY312:BB312)</f>
        <v>53146.431735435697</v>
      </c>
      <c r="DH312" s="939">
        <f>+SUM(BC312:BF312)</f>
        <v>53541.297516457955</v>
      </c>
      <c r="DI312" s="939">
        <f>+SUM(BG312:BJ312)</f>
        <v>37269.143577681039</v>
      </c>
      <c r="DJ312" s="939">
        <f>+SUM(BK312:BN312)</f>
        <v>46840.445518984001</v>
      </c>
      <c r="DK312" s="939">
        <f>+SUM(BO312:BR312)</f>
        <v>38387.955611352503</v>
      </c>
      <c r="DL312" s="939">
        <f>+SUM(BS312:BV312)</f>
        <v>37190.406327990393</v>
      </c>
      <c r="DM312" s="939">
        <f>+SUM(BW312:BZ312)</f>
        <v>156383.30317802692</v>
      </c>
      <c r="DN312" s="939">
        <f>+SUM(CA312:CD312)</f>
        <v>73580.957469609581</v>
      </c>
      <c r="DO312" s="939">
        <f>+SUM(CE312:CH312)</f>
        <v>67093.737712245769</v>
      </c>
      <c r="DP312" s="939">
        <f>+SUM(CI312:CL312)</f>
        <v>22688.585863313489</v>
      </c>
      <c r="DQ312" s="939">
        <f>+SUM(CM312:CP312)</f>
        <v>80627.596122683928</v>
      </c>
      <c r="DR312" s="599">
        <f>+(DQ307+DR307)/2*DR309</f>
        <v>71366.35500000001</v>
      </c>
      <c r="DS312" s="599">
        <f t="shared" ref="DS312:DU312" si="2835">+(DR307+DS307)/2*DS309</f>
        <v>68263.47</v>
      </c>
      <c r="DT312" s="599">
        <f t="shared" si="2835"/>
        <v>62057.700000000004</v>
      </c>
      <c r="DU312" s="599">
        <f t="shared" si="2835"/>
        <v>55851.93</v>
      </c>
      <c r="DX312" s="599">
        <v>17250.630800000003</v>
      </c>
      <c r="DY312" s="599">
        <v>14972.2456</v>
      </c>
    </row>
    <row r="313" spans="1:129">
      <c r="A313" s="592"/>
      <c r="B313" s="592"/>
      <c r="C313" s="592"/>
      <c r="D313" s="592"/>
      <c r="E313" s="592"/>
      <c r="F313" s="592"/>
      <c r="G313" s="592"/>
      <c r="H313" s="592"/>
      <c r="I313" s="592"/>
      <c r="J313" s="592"/>
      <c r="K313" s="592"/>
      <c r="L313" s="592"/>
      <c r="M313" s="592"/>
      <c r="N313" s="592"/>
      <c r="O313" s="592"/>
      <c r="P313" s="592"/>
      <c r="Q313" s="592"/>
      <c r="R313" s="592"/>
      <c r="S313" s="592"/>
      <c r="T313" s="592"/>
      <c r="U313" s="592"/>
      <c r="V313" s="592"/>
      <c r="W313" s="592"/>
      <c r="X313" s="592"/>
      <c r="Y313" s="592"/>
      <c r="Z313" s="911"/>
      <c r="AA313" s="911"/>
      <c r="AB313" s="592"/>
      <c r="AC313" s="592"/>
      <c r="AD313" s="592"/>
      <c r="AE313" s="592"/>
      <c r="AF313" s="592"/>
      <c r="AG313" s="592"/>
      <c r="AH313" s="592"/>
      <c r="AI313" s="592"/>
      <c r="AJ313" s="1019">
        <f>+AJ311/MACRO!AW6</f>
        <v>1.2</v>
      </c>
      <c r="AK313" s="1019">
        <f>+AK311/MACRO!AX6</f>
        <v>1.2666823306574269</v>
      </c>
      <c r="AL313" s="1019">
        <f>+AL311/MACRO!AY6</f>
        <v>1.1787999999999998</v>
      </c>
      <c r="AM313" s="1019">
        <f>+AM311/MACRO!AZ6</f>
        <v>1.7260080096769876</v>
      </c>
      <c r="AN313" s="1019">
        <f>+AN311/MACRO!BA6</f>
        <v>1.3100257285928245</v>
      </c>
      <c r="AO313" s="1019">
        <f>+AO311/MACRO!BB6</f>
        <v>1.0806905088145584</v>
      </c>
      <c r="AP313" s="1019">
        <f>+AP311/MACRO!BC6</f>
        <v>1.1174498758566496</v>
      </c>
      <c r="AQ313" s="1019">
        <f>+AQ311/MACRO!BD6</f>
        <v>0.83996504900872127</v>
      </c>
      <c r="AR313" s="1019">
        <f>+AR311/MACRO!BE6</f>
        <v>0.76714933587698031</v>
      </c>
      <c r="AS313" s="1019">
        <f>+AS311/MACRO!BF6</f>
        <v>1.0657947265831225</v>
      </c>
      <c r="AT313" s="1019">
        <f>+AT311/MACRO!BG6</f>
        <v>1.1996210642894309</v>
      </c>
      <c r="AU313" s="1019">
        <f>+AU311/MACRO!BH6</f>
        <v>1.1050210250712191</v>
      </c>
      <c r="AV313" s="1019">
        <f>+AV311/MACRO!BI6</f>
        <v>1.0169985574602638</v>
      </c>
      <c r="AW313" s="1019">
        <f>+AW311/MACRO!BJ6</f>
        <v>0.937277413791197</v>
      </c>
      <c r="AX313" s="1019">
        <f>+AX311/MACRO!BK6</f>
        <v>0.95850175128250403</v>
      </c>
      <c r="AY313" s="1019">
        <f>+AY311/MACRO!BL6</f>
        <v>1.072202689780698</v>
      </c>
      <c r="AZ313" s="1019">
        <f>+AZ311/MACRO!BM6</f>
        <v>1.079616116160381</v>
      </c>
      <c r="BA313" s="1019">
        <f>+BA311/MACRO!BN6</f>
        <v>1.0196437728577754</v>
      </c>
      <c r="BB313" s="1019">
        <f>+BB311/MACRO!BO6</f>
        <v>1.0801513113355146</v>
      </c>
      <c r="BC313" s="1019">
        <f>+BC311/MACRO!BP6</f>
        <v>1.1269982453489831</v>
      </c>
      <c r="BD313" s="1019">
        <f>+BD311/MACRO!BQ6</f>
        <v>1.0895330118175304</v>
      </c>
      <c r="BE313" s="1019">
        <v>1.1000000000000001</v>
      </c>
      <c r="BF313" s="1019">
        <f>+BE313</f>
        <v>1.1000000000000001</v>
      </c>
      <c r="BG313" s="1019">
        <f>+BF313</f>
        <v>1.1000000000000001</v>
      </c>
      <c r="BH313" s="1019">
        <f>+BG313</f>
        <v>1.1000000000000001</v>
      </c>
      <c r="BI313" s="1019">
        <f>+BH313</f>
        <v>1.1000000000000001</v>
      </c>
      <c r="BJ313" s="1019">
        <f>+BI313</f>
        <v>1.1000000000000001</v>
      </c>
      <c r="BK313" s="1019">
        <v>1.06</v>
      </c>
      <c r="BL313" s="1019">
        <v>1.06</v>
      </c>
      <c r="BM313" s="1019">
        <v>1.06</v>
      </c>
      <c r="BN313" s="1019">
        <v>1.06</v>
      </c>
      <c r="BO313" s="1019">
        <v>1.06</v>
      </c>
      <c r="BP313" s="1019">
        <v>1.06</v>
      </c>
      <c r="BQ313" s="1019">
        <v>1.06</v>
      </c>
      <c r="BR313" s="1019">
        <v>1.06</v>
      </c>
      <c r="BS313" s="1019">
        <v>1.06</v>
      </c>
      <c r="BT313" s="1019">
        <v>1.06</v>
      </c>
      <c r="BU313" s="1019">
        <v>1.06</v>
      </c>
      <c r="BV313" s="1019">
        <v>1.06</v>
      </c>
      <c r="BW313" s="1019">
        <v>1.06</v>
      </c>
      <c r="BX313" s="1019">
        <v>1.06</v>
      </c>
      <c r="BY313" s="1019">
        <v>1.06</v>
      </c>
      <c r="BZ313" s="1019">
        <v>1.06</v>
      </c>
      <c r="CA313" s="1019">
        <v>1.06</v>
      </c>
      <c r="CB313" s="1019">
        <v>1.06</v>
      </c>
      <c r="CC313" s="1019">
        <v>1.06</v>
      </c>
      <c r="CD313" s="1019">
        <v>1.06</v>
      </c>
      <c r="CE313" s="1019">
        <v>1.06</v>
      </c>
      <c r="CF313" s="1019">
        <v>1.06</v>
      </c>
      <c r="CG313" s="1019">
        <v>1.06</v>
      </c>
      <c r="CH313" s="1019">
        <v>1.06</v>
      </c>
      <c r="CI313" s="1019">
        <v>1.06</v>
      </c>
      <c r="CJ313" s="1019">
        <v>1.06</v>
      </c>
      <c r="CK313" s="1019">
        <v>1.06</v>
      </c>
      <c r="CL313" s="1019">
        <v>1.06</v>
      </c>
      <c r="CM313" s="1019">
        <v>1.06</v>
      </c>
      <c r="CN313" s="1019">
        <v>1.06</v>
      </c>
      <c r="CO313" s="1019">
        <v>1.06</v>
      </c>
      <c r="CP313" s="1019">
        <v>1.06</v>
      </c>
      <c r="CQ313" s="1020"/>
      <c r="CR313" s="1020">
        <v>1.06</v>
      </c>
      <c r="CT313" s="899"/>
      <c r="CU313" s="899"/>
      <c r="CV313" s="899"/>
      <c r="CW313" s="899"/>
      <c r="CX313" s="899"/>
      <c r="CY313" s="1021">
        <f>+CY311/MACRO!DQ6</f>
        <v>1.0052048005327234</v>
      </c>
      <c r="CZ313" s="1021">
        <f>+CZ311/MACRO!DR6</f>
        <v>1.3297044556696529</v>
      </c>
      <c r="DA313" s="1021">
        <f>+DA311/MACRO!DS6</f>
        <v>1.0764601404427641</v>
      </c>
      <c r="DB313" s="1021">
        <f>+DB311/MACRO!DT6</f>
        <v>1.2330419519340856</v>
      </c>
      <c r="DC313" s="1021">
        <f>+DC311/MACRO!DU6</f>
        <v>1.2107976933212599</v>
      </c>
      <c r="DD313" s="1021">
        <f>+DD311/MACRO!DV6</f>
        <v>1.2823621002363264</v>
      </c>
      <c r="DE313" s="1021"/>
      <c r="DF313" s="899"/>
      <c r="DG313" s="899"/>
      <c r="DI313" s="899"/>
      <c r="DJ313" s="899"/>
      <c r="DK313" s="899"/>
      <c r="DL313" s="1020">
        <f t="shared" ref="DL313:DQ313" si="2836">+BV313</f>
        <v>1.06</v>
      </c>
      <c r="DM313" s="1020">
        <f t="shared" si="2836"/>
        <v>1.06</v>
      </c>
      <c r="DN313" s="1020">
        <f t="shared" si="2836"/>
        <v>1.06</v>
      </c>
      <c r="DO313" s="1020">
        <f t="shared" si="2836"/>
        <v>1.06</v>
      </c>
      <c r="DP313" s="1020">
        <f t="shared" si="2836"/>
        <v>1.06</v>
      </c>
      <c r="DQ313" s="1020">
        <f t="shared" si="2836"/>
        <v>1.06</v>
      </c>
      <c r="DR313" s="899"/>
      <c r="DS313" s="899"/>
      <c r="DT313" s="899"/>
      <c r="DU313" s="899"/>
      <c r="DX313" s="899"/>
      <c r="DY313" s="899"/>
    </row>
    <row r="314" spans="1:129" s="904" customFormat="1">
      <c r="A314" s="939"/>
      <c r="B314" s="949" t="s">
        <v>560</v>
      </c>
      <c r="C314" s="961">
        <f t="shared" ref="C314:U314" si="2837">+C298-C307</f>
        <v>0</v>
      </c>
      <c r="D314" s="961">
        <f t="shared" si="2837"/>
        <v>0</v>
      </c>
      <c r="E314" s="961">
        <f t="shared" si="2837"/>
        <v>0</v>
      </c>
      <c r="F314" s="961">
        <f t="shared" si="2837"/>
        <v>0</v>
      </c>
      <c r="G314" s="961">
        <f t="shared" si="2837"/>
        <v>0</v>
      </c>
      <c r="H314" s="961">
        <f t="shared" si="2837"/>
        <v>0</v>
      </c>
      <c r="I314" s="961">
        <f t="shared" si="2837"/>
        <v>0</v>
      </c>
      <c r="J314" s="961">
        <f t="shared" si="2837"/>
        <v>0</v>
      </c>
      <c r="K314" s="961">
        <f t="shared" si="2837"/>
        <v>0</v>
      </c>
      <c r="L314" s="961">
        <f t="shared" si="2837"/>
        <v>0</v>
      </c>
      <c r="M314" s="961">
        <f t="shared" si="2837"/>
        <v>0</v>
      </c>
      <c r="N314" s="961">
        <f t="shared" si="2837"/>
        <v>0</v>
      </c>
      <c r="O314" s="961">
        <f t="shared" si="2837"/>
        <v>0</v>
      </c>
      <c r="P314" s="961">
        <f t="shared" si="2837"/>
        <v>0</v>
      </c>
      <c r="Q314" s="961">
        <f t="shared" si="2837"/>
        <v>0</v>
      </c>
      <c r="R314" s="961">
        <f t="shared" si="2837"/>
        <v>0</v>
      </c>
      <c r="S314" s="961">
        <f t="shared" si="2837"/>
        <v>0</v>
      </c>
      <c r="T314" s="961">
        <f t="shared" si="2837"/>
        <v>0</v>
      </c>
      <c r="U314" s="961">
        <f t="shared" si="2837"/>
        <v>0</v>
      </c>
      <c r="V314" s="961">
        <f t="shared" ref="V314:AR314" si="2838">V315*V298</f>
        <v>0</v>
      </c>
      <c r="W314" s="961">
        <f t="shared" si="2838"/>
        <v>0</v>
      </c>
      <c r="X314" s="961">
        <f t="shared" si="2838"/>
        <v>0</v>
      </c>
      <c r="Y314" s="961">
        <f t="shared" si="2838"/>
        <v>0</v>
      </c>
      <c r="Z314" s="961">
        <f t="shared" si="2838"/>
        <v>0</v>
      </c>
      <c r="AA314" s="961">
        <f t="shared" si="2838"/>
        <v>0</v>
      </c>
      <c r="AB314" s="961">
        <f t="shared" si="2838"/>
        <v>0</v>
      </c>
      <c r="AC314" s="961">
        <f t="shared" si="2838"/>
        <v>0</v>
      </c>
      <c r="AD314" s="961">
        <f t="shared" si="2838"/>
        <v>0</v>
      </c>
      <c r="AE314" s="961">
        <f t="shared" si="2838"/>
        <v>0</v>
      </c>
      <c r="AF314" s="961">
        <f t="shared" si="2838"/>
        <v>0</v>
      </c>
      <c r="AG314" s="961">
        <f t="shared" si="2838"/>
        <v>0</v>
      </c>
      <c r="AH314" s="961">
        <f t="shared" si="2838"/>
        <v>0</v>
      </c>
      <c r="AI314" s="961">
        <f t="shared" si="2838"/>
        <v>0</v>
      </c>
      <c r="AJ314" s="961">
        <f t="shared" si="2838"/>
        <v>0</v>
      </c>
      <c r="AK314" s="961">
        <f t="shared" si="2838"/>
        <v>0</v>
      </c>
      <c r="AL314" s="961">
        <f t="shared" si="2838"/>
        <v>0</v>
      </c>
      <c r="AM314" s="961">
        <f t="shared" si="2838"/>
        <v>0</v>
      </c>
      <c r="AN314" s="961">
        <f t="shared" si="2838"/>
        <v>0</v>
      </c>
      <c r="AO314" s="961">
        <f t="shared" si="2838"/>
        <v>0</v>
      </c>
      <c r="AP314" s="961">
        <f t="shared" si="2838"/>
        <v>0</v>
      </c>
      <c r="AQ314" s="961">
        <f t="shared" si="2838"/>
        <v>0</v>
      </c>
      <c r="AR314" s="961">
        <f t="shared" si="2838"/>
        <v>0</v>
      </c>
      <c r="AS314" s="961"/>
      <c r="AT314" s="961"/>
      <c r="AU314" s="961"/>
      <c r="AV314" s="961"/>
      <c r="AW314" s="961"/>
      <c r="AX314" s="961"/>
      <c r="AY314" s="961"/>
      <c r="AZ314" s="1022"/>
      <c r="BA314" s="1022"/>
      <c r="BB314" s="1022"/>
      <c r="BC314" s="1022"/>
      <c r="BD314" s="961"/>
      <c r="BE314" s="961"/>
      <c r="BF314" s="961"/>
      <c r="BG314" s="961"/>
      <c r="BH314" s="961"/>
      <c r="BI314" s="961"/>
      <c r="BJ314" s="961"/>
      <c r="BK314" s="961"/>
      <c r="BL314" s="961"/>
      <c r="BM314" s="961"/>
      <c r="BN314" s="961"/>
      <c r="BO314" s="961"/>
      <c r="BP314" s="961"/>
      <c r="BQ314" s="961"/>
      <c r="BR314" s="961"/>
      <c r="BS314" s="961"/>
      <c r="BT314" s="961"/>
      <c r="BU314" s="961"/>
      <c r="BV314" s="961"/>
      <c r="BW314" s="961"/>
      <c r="BX314" s="961"/>
      <c r="BY314" s="961"/>
      <c r="BZ314" s="961"/>
      <c r="CA314" s="961"/>
      <c r="CB314" s="961"/>
      <c r="CC314" s="961"/>
      <c r="CD314" s="961"/>
      <c r="CE314" s="961"/>
      <c r="CF314" s="961"/>
      <c r="CG314" s="961"/>
      <c r="CH314" s="961"/>
      <c r="CI314" s="961"/>
      <c r="CJ314" s="961"/>
      <c r="CK314" s="961"/>
      <c r="CL314" s="961"/>
      <c r="CM314" s="961"/>
      <c r="CN314" s="961"/>
      <c r="CO314" s="961"/>
      <c r="CP314" s="961"/>
      <c r="CQ314" s="961"/>
      <c r="CR314" s="961"/>
      <c r="CT314" s="961"/>
      <c r="CU314" s="961"/>
      <c r="CV314" s="961"/>
      <c r="CW314" s="961"/>
      <c r="CX314" s="592"/>
      <c r="CY314" s="961"/>
      <c r="CZ314" s="592"/>
      <c r="DA314" s="592"/>
      <c r="DB314" s="592"/>
      <c r="DC314" s="939"/>
      <c r="DD314" s="592"/>
      <c r="DE314" s="939"/>
      <c r="DF314" s="592"/>
      <c r="DG314" s="592"/>
      <c r="DH314" s="592"/>
      <c r="DI314" s="592"/>
      <c r="DJ314" s="592"/>
      <c r="DK314" s="592"/>
      <c r="DL314" s="592"/>
      <c r="DM314" s="592"/>
      <c r="DN314" s="592"/>
      <c r="DO314" s="592"/>
      <c r="DP314" s="592"/>
      <c r="DQ314" s="592"/>
      <c r="DR314" s="592"/>
      <c r="DS314" s="592"/>
      <c r="DT314" s="592"/>
      <c r="DU314" s="592"/>
      <c r="DX314" s="592"/>
      <c r="DY314" s="592"/>
    </row>
    <row r="315" spans="1:129" s="904" customFormat="1">
      <c r="A315" s="939"/>
      <c r="B315" s="949" t="s">
        <v>561</v>
      </c>
      <c r="C315" s="919"/>
      <c r="D315" s="919">
        <f t="shared" ref="D315:U315" si="2839">+D314/D298</f>
        <v>0</v>
      </c>
      <c r="E315" s="919">
        <f t="shared" si="2839"/>
        <v>0</v>
      </c>
      <c r="F315" s="919">
        <f t="shared" si="2839"/>
        <v>0</v>
      </c>
      <c r="G315" s="919">
        <f t="shared" si="2839"/>
        <v>0</v>
      </c>
      <c r="H315" s="919">
        <f t="shared" si="2839"/>
        <v>0</v>
      </c>
      <c r="I315" s="919">
        <f t="shared" si="2839"/>
        <v>0</v>
      </c>
      <c r="J315" s="919">
        <f t="shared" si="2839"/>
        <v>0</v>
      </c>
      <c r="K315" s="919">
        <f t="shared" si="2839"/>
        <v>0</v>
      </c>
      <c r="L315" s="919">
        <f t="shared" si="2839"/>
        <v>0</v>
      </c>
      <c r="M315" s="919">
        <f t="shared" si="2839"/>
        <v>0</v>
      </c>
      <c r="N315" s="919">
        <f t="shared" si="2839"/>
        <v>0</v>
      </c>
      <c r="O315" s="919">
        <f t="shared" si="2839"/>
        <v>0</v>
      </c>
      <c r="P315" s="919">
        <f t="shared" si="2839"/>
        <v>0</v>
      </c>
      <c r="Q315" s="919">
        <f t="shared" si="2839"/>
        <v>0</v>
      </c>
      <c r="R315" s="919">
        <f t="shared" si="2839"/>
        <v>0</v>
      </c>
      <c r="S315" s="919">
        <f t="shared" si="2839"/>
        <v>0</v>
      </c>
      <c r="T315" s="919">
        <f t="shared" si="2839"/>
        <v>0</v>
      </c>
      <c r="U315" s="919">
        <f t="shared" si="2839"/>
        <v>0</v>
      </c>
      <c r="V315" s="919">
        <f t="shared" ref="V315:AC315" si="2840">1-V308</f>
        <v>0</v>
      </c>
      <c r="W315" s="919">
        <f t="shared" si="2840"/>
        <v>0</v>
      </c>
      <c r="X315" s="919">
        <f t="shared" si="2840"/>
        <v>0</v>
      </c>
      <c r="Y315" s="919">
        <f t="shared" si="2840"/>
        <v>0</v>
      </c>
      <c r="Z315" s="919">
        <f t="shared" si="2840"/>
        <v>0</v>
      </c>
      <c r="AA315" s="919">
        <f t="shared" si="2840"/>
        <v>0</v>
      </c>
      <c r="AB315" s="919">
        <f t="shared" si="2840"/>
        <v>0</v>
      </c>
      <c r="AC315" s="919">
        <f t="shared" si="2840"/>
        <v>0</v>
      </c>
      <c r="AD315" s="919">
        <v>0</v>
      </c>
      <c r="AE315" s="919">
        <v>0</v>
      </c>
      <c r="AF315" s="919">
        <v>0</v>
      </c>
      <c r="AG315" s="919">
        <v>0</v>
      </c>
      <c r="AH315" s="919">
        <f t="shared" ref="AH315:AR315" si="2841">+AG315</f>
        <v>0</v>
      </c>
      <c r="AI315" s="919">
        <f t="shared" si="2841"/>
        <v>0</v>
      </c>
      <c r="AJ315" s="919">
        <f t="shared" si="2841"/>
        <v>0</v>
      </c>
      <c r="AK315" s="919">
        <f t="shared" si="2841"/>
        <v>0</v>
      </c>
      <c r="AL315" s="919">
        <f t="shared" si="2841"/>
        <v>0</v>
      </c>
      <c r="AM315" s="919">
        <f t="shared" si="2841"/>
        <v>0</v>
      </c>
      <c r="AN315" s="919">
        <f t="shared" si="2841"/>
        <v>0</v>
      </c>
      <c r="AO315" s="919">
        <f t="shared" si="2841"/>
        <v>0</v>
      </c>
      <c r="AP315" s="919">
        <f t="shared" si="2841"/>
        <v>0</v>
      </c>
      <c r="AQ315" s="919">
        <f t="shared" si="2841"/>
        <v>0</v>
      </c>
      <c r="AR315" s="919">
        <f t="shared" si="2841"/>
        <v>0</v>
      </c>
      <c r="AS315" s="919"/>
      <c r="AT315" s="919"/>
      <c r="AU315" s="919"/>
      <c r="AV315" s="919"/>
      <c r="AW315" s="919"/>
      <c r="AX315" s="919"/>
      <c r="AY315" s="919"/>
      <c r="AZ315" s="933"/>
      <c r="BA315" s="933"/>
      <c r="BB315" s="933"/>
      <c r="BC315" s="933"/>
      <c r="BD315" s="919"/>
      <c r="BE315" s="919"/>
      <c r="BF315" s="919"/>
      <c r="BG315" s="919"/>
      <c r="BH315" s="919"/>
      <c r="BI315" s="919"/>
      <c r="BJ315" s="919"/>
      <c r="BK315" s="919"/>
      <c r="BL315" s="919"/>
      <c r="BM315" s="919"/>
      <c r="BN315" s="919"/>
      <c r="BO315" s="919"/>
      <c r="BP315" s="919"/>
      <c r="BQ315" s="919"/>
      <c r="BR315" s="919"/>
      <c r="BS315" s="919"/>
      <c r="BT315" s="919"/>
      <c r="BU315" s="919"/>
      <c r="BV315" s="919"/>
      <c r="BW315" s="919"/>
      <c r="BX315" s="919"/>
      <c r="BY315" s="919"/>
      <c r="BZ315" s="919"/>
      <c r="CA315" s="919"/>
      <c r="CB315" s="919"/>
      <c r="CC315" s="919"/>
      <c r="CD315" s="919"/>
      <c r="CE315" s="919"/>
      <c r="CF315" s="919"/>
      <c r="CG315" s="919"/>
      <c r="CH315" s="919"/>
      <c r="CI315" s="919"/>
      <c r="CJ315" s="919"/>
      <c r="CK315" s="919"/>
      <c r="CL315" s="919"/>
      <c r="CM315" s="919"/>
      <c r="CN315" s="919"/>
      <c r="CO315" s="919"/>
      <c r="CP315" s="919"/>
      <c r="CQ315" s="919"/>
      <c r="CR315" s="919"/>
      <c r="CT315" s="919"/>
      <c r="CU315" s="919"/>
      <c r="CV315" s="919"/>
      <c r="CW315" s="919"/>
      <c r="CX315" s="919"/>
      <c r="CY315" s="983"/>
      <c r="CZ315" s="983"/>
      <c r="DA315" s="983"/>
      <c r="DB315" s="983"/>
      <c r="DC315" s="983"/>
      <c r="DD315" s="983"/>
      <c r="DE315" s="983"/>
      <c r="DF315" s="983"/>
      <c r="DG315" s="983"/>
      <c r="DH315" s="983"/>
      <c r="DI315" s="983"/>
      <c r="DJ315" s="983"/>
      <c r="DK315" s="983"/>
      <c r="DL315" s="983"/>
      <c r="DM315" s="983"/>
      <c r="DN315" s="983"/>
      <c r="DO315" s="983"/>
      <c r="DP315" s="983"/>
      <c r="DQ315" s="983"/>
      <c r="DR315" s="983"/>
      <c r="DS315" s="983"/>
      <c r="DT315" s="983"/>
      <c r="DU315" s="983"/>
      <c r="DX315" s="983"/>
      <c r="DY315" s="983"/>
    </row>
    <row r="316" spans="1:129" s="904" customFormat="1">
      <c r="A316" s="939"/>
      <c r="B316" s="949" t="s">
        <v>562</v>
      </c>
      <c r="C316" s="1009">
        <f t="shared" ref="C316:AR316" si="2842">+C318+C317</f>
        <v>0</v>
      </c>
      <c r="D316" s="1009">
        <f t="shared" si="2842"/>
        <v>0</v>
      </c>
      <c r="E316" s="1009">
        <f t="shared" si="2842"/>
        <v>0</v>
      </c>
      <c r="F316" s="1009">
        <f t="shared" si="2842"/>
        <v>0</v>
      </c>
      <c r="G316" s="1009">
        <f t="shared" si="2842"/>
        <v>0</v>
      </c>
      <c r="H316" s="1009">
        <f t="shared" si="2842"/>
        <v>0</v>
      </c>
      <c r="I316" s="1009">
        <f t="shared" si="2842"/>
        <v>0</v>
      </c>
      <c r="J316" s="1009">
        <f t="shared" si="2842"/>
        <v>0</v>
      </c>
      <c r="K316" s="1009">
        <f t="shared" si="2842"/>
        <v>0</v>
      </c>
      <c r="L316" s="1009">
        <f t="shared" si="2842"/>
        <v>0</v>
      </c>
      <c r="M316" s="1009">
        <f t="shared" si="2842"/>
        <v>0</v>
      </c>
      <c r="N316" s="1009">
        <f t="shared" si="2842"/>
        <v>0</v>
      </c>
      <c r="O316" s="1009">
        <f t="shared" si="2842"/>
        <v>0</v>
      </c>
      <c r="P316" s="1009">
        <f t="shared" si="2842"/>
        <v>0</v>
      </c>
      <c r="Q316" s="1009">
        <f t="shared" si="2842"/>
        <v>0</v>
      </c>
      <c r="R316" s="1009">
        <f t="shared" si="2842"/>
        <v>0</v>
      </c>
      <c r="S316" s="1009">
        <f t="shared" si="2842"/>
        <v>0</v>
      </c>
      <c r="T316" s="1009">
        <f t="shared" si="2842"/>
        <v>0</v>
      </c>
      <c r="U316" s="1009">
        <f t="shared" si="2842"/>
        <v>0</v>
      </c>
      <c r="V316" s="1009">
        <f t="shared" si="2842"/>
        <v>0</v>
      </c>
      <c r="W316" s="1009">
        <f t="shared" si="2842"/>
        <v>0</v>
      </c>
      <c r="X316" s="1009">
        <f t="shared" si="2842"/>
        <v>0</v>
      </c>
      <c r="Y316" s="1009">
        <f t="shared" si="2842"/>
        <v>0</v>
      </c>
      <c r="Z316" s="1009">
        <f t="shared" si="2842"/>
        <v>0</v>
      </c>
      <c r="AA316" s="1009">
        <f t="shared" si="2842"/>
        <v>0</v>
      </c>
      <c r="AB316" s="1009">
        <f t="shared" si="2842"/>
        <v>0</v>
      </c>
      <c r="AC316" s="1009">
        <f t="shared" si="2842"/>
        <v>0</v>
      </c>
      <c r="AD316" s="1009">
        <f t="shared" si="2842"/>
        <v>0</v>
      </c>
      <c r="AE316" s="1009">
        <f t="shared" si="2842"/>
        <v>0</v>
      </c>
      <c r="AF316" s="1009">
        <f t="shared" si="2842"/>
        <v>0</v>
      </c>
      <c r="AG316" s="1009">
        <f t="shared" si="2842"/>
        <v>0</v>
      </c>
      <c r="AH316" s="1009">
        <f t="shared" si="2842"/>
        <v>0</v>
      </c>
      <c r="AI316" s="1009">
        <f t="shared" si="2842"/>
        <v>0</v>
      </c>
      <c r="AJ316" s="1009">
        <f t="shared" si="2842"/>
        <v>0</v>
      </c>
      <c r="AK316" s="1009">
        <f t="shared" si="2842"/>
        <v>0</v>
      </c>
      <c r="AL316" s="1009">
        <f t="shared" si="2842"/>
        <v>0</v>
      </c>
      <c r="AM316" s="1009">
        <f t="shared" si="2842"/>
        <v>0</v>
      </c>
      <c r="AN316" s="1009">
        <f t="shared" si="2842"/>
        <v>0</v>
      </c>
      <c r="AO316" s="1009">
        <f t="shared" si="2842"/>
        <v>0</v>
      </c>
      <c r="AP316" s="1009">
        <f t="shared" si="2842"/>
        <v>0</v>
      </c>
      <c r="AQ316" s="1009">
        <f t="shared" si="2842"/>
        <v>0</v>
      </c>
      <c r="AR316" s="1009">
        <f t="shared" si="2842"/>
        <v>0</v>
      </c>
      <c r="AS316" s="1009"/>
      <c r="AT316" s="1009"/>
      <c r="AU316" s="1009"/>
      <c r="AV316" s="1009"/>
      <c r="AW316" s="1009"/>
      <c r="AX316" s="1009"/>
      <c r="AY316" s="1009"/>
      <c r="AZ316" s="1023"/>
      <c r="BA316" s="1023"/>
      <c r="BB316" s="1023"/>
      <c r="BC316" s="1023"/>
      <c r="BD316" s="1009"/>
      <c r="BE316" s="1009"/>
      <c r="BF316" s="1009"/>
      <c r="BG316" s="1009"/>
      <c r="BH316" s="1009"/>
      <c r="BI316" s="1009"/>
      <c r="BJ316" s="1009"/>
      <c r="BK316" s="1009"/>
      <c r="BL316" s="1009"/>
      <c r="BM316" s="1009"/>
      <c r="BN316" s="1009"/>
      <c r="BO316" s="1009"/>
      <c r="BP316" s="1009"/>
      <c r="BQ316" s="1009"/>
      <c r="BR316" s="1009"/>
      <c r="BS316" s="1009"/>
      <c r="BT316" s="1009"/>
      <c r="BU316" s="1009"/>
      <c r="BV316" s="1009"/>
      <c r="BW316" s="1009"/>
      <c r="BX316" s="1009"/>
      <c r="BY316" s="1009"/>
      <c r="BZ316" s="1009"/>
      <c r="CA316" s="1009"/>
      <c r="CB316" s="1009"/>
      <c r="CC316" s="1009"/>
      <c r="CD316" s="1009"/>
      <c r="CE316" s="1009"/>
      <c r="CF316" s="1009"/>
      <c r="CG316" s="1009"/>
      <c r="CH316" s="1009"/>
      <c r="CI316" s="1009"/>
      <c r="CJ316" s="1009"/>
      <c r="CK316" s="1009"/>
      <c r="CL316" s="1009"/>
      <c r="CM316" s="1009"/>
      <c r="CN316" s="1009"/>
      <c r="CO316" s="1009"/>
      <c r="CP316" s="1009"/>
      <c r="CQ316" s="1009"/>
      <c r="CR316" s="1009"/>
      <c r="CT316" s="1009"/>
      <c r="CU316" s="1009"/>
      <c r="CV316" s="1009"/>
      <c r="CW316" s="1009"/>
      <c r="CX316" s="1009"/>
      <c r="CY316" s="1009"/>
      <c r="CZ316" s="1009"/>
      <c r="DA316" s="1009"/>
      <c r="DB316" s="1009"/>
      <c r="DC316" s="594"/>
      <c r="DD316" s="1009"/>
      <c r="DE316" s="1009"/>
      <c r="DF316" s="1009"/>
      <c r="DG316" s="1009"/>
      <c r="DH316" s="1009"/>
      <c r="DI316" s="1009"/>
      <c r="DJ316" s="1009"/>
      <c r="DK316" s="1009"/>
      <c r="DL316" s="1009"/>
      <c r="DM316" s="1009"/>
      <c r="DN316" s="1009"/>
      <c r="DO316" s="1009"/>
      <c r="DP316" s="1009"/>
      <c r="DQ316" s="1009"/>
      <c r="DR316" s="1009"/>
      <c r="DS316" s="1009"/>
      <c r="DT316" s="1009"/>
      <c r="DU316" s="1009"/>
      <c r="DX316" s="1009"/>
      <c r="DY316" s="1009"/>
    </row>
    <row r="317" spans="1:129" s="904" customFormat="1">
      <c r="A317" s="939"/>
      <c r="B317" s="949" t="s">
        <v>544</v>
      </c>
      <c r="C317" s="1013">
        <v>0</v>
      </c>
      <c r="D317" s="1013">
        <v>0</v>
      </c>
      <c r="E317" s="1013">
        <v>0</v>
      </c>
      <c r="F317" s="1013">
        <v>0</v>
      </c>
      <c r="G317" s="1013">
        <v>0</v>
      </c>
      <c r="H317" s="1013">
        <v>0</v>
      </c>
      <c r="I317" s="1013">
        <v>0</v>
      </c>
      <c r="J317" s="1013">
        <v>0</v>
      </c>
      <c r="K317" s="1013">
        <v>0</v>
      </c>
      <c r="L317" s="1013">
        <v>0</v>
      </c>
      <c r="M317" s="1013">
        <v>0</v>
      </c>
      <c r="N317" s="1013">
        <v>0</v>
      </c>
      <c r="O317" s="1013">
        <v>0</v>
      </c>
      <c r="P317" s="1013">
        <v>0</v>
      </c>
      <c r="Q317" s="1013">
        <v>0</v>
      </c>
      <c r="R317" s="1013">
        <v>0</v>
      </c>
      <c r="S317" s="1013">
        <v>0</v>
      </c>
      <c r="T317" s="1013">
        <v>0</v>
      </c>
      <c r="U317" s="1013">
        <v>0</v>
      </c>
      <c r="V317" s="957">
        <f t="shared" ref="V317:AR317" si="2843">U317</f>
        <v>0</v>
      </c>
      <c r="W317" s="957">
        <f t="shared" si="2843"/>
        <v>0</v>
      </c>
      <c r="X317" s="957">
        <f t="shared" si="2843"/>
        <v>0</v>
      </c>
      <c r="Y317" s="957">
        <f t="shared" si="2843"/>
        <v>0</v>
      </c>
      <c r="Z317" s="957">
        <f t="shared" si="2843"/>
        <v>0</v>
      </c>
      <c r="AA317" s="957">
        <f t="shared" si="2843"/>
        <v>0</v>
      </c>
      <c r="AB317" s="957">
        <f t="shared" si="2843"/>
        <v>0</v>
      </c>
      <c r="AC317" s="957">
        <f t="shared" si="2843"/>
        <v>0</v>
      </c>
      <c r="AD317" s="957">
        <f t="shared" si="2843"/>
        <v>0</v>
      </c>
      <c r="AE317" s="957">
        <f t="shared" si="2843"/>
        <v>0</v>
      </c>
      <c r="AF317" s="957">
        <f t="shared" si="2843"/>
        <v>0</v>
      </c>
      <c r="AG317" s="957">
        <f t="shared" si="2843"/>
        <v>0</v>
      </c>
      <c r="AH317" s="957">
        <f t="shared" si="2843"/>
        <v>0</v>
      </c>
      <c r="AI317" s="957">
        <f t="shared" si="2843"/>
        <v>0</v>
      </c>
      <c r="AJ317" s="957">
        <f t="shared" si="2843"/>
        <v>0</v>
      </c>
      <c r="AK317" s="957">
        <f t="shared" si="2843"/>
        <v>0</v>
      </c>
      <c r="AL317" s="957">
        <f t="shared" si="2843"/>
        <v>0</v>
      </c>
      <c r="AM317" s="957">
        <f t="shared" si="2843"/>
        <v>0</v>
      </c>
      <c r="AN317" s="957">
        <f t="shared" si="2843"/>
        <v>0</v>
      </c>
      <c r="AO317" s="957">
        <f t="shared" si="2843"/>
        <v>0</v>
      </c>
      <c r="AP317" s="957">
        <f t="shared" si="2843"/>
        <v>0</v>
      </c>
      <c r="AQ317" s="957">
        <f t="shared" si="2843"/>
        <v>0</v>
      </c>
      <c r="AR317" s="957">
        <f t="shared" si="2843"/>
        <v>0</v>
      </c>
      <c r="AS317" s="957"/>
      <c r="AT317" s="957"/>
      <c r="AU317" s="957"/>
      <c r="AV317" s="957"/>
      <c r="AW317" s="957"/>
      <c r="AX317" s="957"/>
      <c r="AY317" s="957"/>
      <c r="AZ317" s="1014"/>
      <c r="BA317" s="1014"/>
      <c r="BB317" s="1014"/>
      <c r="BC317" s="1014"/>
      <c r="BD317" s="957"/>
      <c r="BE317" s="957"/>
      <c r="BF317" s="957"/>
      <c r="BG317" s="957"/>
      <c r="BH317" s="957"/>
      <c r="BI317" s="957"/>
      <c r="BJ317" s="957"/>
      <c r="BK317" s="957"/>
      <c r="BL317" s="957"/>
      <c r="BM317" s="957"/>
      <c r="BN317" s="957"/>
      <c r="BO317" s="957"/>
      <c r="BP317" s="957"/>
      <c r="BQ317" s="957"/>
      <c r="BR317" s="957"/>
      <c r="BS317" s="957"/>
      <c r="BT317" s="957"/>
      <c r="BU317" s="957"/>
      <c r="BV317" s="957"/>
      <c r="BW317" s="957"/>
      <c r="BX317" s="957"/>
      <c r="BY317" s="957"/>
      <c r="BZ317" s="957"/>
      <c r="CA317" s="957"/>
      <c r="CB317" s="957"/>
      <c r="CC317" s="957"/>
      <c r="CD317" s="957"/>
      <c r="CE317" s="957"/>
      <c r="CF317" s="957"/>
      <c r="CG317" s="957"/>
      <c r="CH317" s="957"/>
      <c r="CI317" s="957"/>
      <c r="CJ317" s="957"/>
      <c r="CK317" s="957"/>
      <c r="CL317" s="957"/>
      <c r="CM317" s="957"/>
      <c r="CN317" s="957"/>
      <c r="CO317" s="957"/>
      <c r="CP317" s="957"/>
      <c r="CQ317" s="957"/>
      <c r="CR317" s="957"/>
      <c r="CT317" s="957"/>
      <c r="CU317" s="957"/>
      <c r="CV317" s="957"/>
      <c r="CW317" s="957"/>
      <c r="CX317" s="911"/>
      <c r="CY317" s="911"/>
      <c r="CZ317" s="911"/>
      <c r="DA317" s="911"/>
      <c r="DB317" s="911"/>
      <c r="DC317" s="594"/>
      <c r="DD317" s="594"/>
      <c r="DE317" s="594"/>
      <c r="DF317" s="911"/>
      <c r="DG317" s="594"/>
      <c r="DH317" s="594"/>
      <c r="DI317" s="957"/>
      <c r="DJ317" s="957"/>
      <c r="DK317" s="957"/>
      <c r="DL317" s="957"/>
      <c r="DM317" s="957"/>
      <c r="DN317" s="957"/>
      <c r="DO317" s="957"/>
      <c r="DP317" s="957"/>
      <c r="DQ317" s="957"/>
      <c r="DR317" s="957"/>
      <c r="DS317" s="957"/>
      <c r="DT317" s="957"/>
      <c r="DU317" s="957"/>
      <c r="DX317" s="957"/>
      <c r="DY317" s="957"/>
    </row>
    <row r="318" spans="1:129" s="904" customFormat="1">
      <c r="A318" s="939"/>
      <c r="B318" s="949" t="s">
        <v>545</v>
      </c>
      <c r="C318" s="1013">
        <v>0</v>
      </c>
      <c r="D318" s="1013">
        <v>0</v>
      </c>
      <c r="E318" s="1013">
        <v>0</v>
      </c>
      <c r="F318" s="1013">
        <v>0</v>
      </c>
      <c r="G318" s="1013">
        <v>0</v>
      </c>
      <c r="H318" s="1013">
        <v>0</v>
      </c>
      <c r="I318" s="1013">
        <v>0</v>
      </c>
      <c r="J318" s="1013">
        <v>0</v>
      </c>
      <c r="K318" s="1013">
        <v>0</v>
      </c>
      <c r="L318" s="1013">
        <v>0</v>
      </c>
      <c r="M318" s="1013">
        <v>0</v>
      </c>
      <c r="N318" s="1013">
        <v>0</v>
      </c>
      <c r="O318" s="1013">
        <v>0</v>
      </c>
      <c r="P318" s="1013">
        <v>0</v>
      </c>
      <c r="Q318" s="1013">
        <v>0</v>
      </c>
      <c r="R318" s="1013">
        <v>0</v>
      </c>
      <c r="S318" s="1013">
        <v>0</v>
      </c>
      <c r="T318" s="1013">
        <v>0</v>
      </c>
      <c r="U318" s="1013">
        <v>0</v>
      </c>
      <c r="V318" s="957">
        <f t="shared" ref="V318:AR318" si="2844">U318</f>
        <v>0</v>
      </c>
      <c r="W318" s="957">
        <f t="shared" si="2844"/>
        <v>0</v>
      </c>
      <c r="X318" s="957">
        <f t="shared" si="2844"/>
        <v>0</v>
      </c>
      <c r="Y318" s="957">
        <f t="shared" si="2844"/>
        <v>0</v>
      </c>
      <c r="Z318" s="957">
        <f t="shared" si="2844"/>
        <v>0</v>
      </c>
      <c r="AA318" s="957">
        <f t="shared" si="2844"/>
        <v>0</v>
      </c>
      <c r="AB318" s="957">
        <f t="shared" si="2844"/>
        <v>0</v>
      </c>
      <c r="AC318" s="957">
        <f t="shared" si="2844"/>
        <v>0</v>
      </c>
      <c r="AD318" s="957">
        <f t="shared" si="2844"/>
        <v>0</v>
      </c>
      <c r="AE318" s="957">
        <f t="shared" si="2844"/>
        <v>0</v>
      </c>
      <c r="AF318" s="957">
        <f t="shared" si="2844"/>
        <v>0</v>
      </c>
      <c r="AG318" s="957">
        <f t="shared" si="2844"/>
        <v>0</v>
      </c>
      <c r="AH318" s="957">
        <f t="shared" si="2844"/>
        <v>0</v>
      </c>
      <c r="AI318" s="957">
        <f t="shared" si="2844"/>
        <v>0</v>
      </c>
      <c r="AJ318" s="957">
        <f t="shared" si="2844"/>
        <v>0</v>
      </c>
      <c r="AK318" s="957">
        <f t="shared" si="2844"/>
        <v>0</v>
      </c>
      <c r="AL318" s="957">
        <f t="shared" si="2844"/>
        <v>0</v>
      </c>
      <c r="AM318" s="957">
        <f t="shared" si="2844"/>
        <v>0</v>
      </c>
      <c r="AN318" s="957">
        <f t="shared" si="2844"/>
        <v>0</v>
      </c>
      <c r="AO318" s="957">
        <f t="shared" si="2844"/>
        <v>0</v>
      </c>
      <c r="AP318" s="957">
        <f t="shared" si="2844"/>
        <v>0</v>
      </c>
      <c r="AQ318" s="957">
        <f t="shared" si="2844"/>
        <v>0</v>
      </c>
      <c r="AR318" s="957">
        <f t="shared" si="2844"/>
        <v>0</v>
      </c>
      <c r="AS318" s="957"/>
      <c r="AT318" s="957"/>
      <c r="AU318" s="957"/>
      <c r="AV318" s="957"/>
      <c r="AW318" s="957"/>
      <c r="AX318" s="957"/>
      <c r="AY318" s="957"/>
      <c r="AZ318" s="1014"/>
      <c r="BA318" s="1014"/>
      <c r="BB318" s="1014"/>
      <c r="BC318" s="1014"/>
      <c r="BD318" s="957"/>
      <c r="BE318" s="957"/>
      <c r="BF318" s="957"/>
      <c r="BG318" s="957"/>
      <c r="BH318" s="957"/>
      <c r="BI318" s="957"/>
      <c r="BJ318" s="957"/>
      <c r="BK318" s="957"/>
      <c r="BL318" s="957"/>
      <c r="BM318" s="957"/>
      <c r="BN318" s="957"/>
      <c r="BO318" s="957"/>
      <c r="BP318" s="957"/>
      <c r="BQ318" s="957"/>
      <c r="BR318" s="957"/>
      <c r="BS318" s="957"/>
      <c r="BT318" s="957"/>
      <c r="BU318" s="957"/>
      <c r="BV318" s="957"/>
      <c r="BW318" s="957"/>
      <c r="BX318" s="957"/>
      <c r="BY318" s="957"/>
      <c r="BZ318" s="957"/>
      <c r="CA318" s="957"/>
      <c r="CB318" s="957"/>
      <c r="CC318" s="957"/>
      <c r="CD318" s="957"/>
      <c r="CE318" s="957"/>
      <c r="CF318" s="957"/>
      <c r="CG318" s="957"/>
      <c r="CH318" s="957"/>
      <c r="CI318" s="957"/>
      <c r="CJ318" s="957"/>
      <c r="CK318" s="957"/>
      <c r="CL318" s="957"/>
      <c r="CM318" s="957"/>
      <c r="CN318" s="957"/>
      <c r="CO318" s="957"/>
      <c r="CP318" s="957"/>
      <c r="CQ318" s="957"/>
      <c r="CR318" s="957"/>
      <c r="CT318" s="957"/>
      <c r="CU318" s="957"/>
      <c r="CV318" s="957"/>
      <c r="CW318" s="957"/>
      <c r="CX318" s="911"/>
      <c r="CY318" s="911"/>
      <c r="CZ318" s="911"/>
      <c r="DA318" s="911"/>
      <c r="DB318" s="911"/>
      <c r="DC318" s="594"/>
      <c r="DD318" s="594"/>
      <c r="DE318" s="594"/>
      <c r="DF318" s="911"/>
      <c r="DG318" s="594"/>
      <c r="DH318" s="594"/>
      <c r="DI318" s="957"/>
      <c r="DJ318" s="957"/>
      <c r="DK318" s="957"/>
      <c r="DL318" s="957"/>
      <c r="DM318" s="957"/>
      <c r="DN318" s="957"/>
      <c r="DO318" s="957"/>
      <c r="DP318" s="957"/>
      <c r="DQ318" s="957"/>
      <c r="DR318" s="957"/>
      <c r="DS318" s="957"/>
      <c r="DT318" s="957"/>
      <c r="DU318" s="957"/>
      <c r="DX318" s="957"/>
      <c r="DY318" s="957"/>
    </row>
    <row r="319" spans="1:129" s="904" customFormat="1">
      <c r="A319" s="939"/>
      <c r="B319" s="949" t="s">
        <v>563</v>
      </c>
      <c r="C319" s="939">
        <v>0</v>
      </c>
      <c r="D319" s="939">
        <f t="shared" ref="D319:AR319" si="2845">+(C314+D314)/2*D316</f>
        <v>0</v>
      </c>
      <c r="E319" s="939">
        <f t="shared" si="2845"/>
        <v>0</v>
      </c>
      <c r="F319" s="939">
        <f t="shared" si="2845"/>
        <v>0</v>
      </c>
      <c r="G319" s="939">
        <f t="shared" si="2845"/>
        <v>0</v>
      </c>
      <c r="H319" s="939">
        <f t="shared" si="2845"/>
        <v>0</v>
      </c>
      <c r="I319" s="939">
        <f t="shared" si="2845"/>
        <v>0</v>
      </c>
      <c r="J319" s="939">
        <f t="shared" si="2845"/>
        <v>0</v>
      </c>
      <c r="K319" s="939">
        <f t="shared" si="2845"/>
        <v>0</v>
      </c>
      <c r="L319" s="939">
        <f t="shared" si="2845"/>
        <v>0</v>
      </c>
      <c r="M319" s="939">
        <f t="shared" si="2845"/>
        <v>0</v>
      </c>
      <c r="N319" s="939">
        <f t="shared" si="2845"/>
        <v>0</v>
      </c>
      <c r="O319" s="939">
        <f t="shared" si="2845"/>
        <v>0</v>
      </c>
      <c r="P319" s="939">
        <f t="shared" si="2845"/>
        <v>0</v>
      </c>
      <c r="Q319" s="939">
        <f t="shared" si="2845"/>
        <v>0</v>
      </c>
      <c r="R319" s="939">
        <f t="shared" si="2845"/>
        <v>0</v>
      </c>
      <c r="S319" s="939">
        <f t="shared" si="2845"/>
        <v>0</v>
      </c>
      <c r="T319" s="939">
        <f t="shared" si="2845"/>
        <v>0</v>
      </c>
      <c r="U319" s="939">
        <f t="shared" si="2845"/>
        <v>0</v>
      </c>
      <c r="V319" s="939">
        <f t="shared" si="2845"/>
        <v>0</v>
      </c>
      <c r="W319" s="939">
        <f t="shared" si="2845"/>
        <v>0</v>
      </c>
      <c r="X319" s="939">
        <f t="shared" si="2845"/>
        <v>0</v>
      </c>
      <c r="Y319" s="939">
        <f t="shared" si="2845"/>
        <v>0</v>
      </c>
      <c r="Z319" s="939">
        <f t="shared" si="2845"/>
        <v>0</v>
      </c>
      <c r="AA319" s="939">
        <f t="shared" si="2845"/>
        <v>0</v>
      </c>
      <c r="AB319" s="939">
        <f t="shared" si="2845"/>
        <v>0</v>
      </c>
      <c r="AC319" s="939">
        <f t="shared" si="2845"/>
        <v>0</v>
      </c>
      <c r="AD319" s="939">
        <f t="shared" si="2845"/>
        <v>0</v>
      </c>
      <c r="AE319" s="939">
        <f t="shared" si="2845"/>
        <v>0</v>
      </c>
      <c r="AF319" s="939">
        <f t="shared" si="2845"/>
        <v>0</v>
      </c>
      <c r="AG319" s="939">
        <f t="shared" si="2845"/>
        <v>0</v>
      </c>
      <c r="AH319" s="939">
        <f t="shared" si="2845"/>
        <v>0</v>
      </c>
      <c r="AI319" s="939">
        <f t="shared" si="2845"/>
        <v>0</v>
      </c>
      <c r="AJ319" s="939">
        <f t="shared" si="2845"/>
        <v>0</v>
      </c>
      <c r="AK319" s="939">
        <f t="shared" si="2845"/>
        <v>0</v>
      </c>
      <c r="AL319" s="939">
        <f t="shared" si="2845"/>
        <v>0</v>
      </c>
      <c r="AM319" s="939">
        <f t="shared" si="2845"/>
        <v>0</v>
      </c>
      <c r="AN319" s="939">
        <f t="shared" si="2845"/>
        <v>0</v>
      </c>
      <c r="AO319" s="939">
        <f t="shared" si="2845"/>
        <v>0</v>
      </c>
      <c r="AP319" s="939">
        <f t="shared" si="2845"/>
        <v>0</v>
      </c>
      <c r="AQ319" s="939">
        <f t="shared" si="2845"/>
        <v>0</v>
      </c>
      <c r="AR319" s="939">
        <f t="shared" si="2845"/>
        <v>0</v>
      </c>
      <c r="AS319" s="939"/>
      <c r="AT319" s="939"/>
      <c r="AU319" s="939"/>
      <c r="AV319" s="939"/>
      <c r="AW319" s="939"/>
      <c r="AX319" s="939"/>
      <c r="AY319" s="939"/>
      <c r="AZ319" s="940"/>
      <c r="BA319" s="940"/>
      <c r="BB319" s="940"/>
      <c r="BC319" s="940"/>
      <c r="BD319" s="939"/>
      <c r="BE319" s="939"/>
      <c r="BF319" s="939"/>
      <c r="BG319" s="939"/>
      <c r="BH319" s="939"/>
      <c r="BI319" s="939"/>
      <c r="BJ319" s="939"/>
      <c r="BK319" s="939"/>
      <c r="BL319" s="939"/>
      <c r="BM319" s="939"/>
      <c r="BN319" s="939"/>
      <c r="BO319" s="939"/>
      <c r="BP319" s="939"/>
      <c r="BQ319" s="939"/>
      <c r="BR319" s="939"/>
      <c r="BS319" s="939"/>
      <c r="BT319" s="939"/>
      <c r="BU319" s="939"/>
      <c r="BV319" s="939"/>
      <c r="BW319" s="939"/>
      <c r="BX319" s="939"/>
      <c r="BY319" s="939"/>
      <c r="BZ319" s="939"/>
      <c r="CA319" s="939"/>
      <c r="CB319" s="939"/>
      <c r="CC319" s="939"/>
      <c r="CD319" s="939"/>
      <c r="CE319" s="939"/>
      <c r="CF319" s="939"/>
      <c r="CG319" s="939"/>
      <c r="CH319" s="939"/>
      <c r="CI319" s="939"/>
      <c r="CJ319" s="939"/>
      <c r="CK319" s="939"/>
      <c r="CL319" s="939"/>
      <c r="CM319" s="939"/>
      <c r="CN319" s="939"/>
      <c r="CO319" s="939"/>
      <c r="CP319" s="939"/>
      <c r="CQ319" s="939"/>
      <c r="CR319" s="939"/>
      <c r="CT319" s="939"/>
      <c r="CU319" s="939"/>
      <c r="CV319" s="939"/>
      <c r="CW319" s="939"/>
      <c r="CX319" s="592"/>
      <c r="CY319" s="592"/>
      <c r="CZ319" s="592"/>
      <c r="DA319" s="592"/>
      <c r="DB319" s="592"/>
      <c r="DC319" s="939"/>
      <c r="DD319" s="939"/>
      <c r="DE319" s="939"/>
      <c r="DF319" s="939"/>
      <c r="DG319" s="939"/>
      <c r="DH319" s="939"/>
      <c r="DI319" s="939"/>
      <c r="DJ319" s="939"/>
      <c r="DK319" s="939"/>
      <c r="DL319" s="939"/>
      <c r="DM319" s="939"/>
      <c r="DN319" s="939"/>
      <c r="DO319" s="939"/>
      <c r="DP319" s="939"/>
      <c r="DQ319" s="939"/>
      <c r="DR319" s="939"/>
      <c r="DS319" s="939"/>
      <c r="DT319" s="939"/>
      <c r="DU319" s="939"/>
      <c r="DX319" s="939"/>
      <c r="DY319" s="939"/>
    </row>
    <row r="320" spans="1:129" s="904" customFormat="1">
      <c r="A320" s="592"/>
      <c r="B320" s="939"/>
      <c r="C320" s="919"/>
      <c r="D320" s="919"/>
      <c r="E320" s="919"/>
      <c r="F320" s="919"/>
      <c r="G320" s="983"/>
      <c r="H320" s="983"/>
      <c r="I320" s="983"/>
      <c r="J320" s="983"/>
      <c r="K320" s="983"/>
      <c r="L320" s="983"/>
      <c r="M320" s="983"/>
      <c r="N320" s="983"/>
      <c r="O320" s="983"/>
      <c r="P320" s="983"/>
      <c r="Q320" s="983"/>
      <c r="R320" s="983"/>
      <c r="S320" s="983"/>
      <c r="T320" s="983"/>
      <c r="U320" s="983"/>
      <c r="V320" s="983"/>
      <c r="W320" s="983"/>
      <c r="X320" s="983"/>
      <c r="Y320" s="983"/>
      <c r="Z320" s="983"/>
      <c r="AA320" s="983"/>
      <c r="AB320" s="983"/>
      <c r="AC320" s="983"/>
      <c r="AD320" s="983"/>
      <c r="AE320" s="983"/>
      <c r="AF320" s="983"/>
      <c r="AG320" s="983"/>
      <c r="AH320" s="983"/>
      <c r="AI320" s="983"/>
      <c r="AJ320" s="983"/>
      <c r="AK320" s="983"/>
      <c r="AL320" s="983"/>
      <c r="AM320" s="983"/>
      <c r="AN320" s="983"/>
      <c r="AO320" s="983"/>
      <c r="AP320" s="983"/>
      <c r="AQ320" s="983"/>
      <c r="AR320" s="983"/>
      <c r="AS320" s="983"/>
      <c r="AT320" s="983"/>
      <c r="AU320" s="983"/>
      <c r="AV320" s="983"/>
      <c r="AW320" s="983"/>
      <c r="AX320" s="983"/>
      <c r="AY320" s="983"/>
      <c r="AZ320" s="1024"/>
      <c r="BA320" s="1024"/>
      <c r="BB320" s="983"/>
      <c r="BC320" s="983"/>
      <c r="BD320" s="983"/>
      <c r="BE320" s="983"/>
      <c r="BF320" s="983"/>
      <c r="BG320" s="983"/>
      <c r="BH320" s="983"/>
      <c r="BI320" s="983"/>
      <c r="BJ320" s="983"/>
      <c r="BK320" s="983"/>
      <c r="BL320" s="983"/>
      <c r="BM320" s="983"/>
      <c r="BN320" s="983"/>
      <c r="BO320" s="983"/>
      <c r="BP320" s="983"/>
      <c r="BQ320" s="983"/>
      <c r="BR320" s="983"/>
      <c r="BS320" s="983"/>
      <c r="BT320" s="983"/>
      <c r="BU320" s="983"/>
      <c r="BV320" s="983"/>
      <c r="BW320" s="983"/>
      <c r="BX320" s="983"/>
      <c r="BY320" s="983"/>
      <c r="BZ320" s="983"/>
      <c r="CA320" s="983"/>
      <c r="CB320" s="983"/>
      <c r="CC320" s="983"/>
      <c r="CD320" s="983"/>
      <c r="CE320" s="983"/>
      <c r="CF320" s="983"/>
      <c r="CG320" s="983"/>
      <c r="CH320" s="983"/>
      <c r="CI320" s="983"/>
      <c r="CJ320" s="983"/>
      <c r="CK320" s="983"/>
      <c r="CL320" s="983"/>
      <c r="CM320" s="983"/>
      <c r="CN320" s="983"/>
      <c r="CO320" s="983"/>
      <c r="CP320" s="983"/>
      <c r="CQ320" s="983"/>
      <c r="CR320" s="983"/>
      <c r="CT320" s="983"/>
      <c r="CU320" s="983"/>
      <c r="CV320" s="983"/>
      <c r="CW320" s="983"/>
      <c r="CX320" s="982"/>
      <c r="CY320" s="983"/>
      <c r="CZ320" s="983"/>
      <c r="DA320" s="983"/>
      <c r="DB320" s="983"/>
      <c r="DC320" s="982"/>
      <c r="DD320" s="983"/>
      <c r="DE320" s="983"/>
      <c r="DF320" s="983"/>
      <c r="DG320" s="983"/>
      <c r="DH320" s="983"/>
      <c r="DI320" s="983"/>
      <c r="DJ320" s="983"/>
      <c r="DK320" s="983"/>
      <c r="DL320" s="983"/>
      <c r="DM320" s="983"/>
      <c r="DN320" s="983"/>
      <c r="DO320" s="983"/>
      <c r="DP320" s="983"/>
      <c r="DQ320" s="983"/>
      <c r="DR320" s="983"/>
      <c r="DS320" s="983"/>
      <c r="DT320" s="983"/>
      <c r="DU320" s="983"/>
      <c r="DX320" s="983"/>
      <c r="DY320" s="983"/>
    </row>
    <row r="321" spans="1:129" s="904" customFormat="1">
      <c r="A321" s="943"/>
      <c r="B321" s="944" t="s">
        <v>564</v>
      </c>
      <c r="C321" s="950">
        <f t="shared" ref="C321:U321" si="2846">+C122</f>
        <v>0</v>
      </c>
      <c r="D321" s="950">
        <f t="shared" si="2846"/>
        <v>0</v>
      </c>
      <c r="E321" s="950">
        <f t="shared" si="2846"/>
        <v>0</v>
      </c>
      <c r="F321" s="950">
        <f t="shared" si="2846"/>
        <v>0</v>
      </c>
      <c r="G321" s="950">
        <f t="shared" si="2846"/>
        <v>0</v>
      </c>
      <c r="H321" s="950">
        <f t="shared" si="2846"/>
        <v>0</v>
      </c>
      <c r="I321" s="950">
        <f t="shared" si="2846"/>
        <v>0</v>
      </c>
      <c r="J321" s="950">
        <f t="shared" si="2846"/>
        <v>0</v>
      </c>
      <c r="K321" s="950">
        <f t="shared" si="2846"/>
        <v>0</v>
      </c>
      <c r="L321" s="950">
        <f t="shared" si="2846"/>
        <v>0</v>
      </c>
      <c r="M321" s="950">
        <f t="shared" si="2846"/>
        <v>0</v>
      </c>
      <c r="N321" s="950">
        <f t="shared" si="2846"/>
        <v>0</v>
      </c>
      <c r="O321" s="950">
        <f t="shared" si="2846"/>
        <v>0</v>
      </c>
      <c r="P321" s="950">
        <f t="shared" si="2846"/>
        <v>0</v>
      </c>
      <c r="Q321" s="950">
        <f t="shared" si="2846"/>
        <v>0</v>
      </c>
      <c r="R321" s="950">
        <f t="shared" si="2846"/>
        <v>0</v>
      </c>
      <c r="S321" s="950">
        <f t="shared" si="2846"/>
        <v>0</v>
      </c>
      <c r="T321" s="950">
        <f t="shared" si="2846"/>
        <v>0</v>
      </c>
      <c r="U321" s="950">
        <f t="shared" si="2846"/>
        <v>0</v>
      </c>
      <c r="V321" s="950">
        <v>385072</v>
      </c>
      <c r="W321" s="950">
        <f t="shared" ref="W321:AC321" si="2847">+W122</f>
        <v>0</v>
      </c>
      <c r="X321" s="950">
        <f t="shared" si="2847"/>
        <v>0</v>
      </c>
      <c r="Y321" s="950">
        <f t="shared" si="2847"/>
        <v>0</v>
      </c>
      <c r="Z321" s="950">
        <f t="shared" si="2847"/>
        <v>0</v>
      </c>
      <c r="AA321" s="950">
        <f t="shared" si="2847"/>
        <v>0</v>
      </c>
      <c r="AB321" s="950">
        <f t="shared" si="2847"/>
        <v>0</v>
      </c>
      <c r="AC321" s="950">
        <f t="shared" si="2847"/>
        <v>0</v>
      </c>
      <c r="AD321" s="950">
        <f>267146+340661</f>
        <v>607807</v>
      </c>
      <c r="AE321" s="950">
        <f>130316+341224</f>
        <v>471540</v>
      </c>
      <c r="AF321" s="950">
        <f>125066+342038</f>
        <v>467104</v>
      </c>
      <c r="AG321" s="950">
        <f>205746+342853</f>
        <v>548599</v>
      </c>
      <c r="AH321" s="946">
        <f>119932+343670</f>
        <v>463602</v>
      </c>
      <c r="AI321" s="946">
        <f>128652+344489</f>
        <v>473141</v>
      </c>
      <c r="AJ321" s="946">
        <f>148556+345310</f>
        <v>493866</v>
      </c>
      <c r="AK321" s="946">
        <v>585887</v>
      </c>
      <c r="AL321" s="946">
        <v>547655</v>
      </c>
      <c r="AM321" s="946">
        <v>539606</v>
      </c>
      <c r="AN321" s="946">
        <v>585887</v>
      </c>
      <c r="AO321" s="946">
        <v>680194</v>
      </c>
      <c r="AP321" s="946">
        <v>607060</v>
      </c>
      <c r="AQ321" s="943">
        <v>629659</v>
      </c>
      <c r="AR321" s="943">
        <f>307172+410837</f>
        <v>718009</v>
      </c>
      <c r="AS321" s="943">
        <f>413187+281212</f>
        <v>694399</v>
      </c>
      <c r="AT321" s="943">
        <f>336719+413659</f>
        <v>750378</v>
      </c>
      <c r="AU321" s="951">
        <f>383792+414131</f>
        <v>797923</v>
      </c>
      <c r="AV321" s="951">
        <f>419648+414604</f>
        <v>834252</v>
      </c>
      <c r="AW321" s="951">
        <f>430700+415077</f>
        <v>845777</v>
      </c>
      <c r="AX321" s="951">
        <v>796465</v>
      </c>
      <c r="AY321" s="951">
        <v>826691</v>
      </c>
      <c r="AZ321" s="951">
        <v>873097</v>
      </c>
      <c r="BA321" s="951">
        <v>818234</v>
      </c>
      <c r="BB321" s="951">
        <v>795635</v>
      </c>
      <c r="BC321" s="951">
        <v>804212</v>
      </c>
      <c r="BD321" s="951">
        <v>889183</v>
      </c>
      <c r="BE321" s="951">
        <v>591970</v>
      </c>
      <c r="BF321" s="951">
        <v>697505</v>
      </c>
      <c r="BG321" s="951">
        <v>703137</v>
      </c>
      <c r="BH321" s="951">
        <v>682979</v>
      </c>
      <c r="BI321" s="951">
        <v>757468</v>
      </c>
      <c r="BJ321" s="951">
        <v>851586</v>
      </c>
      <c r="BK321" s="951">
        <v>1054938</v>
      </c>
      <c r="BL321" s="951">
        <v>612788</v>
      </c>
      <c r="BM321" s="951">
        <v>744348</v>
      </c>
      <c r="BN321" s="951">
        <v>491366</v>
      </c>
      <c r="BO321" s="951">
        <v>848574</v>
      </c>
      <c r="BP321" s="951">
        <v>857625</v>
      </c>
      <c r="BQ321" s="951">
        <v>725212</v>
      </c>
      <c r="BR321" s="1016">
        <f t="shared" ref="BR321:CD321" si="2848">+BQ321</f>
        <v>725212</v>
      </c>
      <c r="BS321" s="1016">
        <f t="shared" si="2848"/>
        <v>725212</v>
      </c>
      <c r="BT321" s="1016">
        <f t="shared" si="2848"/>
        <v>725212</v>
      </c>
      <c r="BU321" s="1016">
        <f t="shared" si="2848"/>
        <v>725212</v>
      </c>
      <c r="BV321" s="1016">
        <f t="shared" si="2848"/>
        <v>725212</v>
      </c>
      <c r="BW321" s="1016">
        <f t="shared" si="2848"/>
        <v>725212</v>
      </c>
      <c r="BX321" s="1016">
        <f t="shared" si="2848"/>
        <v>725212</v>
      </c>
      <c r="BY321" s="1016">
        <f t="shared" si="2848"/>
        <v>725212</v>
      </c>
      <c r="BZ321" s="1016">
        <f t="shared" si="2848"/>
        <v>725212</v>
      </c>
      <c r="CA321" s="1016">
        <f t="shared" si="2848"/>
        <v>725212</v>
      </c>
      <c r="CB321" s="1016">
        <f t="shared" si="2848"/>
        <v>725212</v>
      </c>
      <c r="CC321" s="1016">
        <f t="shared" si="2848"/>
        <v>725212</v>
      </c>
      <c r="CD321" s="1016">
        <f t="shared" si="2848"/>
        <v>725212</v>
      </c>
      <c r="CE321" s="1016">
        <f t="shared" ref="CE321:CI321" si="2849">+CD321</f>
        <v>725212</v>
      </c>
      <c r="CF321" s="1016">
        <f t="shared" si="2849"/>
        <v>725212</v>
      </c>
      <c r="CG321" s="1016">
        <f t="shared" si="2849"/>
        <v>725212</v>
      </c>
      <c r="CH321" s="1016">
        <f t="shared" si="2849"/>
        <v>725212</v>
      </c>
      <c r="CI321" s="1016">
        <f t="shared" si="2849"/>
        <v>725212</v>
      </c>
      <c r="CJ321" s="1016">
        <f t="shared" ref="CJ321" si="2850">+CI321</f>
        <v>725212</v>
      </c>
      <c r="CK321" s="1016">
        <f t="shared" ref="CK321" si="2851">+CJ321</f>
        <v>725212</v>
      </c>
      <c r="CL321" s="1016">
        <f t="shared" ref="CL321" si="2852">+CK321</f>
        <v>725212</v>
      </c>
      <c r="CM321" s="1016">
        <f t="shared" ref="CM321" si="2853">+CL321</f>
        <v>725212</v>
      </c>
      <c r="CN321" s="1016">
        <f t="shared" ref="CN321" si="2854">+CM321</f>
        <v>725212</v>
      </c>
      <c r="CO321" s="1016">
        <f t="shared" ref="CO321" si="2855">+CN321</f>
        <v>725212</v>
      </c>
      <c r="CP321" s="1016">
        <f t="shared" ref="CP321" si="2856">+CO321</f>
        <v>725212</v>
      </c>
      <c r="CQ321" s="1016"/>
      <c r="CR321" s="1016">
        <v>725212</v>
      </c>
      <c r="CT321" s="943"/>
      <c r="CU321" s="943"/>
      <c r="CV321" s="943"/>
      <c r="CW321" s="943"/>
      <c r="CX321" s="943">
        <f>CX299</f>
        <v>0</v>
      </c>
      <c r="CY321" s="943">
        <f>+V321</f>
        <v>385072</v>
      </c>
      <c r="CZ321" s="943">
        <f>+Z321</f>
        <v>0</v>
      </c>
      <c r="DA321" s="943">
        <f>+AD321</f>
        <v>607807</v>
      </c>
      <c r="DB321" s="943">
        <f>+AH321</f>
        <v>463602</v>
      </c>
      <c r="DC321" s="943">
        <f>+AL321</f>
        <v>547655</v>
      </c>
      <c r="DD321" s="943">
        <f>+AP321</f>
        <v>607060</v>
      </c>
      <c r="DE321" s="943">
        <f>AT321</f>
        <v>750378</v>
      </c>
      <c r="DF321" s="943">
        <f>+AX321</f>
        <v>796465</v>
      </c>
      <c r="DG321" s="943">
        <f>+BB321</f>
        <v>795635</v>
      </c>
      <c r="DH321" s="943">
        <f>+BF321</f>
        <v>697505</v>
      </c>
      <c r="DI321" s="943">
        <f>+BJ321</f>
        <v>851586</v>
      </c>
      <c r="DJ321" s="943">
        <f>+BN321</f>
        <v>491366</v>
      </c>
      <c r="DK321" s="943">
        <f>+BS321</f>
        <v>725212</v>
      </c>
      <c r="DL321" s="943">
        <f t="shared" ref="DL321:DQ321" si="2857">+BV321</f>
        <v>725212</v>
      </c>
      <c r="DM321" s="943">
        <f t="shared" si="2857"/>
        <v>725212</v>
      </c>
      <c r="DN321" s="943">
        <f t="shared" si="2857"/>
        <v>725212</v>
      </c>
      <c r="DO321" s="943">
        <f t="shared" si="2857"/>
        <v>725212</v>
      </c>
      <c r="DP321" s="943">
        <f t="shared" si="2857"/>
        <v>725212</v>
      </c>
      <c r="DQ321" s="943">
        <f t="shared" si="2857"/>
        <v>725212</v>
      </c>
      <c r="DR321" s="1016">
        <f>+DQ321</f>
        <v>725212</v>
      </c>
      <c r="DS321" s="1016">
        <f t="shared" ref="DS321:DU321" si="2858">+DR321</f>
        <v>725212</v>
      </c>
      <c r="DT321" s="1016">
        <f t="shared" si="2858"/>
        <v>725212</v>
      </c>
      <c r="DU321" s="1016">
        <f t="shared" si="2858"/>
        <v>725212</v>
      </c>
      <c r="DX321" s="1016">
        <v>725212</v>
      </c>
      <c r="DY321" s="1016">
        <v>725212</v>
      </c>
    </row>
    <row r="322" spans="1:129" s="904" customFormat="1">
      <c r="A322" s="939"/>
      <c r="B322" s="949" t="s">
        <v>557</v>
      </c>
      <c r="C322" s="919"/>
      <c r="D322" s="919">
        <f>+D321/D299</f>
        <v>0</v>
      </c>
      <c r="E322" s="919">
        <f>+E321/E299</f>
        <v>0</v>
      </c>
      <c r="F322" s="919">
        <f>+F321/F299</f>
        <v>0</v>
      </c>
      <c r="G322" s="919">
        <f>+G321/G299</f>
        <v>0</v>
      </c>
      <c r="H322" s="919">
        <f>+H321/H299</f>
        <v>0</v>
      </c>
      <c r="I322" s="983">
        <f t="shared" ref="I322:S322" si="2859">H322</f>
        <v>0</v>
      </c>
      <c r="J322" s="983">
        <f t="shared" si="2859"/>
        <v>0</v>
      </c>
      <c r="K322" s="983">
        <f t="shared" si="2859"/>
        <v>0</v>
      </c>
      <c r="L322" s="983">
        <f t="shared" si="2859"/>
        <v>0</v>
      </c>
      <c r="M322" s="983">
        <f t="shared" si="2859"/>
        <v>0</v>
      </c>
      <c r="N322" s="983">
        <f t="shared" si="2859"/>
        <v>0</v>
      </c>
      <c r="O322" s="983">
        <f t="shared" si="2859"/>
        <v>0</v>
      </c>
      <c r="P322" s="983">
        <f t="shared" si="2859"/>
        <v>0</v>
      </c>
      <c r="Q322" s="983">
        <f t="shared" si="2859"/>
        <v>0</v>
      </c>
      <c r="R322" s="983">
        <f t="shared" si="2859"/>
        <v>0</v>
      </c>
      <c r="S322" s="983">
        <f t="shared" si="2859"/>
        <v>0</v>
      </c>
      <c r="T322" s="982">
        <f t="shared" ref="T322:AG322" si="2860">+T321/T299</f>
        <v>0</v>
      </c>
      <c r="U322" s="982">
        <f t="shared" si="2860"/>
        <v>0</v>
      </c>
      <c r="V322" s="982">
        <f t="shared" si="2860"/>
        <v>12.982434847105626</v>
      </c>
      <c r="W322" s="982">
        <f t="shared" si="2860"/>
        <v>0</v>
      </c>
      <c r="X322" s="982">
        <f t="shared" si="2860"/>
        <v>0</v>
      </c>
      <c r="Y322" s="982">
        <f t="shared" si="2860"/>
        <v>0</v>
      </c>
      <c r="Z322" s="982">
        <f t="shared" si="2860"/>
        <v>0</v>
      </c>
      <c r="AA322" s="982">
        <f t="shared" si="2860"/>
        <v>0</v>
      </c>
      <c r="AB322" s="982">
        <f t="shared" si="2860"/>
        <v>0</v>
      </c>
      <c r="AC322" s="982">
        <f t="shared" si="2860"/>
        <v>0</v>
      </c>
      <c r="AD322" s="982">
        <f t="shared" si="2860"/>
        <v>1.6118952147577676</v>
      </c>
      <c r="AE322" s="982">
        <f t="shared" si="2860"/>
        <v>1.258769260338918</v>
      </c>
      <c r="AF322" s="982">
        <f t="shared" si="2860"/>
        <v>1.2543644580982483</v>
      </c>
      <c r="AG322" s="982">
        <f t="shared" si="2860"/>
        <v>0.82110971249133757</v>
      </c>
      <c r="AH322" s="982">
        <f t="shared" ref="AH322:BF322" si="2861">+AH321/AH300</f>
        <v>0.5531174164421675</v>
      </c>
      <c r="AI322" s="982">
        <f t="shared" si="2861"/>
        <v>0.51033140083591744</v>
      </c>
      <c r="AJ322" s="982">
        <f t="shared" si="2861"/>
        <v>0.51170771282299954</v>
      </c>
      <c r="AK322" s="982">
        <f t="shared" si="2861"/>
        <v>0.43909427208710433</v>
      </c>
      <c r="AL322" s="982">
        <f t="shared" si="2861"/>
        <v>0.4163388213685954</v>
      </c>
      <c r="AM322" s="982">
        <f t="shared" si="2861"/>
        <v>0.40651226002031032</v>
      </c>
      <c r="AN322" s="982">
        <f t="shared" si="2861"/>
        <v>0.40719964971295924</v>
      </c>
      <c r="AO322" s="982">
        <f t="shared" si="2861"/>
        <v>0.36307918633674319</v>
      </c>
      <c r="AP322" s="982">
        <f t="shared" si="2861"/>
        <v>0.3405771286070538</v>
      </c>
      <c r="AQ322" s="982">
        <f t="shared" si="2861"/>
        <v>0.34752288960062344</v>
      </c>
      <c r="AR322" s="982">
        <f t="shared" si="2861"/>
        <v>0.3766978076777186</v>
      </c>
      <c r="AS322" s="982">
        <f t="shared" si="2861"/>
        <v>0.37918612473843544</v>
      </c>
      <c r="AT322" s="982">
        <f t="shared" si="2861"/>
        <v>0.38382388596249833</v>
      </c>
      <c r="AU322" s="982">
        <f t="shared" si="2861"/>
        <v>0.39918923745997092</v>
      </c>
      <c r="AV322" s="982">
        <f t="shared" si="2861"/>
        <v>0.40584394419531444</v>
      </c>
      <c r="AW322" s="982">
        <f t="shared" si="2861"/>
        <v>0.43901346455303292</v>
      </c>
      <c r="AX322" s="982">
        <f t="shared" si="2861"/>
        <v>0.41852862724985446</v>
      </c>
      <c r="AY322" s="982">
        <f t="shared" si="2861"/>
        <v>0.41066427296183222</v>
      </c>
      <c r="AZ322" s="982">
        <f t="shared" si="2861"/>
        <v>0.41954981011834025</v>
      </c>
      <c r="BA322" s="982">
        <f t="shared" si="2861"/>
        <v>0.43289597595945273</v>
      </c>
      <c r="BB322" s="982">
        <f t="shared" si="2861"/>
        <v>0.42413055993859011</v>
      </c>
      <c r="BC322" s="982">
        <f t="shared" si="2861"/>
        <v>0.38658146811279243</v>
      </c>
      <c r="BD322" s="982">
        <f t="shared" si="2861"/>
        <v>0.41387552125248611</v>
      </c>
      <c r="BE322" s="982">
        <f t="shared" si="2861"/>
        <v>0.33393655560833124</v>
      </c>
      <c r="BF322" s="982">
        <f t="shared" si="2861"/>
        <v>0.37283463472623712</v>
      </c>
      <c r="BG322" s="982">
        <f t="shared" ref="BG322:BS322" si="2862">+BG321/BG300</f>
        <v>0.37535593144336005</v>
      </c>
      <c r="BH322" s="982">
        <f t="shared" si="2862"/>
        <v>0.35455447795828482</v>
      </c>
      <c r="BI322" s="982">
        <f t="shared" si="2862"/>
        <v>0.42368152569827905</v>
      </c>
      <c r="BJ322" s="982">
        <f t="shared" si="2862"/>
        <v>0.44270706617009464</v>
      </c>
      <c r="BK322" s="982">
        <f t="shared" si="2862"/>
        <v>1.0351124904700275</v>
      </c>
      <c r="BL322" s="982">
        <f t="shared" si="2862"/>
        <v>0.51287871369374483</v>
      </c>
      <c r="BM322" s="982">
        <f t="shared" si="2862"/>
        <v>0.78075458636206296</v>
      </c>
      <c r="BN322" s="982">
        <f t="shared" si="2862"/>
        <v>0.42591814073954004</v>
      </c>
      <c r="BO322" s="982">
        <f>+BO321/BO300</f>
        <v>0.51018691594404009</v>
      </c>
      <c r="BP322" s="982">
        <f t="shared" si="2862"/>
        <v>0.33013397058829191</v>
      </c>
      <c r="BQ322" s="982">
        <f t="shared" si="2862"/>
        <v>0.31411701314834289</v>
      </c>
      <c r="BR322" s="982">
        <f t="shared" si="2862"/>
        <v>0.27648041527799699</v>
      </c>
      <c r="BS322" s="982">
        <f t="shared" si="2862"/>
        <v>0.23488480405969578</v>
      </c>
      <c r="BT322" s="982">
        <f t="shared" ref="BT322:BY322" si="2863">+BT321/BT300</f>
        <v>0.28211768376344676</v>
      </c>
      <c r="BU322" s="982">
        <f t="shared" si="2863"/>
        <v>0.28042982545349648</v>
      </c>
      <c r="BV322" s="982">
        <f t="shared" si="2863"/>
        <v>0.27217778785270969</v>
      </c>
      <c r="BW322" s="982">
        <f t="shared" si="2863"/>
        <v>0.26982765099792161</v>
      </c>
      <c r="BX322" s="982">
        <f t="shared" si="2863"/>
        <v>0.30363035750920048</v>
      </c>
      <c r="BY322" s="982">
        <f t="shared" si="2863"/>
        <v>0.31582463400092936</v>
      </c>
      <c r="BZ322" s="982">
        <f t="shared" ref="BZ322:CA322" si="2864">+BZ321/BZ300</f>
        <v>0.6202936680970591</v>
      </c>
      <c r="CA322" s="982">
        <f t="shared" si="2864"/>
        <v>0.64152846138331487</v>
      </c>
      <c r="CB322" s="982">
        <f t="shared" ref="CB322:CC322" si="2865">+CB321/CB300</f>
        <v>0.62203558032677775</v>
      </c>
      <c r="CC322" s="982">
        <f t="shared" si="2865"/>
        <v>0.64103398166383219</v>
      </c>
      <c r="CD322" s="982">
        <f t="shared" ref="CD322" si="2866">+CD321/CD300</f>
        <v>0.65816176971072038</v>
      </c>
      <c r="CE322" s="982">
        <f t="shared" ref="CE322" si="2867">+CE321/CE300</f>
        <v>1.2995396494598184</v>
      </c>
      <c r="CF322" s="982">
        <f t="shared" ref="CF322:CH322" si="2868">+CF321/CF300</f>
        <v>1.2635456050178586</v>
      </c>
      <c r="CG322" s="982">
        <f t="shared" si="2868"/>
        <v>1.4311972955318255</v>
      </c>
      <c r="CH322" s="982">
        <f t="shared" si="2868"/>
        <v>1.3881249521476151</v>
      </c>
      <c r="CI322" s="982" t="e">
        <f t="shared" ref="CI322:CK322" si="2869">+CI321/CI300</f>
        <v>#DIV/0!</v>
      </c>
      <c r="CJ322" s="982" t="e">
        <f t="shared" si="2869"/>
        <v>#DIV/0!</v>
      </c>
      <c r="CK322" s="982" t="e">
        <f t="shared" si="2869"/>
        <v>#DIV/0!</v>
      </c>
      <c r="CL322" s="982" t="e">
        <f t="shared" ref="CL322:CP322" si="2870">+CL321/CL300</f>
        <v>#DIV/0!</v>
      </c>
      <c r="CM322" s="982" t="e">
        <f t="shared" si="2870"/>
        <v>#DIV/0!</v>
      </c>
      <c r="CN322" s="982" t="e">
        <f t="shared" si="2870"/>
        <v>#DIV/0!</v>
      </c>
      <c r="CO322" s="982" t="e">
        <f t="shared" si="2870"/>
        <v>#DIV/0!</v>
      </c>
      <c r="CP322" s="982" t="e">
        <f t="shared" si="2870"/>
        <v>#DIV/0!</v>
      </c>
      <c r="CQ322" s="982"/>
      <c r="CR322" s="982" t="e">
        <v>#DIV/0!</v>
      </c>
      <c r="CT322" s="982"/>
      <c r="CU322" s="982"/>
      <c r="CV322" s="982"/>
      <c r="CW322" s="982"/>
      <c r="CX322" s="594">
        <f>+U322</f>
        <v>0</v>
      </c>
      <c r="CY322" s="594">
        <f>+V322</f>
        <v>12.982434847105626</v>
      </c>
      <c r="CZ322" s="594">
        <f>+Z322</f>
        <v>0</v>
      </c>
      <c r="DA322" s="982">
        <f t="shared" ref="DA322:DJ322" si="2871">+DA321/DA300</f>
        <v>1.9244081674006859</v>
      </c>
      <c r="DB322" s="982">
        <f t="shared" si="2871"/>
        <v>0.93753185086917479</v>
      </c>
      <c r="DC322" s="982">
        <f t="shared" si="2871"/>
        <v>0.4163388213685954</v>
      </c>
      <c r="DD322" s="982">
        <f t="shared" si="2871"/>
        <v>0.3405771286070538</v>
      </c>
      <c r="DE322" s="982">
        <f t="shared" si="2871"/>
        <v>0.38382388596249833</v>
      </c>
      <c r="DF322" s="982">
        <f t="shared" si="2871"/>
        <v>0.41852862724985446</v>
      </c>
      <c r="DG322" s="982">
        <f t="shared" si="2871"/>
        <v>0.42413055993859011</v>
      </c>
      <c r="DH322" s="982">
        <f t="shared" si="2871"/>
        <v>0.37283463472623712</v>
      </c>
      <c r="DI322" s="982">
        <f t="shared" si="2871"/>
        <v>0.44270706617009464</v>
      </c>
      <c r="DJ322" s="982">
        <f t="shared" si="2871"/>
        <v>0.42591814073954004</v>
      </c>
      <c r="DK322" s="982">
        <f t="shared" ref="DK322:DL322" si="2872">+DK321/DK300</f>
        <v>0.27648041527799699</v>
      </c>
      <c r="DL322" s="982">
        <f t="shared" si="2872"/>
        <v>0.27217778785270969</v>
      </c>
      <c r="DM322" s="982">
        <f t="shared" ref="DM322:DR322" si="2873">+DM321/DM300</f>
        <v>0.6202936680970591</v>
      </c>
      <c r="DN322" s="982">
        <f t="shared" si="2873"/>
        <v>0.65816176971072038</v>
      </c>
      <c r="DO322" s="982">
        <f t="shared" si="2873"/>
        <v>1.3881249521476151</v>
      </c>
      <c r="DP322" s="982" t="e">
        <f t="shared" si="2873"/>
        <v>#DIV/0!</v>
      </c>
      <c r="DQ322" s="982" t="e">
        <f t="shared" ref="DQ322" si="2874">+DQ321/DQ300</f>
        <v>#DIV/0!</v>
      </c>
      <c r="DR322" s="982" t="e">
        <f t="shared" si="2873"/>
        <v>#DIV/0!</v>
      </c>
      <c r="DS322" s="982" t="e">
        <f t="shared" ref="DS322:DU322" si="2875">+DS321/DS300</f>
        <v>#DIV/0!</v>
      </c>
      <c r="DT322" s="982" t="e">
        <f t="shared" si="2875"/>
        <v>#DIV/0!</v>
      </c>
      <c r="DU322" s="982" t="e">
        <f t="shared" si="2875"/>
        <v>#DIV/0!</v>
      </c>
      <c r="DX322" s="982" t="e">
        <v>#DIV/0!</v>
      </c>
      <c r="DY322" s="982" t="e">
        <v>#DIV/0!</v>
      </c>
    </row>
    <row r="323" spans="1:129" s="904" customFormat="1">
      <c r="A323" s="939"/>
      <c r="B323" s="949" t="s">
        <v>545</v>
      </c>
      <c r="C323" s="1013">
        <f>105.5%*MACRO!P6</f>
        <v>3.9201689999999997E-2</v>
      </c>
      <c r="D323" s="1013">
        <f>105.5%*MACRO!Q6</f>
        <v>3.8053660099999997E-2</v>
      </c>
      <c r="E323" s="1013">
        <f>105.5%*MACRO!R6</f>
        <v>3.9645052791104959E-2</v>
      </c>
      <c r="F323" s="1013">
        <f>105.5%*MACRO!S6</f>
        <v>4.213936969013965E-2</v>
      </c>
      <c r="G323" s="1013">
        <f>105.5%*MACRO!T6</f>
        <v>4.4570200406418785E-2</v>
      </c>
      <c r="H323" s="1013">
        <f>105.5%*MACRO!U6</f>
        <v>4.7470700938336594E-2</v>
      </c>
      <c r="I323" s="1013">
        <f>105.5%*MACRO!V6</f>
        <v>4.9173521934264643E-2</v>
      </c>
      <c r="J323" s="1013">
        <f>105.5%*MACRO!W6</f>
        <v>4.4715093211101647E-2</v>
      </c>
      <c r="K323" s="1013">
        <f>105.5%*MACRO!X6</f>
        <v>4.1059021360798149E-2</v>
      </c>
      <c r="L323" s="1013">
        <f>105.5%*MACRO!Y6</f>
        <v>3.8699354238615931E-2</v>
      </c>
      <c r="M323" s="1013">
        <f>105.5%*MACRO!Z6</f>
        <v>3.7136000000000002E-2</v>
      </c>
      <c r="N323" s="1013">
        <f>105.5%*MACRO!AA6</f>
        <v>3.2572898799313757E-2</v>
      </c>
      <c r="O323" s="1013">
        <f>105.5%*MACRO!AB6</f>
        <v>3.2071999999999996E-2</v>
      </c>
      <c r="P323" s="1013">
        <f>105.5%*MACRO!AC6</f>
        <v>3.0700499999999999E-2</v>
      </c>
      <c r="Q323" s="1013">
        <f>105.5%*MACRO!AD6</f>
        <v>2.9104573253993467E-2</v>
      </c>
      <c r="R323" s="1013">
        <f>105.5%*MACRO!AE6</f>
        <v>2.8496379705675538E-2</v>
      </c>
      <c r="S323" s="1013">
        <f>105.5%*MACRO!AF6</f>
        <v>2.8496379705675538E-2</v>
      </c>
      <c r="T323" s="1013">
        <f>105.5%*MACRO!AG6</f>
        <v>2.9816884381372324E-2</v>
      </c>
      <c r="U323" s="1013">
        <f>10%/4</f>
        <v>2.5000000000000001E-2</v>
      </c>
      <c r="V323" s="1013">
        <f>+V311</f>
        <v>4.1079308054779447E-2</v>
      </c>
      <c r="W323" s="1013">
        <f>+W311</f>
        <v>3.6785225930754777E-2</v>
      </c>
      <c r="X323" s="1013">
        <f>+X311</f>
        <v>2.8703607637899253E-2</v>
      </c>
      <c r="Y323" s="1013">
        <f>+$Y$325*MACRO!AL6</f>
        <v>0</v>
      </c>
      <c r="Z323" s="1013">
        <f>+$Z$325*MACRO!AM6</f>
        <v>0</v>
      </c>
      <c r="AA323" s="1013">
        <f>+$Z$325*MACRO!AN6</f>
        <v>0</v>
      </c>
      <c r="AB323" s="1013">
        <f>+$Z$325*MACRO!AO6</f>
        <v>0</v>
      </c>
      <c r="AC323" s="1013">
        <f>+$AB$325*MACRO!AP6</f>
        <v>0</v>
      </c>
      <c r="AD323" s="1013">
        <f>+MACRO!AQ6+1.2%/4</f>
        <v>2.8854891781707855E-2</v>
      </c>
      <c r="AE323" s="1013">
        <f>+MACRO!AR6+1.2%/4</f>
        <v>3.0395218779641572E-2</v>
      </c>
      <c r="AF323" s="1013">
        <f>+MACRO!AS6+1.2%/4</f>
        <v>3.1928648746103794E-2</v>
      </c>
      <c r="AG323" s="1013">
        <f>+MACRO!AT6+1.2%/4</f>
        <v>3.2501921500057152E-2</v>
      </c>
      <c r="AH323" s="1013">
        <f>+MACRO!AU6+1.2%/4</f>
        <v>3.0203056568155359E-2</v>
      </c>
      <c r="AI323" s="1013">
        <f>+MACRO!AV6+1.2%/4</f>
        <v>2.8045276872917909E-2</v>
      </c>
      <c r="AJ323" s="1013">
        <f>+MACRO!AW6*114.86%</f>
        <v>2.4949289502397491E-2</v>
      </c>
      <c r="AK323" s="1013">
        <f>+MACRO!AX6*116.8%</f>
        <v>2.24101786800187E-2</v>
      </c>
      <c r="AL323" s="1013">
        <f>+MACRO!AY6*116.8%</f>
        <v>2.0706997510322338E-2</v>
      </c>
      <c r="AM323" s="1015">
        <f>+MACRO!AZ6*116.8%</f>
        <v>2.061763112262837E-2</v>
      </c>
      <c r="AN323" s="1015">
        <f>+MACRO!BA6*116.8%</f>
        <v>2.2690206788863448E-2</v>
      </c>
      <c r="AO323" s="1015">
        <f>+MACRO!BB6*116.8%</f>
        <v>2.5436915249900823E-2</v>
      </c>
      <c r="AP323" s="1015">
        <f>+MACRO!BC6*116.8%</f>
        <v>2.8164788850631887E-2</v>
      </c>
      <c r="AQ323" s="594">
        <f>+MACRO!BD6*116.8%</f>
        <v>2.9548848525651327E-2</v>
      </c>
      <c r="AR323" s="594">
        <f>+MACRO!BE6*$AQ$325</f>
        <v>3.0874126225592373E-2</v>
      </c>
      <c r="AS323" s="594">
        <f>+MACRO!BF6*$AQ$325</f>
        <v>3.0874126225592373E-2</v>
      </c>
      <c r="AT323" s="594">
        <f>+MACRO!BG6*$AS$325</f>
        <v>3.1764189632677214E-2</v>
      </c>
      <c r="AU323" s="594">
        <f>+MACRO!BH6*$AS$325</f>
        <v>3.431549387988319E-2</v>
      </c>
      <c r="AV323" s="594">
        <f>+MACRO!BI6*$AS$325</f>
        <v>3.6903859364384561E-2</v>
      </c>
      <c r="AW323" s="594">
        <f>+MACRO!BJ6*$AS$325</f>
        <v>3.9554928984977908E-2</v>
      </c>
      <c r="AX323" s="594">
        <f>+MACRO!BK6*$AS$325</f>
        <v>3.9554928984977908E-2</v>
      </c>
      <c r="AY323" s="594">
        <f>+MACRO!BL6*$AS$325</f>
        <v>3.9554928984977908E-2</v>
      </c>
      <c r="AZ323" s="594">
        <f>+MACRO!BM6*$AS$325</f>
        <v>3.9554928984977908E-2</v>
      </c>
      <c r="BA323" s="594">
        <f>+MACRO!BN6*$AS$325</f>
        <v>3.9554928984977908E-2</v>
      </c>
      <c r="BB323" s="594">
        <f>+MACRO!BO6*$AS$325</f>
        <v>3.8787916388594107E-2</v>
      </c>
      <c r="BC323" s="594">
        <f>+MACRO!BP6*$AS$325</f>
        <v>3.5625105788712898E-2</v>
      </c>
      <c r="BD323" s="594">
        <f>+MACRO!BQ6*$AS$325</f>
        <v>3.0928125916120607E-2</v>
      </c>
      <c r="BE323" s="594">
        <f>+MACRO!BR6*$AS$325</f>
        <v>2.6120637624430756E-2</v>
      </c>
      <c r="BF323" s="594">
        <f>+MACRO!BS6*$AS$325</f>
        <v>2.1447961793898334E-2</v>
      </c>
      <c r="BG323" s="594">
        <f>+MACRO!BT6*$AS$325</f>
        <v>1.943834228404976E-2</v>
      </c>
      <c r="BH323" s="594">
        <f>+MACRO!BU6*$AS$325</f>
        <v>1.8534156626291209E-2</v>
      </c>
      <c r="BI323" s="594">
        <f>+MACRO!BV6*$AS$325</f>
        <v>1.8534156626291209E-2</v>
      </c>
      <c r="BJ323" s="594">
        <f>+MACRO!BW6*$AS$325</f>
        <v>1.8534156626291209E-2</v>
      </c>
      <c r="BK323" s="594">
        <f>+MACRO!BX6*$AS$325</f>
        <v>1.8534156626291209E-2</v>
      </c>
      <c r="BL323" s="594">
        <f>+MACRO!BY6*BL325</f>
        <v>1.6503016174094914E-2</v>
      </c>
      <c r="BM323" s="594">
        <f>+MACRO!BZ6*BM325</f>
        <v>1.550959428001205E-2</v>
      </c>
      <c r="BN323" s="594">
        <f>+MACRO!CA6*BN325</f>
        <v>1.2888430375557433E-2</v>
      </c>
      <c r="BO323" s="594">
        <f>+MACRO!CB6*BO325</f>
        <v>1.0939039440059223E-2</v>
      </c>
      <c r="BP323" s="594">
        <f>+MACRO!CC6*BP325</f>
        <v>8.1536289062938295E-3</v>
      </c>
      <c r="BQ323" s="594">
        <f>+MACRO!CD6*BQ325</f>
        <v>5.3971074511958627E-3</v>
      </c>
      <c r="BR323" s="594">
        <f>+MACRO!CE6*BR325</f>
        <v>5.1664117677051782E-3</v>
      </c>
      <c r="BS323" s="594">
        <f>+MACRO!CF6*BS325</f>
        <v>5.4995899074907458E-3</v>
      </c>
      <c r="BT323" s="594">
        <f>+MACRO!CG6*BT325</f>
        <v>8.6109426199259282E-3</v>
      </c>
      <c r="BU323" s="594">
        <f>+MACRO!CH6*BU325</f>
        <v>1.2750305254130786E-2</v>
      </c>
      <c r="BV323" s="594">
        <f>+MACRO!CI6*BV325</f>
        <v>1.9436069246911072E-2</v>
      </c>
      <c r="BW323" s="594">
        <f>+MACRO!CJ6*BW325</f>
        <v>2.6118539646353099E-2</v>
      </c>
      <c r="BX323" s="594">
        <f>+MACRO!CK6*BX325</f>
        <v>3.1084972969494487E-2</v>
      </c>
      <c r="BY323" s="594">
        <f>+MACRO!CL6*BY325</f>
        <v>3.3719953970983971E-2</v>
      </c>
      <c r="BZ323" s="594">
        <f>+MACRO!CM6*BZ325</f>
        <v>3.4074549549821039E-2</v>
      </c>
      <c r="CA323" s="594">
        <f>+MACRO!CN6*CA325</f>
        <v>3.4074549549821039E-2</v>
      </c>
      <c r="CB323" s="594">
        <f>+MACRO!CO6*CB325</f>
        <v>3.4074549549821039E-2</v>
      </c>
      <c r="CC323" s="594">
        <f>+MACRO!CP6*CC325</f>
        <v>3.3151869927592247E-2</v>
      </c>
      <c r="CD323" s="594">
        <f>+MACRO!CQ6*CD325</f>
        <v>3.0703549811039742E-2</v>
      </c>
      <c r="CE323" s="594">
        <f>+MACRO!CR6*CE325</f>
        <v>2.8358399041567582E-2</v>
      </c>
      <c r="CF323" s="594">
        <f>+MACRO!CS6*CF325</f>
        <v>2.6553162062818061E-2</v>
      </c>
      <c r="CG323" s="594">
        <f>+MACRO!CT6*CG325</f>
        <v>2.6384205317468785E-2</v>
      </c>
      <c r="CH323" s="594">
        <v>2.8166275713829101E-2</v>
      </c>
      <c r="CI323" s="594">
        <v>0</v>
      </c>
      <c r="CJ323" s="594">
        <v>0</v>
      </c>
      <c r="CK323" s="594">
        <v>0</v>
      </c>
      <c r="CL323" s="594">
        <f>+MACRO!CY6*CL325</f>
        <v>3.701595747162862E-2</v>
      </c>
      <c r="CM323" s="594">
        <f>+MACRO!CZ6*CM325</f>
        <v>3.584228566366942E-2</v>
      </c>
      <c r="CN323" s="594">
        <f>+MACRO!DA6*CN325</f>
        <v>3.3483361781862828E-2</v>
      </c>
      <c r="CO323" s="594">
        <f>+MACRO!DB6*CO325</f>
        <v>3.1703918698533E-2</v>
      </c>
      <c r="CP323" s="594">
        <f>+MACRO!DC6*CP325</f>
        <v>3.0512685413478662E-2</v>
      </c>
      <c r="CQ323" s="594"/>
      <c r="CR323" s="594">
        <v>3.701595747162862E-2</v>
      </c>
      <c r="CT323" s="975"/>
      <c r="CU323" s="975"/>
      <c r="CV323" s="975"/>
      <c r="CW323" s="975"/>
      <c r="CX323" s="911">
        <f>+SUM(O323:R323)</f>
        <v>0.120373452959669</v>
      </c>
      <c r="CY323" s="911">
        <f>+SUM(S323:V323)</f>
        <v>0.12439257214182731</v>
      </c>
      <c r="CZ323" s="911">
        <f>+SUM(W323:Z323)</f>
        <v>6.5488833568654037E-2</v>
      </c>
      <c r="DA323" s="911">
        <f>+SUM(AA323:AD323)</f>
        <v>2.8854891781707855E-2</v>
      </c>
      <c r="DB323" s="911">
        <f>+SUM(AE323:AH323)</f>
        <v>0.12502884559395788</v>
      </c>
      <c r="DC323" s="594">
        <f>+SUM(AI323:AL323)</f>
        <v>9.6111742565656438E-2</v>
      </c>
      <c r="DD323" s="594">
        <f>+SUM(AM323:AP323)</f>
        <v>9.6909542012024535E-2</v>
      </c>
      <c r="DE323" s="594">
        <f>SUM(AQ323:AT323)</f>
        <v>0.12306129060951329</v>
      </c>
      <c r="DF323" s="594">
        <f t="shared" ref="DF323:DN323" si="2876">+DF324/DF321</f>
        <v>0.1536642938620234</v>
      </c>
      <c r="DG323" s="594">
        <f t="shared" si="2876"/>
        <v>0.163980912962787</v>
      </c>
      <c r="DH323" s="594">
        <f t="shared" si="2876"/>
        <v>0.12595861228235608</v>
      </c>
      <c r="DI323" s="594">
        <f t="shared" si="2876"/>
        <v>6.425456667069207E-2</v>
      </c>
      <c r="DJ323" s="594">
        <f t="shared" si="2876"/>
        <v>0.10158758051599201</v>
      </c>
      <c r="DK323" s="594">
        <f t="shared" si="2876"/>
        <v>3.0753489312154998E-2</v>
      </c>
      <c r="DL323" s="594">
        <f t="shared" si="2876"/>
        <v>4.6296907028458532E-2</v>
      </c>
      <c r="DM323" s="594">
        <f t="shared" si="2876"/>
        <v>0.1249980161366526</v>
      </c>
      <c r="DN323" s="594">
        <f t="shared" si="2876"/>
        <v>0.13200451883827408</v>
      </c>
      <c r="DO323" s="594">
        <f t="shared" ref="DO323:DP323" si="2877">+DO324/DO321</f>
        <v>0.10946204213568353</v>
      </c>
      <c r="DP323" s="594">
        <f t="shared" si="2877"/>
        <v>3.701595747162862E-2</v>
      </c>
      <c r="DQ323" s="594">
        <f t="shared" ref="DQ323" si="2878">+DQ324/DQ321</f>
        <v>0.13154225155754393</v>
      </c>
      <c r="DR323" s="957">
        <f>MACRO!EJ6*$DM$325</f>
        <v>0.1144032778011544</v>
      </c>
      <c r="DS323" s="957">
        <f>MACRO!EK6*$DM$325</f>
        <v>0.10942922224458247</v>
      </c>
      <c r="DT323" s="957">
        <f>MACRO!EL6*$DM$325</f>
        <v>9.9481111131438607E-2</v>
      </c>
      <c r="DU323" s="957">
        <f>MACRO!EM6*$DM$325</f>
        <v>8.9533000018294742E-2</v>
      </c>
      <c r="DX323" s="957">
        <v>0.13181247224915615</v>
      </c>
      <c r="DY323" s="957">
        <v>0.1144032778011544</v>
      </c>
    </row>
    <row r="324" spans="1:129" s="904" customFormat="1">
      <c r="A324" s="939"/>
      <c r="B324" s="949" t="s">
        <v>565</v>
      </c>
      <c r="C324" s="939">
        <v>0</v>
      </c>
      <c r="D324" s="939" t="e">
        <f>+(C321+D321)/2*#REF!</f>
        <v>#REF!</v>
      </c>
      <c r="E324" s="939" t="e">
        <f>+(D321+E321)/2*#REF!</f>
        <v>#REF!</v>
      </c>
      <c r="F324" s="939" t="e">
        <f>+(E321+F321)/2*#REF!</f>
        <v>#REF!</v>
      </c>
      <c r="G324" s="939" t="e">
        <f>+(F321+G321)/2*#REF!</f>
        <v>#REF!</v>
      </c>
      <c r="H324" s="939" t="e">
        <f>+(G321+H321)/2*#REF!</f>
        <v>#REF!</v>
      </c>
      <c r="I324" s="939" t="e">
        <f>+(H321+I321)/2*#REF!</f>
        <v>#REF!</v>
      </c>
      <c r="J324" s="939" t="e">
        <f>+(I321+J321)/2*#REF!</f>
        <v>#REF!</v>
      </c>
      <c r="K324" s="939" t="e">
        <f>+(J321+K321)/2*#REF!</f>
        <v>#REF!</v>
      </c>
      <c r="L324" s="939" t="e">
        <f>+(K321+L321)/2*#REF!</f>
        <v>#REF!</v>
      </c>
      <c r="M324" s="939" t="e">
        <f>+(L321+M321)/2*#REF!</f>
        <v>#REF!</v>
      </c>
      <c r="N324" s="939" t="e">
        <f>+(M321+N321)/2*#REF!</f>
        <v>#REF!</v>
      </c>
      <c r="O324" s="939" t="e">
        <f>+(N321+O321)/2*#REF!</f>
        <v>#REF!</v>
      </c>
      <c r="P324" s="939" t="e">
        <f>+(O321+P321)/2*#REF!</f>
        <v>#REF!</v>
      </c>
      <c r="Q324" s="939" t="e">
        <f>+(P321+Q321)/2*#REF!</f>
        <v>#REF!</v>
      </c>
      <c r="R324" s="939" t="e">
        <f>+(Q321+R321)/2*#REF!</f>
        <v>#REF!</v>
      </c>
      <c r="S324" s="939" t="e">
        <f>+(R321+S321)/2*#REF!</f>
        <v>#REF!</v>
      </c>
      <c r="T324" s="939" t="e">
        <f>+(S321+T321)/2*#REF!</f>
        <v>#REF!</v>
      </c>
      <c r="U324" s="939" t="e">
        <f>+(T321+U321)/2*#REF!</f>
        <v>#REF!</v>
      </c>
      <c r="V324" s="939" t="e">
        <f>+(U321+V321)/2*#REF!</f>
        <v>#REF!</v>
      </c>
      <c r="W324" s="939" t="e">
        <f>+(V321+W321)/2*#REF!</f>
        <v>#REF!</v>
      </c>
      <c r="X324" s="939" t="e">
        <f>+(W321+X321)/2*#REF!</f>
        <v>#REF!</v>
      </c>
      <c r="Y324" s="939" t="e">
        <f>+(X321+Y321)/2*#REF!</f>
        <v>#REF!</v>
      </c>
      <c r="Z324" s="939" t="e">
        <f>+(Y321+Z321)/2*#REF!</f>
        <v>#REF!</v>
      </c>
      <c r="AA324" s="939" t="e">
        <f>+(Z321+AA321)/2*#REF!</f>
        <v>#REF!</v>
      </c>
      <c r="AB324" s="939" t="e">
        <f>+(AA321+AB321)/2*#REF!</f>
        <v>#REF!</v>
      </c>
      <c r="AC324" s="939" t="e">
        <f>+(AB321+AC321)/2*#REF!</f>
        <v>#REF!</v>
      </c>
      <c r="AD324" s="939" t="e">
        <f>+(AC321+AD321)/2*#REF!</f>
        <v>#REF!</v>
      </c>
      <c r="AE324" s="939" t="e">
        <f>+(AD321+AE321)/2*#REF!</f>
        <v>#REF!</v>
      </c>
      <c r="AF324" s="939" t="e">
        <f>+(AE321+AF321)/2*#REF!</f>
        <v>#REF!</v>
      </c>
      <c r="AG324" s="939" t="e">
        <f>+(AF321+AG321)/2*#REF!</f>
        <v>#REF!</v>
      </c>
      <c r="AH324" s="939" t="e">
        <f>+(AG321+AH321)/2*#REF!</f>
        <v>#REF!</v>
      </c>
      <c r="AI324" s="939" t="e">
        <f>+(AH321+AI321)/2*#REF!</f>
        <v>#REF!</v>
      </c>
      <c r="AJ324" s="939" t="e">
        <f>+(AI321+AJ321)/2*#REF!</f>
        <v>#REF!</v>
      </c>
      <c r="AK324" s="939" t="e">
        <f>+(AJ321+AK321)/2*#REF!</f>
        <v>#REF!</v>
      </c>
      <c r="AL324" s="939" t="e">
        <f>+(AK321+AL321)/2*#REF!</f>
        <v>#REF!</v>
      </c>
      <c r="AM324" s="939" t="e">
        <f>+(AL321+AM321)/2*#REF!</f>
        <v>#REF!</v>
      </c>
      <c r="AN324" s="939" t="e">
        <f>+(AM321+AN321)/2*#REF!</f>
        <v>#REF!</v>
      </c>
      <c r="AO324" s="939" t="e">
        <f>+(AN321+AO321)/2*#REF!</f>
        <v>#REF!</v>
      </c>
      <c r="AP324" s="939" t="e">
        <f>+(AO321+AP321)/2*#REF!</f>
        <v>#REF!</v>
      </c>
      <c r="AQ324" s="939" t="e">
        <f>+(AP321+AQ321)/2*#REF!</f>
        <v>#REF!</v>
      </c>
      <c r="AR324" s="939" t="e">
        <f>+(AQ321+AR321)/2*#REF!</f>
        <v>#REF!</v>
      </c>
      <c r="AS324" s="939" t="e">
        <f>+(AR321+AS321)/2*#REF!</f>
        <v>#REF!</v>
      </c>
      <c r="AT324" s="939" t="e">
        <f>+(AS321+AT321)/2*#REF!</f>
        <v>#REF!</v>
      </c>
      <c r="AU324" s="939">
        <f t="shared" ref="AU324:CD324" si="2879">+(AT321+AU321)/2*AU323</f>
        <v>26565.356744858513</v>
      </c>
      <c r="AV324" s="939">
        <f t="shared" si="2879"/>
        <v>30116.778329032186</v>
      </c>
      <c r="AW324" s="939">
        <f t="shared" si="2879"/>
        <v>33226.713893851724</v>
      </c>
      <c r="AX324" s="939">
        <f t="shared" si="2879"/>
        <v>32479.382843074043</v>
      </c>
      <c r="AY324" s="939">
        <f t="shared" si="2879"/>
        <v>32101.910155770402</v>
      </c>
      <c r="AZ324" s="939">
        <f t="shared" si="2879"/>
        <v>33617.496814758815</v>
      </c>
      <c r="BA324" s="939">
        <f t="shared" si="2879"/>
        <v>33450.238797545833</v>
      </c>
      <c r="BB324" s="939">
        <f t="shared" si="2879"/>
        <v>31299.30791707199</v>
      </c>
      <c r="BC324" s="939">
        <f t="shared" si="2879"/>
        <v>28497.35931037748</v>
      </c>
      <c r="BD324" s="939">
        <f t="shared" si="2879"/>
        <v>26186.766892864529</v>
      </c>
      <c r="BE324" s="939">
        <f t="shared" si="2879"/>
        <v>19344.330389669245</v>
      </c>
      <c r="BF324" s="939">
        <f t="shared" si="2879"/>
        <v>13828.305267093527</v>
      </c>
      <c r="BG324" s="939">
        <f t="shared" si="2879"/>
        <v>13613.079306708012</v>
      </c>
      <c r="BH324" s="939">
        <f t="shared" si="2879"/>
        <v>12845.245523104133</v>
      </c>
      <c r="BI324" s="939">
        <f t="shared" si="2879"/>
        <v>13348.735154935646</v>
      </c>
      <c r="BJ324" s="939">
        <f t="shared" si="2879"/>
        <v>14911.229428080187</v>
      </c>
      <c r="BK324" s="939">
        <f t="shared" si="2879"/>
        <v>17667.907213891613</v>
      </c>
      <c r="BL324" s="939">
        <f t="shared" si="2879"/>
        <v>13761.254575979308</v>
      </c>
      <c r="BM324" s="939">
        <f t="shared" si="2879"/>
        <v>10524.314371399216</v>
      </c>
      <c r="BN324" s="939">
        <f t="shared" si="2879"/>
        <v>7963.2069265507889</v>
      </c>
      <c r="BO324" s="939">
        <f t="shared" si="2879"/>
        <v>7328.8282536564775</v>
      </c>
      <c r="BP324" s="939">
        <f t="shared" si="2879"/>
        <v>6955.8567431448128</v>
      </c>
      <c r="BQ324" s="939">
        <f t="shared" si="2879"/>
        <v>4271.3706833642527</v>
      </c>
      <c r="BR324" s="939">
        <f t="shared" si="2879"/>
        <v>3746.7438108810074</v>
      </c>
      <c r="BS324" s="939">
        <f t="shared" si="2879"/>
        <v>3988.3685959911786</v>
      </c>
      <c r="BT324" s="939">
        <f t="shared" si="2879"/>
        <v>6244.7589192817222</v>
      </c>
      <c r="BU324" s="939">
        <f t="shared" si="2879"/>
        <v>9246.6743739586946</v>
      </c>
      <c r="BV324" s="939">
        <f t="shared" si="2879"/>
        <v>14095.270650690873</v>
      </c>
      <c r="BW324" s="939">
        <f t="shared" si="2879"/>
        <v>18941.478374011025</v>
      </c>
      <c r="BX324" s="939">
        <f t="shared" si="2879"/>
        <v>22543.195417153034</v>
      </c>
      <c r="BY324" s="939">
        <f t="shared" si="2879"/>
        <v>24454.115259205228</v>
      </c>
      <c r="BZ324" s="939">
        <f t="shared" si="2879"/>
        <v>24711.272228124813</v>
      </c>
      <c r="CA324" s="939">
        <f t="shared" si="2879"/>
        <v>24711.272228124813</v>
      </c>
      <c r="CB324" s="939">
        <f t="shared" si="2879"/>
        <v>24711.272228124813</v>
      </c>
      <c r="CC324" s="939">
        <f t="shared" si="2879"/>
        <v>24042.133893929029</v>
      </c>
      <c r="CD324" s="939">
        <f t="shared" si="2879"/>
        <v>22266.582765563755</v>
      </c>
      <c r="CE324" s="939">
        <f t="shared" ref="CE324:CI324" si="2880">+(CD321+CE321)/2*CE323</f>
        <v>20565.851285733308</v>
      </c>
      <c r="CF324" s="939">
        <f t="shared" si="2880"/>
        <v>19256.671765900413</v>
      </c>
      <c r="CG324" s="939">
        <f t="shared" si="2880"/>
        <v>19134.142306692171</v>
      </c>
      <c r="CH324" s="939">
        <f t="shared" si="2880"/>
        <v>20426.521142977432</v>
      </c>
      <c r="CI324" s="939">
        <f t="shared" si="2880"/>
        <v>0</v>
      </c>
      <c r="CJ324" s="939">
        <f t="shared" ref="CJ324" si="2881">+(CI321+CJ321)/2*CJ323</f>
        <v>0</v>
      </c>
      <c r="CK324" s="939">
        <f t="shared" ref="CK324" si="2882">+(CJ321+CK321)/2*CK323</f>
        <v>0</v>
      </c>
      <c r="CL324" s="939">
        <f t="shared" ref="CL324" si="2883">+(CK321+CL321)/2*CL323</f>
        <v>26844.416549914735</v>
      </c>
      <c r="CM324" s="939">
        <f t="shared" ref="CM324" si="2884">+(CL321+CM321)/2*CM323</f>
        <v>25993.255670721028</v>
      </c>
      <c r="CN324" s="939">
        <f t="shared" ref="CN324" si="2885">+(CM321+CN321)/2*CN323</f>
        <v>24282.535764548305</v>
      </c>
      <c r="CO324" s="939">
        <f t="shared" ref="CO324" si="2886">+(CN321+CO321)/2*CO323</f>
        <v>22992.062287200515</v>
      </c>
      <c r="CP324" s="939">
        <f t="shared" ref="CP324" si="2887">+(CO321+CP321)/2*CP323</f>
        <v>22128.165614079688</v>
      </c>
      <c r="CQ324" s="939"/>
      <c r="CR324" s="939">
        <v>26844.416549914735</v>
      </c>
      <c r="CT324" s="939"/>
      <c r="CU324" s="939"/>
      <c r="CV324" s="939"/>
      <c r="CW324" s="939"/>
      <c r="CX324" s="903" t="e">
        <f>+SUM(O324:R324)</f>
        <v>#REF!</v>
      </c>
      <c r="CY324" s="903" t="e">
        <f>+SUM(S324:V324)</f>
        <v>#REF!</v>
      </c>
      <c r="CZ324" s="903" t="e">
        <f>+SUM(W324:Z324)</f>
        <v>#REF!</v>
      </c>
      <c r="DA324" s="903" t="e">
        <f>+SUM(AA324:AD324)</f>
        <v>#REF!</v>
      </c>
      <c r="DB324" s="903" t="e">
        <f>+SUM(AE324:AH324)</f>
        <v>#REF!</v>
      </c>
      <c r="DC324" s="939" t="e">
        <f>+SUM(AI324:AL324)</f>
        <v>#REF!</v>
      </c>
      <c r="DD324" s="939" t="e">
        <f>+SUM(AM324:AP324)</f>
        <v>#REF!</v>
      </c>
      <c r="DE324" s="954" t="e">
        <f>+SUM(AQ324:AT324)</f>
        <v>#REF!</v>
      </c>
      <c r="DF324" s="903">
        <f>+SUM(AU324:AX324)</f>
        <v>122388.23181081646</v>
      </c>
      <c r="DG324" s="939">
        <f>+SUM(AY324:BB324)</f>
        <v>130468.95368514703</v>
      </c>
      <c r="DH324" s="939">
        <f>+SUM(BC324:BF324)</f>
        <v>87856.761860004772</v>
      </c>
      <c r="DI324" s="939">
        <f>+SUM(BG324:BJ324)</f>
        <v>54718.28941282798</v>
      </c>
      <c r="DJ324" s="939">
        <f>+SUM(BK324:BN324)</f>
        <v>49916.683087820929</v>
      </c>
      <c r="DK324" s="939">
        <f>+SUM(BO324:BR324)</f>
        <v>22302.79949104655</v>
      </c>
      <c r="DL324" s="939">
        <f>+SUM(BS324:BV324)</f>
        <v>33575.072539922468</v>
      </c>
      <c r="DM324" s="939">
        <f>+SUM(BW324:BZ324)</f>
        <v>90650.061278494104</v>
      </c>
      <c r="DN324" s="939">
        <f>+SUM(CA324:CD324)</f>
        <v>95731.261115742411</v>
      </c>
      <c r="DO324" s="939">
        <f>+SUM(CE324:CH324)</f>
        <v>79383.186501303324</v>
      </c>
      <c r="DP324" s="939">
        <f>+SUM(CI324:CL324)</f>
        <v>26844.416549914735</v>
      </c>
      <c r="DQ324" s="939">
        <f>+SUM(CM324:CP324)</f>
        <v>95396.019336549536</v>
      </c>
      <c r="DR324" s="599">
        <f>+(DQ321+DR321)/2*DR323</f>
        <v>82966.629900730783</v>
      </c>
      <c r="DS324" s="599">
        <f t="shared" ref="DS324:DU324" si="2888">+(DR321+DS321)/2*DS323</f>
        <v>79359.385122438151</v>
      </c>
      <c r="DT324" s="599">
        <f t="shared" si="2888"/>
        <v>72144.895565852858</v>
      </c>
      <c r="DU324" s="599">
        <f t="shared" si="2888"/>
        <v>64930.406009267565</v>
      </c>
      <c r="DX324" s="599">
        <v>95591.986624755038</v>
      </c>
      <c r="DY324" s="599">
        <v>82966.629900730783</v>
      </c>
    </row>
    <row r="325" spans="1:129">
      <c r="A325" s="592"/>
      <c r="B325" s="592"/>
      <c r="C325" s="592"/>
      <c r="D325" s="592"/>
      <c r="E325" s="592"/>
      <c r="F325" s="592"/>
      <c r="G325" s="592"/>
      <c r="H325" s="592"/>
      <c r="I325" s="592"/>
      <c r="J325" s="592"/>
      <c r="K325" s="592"/>
      <c r="L325" s="592"/>
      <c r="M325" s="592"/>
      <c r="N325" s="592"/>
      <c r="O325" s="592"/>
      <c r="P325" s="592"/>
      <c r="Q325" s="592"/>
      <c r="R325" s="592"/>
      <c r="S325" s="592"/>
      <c r="T325" s="592"/>
      <c r="U325" s="592"/>
      <c r="V325" s="592"/>
      <c r="W325" s="592"/>
      <c r="X325" s="592"/>
      <c r="Y325" s="911"/>
      <c r="Z325" s="911"/>
      <c r="AA325" s="911"/>
      <c r="AB325" s="911"/>
      <c r="AC325" s="592"/>
      <c r="AD325" s="592"/>
      <c r="AE325" s="1025"/>
      <c r="AF325" s="592"/>
      <c r="AG325" s="592"/>
      <c r="AH325" s="592"/>
      <c r="AI325" s="592"/>
      <c r="AJ325" s="1019">
        <f>AJ323/MACRO!AW6</f>
        <v>1.1486000000000001</v>
      </c>
      <c r="AK325" s="1019">
        <f>AK323/MACRO!AX6</f>
        <v>1.1679999999999999</v>
      </c>
      <c r="AL325" s="1019">
        <f>AL323/MACRO!AY6</f>
        <v>1.1679999999999999</v>
      </c>
      <c r="AM325" s="1019">
        <f>AM323/MACRO!AZ6</f>
        <v>1.1679999999999999</v>
      </c>
      <c r="AN325" s="1019">
        <f>AN323/MACRO!BA6</f>
        <v>1.1679999999999999</v>
      </c>
      <c r="AO325" s="1019">
        <f>AO323/MACRO!BB6</f>
        <v>1.1679999999999999</v>
      </c>
      <c r="AP325" s="1019">
        <f>AP323/MACRO!BC6</f>
        <v>1.1679999999999999</v>
      </c>
      <c r="AQ325" s="982">
        <f>AQ323/MACRO!BD6</f>
        <v>1.1679999999999999</v>
      </c>
      <c r="AR325" s="982">
        <f>AR323/MACRO!BE6</f>
        <v>1.1679999999999999</v>
      </c>
      <c r="AS325" s="982">
        <f>AS323/MACRO!BF6</f>
        <v>1.1679999999999999</v>
      </c>
      <c r="AT325" s="982">
        <f>AT323/MACRO!BG6</f>
        <v>1.1679999999999999</v>
      </c>
      <c r="AU325" s="1026">
        <f>AU323/MACRO!BH6</f>
        <v>1.1679999999999999</v>
      </c>
      <c r="AV325" s="1026">
        <f>AV323/MACRO!BI6</f>
        <v>1.1679999999999999</v>
      </c>
      <c r="AW325" s="1026">
        <f>AW323/MACRO!BJ6</f>
        <v>1.1679999999999999</v>
      </c>
      <c r="AX325" s="1026">
        <f>AX323/MACRO!BK6</f>
        <v>1.1679999999999999</v>
      </c>
      <c r="AY325" s="1026">
        <f>AY323/MACRO!BL6</f>
        <v>1.1679999999999999</v>
      </c>
      <c r="AZ325" s="1026">
        <f>AZ323/MACRO!BM6</f>
        <v>1.1679999999999999</v>
      </c>
      <c r="BA325" s="1026">
        <f>BA323/MACRO!BN6</f>
        <v>1.1679999999999999</v>
      </c>
      <c r="BB325" s="1026">
        <f>BB323/MACRO!BO6</f>
        <v>1.1679999999999999</v>
      </c>
      <c r="BC325" s="1026">
        <f>BC323/MACRO!BP6</f>
        <v>1.1679999999999999</v>
      </c>
      <c r="BD325" s="1026">
        <f>BD323/MACRO!BQ6</f>
        <v>1.1679999999999999</v>
      </c>
      <c r="BE325" s="1026">
        <f>BE323/MACRO!BR6</f>
        <v>1.1679999999999999</v>
      </c>
      <c r="BF325" s="1026">
        <f>BF323/MACRO!BS6</f>
        <v>1.1679999999999999</v>
      </c>
      <c r="BG325" s="1026">
        <f>BG323/MACRO!BT6</f>
        <v>1.1679999999999999</v>
      </c>
      <c r="BH325" s="1026">
        <f>BH323/MACRO!BU6</f>
        <v>1.1679999999999999</v>
      </c>
      <c r="BI325" s="1026">
        <f>BI323/MACRO!BV6</f>
        <v>1.1679999999999999</v>
      </c>
      <c r="BJ325" s="1026">
        <f>BJ323/MACRO!BW6</f>
        <v>1.1679999999999999</v>
      </c>
      <c r="BK325" s="1026">
        <v>1.0409999999999999</v>
      </c>
      <c r="BL325" s="1026">
        <v>1.04</v>
      </c>
      <c r="BM325" s="1026">
        <v>1.04</v>
      </c>
      <c r="BN325" s="1026">
        <v>1.04</v>
      </c>
      <c r="BO325" s="1026">
        <v>1.0409999999999999</v>
      </c>
      <c r="BP325" s="1026">
        <v>1.0409999999999999</v>
      </c>
      <c r="BQ325" s="1026">
        <v>1.0409999999999999</v>
      </c>
      <c r="BR325" s="1020">
        <f t="shared" ref="BR325:CD325" si="2889">+BQ325</f>
        <v>1.0409999999999999</v>
      </c>
      <c r="BS325" s="1020">
        <f t="shared" si="2889"/>
        <v>1.0409999999999999</v>
      </c>
      <c r="BT325" s="1020">
        <f t="shared" si="2889"/>
        <v>1.0409999999999999</v>
      </c>
      <c r="BU325" s="1020">
        <f t="shared" si="2889"/>
        <v>1.0409999999999999</v>
      </c>
      <c r="BV325" s="1020">
        <f t="shared" si="2889"/>
        <v>1.0409999999999999</v>
      </c>
      <c r="BW325" s="1020">
        <f t="shared" si="2889"/>
        <v>1.0409999999999999</v>
      </c>
      <c r="BX325" s="1020">
        <f t="shared" si="2889"/>
        <v>1.0409999999999999</v>
      </c>
      <c r="BY325" s="1020">
        <f t="shared" si="2889"/>
        <v>1.0409999999999999</v>
      </c>
      <c r="BZ325" s="1020">
        <f t="shared" si="2889"/>
        <v>1.0409999999999999</v>
      </c>
      <c r="CA325" s="1020">
        <f t="shared" si="2889"/>
        <v>1.0409999999999999</v>
      </c>
      <c r="CB325" s="1020">
        <f t="shared" si="2889"/>
        <v>1.0409999999999999</v>
      </c>
      <c r="CC325" s="1020">
        <f t="shared" si="2889"/>
        <v>1.0409999999999999</v>
      </c>
      <c r="CD325" s="1020">
        <f t="shared" si="2889"/>
        <v>1.0409999999999999</v>
      </c>
      <c r="CE325" s="1020">
        <f t="shared" ref="CE325:CI325" si="2890">+CD325</f>
        <v>1.0409999999999999</v>
      </c>
      <c r="CF325" s="1020">
        <f t="shared" si="2890"/>
        <v>1.0409999999999999</v>
      </c>
      <c r="CG325" s="1020">
        <f t="shared" si="2890"/>
        <v>1.0409999999999999</v>
      </c>
      <c r="CH325" s="1020">
        <f t="shared" si="2890"/>
        <v>1.0409999999999999</v>
      </c>
      <c r="CI325" s="1020">
        <f t="shared" si="2890"/>
        <v>1.0409999999999999</v>
      </c>
      <c r="CJ325" s="1020">
        <f t="shared" ref="CJ325" si="2891">+CI325</f>
        <v>1.0409999999999999</v>
      </c>
      <c r="CK325" s="1020">
        <f t="shared" ref="CK325" si="2892">+CJ325</f>
        <v>1.0409999999999999</v>
      </c>
      <c r="CL325" s="1020">
        <f t="shared" ref="CL325" si="2893">+CK325</f>
        <v>1.0409999999999999</v>
      </c>
      <c r="CM325" s="1020">
        <f t="shared" ref="CM325" si="2894">+CL325</f>
        <v>1.0409999999999999</v>
      </c>
      <c r="CN325" s="1020">
        <f t="shared" ref="CN325" si="2895">+CM325</f>
        <v>1.0409999999999999</v>
      </c>
      <c r="CO325" s="1020">
        <f t="shared" ref="CO325" si="2896">+CN325</f>
        <v>1.0409999999999999</v>
      </c>
      <c r="CP325" s="1020">
        <f t="shared" ref="CP325" si="2897">+CO325</f>
        <v>1.0409999999999999</v>
      </c>
      <c r="CQ325" s="1020"/>
      <c r="CR325" s="1020">
        <v>1.0409999999999999</v>
      </c>
      <c r="CT325" s="899"/>
      <c r="CU325" s="899"/>
      <c r="CV325" s="899"/>
      <c r="CW325" s="899"/>
      <c r="CX325" s="899"/>
      <c r="CY325" s="899"/>
      <c r="CZ325" s="899"/>
      <c r="DA325" s="899"/>
      <c r="DB325" s="899"/>
      <c r="DC325" s="1027"/>
      <c r="DD325" s="899"/>
      <c r="DE325" s="899"/>
      <c r="DF325" s="645">
        <f>+DF323/MACRO!DX6</f>
        <v>1.1376220163762607</v>
      </c>
      <c r="DG325" s="645">
        <f>+DG323/MACRO!DY6</f>
        <v>1.1566278466780957</v>
      </c>
      <c r="DH325" s="645">
        <f>+DH323/MACRO!DZ6</f>
        <v>1.2412772829007743</v>
      </c>
      <c r="DI325" s="645">
        <f>+DI323/MACRO!EA6</f>
        <v>0.97632769869997449</v>
      </c>
      <c r="DJ325" s="645">
        <f>+DJ323/MACRO!EB6</f>
        <v>1.6826100292503854</v>
      </c>
      <c r="DK325" s="645">
        <f>+DK323/MACRO!EC6</f>
        <v>1.0669033586176928</v>
      </c>
      <c r="DL325" s="645">
        <f>+DL323/MACRO!ED6</f>
        <v>1.0203175102690587</v>
      </c>
      <c r="DM325" s="645">
        <f>+DM323/MACRO!EE6</f>
        <v>0.99481111131438604</v>
      </c>
      <c r="DN325" s="645">
        <f>+DN323/MACRO!EF6</f>
        <v>0.99270177731358578</v>
      </c>
      <c r="DO325" s="645">
        <f>+DO323/MACRO!EG6</f>
        <v>1.0007958138119637</v>
      </c>
      <c r="DP325" s="645">
        <f>+DP323/MACRO!EH6</f>
        <v>0.25382370837688195</v>
      </c>
      <c r="DQ325" s="645">
        <f>+DQ323/MACRO!EI6</f>
        <v>0.99277170986825602</v>
      </c>
      <c r="DR325" s="1028">
        <f>+DQ325</f>
        <v>0.99277170986825602</v>
      </c>
      <c r="DS325" s="1028">
        <f t="shared" ref="DS325:DU325" si="2898">+DR325</f>
        <v>0.99277170986825602</v>
      </c>
      <c r="DT325" s="1028">
        <f t="shared" si="2898"/>
        <v>0.99277170986825602</v>
      </c>
      <c r="DU325" s="1028">
        <f t="shared" si="2898"/>
        <v>0.99277170986825602</v>
      </c>
      <c r="DX325" s="1028">
        <v>0.25382370837688195</v>
      </c>
      <c r="DY325" s="1028">
        <v>0.25382370837688195</v>
      </c>
    </row>
    <row r="326" spans="1:129" s="904" customFormat="1">
      <c r="A326" s="592"/>
      <c r="B326" s="592"/>
      <c r="C326" s="592"/>
      <c r="D326" s="592"/>
      <c r="E326" s="592"/>
      <c r="F326" s="592"/>
      <c r="G326" s="592"/>
      <c r="H326" s="592"/>
      <c r="I326" s="592"/>
      <c r="J326" s="592"/>
      <c r="K326" s="592"/>
      <c r="L326" s="592"/>
      <c r="M326" s="592"/>
      <c r="N326" s="592"/>
      <c r="O326" s="592"/>
      <c r="P326" s="592"/>
      <c r="Q326" s="592"/>
      <c r="R326" s="592"/>
      <c r="S326" s="592"/>
      <c r="T326" s="592"/>
      <c r="U326" s="592"/>
      <c r="V326" s="592"/>
      <c r="W326" s="592"/>
      <c r="X326" s="592"/>
      <c r="Y326" s="911"/>
      <c r="Z326" s="911"/>
      <c r="AA326" s="911"/>
      <c r="AB326" s="911"/>
      <c r="AC326" s="592"/>
      <c r="AD326" s="592"/>
      <c r="AE326" s="1025"/>
      <c r="AF326" s="592"/>
      <c r="AG326" s="592"/>
      <c r="AH326" s="592"/>
      <c r="AI326" s="592"/>
      <c r="AJ326" s="1019"/>
      <c r="AK326" s="1019"/>
      <c r="AL326" s="1019"/>
      <c r="AM326" s="1019"/>
      <c r="AN326" s="1019"/>
      <c r="AO326" s="1019"/>
      <c r="AP326" s="1019"/>
      <c r="AQ326" s="982"/>
      <c r="AR326" s="982"/>
      <c r="AS326" s="982"/>
      <c r="AT326" s="982"/>
      <c r="AU326" s="982"/>
      <c r="AV326" s="982"/>
      <c r="AW326" s="982"/>
      <c r="AX326" s="982"/>
      <c r="AY326" s="982"/>
      <c r="AZ326" s="982"/>
      <c r="BA326" s="982"/>
      <c r="BB326" s="982"/>
      <c r="BC326" s="982"/>
      <c r="BD326" s="1019"/>
      <c r="BE326" s="1019"/>
      <c r="BF326" s="1019"/>
      <c r="BG326" s="1019"/>
      <c r="BH326" s="1019"/>
      <c r="BI326" s="1019"/>
      <c r="BJ326" s="1019"/>
      <c r="BK326" s="1019"/>
      <c r="BL326" s="1019"/>
      <c r="BM326" s="1019"/>
      <c r="BN326" s="1019"/>
      <c r="BO326" s="1019"/>
      <c r="BP326" s="1019"/>
      <c r="BQ326" s="1019"/>
      <c r="BR326" s="1019"/>
      <c r="BS326" s="1019"/>
      <c r="BT326" s="1019"/>
      <c r="BU326" s="1019"/>
      <c r="BV326" s="1019"/>
      <c r="BW326" s="1019"/>
      <c r="BX326" s="1019"/>
      <c r="BY326" s="1019"/>
      <c r="BZ326" s="1019"/>
      <c r="CA326" s="1019"/>
      <c r="CB326" s="1019"/>
      <c r="CC326" s="1019"/>
      <c r="CD326" s="1019"/>
      <c r="CE326" s="1019"/>
      <c r="CF326" s="1019"/>
      <c r="CG326" s="1019"/>
      <c r="CH326" s="1019"/>
      <c r="CI326" s="1019"/>
      <c r="CJ326" s="1019"/>
      <c r="CK326" s="1019"/>
      <c r="CL326" s="1019"/>
      <c r="CM326" s="1019"/>
      <c r="CN326" s="1019"/>
      <c r="CO326" s="1019"/>
      <c r="CP326" s="1019"/>
      <c r="CQ326" s="1019"/>
      <c r="CR326" s="1019"/>
      <c r="CT326" s="592"/>
      <c r="CU326" s="592"/>
      <c r="CV326" s="592"/>
      <c r="CW326" s="592"/>
      <c r="CX326" s="592"/>
      <c r="CY326" s="592"/>
      <c r="CZ326" s="592"/>
      <c r="DA326" s="592"/>
      <c r="DB326" s="592"/>
      <c r="DC326" s="939"/>
      <c r="DD326" s="592"/>
      <c r="DE326" s="592"/>
      <c r="DF326" s="592"/>
      <c r="DG326" s="592"/>
      <c r="DH326" s="1019"/>
      <c r="DI326" s="592"/>
      <c r="DJ326" s="592"/>
      <c r="DK326" s="592"/>
      <c r="DL326" s="592"/>
      <c r="DM326" s="592"/>
      <c r="DN326" s="592"/>
      <c r="DO326" s="592"/>
      <c r="DP326" s="592"/>
      <c r="DQ326" s="592"/>
      <c r="DR326" s="592"/>
      <c r="DS326" s="592"/>
      <c r="DT326" s="592"/>
      <c r="DU326" s="592"/>
      <c r="DX326" s="592"/>
      <c r="DY326" s="592"/>
    </row>
    <row r="327" spans="1:129" s="904" customFormat="1">
      <c r="A327" s="943"/>
      <c r="B327" s="944" t="s">
        <v>566</v>
      </c>
      <c r="C327" s="943">
        <f t="shared" ref="C327:AB327" si="2899">+C120</f>
        <v>0</v>
      </c>
      <c r="D327" s="943">
        <f t="shared" si="2899"/>
        <v>248600</v>
      </c>
      <c r="E327" s="943">
        <f t="shared" si="2899"/>
        <v>228688</v>
      </c>
      <c r="F327" s="943">
        <f t="shared" si="2899"/>
        <v>212352</v>
      </c>
      <c r="G327" s="943">
        <f t="shared" si="2899"/>
        <v>213296</v>
      </c>
      <c r="H327" s="943">
        <f t="shared" si="2899"/>
        <v>188032</v>
      </c>
      <c r="I327" s="943">
        <f t="shared" si="2899"/>
        <v>0</v>
      </c>
      <c r="J327" s="943">
        <f t="shared" si="2899"/>
        <v>0</v>
      </c>
      <c r="K327" s="943">
        <f t="shared" si="2899"/>
        <v>0</v>
      </c>
      <c r="L327" s="943">
        <f t="shared" si="2899"/>
        <v>0</v>
      </c>
      <c r="M327" s="943">
        <f t="shared" si="2899"/>
        <v>0</v>
      </c>
      <c r="N327" s="943">
        <f t="shared" si="2899"/>
        <v>0</v>
      </c>
      <c r="O327" s="943">
        <f t="shared" si="2899"/>
        <v>0</v>
      </c>
      <c r="P327" s="943">
        <f t="shared" si="2899"/>
        <v>0</v>
      </c>
      <c r="Q327" s="943">
        <f t="shared" si="2899"/>
        <v>0</v>
      </c>
      <c r="R327" s="943">
        <f t="shared" si="2899"/>
        <v>0</v>
      </c>
      <c r="S327" s="943">
        <f t="shared" si="2899"/>
        <v>0</v>
      </c>
      <c r="T327" s="943">
        <f t="shared" si="2899"/>
        <v>29740</v>
      </c>
      <c r="U327" s="943">
        <f t="shared" si="2899"/>
        <v>29740</v>
      </c>
      <c r="V327" s="943">
        <f t="shared" si="2899"/>
        <v>29661</v>
      </c>
      <c r="W327" s="943">
        <f t="shared" si="2899"/>
        <v>28178</v>
      </c>
      <c r="X327" s="943">
        <f t="shared" si="2899"/>
        <v>39680</v>
      </c>
      <c r="Y327" s="943">
        <f t="shared" si="2899"/>
        <v>37476</v>
      </c>
      <c r="Z327" s="943">
        <f t="shared" si="2899"/>
        <v>35271</v>
      </c>
      <c r="AA327" s="943">
        <f t="shared" si="2899"/>
        <v>33067</v>
      </c>
      <c r="AB327" s="943">
        <f t="shared" si="2899"/>
        <v>30862</v>
      </c>
      <c r="AC327" s="943">
        <f t="shared" ref="AC327:AL327" si="2900">AC300-AC307-AC321-AC335</f>
        <v>28658</v>
      </c>
      <c r="AD327" s="943">
        <f t="shared" si="2900"/>
        <v>21056.616157552693</v>
      </c>
      <c r="AE327" s="943">
        <f t="shared" si="2900"/>
        <v>23877.534910999238</v>
      </c>
      <c r="AF327" s="943">
        <f t="shared" si="2900"/>
        <v>28939.04395948787</v>
      </c>
      <c r="AG327" s="943">
        <f t="shared" si="2900"/>
        <v>316403.38201707997</v>
      </c>
      <c r="AH327" s="943">
        <f t="shared" si="2900"/>
        <v>328049.82710463437</v>
      </c>
      <c r="AI327" s="943">
        <f t="shared" si="2900"/>
        <v>334829.53228180716</v>
      </c>
      <c r="AJ327" s="943">
        <f t="shared" si="2900"/>
        <v>326314.41576565988</v>
      </c>
      <c r="AK327" s="943">
        <f t="shared" si="2900"/>
        <v>580350.34528448014</v>
      </c>
      <c r="AL327" s="943">
        <f t="shared" si="2900"/>
        <v>632660.06729752198</v>
      </c>
      <c r="AM327" s="946">
        <v>638206</v>
      </c>
      <c r="AN327" s="946">
        <v>635982</v>
      </c>
      <c r="AO327" s="946">
        <v>1048520</v>
      </c>
      <c r="AP327" s="946">
        <v>1050356</v>
      </c>
      <c r="AQ327" s="943">
        <v>1057784</v>
      </c>
      <c r="AR327" s="943">
        <v>1089289</v>
      </c>
      <c r="AS327" s="943">
        <f>884952+48689</f>
        <v>933641</v>
      </c>
      <c r="AT327" s="943">
        <f>+Divida!D19</f>
        <v>1063270</v>
      </c>
      <c r="AU327" s="943">
        <f>+Divida!E19</f>
        <v>1065986</v>
      </c>
      <c r="AV327" s="943">
        <f>+Divida!F19</f>
        <v>997743</v>
      </c>
      <c r="AW327" s="943">
        <f>+Divida!G19</f>
        <v>858628</v>
      </c>
      <c r="AX327" s="943">
        <f>+Divida!H19</f>
        <v>864718</v>
      </c>
      <c r="AY327" s="943">
        <f>+Divida!I19</f>
        <v>921507</v>
      </c>
      <c r="AZ327" s="943">
        <f>+Divida!J19</f>
        <v>854289</v>
      </c>
      <c r="BA327" s="943">
        <f>+Divida!K19</f>
        <v>893635</v>
      </c>
      <c r="BB327" s="943">
        <f>+Divida!L19</f>
        <v>748742</v>
      </c>
      <c r="BC327" s="943">
        <f>+Divida!M19</f>
        <v>702706</v>
      </c>
      <c r="BD327" s="943">
        <f>+Divida!N19</f>
        <v>591820</v>
      </c>
      <c r="BE327" s="943">
        <f>+Divida!O19</f>
        <v>727673</v>
      </c>
      <c r="BF327" s="943">
        <f>+Divida!P19</f>
        <v>724972</v>
      </c>
      <c r="BG327" s="943">
        <f>+Divida!Q19</f>
        <v>721344</v>
      </c>
      <c r="BH327" s="943">
        <f>+Divida!R19</f>
        <v>663811</v>
      </c>
      <c r="BI327" s="943">
        <f>+Divida!S19</f>
        <v>330643</v>
      </c>
      <c r="BJ327" s="943">
        <f>+Divida!T19</f>
        <v>327258</v>
      </c>
      <c r="BK327" s="943">
        <f>+Divida!U19</f>
        <v>61427</v>
      </c>
      <c r="BL327" s="943">
        <f>+Divida!V19</f>
        <v>446207</v>
      </c>
      <c r="BM327" s="943">
        <f>+Divida!W19</f>
        <v>445223</v>
      </c>
      <c r="BN327" s="943">
        <f>+Divida!X19</f>
        <v>444641</v>
      </c>
      <c r="BO327" s="943">
        <f>+Divida!Y19</f>
        <v>405975</v>
      </c>
      <c r="BP327" s="943">
        <f>+Divida!Z19</f>
        <v>899701</v>
      </c>
      <c r="BQ327" s="943">
        <f>+Divida!AA19</f>
        <v>1049705</v>
      </c>
      <c r="BR327" s="943">
        <f>+Divida!AB19</f>
        <v>1966508</v>
      </c>
      <c r="BS327" s="943">
        <f>+Divida!AC19</f>
        <v>3045788</v>
      </c>
      <c r="BT327" s="943">
        <f>+Divida!AD19</f>
        <v>3038401</v>
      </c>
      <c r="BU327" s="943">
        <f>+Divida!AE19</f>
        <v>2364915</v>
      </c>
      <c r="BV327" s="943">
        <f>+Divida!AF19</f>
        <v>1446257</v>
      </c>
      <c r="BW327" s="943">
        <f>+Divida!AG19</f>
        <v>2058280</v>
      </c>
      <c r="BX327" s="943">
        <f>+Divida!AH19</f>
        <v>2107239</v>
      </c>
      <c r="BY327" s="943">
        <f>+Divida!AI19</f>
        <v>2220399</v>
      </c>
      <c r="BZ327" s="943">
        <f>+Divida!AJ19</f>
        <v>2172530.9647308653</v>
      </c>
      <c r="CA327" s="943">
        <f>+Divida!AK19</f>
        <v>1705120.3328409195</v>
      </c>
      <c r="CB327" s="943">
        <f>+Divida!AL19</f>
        <v>1665309.0953743882</v>
      </c>
      <c r="CC327" s="943">
        <f>+Divida!AM19</f>
        <v>1658379.4323700489</v>
      </c>
      <c r="CD327" s="943">
        <f>+Divida!AN19</f>
        <v>1684060.1563475211</v>
      </c>
      <c r="CE327" s="943">
        <f t="shared" ref="CE327:CI327" si="2901">+CD327</f>
        <v>1684060.1563475211</v>
      </c>
      <c r="CF327" s="943">
        <f t="shared" si="2901"/>
        <v>1684060.1563475211</v>
      </c>
      <c r="CG327" s="943">
        <f t="shared" si="2901"/>
        <v>1684060.1563475211</v>
      </c>
      <c r="CH327" s="943">
        <f t="shared" si="2901"/>
        <v>1684060.1563475211</v>
      </c>
      <c r="CI327" s="943">
        <f t="shared" si="2901"/>
        <v>1684060.1563475211</v>
      </c>
      <c r="CJ327" s="943">
        <f t="shared" ref="CJ327" si="2902">+CI327</f>
        <v>1684060.1563475211</v>
      </c>
      <c r="CK327" s="943">
        <f t="shared" ref="CK327" si="2903">+CJ327</f>
        <v>1684060.1563475211</v>
      </c>
      <c r="CL327" s="1016">
        <f t="shared" ref="CL327" si="2904">+CK327</f>
        <v>1684060.1563475211</v>
      </c>
      <c r="CM327" s="1016">
        <f t="shared" ref="CM327" si="2905">+CL327</f>
        <v>1684060.1563475211</v>
      </c>
      <c r="CN327" s="1016">
        <f t="shared" ref="CN327" si="2906">+CM327</f>
        <v>1684060.1563475211</v>
      </c>
      <c r="CO327" s="1016">
        <f t="shared" ref="CO327" si="2907">+CN327</f>
        <v>1684060.1563475211</v>
      </c>
      <c r="CP327" s="1016">
        <f t="shared" ref="CP327" si="2908">+CO327</f>
        <v>1684060.1563475211</v>
      </c>
      <c r="CQ327" s="1016"/>
      <c r="CR327" s="1016">
        <v>1684060.1563475211</v>
      </c>
      <c r="CT327" s="1017"/>
      <c r="CU327" s="1017"/>
      <c r="CV327" s="1017"/>
      <c r="CW327" s="1017"/>
      <c r="CX327" s="943">
        <f>R327</f>
        <v>0</v>
      </c>
      <c r="CY327" s="943">
        <f>CY328*CY299</f>
        <v>-355411</v>
      </c>
      <c r="CZ327" s="943">
        <f>+CZ328*CZ299</f>
        <v>35271</v>
      </c>
      <c r="DA327" s="943">
        <f>+AD327</f>
        <v>21056.616157552693</v>
      </c>
      <c r="DB327" s="943">
        <f>+AH327</f>
        <v>328049.82710463437</v>
      </c>
      <c r="DC327" s="943">
        <f>+AL327</f>
        <v>632660.06729752198</v>
      </c>
      <c r="DD327" s="943">
        <f>+AP327</f>
        <v>1050356</v>
      </c>
      <c r="DE327" s="943">
        <f>AT327</f>
        <v>1063270</v>
      </c>
      <c r="DF327" s="943">
        <f>+AX327</f>
        <v>864718</v>
      </c>
      <c r="DG327" s="943">
        <f>+BB327</f>
        <v>748742</v>
      </c>
      <c r="DH327" s="943">
        <f>+BF327</f>
        <v>724972</v>
      </c>
      <c r="DI327" s="943">
        <f>+BJ327</f>
        <v>327258</v>
      </c>
      <c r="DJ327" s="943">
        <f>+BN327</f>
        <v>444641</v>
      </c>
      <c r="DK327" s="943">
        <f>+BR327</f>
        <v>1966508</v>
      </c>
      <c r="DL327" s="943">
        <f t="shared" ref="DL327:DQ327" si="2909">+BV327</f>
        <v>1446257</v>
      </c>
      <c r="DM327" s="943">
        <f t="shared" si="2909"/>
        <v>2058280</v>
      </c>
      <c r="DN327" s="943">
        <f t="shared" si="2909"/>
        <v>2107239</v>
      </c>
      <c r="DO327" s="943">
        <f t="shared" si="2909"/>
        <v>2220399</v>
      </c>
      <c r="DP327" s="943">
        <f t="shared" si="2909"/>
        <v>2172530.9647308653</v>
      </c>
      <c r="DQ327" s="943">
        <f t="shared" si="2909"/>
        <v>1705120.3328409195</v>
      </c>
      <c r="DR327" s="1016">
        <f>+DQ327</f>
        <v>1705120.3328409195</v>
      </c>
      <c r="DS327" s="1016">
        <f t="shared" ref="DS327:DU327" si="2910">+DR327</f>
        <v>1705120.3328409195</v>
      </c>
      <c r="DT327" s="1016">
        <f t="shared" si="2910"/>
        <v>1705120.3328409195</v>
      </c>
      <c r="DU327" s="1016">
        <f t="shared" si="2910"/>
        <v>1705120.3328409195</v>
      </c>
      <c r="DX327" s="1016">
        <v>2172530.9647308653</v>
      </c>
      <c r="DY327" s="1016">
        <v>2172530.9647308653</v>
      </c>
    </row>
    <row r="328" spans="1:129" s="904" customFormat="1">
      <c r="A328" s="939"/>
      <c r="B328" s="949" t="s">
        <v>557</v>
      </c>
      <c r="C328" s="919"/>
      <c r="D328" s="919">
        <f>+D327/D299</f>
        <v>1</v>
      </c>
      <c r="E328" s="919">
        <f>+E327/E299</f>
        <v>1</v>
      </c>
      <c r="F328" s="919">
        <f>+F327/F299</f>
        <v>1</v>
      </c>
      <c r="G328" s="982">
        <v>0</v>
      </c>
      <c r="H328" s="982">
        <v>0</v>
      </c>
      <c r="I328" s="982">
        <v>0</v>
      </c>
      <c r="J328" s="982">
        <v>0</v>
      </c>
      <c r="K328" s="982">
        <v>0</v>
      </c>
      <c r="L328" s="982">
        <v>0</v>
      </c>
      <c r="M328" s="982">
        <v>0</v>
      </c>
      <c r="N328" s="982">
        <v>0</v>
      </c>
      <c r="O328" s="982">
        <v>0</v>
      </c>
      <c r="P328" s="982">
        <v>0</v>
      </c>
      <c r="Q328" s="982">
        <v>0</v>
      </c>
      <c r="R328" s="982">
        <v>0</v>
      </c>
      <c r="S328" s="982">
        <v>0</v>
      </c>
      <c r="T328" s="982">
        <v>0</v>
      </c>
      <c r="U328" s="982">
        <v>1</v>
      </c>
      <c r="V328" s="594">
        <f t="shared" ref="V328:AB328" si="2911">1-V322</f>
        <v>-11.982434847105626</v>
      </c>
      <c r="W328" s="594">
        <f t="shared" si="2911"/>
        <v>1</v>
      </c>
      <c r="X328" s="594">
        <f t="shared" si="2911"/>
        <v>1</v>
      </c>
      <c r="Y328" s="594">
        <f t="shared" si="2911"/>
        <v>1</v>
      </c>
      <c r="Z328" s="594">
        <f t="shared" si="2911"/>
        <v>1</v>
      </c>
      <c r="AA328" s="594">
        <f t="shared" si="2911"/>
        <v>1</v>
      </c>
      <c r="AB328" s="594">
        <f t="shared" si="2911"/>
        <v>1</v>
      </c>
      <c r="AC328" s="594">
        <f t="shared" ref="AC328:BO328" si="2912">+AC327/AC300</f>
        <v>6.8693415662520643E-2</v>
      </c>
      <c r="AD328" s="594">
        <f t="shared" si="2912"/>
        <v>3.2073955841037338E-2</v>
      </c>
      <c r="AE328" s="594">
        <f t="shared" si="2912"/>
        <v>4.6167730898254683E-2</v>
      </c>
      <c r="AF328" s="594">
        <f t="shared" si="2912"/>
        <v>5.5883710073859831E-2</v>
      </c>
      <c r="AG328" s="594">
        <f t="shared" si="2912"/>
        <v>0.35038396979142183</v>
      </c>
      <c r="AH328" s="594">
        <f t="shared" si="2912"/>
        <v>0.39139191123510059</v>
      </c>
      <c r="AI328" s="594">
        <f t="shared" si="2912"/>
        <v>0.36114820793507579</v>
      </c>
      <c r="AJ328" s="594">
        <f t="shared" si="2912"/>
        <v>0.33810305498377929</v>
      </c>
      <c r="AK328" s="594">
        <f t="shared" si="2912"/>
        <v>0.43494481430410381</v>
      </c>
      <c r="AL328" s="594">
        <f t="shared" si="2912"/>
        <v>0.48096145702244397</v>
      </c>
      <c r="AM328" s="594">
        <f t="shared" si="2912"/>
        <v>0.48079258462382213</v>
      </c>
      <c r="AN328" s="594">
        <f t="shared" si="2912"/>
        <v>0.44201637452912801</v>
      </c>
      <c r="AO328" s="594">
        <f t="shared" si="2912"/>
        <v>0.55968707230261061</v>
      </c>
      <c r="AP328" s="594">
        <f t="shared" si="2912"/>
        <v>0.589278210547871</v>
      </c>
      <c r="AQ328" s="594">
        <f t="shared" si="2912"/>
        <v>0.58381465563631407</v>
      </c>
      <c r="AR328" s="594">
        <f t="shared" si="2912"/>
        <v>0.57148695660841919</v>
      </c>
      <c r="AS328" s="594">
        <f t="shared" si="2912"/>
        <v>0.50982750938137533</v>
      </c>
      <c r="AT328" s="594">
        <f t="shared" si="2912"/>
        <v>0.5438704535945158</v>
      </c>
      <c r="AU328" s="594">
        <f t="shared" si="2912"/>
        <v>0.53329724607888795</v>
      </c>
      <c r="AV328" s="594">
        <f t="shared" si="2912"/>
        <v>0.48537846407712015</v>
      </c>
      <c r="AW328" s="594">
        <f t="shared" si="2912"/>
        <v>0.44568397230267731</v>
      </c>
      <c r="AX328" s="594">
        <f t="shared" si="2912"/>
        <v>0.45439440213724347</v>
      </c>
      <c r="AY328" s="594">
        <f t="shared" si="2912"/>
        <v>0.45776475392164556</v>
      </c>
      <c r="AZ328" s="594">
        <f t="shared" si="2912"/>
        <v>0.4105119909198941</v>
      </c>
      <c r="BA328" s="594">
        <f t="shared" si="2912"/>
        <v>0.47278773000941732</v>
      </c>
      <c r="BB328" s="594">
        <f t="shared" si="2912"/>
        <v>0.39913322529745404</v>
      </c>
      <c r="BC328" s="594">
        <f t="shared" si="2912"/>
        <v>0.33778794289524144</v>
      </c>
      <c r="BD328" s="594">
        <f t="shared" si="2912"/>
        <v>0.27546614250120205</v>
      </c>
      <c r="BE328" s="594">
        <f t="shared" si="2912"/>
        <v>0.41048805721435411</v>
      </c>
      <c r="BF328" s="594">
        <f t="shared" si="2912"/>
        <v>0.38751646340420437</v>
      </c>
      <c r="BG328" s="594">
        <f t="shared" si="2912"/>
        <v>0.38507538219590082</v>
      </c>
      <c r="BH328" s="594">
        <f t="shared" si="2912"/>
        <v>0.34460380563379989</v>
      </c>
      <c r="BI328" s="594">
        <f t="shared" si="2912"/>
        <v>0.1849415826166334</v>
      </c>
      <c r="BJ328" s="594">
        <f t="shared" si="2912"/>
        <v>0.17012894653116989</v>
      </c>
      <c r="BK328" s="594">
        <f t="shared" si="2912"/>
        <v>6.0272598913018949E-2</v>
      </c>
      <c r="BL328" s="594">
        <f t="shared" si="2912"/>
        <v>0.37345716985506372</v>
      </c>
      <c r="BM328" s="594">
        <f t="shared" si="2912"/>
        <v>0.46699917136054209</v>
      </c>
      <c r="BN328" s="594">
        <f t="shared" si="2912"/>
        <v>0.38541671181272175</v>
      </c>
      <c r="BO328" s="594">
        <f t="shared" si="2912"/>
        <v>0.2440837607567303</v>
      </c>
      <c r="BP328" s="594">
        <f t="shared" ref="BP328:BY328" si="2913">+BP327/BP300</f>
        <v>0.34633069636759284</v>
      </c>
      <c r="BQ328" s="594">
        <f t="shared" si="2913"/>
        <v>0.45466732388168052</v>
      </c>
      <c r="BR328" s="594">
        <f t="shared" si="2913"/>
        <v>0.74971311628531145</v>
      </c>
      <c r="BS328" s="594">
        <f t="shared" si="2913"/>
        <v>0.98648301129514215</v>
      </c>
      <c r="BT328" s="594">
        <f t="shared" si="2913"/>
        <v>1.1819807897063761</v>
      </c>
      <c r="BU328" s="594">
        <f t="shared" si="2913"/>
        <v>0.91448114573718531</v>
      </c>
      <c r="BV328" s="594">
        <f t="shared" si="2913"/>
        <v>0.54279166771440124</v>
      </c>
      <c r="BW328" s="594">
        <f t="shared" si="2913"/>
        <v>0.76581862613415408</v>
      </c>
      <c r="BX328" s="594">
        <f t="shared" si="2913"/>
        <v>0.88225474885596222</v>
      </c>
      <c r="BY328" s="594">
        <f t="shared" si="2913"/>
        <v>0.96696786803173351</v>
      </c>
      <c r="BZ328" s="594">
        <f t="shared" ref="BZ328:CA328" si="2914">+BZ327/BZ300</f>
        <v>1.8582251826601752</v>
      </c>
      <c r="CA328" s="594">
        <f t="shared" si="2914"/>
        <v>1.5083633800886374</v>
      </c>
      <c r="CB328" s="594">
        <f t="shared" ref="CB328:CC328" si="2915">+CB327/CB300</f>
        <v>1.4283844028569146</v>
      </c>
      <c r="CC328" s="594">
        <f t="shared" si="2915"/>
        <v>1.4658852454752245</v>
      </c>
      <c r="CD328" s="594">
        <f t="shared" ref="CD328" si="2916">+CD327/CD300</f>
        <v>1.5283586217561167</v>
      </c>
      <c r="CE328" s="594">
        <f t="shared" ref="CE328" si="2917">+CE327/CE300</f>
        <v>3.0177423225885733</v>
      </c>
      <c r="CF328" s="594">
        <f t="shared" ref="CF328:CH328" si="2918">+CF327/CF300</f>
        <v>2.9341583001089311</v>
      </c>
      <c r="CG328" s="594">
        <f t="shared" si="2918"/>
        <v>3.323472779376893</v>
      </c>
      <c r="CH328" s="594">
        <f t="shared" si="2918"/>
        <v>3.2234517960866724</v>
      </c>
      <c r="CI328" s="594" t="e">
        <f t="shared" ref="CI328:CK328" si="2919">+CI327/CI300</f>
        <v>#DIV/0!</v>
      </c>
      <c r="CJ328" s="594" t="e">
        <f t="shared" si="2919"/>
        <v>#DIV/0!</v>
      </c>
      <c r="CK328" s="594" t="e">
        <f t="shared" si="2919"/>
        <v>#DIV/0!</v>
      </c>
      <c r="CL328" s="594" t="e">
        <f t="shared" ref="CL328:CP328" si="2920">+CL327/CL300</f>
        <v>#DIV/0!</v>
      </c>
      <c r="CM328" s="594" t="e">
        <f t="shared" si="2920"/>
        <v>#DIV/0!</v>
      </c>
      <c r="CN328" s="594" t="e">
        <f t="shared" si="2920"/>
        <v>#DIV/0!</v>
      </c>
      <c r="CO328" s="594" t="e">
        <f t="shared" si="2920"/>
        <v>#DIV/0!</v>
      </c>
      <c r="CP328" s="594" t="e">
        <f t="shared" si="2920"/>
        <v>#DIV/0!</v>
      </c>
      <c r="CQ328" s="594"/>
      <c r="CR328" s="594" t="e">
        <v>#DIV/0!</v>
      </c>
      <c r="CT328" s="594"/>
      <c r="CU328" s="594"/>
      <c r="CV328" s="594"/>
      <c r="CW328" s="594"/>
      <c r="CX328" s="594">
        <f>1-CX322</f>
        <v>1</v>
      </c>
      <c r="CY328" s="594">
        <f>1-CY322</f>
        <v>-11.982434847105626</v>
      </c>
      <c r="CZ328" s="594">
        <f>1-CZ322</f>
        <v>1</v>
      </c>
      <c r="DA328" s="594">
        <f t="shared" ref="DA328:DL328" si="2921">+DA327/DA300</f>
        <v>6.6668406437266514E-2</v>
      </c>
      <c r="DB328" s="594">
        <f t="shared" si="2921"/>
        <v>0.66340775402763719</v>
      </c>
      <c r="DC328" s="594">
        <f t="shared" si="2921"/>
        <v>0.48096145702244397</v>
      </c>
      <c r="DD328" s="594">
        <f t="shared" si="2921"/>
        <v>0.589278210547871</v>
      </c>
      <c r="DE328" s="594">
        <f t="shared" si="2921"/>
        <v>0.5438704535945158</v>
      </c>
      <c r="DF328" s="594">
        <f t="shared" si="2921"/>
        <v>0.45439440213724347</v>
      </c>
      <c r="DG328" s="594">
        <f t="shared" si="2921"/>
        <v>0.39913322529745404</v>
      </c>
      <c r="DH328" s="594">
        <f t="shared" si="2921"/>
        <v>0.38751646340420437</v>
      </c>
      <c r="DI328" s="594">
        <f t="shared" si="2921"/>
        <v>0.17012894653116989</v>
      </c>
      <c r="DJ328" s="594">
        <f t="shared" si="2921"/>
        <v>0.38541671181272175</v>
      </c>
      <c r="DK328" s="594">
        <f t="shared" si="2921"/>
        <v>0.74971311628531145</v>
      </c>
      <c r="DL328" s="594">
        <f t="shared" si="2921"/>
        <v>0.54279166771440124</v>
      </c>
      <c r="DM328" s="594">
        <f t="shared" ref="DM328:DR328" si="2922">+DM327/DM300</f>
        <v>1.7605032061946229</v>
      </c>
      <c r="DN328" s="594">
        <f t="shared" si="2922"/>
        <v>1.9124120249574588</v>
      </c>
      <c r="DO328" s="594">
        <f t="shared" si="2922"/>
        <v>4.2500555087665566</v>
      </c>
      <c r="DP328" s="594" t="e">
        <f t="shared" si="2922"/>
        <v>#DIV/0!</v>
      </c>
      <c r="DQ328" s="594" t="e">
        <f t="shared" ref="DQ328" si="2923">+DQ327/DQ300</f>
        <v>#DIV/0!</v>
      </c>
      <c r="DR328" s="594" t="e">
        <f t="shared" si="2922"/>
        <v>#DIV/0!</v>
      </c>
      <c r="DS328" s="594" t="e">
        <f t="shared" ref="DS328:DU328" si="2924">+DS327/DS300</f>
        <v>#DIV/0!</v>
      </c>
      <c r="DT328" s="594" t="e">
        <f t="shared" si="2924"/>
        <v>#DIV/0!</v>
      </c>
      <c r="DU328" s="594" t="e">
        <f t="shared" si="2924"/>
        <v>#DIV/0!</v>
      </c>
      <c r="DX328" s="594" t="e">
        <v>#DIV/0!</v>
      </c>
      <c r="DY328" s="594" t="e">
        <v>#DIV/0!</v>
      </c>
    </row>
    <row r="329" spans="1:129" s="904" customFormat="1">
      <c r="A329" s="939"/>
      <c r="B329" s="949" t="s">
        <v>567</v>
      </c>
      <c r="C329" s="1009">
        <f t="shared" ref="C329:AH329" si="2925">+C331+C330</f>
        <v>3.9201689999999997E-2</v>
      </c>
      <c r="D329" s="1009">
        <f t="shared" si="2925"/>
        <v>3.8053660099999997E-2</v>
      </c>
      <c r="E329" s="1009">
        <f t="shared" si="2925"/>
        <v>3.9645052791104959E-2</v>
      </c>
      <c r="F329" s="1009">
        <f t="shared" si="2925"/>
        <v>4.213936969013965E-2</v>
      </c>
      <c r="G329" s="1009">
        <f t="shared" si="2925"/>
        <v>4.4570200406418785E-2</v>
      </c>
      <c r="H329" s="1009">
        <f t="shared" si="2925"/>
        <v>4.7470700938336594E-2</v>
      </c>
      <c r="I329" s="1009">
        <f t="shared" si="2925"/>
        <v>4.9173521934264643E-2</v>
      </c>
      <c r="J329" s="1009">
        <f t="shared" si="2925"/>
        <v>4.4715093211101647E-2</v>
      </c>
      <c r="K329" s="1009">
        <f t="shared" si="2925"/>
        <v>4.1059021360798149E-2</v>
      </c>
      <c r="L329" s="1009">
        <f t="shared" si="2925"/>
        <v>3.8699354238615931E-2</v>
      </c>
      <c r="M329" s="1009">
        <f t="shared" si="2925"/>
        <v>3.7136000000000002E-2</v>
      </c>
      <c r="N329" s="1009">
        <f t="shared" si="2925"/>
        <v>3.2572898799313757E-2</v>
      </c>
      <c r="O329" s="1009">
        <f t="shared" si="2925"/>
        <v>3.2071999999999996E-2</v>
      </c>
      <c r="P329" s="1009">
        <f t="shared" si="2925"/>
        <v>3.0700499999999999E-2</v>
      </c>
      <c r="Q329" s="1009">
        <f t="shared" si="2925"/>
        <v>2.9104573253993467E-2</v>
      </c>
      <c r="R329" s="1009">
        <f t="shared" si="2925"/>
        <v>2.8496379705675538E-2</v>
      </c>
      <c r="S329" s="1009">
        <f t="shared" si="2925"/>
        <v>2.8496379705675538E-2</v>
      </c>
      <c r="T329" s="1009">
        <f t="shared" si="2925"/>
        <v>2.9816884381372324E-2</v>
      </c>
      <c r="U329" s="1009">
        <f t="shared" si="2925"/>
        <v>3.8823087931422175E-2</v>
      </c>
      <c r="V329" s="1009">
        <f t="shared" si="2925"/>
        <v>4.1079308054779447E-2</v>
      </c>
      <c r="W329" s="1009">
        <f t="shared" si="2925"/>
        <v>3.6785225930754777E-2</v>
      </c>
      <c r="X329" s="1009">
        <f t="shared" si="2925"/>
        <v>2.8703607637899253E-2</v>
      </c>
      <c r="Y329" s="1009">
        <f t="shared" si="2925"/>
        <v>2.5430153151220301E-2</v>
      </c>
      <c r="Z329" s="1009">
        <f t="shared" si="2925"/>
        <v>2.5430153151220301E-2</v>
      </c>
      <c r="AA329" s="1009">
        <f t="shared" si="2925"/>
        <v>2.5430153151220301E-2</v>
      </c>
      <c r="AB329" s="1009">
        <f t="shared" si="2925"/>
        <v>2.8237571670277982E-2</v>
      </c>
      <c r="AC329" s="1009">
        <f t="shared" si="2925"/>
        <v>3.1025870138049427E-2</v>
      </c>
      <c r="AD329" s="1009">
        <f t="shared" si="2925"/>
        <v>3.1025870138049427E-2</v>
      </c>
      <c r="AE329" s="1009">
        <f t="shared" si="2925"/>
        <v>3.2874262535569888E-2</v>
      </c>
      <c r="AF329" s="1009">
        <f t="shared" si="2925"/>
        <v>3.4714378495324549E-2</v>
      </c>
      <c r="AG329" s="1009">
        <f t="shared" si="2925"/>
        <v>3.2876921500057152E-2</v>
      </c>
      <c r="AH329" s="1009">
        <f t="shared" si="2925"/>
        <v>3.0578056568155359E-2</v>
      </c>
      <c r="AI329" s="1009">
        <f t="shared" ref="AI329:BG329" si="2926">+AI331+AI330</f>
        <v>2.8420276872917909E-2</v>
      </c>
      <c r="AJ329" s="1009">
        <f t="shared" si="2926"/>
        <v>2.7008004736139679E-2</v>
      </c>
      <c r="AK329" s="1009">
        <f t="shared" si="2926"/>
        <v>2.4303576507581737E-2</v>
      </c>
      <c r="AL329" s="1009">
        <f t="shared" si="2926"/>
        <v>2.6862657692945928E-2</v>
      </c>
      <c r="AM329" s="1009">
        <f t="shared" si="2926"/>
        <v>2.6692210353233981E-2</v>
      </c>
      <c r="AN329" s="1009">
        <f t="shared" si="2926"/>
        <v>2.5377232429003766E-2</v>
      </c>
      <c r="AO329" s="1009">
        <f t="shared" si="2926"/>
        <v>2.3802935514560204E-2</v>
      </c>
      <c r="AP329" s="1009">
        <f t="shared" si="2926"/>
        <v>2.9581006431367445E-2</v>
      </c>
      <c r="AQ329" s="594">
        <f t="shared" si="2926"/>
        <v>3.1175108876381575E-2</v>
      </c>
      <c r="AR329" s="594">
        <f t="shared" si="2926"/>
        <v>2.9578837562129718E-2</v>
      </c>
      <c r="AS329" s="594">
        <f t="shared" si="2926"/>
        <v>2.5938789490088449E-2</v>
      </c>
      <c r="AT329" s="594">
        <f t="shared" si="2926"/>
        <v>3.1088138596623762E-2</v>
      </c>
      <c r="AU329" s="594">
        <f t="shared" si="2926"/>
        <v>3.1087573823963995E-2</v>
      </c>
      <c r="AV329" s="594">
        <f t="shared" si="2926"/>
        <v>3.1184154516375302E-2</v>
      </c>
      <c r="AW329" s="594">
        <f t="shared" si="2926"/>
        <v>3.0952421503866494E-2</v>
      </c>
      <c r="AX329" s="594">
        <f t="shared" si="2926"/>
        <v>3.1406169245957141E-2</v>
      </c>
      <c r="AY329" s="594">
        <f t="shared" si="2926"/>
        <v>3.6613665658535417E-2</v>
      </c>
      <c r="AZ329" s="594">
        <f t="shared" si="2926"/>
        <v>3.6172638533330054E-2</v>
      </c>
      <c r="BA329" s="594">
        <f t="shared" si="2926"/>
        <v>3.6245487027701466E-2</v>
      </c>
      <c r="BB329" s="594">
        <f t="shared" si="2926"/>
        <v>3.7251644358136715E-2</v>
      </c>
      <c r="BC329" s="594">
        <f t="shared" si="2926"/>
        <v>3.6116556568465338E-2</v>
      </c>
      <c r="BD329" s="594">
        <f t="shared" si="2926"/>
        <v>2.9981280456895545E-2</v>
      </c>
      <c r="BE329" s="1009">
        <f t="shared" si="2926"/>
        <v>2.532097044789923E-2</v>
      </c>
      <c r="BF329" s="1009">
        <f t="shared" si="2926"/>
        <v>2.0791345699885336E-2</v>
      </c>
      <c r="BG329" s="1009">
        <f t="shared" si="2926"/>
        <v>1.8843249449248482E-2</v>
      </c>
      <c r="BH329" s="1009">
        <f t="shared" ref="BH329:BN329" si="2927">+BH331+BH330</f>
        <v>1.7966744876553635E-2</v>
      </c>
      <c r="BI329" s="1009">
        <f t="shared" si="2927"/>
        <v>1.7966744876553635E-2</v>
      </c>
      <c r="BJ329" s="1009">
        <f t="shared" si="2927"/>
        <v>1.7966744876553635E-2</v>
      </c>
      <c r="BK329" s="1009">
        <f t="shared" si="2927"/>
        <v>1.7966744876553635E-2</v>
      </c>
      <c r="BL329" s="1009">
        <f t="shared" si="2927"/>
        <v>1.6820381869750586E-2</v>
      </c>
      <c r="BM329" s="1009">
        <f t="shared" si="2927"/>
        <v>1.580785570847382E-2</v>
      </c>
      <c r="BN329" s="1009">
        <f t="shared" si="2927"/>
        <v>1.3136284805856616E-2</v>
      </c>
      <c r="BO329" s="1009">
        <f t="shared" ref="BO329:BY329" si="2928">+BO331+BO330</f>
        <v>1.1138695299195752E-2</v>
      </c>
      <c r="BP329" s="1009">
        <f t="shared" si="2928"/>
        <v>8.3024463407026516E-3</v>
      </c>
      <c r="BQ329" s="1009">
        <f t="shared" si="2928"/>
        <v>5.495613735127392E-3</v>
      </c>
      <c r="BR329" s="1009">
        <f t="shared" si="2928"/>
        <v>5.2607074675960512E-3</v>
      </c>
      <c r="BS329" s="1009">
        <f t="shared" si="2928"/>
        <v>5.5999666685304433E-3</v>
      </c>
      <c r="BT329" s="1009">
        <f t="shared" si="2928"/>
        <v>8.7681067983875934E-3</v>
      </c>
      <c r="BU329" s="1009">
        <f t="shared" si="2928"/>
        <v>1.2983019759249408E-2</v>
      </c>
      <c r="BV329" s="1009">
        <f t="shared" si="2928"/>
        <v>1.9790810184174581E-2</v>
      </c>
      <c r="BW329" s="1009">
        <f t="shared" si="2928"/>
        <v>2.6595246902146288E-2</v>
      </c>
      <c r="BX329" s="1009">
        <f t="shared" si="2928"/>
        <v>3.165232598238632E-2</v>
      </c>
      <c r="BY329" s="1009">
        <f t="shared" si="2928"/>
        <v>3.4335399816756013E-2</v>
      </c>
      <c r="BZ329" s="1009">
        <f t="shared" ref="BZ329:CA329" si="2929">+BZ331+BZ330</f>
        <v>3.469646736100894E-2</v>
      </c>
      <c r="CA329" s="1009">
        <f t="shared" si="2929"/>
        <v>3.469646736100894E-2</v>
      </c>
      <c r="CB329" s="1009">
        <f t="shared" ref="CB329:CC329" si="2930">+CB331+CB330</f>
        <v>3.469646736100894E-2</v>
      </c>
      <c r="CC329" s="1009">
        <f t="shared" si="2930"/>
        <v>3.3756947284580008E-2</v>
      </c>
      <c r="CD329" s="1009">
        <f t="shared" ref="CD329" si="2931">+CD331+CD330</f>
        <v>3.1263941210088499E-2</v>
      </c>
      <c r="CE329" s="1009">
        <f t="shared" ref="CE329" si="2932">+CE331+CE330</f>
        <v>2.8875987496697061E-2</v>
      </c>
      <c r="CF329" s="1009">
        <f t="shared" ref="CF329:CH329" si="2933">+CF331+CF330</f>
        <v>2.7037801908345004E-2</v>
      </c>
      <c r="CG329" s="1009">
        <f t="shared" si="2933"/>
        <v>2.6865761418363991E-2</v>
      </c>
      <c r="CH329" s="1009">
        <f t="shared" si="2933"/>
        <v>2.8680357595253458E-2</v>
      </c>
      <c r="CI329" s="1009">
        <f t="shared" ref="CI329:CK329" si="2934">+CI331+CI330</f>
        <v>0</v>
      </c>
      <c r="CJ329" s="1009">
        <f t="shared" si="2934"/>
        <v>0</v>
      </c>
      <c r="CK329" s="1009">
        <f t="shared" si="2934"/>
        <v>0</v>
      </c>
      <c r="CL329" s="1009">
        <f t="shared" ref="CL329:CP329" si="2935">+CL331+CL330</f>
        <v>3.7691560922119442E-2</v>
      </c>
      <c r="CM329" s="1009">
        <f t="shared" si="2935"/>
        <v>3.6496467630633606E-2</v>
      </c>
      <c r="CN329" s="1009">
        <f t="shared" si="2935"/>
        <v>3.4094489422453987E-2</v>
      </c>
      <c r="CO329" s="1009">
        <f t="shared" si="2935"/>
        <v>3.2282568511474527E-2</v>
      </c>
      <c r="CP329" s="1009">
        <f t="shared" si="2935"/>
        <v>3.1069593216414396E-2</v>
      </c>
      <c r="CQ329" s="1009"/>
      <c r="CR329" s="1009">
        <v>3.7691560922119442E-2</v>
      </c>
      <c r="CT329" s="1009"/>
      <c r="CU329" s="1009"/>
      <c r="CV329" s="1009"/>
      <c r="CW329" s="1009"/>
      <c r="CX329" s="1009">
        <f t="shared" ref="CX329:DJ329" si="2936">+CX331+CX330</f>
        <v>0.120373452959669</v>
      </c>
      <c r="CY329" s="1009">
        <f t="shared" si="2936"/>
        <v>0.13821566007324948</v>
      </c>
      <c r="CZ329" s="1009">
        <f t="shared" si="2936"/>
        <v>0.11634913987109463</v>
      </c>
      <c r="DA329" s="1009">
        <f t="shared" si="2936"/>
        <v>0.11571946509759715</v>
      </c>
      <c r="DB329" s="1009">
        <f t="shared" si="2936"/>
        <v>0.13104361909910694</v>
      </c>
      <c r="DC329" s="594">
        <f t="shared" si="2936"/>
        <v>0.10659451580958526</v>
      </c>
      <c r="DD329" s="1009">
        <f t="shared" si="2936"/>
        <v>0.1054533847281654</v>
      </c>
      <c r="DE329" s="1009">
        <f t="shared" si="2936"/>
        <v>0.11778087452522351</v>
      </c>
      <c r="DF329" s="1009">
        <f t="shared" si="2936"/>
        <v>0.12463031909016294</v>
      </c>
      <c r="DG329" s="1009">
        <f t="shared" si="2936"/>
        <v>0.14628343557770365</v>
      </c>
      <c r="DH329" s="1009">
        <f t="shared" si="2936"/>
        <v>0.11221015317314545</v>
      </c>
      <c r="DI329" s="1009">
        <f t="shared" si="2936"/>
        <v>6.9761249999999997E-2</v>
      </c>
      <c r="DJ329" s="1009">
        <f t="shared" si="2936"/>
        <v>6.3997499999999999E-2</v>
      </c>
      <c r="DK329" s="1009">
        <f t="shared" ref="DK329:DL329" si="2937">+DK331+DK330</f>
        <v>3.0554500000000002E-2</v>
      </c>
      <c r="DL329" s="1009">
        <f t="shared" si="2937"/>
        <v>4.8097500000000001E-2</v>
      </c>
      <c r="DM329" s="1009">
        <f t="shared" ref="DM329:DR329" si="2938">+DM331+DM330</f>
        <v>0.133189</v>
      </c>
      <c r="DN329" s="1009">
        <f t="shared" si="2938"/>
        <v>0.14095350000000001</v>
      </c>
      <c r="DO329" s="1009">
        <f t="shared" si="2938"/>
        <v>0.1159375</v>
      </c>
      <c r="DP329" s="1009">
        <f t="shared" si="2938"/>
        <v>0.15458333333333335</v>
      </c>
      <c r="DQ329" s="1009">
        <f t="shared" ref="DQ329" si="2939">+DQ331+DQ330</f>
        <v>0.14045000000000002</v>
      </c>
      <c r="DR329" s="1009">
        <f t="shared" si="2938"/>
        <v>0.12190000000000001</v>
      </c>
      <c r="DS329" s="1009">
        <f t="shared" ref="DS329:DU329" si="2940">+DS331+DS330</f>
        <v>0.11660000000000001</v>
      </c>
      <c r="DT329" s="1009">
        <f t="shared" si="2940"/>
        <v>0.10600000000000001</v>
      </c>
      <c r="DU329" s="1009">
        <f t="shared" si="2940"/>
        <v>9.5399999999999999E-2</v>
      </c>
      <c r="DX329" s="1009">
        <v>0.14045000000000002</v>
      </c>
      <c r="DY329" s="1009">
        <v>0.12190000000000001</v>
      </c>
    </row>
    <row r="330" spans="1:129" s="904" customFormat="1">
      <c r="A330" s="939"/>
      <c r="B330" s="949" t="s">
        <v>544</v>
      </c>
      <c r="C330" s="1013">
        <f t="shared" ref="C330:AH330" si="2941">+C310</f>
        <v>0</v>
      </c>
      <c r="D330" s="1013">
        <f t="shared" si="2941"/>
        <v>0</v>
      </c>
      <c r="E330" s="1013">
        <f t="shared" si="2941"/>
        <v>0</v>
      </c>
      <c r="F330" s="1013">
        <f t="shared" si="2941"/>
        <v>0</v>
      </c>
      <c r="G330" s="1013">
        <f t="shared" si="2941"/>
        <v>0</v>
      </c>
      <c r="H330" s="1013">
        <f t="shared" si="2941"/>
        <v>0</v>
      </c>
      <c r="I330" s="1013">
        <f t="shared" si="2941"/>
        <v>0</v>
      </c>
      <c r="J330" s="1013">
        <f t="shared" si="2941"/>
        <v>0</v>
      </c>
      <c r="K330" s="1013">
        <f t="shared" si="2941"/>
        <v>0</v>
      </c>
      <c r="L330" s="1013">
        <f t="shared" si="2941"/>
        <v>0</v>
      </c>
      <c r="M330" s="1013">
        <f t="shared" si="2941"/>
        <v>0</v>
      </c>
      <c r="N330" s="1013">
        <f t="shared" si="2941"/>
        <v>0</v>
      </c>
      <c r="O330" s="1013">
        <f t="shared" si="2941"/>
        <v>0</v>
      </c>
      <c r="P330" s="1013">
        <f t="shared" si="2941"/>
        <v>0</v>
      </c>
      <c r="Q330" s="1013">
        <f t="shared" si="2941"/>
        <v>0</v>
      </c>
      <c r="R330" s="1013">
        <f t="shared" si="2941"/>
        <v>0</v>
      </c>
      <c r="S330" s="1013">
        <f t="shared" si="2941"/>
        <v>0</v>
      </c>
      <c r="T330" s="1013">
        <f t="shared" si="2941"/>
        <v>0</v>
      </c>
      <c r="U330" s="1013">
        <f t="shared" si="2941"/>
        <v>0</v>
      </c>
      <c r="V330" s="1013">
        <f t="shared" si="2941"/>
        <v>0</v>
      </c>
      <c r="W330" s="1013">
        <f t="shared" si="2941"/>
        <v>0</v>
      </c>
      <c r="X330" s="1013">
        <f t="shared" si="2941"/>
        <v>0</v>
      </c>
      <c r="Y330" s="1013">
        <f t="shared" si="2941"/>
        <v>0</v>
      </c>
      <c r="Z330" s="1013">
        <f t="shared" si="2941"/>
        <v>0</v>
      </c>
      <c r="AA330" s="1013">
        <f t="shared" si="2941"/>
        <v>0</v>
      </c>
      <c r="AB330" s="1013">
        <f t="shared" si="2941"/>
        <v>0</v>
      </c>
      <c r="AC330" s="1013">
        <f t="shared" si="2941"/>
        <v>0</v>
      </c>
      <c r="AD330" s="1013">
        <f t="shared" si="2941"/>
        <v>0</v>
      </c>
      <c r="AE330" s="1013">
        <f t="shared" si="2941"/>
        <v>0</v>
      </c>
      <c r="AF330" s="1013">
        <f t="shared" si="2941"/>
        <v>0</v>
      </c>
      <c r="AG330" s="1013">
        <f t="shared" si="2941"/>
        <v>0</v>
      </c>
      <c r="AH330" s="1013">
        <f t="shared" si="2941"/>
        <v>0</v>
      </c>
      <c r="AI330" s="1013">
        <f t="shared" ref="AI330:BN330" si="2942">+AI310</f>
        <v>0</v>
      </c>
      <c r="AJ330" s="1015">
        <f t="shared" si="2942"/>
        <v>0</v>
      </c>
      <c r="AK330" s="1015">
        <f t="shared" si="2942"/>
        <v>0</v>
      </c>
      <c r="AL330" s="1015">
        <f t="shared" si="2942"/>
        <v>0</v>
      </c>
      <c r="AM330" s="1015">
        <f t="shared" si="2942"/>
        <v>0</v>
      </c>
      <c r="AN330" s="1015">
        <f t="shared" si="2942"/>
        <v>0</v>
      </c>
      <c r="AO330" s="1015">
        <f t="shared" si="2942"/>
        <v>0</v>
      </c>
      <c r="AP330" s="1015">
        <f t="shared" si="2942"/>
        <v>0</v>
      </c>
      <c r="AQ330" s="594">
        <f t="shared" si="2942"/>
        <v>0</v>
      </c>
      <c r="AR330" s="594">
        <f t="shared" si="2942"/>
        <v>0</v>
      </c>
      <c r="AS330" s="594">
        <f t="shared" si="2942"/>
        <v>0</v>
      </c>
      <c r="AT330" s="594">
        <f t="shared" si="2942"/>
        <v>0</v>
      </c>
      <c r="AU330" s="594">
        <f t="shared" si="2942"/>
        <v>0</v>
      </c>
      <c r="AV330" s="594">
        <f t="shared" si="2942"/>
        <v>0</v>
      </c>
      <c r="AW330" s="594">
        <f t="shared" si="2942"/>
        <v>0</v>
      </c>
      <c r="AX330" s="594">
        <f t="shared" si="2942"/>
        <v>0</v>
      </c>
      <c r="AY330" s="594">
        <f t="shared" si="2942"/>
        <v>0</v>
      </c>
      <c r="AZ330" s="594">
        <f t="shared" si="2942"/>
        <v>0</v>
      </c>
      <c r="BA330" s="594">
        <f t="shared" si="2942"/>
        <v>0</v>
      </c>
      <c r="BB330" s="594">
        <f t="shared" si="2942"/>
        <v>0</v>
      </c>
      <c r="BC330" s="594">
        <f t="shared" si="2942"/>
        <v>0</v>
      </c>
      <c r="BD330" s="594">
        <f t="shared" si="2942"/>
        <v>0</v>
      </c>
      <c r="BE330" s="594">
        <f t="shared" si="2942"/>
        <v>0</v>
      </c>
      <c r="BF330" s="594">
        <f t="shared" si="2942"/>
        <v>0</v>
      </c>
      <c r="BG330" s="594">
        <f t="shared" si="2942"/>
        <v>0</v>
      </c>
      <c r="BH330" s="594">
        <f t="shared" si="2942"/>
        <v>0</v>
      </c>
      <c r="BI330" s="594">
        <f t="shared" si="2942"/>
        <v>0</v>
      </c>
      <c r="BJ330" s="594">
        <f t="shared" si="2942"/>
        <v>0</v>
      </c>
      <c r="BK330" s="594">
        <f t="shared" si="2942"/>
        <v>0</v>
      </c>
      <c r="BL330" s="957">
        <f t="shared" si="2942"/>
        <v>0</v>
      </c>
      <c r="BM330" s="957">
        <f t="shared" si="2942"/>
        <v>0</v>
      </c>
      <c r="BN330" s="957">
        <f t="shared" si="2942"/>
        <v>0</v>
      </c>
      <c r="BO330" s="957">
        <f t="shared" ref="BO330:BY330" si="2943">+BO310</f>
        <v>0</v>
      </c>
      <c r="BP330" s="957">
        <f t="shared" si="2943"/>
        <v>0</v>
      </c>
      <c r="BQ330" s="957">
        <f t="shared" si="2943"/>
        <v>0</v>
      </c>
      <c r="BR330" s="957">
        <f t="shared" si="2943"/>
        <v>0</v>
      </c>
      <c r="BS330" s="957">
        <f t="shared" si="2943"/>
        <v>0</v>
      </c>
      <c r="BT330" s="957">
        <f t="shared" si="2943"/>
        <v>0</v>
      </c>
      <c r="BU330" s="957">
        <f t="shared" si="2943"/>
        <v>0</v>
      </c>
      <c r="BV330" s="957">
        <f t="shared" si="2943"/>
        <v>0</v>
      </c>
      <c r="BW330" s="957">
        <f t="shared" si="2943"/>
        <v>0</v>
      </c>
      <c r="BX330" s="957">
        <f t="shared" si="2943"/>
        <v>0</v>
      </c>
      <c r="BY330" s="957">
        <f t="shared" si="2943"/>
        <v>0</v>
      </c>
      <c r="BZ330" s="957">
        <f t="shared" ref="BZ330:CA330" si="2944">+BZ310</f>
        <v>0</v>
      </c>
      <c r="CA330" s="957">
        <f t="shared" si="2944"/>
        <v>0</v>
      </c>
      <c r="CB330" s="957">
        <f t="shared" ref="CB330:CC330" si="2945">+CB310</f>
        <v>0</v>
      </c>
      <c r="CC330" s="957">
        <f t="shared" si="2945"/>
        <v>0</v>
      </c>
      <c r="CD330" s="957">
        <f t="shared" ref="CD330" si="2946">+CD310</f>
        <v>0</v>
      </c>
      <c r="CE330" s="957">
        <f t="shared" ref="CE330" si="2947">+CE310</f>
        <v>0</v>
      </c>
      <c r="CF330" s="957">
        <f t="shared" ref="CF330:CH330" si="2948">+CF310</f>
        <v>0</v>
      </c>
      <c r="CG330" s="957">
        <f t="shared" si="2948"/>
        <v>0</v>
      </c>
      <c r="CH330" s="957">
        <f t="shared" si="2948"/>
        <v>0</v>
      </c>
      <c r="CI330" s="957">
        <f t="shared" ref="CI330:CK330" si="2949">+CI310</f>
        <v>0</v>
      </c>
      <c r="CJ330" s="957">
        <f t="shared" si="2949"/>
        <v>0</v>
      </c>
      <c r="CK330" s="957">
        <f t="shared" si="2949"/>
        <v>0</v>
      </c>
      <c r="CL330" s="957">
        <f t="shared" ref="CL330:CP330" si="2950">+CL310</f>
        <v>0</v>
      </c>
      <c r="CM330" s="957">
        <f t="shared" si="2950"/>
        <v>0</v>
      </c>
      <c r="CN330" s="957">
        <f t="shared" si="2950"/>
        <v>0</v>
      </c>
      <c r="CO330" s="957">
        <f t="shared" si="2950"/>
        <v>0</v>
      </c>
      <c r="CP330" s="957">
        <f t="shared" si="2950"/>
        <v>0</v>
      </c>
      <c r="CQ330" s="957"/>
      <c r="CR330" s="957">
        <v>0</v>
      </c>
      <c r="CT330" s="957"/>
      <c r="CU330" s="957"/>
      <c r="CV330" s="957"/>
      <c r="CW330" s="957"/>
      <c r="CX330" s="911">
        <f>+SUM(O330:R330)</f>
        <v>0</v>
      </c>
      <c r="CY330" s="911">
        <f>+SUM(S330:V330)</f>
        <v>0</v>
      </c>
      <c r="CZ330" s="911">
        <f>+SUM(W330:Z330)</f>
        <v>0</v>
      </c>
      <c r="DA330" s="911">
        <f>+SUM(AA330:AD330)</f>
        <v>0</v>
      </c>
      <c r="DB330" s="911">
        <f>+SUM(AE330:AH330)</f>
        <v>0</v>
      </c>
      <c r="DC330" s="594">
        <f>+SUM(AI330:AL330)</f>
        <v>0</v>
      </c>
      <c r="DD330" s="594">
        <f>+SUM(AM330:AP330)</f>
        <v>0</v>
      </c>
      <c r="DE330" s="594">
        <f>SUM(AQ330:AT330)</f>
        <v>0</v>
      </c>
      <c r="DF330" s="911">
        <f>+SUM(AU330:AX330)</f>
        <v>0</v>
      </c>
      <c r="DG330" s="911">
        <f>+SUM(AY330:BB330)</f>
        <v>0</v>
      </c>
      <c r="DH330" s="911">
        <f>+SUM(BC330:BF330)</f>
        <v>0</v>
      </c>
      <c r="DI330" s="911">
        <f>+SUM(BG330:BJ330)</f>
        <v>0</v>
      </c>
      <c r="DJ330" s="911">
        <f t="shared" ref="DJ330:DQ330" si="2951">+SUM(BK330:BN330)</f>
        <v>0</v>
      </c>
      <c r="DK330" s="911">
        <f t="shared" si="2951"/>
        <v>0</v>
      </c>
      <c r="DL330" s="911">
        <f t="shared" si="2951"/>
        <v>0</v>
      </c>
      <c r="DM330" s="911">
        <f t="shared" si="2951"/>
        <v>0</v>
      </c>
      <c r="DN330" s="911">
        <f t="shared" si="2951"/>
        <v>0</v>
      </c>
      <c r="DO330" s="911">
        <f t="shared" si="2951"/>
        <v>0</v>
      </c>
      <c r="DP330" s="911">
        <f t="shared" si="2951"/>
        <v>0</v>
      </c>
      <c r="DQ330" s="911">
        <f t="shared" si="2951"/>
        <v>0</v>
      </c>
      <c r="DR330" s="957">
        <f>+DR310</f>
        <v>0</v>
      </c>
      <c r="DS330" s="957">
        <f t="shared" ref="DS330:DU330" si="2952">+DS310</f>
        <v>0</v>
      </c>
      <c r="DT330" s="957">
        <f t="shared" si="2952"/>
        <v>0</v>
      </c>
      <c r="DU330" s="957">
        <f t="shared" si="2952"/>
        <v>0</v>
      </c>
      <c r="DX330" s="957">
        <v>0</v>
      </c>
      <c r="DY330" s="957">
        <v>0</v>
      </c>
    </row>
    <row r="331" spans="1:129" s="904" customFormat="1">
      <c r="A331" s="939"/>
      <c r="B331" s="949" t="s">
        <v>545</v>
      </c>
      <c r="C331" s="1013">
        <f t="shared" ref="C331:AF331" si="2953">+C311</f>
        <v>3.9201689999999997E-2</v>
      </c>
      <c r="D331" s="1013">
        <f t="shared" si="2953"/>
        <v>3.8053660099999997E-2</v>
      </c>
      <c r="E331" s="1013">
        <f t="shared" si="2953"/>
        <v>3.9645052791104959E-2</v>
      </c>
      <c r="F331" s="1013">
        <f t="shared" si="2953"/>
        <v>4.213936969013965E-2</v>
      </c>
      <c r="G331" s="1013">
        <f t="shared" si="2953"/>
        <v>4.4570200406418785E-2</v>
      </c>
      <c r="H331" s="1013">
        <f t="shared" si="2953"/>
        <v>4.7470700938336594E-2</v>
      </c>
      <c r="I331" s="1013">
        <f t="shared" si="2953"/>
        <v>4.9173521934264643E-2</v>
      </c>
      <c r="J331" s="1013">
        <f t="shared" si="2953"/>
        <v>4.4715093211101647E-2</v>
      </c>
      <c r="K331" s="1013">
        <f t="shared" si="2953"/>
        <v>4.1059021360798149E-2</v>
      </c>
      <c r="L331" s="1013">
        <f t="shared" si="2953"/>
        <v>3.8699354238615931E-2</v>
      </c>
      <c r="M331" s="1013">
        <f t="shared" si="2953"/>
        <v>3.7136000000000002E-2</v>
      </c>
      <c r="N331" s="1013">
        <f t="shared" si="2953"/>
        <v>3.2572898799313757E-2</v>
      </c>
      <c r="O331" s="1013">
        <f t="shared" si="2953"/>
        <v>3.2071999999999996E-2</v>
      </c>
      <c r="P331" s="1013">
        <f t="shared" si="2953"/>
        <v>3.0700499999999999E-2</v>
      </c>
      <c r="Q331" s="1013">
        <f t="shared" si="2953"/>
        <v>2.9104573253993467E-2</v>
      </c>
      <c r="R331" s="1013">
        <f t="shared" si="2953"/>
        <v>2.8496379705675538E-2</v>
      </c>
      <c r="S331" s="1013">
        <f t="shared" si="2953"/>
        <v>2.8496379705675538E-2</v>
      </c>
      <c r="T331" s="1013">
        <f t="shared" si="2953"/>
        <v>2.9816884381372324E-2</v>
      </c>
      <c r="U331" s="1013">
        <f t="shared" si="2953"/>
        <v>3.8823087931422175E-2</v>
      </c>
      <c r="V331" s="1013">
        <f t="shared" si="2953"/>
        <v>4.1079308054779447E-2</v>
      </c>
      <c r="W331" s="1013">
        <f t="shared" si="2953"/>
        <v>3.6785225930754777E-2</v>
      </c>
      <c r="X331" s="1013">
        <f t="shared" si="2953"/>
        <v>2.8703607637899253E-2</v>
      </c>
      <c r="Y331" s="1013">
        <f t="shared" si="2953"/>
        <v>2.5430153151220301E-2</v>
      </c>
      <c r="Z331" s="1013">
        <f t="shared" si="2953"/>
        <v>2.5430153151220301E-2</v>
      </c>
      <c r="AA331" s="1013">
        <f t="shared" si="2953"/>
        <v>2.5430153151220301E-2</v>
      </c>
      <c r="AB331" s="1013">
        <f t="shared" si="2953"/>
        <v>2.8237571670277982E-2</v>
      </c>
      <c r="AC331" s="1013">
        <f t="shared" si="2953"/>
        <v>3.1025870138049427E-2</v>
      </c>
      <c r="AD331" s="1013">
        <f t="shared" si="2953"/>
        <v>3.1025870138049427E-2</v>
      </c>
      <c r="AE331" s="1013">
        <f t="shared" si="2953"/>
        <v>3.2874262535569888E-2</v>
      </c>
      <c r="AF331" s="1013">
        <f t="shared" si="2953"/>
        <v>3.4714378495324549E-2</v>
      </c>
      <c r="AG331" s="1013">
        <f>MACRO!AT6+1.35%/4</f>
        <v>3.2876921500057152E-2</v>
      </c>
      <c r="AH331" s="1013">
        <f>MACRO!AU6+1.35%/4</f>
        <v>3.0578056568155359E-2</v>
      </c>
      <c r="AI331" s="1013">
        <f>MACRO!AV6+1.35%/4</f>
        <v>2.8420276872917909E-2</v>
      </c>
      <c r="AJ331" s="1015">
        <f>(MACRO!AW6+1.35%/4)*2/3+(MACRO!AW8+8%/4)*1/3</f>
        <v>2.7008004736139679E-2</v>
      </c>
      <c r="AK331" s="1015">
        <f>+(6.75%/4+MACRO!AX8)*27%+(MACRO!AX6+1.05%/4)*73%</f>
        <v>2.4303576507581737E-2</v>
      </c>
      <c r="AL331" s="1015">
        <f>+(MACRO!AY8+8%/4)*(1/6)+(MACRO!AY8+6%/4)*(1/6)+(MACRO!AY6+1.2%/4)*(1/3)+(MACRO!AY8+1%/4)*(1/3)</f>
        <v>2.6862657692945928E-2</v>
      </c>
      <c r="AM331" s="1015">
        <v>2.6692210353233981E-2</v>
      </c>
      <c r="AN331" s="1015">
        <v>2.5377232429003766E-2</v>
      </c>
      <c r="AO331" s="1015">
        <v>2.3802935514560204E-2</v>
      </c>
      <c r="AP331" s="1015">
        <v>2.9581006431367445E-2</v>
      </c>
      <c r="AQ331" s="594">
        <v>3.1175108876381575E-2</v>
      </c>
      <c r="AR331" s="594">
        <v>2.9578837562129718E-2</v>
      </c>
      <c r="AS331" s="594">
        <v>2.5938789490088449E-2</v>
      </c>
      <c r="AT331" s="594">
        <f>+Divida!D37/4</f>
        <v>3.1088138596623762E-2</v>
      </c>
      <c r="AU331" s="594">
        <f>+Divida!E37/4</f>
        <v>3.1087573823963995E-2</v>
      </c>
      <c r="AV331" s="594">
        <f>+Divida!F37/4</f>
        <v>3.1184154516375302E-2</v>
      </c>
      <c r="AW331" s="594">
        <f>+Divida!G37/4</f>
        <v>3.0952421503866494E-2</v>
      </c>
      <c r="AX331" s="594">
        <f>+Divida!H37/4</f>
        <v>3.1406169245957141E-2</v>
      </c>
      <c r="AY331" s="594">
        <f>+Divida!I37/4</f>
        <v>3.6613665658535417E-2</v>
      </c>
      <c r="AZ331" s="594">
        <f>+Divida!J37/4</f>
        <v>3.6172638533330054E-2</v>
      </c>
      <c r="BA331" s="594">
        <f>+Divida!K37/4</f>
        <v>3.6245487027701466E-2</v>
      </c>
      <c r="BB331" s="594">
        <f>+Divida!L37/4</f>
        <v>3.7251644358136715E-2</v>
      </c>
      <c r="BC331" s="594">
        <f>+Divida!M37/4</f>
        <v>3.6116556568465338E-2</v>
      </c>
      <c r="BD331" s="594">
        <f>+Divida!N37/4</f>
        <v>2.9981280456895545E-2</v>
      </c>
      <c r="BE331" s="1018">
        <f>+AVERAGE(BD333)*MACRO!BR6</f>
        <v>2.532097044789923E-2</v>
      </c>
      <c r="BF331" s="1018">
        <f>+AVERAGE(BE333)*MACRO!BS6</f>
        <v>2.0791345699885336E-2</v>
      </c>
      <c r="BG331" s="1018">
        <f>+AVERAGE(BF333)*MACRO!BT6</f>
        <v>1.8843249449248482E-2</v>
      </c>
      <c r="BH331" s="1018">
        <f>+AVERAGE(BG333)*MACRO!BU6</f>
        <v>1.7966744876553635E-2</v>
      </c>
      <c r="BI331" s="1018">
        <f>+AVERAGE(BH333)*MACRO!BV6</f>
        <v>1.7966744876553635E-2</v>
      </c>
      <c r="BJ331" s="1018">
        <f>+AVERAGE(BI333)*MACRO!BW6</f>
        <v>1.7966744876553635E-2</v>
      </c>
      <c r="BK331" s="1018">
        <f>+AVERAGE(BJ333)*MACRO!BX6</f>
        <v>1.7966744876553635E-2</v>
      </c>
      <c r="BL331" s="1018">
        <f>+AVERAGE(BK333)*MACRO!BY6</f>
        <v>1.6820381869750586E-2</v>
      </c>
      <c r="BM331" s="1018">
        <f>+AVERAGE(BL333)*MACRO!BZ6</f>
        <v>1.580785570847382E-2</v>
      </c>
      <c r="BN331" s="1018">
        <f>+AVERAGE(BM333)*MACRO!CA6</f>
        <v>1.3136284805856616E-2</v>
      </c>
      <c r="BO331" s="1018">
        <f>+AVERAGE(BN333)*MACRO!CB6</f>
        <v>1.1138695299195752E-2</v>
      </c>
      <c r="BP331" s="1018">
        <f>+AVERAGE(BO333)*MACRO!CC6</f>
        <v>8.3024463407026516E-3</v>
      </c>
      <c r="BQ331" s="1018">
        <f>+AVERAGE(BP333)*MACRO!CD6</f>
        <v>5.495613735127392E-3</v>
      </c>
      <c r="BR331" s="1018">
        <f>+AVERAGE(BQ333)*MACRO!CE6</f>
        <v>5.2607074675960512E-3</v>
      </c>
      <c r="BS331" s="1018">
        <f>+AVERAGE(BR333)*MACRO!CF6</f>
        <v>5.5999666685304433E-3</v>
      </c>
      <c r="BT331" s="1018">
        <f>+AVERAGE(BS333)*MACRO!CG6</f>
        <v>8.7681067983875934E-3</v>
      </c>
      <c r="BU331" s="1018">
        <f>+AVERAGE(BT333)*MACRO!CH6</f>
        <v>1.2983019759249408E-2</v>
      </c>
      <c r="BV331" s="1018">
        <f>+AVERAGE(BU333)*MACRO!CI6</f>
        <v>1.9790810184174581E-2</v>
      </c>
      <c r="BW331" s="1018">
        <f>+AVERAGE(BV333)*MACRO!CJ6</f>
        <v>2.6595246902146288E-2</v>
      </c>
      <c r="BX331" s="1018">
        <f>+AVERAGE(BW333)*MACRO!CK6</f>
        <v>3.165232598238632E-2</v>
      </c>
      <c r="BY331" s="1018">
        <f>+AVERAGE(BX333)*MACRO!CL6</f>
        <v>3.4335399816756013E-2</v>
      </c>
      <c r="BZ331" s="1018">
        <f>+AVERAGE(BY333)*MACRO!CM6</f>
        <v>3.469646736100894E-2</v>
      </c>
      <c r="CA331" s="1018">
        <f>+AVERAGE(BZ333)*MACRO!CN6</f>
        <v>3.469646736100894E-2</v>
      </c>
      <c r="CB331" s="1018">
        <f>+AVERAGE(CA333)*MACRO!CO6</f>
        <v>3.469646736100894E-2</v>
      </c>
      <c r="CC331" s="1018">
        <f>+AVERAGE(CB333)*MACRO!CP6</f>
        <v>3.3756947284580008E-2</v>
      </c>
      <c r="CD331" s="1018">
        <f>+AVERAGE(CC333)*MACRO!CQ6</f>
        <v>3.1263941210088499E-2</v>
      </c>
      <c r="CE331" s="1018">
        <f>+AVERAGE(CD333)*MACRO!CR6</f>
        <v>2.8875987496697061E-2</v>
      </c>
      <c r="CF331" s="1018">
        <f>+AVERAGE(CE333)*MACRO!CS6</f>
        <v>2.7037801908345004E-2</v>
      </c>
      <c r="CG331" s="1018">
        <f>+AVERAGE(CF333)*MACRO!CT6</f>
        <v>2.6865761418363991E-2</v>
      </c>
      <c r="CH331" s="1018">
        <v>2.8680357595253458E-2</v>
      </c>
      <c r="CI331" s="1018">
        <v>0</v>
      </c>
      <c r="CJ331" s="1018">
        <v>0</v>
      </c>
      <c r="CK331" s="1018">
        <v>0</v>
      </c>
      <c r="CL331" s="1018">
        <f>+AVERAGE(CK333)*MACRO!CY6</f>
        <v>3.7691560922119442E-2</v>
      </c>
      <c r="CM331" s="1018">
        <f>+AVERAGE(CL333)*MACRO!CZ6</f>
        <v>3.6496467630633606E-2</v>
      </c>
      <c r="CN331" s="1018">
        <f>+AVERAGE(CM333)*MACRO!DA6</f>
        <v>3.4094489422453987E-2</v>
      </c>
      <c r="CO331" s="1018">
        <f>+AVERAGE(CN333)*MACRO!DB6</f>
        <v>3.2282568511474527E-2</v>
      </c>
      <c r="CP331" s="1018">
        <f>+AVERAGE(CO333)*MACRO!DC6</f>
        <v>3.1069593216414396E-2</v>
      </c>
      <c r="CQ331" s="1018"/>
      <c r="CR331" s="1018">
        <v>3.7691560922119442E-2</v>
      </c>
      <c r="CT331" s="975"/>
      <c r="CU331" s="975"/>
      <c r="CV331" s="975"/>
      <c r="CW331" s="975"/>
      <c r="CX331" s="911">
        <f>+SUM(O331:R331)</f>
        <v>0.120373452959669</v>
      </c>
      <c r="CY331" s="911">
        <f>+SUM(S331:V331)</f>
        <v>0.13821566007324948</v>
      </c>
      <c r="CZ331" s="911">
        <f>+SUM(W331:Z331)</f>
        <v>0.11634913987109463</v>
      </c>
      <c r="DA331" s="911">
        <f>+SUM(AA331:AD331)</f>
        <v>0.11571946509759715</v>
      </c>
      <c r="DB331" s="911">
        <f>+SUM(AE331:AH331)</f>
        <v>0.13104361909910694</v>
      </c>
      <c r="DC331" s="594">
        <f>+SUM(AI331:AL331)</f>
        <v>0.10659451580958526</v>
      </c>
      <c r="DD331" s="594">
        <f>+SUM(AM331:AP331)</f>
        <v>0.1054533847281654</v>
      </c>
      <c r="DE331" s="594">
        <f>SUM(AQ331:AT331)</f>
        <v>0.11778087452522351</v>
      </c>
      <c r="DF331" s="911">
        <f>+SUM(AU331:AX331)</f>
        <v>0.12463031909016294</v>
      </c>
      <c r="DG331" s="911">
        <f>+SUM(AY331:BB331)</f>
        <v>0.14628343557770365</v>
      </c>
      <c r="DH331" s="911">
        <f>+SUM(BC331:BF331)</f>
        <v>0.11221015317314545</v>
      </c>
      <c r="DI331" s="911">
        <f>+MACRO!EA6*$DL$333</f>
        <v>6.9761249999999997E-2</v>
      </c>
      <c r="DJ331" s="911">
        <f>+MACRO!EB6*$DL$333</f>
        <v>6.3997499999999999E-2</v>
      </c>
      <c r="DK331" s="911">
        <f>+MACRO!EC6*$DL$333</f>
        <v>3.0554500000000002E-2</v>
      </c>
      <c r="DL331" s="911">
        <f>+MACRO!ED6*$DL$333</f>
        <v>4.8097500000000001E-2</v>
      </c>
      <c r="DM331" s="911">
        <f>+MACRO!EE6*$DL$333</f>
        <v>0.133189</v>
      </c>
      <c r="DN331" s="911">
        <f>+MACRO!EF6*$DL$333</f>
        <v>0.14095350000000001</v>
      </c>
      <c r="DO331" s="911">
        <f>+MACRO!EG6*$DL$333</f>
        <v>0.1159375</v>
      </c>
      <c r="DP331" s="911">
        <f>+MACRO!EH6*$DL$333</f>
        <v>0.15458333333333335</v>
      </c>
      <c r="DQ331" s="911">
        <f>+MACRO!EI6*$DL$333</f>
        <v>0.14045000000000002</v>
      </c>
      <c r="DR331" s="957">
        <f>+MACRO!EJ6*$DL$333</f>
        <v>0.12190000000000001</v>
      </c>
      <c r="DS331" s="957">
        <f>+MACRO!EK6*$DL$333</f>
        <v>0.11660000000000001</v>
      </c>
      <c r="DT331" s="957">
        <f>+MACRO!EL6*$DL$333</f>
        <v>0.10600000000000001</v>
      </c>
      <c r="DU331" s="957">
        <f>+MACRO!EM6*$DL$333</f>
        <v>9.5399999999999999E-2</v>
      </c>
      <c r="DX331" s="957">
        <v>0.14045000000000002</v>
      </c>
      <c r="DY331" s="957">
        <v>0.12190000000000001</v>
      </c>
    </row>
    <row r="332" spans="1:129" s="904" customFormat="1">
      <c r="A332" s="939"/>
      <c r="B332" s="949" t="s">
        <v>568</v>
      </c>
      <c r="C332" s="939">
        <v>0</v>
      </c>
      <c r="D332" s="939">
        <f t="shared" ref="D332:AI332" si="2954">+(C327+D327)/2*D329</f>
        <v>4730.0699504300001</v>
      </c>
      <c r="E332" s="939">
        <f t="shared" si="2954"/>
        <v>9461.0539782804517</v>
      </c>
      <c r="F332" s="939">
        <f t="shared" si="2954"/>
        <v>9292.573804069596</v>
      </c>
      <c r="G332" s="939">
        <f t="shared" si="2954"/>
        <v>9485.6083312956707</v>
      </c>
      <c r="H332" s="939">
        <f t="shared" si="2954"/>
        <v>9525.6607330903735</v>
      </c>
      <c r="I332" s="939">
        <f t="shared" si="2954"/>
        <v>4623.0978381718251</v>
      </c>
      <c r="J332" s="939">
        <f t="shared" si="2954"/>
        <v>0</v>
      </c>
      <c r="K332" s="939">
        <f t="shared" si="2954"/>
        <v>0</v>
      </c>
      <c r="L332" s="939">
        <f t="shared" si="2954"/>
        <v>0</v>
      </c>
      <c r="M332" s="939">
        <f t="shared" si="2954"/>
        <v>0</v>
      </c>
      <c r="N332" s="939">
        <f t="shared" si="2954"/>
        <v>0</v>
      </c>
      <c r="O332" s="939">
        <f t="shared" si="2954"/>
        <v>0</v>
      </c>
      <c r="P332" s="939">
        <f t="shared" si="2954"/>
        <v>0</v>
      </c>
      <c r="Q332" s="939">
        <f t="shared" si="2954"/>
        <v>0</v>
      </c>
      <c r="R332" s="939">
        <f t="shared" si="2954"/>
        <v>0</v>
      </c>
      <c r="S332" s="939">
        <f t="shared" si="2954"/>
        <v>0</v>
      </c>
      <c r="T332" s="939">
        <f t="shared" si="2954"/>
        <v>443.37707075100644</v>
      </c>
      <c r="U332" s="939">
        <f t="shared" si="2954"/>
        <v>1154.5986350804956</v>
      </c>
      <c r="V332" s="939">
        <f t="shared" si="2954"/>
        <v>1220.0759888809769</v>
      </c>
      <c r="W332" s="939">
        <f t="shared" si="2954"/>
        <v>1063.8103413044628</v>
      </c>
      <c r="X332" s="939">
        <f t="shared" si="2954"/>
        <v>973.88470354628373</v>
      </c>
      <c r="Y332" s="939">
        <f t="shared" si="2954"/>
        <v>981.04444826777672</v>
      </c>
      <c r="Z332" s="939">
        <f t="shared" si="2954"/>
        <v>924.9836756459116</v>
      </c>
      <c r="AA332" s="939">
        <f t="shared" si="2954"/>
        <v>868.92290302404649</v>
      </c>
      <c r="AB332" s="939">
        <f t="shared" si="2954"/>
        <v>902.59985965460055</v>
      </c>
      <c r="AC332" s="939">
        <f t="shared" si="2954"/>
        <v>923.32989530835096</v>
      </c>
      <c r="AD332" s="939">
        <f t="shared" si="2954"/>
        <v>771.21961243360181</v>
      </c>
      <c r="AE332" s="939">
        <f t="shared" si="2954"/>
        <v>738.5885395202672</v>
      </c>
      <c r="AF332" s="939">
        <f t="shared" si="2954"/>
        <v>916.74735486912527</v>
      </c>
      <c r="AG332" s="939">
        <f t="shared" si="2954"/>
        <v>5676.8979147354594</v>
      </c>
      <c r="AH332" s="939">
        <f t="shared" si="2954"/>
        <v>9853.0633420265185</v>
      </c>
      <c r="AI332" s="939">
        <f t="shared" si="2954"/>
        <v>9419.607463552562</v>
      </c>
      <c r="AJ332" s="939">
        <f t="shared" ref="AJ332:BG332" si="2955">+(AI327+AJ327)/2*AJ329</f>
        <v>8928.0894400680372</v>
      </c>
      <c r="AK332" s="939">
        <f t="shared" si="2955"/>
        <v>11017.598193455196</v>
      </c>
      <c r="AL332" s="939">
        <f t="shared" si="2955"/>
        <v>16292.341745584716</v>
      </c>
      <c r="AM332" s="939">
        <f t="shared" si="2955"/>
        <v>16961.112199546336</v>
      </c>
      <c r="AN332" s="939">
        <f t="shared" si="2955"/>
        <v>16167.682517123725</v>
      </c>
      <c r="AO332" s="939">
        <f t="shared" si="2955"/>
        <v>20048.046240073847</v>
      </c>
      <c r="AP332" s="939">
        <f t="shared" si="2955"/>
        <v>31043.432227321387</v>
      </c>
      <c r="AQ332" s="939">
        <f t="shared" si="2955"/>
        <v>32860.747013327527</v>
      </c>
      <c r="AR332" s="939">
        <f t="shared" si="2955"/>
        <v>31753.961750517268</v>
      </c>
      <c r="AS332" s="939">
        <f t="shared" si="2955"/>
        <v>26236.177711592314</v>
      </c>
      <c r="AT332" s="939">
        <f t="shared" si="2955"/>
        <v>31040.122966561277</v>
      </c>
      <c r="AU332" s="939">
        <f t="shared" si="2955"/>
        <v>33096.701545059143</v>
      </c>
      <c r="AV332" s="939">
        <f t="shared" si="2955"/>
        <v>32177.822007962342</v>
      </c>
      <c r="AW332" s="939">
        <f t="shared" si="2955"/>
        <v>28729.588829777073</v>
      </c>
      <c r="AX332" s="939">
        <f t="shared" si="2955"/>
        <v>27061.848072671626</v>
      </c>
      <c r="AY332" s="939">
        <f t="shared" si="2955"/>
        <v>32700.122470458711</v>
      </c>
      <c r="AZ332" s="939">
        <f t="shared" si="2955"/>
        <v>32117.613408466688</v>
      </c>
      <c r="BA332" s="939">
        <f t="shared" si="2955"/>
        <v>31677.178333704029</v>
      </c>
      <c r="BB332" s="939">
        <f t="shared" si="2955"/>
        <v>30590.621952991751</v>
      </c>
      <c r="BC332" s="939">
        <f t="shared" si="2955"/>
        <v>26210.65189909294</v>
      </c>
      <c r="BD332" s="939">
        <f t="shared" si="2955"/>
        <v>19405.773532371582</v>
      </c>
      <c r="BE332" s="939">
        <f t="shared" si="2955"/>
        <v>16705.421629604949</v>
      </c>
      <c r="BF332" s="939">
        <f t="shared" si="2955"/>
        <v>15101.222187104968</v>
      </c>
      <c r="BG332" s="939">
        <f t="shared" si="2955"/>
        <v>13626.646585219634</v>
      </c>
      <c r="BH332" s="939">
        <f t="shared" ref="BH332:BO332" si="2956">+(BG327+BH327)/2*BH329</f>
        <v>12443.363249741325</v>
      </c>
      <c r="BI332" s="939">
        <f t="shared" si="2956"/>
        <v>8933.5506547341338</v>
      </c>
      <c r="BJ332" s="939">
        <f t="shared" si="2956"/>
        <v>5910.1697105147568</v>
      </c>
      <c r="BK332" s="939">
        <f t="shared" si="2956"/>
        <v>3491.7021161716248</v>
      </c>
      <c r="BL332" s="939">
        <f t="shared" si="2956"/>
        <v>4269.2988650344842</v>
      </c>
      <c r="BM332" s="939">
        <f t="shared" si="2956"/>
        <v>7045.7984071024084</v>
      </c>
      <c r="BN332" s="939">
        <f t="shared" si="2956"/>
        <v>5844.7534712393954</v>
      </c>
      <c r="BO332" s="939">
        <f t="shared" si="2956"/>
        <v>4737.376220310347</v>
      </c>
      <c r="BP332" s="939">
        <f>+(BO327+BP327)/2*BP329</f>
        <v>5420.1524641716378</v>
      </c>
      <c r="BQ332" s="939">
        <f t="shared" ref="BQ332:CD332" si="2957">+(BP327+BQ327)/2*BQ329</f>
        <v>5356.5911944698746</v>
      </c>
      <c r="BR332" s="939">
        <f t="shared" si="2957"/>
        <v>7933.7071264801443</v>
      </c>
      <c r="BS332" s="939">
        <f t="shared" si="2957"/>
        <v>14034.345266404234</v>
      </c>
      <c r="BT332" s="939">
        <f t="shared" si="2957"/>
        <v>26673.409466787507</v>
      </c>
      <c r="BU332" s="939">
        <f t="shared" si="2957"/>
        <v>35075.679196734236</v>
      </c>
      <c r="BV332" s="939">
        <f t="shared" si="2957"/>
        <v>37713.090815620504</v>
      </c>
      <c r="BW332" s="939">
        <f t="shared" si="2957"/>
        <v>46602.013396353519</v>
      </c>
      <c r="BX332" s="939">
        <f t="shared" si="2957"/>
        <v>65924.182636911937</v>
      </c>
      <c r="BY332" s="939">
        <f t="shared" si="2957"/>
        <v>74295.59049609318</v>
      </c>
      <c r="BZ332" s="939">
        <f t="shared" si="2957"/>
        <v>76209.575570241315</v>
      </c>
      <c r="CA332" s="939">
        <f t="shared" si="2957"/>
        <v>67270.400841786701</v>
      </c>
      <c r="CB332" s="939">
        <f t="shared" si="2957"/>
        <v>58470.997324328222</v>
      </c>
      <c r="CC332" s="939">
        <f t="shared" si="2957"/>
        <v>56098.789210716153</v>
      </c>
      <c r="CD332" s="939">
        <f t="shared" si="2957"/>
        <v>52248.917399969243</v>
      </c>
      <c r="CE332" s="939">
        <f t="shared" ref="CE332:CI332" si="2958">+(CD327+CE327)/2*CE329</f>
        <v>48628.90001837672</v>
      </c>
      <c r="CF332" s="939">
        <f t="shared" si="2958"/>
        <v>45533.284909060792</v>
      </c>
      <c r="CG332" s="939">
        <f t="shared" si="2958"/>
        <v>45243.558374605265</v>
      </c>
      <c r="CH332" s="939">
        <f t="shared" si="2958"/>
        <v>48299.447495965353</v>
      </c>
      <c r="CI332" s="939">
        <f t="shared" si="2958"/>
        <v>0</v>
      </c>
      <c r="CJ332" s="939">
        <f t="shared" ref="CJ332" si="2959">+(CI327+CJ327)/2*CJ329</f>
        <v>0</v>
      </c>
      <c r="CK332" s="939">
        <f t="shared" ref="CK332" si="2960">+(CJ327+CK327)/2*CK329</f>
        <v>0</v>
      </c>
      <c r="CL332" s="939">
        <f t="shared" ref="CL332" si="2961">+(CK327+CL327)/2*CL329</f>
        <v>63474.855979486587</v>
      </c>
      <c r="CM332" s="939">
        <f t="shared" ref="CM332" si="2962">+(CL327+CM327)/2*CM329</f>
        <v>61462.246984177073</v>
      </c>
      <c r="CN332" s="939">
        <f t="shared" ref="CN332" si="2963">+(CM327+CN327)/2*CN329</f>
        <v>57417.171187366766</v>
      </c>
      <c r="CO332" s="939">
        <f t="shared" ref="CO332" si="2964">+(CN327+CO327)/2*CO329</f>
        <v>54365.787374733351</v>
      </c>
      <c r="CP332" s="939">
        <f t="shared" ref="CP332" si="2965">+(CO327+CP327)/2*CP329</f>
        <v>52323.064009688707</v>
      </c>
      <c r="CQ332" s="939"/>
      <c r="CR332" s="939">
        <v>63474.855979486587</v>
      </c>
      <c r="CT332" s="939"/>
      <c r="CU332" s="939"/>
      <c r="CV332" s="939"/>
      <c r="CW332" s="939"/>
      <c r="CX332" s="592">
        <f>+SUM(O332:R332)</f>
        <v>0</v>
      </c>
      <c r="CY332" s="592">
        <f>+SUM(S332:V332)</f>
        <v>2818.0516947124788</v>
      </c>
      <c r="CZ332" s="592">
        <f>+SUM(W332:Z332)</f>
        <v>3943.7231687644348</v>
      </c>
      <c r="DA332" s="592">
        <f>+SUM(AA332:AD332)</f>
        <v>3466.0722704206</v>
      </c>
      <c r="DB332" s="903">
        <f>+SUM(AE332:AH332)</f>
        <v>17185.297151151372</v>
      </c>
      <c r="DC332" s="939">
        <f>+SUM(AI332:AL332)</f>
        <v>45657.636842660511</v>
      </c>
      <c r="DD332" s="939">
        <f>+SUM(AM332:AP332)</f>
        <v>84220.2731840653</v>
      </c>
      <c r="DE332" s="954">
        <f>+SUM(AQ332:AT332)</f>
        <v>121891.00944199839</v>
      </c>
      <c r="DF332" s="903">
        <f>+SUM(AU332:AX332)</f>
        <v>121065.96045547018</v>
      </c>
      <c r="DG332" s="939">
        <f>+SUM(AY332:BB332)</f>
        <v>127085.53616562119</v>
      </c>
      <c r="DH332" s="939">
        <f>+SUM(BC332:BF332)</f>
        <v>77423.069248174434</v>
      </c>
      <c r="DI332" s="939">
        <f>+SUM(BG332:BJ332)</f>
        <v>40913.730200209851</v>
      </c>
      <c r="DJ332" s="939">
        <f>+SUM(BK332:BN332)</f>
        <v>20651.552859547912</v>
      </c>
      <c r="DK332" s="939">
        <f>+SUM(BO332:BR332)</f>
        <v>23447.827005432006</v>
      </c>
      <c r="DL332" s="939">
        <f>+SUM(BS332:BV332)</f>
        <v>113496.52474554649</v>
      </c>
      <c r="DM332" s="939">
        <f>+SUM(BW332:BZ332)</f>
        <v>263031.36209959997</v>
      </c>
      <c r="DN332" s="939">
        <f>+SUM(CA332:CD332)</f>
        <v>234089.10477680032</v>
      </c>
      <c r="DO332" s="939">
        <f>+SUM(CE332:CH332)</f>
        <v>187705.19079800812</v>
      </c>
      <c r="DP332" s="939">
        <f>+SUM(CI332:CL332)</f>
        <v>63474.855979486587</v>
      </c>
      <c r="DQ332" s="939">
        <f>+SUM(CM332:CP332)</f>
        <v>225568.26955596588</v>
      </c>
      <c r="DR332" s="599">
        <f>+(DQ327+DR327)/2*DR329</f>
        <v>207854.1685733081</v>
      </c>
      <c r="DS332" s="599">
        <f t="shared" ref="DS332:DU332" si="2966">+(DR327+DS327)/2*DS329</f>
        <v>198817.03080925124</v>
      </c>
      <c r="DT332" s="599">
        <f t="shared" si="2966"/>
        <v>180742.75528113748</v>
      </c>
      <c r="DU332" s="599">
        <f t="shared" si="2966"/>
        <v>162668.47975302371</v>
      </c>
      <c r="DX332" s="599">
        <v>305131.97399645008</v>
      </c>
      <c r="DY332" s="599">
        <v>264831.5246006925</v>
      </c>
    </row>
    <row r="333" spans="1:129" s="904" customFormat="1">
      <c r="A333" s="939"/>
      <c r="B333" s="940"/>
      <c r="C333" s="939"/>
      <c r="D333" s="939"/>
      <c r="E333" s="939"/>
      <c r="F333" s="939"/>
      <c r="G333" s="592"/>
      <c r="H333" s="592"/>
      <c r="I333" s="592"/>
      <c r="J333" s="592"/>
      <c r="K333" s="592"/>
      <c r="L333" s="592"/>
      <c r="M333" s="592"/>
      <c r="N333" s="592"/>
      <c r="O333" s="592"/>
      <c r="P333" s="592"/>
      <c r="Q333" s="592"/>
      <c r="R333" s="592"/>
      <c r="S333" s="592"/>
      <c r="T333" s="592"/>
      <c r="U333" s="592"/>
      <c r="V333" s="592"/>
      <c r="W333" s="592"/>
      <c r="X333" s="592"/>
      <c r="Y333" s="592"/>
      <c r="Z333" s="592"/>
      <c r="AA333" s="592"/>
      <c r="AB333" s="592"/>
      <c r="AC333" s="592"/>
      <c r="AD333" s="592"/>
      <c r="AE333" s="592"/>
      <c r="AF333" s="592"/>
      <c r="AG333" s="592"/>
      <c r="AH333" s="592"/>
      <c r="AI333" s="592"/>
      <c r="AJ333" s="1019">
        <f>+AJ331/MACRO!AW6</f>
        <v>1.2433778620008016</v>
      </c>
      <c r="AK333" s="1019">
        <f>+AK331/MACRO!AX6</f>
        <v>1.2666823306574269</v>
      </c>
      <c r="AL333" s="1019">
        <f>+AL331/MACRO!AY6</f>
        <v>1.5152164947970013</v>
      </c>
      <c r="AM333" s="1019">
        <f>+AM331/MACRO!AZ6</f>
        <v>1.5121282123609385</v>
      </c>
      <c r="AN333" s="1019">
        <f>+AN331/MACRO!BA6</f>
        <v>1.3063172034035524</v>
      </c>
      <c r="AO333" s="1019">
        <f>+AO331/MACRO!BB6</f>
        <v>1.0929717069806535</v>
      </c>
      <c r="AP333" s="1019">
        <f>+AP331/MACRO!BC6</f>
        <v>1.2267308551493727</v>
      </c>
      <c r="AQ333" s="1019">
        <f>+AQ331/MACRO!BD6</f>
        <v>1.2322824402448034</v>
      </c>
      <c r="AR333" s="1019">
        <f>+AR331/MACRO!BE6</f>
        <v>1.1189978955235889</v>
      </c>
      <c r="AS333" s="1019">
        <f>+AS331/MACRO!BF6</f>
        <v>0.98129112717398104</v>
      </c>
      <c r="AT333" s="1019">
        <f>+AT331/MACRO!BG6</f>
        <v>1.1431409489981728</v>
      </c>
      <c r="AU333" s="1019">
        <f>+AU331/MACRO!BH6</f>
        <v>1.0581309525513245</v>
      </c>
      <c r="AV333" s="1019">
        <f>+AV331/MACRO!BI6</f>
        <v>0.98697244956113739</v>
      </c>
      <c r="AW333" s="1019">
        <f>+AW331/MACRO!BJ6</f>
        <v>0.91398036209965039</v>
      </c>
      <c r="AX333" s="1019">
        <f>+AX331/MACRO!BK6</f>
        <v>0.92737887845049882</v>
      </c>
      <c r="AY333" s="1019">
        <f>+AY331/MACRO!BL6</f>
        <v>1.0811487363663448</v>
      </c>
      <c r="AZ333" s="1019">
        <f>+AZ331/MACRO!BM6</f>
        <v>1.0681258414842556</v>
      </c>
      <c r="BA333" s="1019">
        <f>+BA331/MACRO!BN6</f>
        <v>1.0702769524484068</v>
      </c>
      <c r="BB333" s="1019">
        <f>+BB331/MACRO!BO6</f>
        <v>1.1217390533279101</v>
      </c>
      <c r="BC333" s="1019">
        <f>+BC331/MACRO!BP6</f>
        <v>1.184112640174467</v>
      </c>
      <c r="BD333" s="1019">
        <f>+BD331/MACRO!BQ6</f>
        <v>1.1322424019038786</v>
      </c>
      <c r="BE333" s="1019">
        <f t="shared" ref="BE333:BJ333" si="2967">+BD333</f>
        <v>1.1322424019038786</v>
      </c>
      <c r="BF333" s="1019">
        <f t="shared" si="2967"/>
        <v>1.1322424019038786</v>
      </c>
      <c r="BG333" s="1019">
        <f t="shared" si="2967"/>
        <v>1.1322424019038786</v>
      </c>
      <c r="BH333" s="1019">
        <f t="shared" si="2967"/>
        <v>1.1322424019038786</v>
      </c>
      <c r="BI333" s="1019">
        <f t="shared" si="2967"/>
        <v>1.1322424019038786</v>
      </c>
      <c r="BJ333" s="1019">
        <f t="shared" si="2967"/>
        <v>1.1322424019038786</v>
      </c>
      <c r="BK333" s="1019">
        <v>1.06</v>
      </c>
      <c r="BL333" s="1019">
        <v>1.06</v>
      </c>
      <c r="BM333" s="1019">
        <v>1.06</v>
      </c>
      <c r="BN333" s="1019">
        <v>1.06</v>
      </c>
      <c r="BO333" s="1019">
        <v>1.06</v>
      </c>
      <c r="BP333" s="1019">
        <v>1.06</v>
      </c>
      <c r="BQ333" s="1019">
        <v>1.06</v>
      </c>
      <c r="BR333" s="1019">
        <v>1.06</v>
      </c>
      <c r="BS333" s="1019">
        <v>1.06</v>
      </c>
      <c r="BT333" s="1019">
        <v>1.06</v>
      </c>
      <c r="BU333" s="1019">
        <v>1.06</v>
      </c>
      <c r="BV333" s="1019">
        <v>1.06</v>
      </c>
      <c r="BW333" s="1019">
        <v>1.06</v>
      </c>
      <c r="BX333" s="1019">
        <v>1.06</v>
      </c>
      <c r="BY333" s="1019">
        <v>1.06</v>
      </c>
      <c r="BZ333" s="1019">
        <v>1.06</v>
      </c>
      <c r="CA333" s="1019">
        <v>1.06</v>
      </c>
      <c r="CB333" s="1019">
        <v>1.06</v>
      </c>
      <c r="CC333" s="1019">
        <v>1.06</v>
      </c>
      <c r="CD333" s="1019">
        <v>1.06</v>
      </c>
      <c r="CE333" s="1019">
        <v>1.06</v>
      </c>
      <c r="CF333" s="1019">
        <v>1.06</v>
      </c>
      <c r="CG333" s="1019">
        <v>1.06</v>
      </c>
      <c r="CH333" s="1019">
        <v>1.06</v>
      </c>
      <c r="CI333" s="1019">
        <v>1.06</v>
      </c>
      <c r="CJ333" s="1019">
        <v>1.06</v>
      </c>
      <c r="CK333" s="1019">
        <v>1.06</v>
      </c>
      <c r="CL333" s="1019">
        <v>1.06</v>
      </c>
      <c r="CM333" s="1019">
        <v>1.06</v>
      </c>
      <c r="CN333" s="1019">
        <v>1.06</v>
      </c>
      <c r="CO333" s="1019">
        <v>1.06</v>
      </c>
      <c r="CP333" s="1019">
        <v>1.06</v>
      </c>
      <c r="CQ333" s="1020"/>
      <c r="CR333" s="1020">
        <v>1.06</v>
      </c>
      <c r="CT333" s="592"/>
      <c r="CU333" s="592"/>
      <c r="CV333" s="592"/>
      <c r="CW333" s="592"/>
      <c r="CX333" s="592"/>
      <c r="CY333" s="608">
        <f>+CY311/MACRO!DQ6</f>
        <v>1.0052048005327234</v>
      </c>
      <c r="CZ333" s="608">
        <f>+CZ311/MACRO!DR6</f>
        <v>1.3297044556696529</v>
      </c>
      <c r="DA333" s="608">
        <f>+DA311/MACRO!DS6</f>
        <v>1.0764601404427641</v>
      </c>
      <c r="DB333" s="608">
        <f>+DB311/MACRO!DT6</f>
        <v>1.2330419519340856</v>
      </c>
      <c r="DC333" s="608">
        <f>+DC311/MACRO!DU6</f>
        <v>1.2107976933212599</v>
      </c>
      <c r="DD333" s="608">
        <f>+DD311/MACRO!DV6</f>
        <v>1.2823621002363264</v>
      </c>
      <c r="DE333" s="608"/>
      <c r="DF333" s="592"/>
      <c r="DG333" s="592"/>
      <c r="DI333" s="592"/>
      <c r="DJ333" s="592"/>
      <c r="DK333" s="592"/>
      <c r="DL333" s="1020">
        <f t="shared" ref="DL333:DQ333" si="2968">+BV333</f>
        <v>1.06</v>
      </c>
      <c r="DM333" s="1020">
        <f t="shared" si="2968"/>
        <v>1.06</v>
      </c>
      <c r="DN333" s="1020">
        <f t="shared" si="2968"/>
        <v>1.06</v>
      </c>
      <c r="DO333" s="1020">
        <f t="shared" si="2968"/>
        <v>1.06</v>
      </c>
      <c r="DP333" s="1020">
        <f t="shared" si="2968"/>
        <v>1.06</v>
      </c>
      <c r="DQ333" s="1020">
        <f t="shared" si="2968"/>
        <v>1.06</v>
      </c>
      <c r="DR333" s="592"/>
      <c r="DS333" s="592"/>
      <c r="DT333" s="592"/>
      <c r="DU333" s="592"/>
      <c r="DX333" s="592"/>
      <c r="DY333" s="592"/>
    </row>
    <row r="334" spans="1:129" s="904" customFormat="1">
      <c r="A334" s="592"/>
      <c r="B334" s="592"/>
      <c r="C334" s="592"/>
      <c r="D334" s="592"/>
      <c r="E334" s="592"/>
      <c r="F334" s="592"/>
      <c r="G334" s="592"/>
      <c r="H334" s="592"/>
      <c r="I334" s="592"/>
      <c r="J334" s="592"/>
      <c r="K334" s="592"/>
      <c r="L334" s="592"/>
      <c r="M334" s="592"/>
      <c r="N334" s="592"/>
      <c r="O334" s="592"/>
      <c r="P334" s="592"/>
      <c r="Q334" s="592"/>
      <c r="R334" s="592"/>
      <c r="S334" s="592"/>
      <c r="T334" s="592"/>
      <c r="U334" s="592"/>
      <c r="V334" s="592"/>
      <c r="W334" s="592"/>
      <c r="X334" s="592"/>
      <c r="Y334" s="592"/>
      <c r="Z334" s="592"/>
      <c r="AA334" s="592"/>
      <c r="AB334" s="592"/>
      <c r="AC334" s="592"/>
      <c r="AD334" s="592"/>
      <c r="AE334" s="592"/>
      <c r="AF334" s="592"/>
      <c r="AG334" s="592"/>
      <c r="AH334" s="592"/>
      <c r="AI334" s="592"/>
      <c r="AJ334" s="592"/>
      <c r="AK334" s="592"/>
      <c r="AL334" s="592"/>
      <c r="AM334" s="592"/>
      <c r="AN334" s="592"/>
      <c r="AO334" s="592"/>
      <c r="AP334" s="592"/>
      <c r="AQ334" s="592"/>
      <c r="AR334" s="592"/>
      <c r="AS334" s="592"/>
      <c r="AT334" s="592"/>
      <c r="AU334" s="592"/>
      <c r="AV334" s="592"/>
      <c r="AW334" s="592"/>
      <c r="AX334" s="592"/>
      <c r="AY334" s="592"/>
      <c r="AZ334" s="910"/>
      <c r="BA334" s="910"/>
      <c r="BB334" s="592"/>
      <c r="BC334" s="592"/>
      <c r="BD334" s="592"/>
      <c r="BE334" s="592"/>
      <c r="BF334" s="592"/>
      <c r="BG334" s="592"/>
      <c r="BH334" s="592"/>
      <c r="BI334" s="592"/>
      <c r="BJ334" s="592"/>
      <c r="BK334" s="592"/>
      <c r="BL334" s="592"/>
      <c r="BM334" s="592"/>
      <c r="BN334" s="592"/>
      <c r="BO334" s="592"/>
      <c r="BP334" s="592"/>
      <c r="BQ334" s="592"/>
      <c r="BR334" s="592"/>
      <c r="BS334" s="592"/>
      <c r="BT334" s="592"/>
      <c r="BU334" s="592"/>
      <c r="BV334" s="592"/>
      <c r="BW334" s="592"/>
      <c r="BX334" s="592"/>
      <c r="BY334" s="592"/>
      <c r="BZ334" s="592"/>
      <c r="CA334" s="592"/>
      <c r="CB334" s="592"/>
      <c r="CC334" s="592"/>
      <c r="CD334" s="592"/>
      <c r="CE334" s="592"/>
      <c r="CF334" s="592"/>
      <c r="CG334" s="592"/>
      <c r="CH334" s="592"/>
      <c r="CI334" s="592"/>
      <c r="CJ334" s="592"/>
      <c r="CK334" s="592"/>
      <c r="CL334" s="592"/>
      <c r="CM334" s="592"/>
      <c r="CN334" s="592"/>
      <c r="CO334" s="592"/>
      <c r="CP334" s="592"/>
      <c r="CQ334" s="592"/>
      <c r="CR334" s="592"/>
      <c r="CT334" s="592"/>
      <c r="CU334" s="592"/>
      <c r="CV334" s="592"/>
      <c r="CW334" s="592"/>
      <c r="CX334" s="592"/>
      <c r="CY334" s="592"/>
      <c r="CZ334" s="592"/>
      <c r="DA334" s="592"/>
      <c r="DB334" s="592"/>
      <c r="DC334" s="592"/>
      <c r="DD334" s="592"/>
      <c r="DE334" s="592"/>
      <c r="DF334" s="592"/>
      <c r="DG334" s="592"/>
      <c r="DH334" s="592"/>
      <c r="DI334" s="592"/>
      <c r="DJ334" s="592"/>
      <c r="DK334" s="592"/>
      <c r="DL334" s="592"/>
      <c r="DM334" s="592"/>
      <c r="DN334" s="592"/>
      <c r="DO334" s="592"/>
      <c r="DP334" s="592"/>
      <c r="DQ334" s="592"/>
      <c r="DR334" s="592"/>
      <c r="DS334" s="592"/>
      <c r="DT334" s="592"/>
      <c r="DU334" s="592"/>
      <c r="DX334" s="592"/>
      <c r="DY334" s="592"/>
    </row>
    <row r="335" spans="1:129" s="904" customFormat="1">
      <c r="A335" s="592"/>
      <c r="B335" s="592" t="s">
        <v>569</v>
      </c>
      <c r="C335" s="592"/>
      <c r="D335" s="592"/>
      <c r="E335" s="592"/>
      <c r="F335" s="592"/>
      <c r="G335" s="592"/>
      <c r="H335" s="592"/>
      <c r="I335" s="592"/>
      <c r="J335" s="592"/>
      <c r="K335" s="592"/>
      <c r="L335" s="592"/>
      <c r="M335" s="592"/>
      <c r="N335" s="592"/>
      <c r="O335" s="592"/>
      <c r="P335" s="592"/>
      <c r="Q335" s="592"/>
      <c r="R335" s="592"/>
      <c r="S335" s="592"/>
      <c r="T335" s="592"/>
      <c r="U335" s="592"/>
      <c r="V335" s="592"/>
      <c r="W335" s="592"/>
      <c r="X335" s="592"/>
      <c r="Y335" s="592"/>
      <c r="Z335" s="592"/>
      <c r="AA335" s="592"/>
      <c r="AB335" s="592"/>
      <c r="AC335" s="592"/>
      <c r="AD335" s="941">
        <v>0</v>
      </c>
      <c r="AE335" s="941">
        <v>0</v>
      </c>
      <c r="AF335" s="941">
        <v>0</v>
      </c>
      <c r="AG335" s="941">
        <v>0</v>
      </c>
      <c r="AH335" s="941">
        <v>11224</v>
      </c>
      <c r="AI335" s="941">
        <v>80123</v>
      </c>
      <c r="AJ335" s="941">
        <v>104321</v>
      </c>
      <c r="AK335" s="941">
        <v>111897</v>
      </c>
      <c r="AL335" s="941">
        <v>79714</v>
      </c>
      <c r="AM335" s="941">
        <v>93709</v>
      </c>
      <c r="AN335" s="941">
        <v>147100</v>
      </c>
      <c r="AO335" s="941">
        <v>77652</v>
      </c>
      <c r="AP335" s="941">
        <f>+AP300-AP307-AP321-AP327</f>
        <v>73222</v>
      </c>
      <c r="AQ335" s="941">
        <f>+AQ300-AQ307-AQ321-AQ327</f>
        <v>115276</v>
      </c>
      <c r="AR335" s="941">
        <f>+AR300-AR307-AR321-AR327</f>
        <v>21382</v>
      </c>
      <c r="AS335" s="941">
        <f>+AS300-AS307-AS321-AS327</f>
        <v>1463</v>
      </c>
      <c r="AT335" s="941"/>
      <c r="AU335" s="941"/>
      <c r="AV335" s="941"/>
      <c r="AW335" s="941"/>
      <c r="AX335" s="941"/>
      <c r="AY335" s="941"/>
      <c r="AZ335" s="967"/>
      <c r="BA335" s="967"/>
      <c r="BB335" s="967"/>
      <c r="BC335" s="967"/>
      <c r="BD335" s="967"/>
      <c r="BE335" s="967"/>
      <c r="BF335" s="967"/>
      <c r="BG335" s="967"/>
      <c r="BH335" s="967"/>
      <c r="BI335" s="967"/>
      <c r="BJ335" s="967"/>
      <c r="BK335" s="967"/>
      <c r="BL335" s="967"/>
      <c r="BM335" s="967"/>
      <c r="BN335" s="967"/>
      <c r="BO335" s="967"/>
      <c r="BP335" s="967"/>
      <c r="BQ335" s="967"/>
      <c r="BR335" s="967"/>
      <c r="BS335" s="967"/>
      <c r="BT335" s="967"/>
      <c r="BU335" s="967"/>
      <c r="BV335" s="967"/>
      <c r="BW335" s="967"/>
      <c r="BX335" s="967"/>
      <c r="BY335" s="967"/>
      <c r="BZ335" s="967"/>
      <c r="CA335" s="967"/>
      <c r="CB335" s="967"/>
      <c r="CC335" s="967"/>
      <c r="CD335" s="967"/>
      <c r="CE335" s="967"/>
      <c r="CF335" s="967"/>
      <c r="CG335" s="967"/>
      <c r="CH335" s="967"/>
      <c r="CI335" s="967"/>
      <c r="CJ335" s="967"/>
      <c r="CK335" s="967"/>
      <c r="CL335" s="967"/>
      <c r="CM335" s="967"/>
      <c r="CN335" s="967"/>
      <c r="CO335" s="967"/>
      <c r="CP335" s="967"/>
      <c r="CQ335" s="967"/>
      <c r="CR335" s="967"/>
      <c r="CT335" s="592"/>
      <c r="CU335" s="592"/>
      <c r="CV335" s="592"/>
      <c r="CW335" s="592"/>
      <c r="CX335" s="592"/>
      <c r="CY335" s="592"/>
      <c r="CZ335" s="592"/>
      <c r="DA335" s="592"/>
      <c r="DB335" s="592">
        <f>+AH335</f>
        <v>11224</v>
      </c>
      <c r="DC335" s="939">
        <f>+AL335</f>
        <v>79714</v>
      </c>
      <c r="DD335" s="592">
        <f>+AP335</f>
        <v>73222</v>
      </c>
      <c r="DE335" s="939"/>
      <c r="DF335" s="939"/>
      <c r="DG335" s="939"/>
      <c r="DH335" s="939"/>
      <c r="DI335" s="967"/>
      <c r="DJ335" s="967"/>
      <c r="DK335" s="967"/>
      <c r="DL335" s="967"/>
      <c r="DM335" s="967"/>
      <c r="DN335" s="967"/>
      <c r="DO335" s="967"/>
      <c r="DP335" s="967"/>
      <c r="DQ335" s="967"/>
      <c r="DR335" s="967"/>
      <c r="DS335" s="967"/>
      <c r="DT335" s="967"/>
      <c r="DU335" s="967"/>
      <c r="DX335" s="967"/>
      <c r="DY335" s="967"/>
    </row>
    <row r="336" spans="1:129" s="904" customFormat="1">
      <c r="A336" s="592"/>
      <c r="B336" s="592" t="s">
        <v>187</v>
      </c>
      <c r="C336" s="592"/>
      <c r="D336" s="592"/>
      <c r="E336" s="592"/>
      <c r="F336" s="592"/>
      <c r="G336" s="592"/>
      <c r="H336" s="592"/>
      <c r="I336" s="592"/>
      <c r="J336" s="592"/>
      <c r="K336" s="592"/>
      <c r="L336" s="592"/>
      <c r="M336" s="592"/>
      <c r="N336" s="592"/>
      <c r="O336" s="592"/>
      <c r="P336" s="592"/>
      <c r="Q336" s="592"/>
      <c r="R336" s="592"/>
      <c r="S336" s="592"/>
      <c r="T336" s="592"/>
      <c r="U336" s="592"/>
      <c r="V336" s="592"/>
      <c r="W336" s="592"/>
      <c r="X336" s="592"/>
      <c r="Y336" s="592"/>
      <c r="Z336" s="592"/>
      <c r="AA336" s="592"/>
      <c r="AB336" s="592"/>
      <c r="AC336" s="592"/>
      <c r="AD336" s="911">
        <f t="shared" ref="AD336:AS336" si="2969">+AD335/AD6</f>
        <v>0</v>
      </c>
      <c r="AE336" s="911">
        <f t="shared" si="2969"/>
        <v>0</v>
      </c>
      <c r="AF336" s="911">
        <f t="shared" si="2969"/>
        <v>0</v>
      </c>
      <c r="AG336" s="911">
        <f t="shared" si="2969"/>
        <v>0</v>
      </c>
      <c r="AH336" s="911">
        <f t="shared" si="2969"/>
        <v>1.0574373913027093E-2</v>
      </c>
      <c r="AI336" s="911">
        <f t="shared" si="2969"/>
        <v>0.1129644877311512</v>
      </c>
      <c r="AJ336" s="911">
        <f t="shared" si="2969"/>
        <v>0.10918474358786504</v>
      </c>
      <c r="AK336" s="911">
        <f t="shared" si="2969"/>
        <v>0.12363517034267416</v>
      </c>
      <c r="AL336" s="911">
        <f t="shared" si="2969"/>
        <v>6.1663778699176927E-2</v>
      </c>
      <c r="AM336" s="911">
        <f t="shared" si="2969"/>
        <v>0.1123807193833925</v>
      </c>
      <c r="AN336" s="911">
        <f t="shared" si="2969"/>
        <v>0.13872097562999691</v>
      </c>
      <c r="AO336" s="911">
        <f t="shared" si="2969"/>
        <v>7.6022458599910914E-2</v>
      </c>
      <c r="AP336" s="911">
        <f t="shared" si="2969"/>
        <v>5.0335053743335356E-2</v>
      </c>
      <c r="AQ336" s="911">
        <f t="shared" si="2969"/>
        <v>0.12281512954206948</v>
      </c>
      <c r="AR336" s="911">
        <f t="shared" si="2969"/>
        <v>1.7034355511508666E-2</v>
      </c>
      <c r="AS336" s="911">
        <f t="shared" si="2969"/>
        <v>1.215315130465699E-3</v>
      </c>
      <c r="AT336" s="911"/>
      <c r="AU336" s="911"/>
      <c r="AV336" s="911"/>
      <c r="AW336" s="911"/>
      <c r="AX336" s="911"/>
      <c r="AY336" s="911"/>
      <c r="AZ336" s="926"/>
      <c r="BA336" s="911"/>
      <c r="BB336" s="911"/>
      <c r="BC336" s="911"/>
      <c r="BD336" s="911"/>
      <c r="BE336" s="911"/>
      <c r="BF336" s="911"/>
      <c r="BG336" s="911"/>
      <c r="BH336" s="911"/>
      <c r="BI336" s="911"/>
      <c r="BJ336" s="911"/>
      <c r="BK336" s="911"/>
      <c r="BL336" s="911"/>
      <c r="BM336" s="911"/>
      <c r="BN336" s="911"/>
      <c r="BO336" s="911"/>
      <c r="BP336" s="911"/>
      <c r="BQ336" s="911"/>
      <c r="BR336" s="911"/>
      <c r="BS336" s="911"/>
      <c r="BT336" s="911"/>
      <c r="BU336" s="911"/>
      <c r="BV336" s="911"/>
      <c r="BW336" s="911"/>
      <c r="BX336" s="911"/>
      <c r="BY336" s="911"/>
      <c r="BZ336" s="911"/>
      <c r="CA336" s="911"/>
      <c r="CB336" s="911"/>
      <c r="CC336" s="911"/>
      <c r="CD336" s="911"/>
      <c r="CE336" s="911"/>
      <c r="CF336" s="911"/>
      <c r="CG336" s="911"/>
      <c r="CH336" s="911"/>
      <c r="CI336" s="911"/>
      <c r="CJ336" s="911"/>
      <c r="CK336" s="911"/>
      <c r="CL336" s="911"/>
      <c r="CM336" s="911"/>
      <c r="CN336" s="911"/>
      <c r="CO336" s="911"/>
      <c r="CP336" s="911"/>
      <c r="CQ336" s="911"/>
      <c r="CR336" s="911"/>
      <c r="CT336" s="975"/>
      <c r="CU336" s="975"/>
      <c r="CV336" s="975"/>
      <c r="CW336" s="975"/>
      <c r="CX336" s="592"/>
      <c r="CY336" s="592"/>
      <c r="CZ336" s="592"/>
      <c r="DA336" s="592"/>
      <c r="DB336" s="911">
        <f>+DB335/DB6</f>
        <v>3.4657571215689037E-3</v>
      </c>
      <c r="DC336" s="911">
        <f>+DC335/DC6</f>
        <v>2.0637886057452825E-2</v>
      </c>
      <c r="DD336" s="911">
        <f>+DD335/DD6</f>
        <v>1.6754141857622515E-2</v>
      </c>
      <c r="DE336" s="911"/>
      <c r="DF336" s="911"/>
      <c r="DG336" s="911"/>
      <c r="DH336" s="911"/>
      <c r="DI336" s="911"/>
      <c r="DJ336" s="911"/>
      <c r="DK336" s="911"/>
      <c r="DL336" s="911"/>
      <c r="DM336" s="911"/>
      <c r="DN336" s="911"/>
      <c r="DO336" s="911"/>
      <c r="DP336" s="911"/>
      <c r="DQ336" s="911"/>
      <c r="DR336" s="911"/>
      <c r="DS336" s="911"/>
      <c r="DT336" s="911"/>
      <c r="DU336" s="911"/>
      <c r="DX336" s="911"/>
      <c r="DY336" s="911"/>
    </row>
    <row r="337" spans="1:129" s="904" customFormat="1">
      <c r="A337" s="592"/>
      <c r="B337" s="592" t="s">
        <v>570</v>
      </c>
      <c r="C337" s="592"/>
      <c r="D337" s="911"/>
      <c r="E337" s="911"/>
      <c r="F337" s="911"/>
      <c r="G337" s="911"/>
      <c r="H337" s="911"/>
      <c r="I337" s="911"/>
      <c r="J337" s="911"/>
      <c r="K337" s="911"/>
      <c r="L337" s="911"/>
      <c r="M337" s="911"/>
      <c r="N337" s="911"/>
      <c r="O337" s="911"/>
      <c r="P337" s="911"/>
      <c r="Q337" s="911"/>
      <c r="R337" s="911"/>
      <c r="S337" s="911"/>
      <c r="T337" s="911"/>
      <c r="U337" s="911"/>
      <c r="V337" s="911"/>
      <c r="W337" s="911"/>
      <c r="X337" s="911"/>
      <c r="Y337" s="911"/>
      <c r="Z337" s="911"/>
      <c r="AA337" s="911"/>
      <c r="AB337" s="911"/>
      <c r="AC337" s="911"/>
      <c r="AD337" s="911">
        <f t="shared" ref="AD337:AS337" si="2970">+AD338+AD339</f>
        <v>-1.2468412804480555E-2</v>
      </c>
      <c r="AE337" s="911">
        <f t="shared" si="2970"/>
        <v>-1.3513622726177543E-2</v>
      </c>
      <c r="AF337" s="911">
        <f t="shared" si="2970"/>
        <v>-3.838543360093153E-2</v>
      </c>
      <c r="AG337" s="911">
        <f t="shared" si="2970"/>
        <v>0.20572925610887224</v>
      </c>
      <c r="AH337" s="911">
        <f t="shared" si="2970"/>
        <v>-3.0586627600701966E-3</v>
      </c>
      <c r="AI337" s="911">
        <f t="shared" si="2970"/>
        <v>-1.7834290925648179E-2</v>
      </c>
      <c r="AJ337" s="911">
        <f t="shared" si="2970"/>
        <v>0.10354895757608937</v>
      </c>
      <c r="AK337" s="911">
        <f t="shared" si="2970"/>
        <v>1.2052986886633111E-2</v>
      </c>
      <c r="AL337" s="911">
        <f t="shared" si="2970"/>
        <v>1.602859682195009E-2</v>
      </c>
      <c r="AM337" s="911">
        <f t="shared" si="2970"/>
        <v>-1.0981241031390121E-2</v>
      </c>
      <c r="AN337" s="911">
        <f t="shared" si="2970"/>
        <v>0.10746572818667452</v>
      </c>
      <c r="AO337" s="911">
        <f t="shared" si="2970"/>
        <v>-2.9941568423174415E-3</v>
      </c>
      <c r="AP337" s="911">
        <f t="shared" si="2970"/>
        <v>6.9041554691023771E-2</v>
      </c>
      <c r="AQ337" s="911">
        <f t="shared" si="2970"/>
        <v>-3.4551274385081134E-2</v>
      </c>
      <c r="AR337" s="911">
        <f t="shared" si="2970"/>
        <v>-2.1715348591549145E-2</v>
      </c>
      <c r="AS337" s="911">
        <f t="shared" si="2970"/>
        <v>0.10817617741025062</v>
      </c>
      <c r="AT337" s="911"/>
      <c r="AU337" s="911"/>
      <c r="AV337" s="911"/>
      <c r="AW337" s="911"/>
      <c r="AX337" s="911"/>
      <c r="AY337" s="911"/>
      <c r="AZ337" s="926"/>
      <c r="BA337" s="911"/>
      <c r="BB337" s="911"/>
      <c r="BC337" s="911"/>
      <c r="BD337" s="911"/>
      <c r="BE337" s="911"/>
      <c r="BF337" s="911"/>
      <c r="BG337" s="911"/>
      <c r="BH337" s="911"/>
      <c r="BI337" s="911"/>
      <c r="BJ337" s="911"/>
      <c r="BK337" s="911"/>
      <c r="BL337" s="911"/>
      <c r="BM337" s="911"/>
      <c r="BN337" s="911"/>
      <c r="BO337" s="911"/>
      <c r="BP337" s="911"/>
      <c r="BQ337" s="911"/>
      <c r="BR337" s="911"/>
      <c r="BS337" s="911"/>
      <c r="BT337" s="911"/>
      <c r="BU337" s="911"/>
      <c r="BV337" s="911"/>
      <c r="BW337" s="911"/>
      <c r="BX337" s="911"/>
      <c r="BY337" s="911"/>
      <c r="BZ337" s="911"/>
      <c r="CA337" s="911"/>
      <c r="CB337" s="911"/>
      <c r="CC337" s="911"/>
      <c r="CD337" s="911"/>
      <c r="CE337" s="911"/>
      <c r="CF337" s="911"/>
      <c r="CG337" s="911"/>
      <c r="CH337" s="911"/>
      <c r="CI337" s="911"/>
      <c r="CJ337" s="911"/>
      <c r="CK337" s="911"/>
      <c r="CL337" s="911"/>
      <c r="CM337" s="911"/>
      <c r="CN337" s="911"/>
      <c r="CO337" s="911"/>
      <c r="CP337" s="911"/>
      <c r="CQ337" s="911"/>
      <c r="CR337" s="911"/>
      <c r="CT337" s="911"/>
      <c r="CU337" s="911"/>
      <c r="CV337" s="911"/>
      <c r="CW337" s="911"/>
      <c r="CX337" s="1009">
        <f t="shared" ref="CX337:DD337" si="2971">+CX339+CX338</f>
        <v>-0.17054553968625608</v>
      </c>
      <c r="CY337" s="1009">
        <f t="shared" si="2971"/>
        <v>0.30666741940947317</v>
      </c>
      <c r="CZ337" s="1009">
        <f t="shared" si="2971"/>
        <v>-0.24627349319507452</v>
      </c>
      <c r="DA337" s="1009">
        <f t="shared" si="2971"/>
        <v>-4.4730551805675013E-2</v>
      </c>
      <c r="DB337" s="1009">
        <f t="shared" si="2971"/>
        <v>0.15077153702169296</v>
      </c>
      <c r="DC337" s="1009">
        <f t="shared" si="2971"/>
        <v>0.11379625035902438</v>
      </c>
      <c r="DD337" s="1009">
        <f t="shared" si="2971"/>
        <v>0.16253188500399071</v>
      </c>
      <c r="DE337" s="1009"/>
      <c r="DF337" s="1009"/>
      <c r="DG337" s="1009"/>
      <c r="DH337" s="1009"/>
      <c r="DI337" s="1009"/>
      <c r="DJ337" s="1009"/>
      <c r="DK337" s="1009"/>
      <c r="DL337" s="1009"/>
      <c r="DM337" s="1009"/>
      <c r="DN337" s="1009"/>
      <c r="DO337" s="1009"/>
      <c r="DP337" s="1009"/>
      <c r="DQ337" s="1009"/>
      <c r="DR337" s="1009"/>
      <c r="DS337" s="1009"/>
      <c r="DT337" s="1009"/>
      <c r="DU337" s="1009"/>
      <c r="DX337" s="1009"/>
      <c r="DY337" s="1009"/>
    </row>
    <row r="338" spans="1:129" s="904" customFormat="1">
      <c r="A338" s="592"/>
      <c r="B338" s="949" t="s">
        <v>544</v>
      </c>
      <c r="C338" s="911"/>
      <c r="D338" s="911"/>
      <c r="E338" s="911"/>
      <c r="F338" s="911"/>
      <c r="G338" s="911"/>
      <c r="H338" s="911"/>
      <c r="I338" s="911"/>
      <c r="J338" s="911"/>
      <c r="K338" s="911"/>
      <c r="L338" s="911"/>
      <c r="M338" s="911"/>
      <c r="N338" s="911"/>
      <c r="O338" s="911"/>
      <c r="P338" s="911"/>
      <c r="Q338" s="911"/>
      <c r="R338" s="911"/>
      <c r="S338" s="911"/>
      <c r="T338" s="911"/>
      <c r="U338" s="911"/>
      <c r="V338" s="911"/>
      <c r="W338" s="911"/>
      <c r="X338" s="911"/>
      <c r="Y338" s="911"/>
      <c r="Z338" s="911"/>
      <c r="AA338" s="911"/>
      <c r="AB338" s="911"/>
      <c r="AC338" s="911"/>
      <c r="AD338" s="975">
        <f t="shared" ref="AD338:AS338" si="2972">1.4371%/4</f>
        <v>3.59275E-3</v>
      </c>
      <c r="AE338" s="975">
        <f t="shared" si="2972"/>
        <v>3.59275E-3</v>
      </c>
      <c r="AF338" s="975">
        <f t="shared" si="2972"/>
        <v>3.59275E-3</v>
      </c>
      <c r="AG338" s="975">
        <f t="shared" si="2972"/>
        <v>3.59275E-3</v>
      </c>
      <c r="AH338" s="975">
        <f t="shared" si="2972"/>
        <v>3.59275E-3</v>
      </c>
      <c r="AI338" s="975">
        <f t="shared" si="2972"/>
        <v>3.59275E-3</v>
      </c>
      <c r="AJ338" s="975">
        <f t="shared" si="2972"/>
        <v>3.59275E-3</v>
      </c>
      <c r="AK338" s="975">
        <f t="shared" si="2972"/>
        <v>3.59275E-3</v>
      </c>
      <c r="AL338" s="975">
        <f t="shared" si="2972"/>
        <v>3.59275E-3</v>
      </c>
      <c r="AM338" s="975">
        <f t="shared" si="2972"/>
        <v>3.59275E-3</v>
      </c>
      <c r="AN338" s="975">
        <f t="shared" si="2972"/>
        <v>3.59275E-3</v>
      </c>
      <c r="AO338" s="975">
        <f t="shared" si="2972"/>
        <v>3.59275E-3</v>
      </c>
      <c r="AP338" s="1015">
        <f t="shared" si="2972"/>
        <v>3.59275E-3</v>
      </c>
      <c r="AQ338" s="1015">
        <f t="shared" si="2972"/>
        <v>3.59275E-3</v>
      </c>
      <c r="AR338" s="1015">
        <f t="shared" si="2972"/>
        <v>3.59275E-3</v>
      </c>
      <c r="AS338" s="1015">
        <f t="shared" si="2972"/>
        <v>3.59275E-3</v>
      </c>
      <c r="AT338" s="1015"/>
      <c r="AU338" s="1015"/>
      <c r="AV338" s="1015"/>
      <c r="AW338" s="1015"/>
      <c r="AX338" s="1015"/>
      <c r="AY338" s="1015"/>
      <c r="AZ338" s="1029"/>
      <c r="BA338" s="975"/>
      <c r="BB338" s="975"/>
      <c r="BC338" s="975"/>
      <c r="BD338" s="975"/>
      <c r="BE338" s="975"/>
      <c r="BF338" s="975"/>
      <c r="BG338" s="975"/>
      <c r="BH338" s="975"/>
      <c r="BI338" s="975"/>
      <c r="BJ338" s="975"/>
      <c r="BK338" s="975"/>
      <c r="BL338" s="975"/>
      <c r="BM338" s="975"/>
      <c r="BN338" s="975"/>
      <c r="BO338" s="975"/>
      <c r="BP338" s="975"/>
      <c r="BQ338" s="975"/>
      <c r="BR338" s="975"/>
      <c r="BS338" s="975"/>
      <c r="BT338" s="975"/>
      <c r="BU338" s="975"/>
      <c r="BV338" s="975"/>
      <c r="BW338" s="975"/>
      <c r="BX338" s="975"/>
      <c r="BY338" s="975"/>
      <c r="BZ338" s="975"/>
      <c r="CA338" s="975"/>
      <c r="CB338" s="975"/>
      <c r="CC338" s="975"/>
      <c r="CD338" s="975"/>
      <c r="CE338" s="975"/>
      <c r="CF338" s="975"/>
      <c r="CG338" s="975"/>
      <c r="CH338" s="975"/>
      <c r="CI338" s="975"/>
      <c r="CJ338" s="975"/>
      <c r="CK338" s="975"/>
      <c r="CL338" s="975"/>
      <c r="CM338" s="975"/>
      <c r="CN338" s="975"/>
      <c r="CO338" s="975"/>
      <c r="CP338" s="975"/>
      <c r="CQ338" s="975"/>
      <c r="CR338" s="975"/>
      <c r="CT338" s="975"/>
      <c r="CU338" s="975"/>
      <c r="CV338" s="975"/>
      <c r="CW338" s="975"/>
      <c r="CX338" s="911">
        <f>+SUM(O338:R338)</f>
        <v>0</v>
      </c>
      <c r="CY338" s="911">
        <f>+SUM(S338:V338)</f>
        <v>0</v>
      </c>
      <c r="CZ338" s="911">
        <f>+SUM(W338:Z338)</f>
        <v>0</v>
      </c>
      <c r="DA338" s="911">
        <f>+SUM(AA338:AD338)</f>
        <v>3.59275E-3</v>
      </c>
      <c r="DB338" s="911">
        <f>+SUM(AE338:AH338)</f>
        <v>1.4371E-2</v>
      </c>
      <c r="DC338" s="594">
        <f>+SUM(AI338:AL338)</f>
        <v>1.4371E-2</v>
      </c>
      <c r="DD338" s="594">
        <f>+SUM(AM338:AP338)</f>
        <v>1.4371E-2</v>
      </c>
      <c r="DE338" s="594"/>
      <c r="DF338" s="911"/>
      <c r="DG338" s="911"/>
      <c r="DH338" s="911"/>
      <c r="DI338" s="957"/>
      <c r="DJ338" s="957"/>
      <c r="DK338" s="957"/>
      <c r="DL338" s="957"/>
      <c r="DM338" s="957"/>
      <c r="DN338" s="957"/>
      <c r="DO338" s="957"/>
      <c r="DP338" s="957"/>
      <c r="DQ338" s="957"/>
      <c r="DR338" s="957"/>
      <c r="DS338" s="957"/>
      <c r="DT338" s="957"/>
      <c r="DU338" s="957"/>
      <c r="DX338" s="957"/>
      <c r="DY338" s="957"/>
    </row>
    <row r="339" spans="1:129" s="904" customFormat="1">
      <c r="A339" s="592"/>
      <c r="B339" s="949" t="s">
        <v>545</v>
      </c>
      <c r="C339" s="592"/>
      <c r="D339" s="592"/>
      <c r="E339" s="592"/>
      <c r="F339" s="592"/>
      <c r="G339" s="592"/>
      <c r="H339" s="592"/>
      <c r="I339" s="592"/>
      <c r="J339" s="592"/>
      <c r="K339" s="592"/>
      <c r="L339" s="592"/>
      <c r="M339" s="592"/>
      <c r="N339" s="592"/>
      <c r="O339" s="592"/>
      <c r="P339" s="592"/>
      <c r="Q339" s="592"/>
      <c r="R339" s="592"/>
      <c r="S339" s="592"/>
      <c r="T339" s="592"/>
      <c r="U339" s="592"/>
      <c r="V339" s="592"/>
      <c r="W339" s="592"/>
      <c r="X339" s="592"/>
      <c r="Y339" s="592"/>
      <c r="Z339" s="592"/>
      <c r="AA339" s="592"/>
      <c r="AB339" s="592"/>
      <c r="AC339" s="911"/>
      <c r="AD339" s="911">
        <f>+MACRO!AQ4/MACRO!AP4-1</f>
        <v>-1.6061162804480555E-2</v>
      </c>
      <c r="AE339" s="911">
        <f>+MACRO!AR4/MACRO!AQ4-1</f>
        <v>-1.7106372726177543E-2</v>
      </c>
      <c r="AF339" s="911">
        <f>+MACRO!AS4/MACRO!AR4-1</f>
        <v>-4.1978183600931529E-2</v>
      </c>
      <c r="AG339" s="911">
        <f>+MACRO!AT4/MACRO!AS4-1</f>
        <v>0.20213650610887224</v>
      </c>
      <c r="AH339" s="911">
        <f>+MACRO!AU4/MACRO!AT4-1</f>
        <v>-6.6514127600701967E-3</v>
      </c>
      <c r="AI339" s="911">
        <f>+MACRO!AV4/MACRO!AU4-1</f>
        <v>-2.1427040925648178E-2</v>
      </c>
      <c r="AJ339" s="911">
        <f>+MACRO!AW4/MACRO!AV4-1</f>
        <v>9.9956207576089362E-2</v>
      </c>
      <c r="AK339" s="911">
        <f>+MACRO!AX4/MACRO!AW4-1</f>
        <v>8.4602368866331101E-3</v>
      </c>
      <c r="AL339" s="911">
        <f>+MACRO!AY4/MACRO!AX4-1</f>
        <v>1.2435846821950092E-2</v>
      </c>
      <c r="AM339" s="911">
        <f>+MACRO!AZ4/MACRO!AY4-1</f>
        <v>-1.4573991031390121E-2</v>
      </c>
      <c r="AN339" s="911">
        <f>+MACRO!BA4/MACRO!AZ4-1</f>
        <v>0.10387297818667451</v>
      </c>
      <c r="AO339" s="911">
        <f>+MACRO!BB4/MACRO!BA4-1</f>
        <v>-6.5869068423174415E-3</v>
      </c>
      <c r="AP339" s="911">
        <f>+MACRO!BC4/MACRO!BB4-1</f>
        <v>6.5448804691023765E-2</v>
      </c>
      <c r="AQ339" s="911">
        <f>+MACRO!BD4/MACRO!BC4-1</f>
        <v>-3.8144024385081132E-2</v>
      </c>
      <c r="AR339" s="911">
        <f>+MACRO!BE4/MACRO!BD4-1</f>
        <v>-2.5308098591549144E-2</v>
      </c>
      <c r="AS339" s="911">
        <f>+MACRO!BF4/MACRO!BE4-1</f>
        <v>0.10458342741025062</v>
      </c>
      <c r="AT339" s="911"/>
      <c r="AU339" s="911"/>
      <c r="AV339" s="911"/>
      <c r="AW339" s="911"/>
      <c r="AX339" s="911"/>
      <c r="AY339" s="911"/>
      <c r="AZ339" s="1029"/>
      <c r="BA339" s="975"/>
      <c r="BB339" s="975"/>
      <c r="BC339" s="975"/>
      <c r="BD339" s="975"/>
      <c r="BE339" s="975"/>
      <c r="BF339" s="975"/>
      <c r="BG339" s="975"/>
      <c r="BH339" s="975"/>
      <c r="BI339" s="975"/>
      <c r="BJ339" s="975"/>
      <c r="BK339" s="975"/>
      <c r="BL339" s="975"/>
      <c r="BM339" s="975"/>
      <c r="BN339" s="975"/>
      <c r="BO339" s="975"/>
      <c r="BP339" s="975"/>
      <c r="BQ339" s="975"/>
      <c r="BR339" s="975"/>
      <c r="BS339" s="975"/>
      <c r="BT339" s="975"/>
      <c r="BU339" s="975"/>
      <c r="BV339" s="975"/>
      <c r="BW339" s="975"/>
      <c r="BX339" s="975"/>
      <c r="BY339" s="975"/>
      <c r="BZ339" s="975"/>
      <c r="CA339" s="975"/>
      <c r="CB339" s="975"/>
      <c r="CC339" s="975"/>
      <c r="CD339" s="975"/>
      <c r="CE339" s="975"/>
      <c r="CF339" s="975"/>
      <c r="CG339" s="975"/>
      <c r="CH339" s="975"/>
      <c r="CI339" s="975"/>
      <c r="CJ339" s="975"/>
      <c r="CK339" s="975"/>
      <c r="CL339" s="975"/>
      <c r="CM339" s="975"/>
      <c r="CN339" s="975"/>
      <c r="CO339" s="975"/>
      <c r="CP339" s="975"/>
      <c r="CQ339" s="975"/>
      <c r="CR339" s="975"/>
      <c r="CT339" s="975"/>
      <c r="CU339" s="975"/>
      <c r="CV339" s="975"/>
      <c r="CW339" s="975"/>
      <c r="CX339" s="911">
        <f>+MACRO!DP4/MACRO!DO4-1</f>
        <v>-0.17054553968625608</v>
      </c>
      <c r="CY339" s="911">
        <f>+MACRO!DQ4/MACRO!DP4-1</f>
        <v>0.30666741940947317</v>
      </c>
      <c r="CZ339" s="911">
        <f>+MACRO!DR4/MACRO!DQ4-1</f>
        <v>-0.24627349319507452</v>
      </c>
      <c r="DA339" s="911">
        <f>+MACRO!DS4/MACRO!DR4-1</f>
        <v>-4.8323301805675012E-2</v>
      </c>
      <c r="DB339" s="911">
        <f>SUM(AE339:AH339)</f>
        <v>0.13640053702169297</v>
      </c>
      <c r="DC339" s="911">
        <f>SUM(AI339:AL339)</f>
        <v>9.9425250359024386E-2</v>
      </c>
      <c r="DD339" s="911">
        <f>SUM(AM339:AP339)</f>
        <v>0.14816088500399072</v>
      </c>
      <c r="DE339" s="594"/>
      <c r="DF339" s="911"/>
      <c r="DG339" s="911"/>
      <c r="DH339" s="911"/>
      <c r="DI339" s="975"/>
      <c r="DJ339" s="975"/>
      <c r="DK339" s="975"/>
      <c r="DL339" s="975"/>
      <c r="DM339" s="975"/>
      <c r="DN339" s="975"/>
      <c r="DO339" s="975"/>
      <c r="DP339" s="975"/>
      <c r="DQ339" s="975"/>
    </row>
    <row r="340" spans="1:129" s="904" customFormat="1">
      <c r="A340" s="592"/>
      <c r="B340" s="949" t="s">
        <v>571</v>
      </c>
      <c r="C340" s="592"/>
      <c r="D340" s="592"/>
      <c r="E340" s="592"/>
      <c r="F340" s="592"/>
      <c r="G340" s="592"/>
      <c r="H340" s="592"/>
      <c r="I340" s="592"/>
      <c r="J340" s="592"/>
      <c r="K340" s="592"/>
      <c r="L340" s="592"/>
      <c r="M340" s="592"/>
      <c r="N340" s="592"/>
      <c r="O340" s="592"/>
      <c r="P340" s="592"/>
      <c r="Q340" s="592"/>
      <c r="R340" s="592"/>
      <c r="S340" s="592"/>
      <c r="T340" s="592"/>
      <c r="U340" s="592"/>
      <c r="V340" s="592"/>
      <c r="W340" s="592"/>
      <c r="X340" s="592"/>
      <c r="Y340" s="592"/>
      <c r="Z340" s="592"/>
      <c r="AA340" s="592"/>
      <c r="AB340" s="592"/>
      <c r="AC340" s="939"/>
      <c r="AD340" s="939">
        <f t="shared" ref="AD340:AS340" si="2973">+(AC335+AD335)/2*AD337</f>
        <v>0</v>
      </c>
      <c r="AE340" s="939">
        <f t="shared" si="2973"/>
        <v>0</v>
      </c>
      <c r="AF340" s="939">
        <f t="shared" si="2973"/>
        <v>0</v>
      </c>
      <c r="AG340" s="939">
        <f t="shared" si="2973"/>
        <v>0</v>
      </c>
      <c r="AH340" s="939">
        <f t="shared" si="2973"/>
        <v>-17.165215409513944</v>
      </c>
      <c r="AI340" s="939">
        <f t="shared" si="2973"/>
        <v>-814.55448659259207</v>
      </c>
      <c r="AJ340" s="939">
        <f t="shared" si="2973"/>
        <v>9549.4919655821141</v>
      </c>
      <c r="AK340" s="939">
        <f t="shared" si="2973"/>
        <v>1303.036359327019</v>
      </c>
      <c r="AL340" s="939">
        <f t="shared" si="2973"/>
        <v>1535.6277328253393</v>
      </c>
      <c r="AM340" s="939">
        <f t="shared" si="2973"/>
        <v>-952.19988169338444</v>
      </c>
      <c r="AN340" s="939">
        <f t="shared" si="2973"/>
        <v>12939.357269452452</v>
      </c>
      <c r="AO340" s="939">
        <f t="shared" si="2973"/>
        <v>-336.47136931226481</v>
      </c>
      <c r="AP340" s="939">
        <f t="shared" si="2973"/>
        <v>5208.2877612267603</v>
      </c>
      <c r="AQ340" s="939">
        <f t="shared" si="2973"/>
        <v>-3256.4230595195118</v>
      </c>
      <c r="AR340" s="939">
        <f t="shared" si="2973"/>
        <v>-1483.7880539119615</v>
      </c>
      <c r="AS340" s="939">
        <f t="shared" si="2973"/>
        <v>1235.6423864685878</v>
      </c>
      <c r="AT340" s="939"/>
      <c r="AU340" s="939"/>
      <c r="AV340" s="939"/>
      <c r="AW340" s="939"/>
      <c r="AX340" s="939"/>
      <c r="AY340" s="939"/>
      <c r="AZ340" s="940"/>
      <c r="BA340" s="939"/>
      <c r="BB340" s="939"/>
      <c r="BC340" s="939"/>
      <c r="BD340" s="939"/>
      <c r="BE340" s="939"/>
      <c r="BF340" s="939"/>
      <c r="BG340" s="939"/>
      <c r="BH340" s="939"/>
      <c r="BI340" s="939"/>
      <c r="BJ340" s="939"/>
      <c r="BK340" s="939"/>
      <c r="BL340" s="939"/>
      <c r="BM340" s="939"/>
      <c r="BN340" s="939"/>
      <c r="BO340" s="939"/>
      <c r="BP340" s="939"/>
      <c r="BQ340" s="939"/>
      <c r="BR340" s="939"/>
      <c r="BS340" s="939"/>
      <c r="BT340" s="939"/>
      <c r="BU340" s="939"/>
      <c r="BV340" s="939"/>
      <c r="BW340" s="939"/>
      <c r="BX340" s="939"/>
      <c r="BY340" s="939"/>
      <c r="BZ340" s="939"/>
      <c r="CA340" s="939"/>
      <c r="CB340" s="939"/>
      <c r="CC340" s="939"/>
      <c r="CD340" s="939"/>
      <c r="CE340" s="939"/>
      <c r="CF340" s="939"/>
      <c r="CG340" s="939"/>
      <c r="CH340" s="939"/>
      <c r="CI340" s="939"/>
      <c r="CJ340" s="939"/>
      <c r="CK340" s="939"/>
      <c r="CL340" s="939"/>
      <c r="CM340" s="939"/>
      <c r="CN340" s="939"/>
      <c r="CO340" s="939"/>
      <c r="CP340" s="939"/>
      <c r="CQ340" s="939"/>
      <c r="CR340" s="939"/>
      <c r="CT340" s="939"/>
      <c r="CU340" s="939"/>
      <c r="CV340" s="939"/>
      <c r="CW340" s="939"/>
      <c r="CX340" s="592"/>
      <c r="CY340" s="592"/>
      <c r="CZ340" s="592"/>
      <c r="DA340" s="592"/>
      <c r="DB340" s="939"/>
      <c r="DC340" s="939">
        <f>+(DB335+DC335)/2*DC337</f>
        <v>5174.2017075744798</v>
      </c>
      <c r="DD340" s="939">
        <f>+(DC335+DD335)/2*DD337</f>
        <v>12428.488182485162</v>
      </c>
      <c r="DE340" s="939"/>
      <c r="DF340" s="903"/>
      <c r="DG340" s="939"/>
      <c r="DH340" s="939"/>
      <c r="DI340" s="939"/>
      <c r="DJ340" s="939"/>
      <c r="DK340" s="939"/>
      <c r="DL340" s="939"/>
      <c r="DM340" s="939"/>
      <c r="DN340" s="939"/>
      <c r="DO340" s="939"/>
      <c r="DP340" s="939"/>
      <c r="DQ340" s="939"/>
    </row>
    <row r="341" spans="1:129" s="904" customFormat="1">
      <c r="A341" s="592"/>
      <c r="B341" s="592"/>
      <c r="C341" s="592"/>
      <c r="D341" s="592"/>
      <c r="E341" s="592"/>
      <c r="F341" s="592"/>
      <c r="G341" s="592"/>
      <c r="H341" s="592"/>
      <c r="I341" s="592"/>
      <c r="J341" s="592"/>
      <c r="K341" s="592"/>
      <c r="L341" s="592"/>
      <c r="M341" s="592"/>
      <c r="N341" s="592"/>
      <c r="O341" s="592"/>
      <c r="P341" s="592"/>
      <c r="Q341" s="592"/>
      <c r="R341" s="592"/>
      <c r="S341" s="592"/>
      <c r="T341" s="592"/>
      <c r="U341" s="592"/>
      <c r="V341" s="592"/>
      <c r="W341" s="592"/>
      <c r="X341" s="592"/>
      <c r="Y341" s="592"/>
      <c r="Z341" s="592"/>
      <c r="AA341" s="592"/>
      <c r="AB341" s="592"/>
      <c r="AC341" s="592"/>
      <c r="AD341" s="592"/>
      <c r="AE341" s="592"/>
      <c r="AF341" s="592"/>
      <c r="AG341" s="592"/>
      <c r="AH341" s="919"/>
      <c r="AI341" s="919"/>
      <c r="AJ341" s="919"/>
      <c r="AK341" s="919"/>
      <c r="AL341" s="919"/>
      <c r="AM341" s="919"/>
      <c r="AN341" s="919"/>
      <c r="AO341" s="919"/>
      <c r="AP341" s="903"/>
      <c r="AQ341" s="592"/>
      <c r="AR341" s="592"/>
      <c r="AS341" s="592"/>
      <c r="AT341" s="592"/>
      <c r="AU341" s="592"/>
      <c r="AV341" s="592"/>
      <c r="AW341" s="592"/>
      <c r="AX341" s="592"/>
      <c r="AY341" s="592"/>
      <c r="AZ341" s="910"/>
      <c r="BA341" s="592"/>
      <c r="BB341" s="592"/>
      <c r="BC341" s="592"/>
      <c r="BD341" s="592"/>
      <c r="BE341" s="592"/>
      <c r="BF341" s="592"/>
      <c r="BG341" s="592"/>
      <c r="BH341" s="592"/>
      <c r="BI341" s="592"/>
      <c r="BJ341" s="592"/>
      <c r="BK341" s="592"/>
      <c r="BL341" s="592"/>
      <c r="BM341" s="592"/>
      <c r="BN341" s="592"/>
      <c r="BO341" s="592"/>
      <c r="BP341" s="592"/>
      <c r="BQ341" s="592"/>
      <c r="BR341" s="592"/>
      <c r="BS341" s="592"/>
      <c r="BT341" s="592"/>
      <c r="BU341" s="592"/>
      <c r="BV341" s="592"/>
      <c r="BW341" s="592"/>
      <c r="BX341" s="592"/>
      <c r="BY341" s="592"/>
      <c r="BZ341" s="592"/>
      <c r="CA341" s="592"/>
      <c r="CB341" s="592"/>
      <c r="CC341" s="592"/>
      <c r="CD341" s="592"/>
      <c r="CE341" s="592"/>
      <c r="CF341" s="592"/>
      <c r="CG341" s="592"/>
      <c r="CH341" s="592"/>
      <c r="CI341" s="592"/>
      <c r="CJ341" s="592"/>
      <c r="CK341" s="592"/>
      <c r="CL341" s="592"/>
      <c r="CM341" s="592"/>
      <c r="CN341" s="592"/>
      <c r="CO341" s="592"/>
      <c r="CP341" s="592"/>
      <c r="CQ341" s="592"/>
      <c r="CR341" s="592"/>
      <c r="CT341" s="592"/>
      <c r="CU341" s="592"/>
      <c r="CV341" s="592"/>
      <c r="CW341" s="592"/>
      <c r="CX341" s="592"/>
      <c r="CY341" s="592"/>
      <c r="CZ341" s="592"/>
      <c r="DA341" s="592"/>
      <c r="DB341" s="592"/>
      <c r="DC341" s="911"/>
      <c r="DD341" s="592"/>
      <c r="DE341" s="592"/>
      <c r="DF341" s="982"/>
      <c r="DG341" s="592"/>
      <c r="DH341" s="592"/>
      <c r="DI341" s="592"/>
      <c r="DJ341" s="592"/>
      <c r="DK341" s="592"/>
      <c r="DL341" s="592"/>
      <c r="DM341" s="592"/>
      <c r="DN341" s="592"/>
      <c r="DO341" s="592"/>
      <c r="DP341" s="592"/>
      <c r="DQ341" s="592"/>
    </row>
    <row r="342" spans="1:129" s="904" customFormat="1">
      <c r="A342" s="592"/>
      <c r="B342" s="592"/>
      <c r="C342" s="592"/>
      <c r="D342" s="592"/>
      <c r="E342" s="592"/>
      <c r="F342" s="592"/>
      <c r="G342" s="592"/>
      <c r="H342" s="592"/>
      <c r="I342" s="592"/>
      <c r="J342" s="592"/>
      <c r="K342" s="592"/>
      <c r="L342" s="592"/>
      <c r="M342" s="592"/>
      <c r="N342" s="592"/>
      <c r="O342" s="592"/>
      <c r="P342" s="592"/>
      <c r="Q342" s="592"/>
      <c r="R342" s="592"/>
      <c r="S342" s="592"/>
      <c r="T342" s="592"/>
      <c r="U342" s="592"/>
      <c r="V342" s="592"/>
      <c r="W342" s="592"/>
      <c r="X342" s="592"/>
      <c r="Y342" s="592"/>
      <c r="Z342" s="592"/>
      <c r="AA342" s="592"/>
      <c r="AB342" s="592"/>
      <c r="AC342" s="592"/>
      <c r="AD342" s="592"/>
      <c r="AE342" s="592"/>
      <c r="AF342" s="592"/>
      <c r="AG342" s="592"/>
      <c r="AH342" s="592"/>
      <c r="AI342" s="592"/>
      <c r="AJ342" s="592"/>
      <c r="AK342" s="592"/>
      <c r="AL342" s="592"/>
      <c r="AM342" s="592"/>
      <c r="AN342" s="592"/>
      <c r="AO342" s="592"/>
      <c r="AP342" s="592"/>
      <c r="AQ342" s="592"/>
      <c r="AR342" s="592"/>
      <c r="AS342" s="592"/>
      <c r="AT342" s="592"/>
      <c r="AU342" s="592"/>
      <c r="AV342" s="592"/>
      <c r="AW342" s="592"/>
      <c r="AX342" s="592"/>
      <c r="AY342" s="592"/>
      <c r="AZ342" s="910"/>
      <c r="BA342" s="592"/>
      <c r="BB342" s="592"/>
      <c r="BC342" s="592"/>
      <c r="BD342" s="592"/>
      <c r="BE342" s="592"/>
      <c r="BF342" s="592"/>
      <c r="BG342" s="592"/>
      <c r="BH342" s="592"/>
      <c r="BI342" s="592"/>
      <c r="BJ342" s="592"/>
      <c r="BK342" s="592"/>
      <c r="BL342" s="592"/>
      <c r="BM342" s="592"/>
      <c r="BN342" s="592"/>
      <c r="BO342" s="592"/>
      <c r="BP342" s="592"/>
      <c r="BQ342" s="592"/>
      <c r="BR342" s="592"/>
      <c r="BS342" s="592"/>
      <c r="BT342" s="592"/>
      <c r="BU342" s="592"/>
      <c r="BV342" s="592"/>
      <c r="BW342" s="592"/>
      <c r="BX342" s="592"/>
      <c r="BY342" s="592"/>
      <c r="BZ342" s="592"/>
      <c r="CA342" s="592"/>
      <c r="CB342" s="592"/>
      <c r="CC342" s="592"/>
      <c r="CD342" s="592"/>
      <c r="CE342" s="592"/>
      <c r="CF342" s="592"/>
      <c r="CG342" s="592"/>
      <c r="CH342" s="592"/>
      <c r="CI342" s="592"/>
      <c r="CJ342" s="592"/>
      <c r="CK342" s="592"/>
      <c r="CL342" s="592"/>
      <c r="CM342" s="592"/>
      <c r="CN342" s="592"/>
      <c r="CO342" s="592"/>
      <c r="CP342" s="592"/>
      <c r="CQ342" s="592"/>
      <c r="CR342" s="592"/>
      <c r="CT342" s="592"/>
      <c r="CU342" s="592"/>
      <c r="CV342" s="592"/>
      <c r="CW342" s="592"/>
      <c r="CX342" s="592"/>
      <c r="CY342" s="592"/>
      <c r="CZ342" s="592"/>
      <c r="DA342" s="592"/>
      <c r="DB342" s="592"/>
      <c r="DC342" s="592"/>
      <c r="DD342" s="592"/>
      <c r="DE342" s="592"/>
      <c r="DF342" s="592"/>
      <c r="DG342" s="592"/>
      <c r="DH342" s="592"/>
      <c r="DI342" s="592"/>
      <c r="DJ342" s="592"/>
      <c r="DK342" s="592"/>
      <c r="DL342" s="592"/>
      <c r="DM342" s="592"/>
      <c r="DN342" s="592"/>
      <c r="DO342" s="592"/>
      <c r="DP342" s="592"/>
      <c r="DQ342" s="592"/>
    </row>
    <row r="343" spans="1:129">
      <c r="A343" s="592"/>
      <c r="B343" s="899"/>
      <c r="C343" s="899"/>
      <c r="D343" s="899"/>
      <c r="E343" s="899"/>
      <c r="F343" s="899"/>
      <c r="G343" s="899"/>
      <c r="H343" s="899"/>
      <c r="I343" s="899"/>
      <c r="J343" s="899"/>
      <c r="K343" s="899"/>
      <c r="L343" s="899"/>
      <c r="M343" s="899"/>
      <c r="N343" s="899"/>
      <c r="O343" s="899"/>
      <c r="P343" s="899"/>
      <c r="Q343" s="899"/>
      <c r="R343" s="899"/>
      <c r="S343" s="899"/>
      <c r="T343" s="899"/>
      <c r="U343" s="899"/>
      <c r="V343" s="899"/>
      <c r="W343" s="899"/>
      <c r="X343" s="899"/>
      <c r="Y343" s="899"/>
      <c r="Z343" s="899"/>
      <c r="AA343" s="899"/>
      <c r="AB343" s="899"/>
      <c r="AC343" s="899"/>
      <c r="AD343" s="899"/>
      <c r="AE343" s="899"/>
      <c r="AF343" s="899"/>
      <c r="AG343" s="899"/>
      <c r="AH343" s="899"/>
      <c r="AI343" s="899"/>
      <c r="AJ343" s="899"/>
      <c r="AK343" s="899"/>
      <c r="AL343" s="899"/>
      <c r="AM343" s="899"/>
      <c r="AN343" s="899"/>
      <c r="AO343" s="899"/>
      <c r="AP343" s="899"/>
      <c r="AQ343" s="899"/>
      <c r="AR343" s="899"/>
      <c r="AS343" s="899"/>
      <c r="AT343" s="899"/>
      <c r="AU343" s="899"/>
      <c r="AV343" s="899"/>
      <c r="AW343" s="899"/>
      <c r="AX343" s="899"/>
      <c r="AY343" s="899"/>
      <c r="AZ343" s="934"/>
      <c r="BA343" s="899"/>
      <c r="BB343" s="899"/>
      <c r="BC343" s="899"/>
      <c r="BD343" s="899"/>
      <c r="BE343" s="899"/>
      <c r="BF343" s="899"/>
      <c r="BG343" s="899"/>
      <c r="BH343" s="899"/>
      <c r="BI343" s="899"/>
      <c r="BJ343" s="899"/>
      <c r="BK343" s="899"/>
      <c r="BL343" s="899"/>
      <c r="BM343" s="899"/>
      <c r="BN343" s="899"/>
      <c r="BO343" s="899"/>
      <c r="BP343" s="899"/>
      <c r="BQ343" s="899"/>
      <c r="BR343" s="899"/>
      <c r="BS343" s="899"/>
      <c r="BT343" s="899"/>
      <c r="BU343" s="899"/>
      <c r="BV343" s="899"/>
      <c r="BW343" s="899"/>
      <c r="BX343" s="899"/>
      <c r="BY343" s="899"/>
      <c r="BZ343" s="899"/>
      <c r="CA343" s="899"/>
      <c r="CB343" s="899"/>
      <c r="CC343" s="899"/>
      <c r="CD343" s="899"/>
      <c r="CE343" s="899"/>
      <c r="CF343" s="899"/>
      <c r="CG343" s="899"/>
      <c r="CH343" s="899"/>
      <c r="CI343" s="899"/>
      <c r="CJ343" s="899"/>
      <c r="CK343" s="899"/>
      <c r="CL343" s="899"/>
      <c r="CM343" s="899"/>
      <c r="CN343" s="899"/>
      <c r="CO343" s="899"/>
      <c r="CP343" s="899"/>
      <c r="CQ343" s="899"/>
      <c r="CR343" s="899"/>
      <c r="CT343" s="899"/>
      <c r="CU343" s="899"/>
      <c r="CV343" s="899"/>
      <c r="CW343" s="899"/>
      <c r="CX343" s="899"/>
      <c r="CY343" s="899"/>
      <c r="CZ343" s="899"/>
      <c r="DA343" s="899"/>
      <c r="DB343" s="899"/>
      <c r="DC343" s="899"/>
      <c r="DD343" s="899"/>
      <c r="DE343" s="899"/>
      <c r="DF343" s="899"/>
      <c r="DG343" s="899"/>
      <c r="DH343" s="899"/>
      <c r="DI343" s="899"/>
      <c r="DJ343" s="899"/>
      <c r="DK343" s="899"/>
      <c r="DL343" s="899"/>
      <c r="DM343" s="899"/>
      <c r="DN343" s="899"/>
      <c r="DO343" s="899"/>
      <c r="DP343" s="899"/>
      <c r="DQ343" s="899"/>
    </row>
    <row r="344" spans="1:129">
      <c r="A344" s="592"/>
      <c r="B344" s="899"/>
      <c r="C344" s="899"/>
      <c r="D344" s="899"/>
      <c r="E344" s="899"/>
      <c r="F344" s="899"/>
      <c r="G344" s="899"/>
      <c r="H344" s="899"/>
      <c r="I344" s="899"/>
      <c r="J344" s="899"/>
      <c r="K344" s="899"/>
      <c r="L344" s="899"/>
      <c r="M344" s="899"/>
      <c r="N344" s="899"/>
      <c r="O344" s="899"/>
      <c r="P344" s="899"/>
      <c r="Q344" s="899"/>
      <c r="R344" s="899"/>
      <c r="S344" s="899"/>
      <c r="T344" s="899"/>
      <c r="U344" s="899"/>
      <c r="V344" s="899"/>
      <c r="W344" s="899"/>
      <c r="X344" s="899"/>
      <c r="Y344" s="899"/>
      <c r="Z344" s="899"/>
      <c r="AA344" s="899"/>
      <c r="AB344" s="899"/>
      <c r="AC344" s="899"/>
      <c r="AD344" s="899"/>
      <c r="AE344" s="899"/>
      <c r="AF344" s="899"/>
      <c r="AG344" s="899"/>
      <c r="AH344" s="899"/>
      <c r="AI344" s="899"/>
      <c r="AJ344" s="899"/>
      <c r="AK344" s="899"/>
      <c r="AL344" s="899"/>
      <c r="AM344" s="899"/>
      <c r="AN344" s="899"/>
      <c r="AO344" s="899"/>
      <c r="AP344" s="899"/>
      <c r="AQ344" s="899"/>
      <c r="AR344" s="899"/>
      <c r="AS344" s="899"/>
      <c r="AT344" s="899"/>
      <c r="AU344" s="899"/>
      <c r="AV344" s="899"/>
      <c r="AW344" s="899"/>
      <c r="AX344" s="899"/>
      <c r="AY344" s="899"/>
      <c r="AZ344" s="934"/>
      <c r="BA344" s="899"/>
      <c r="BB344" s="899"/>
      <c r="BC344" s="899"/>
      <c r="BD344" s="899"/>
      <c r="BE344" s="899"/>
      <c r="BF344" s="899"/>
      <c r="BG344" s="899"/>
      <c r="BH344" s="899"/>
      <c r="BI344" s="899"/>
      <c r="BJ344" s="899"/>
      <c r="BK344" s="899"/>
      <c r="BL344" s="899"/>
      <c r="BM344" s="899"/>
      <c r="BN344" s="899"/>
      <c r="BO344" s="899"/>
      <c r="BP344" s="899"/>
      <c r="BQ344" s="899"/>
      <c r="BR344" s="899"/>
      <c r="BS344" s="899"/>
      <c r="BT344" s="899"/>
      <c r="BU344" s="899"/>
      <c r="BV344" s="899"/>
      <c r="BW344" s="899"/>
      <c r="BX344" s="899"/>
      <c r="BY344" s="899"/>
      <c r="BZ344" s="899"/>
      <c r="CA344" s="899"/>
      <c r="CB344" s="899"/>
      <c r="CC344" s="899"/>
      <c r="CD344" s="899"/>
      <c r="CE344" s="899"/>
      <c r="CF344" s="899"/>
      <c r="CG344" s="899"/>
      <c r="CH344" s="899"/>
      <c r="CI344" s="899"/>
      <c r="CJ344" s="899"/>
      <c r="CK344" s="899"/>
      <c r="CL344" s="899"/>
      <c r="CM344" s="899"/>
      <c r="CN344" s="899"/>
      <c r="CO344" s="899"/>
      <c r="CP344" s="899"/>
      <c r="CQ344" s="899"/>
      <c r="CR344" s="899"/>
      <c r="CT344" s="899"/>
      <c r="CU344" s="899"/>
      <c r="CV344" s="899"/>
      <c r="CW344" s="899"/>
      <c r="CX344" s="899"/>
      <c r="CY344" s="899"/>
      <c r="CZ344" s="899"/>
      <c r="DA344" s="899"/>
      <c r="DB344" s="899"/>
      <c r="DC344" s="899"/>
      <c r="DD344" s="899"/>
      <c r="DE344" s="899"/>
      <c r="DF344" s="899"/>
      <c r="DG344" s="899"/>
      <c r="DH344" s="899"/>
      <c r="DI344" s="899"/>
      <c r="DJ344" s="899"/>
      <c r="DK344" s="899"/>
      <c r="DL344" s="899"/>
      <c r="DM344" s="899"/>
      <c r="DN344" s="899"/>
      <c r="DO344" s="899"/>
      <c r="DP344" s="899"/>
      <c r="DQ344" s="899"/>
    </row>
    <row r="345" spans="1:129">
      <c r="A345" s="592"/>
      <c r="B345" s="899"/>
      <c r="C345" s="899"/>
      <c r="D345" s="899"/>
      <c r="E345" s="899"/>
      <c r="F345" s="899"/>
      <c r="G345" s="899"/>
      <c r="H345" s="899"/>
      <c r="I345" s="899"/>
      <c r="J345" s="899"/>
      <c r="K345" s="899"/>
      <c r="L345" s="899"/>
      <c r="M345" s="899"/>
      <c r="N345" s="899"/>
      <c r="O345" s="899"/>
      <c r="P345" s="899"/>
      <c r="Q345" s="899"/>
      <c r="R345" s="899"/>
      <c r="S345" s="899"/>
      <c r="T345" s="899"/>
      <c r="U345" s="899"/>
      <c r="V345" s="899"/>
      <c r="W345" s="899"/>
      <c r="X345" s="899"/>
      <c r="Y345" s="899"/>
      <c r="Z345" s="899"/>
      <c r="AA345" s="899"/>
      <c r="AB345" s="899"/>
      <c r="AC345" s="899"/>
      <c r="AD345" s="899"/>
      <c r="AE345" s="899"/>
      <c r="AF345" s="899"/>
      <c r="AG345" s="899"/>
      <c r="AH345" s="899"/>
      <c r="AI345" s="899"/>
      <c r="AJ345" s="899"/>
      <c r="AK345" s="899"/>
      <c r="AL345" s="899"/>
      <c r="AM345" s="899"/>
      <c r="AN345" s="899"/>
      <c r="AO345" s="899"/>
      <c r="AP345" s="899"/>
      <c r="AQ345" s="899"/>
      <c r="AR345" s="899"/>
      <c r="AS345" s="899"/>
      <c r="AT345" s="899"/>
      <c r="AU345" s="899"/>
      <c r="AV345" s="899"/>
      <c r="AW345" s="899"/>
      <c r="AX345" s="899"/>
      <c r="AY345" s="899"/>
      <c r="AZ345" s="934"/>
      <c r="BA345" s="899"/>
      <c r="BB345" s="899"/>
      <c r="BC345" s="899"/>
      <c r="BD345" s="899"/>
      <c r="BE345" s="899"/>
      <c r="BF345" s="899"/>
      <c r="BG345" s="899"/>
      <c r="BH345" s="899"/>
      <c r="BI345" s="899"/>
      <c r="BJ345" s="899"/>
      <c r="BK345" s="899"/>
      <c r="BL345" s="899"/>
      <c r="BM345" s="899"/>
      <c r="BN345" s="899"/>
      <c r="BO345" s="899"/>
      <c r="BP345" s="899"/>
      <c r="BQ345" s="899"/>
      <c r="BR345" s="899"/>
      <c r="BS345" s="899"/>
      <c r="BT345" s="899"/>
      <c r="BU345" s="899"/>
      <c r="BV345" s="899"/>
      <c r="BW345" s="899"/>
      <c r="BX345" s="899"/>
      <c r="BY345" s="899"/>
      <c r="BZ345" s="899"/>
      <c r="CA345" s="899"/>
      <c r="CB345" s="899"/>
      <c r="CC345" s="899"/>
      <c r="CD345" s="899"/>
      <c r="CE345" s="899"/>
      <c r="CF345" s="899"/>
      <c r="CG345" s="899"/>
      <c r="CH345" s="899"/>
      <c r="CI345" s="899"/>
      <c r="CJ345" s="899"/>
      <c r="CK345" s="899"/>
      <c r="CL345" s="899"/>
      <c r="CM345" s="899"/>
      <c r="CN345" s="899"/>
      <c r="CO345" s="899"/>
      <c r="CP345" s="899"/>
      <c r="CQ345" s="899"/>
      <c r="CR345" s="899"/>
      <c r="CT345" s="899"/>
      <c r="CU345" s="899"/>
      <c r="CV345" s="899"/>
      <c r="CW345" s="899"/>
      <c r="CX345" s="899"/>
      <c r="CY345" s="899"/>
      <c r="CZ345" s="899"/>
      <c r="DA345" s="899"/>
      <c r="DB345" s="899"/>
      <c r="DC345" s="899"/>
      <c r="DD345" s="899"/>
      <c r="DE345" s="899"/>
      <c r="DF345" s="899"/>
      <c r="DG345" s="899"/>
      <c r="DH345" s="899"/>
      <c r="DI345" s="899"/>
      <c r="DJ345" s="899"/>
      <c r="DK345" s="899"/>
      <c r="DL345" s="899"/>
      <c r="DM345" s="899"/>
      <c r="DN345" s="899"/>
      <c r="DO345" s="899"/>
      <c r="DP345" s="899"/>
      <c r="DQ345" s="899"/>
    </row>
    <row r="346" spans="1:129">
      <c r="A346" s="592"/>
      <c r="B346" s="899"/>
      <c r="C346" s="899"/>
      <c r="D346" s="899"/>
      <c r="E346" s="899"/>
      <c r="F346" s="899"/>
      <c r="G346" s="899"/>
      <c r="H346" s="899"/>
      <c r="I346" s="899"/>
      <c r="J346" s="899"/>
      <c r="K346" s="899"/>
      <c r="L346" s="899"/>
      <c r="M346" s="899"/>
      <c r="N346" s="899"/>
      <c r="O346" s="899"/>
      <c r="P346" s="899"/>
      <c r="Q346" s="899"/>
      <c r="R346" s="899"/>
      <c r="S346" s="899"/>
      <c r="T346" s="899"/>
      <c r="U346" s="899"/>
      <c r="V346" s="899"/>
      <c r="W346" s="899"/>
      <c r="X346" s="899"/>
      <c r="Y346" s="899"/>
      <c r="Z346" s="899"/>
      <c r="AA346" s="899"/>
      <c r="AB346" s="899"/>
      <c r="AC346" s="899"/>
      <c r="AD346" s="899"/>
      <c r="AE346" s="899"/>
      <c r="AF346" s="899"/>
      <c r="AG346" s="899"/>
      <c r="AH346" s="899"/>
      <c r="AI346" s="899"/>
      <c r="AJ346" s="899"/>
      <c r="AK346" s="899"/>
      <c r="AL346" s="899"/>
      <c r="AM346" s="899"/>
      <c r="AN346" s="899"/>
      <c r="AO346" s="899"/>
      <c r="AP346" s="899"/>
      <c r="AQ346" s="899"/>
      <c r="AR346" s="899"/>
      <c r="AS346" s="899"/>
      <c r="AT346" s="899"/>
      <c r="AU346" s="899"/>
      <c r="AV346" s="899"/>
      <c r="AW346" s="899"/>
      <c r="AX346" s="899"/>
      <c r="AY346" s="899"/>
      <c r="AZ346" s="934"/>
      <c r="BA346" s="899"/>
      <c r="BB346" s="899"/>
      <c r="BC346" s="899"/>
      <c r="BD346" s="899"/>
      <c r="BE346" s="899"/>
      <c r="BF346" s="899"/>
      <c r="BG346" s="899"/>
      <c r="BH346" s="899"/>
      <c r="BI346" s="899"/>
      <c r="BJ346" s="899"/>
      <c r="BK346" s="899"/>
      <c r="BL346" s="899"/>
      <c r="BM346" s="899"/>
      <c r="BN346" s="899"/>
      <c r="BO346" s="899"/>
      <c r="BP346" s="899"/>
      <c r="BQ346" s="899"/>
      <c r="BR346" s="899"/>
      <c r="BS346" s="899"/>
      <c r="BT346" s="899"/>
      <c r="BU346" s="899"/>
      <c r="BV346" s="899"/>
      <c r="BW346" s="899"/>
      <c r="BX346" s="899"/>
      <c r="BY346" s="899"/>
      <c r="BZ346" s="899"/>
      <c r="CA346" s="899"/>
      <c r="CB346" s="899"/>
      <c r="CC346" s="899"/>
      <c r="CD346" s="899"/>
      <c r="CE346" s="899"/>
      <c r="CF346" s="899"/>
      <c r="CG346" s="899"/>
      <c r="CH346" s="899"/>
      <c r="CI346" s="899"/>
      <c r="CJ346" s="899"/>
      <c r="CK346" s="899"/>
      <c r="CL346" s="899"/>
      <c r="CM346" s="899"/>
      <c r="CN346" s="899"/>
      <c r="CO346" s="899"/>
      <c r="CP346" s="899"/>
      <c r="CQ346" s="899"/>
      <c r="CR346" s="899"/>
      <c r="CT346" s="899"/>
      <c r="CU346" s="899"/>
      <c r="CV346" s="899"/>
      <c r="CW346" s="899"/>
      <c r="CX346" s="899"/>
      <c r="CY346" s="899"/>
      <c r="CZ346" s="899"/>
      <c r="DA346" s="899"/>
      <c r="DB346" s="899"/>
      <c r="DC346" s="899"/>
      <c r="DD346" s="899"/>
      <c r="DE346" s="899"/>
      <c r="DF346" s="899"/>
      <c r="DG346" s="899"/>
      <c r="DH346" s="899"/>
      <c r="DI346" s="899"/>
      <c r="DJ346" s="899"/>
      <c r="DK346" s="899"/>
      <c r="DL346" s="899"/>
      <c r="DM346" s="899"/>
      <c r="DN346" s="899"/>
      <c r="DO346" s="899"/>
      <c r="DP346" s="899"/>
      <c r="DQ346" s="899"/>
    </row>
    <row r="347" spans="1:129">
      <c r="A347" s="592"/>
      <c r="B347" s="899"/>
      <c r="C347" s="899"/>
      <c r="D347" s="899"/>
      <c r="E347" s="899"/>
      <c r="F347" s="899"/>
      <c r="G347" s="899"/>
      <c r="H347" s="899"/>
      <c r="I347" s="899"/>
      <c r="J347" s="899"/>
      <c r="K347" s="899"/>
      <c r="L347" s="899"/>
      <c r="M347" s="899"/>
      <c r="N347" s="899"/>
      <c r="O347" s="899"/>
      <c r="P347" s="899"/>
      <c r="Q347" s="899"/>
      <c r="R347" s="899"/>
      <c r="S347" s="899"/>
      <c r="T347" s="899"/>
      <c r="U347" s="899"/>
      <c r="V347" s="899"/>
      <c r="W347" s="899"/>
      <c r="X347" s="899"/>
      <c r="Y347" s="899"/>
      <c r="Z347" s="899"/>
      <c r="AA347" s="899"/>
      <c r="AB347" s="899"/>
      <c r="AC347" s="899"/>
      <c r="AD347" s="899"/>
      <c r="AE347" s="899"/>
      <c r="AF347" s="899"/>
      <c r="AG347" s="899"/>
      <c r="AH347" s="899"/>
      <c r="AI347" s="899"/>
      <c r="AJ347" s="899"/>
      <c r="AK347" s="899"/>
      <c r="AL347" s="899"/>
      <c r="AM347" s="899"/>
      <c r="AN347" s="899"/>
      <c r="AO347" s="899"/>
      <c r="AP347" s="899"/>
      <c r="AQ347" s="899"/>
      <c r="AR347" s="899"/>
      <c r="AS347" s="899"/>
      <c r="AT347" s="899"/>
      <c r="AU347" s="899"/>
      <c r="AV347" s="899"/>
      <c r="AW347" s="899"/>
      <c r="AX347" s="899"/>
      <c r="AY347" s="899"/>
      <c r="AZ347" s="934"/>
      <c r="BA347" s="899"/>
      <c r="BB347" s="899"/>
      <c r="BC347" s="899"/>
      <c r="BD347" s="899"/>
      <c r="BE347" s="899"/>
      <c r="BF347" s="899"/>
      <c r="BG347" s="899"/>
      <c r="BH347" s="899"/>
      <c r="BI347" s="899"/>
      <c r="BJ347" s="899"/>
      <c r="BK347" s="899"/>
      <c r="BL347" s="899"/>
      <c r="BM347" s="899"/>
      <c r="BN347" s="899"/>
      <c r="BO347" s="899"/>
      <c r="BP347" s="899"/>
      <c r="BQ347" s="899"/>
      <c r="BR347" s="899"/>
      <c r="BS347" s="899"/>
      <c r="BT347" s="899"/>
      <c r="BU347" s="899"/>
      <c r="BV347" s="899"/>
      <c r="BW347" s="899"/>
      <c r="BX347" s="899"/>
      <c r="BY347" s="899"/>
      <c r="BZ347" s="899"/>
      <c r="CA347" s="899"/>
      <c r="CB347" s="899"/>
      <c r="CC347" s="899"/>
      <c r="CD347" s="899"/>
      <c r="CE347" s="899"/>
      <c r="CF347" s="899"/>
      <c r="CG347" s="899"/>
      <c r="CH347" s="899"/>
      <c r="CI347" s="899"/>
      <c r="CJ347" s="899"/>
      <c r="CK347" s="899"/>
      <c r="CL347" s="899"/>
      <c r="CM347" s="899"/>
      <c r="CN347" s="899"/>
      <c r="CO347" s="899"/>
      <c r="CP347" s="899"/>
      <c r="CQ347" s="899"/>
      <c r="CR347" s="899"/>
      <c r="CT347" s="899"/>
      <c r="CU347" s="899"/>
      <c r="CV347" s="899"/>
      <c r="CW347" s="899"/>
      <c r="CX347" s="899"/>
      <c r="CY347" s="899"/>
      <c r="CZ347" s="899"/>
      <c r="DA347" s="899"/>
      <c r="DB347" s="899"/>
      <c r="DC347" s="899"/>
      <c r="DD347" s="899"/>
      <c r="DE347" s="899"/>
      <c r="DF347" s="899"/>
      <c r="DG347" s="899"/>
      <c r="DH347" s="899"/>
      <c r="DI347" s="899"/>
      <c r="DJ347" s="899"/>
      <c r="DK347" s="899"/>
      <c r="DL347" s="899"/>
      <c r="DM347" s="899"/>
      <c r="DN347" s="899"/>
      <c r="DO347" s="899"/>
      <c r="DP347" s="899"/>
      <c r="DQ347" s="899"/>
    </row>
    <row r="348" spans="1:129">
      <c r="A348" s="592"/>
      <c r="B348" s="899"/>
      <c r="C348" s="899"/>
      <c r="D348" s="899"/>
      <c r="E348" s="899"/>
      <c r="F348" s="899"/>
      <c r="G348" s="899"/>
      <c r="H348" s="899"/>
      <c r="I348" s="899"/>
      <c r="J348" s="899"/>
      <c r="K348" s="899"/>
      <c r="L348" s="899"/>
      <c r="M348" s="899"/>
      <c r="N348" s="899"/>
      <c r="O348" s="899"/>
      <c r="P348" s="899"/>
      <c r="Q348" s="899"/>
      <c r="R348" s="899"/>
      <c r="S348" s="899"/>
      <c r="T348" s="899"/>
      <c r="U348" s="899"/>
      <c r="V348" s="899"/>
      <c r="W348" s="899"/>
      <c r="X348" s="899"/>
      <c r="Y348" s="899"/>
      <c r="Z348" s="899"/>
      <c r="AA348" s="899"/>
      <c r="AB348" s="899"/>
      <c r="AC348" s="899"/>
      <c r="AD348" s="899"/>
      <c r="AE348" s="899"/>
      <c r="AF348" s="899"/>
      <c r="AG348" s="899"/>
      <c r="AH348" s="899"/>
      <c r="AI348" s="899"/>
      <c r="AJ348" s="899"/>
      <c r="AK348" s="899"/>
      <c r="AL348" s="899"/>
      <c r="AM348" s="899"/>
      <c r="AN348" s="899"/>
      <c r="AO348" s="899"/>
      <c r="AP348" s="899"/>
      <c r="AQ348" s="899"/>
      <c r="AR348" s="899"/>
      <c r="AS348" s="899"/>
      <c r="AT348" s="899"/>
      <c r="AU348" s="899"/>
      <c r="AV348" s="899"/>
      <c r="AW348" s="899"/>
      <c r="AX348" s="899"/>
      <c r="AY348" s="899"/>
      <c r="AZ348" s="934"/>
      <c r="BA348" s="899"/>
      <c r="BB348" s="899"/>
      <c r="BC348" s="899"/>
      <c r="BD348" s="899"/>
      <c r="BE348" s="899"/>
      <c r="BF348" s="899"/>
      <c r="BG348" s="899"/>
      <c r="BH348" s="899"/>
      <c r="BI348" s="899"/>
      <c r="BJ348" s="899"/>
      <c r="BK348" s="899"/>
      <c r="BL348" s="899"/>
      <c r="BM348" s="899"/>
      <c r="BN348" s="899"/>
      <c r="BO348" s="899"/>
      <c r="BP348" s="899"/>
      <c r="BQ348" s="899"/>
      <c r="BR348" s="899"/>
      <c r="BS348" s="899"/>
      <c r="BT348" s="899"/>
      <c r="BU348" s="899"/>
      <c r="BV348" s="899"/>
      <c r="BW348" s="899"/>
      <c r="BX348" s="899"/>
      <c r="BY348" s="899"/>
      <c r="BZ348" s="899"/>
      <c r="CA348" s="899"/>
      <c r="CB348" s="899"/>
      <c r="CC348" s="899"/>
      <c r="CD348" s="899"/>
      <c r="CE348" s="899"/>
      <c r="CF348" s="899"/>
      <c r="CG348" s="899"/>
      <c r="CH348" s="899"/>
      <c r="CI348" s="899"/>
      <c r="CJ348" s="899"/>
      <c r="CK348" s="899"/>
      <c r="CL348" s="899"/>
      <c r="CM348" s="899"/>
      <c r="CN348" s="899"/>
      <c r="CO348" s="899"/>
      <c r="CP348" s="899"/>
      <c r="CQ348" s="899"/>
      <c r="CR348" s="899"/>
      <c r="CT348" s="899"/>
      <c r="CU348" s="899"/>
      <c r="CV348" s="899"/>
      <c r="CW348" s="899"/>
      <c r="CX348" s="899"/>
      <c r="CY348" s="899"/>
      <c r="CZ348" s="899"/>
      <c r="DA348" s="899"/>
      <c r="DB348" s="899"/>
      <c r="DC348" s="899"/>
      <c r="DD348" s="899"/>
      <c r="DE348" s="899"/>
      <c r="DF348" s="899"/>
      <c r="DG348" s="899"/>
      <c r="DH348" s="899"/>
      <c r="DI348" s="899"/>
      <c r="DJ348" s="899"/>
      <c r="DK348" s="899"/>
      <c r="DL348" s="899"/>
      <c r="DM348" s="899"/>
      <c r="DN348" s="899"/>
      <c r="DO348" s="899"/>
      <c r="DP348" s="899"/>
      <c r="DQ348" s="899"/>
    </row>
    <row r="349" spans="1:129">
      <c r="A349" s="592"/>
      <c r="B349" s="899"/>
      <c r="C349" s="899"/>
      <c r="D349" s="899"/>
      <c r="E349" s="899"/>
      <c r="F349" s="899"/>
      <c r="G349" s="899"/>
      <c r="H349" s="899"/>
      <c r="I349" s="899"/>
      <c r="J349" s="899"/>
      <c r="K349" s="899"/>
      <c r="L349" s="899"/>
      <c r="M349" s="899"/>
      <c r="N349" s="899"/>
      <c r="O349" s="899"/>
      <c r="P349" s="899"/>
      <c r="Q349" s="899"/>
      <c r="R349" s="899"/>
      <c r="S349" s="899"/>
      <c r="T349" s="899"/>
      <c r="U349" s="899"/>
      <c r="V349" s="899"/>
      <c r="W349" s="899"/>
      <c r="X349" s="899"/>
      <c r="Y349" s="899"/>
      <c r="Z349" s="899"/>
      <c r="AA349" s="899"/>
      <c r="AB349" s="899"/>
      <c r="AC349" s="899"/>
      <c r="AD349" s="899"/>
      <c r="AE349" s="899"/>
      <c r="AF349" s="899"/>
      <c r="AG349" s="899"/>
      <c r="AH349" s="899"/>
      <c r="AI349" s="899"/>
      <c r="AJ349" s="899"/>
      <c r="AK349" s="899"/>
      <c r="AL349" s="899"/>
      <c r="AM349" s="899"/>
      <c r="AN349" s="899"/>
      <c r="AO349" s="899"/>
      <c r="AP349" s="899"/>
      <c r="AQ349" s="899"/>
      <c r="AR349" s="899"/>
      <c r="AS349" s="899"/>
      <c r="AT349" s="899"/>
      <c r="AU349" s="899"/>
      <c r="AV349" s="899"/>
      <c r="AW349" s="899"/>
      <c r="AX349" s="899"/>
      <c r="AY349" s="899"/>
      <c r="AZ349" s="934"/>
      <c r="BA349" s="899"/>
      <c r="BB349" s="899"/>
      <c r="BC349" s="899"/>
      <c r="BD349" s="899"/>
      <c r="BE349" s="899"/>
      <c r="BF349" s="899"/>
      <c r="BG349" s="899"/>
      <c r="BH349" s="899"/>
      <c r="BI349" s="899"/>
      <c r="BJ349" s="899"/>
      <c r="BK349" s="899"/>
      <c r="BL349" s="899"/>
      <c r="BM349" s="899"/>
      <c r="BN349" s="899"/>
      <c r="BO349" s="899"/>
      <c r="BP349" s="899"/>
      <c r="BQ349" s="899"/>
      <c r="BR349" s="899"/>
      <c r="BS349" s="899"/>
      <c r="BT349" s="899"/>
      <c r="BU349" s="899"/>
      <c r="BV349" s="899"/>
      <c r="BW349" s="899"/>
      <c r="BX349" s="899"/>
      <c r="BY349" s="899"/>
      <c r="BZ349" s="899"/>
      <c r="CA349" s="899"/>
      <c r="CB349" s="899"/>
      <c r="CC349" s="899"/>
      <c r="CD349" s="899"/>
      <c r="CE349" s="899"/>
      <c r="CF349" s="899"/>
      <c r="CG349" s="899"/>
      <c r="CH349" s="899"/>
      <c r="CI349" s="899"/>
      <c r="CJ349" s="899"/>
      <c r="CK349" s="899"/>
      <c r="CL349" s="899"/>
      <c r="CM349" s="899"/>
      <c r="CN349" s="899"/>
      <c r="CO349" s="899"/>
      <c r="CP349" s="899"/>
      <c r="CQ349" s="899"/>
      <c r="CR349" s="899"/>
      <c r="CT349" s="899"/>
      <c r="CU349" s="899"/>
      <c r="CV349" s="899"/>
      <c r="CW349" s="899"/>
      <c r="CX349" s="899"/>
      <c r="CY349" s="899"/>
      <c r="CZ349" s="899"/>
      <c r="DA349" s="899"/>
      <c r="DB349" s="899"/>
      <c r="DC349" s="899"/>
      <c r="DD349" s="899"/>
      <c r="DE349" s="899"/>
      <c r="DF349" s="899"/>
      <c r="DG349" s="899"/>
      <c r="DH349" s="899"/>
      <c r="DI349" s="899"/>
      <c r="DJ349" s="899"/>
      <c r="DK349" s="899"/>
      <c r="DL349" s="899"/>
      <c r="DM349" s="899"/>
      <c r="DN349" s="899"/>
      <c r="DO349" s="899"/>
      <c r="DP349" s="899"/>
      <c r="DQ349" s="899"/>
    </row>
    <row r="350" spans="1:129">
      <c r="A350" s="592"/>
      <c r="B350" s="899"/>
      <c r="C350" s="899"/>
      <c r="D350" s="899"/>
      <c r="E350" s="899"/>
      <c r="F350" s="899"/>
      <c r="G350" s="899"/>
      <c r="H350" s="899"/>
      <c r="I350" s="899"/>
      <c r="J350" s="899"/>
      <c r="K350" s="899"/>
      <c r="L350" s="899"/>
      <c r="M350" s="899"/>
      <c r="N350" s="899"/>
      <c r="O350" s="899"/>
      <c r="P350" s="899"/>
      <c r="Q350" s="899"/>
      <c r="R350" s="899"/>
      <c r="S350" s="899"/>
      <c r="T350" s="899"/>
      <c r="U350" s="899"/>
      <c r="V350" s="899"/>
      <c r="W350" s="899"/>
      <c r="X350" s="899"/>
      <c r="Y350" s="899"/>
      <c r="Z350" s="899"/>
      <c r="AA350" s="899"/>
      <c r="AB350" s="899"/>
      <c r="AC350" s="899"/>
      <c r="AD350" s="899"/>
      <c r="AE350" s="899"/>
      <c r="AF350" s="899"/>
      <c r="AG350" s="899"/>
      <c r="AH350" s="899"/>
      <c r="AI350" s="899"/>
      <c r="AJ350" s="899"/>
      <c r="AK350" s="899"/>
      <c r="AL350" s="899"/>
      <c r="AM350" s="899"/>
      <c r="AN350" s="899"/>
      <c r="AO350" s="899"/>
      <c r="AP350" s="899"/>
      <c r="AQ350" s="899"/>
      <c r="AR350" s="899"/>
      <c r="AS350" s="899"/>
      <c r="AT350" s="899"/>
      <c r="AU350" s="899"/>
      <c r="AV350" s="899"/>
      <c r="AW350" s="899"/>
      <c r="AX350" s="899"/>
      <c r="AY350" s="899"/>
      <c r="AZ350" s="934"/>
      <c r="BA350" s="899"/>
      <c r="BB350" s="899"/>
      <c r="BC350" s="899"/>
      <c r="BD350" s="899"/>
      <c r="BE350" s="899"/>
      <c r="BF350" s="899"/>
      <c r="BG350" s="899"/>
      <c r="BH350" s="899"/>
      <c r="BI350" s="899"/>
      <c r="BJ350" s="899"/>
      <c r="BK350" s="899"/>
      <c r="BL350" s="899"/>
      <c r="BM350" s="899"/>
      <c r="BN350" s="899"/>
      <c r="BO350" s="899"/>
      <c r="BP350" s="899"/>
      <c r="BQ350" s="899"/>
      <c r="BR350" s="899"/>
      <c r="BS350" s="899"/>
      <c r="BT350" s="899"/>
      <c r="BU350" s="899"/>
      <c r="BV350" s="899"/>
      <c r="BW350" s="899"/>
      <c r="BX350" s="899"/>
      <c r="BY350" s="899"/>
      <c r="BZ350" s="899"/>
      <c r="CA350" s="899"/>
      <c r="CB350" s="899"/>
      <c r="CC350" s="899"/>
      <c r="CD350" s="899"/>
      <c r="CE350" s="899"/>
      <c r="CF350" s="899"/>
      <c r="CG350" s="899"/>
      <c r="CH350" s="899"/>
      <c r="CI350" s="899"/>
      <c r="CJ350" s="899"/>
      <c r="CK350" s="899"/>
      <c r="CL350" s="899"/>
      <c r="CM350" s="899"/>
      <c r="CN350" s="899"/>
      <c r="CO350" s="899"/>
      <c r="CP350" s="899"/>
      <c r="CQ350" s="899"/>
      <c r="CR350" s="899"/>
      <c r="CT350" s="899"/>
      <c r="CU350" s="899"/>
      <c r="CV350" s="899"/>
      <c r="CW350" s="899"/>
      <c r="CX350" s="899"/>
      <c r="CY350" s="899"/>
      <c r="CZ350" s="899"/>
      <c r="DA350" s="899"/>
      <c r="DB350" s="899"/>
      <c r="DC350" s="899"/>
      <c r="DD350" s="899"/>
      <c r="DE350" s="899"/>
      <c r="DF350" s="899"/>
      <c r="DG350" s="899"/>
      <c r="DH350" s="899"/>
      <c r="DI350" s="899"/>
      <c r="DJ350" s="899"/>
      <c r="DK350" s="899"/>
      <c r="DL350" s="899"/>
      <c r="DM350" s="899"/>
      <c r="DN350" s="899"/>
      <c r="DO350" s="899"/>
      <c r="DP350" s="899"/>
      <c r="DQ350" s="899"/>
    </row>
    <row r="351" spans="1:129">
      <c r="A351" s="592"/>
      <c r="B351" s="899"/>
      <c r="C351" s="899"/>
      <c r="D351" s="899"/>
      <c r="E351" s="899"/>
      <c r="F351" s="899"/>
      <c r="G351" s="899"/>
      <c r="H351" s="899"/>
      <c r="I351" s="899"/>
      <c r="J351" s="899"/>
      <c r="K351" s="899"/>
      <c r="L351" s="899"/>
      <c r="M351" s="899"/>
      <c r="N351" s="899"/>
      <c r="O351" s="899"/>
      <c r="P351" s="899"/>
      <c r="Q351" s="899"/>
      <c r="R351" s="899"/>
      <c r="S351" s="899"/>
      <c r="T351" s="899"/>
      <c r="U351" s="899"/>
      <c r="V351" s="899"/>
      <c r="W351" s="899"/>
      <c r="X351" s="899"/>
      <c r="Y351" s="899"/>
      <c r="Z351" s="899"/>
      <c r="AA351" s="899"/>
      <c r="AB351" s="899"/>
      <c r="AC351" s="899"/>
      <c r="AD351" s="899"/>
      <c r="AE351" s="899"/>
      <c r="AF351" s="899"/>
      <c r="AG351" s="899"/>
      <c r="AH351" s="899"/>
      <c r="AI351" s="899"/>
      <c r="AJ351" s="899"/>
      <c r="AK351" s="899"/>
      <c r="AL351" s="899"/>
      <c r="AM351" s="899"/>
      <c r="AN351" s="899"/>
      <c r="AO351" s="899"/>
      <c r="AP351" s="899"/>
      <c r="AQ351" s="899"/>
      <c r="AR351" s="899"/>
      <c r="AS351" s="899"/>
      <c r="AT351" s="899"/>
      <c r="AU351" s="899"/>
      <c r="AV351" s="899"/>
      <c r="AW351" s="899"/>
      <c r="AX351" s="899"/>
      <c r="AY351" s="899"/>
      <c r="AZ351" s="934"/>
      <c r="BA351" s="899"/>
      <c r="BB351" s="899"/>
      <c r="BC351" s="899"/>
      <c r="BD351" s="899"/>
      <c r="BE351" s="899"/>
      <c r="BF351" s="899"/>
      <c r="BG351" s="899"/>
      <c r="BH351" s="899"/>
      <c r="BI351" s="899"/>
      <c r="BJ351" s="899"/>
      <c r="BK351" s="899"/>
      <c r="BL351" s="899"/>
      <c r="BM351" s="899"/>
      <c r="BN351" s="899"/>
      <c r="BO351" s="899"/>
      <c r="BP351" s="899"/>
      <c r="BQ351" s="899"/>
      <c r="BR351" s="899"/>
      <c r="BS351" s="899"/>
      <c r="BT351" s="899"/>
      <c r="BU351" s="899"/>
      <c r="BV351" s="899"/>
      <c r="BW351" s="899"/>
      <c r="BX351" s="899"/>
      <c r="BY351" s="899"/>
      <c r="BZ351" s="899"/>
      <c r="CA351" s="899"/>
      <c r="CB351" s="899"/>
      <c r="CC351" s="899"/>
      <c r="CD351" s="899"/>
      <c r="CE351" s="899"/>
      <c r="CF351" s="899"/>
      <c r="CG351" s="899"/>
      <c r="CH351" s="899"/>
      <c r="CI351" s="899"/>
      <c r="CJ351" s="899"/>
      <c r="CK351" s="899"/>
      <c r="CL351" s="899"/>
      <c r="CM351" s="899"/>
      <c r="CN351" s="899"/>
      <c r="CO351" s="899"/>
      <c r="CP351" s="899"/>
      <c r="CQ351" s="899"/>
      <c r="CR351" s="899"/>
      <c r="CT351" s="899"/>
      <c r="CU351" s="899"/>
      <c r="CV351" s="899"/>
      <c r="CW351" s="899"/>
      <c r="CX351" s="899"/>
      <c r="CY351" s="899"/>
      <c r="CZ351" s="899"/>
      <c r="DA351" s="899"/>
      <c r="DB351" s="899"/>
      <c r="DC351" s="899"/>
      <c r="DD351" s="899"/>
      <c r="DE351" s="899"/>
      <c r="DF351" s="899"/>
      <c r="DG351" s="899"/>
      <c r="DH351" s="899"/>
      <c r="DI351" s="899"/>
      <c r="DJ351" s="899"/>
      <c r="DK351" s="899"/>
      <c r="DL351" s="899"/>
      <c r="DM351" s="899"/>
      <c r="DN351" s="899"/>
      <c r="DO351" s="899"/>
      <c r="DP351" s="899"/>
      <c r="DQ351" s="899"/>
    </row>
    <row r="352" spans="1:129">
      <c r="A352" s="592"/>
      <c r="B352" s="899"/>
      <c r="C352" s="899"/>
      <c r="D352" s="899"/>
      <c r="E352" s="899"/>
      <c r="F352" s="899"/>
      <c r="G352" s="899"/>
      <c r="H352" s="899"/>
      <c r="I352" s="899"/>
      <c r="J352" s="899"/>
      <c r="K352" s="899"/>
      <c r="L352" s="899"/>
      <c r="M352" s="899"/>
      <c r="N352" s="899"/>
      <c r="O352" s="899"/>
      <c r="P352" s="899"/>
      <c r="Q352" s="899"/>
      <c r="R352" s="899"/>
      <c r="S352" s="899"/>
      <c r="T352" s="899"/>
      <c r="U352" s="899"/>
      <c r="V352" s="899"/>
      <c r="W352" s="899"/>
      <c r="X352" s="899"/>
      <c r="Y352" s="899"/>
      <c r="Z352" s="899"/>
      <c r="AA352" s="899"/>
      <c r="AB352" s="899"/>
      <c r="AC352" s="899"/>
      <c r="AD352" s="899"/>
      <c r="AE352" s="899"/>
      <c r="AF352" s="899"/>
      <c r="AG352" s="899"/>
      <c r="AH352" s="899"/>
      <c r="AI352" s="899"/>
      <c r="AJ352" s="899"/>
      <c r="AK352" s="899"/>
      <c r="AL352" s="899"/>
      <c r="AM352" s="899"/>
      <c r="AN352" s="899"/>
      <c r="AO352" s="899"/>
      <c r="AP352" s="899"/>
      <c r="AQ352" s="899"/>
      <c r="AR352" s="899"/>
      <c r="AS352" s="899"/>
      <c r="AT352" s="899"/>
      <c r="AU352" s="899"/>
      <c r="AV352" s="899"/>
      <c r="AW352" s="899"/>
      <c r="AX352" s="899"/>
      <c r="AY352" s="899"/>
      <c r="AZ352" s="934"/>
      <c r="BA352" s="899"/>
      <c r="BB352" s="899"/>
      <c r="BC352" s="899"/>
      <c r="BD352" s="899"/>
      <c r="BE352" s="899"/>
      <c r="BF352" s="899"/>
      <c r="BG352" s="899"/>
      <c r="BH352" s="899"/>
      <c r="BI352" s="899"/>
      <c r="BJ352" s="899"/>
      <c r="BK352" s="899"/>
      <c r="BL352" s="899"/>
      <c r="BM352" s="899"/>
      <c r="BN352" s="899"/>
      <c r="BO352" s="899"/>
      <c r="BP352" s="899"/>
      <c r="BQ352" s="899"/>
      <c r="BR352" s="899"/>
      <c r="BS352" s="899"/>
      <c r="BT352" s="899"/>
      <c r="BU352" s="899"/>
      <c r="BV352" s="899"/>
      <c r="BW352" s="899"/>
      <c r="BX352" s="899"/>
      <c r="BY352" s="899"/>
      <c r="BZ352" s="899"/>
      <c r="CA352" s="899"/>
      <c r="CB352" s="899"/>
      <c r="CC352" s="899"/>
      <c r="CD352" s="899"/>
      <c r="CE352" s="899"/>
      <c r="CF352" s="899"/>
      <c r="CG352" s="899"/>
      <c r="CH352" s="899"/>
      <c r="CI352" s="899"/>
      <c r="CJ352" s="899"/>
      <c r="CK352" s="899"/>
      <c r="CL352" s="899"/>
      <c r="CM352" s="899"/>
      <c r="CN352" s="899"/>
      <c r="CO352" s="899"/>
      <c r="CP352" s="899"/>
      <c r="CQ352" s="899"/>
      <c r="CR352" s="899"/>
      <c r="CT352" s="899"/>
      <c r="CU352" s="899"/>
      <c r="CV352" s="899"/>
      <c r="CW352" s="899"/>
      <c r="CX352" s="899"/>
      <c r="CY352" s="899"/>
      <c r="CZ352" s="899"/>
      <c r="DA352" s="899"/>
      <c r="DB352" s="899"/>
      <c r="DC352" s="899"/>
      <c r="DD352" s="899"/>
      <c r="DE352" s="899"/>
      <c r="DF352" s="899"/>
      <c r="DG352" s="899"/>
      <c r="DH352" s="899"/>
      <c r="DI352" s="899"/>
      <c r="DJ352" s="899"/>
      <c r="DK352" s="899"/>
      <c r="DL352" s="899"/>
      <c r="DM352" s="899"/>
      <c r="DN352" s="899"/>
      <c r="DO352" s="899"/>
      <c r="DP352" s="899"/>
      <c r="DQ352" s="899"/>
    </row>
  </sheetData>
  <pageMargins left="0.7" right="0.7" top="0.75" bottom="0.75" header="0.3" footer="0.3"/>
  <pageSetup paperSize="9" orientation="portrait" r:id="rId1"/>
  <ignoredErrors>
    <ignoredError sqref="A23:AT23 A26 A22:BO22 A18:BJ18 CX22:DK22 CX18:DE18 CX23:DE23 CW46:DD46 CW104:DK108 A102:B102 A46 A38:BU38 BR18 A107:BU108 A104:BP106 BR22 BR26 A25:B25 BT26 CX38:DK38 CX36:CY36 A36:BQ36 BS36:BU36 A17:BO17 CX17:DK17 BT17 BT15 CX15:DK15 A15:BO15 CX19:DK20 A19:BO20 A10:BO13 CX10:DK13 BT10:BT13 C26:AT26 AY26:BO26 CX25:DD26 DF26:DK26 DZ46:XFD46 DV104:DW108 DV36:DW36 DV15:DW15 DV17:DW20 DV22:DW23 DV10:DW13 DV25:DW26 DV38:DW38 CU104:CU108 CU46 DV102:DW102 DZ104:XFD108 DZ36:XFD36 DZ15:XFD15 DZ17:XFD20 DZ22:XFD23 DZ10:XFD13 DZ25:XFD26 DZ38:XFD38 DZ102:XFD102" formula="1"/>
    <ignoredError sqref="DF23:DK23" formula="1" formulaRange="1"/>
    <ignoredError sqref="BJ119:BN119 A185:BP185 DV185:DW185 CW185:DK185 DJ18 DZ185:XFD185 CU185" formulaRange="1"/>
  </ignoredError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F392"/>
  <sheetViews>
    <sheetView showGridLines="0" zoomScale="115" zoomScaleNormal="115" workbookViewId="0">
      <pane xSplit="42" ySplit="4" topLeftCell="CT205" activePane="bottomRight" state="frozen"/>
      <selection pane="bottomRight" activeCell="DR221" sqref="DR221"/>
      <selection pane="bottomLeft" activeCell="A4" sqref="A4"/>
      <selection pane="topRight" activeCell="AQ1" sqref="AQ1"/>
    </sheetView>
  </sheetViews>
  <sheetFormatPr defaultColWidth="9.140625" defaultRowHeight="15"/>
  <cols>
    <col min="1" max="1" width="33.140625" bestFit="1" customWidth="1"/>
    <col min="2" max="42" width="0" hidden="1" customWidth="1"/>
    <col min="43" max="94" width="10" customWidth="1"/>
    <col min="95" max="95" width="4.140625" customWidth="1"/>
    <col min="96" max="96" width="4.42578125" customWidth="1"/>
    <col min="97" max="97" width="10" customWidth="1"/>
    <col min="98" max="98" width="19.42578125" style="1145" customWidth="1"/>
    <col min="99" max="108" width="10.28515625" hidden="1" customWidth="1"/>
    <col min="109" max="110" width="10" hidden="1" customWidth="1"/>
    <col min="111" max="113" width="10.7109375" hidden="1" customWidth="1"/>
    <col min="114" max="121" width="10.7109375" customWidth="1"/>
    <col min="122" max="125" width="11" customWidth="1"/>
    <col min="129" max="130" width="11" customWidth="1"/>
  </cols>
  <sheetData>
    <row r="1" spans="1:136" s="905" customFormat="1" ht="15.75" thickBot="1">
      <c r="A1" s="592"/>
      <c r="B1" s="936" t="s">
        <v>58</v>
      </c>
      <c r="C1" s="937">
        <v>38077</v>
      </c>
      <c r="D1" s="937">
        <v>38168</v>
      </c>
      <c r="E1" s="937">
        <v>38260</v>
      </c>
      <c r="F1" s="937">
        <v>38351</v>
      </c>
      <c r="G1" s="937">
        <v>38441</v>
      </c>
      <c r="H1" s="937">
        <v>38533</v>
      </c>
      <c r="I1" s="937">
        <v>38625</v>
      </c>
      <c r="J1" s="937">
        <v>38717</v>
      </c>
      <c r="K1" s="937">
        <v>38806</v>
      </c>
      <c r="L1" s="937">
        <v>38898</v>
      </c>
      <c r="M1" s="937">
        <v>38990</v>
      </c>
      <c r="N1" s="937">
        <v>39082</v>
      </c>
      <c r="O1" s="937">
        <v>39172</v>
      </c>
      <c r="P1" s="937">
        <v>39263</v>
      </c>
      <c r="Q1" s="937">
        <v>39355</v>
      </c>
      <c r="R1" s="937">
        <v>39447</v>
      </c>
      <c r="S1" s="937">
        <v>39538</v>
      </c>
      <c r="T1" s="937">
        <v>39629</v>
      </c>
      <c r="U1" s="937">
        <v>39721</v>
      </c>
      <c r="V1" s="937">
        <v>39813</v>
      </c>
      <c r="W1" s="937">
        <v>39903</v>
      </c>
      <c r="X1" s="937">
        <v>39994</v>
      </c>
      <c r="Y1" s="937">
        <v>40086</v>
      </c>
      <c r="Z1" s="937">
        <v>40178</v>
      </c>
      <c r="AA1" s="937">
        <v>40268</v>
      </c>
      <c r="AB1" s="937">
        <v>40359</v>
      </c>
      <c r="AC1" s="937">
        <v>40451</v>
      </c>
      <c r="AD1" s="937">
        <v>40543</v>
      </c>
      <c r="AE1" s="937">
        <v>40633</v>
      </c>
      <c r="AF1" s="937">
        <v>40724</v>
      </c>
      <c r="AG1" s="937">
        <v>40816</v>
      </c>
      <c r="AH1" s="937">
        <v>40908</v>
      </c>
      <c r="AI1" s="937">
        <v>40999</v>
      </c>
      <c r="AJ1" s="937">
        <v>41090</v>
      </c>
      <c r="AK1" s="937">
        <v>41182</v>
      </c>
      <c r="AL1" s="937">
        <v>41274</v>
      </c>
      <c r="AM1" s="937">
        <v>41364</v>
      </c>
      <c r="AN1" s="937">
        <v>41455</v>
      </c>
      <c r="AO1" s="937">
        <v>41547</v>
      </c>
      <c r="AP1" s="937">
        <v>41639</v>
      </c>
      <c r="AQ1" s="937">
        <v>41729</v>
      </c>
      <c r="AR1" s="937">
        <v>41820</v>
      </c>
      <c r="AS1" s="937">
        <v>41912</v>
      </c>
      <c r="AT1" s="937">
        <v>42004</v>
      </c>
      <c r="AU1" s="937">
        <v>42094</v>
      </c>
      <c r="AV1" s="937">
        <v>42185</v>
      </c>
      <c r="AW1" s="937">
        <v>42277</v>
      </c>
      <c r="AX1" s="937">
        <v>42369</v>
      </c>
      <c r="AY1" s="937">
        <v>42460</v>
      </c>
      <c r="AZ1" s="938">
        <v>42551</v>
      </c>
      <c r="BA1" s="937">
        <v>42643</v>
      </c>
      <c r="BB1" s="937">
        <v>42735</v>
      </c>
      <c r="BC1" s="937">
        <v>42825</v>
      </c>
      <c r="BD1" s="937">
        <v>42916</v>
      </c>
      <c r="BE1" s="937">
        <v>43008</v>
      </c>
      <c r="BF1" s="937">
        <v>43100</v>
      </c>
      <c r="BG1" s="937">
        <v>43190</v>
      </c>
      <c r="BH1" s="937">
        <v>43281</v>
      </c>
      <c r="BI1" s="937">
        <v>43373</v>
      </c>
      <c r="BJ1" s="937">
        <v>43465</v>
      </c>
      <c r="BK1" s="937">
        <v>43555</v>
      </c>
      <c r="BL1" s="937">
        <v>43646</v>
      </c>
      <c r="BM1" s="937">
        <v>43738</v>
      </c>
      <c r="BN1" s="937">
        <v>43830</v>
      </c>
      <c r="BO1" s="937">
        <v>43921</v>
      </c>
      <c r="BP1" s="937">
        <v>44012</v>
      </c>
      <c r="BQ1" s="937">
        <v>44104</v>
      </c>
      <c r="BR1" s="937">
        <v>44196</v>
      </c>
      <c r="BS1" s="937">
        <v>44286</v>
      </c>
      <c r="BT1" s="937">
        <v>44377</v>
      </c>
      <c r="BU1" s="937">
        <v>44469</v>
      </c>
      <c r="BV1" s="937">
        <v>44561</v>
      </c>
      <c r="BW1" s="937">
        <v>44651</v>
      </c>
      <c r="BX1" s="937">
        <v>44742</v>
      </c>
      <c r="BY1" s="937">
        <v>44834</v>
      </c>
      <c r="BZ1" s="937">
        <v>44926</v>
      </c>
      <c r="CA1" s="937">
        <v>45016</v>
      </c>
      <c r="CB1" s="937">
        <v>45107</v>
      </c>
      <c r="CC1" s="937">
        <v>45199</v>
      </c>
      <c r="CD1" s="937">
        <v>45291</v>
      </c>
      <c r="CE1" s="937">
        <v>45382</v>
      </c>
      <c r="CF1" s="937">
        <v>45473</v>
      </c>
      <c r="CG1" s="937">
        <v>45565</v>
      </c>
      <c r="CH1" s="937">
        <v>45657</v>
      </c>
      <c r="CI1" s="937">
        <f>+CH1+90</f>
        <v>45747</v>
      </c>
      <c r="CJ1" s="937">
        <f t="shared" ref="CJ1:CL1" si="0">+CI1+90</f>
        <v>45837</v>
      </c>
      <c r="CK1" s="937">
        <f t="shared" si="0"/>
        <v>45927</v>
      </c>
      <c r="CL1" s="937">
        <f t="shared" si="0"/>
        <v>46017</v>
      </c>
      <c r="CM1" s="937">
        <f t="shared" ref="CM1" si="1">+CL1+90</f>
        <v>46107</v>
      </c>
      <c r="CN1" s="937">
        <f t="shared" ref="CN1" si="2">+CM1+90</f>
        <v>46197</v>
      </c>
      <c r="CO1" s="937">
        <f t="shared" ref="CO1" si="3">+CN1+90</f>
        <v>46287</v>
      </c>
      <c r="CP1" s="937">
        <f t="shared" ref="CP1" si="4">+CO1+90</f>
        <v>46377</v>
      </c>
      <c r="CQ1" s="937"/>
      <c r="CR1" s="937"/>
      <c r="CS1" s="937">
        <v>45837</v>
      </c>
      <c r="CT1" s="937"/>
      <c r="CU1" s="937"/>
      <c r="CV1" s="937"/>
      <c r="CW1" s="937"/>
      <c r="CX1" s="937">
        <v>39447</v>
      </c>
      <c r="CY1" s="937">
        <v>39813</v>
      </c>
      <c r="CZ1" s="937">
        <v>40178</v>
      </c>
      <c r="DA1" s="937">
        <v>40543</v>
      </c>
      <c r="DB1" s="937">
        <v>40908</v>
      </c>
      <c r="DC1" s="937">
        <v>41274</v>
      </c>
      <c r="DD1" s="937">
        <v>41639</v>
      </c>
      <c r="DE1" s="1635">
        <v>2014</v>
      </c>
      <c r="DF1" s="1635">
        <f>+DE1+1</f>
        <v>2015</v>
      </c>
      <c r="DG1" s="1635">
        <f t="shared" ref="DG1:DU1" si="5">+DF1+1</f>
        <v>2016</v>
      </c>
      <c r="DH1" s="1635">
        <f t="shared" si="5"/>
        <v>2017</v>
      </c>
      <c r="DI1" s="1635">
        <f t="shared" si="5"/>
        <v>2018</v>
      </c>
      <c r="DJ1" s="1635">
        <f t="shared" si="5"/>
        <v>2019</v>
      </c>
      <c r="DK1" s="1635">
        <f t="shared" si="5"/>
        <v>2020</v>
      </c>
      <c r="DL1" s="1635">
        <f t="shared" si="5"/>
        <v>2021</v>
      </c>
      <c r="DM1" s="1635">
        <f t="shared" si="5"/>
        <v>2022</v>
      </c>
      <c r="DN1" s="1635">
        <f t="shared" si="5"/>
        <v>2023</v>
      </c>
      <c r="DO1" s="1635">
        <f t="shared" si="5"/>
        <v>2024</v>
      </c>
      <c r="DP1" s="1635">
        <f t="shared" si="5"/>
        <v>2025</v>
      </c>
      <c r="DQ1" s="1635">
        <f t="shared" si="5"/>
        <v>2026</v>
      </c>
      <c r="DR1" s="1635">
        <f t="shared" si="5"/>
        <v>2027</v>
      </c>
      <c r="DS1" s="1635">
        <f t="shared" si="5"/>
        <v>2028</v>
      </c>
      <c r="DT1" s="1635">
        <f t="shared" si="5"/>
        <v>2029</v>
      </c>
      <c r="DU1" s="1635">
        <f t="shared" si="5"/>
        <v>2030</v>
      </c>
      <c r="DV1" s="904"/>
      <c r="DW1" s="904"/>
      <c r="DX1" s="1635">
        <v>2025</v>
      </c>
      <c r="DY1" s="1635">
        <v>2026</v>
      </c>
      <c r="DZ1" s="904"/>
      <c r="EA1" s="904"/>
      <c r="EB1" s="904"/>
      <c r="EC1" s="904"/>
      <c r="ED1" s="904"/>
      <c r="EE1" s="904"/>
      <c r="EF1" s="904"/>
    </row>
    <row r="2" spans="1:136" s="302" customFormat="1" ht="15.75" hidden="1" thickBot="1">
      <c r="A2" s="348" t="s">
        <v>572</v>
      </c>
      <c r="B2" s="349">
        <v>1.15E-2</v>
      </c>
      <c r="C2" s="349">
        <v>1.8499999999999999E-2</v>
      </c>
      <c r="D2" s="349">
        <v>1.6E-2</v>
      </c>
      <c r="E2" s="349">
        <v>1.9400000000000001E-2</v>
      </c>
      <c r="F2" s="349">
        <v>0.02</v>
      </c>
      <c r="G2" s="349">
        <v>1.7899999999999999E-2</v>
      </c>
      <c r="H2" s="349">
        <v>1.3469457789979433E-2</v>
      </c>
      <c r="I2" s="349">
        <v>7.7189382259461592E-3</v>
      </c>
      <c r="J2" s="349">
        <v>1.668820790972636E-2</v>
      </c>
      <c r="K2" s="349">
        <v>1.4368541453025019E-2</v>
      </c>
      <c r="L2" s="349">
        <v>9.9540016253008012E-4</v>
      </c>
      <c r="M2" s="349">
        <v>4.4759999999999999E-3</v>
      </c>
      <c r="N2" s="349">
        <v>1.1345218800648427E-2</v>
      </c>
      <c r="O2" s="349">
        <v>1.26E-2</v>
      </c>
      <c r="P2" s="349">
        <v>8.2000000000000007E-3</v>
      </c>
      <c r="Q2" s="349">
        <v>8.8999999999999999E-3</v>
      </c>
      <c r="R2" s="349">
        <v>1.43E-2</v>
      </c>
      <c r="S2" s="349">
        <v>1.5149686330916142E-2</v>
      </c>
      <c r="T2" s="349">
        <v>2.0897660603252811E-2</v>
      </c>
      <c r="U2" s="349">
        <v>1.0699999999999999E-2</v>
      </c>
      <c r="V2" s="349">
        <v>1.09E-2</v>
      </c>
      <c r="W2" s="349">
        <v>1.24E-2</v>
      </c>
      <c r="X2" s="349">
        <v>1.32E-2</v>
      </c>
      <c r="Y2" s="349">
        <v>6.6E-3</v>
      </c>
      <c r="Z2" s="349">
        <v>1.0200000000000001E-2</v>
      </c>
      <c r="AA2" s="349">
        <v>2.06E-2</v>
      </c>
      <c r="AB2" s="349">
        <v>0.01</v>
      </c>
      <c r="AC2" s="349">
        <v>5.0000000000000001E-3</v>
      </c>
      <c r="AD2" s="349">
        <v>2.23E-2</v>
      </c>
      <c r="AE2" s="349">
        <v>2.4400000000000002E-2</v>
      </c>
      <c r="AF2" s="349">
        <v>1.4E-2</v>
      </c>
      <c r="AG2" s="349">
        <v>1.06E-2</v>
      </c>
      <c r="AH2" s="349">
        <v>1.44E-2</v>
      </c>
      <c r="AI2" s="349">
        <v>1.224646292000009E-2</v>
      </c>
      <c r="AJ2" s="349">
        <v>1.083105843199994E-2</v>
      </c>
      <c r="AK2" s="349">
        <v>1.416561049100018E-2</v>
      </c>
      <c r="AL2" s="349">
        <v>1.9929689660000083E-2</v>
      </c>
      <c r="AM2" s="349">
        <v>1.9420462519999848E-2</v>
      </c>
      <c r="AN2" s="349">
        <v>1.1844322910000038E-2</v>
      </c>
      <c r="AO2" s="349">
        <v>6.2101725200001123E-3</v>
      </c>
      <c r="AP2" s="349">
        <v>2.0433183176000069E-2</v>
      </c>
      <c r="AQ2" s="349">
        <f>FAT!AQ2</f>
        <v>2.1700000000000001E-2</v>
      </c>
      <c r="AR2" s="349">
        <f>FAT!AR2</f>
        <v>1.14E-2</v>
      </c>
      <c r="AS2" s="349">
        <f>FAT!AS2</f>
        <v>1.04E-2</v>
      </c>
      <c r="AT2" s="349">
        <f>FAT!AT2</f>
        <v>1.67E-2</v>
      </c>
      <c r="AU2" s="349">
        <f>FAT!AU2</f>
        <v>1.3475174441242466E-2</v>
      </c>
      <c r="AV2" s="349">
        <f>FAT!AV2</f>
        <v>1.3475174441242466E-2</v>
      </c>
      <c r="AW2" s="349">
        <f>FAT!AW2</f>
        <v>1.3475174441242466E-2</v>
      </c>
      <c r="AX2" s="349">
        <f>FAT!AX2</f>
        <v>1.3475174441242466E-2</v>
      </c>
      <c r="AY2" s="349">
        <f>FAT!AY2</f>
        <v>2.5999999999999999E-2</v>
      </c>
      <c r="AZ2" s="349">
        <f>FAT!AZ2</f>
        <v>1.7496396530000125E-2</v>
      </c>
      <c r="BA2" s="349">
        <f>FAT!BA2</f>
        <v>1.043057830399996E-2</v>
      </c>
      <c r="BB2" s="349">
        <f>FAT!BB2</f>
        <v>7.4178940399998172E-3</v>
      </c>
      <c r="BC2" s="349">
        <f>FAT!BC2</f>
        <v>9.6303213499999707E-3</v>
      </c>
      <c r="BD2" s="349">
        <f>FAT!BD2</f>
        <v>2.1939800180001967E-3</v>
      </c>
      <c r="BE2" s="349">
        <f>FAT!BE2</f>
        <v>5.9114472960000164E-3</v>
      </c>
      <c r="BF2" s="349">
        <f>FAT!BF2</f>
        <v>1.1442611743999853E-2</v>
      </c>
      <c r="BG2" s="349">
        <f>FAT!BG2</f>
        <v>7.0147783519998175E-3</v>
      </c>
      <c r="BH2" s="349">
        <f>FAT!BH2</f>
        <v>1.1239843999999888E-2</v>
      </c>
      <c r="BI2" s="349">
        <f>FAT!BI2</f>
        <v>8.1158400000000963E-3</v>
      </c>
      <c r="BJ2" s="349">
        <f>FAT!BJ2</f>
        <v>3.8999999999999998E-3</v>
      </c>
      <c r="BK2" s="349">
        <f>FAT!BK2</f>
        <v>1.4999999999999999E-2</v>
      </c>
      <c r="BL2" s="349">
        <f>FAT!BL2</f>
        <v>7.1000000000000004E-3</v>
      </c>
      <c r="BM2" s="349">
        <f>FAT!BM2</f>
        <v>2.5999999999999999E-3</v>
      </c>
      <c r="BN2" s="349">
        <f>FAT!BN2</f>
        <v>1.7600000000000001E-2</v>
      </c>
      <c r="BO2" s="349">
        <f>FAT!BO2</f>
        <v>5.4000000000000003E-3</v>
      </c>
      <c r="BP2" s="349">
        <f>FAT!BP2</f>
        <v>-4.3E-3</v>
      </c>
      <c r="BQ2" s="349">
        <f>FAT!BQ2</f>
        <v>1.24E-2</v>
      </c>
      <c r="BR2" s="349">
        <f>FAT!BR2</f>
        <v>3.1E-2</v>
      </c>
      <c r="BS2" s="349">
        <f>FAT!BS2</f>
        <v>2.0400000000000001E-2</v>
      </c>
      <c r="BT2" s="349">
        <f>FAT!BT2</f>
        <v>1.67E-2</v>
      </c>
      <c r="BU2" s="349">
        <f>FAT!BU2</f>
        <v>2.9900000000000003E-2</v>
      </c>
      <c r="BV2" s="349">
        <f>FAT!BV2</f>
        <v>2.9300000000000003E-2</v>
      </c>
      <c r="BW2" s="349">
        <f>FAT!BW2</f>
        <v>3.2199999999999999E-2</v>
      </c>
      <c r="BX2" s="349">
        <f>FAT!BX2</f>
        <v>2.2000000000000002E-2</v>
      </c>
      <c r="BY2" s="349">
        <f>FAT!BY2</f>
        <v>-1.3299999999999999E-2</v>
      </c>
      <c r="BZ2" s="349">
        <f>FAT!BZ2</f>
        <v>1.7500000000000002E-2</v>
      </c>
      <c r="CA2" s="349">
        <f>FAT!CA2</f>
        <v>2.0799999999999999E-2</v>
      </c>
      <c r="CB2" s="349">
        <f>FAT!CB2</f>
        <v>7.6E-3</v>
      </c>
      <c r="CC2" s="349">
        <f>FAT!CC2</f>
        <v>6.0999999999999995E-3</v>
      </c>
      <c r="CD2" s="349">
        <f>FAT!CD2</f>
        <v>1.2E-2</v>
      </c>
      <c r="CE2" s="349">
        <f>FAT!CE2</f>
        <v>1.4154915775999921E-2</v>
      </c>
      <c r="CF2" s="349">
        <f>FAT!CF2</f>
        <v>1.0535156707999871E-2</v>
      </c>
      <c r="CG2" s="349">
        <f>FAT!CG2</f>
        <v>6.2002865600001567E-3</v>
      </c>
      <c r="CH2" s="349">
        <f>FAT!CH2</f>
        <v>0.02</v>
      </c>
      <c r="CI2" s="349">
        <f>FAT!CI2</f>
        <v>2.0403397376000054E-2</v>
      </c>
      <c r="CJ2" s="349">
        <f>FAT!CJ2</f>
        <v>9.327766831999762E-3</v>
      </c>
      <c r="CK2" s="349">
        <f>FAT!CK2</f>
        <v>6.3043262719999493E-3</v>
      </c>
      <c r="CL2" s="350">
        <f>FAT!CL2</f>
        <v>1.093402249999964E-2</v>
      </c>
      <c r="CM2" s="350">
        <f>FAT!CM2</f>
        <v>1.4999999999999999E-2</v>
      </c>
      <c r="CN2" s="350">
        <f>FAT!CN2</f>
        <v>8.5000000000000006E-3</v>
      </c>
      <c r="CO2" s="350">
        <f>FAT!CO2</f>
        <v>6.0000000000000001E-3</v>
      </c>
      <c r="CP2" s="350">
        <f>FAT!CP2</f>
        <v>1.15E-2</v>
      </c>
      <c r="CQ2" s="350"/>
      <c r="CR2" s="350"/>
      <c r="CS2" s="350">
        <v>1.2500000000000001E-2</v>
      </c>
      <c r="CT2" s="1133"/>
      <c r="CU2" s="350">
        <f>FAT!CV2</f>
        <v>7.5968463247999996E-2</v>
      </c>
      <c r="CV2" s="350">
        <f>FAT!CW2</f>
        <v>5.5776603925651952E-2</v>
      </c>
      <c r="CW2" s="350">
        <f>FAT!CX2</f>
        <v>3.1185160416203526E-2</v>
      </c>
      <c r="CX2" s="350">
        <f>FAT!CY2</f>
        <v>4.4600000000000001E-2</v>
      </c>
      <c r="CY2" s="350">
        <f>FAT!CZ2</f>
        <v>5.8900000000000001E-2</v>
      </c>
      <c r="CZ2" s="350">
        <f>FAT!DA2</f>
        <v>4.3099999999999999E-2</v>
      </c>
      <c r="DA2" s="350">
        <f>FAT!DB2</f>
        <v>5.91E-2</v>
      </c>
      <c r="DB2" s="350">
        <f>FAT!DC2</f>
        <v>6.4799999999999996E-2</v>
      </c>
      <c r="DC2" s="350">
        <f>FAT!DD2</f>
        <v>5.7172821503000293E-2</v>
      </c>
      <c r="DD2" s="350">
        <f>FAT!DE2</f>
        <v>5.7908141126000068E-2</v>
      </c>
      <c r="DE2" s="350">
        <f>FAT!DF2</f>
        <v>6.4100000000000004E-2</v>
      </c>
      <c r="DF2" s="350">
        <f>FAT!DG2</f>
        <v>0.1067</v>
      </c>
      <c r="DG2" s="350">
        <f>FAT!DH2</f>
        <v>6.2665012362475903E-2</v>
      </c>
      <c r="DH2" s="350">
        <f>FAT!DI2</f>
        <v>2.9473499083459087E-2</v>
      </c>
      <c r="DI2" s="350">
        <f>FAT!DJ2</f>
        <v>3.0601831439692972E-2</v>
      </c>
      <c r="DJ2" s="350">
        <f>FAT!DK2</f>
        <v>4.2901847469440035E-2</v>
      </c>
      <c r="DK2" s="350">
        <f>FAT!DL2</f>
        <v>4.4908326166231971E-2</v>
      </c>
      <c r="DL2" s="350">
        <f>FAT!DM2</f>
        <v>9.9766038912527666E-2</v>
      </c>
      <c r="DM2" s="350">
        <f>FAT!DN2</f>
        <v>5.7740343796135907E-2</v>
      </c>
      <c r="DN2" s="350">
        <f>FAT!DO2</f>
        <v>4.7250271699456059E-2</v>
      </c>
      <c r="DO2" s="350">
        <f>FAT!DP2</f>
        <v>4.6425617126184315E-2</v>
      </c>
      <c r="DP2" s="350">
        <f>FAT!DQ2</f>
        <v>4.7746622243991066E-2</v>
      </c>
      <c r="DQ2" s="350">
        <f>FAT!DR2</f>
        <v>4.1611611547499816E-2</v>
      </c>
      <c r="DR2" s="350">
        <f>FAT!DS2</f>
        <v>4.7500000000000001E-2</v>
      </c>
      <c r="DS2" s="350">
        <f>FAT!DT2</f>
        <v>4.4999999999999998E-2</v>
      </c>
      <c r="DT2" s="350">
        <f>FAT!DU2</f>
        <v>4.4999999999999998E-2</v>
      </c>
      <c r="DU2" s="350">
        <f>FAT!DV2</f>
        <v>4.4999999999999998E-2</v>
      </c>
      <c r="DV2" s="351"/>
      <c r="DW2" s="351"/>
      <c r="DY2" s="350">
        <v>3.8774748477290233E-2</v>
      </c>
      <c r="DZ2" s="350">
        <v>0.04</v>
      </c>
    </row>
    <row r="3" spans="1:136" s="302" customFormat="1" ht="15.75" hidden="1" thickBot="1">
      <c r="A3" s="348" t="s">
        <v>573</v>
      </c>
      <c r="B3" s="349"/>
      <c r="C3" s="349"/>
      <c r="D3" s="349"/>
      <c r="E3" s="349"/>
      <c r="F3" s="349"/>
      <c r="G3" s="349"/>
      <c r="H3" s="349"/>
      <c r="I3" s="349"/>
      <c r="J3" s="349"/>
      <c r="K3" s="349"/>
      <c r="L3" s="349"/>
      <c r="M3" s="349"/>
      <c r="N3" s="349"/>
      <c r="O3" s="349"/>
      <c r="P3" s="349"/>
      <c r="Q3" s="349"/>
      <c r="R3" s="349"/>
      <c r="S3" s="349"/>
      <c r="T3" s="349"/>
      <c r="U3" s="349"/>
      <c r="V3" s="349"/>
      <c r="W3" s="349"/>
      <c r="X3" s="349"/>
      <c r="Y3" s="349"/>
      <c r="Z3" s="349"/>
      <c r="AA3" s="349"/>
      <c r="AB3" s="349"/>
      <c r="AC3" s="349"/>
      <c r="AD3" s="349"/>
      <c r="AE3" s="349"/>
      <c r="AF3" s="349"/>
      <c r="AG3" s="349"/>
      <c r="AH3" s="349"/>
      <c r="AI3" s="349"/>
      <c r="AJ3" s="349"/>
      <c r="AK3" s="349"/>
      <c r="AL3" s="349"/>
      <c r="AM3" s="349"/>
      <c r="AN3" s="349"/>
      <c r="AO3" s="349"/>
      <c r="AP3" s="349"/>
      <c r="AQ3" s="349"/>
      <c r="AR3" s="349"/>
      <c r="AS3" s="349"/>
      <c r="AT3" s="349"/>
      <c r="AU3" s="349"/>
      <c r="AV3" s="349"/>
      <c r="AW3" s="349"/>
      <c r="AX3" s="349"/>
      <c r="AY3" s="349"/>
      <c r="AZ3" s="349"/>
      <c r="BA3" s="349"/>
      <c r="BB3" s="349"/>
      <c r="BC3" s="349">
        <f>+MACRO!BP14</f>
        <v>4.5710348848857718E-2</v>
      </c>
      <c r="BD3" s="349">
        <f>+MACRO!BQ14</f>
        <v>2.9983614716367679E-2</v>
      </c>
      <c r="BE3" s="349">
        <f>+MACRO!BR14</f>
        <v>2.5377033135266513E-2</v>
      </c>
      <c r="BF3" s="349">
        <f>+MACRO!BS14</f>
        <v>2.9473499083459087E-2</v>
      </c>
      <c r="BG3" s="349">
        <f>+MACRO!BT14</f>
        <v>2.6806550453633449E-2</v>
      </c>
      <c r="BH3" s="349">
        <f>+MACRO!BU14</f>
        <v>3.6074568997372047E-2</v>
      </c>
      <c r="BI3" s="349">
        <f>+MACRO!BV14</f>
        <v>3.8345062316478273E-2</v>
      </c>
      <c r="BJ3" s="349">
        <f>+MACRO!BW14</f>
        <v>3.060183143969275E-2</v>
      </c>
      <c r="BK3" s="349">
        <f>+MACRO!BX14</f>
        <v>3.8774088919715677E-2</v>
      </c>
      <c r="BL3" s="349">
        <f>+MACRO!BY14</f>
        <v>3.4521524402123749E-2</v>
      </c>
      <c r="BM3" s="349">
        <f>+MACRO!BZ14</f>
        <v>2.8861207423909851E-2</v>
      </c>
      <c r="BN3" s="349">
        <f>+MACRO!CA14</f>
        <v>4.2901847469439813E-2</v>
      </c>
      <c r="BO3" s="349">
        <f>+MACRO!CB14</f>
        <v>3.3037948222438551E-2</v>
      </c>
      <c r="BP3" s="349">
        <f>+MACRO!CC14</f>
        <v>2.1344340229452863E-2</v>
      </c>
      <c r="BQ3" s="349">
        <f>+MACRO!CD14</f>
        <v>3.1327558396467392E-2</v>
      </c>
      <c r="BR3" s="349">
        <f>+MACRO!CE14</f>
        <v>4.4908326166231971E-2</v>
      </c>
      <c r="BS3" s="349">
        <f>+MACRO!CF14</f>
        <v>6.0497768072431901E-2</v>
      </c>
      <c r="BT3" s="349">
        <f>+MACRO!CG14</f>
        <v>8.2864397709391691E-2</v>
      </c>
      <c r="BU3" s="349">
        <f>+MACRO!CH14</f>
        <v>0.10158242117829186</v>
      </c>
      <c r="BV3" s="349">
        <f>+MACRO!CI14</f>
        <v>9.9766038912527444E-2</v>
      </c>
      <c r="BW3" s="349">
        <f>+MACRO!CJ14</f>
        <v>0.11248383512888194</v>
      </c>
      <c r="BX3" s="349">
        <f>+MACRO!CK14</f>
        <v>0.11828315088198815</v>
      </c>
      <c r="BY3" s="349">
        <f>+MACRO!CL14</f>
        <v>7.1375847145604077E-2</v>
      </c>
      <c r="BZ3" s="349">
        <f>+MACRO!CM14</f>
        <v>5.909348534990011E-2</v>
      </c>
      <c r="CA3" s="349">
        <f>+MACRO!CN14</f>
        <v>4.7396463713599957E-2</v>
      </c>
      <c r="CB3" s="349">
        <f>+MACRO!CO14</f>
        <v>3.2638627042880008E-2</v>
      </c>
      <c r="CC3" s="349">
        <f>+MACRO!CP14</f>
        <v>5.2941849263040019E-2</v>
      </c>
      <c r="CD3" s="349">
        <f>+MACRO!CQ14</f>
        <v>4.7250271699456059E-2</v>
      </c>
      <c r="CE3" s="349">
        <f>+MACRO!CR14</f>
        <v>4.0433004596154731E-2</v>
      </c>
      <c r="CF3" s="349">
        <f>+MACRO!CS14</f>
        <v>4.3463804430081687E-2</v>
      </c>
      <c r="CG3" s="349">
        <f>+MACRO!CT14</f>
        <v>4.3567815358847239E-2</v>
      </c>
      <c r="CH3" s="349">
        <f>+MACRO!CU14</f>
        <v>4.6425617126184315E-2</v>
      </c>
      <c r="CI3" s="349">
        <f>+MACRO!CV14</f>
        <v>5.2872927209357101E-2</v>
      </c>
      <c r="CJ3" s="349">
        <f>+MACRO!CW14</f>
        <v>5.1614952061645791E-2</v>
      </c>
      <c r="CK3" s="349">
        <f>+MACRO!CX14</f>
        <v>5.1723687586976652E-2</v>
      </c>
      <c r="CL3" s="349">
        <f>+MACRO!CY14</f>
        <v>4.7746622243991066E-2</v>
      </c>
      <c r="CM3" s="349">
        <f>+MACRO!CZ14</f>
        <v>0</v>
      </c>
      <c r="CN3" s="349">
        <f>+MACRO!DA14</f>
        <v>0</v>
      </c>
      <c r="CO3" s="349">
        <f>+MACRO!DB14</f>
        <v>0</v>
      </c>
      <c r="CP3" s="349">
        <f>+MACRO!DC14</f>
        <v>0</v>
      </c>
      <c r="CQ3" s="350"/>
      <c r="CR3" s="350"/>
      <c r="CS3" s="349">
        <v>5.6299376152930014E-2</v>
      </c>
      <c r="CT3" s="1133"/>
      <c r="CU3" s="350"/>
      <c r="CV3" s="350"/>
      <c r="CW3" s="350"/>
      <c r="CX3" s="350"/>
      <c r="CY3" s="350"/>
      <c r="CZ3" s="350"/>
      <c r="DA3" s="350"/>
      <c r="DB3" s="350"/>
      <c r="DC3" s="350"/>
      <c r="DD3" s="350"/>
      <c r="DE3" s="350"/>
      <c r="DF3" s="350"/>
      <c r="DG3" s="350"/>
      <c r="DH3" s="350"/>
      <c r="DI3" s="350"/>
      <c r="DJ3" s="350"/>
      <c r="DK3" s="350"/>
      <c r="DL3" s="350"/>
      <c r="DM3" s="350"/>
      <c r="DN3" s="350"/>
      <c r="DO3" s="350"/>
      <c r="DP3" s="350"/>
      <c r="DQ3" s="350"/>
      <c r="DR3" s="350"/>
      <c r="DS3" s="350"/>
      <c r="DT3" s="350"/>
      <c r="DU3" s="350"/>
      <c r="DV3" s="351"/>
      <c r="DW3" s="351"/>
      <c r="DY3" s="350"/>
      <c r="DZ3" s="350"/>
    </row>
    <row r="4" spans="1:136" s="302" customFormat="1" ht="15.75" hidden="1" thickBot="1">
      <c r="A4" s="352" t="s">
        <v>574</v>
      </c>
      <c r="B4" s="353">
        <v>0</v>
      </c>
      <c r="C4" s="353">
        <v>0</v>
      </c>
      <c r="D4" s="353">
        <v>0</v>
      </c>
      <c r="E4" s="353">
        <v>0</v>
      </c>
      <c r="F4" s="353">
        <v>0</v>
      </c>
      <c r="G4" s="353">
        <v>0</v>
      </c>
      <c r="H4" s="353">
        <v>0</v>
      </c>
      <c r="I4" s="353">
        <v>0</v>
      </c>
      <c r="J4" s="353">
        <v>552336</v>
      </c>
      <c r="K4" s="353">
        <v>332565</v>
      </c>
      <c r="L4" s="353">
        <v>486121</v>
      </c>
      <c r="M4" s="353">
        <v>431726</v>
      </c>
      <c r="N4" s="353">
        <v>692534</v>
      </c>
      <c r="O4" s="353">
        <v>411087</v>
      </c>
      <c r="P4" s="353">
        <v>602910</v>
      </c>
      <c r="Q4" s="353">
        <v>531794</v>
      </c>
      <c r="R4" s="353">
        <v>823372</v>
      </c>
      <c r="S4" s="353">
        <v>506525</v>
      </c>
      <c r="T4" s="353">
        <v>687179</v>
      </c>
      <c r="U4" s="353">
        <v>595212</v>
      </c>
      <c r="V4" s="353">
        <v>827297</v>
      </c>
      <c r="W4" s="353">
        <v>477646</v>
      </c>
      <c r="X4" s="353">
        <v>741885</v>
      </c>
      <c r="Y4" s="353">
        <v>646283</v>
      </c>
      <c r="Z4" s="353">
        <v>953299</v>
      </c>
      <c r="AA4" s="353">
        <v>579418</v>
      </c>
      <c r="AB4" s="353">
        <v>842527</v>
      </c>
      <c r="AC4" s="353">
        <v>755462</v>
      </c>
      <c r="AD4" s="353">
        <v>1095680.7559916228</v>
      </c>
      <c r="AE4" s="353">
        <v>687489.29923982057</v>
      </c>
      <c r="AF4" s="353">
        <v>997743.6670309609</v>
      </c>
      <c r="AG4" s="353">
        <v>873479.72997580003</v>
      </c>
      <c r="AH4" s="353">
        <v>1292613.0736297281</v>
      </c>
      <c r="AI4" s="353">
        <v>823199.37214588071</v>
      </c>
      <c r="AJ4" s="353">
        <v>1137234.5373971986</v>
      </c>
      <c r="AK4" s="353">
        <v>1067982.4786422679</v>
      </c>
      <c r="AL4" s="353">
        <v>1574704.768112096</v>
      </c>
      <c r="AM4" s="353">
        <v>966274.05601597833</v>
      </c>
      <c r="AN4" s="353">
        <v>1259455.0175637018</v>
      </c>
      <c r="AO4" s="353">
        <v>1205849.1874647916</v>
      </c>
      <c r="AP4" s="353">
        <v>1772329.1580664271</v>
      </c>
      <c r="AQ4" s="353">
        <f>FAT!AQ7</f>
        <v>1083003.1640689215</v>
      </c>
      <c r="AR4" s="353">
        <f>FAT!AR7</f>
        <v>1477482.7697021493</v>
      </c>
      <c r="AS4" s="353">
        <f>FAT!AS7</f>
        <v>1392237.2361294983</v>
      </c>
      <c r="AT4" s="353">
        <f>FAT!AT7</f>
        <v>2220220.2367163766</v>
      </c>
      <c r="AU4" s="353">
        <f>FAT!AU7</f>
        <v>1344113.5764455644</v>
      </c>
      <c r="AV4" s="353">
        <f>FAT!AV7</f>
        <v>1800615.6494386771</v>
      </c>
      <c r="AW4" s="353">
        <f>FAT!AW7</f>
        <v>1659858.9382070601</v>
      </c>
      <c r="AX4" s="353">
        <f>FAT!AX7</f>
        <v>2443011.2553276955</v>
      </c>
      <c r="AY4" s="353">
        <f>FAT!AY7</f>
        <v>1430875.3376821077</v>
      </c>
      <c r="AZ4" s="353">
        <f>FAT!AZ7</f>
        <v>1947488.4376056804</v>
      </c>
      <c r="BA4" s="353">
        <f>FAT!BA7</f>
        <v>1675885.4640547496</v>
      </c>
      <c r="BB4" s="353">
        <f>FAT!BB7</f>
        <v>2553553.6596135087</v>
      </c>
      <c r="BC4" s="353">
        <f>FAT!BC7</f>
        <v>1640494</v>
      </c>
      <c r="BD4" s="353">
        <f>FAT!BD7</f>
        <v>2145733</v>
      </c>
      <c r="BE4" s="353">
        <f>FAT!BE7</f>
        <v>1982620</v>
      </c>
      <c r="BF4" s="353">
        <f>FAT!BF7</f>
        <v>2918819</v>
      </c>
      <c r="BG4" s="353">
        <f>FAT!BG7</f>
        <v>1823658</v>
      </c>
      <c r="BH4" s="353">
        <f>FAT!BH7</f>
        <v>2328836.5376799996</v>
      </c>
      <c r="BI4" s="353">
        <f>FAT!BI7</f>
        <v>2234198</v>
      </c>
      <c r="BJ4" s="353">
        <f>FAT!BJ7</f>
        <v>3618440</v>
      </c>
      <c r="BK4" s="353">
        <f>FAT!BK7</f>
        <v>2295081</v>
      </c>
      <c r="BL4" s="353">
        <f>FAT!BL7</f>
        <v>2807673</v>
      </c>
      <c r="BM4" s="353">
        <f>FAT!BM7</f>
        <v>2679703</v>
      </c>
      <c r="BN4" s="353">
        <f>FAT!BN7</f>
        <v>3991792</v>
      </c>
      <c r="BO4" s="353">
        <f>FAT!BO7</f>
        <v>2148076</v>
      </c>
      <c r="BP4" s="353">
        <f>FAT!BP7</f>
        <v>747075</v>
      </c>
      <c r="BQ4" s="353">
        <f>FAT!BQ7</f>
        <v>2386644</v>
      </c>
      <c r="BR4" s="353">
        <f>FAT!BR7</f>
        <v>4126576</v>
      </c>
      <c r="BS4" s="353">
        <f>FAT!BS7</f>
        <v>1919010</v>
      </c>
      <c r="BT4" s="353">
        <f>FAT!BT7</f>
        <v>3151300</v>
      </c>
      <c r="BU4" s="353">
        <f>FAT!BU7</f>
        <v>3291853</v>
      </c>
      <c r="BV4" s="353">
        <f>FAT!BV7</f>
        <v>4935284</v>
      </c>
      <c r="BW4" s="353">
        <f>FAT!BW7</f>
        <v>3069733</v>
      </c>
      <c r="BX4" s="353">
        <f>FAT!BX7</f>
        <v>4392869</v>
      </c>
      <c r="BY4" s="353">
        <f>FAT!BY7</f>
        <v>3588817</v>
      </c>
      <c r="BZ4" s="353">
        <f>FAT!BZ7</f>
        <v>4908186</v>
      </c>
      <c r="CA4" s="353">
        <f>FAT!CA7</f>
        <v>3164222</v>
      </c>
      <c r="CB4" s="353">
        <f>FAT!CB7</f>
        <v>4170321</v>
      </c>
      <c r="CC4" s="353">
        <f>FAT!CC7</f>
        <v>3673020</v>
      </c>
      <c r="CD4" s="353">
        <f>FAT!CD7</f>
        <v>5779854</v>
      </c>
      <c r="CE4" s="353">
        <f>FAT!CE7</f>
        <v>3176292</v>
      </c>
      <c r="CF4" s="353">
        <f>FAT!CF7</f>
        <v>4010926</v>
      </c>
      <c r="CG4" s="353">
        <f>FAT!CG7</f>
        <v>3845619</v>
      </c>
      <c r="CH4" s="353">
        <f>FAT!CH7</f>
        <v>5442480</v>
      </c>
      <c r="CI4" s="353">
        <f>FAT!CI7</f>
        <v>3586902</v>
      </c>
      <c r="CJ4" s="353">
        <f>FAT!CJ7</f>
        <v>4789516</v>
      </c>
      <c r="CK4" s="353">
        <f>FAT!CK7</f>
        <v>4026865</v>
      </c>
      <c r="CL4" s="353">
        <f>FAT!CL7</f>
        <v>5727542.5607307982</v>
      </c>
      <c r="CM4" s="353">
        <f>FAT!CM7</f>
        <v>3842726.1174773257</v>
      </c>
      <c r="CN4" s="353">
        <f>FAT!CN7</f>
        <v>5043327.9406771557</v>
      </c>
      <c r="CO4" s="353">
        <f>FAT!CO7</f>
        <v>4362807.1911394559</v>
      </c>
      <c r="CP4" s="353">
        <f>FAT!CP7</f>
        <v>6207763.0399443367</v>
      </c>
      <c r="CQ4" s="353"/>
      <c r="CR4" s="353"/>
      <c r="CS4" s="353">
        <v>4747265.4329721658</v>
      </c>
      <c r="CT4" s="1133"/>
      <c r="CU4" s="353">
        <f>FAT!CV7</f>
        <v>0</v>
      </c>
      <c r="CV4" s="353">
        <f>FAT!CW7</f>
        <v>552336</v>
      </c>
      <c r="CW4" s="353">
        <f>FAT!CX7</f>
        <v>1942946</v>
      </c>
      <c r="CX4" s="353">
        <f>FAT!CY7</f>
        <v>2369163</v>
      </c>
      <c r="CY4" s="353">
        <f>FAT!CZ7</f>
        <v>2616213</v>
      </c>
      <c r="CZ4" s="353">
        <f>FAT!DA7</f>
        <v>2819113</v>
      </c>
      <c r="DA4" s="353">
        <f>FAT!DB7</f>
        <v>3273087.7559916228</v>
      </c>
      <c r="DB4" s="353">
        <f>FAT!DC7</f>
        <v>3851325.7698763097</v>
      </c>
      <c r="DC4" s="353">
        <f>FAT!DD7</f>
        <v>4603121.1562974434</v>
      </c>
      <c r="DD4" s="353">
        <f>FAT!DE7</f>
        <v>5203907.4191108989</v>
      </c>
      <c r="DE4" s="353">
        <f>FAT!DF7</f>
        <v>6172943.4066169458</v>
      </c>
      <c r="DF4" s="353">
        <f>FAT!DG7</f>
        <v>7247599.4194189981</v>
      </c>
      <c r="DG4" s="353">
        <f>FAT!DH7</f>
        <v>7607802.8989560464</v>
      </c>
      <c r="DH4" s="353">
        <f>FAT!DI7</f>
        <v>8687666</v>
      </c>
      <c r="DI4" s="353">
        <f>FAT!DJ7</f>
        <v>10005132.53768</v>
      </c>
      <c r="DJ4" s="353">
        <f>FAT!DK7</f>
        <v>11774249</v>
      </c>
      <c r="DK4" s="353">
        <f>FAT!DL7</f>
        <v>9408371</v>
      </c>
      <c r="DL4" s="353">
        <f>FAT!DM7</f>
        <v>13297447</v>
      </c>
      <c r="DM4" s="353">
        <f>FAT!DN7</f>
        <v>15959605</v>
      </c>
      <c r="DN4" s="353">
        <f>FAT!DO7</f>
        <v>16787417</v>
      </c>
      <c r="DO4" s="353">
        <f>FAT!DP7</f>
        <v>16475317</v>
      </c>
      <c r="DP4" s="353">
        <f>FAT!DQ7</f>
        <v>18130825.5607308</v>
      </c>
      <c r="DQ4" s="353">
        <f>FAT!DR7</f>
        <v>19456624.289238274</v>
      </c>
      <c r="DR4" s="353">
        <f>FAT!DS7</f>
        <v>21110105.677278552</v>
      </c>
      <c r="DS4" s="353">
        <f>FAT!DT7</f>
        <v>22738432.254074931</v>
      </c>
      <c r="DT4" s="353">
        <f>FAT!DU7</f>
        <v>24470733.708531935</v>
      </c>
      <c r="DU4" s="353">
        <f>FAT!DV7</f>
        <v>26322727.311797157</v>
      </c>
      <c r="DV4" s="354"/>
      <c r="DW4" s="354"/>
      <c r="DY4" s="353">
        <v>18503680.587582119</v>
      </c>
      <c r="DZ4" s="353">
        <v>19780992.76382212</v>
      </c>
    </row>
    <row r="5" spans="1:136">
      <c r="A5" s="262" t="s">
        <v>575</v>
      </c>
      <c r="B5" s="260"/>
      <c r="C5" s="260"/>
      <c r="D5" s="260"/>
      <c r="E5" s="260"/>
      <c r="F5" s="260"/>
      <c r="G5" s="260"/>
      <c r="H5" s="260"/>
      <c r="I5" s="260"/>
      <c r="J5" s="260"/>
      <c r="K5" s="260"/>
      <c r="L5" s="260"/>
      <c r="M5" s="260"/>
      <c r="N5" s="260"/>
      <c r="O5" s="260"/>
      <c r="P5" s="260"/>
      <c r="Q5" s="260"/>
      <c r="R5" s="260"/>
      <c r="S5" s="260"/>
      <c r="T5" s="260"/>
      <c r="U5" s="260"/>
      <c r="V5" s="260"/>
      <c r="W5" s="260"/>
      <c r="X5" s="260"/>
      <c r="Y5" s="260"/>
      <c r="Z5" s="260"/>
      <c r="AA5" s="260"/>
      <c r="AB5" s="260"/>
      <c r="AC5" s="260"/>
      <c r="AD5" s="260"/>
      <c r="AE5" s="260"/>
      <c r="AF5" s="260"/>
      <c r="AG5" s="260"/>
      <c r="AH5" s="260"/>
      <c r="AI5" s="260"/>
      <c r="AJ5" s="260"/>
      <c r="AK5" s="260"/>
      <c r="AL5" s="260"/>
      <c r="AM5" s="260"/>
      <c r="AN5" s="260"/>
      <c r="AO5" s="260"/>
      <c r="AP5" s="260"/>
      <c r="AQ5" s="260"/>
      <c r="AR5" s="260"/>
      <c r="AS5" s="260"/>
      <c r="AT5" s="260"/>
      <c r="AU5" s="260"/>
      <c r="AV5" s="260"/>
      <c r="AW5" s="260"/>
      <c r="AX5" s="260"/>
      <c r="AY5" s="260"/>
      <c r="AZ5" s="260"/>
      <c r="BA5" s="260"/>
      <c r="BB5" s="260"/>
      <c r="BC5" s="260"/>
      <c r="BD5" s="260"/>
      <c r="BE5" s="260"/>
      <c r="BF5" s="260"/>
      <c r="BG5" s="260"/>
      <c r="BH5" s="260"/>
      <c r="BI5" s="260"/>
      <c r="BJ5" s="260"/>
      <c r="BK5" s="260"/>
      <c r="BL5" s="260"/>
      <c r="BM5" s="260"/>
      <c r="BN5" s="260"/>
      <c r="BO5" s="260"/>
      <c r="BP5" s="260"/>
      <c r="BQ5" s="260"/>
      <c r="BR5" s="260"/>
      <c r="BS5" s="260"/>
      <c r="BT5" s="260"/>
      <c r="BU5" s="260"/>
      <c r="BV5" s="260"/>
      <c r="BW5" s="260"/>
      <c r="BX5" s="260"/>
      <c r="BY5" s="260"/>
      <c r="BZ5" s="260"/>
      <c r="CA5" s="260"/>
      <c r="CB5" s="260"/>
      <c r="CC5" s="260"/>
      <c r="CD5" s="260"/>
      <c r="CE5" s="260"/>
      <c r="CF5" s="260"/>
      <c r="CG5" s="260"/>
      <c r="CH5" s="260"/>
      <c r="CI5" s="260"/>
      <c r="CJ5" s="260"/>
      <c r="CK5" s="260"/>
      <c r="CL5" s="260"/>
      <c r="CM5" s="260"/>
      <c r="CN5" s="260"/>
      <c r="CO5" s="260"/>
      <c r="CP5" s="260"/>
      <c r="CQ5" s="260"/>
      <c r="CR5" s="260"/>
      <c r="CS5" s="260"/>
      <c r="CT5" s="1133"/>
      <c r="CU5" s="260"/>
      <c r="CV5" s="261" t="e">
        <f>#REF!/#REF!-1</f>
        <v>#REF!</v>
      </c>
      <c r="CW5" s="261"/>
      <c r="CX5" s="261"/>
      <c r="CY5" s="261"/>
      <c r="CZ5" s="261"/>
      <c r="DA5" s="261"/>
      <c r="DB5" s="261"/>
      <c r="DC5" s="261"/>
      <c r="DD5" s="261"/>
      <c r="DE5" s="260"/>
      <c r="DF5" s="260"/>
      <c r="DG5" s="260"/>
      <c r="DH5" s="260"/>
      <c r="DI5" s="260"/>
      <c r="DJ5" s="260"/>
      <c r="DK5" s="260"/>
      <c r="DL5" s="260"/>
      <c r="DM5" s="260"/>
      <c r="DN5" s="260"/>
      <c r="DO5" s="260"/>
      <c r="DP5" s="260"/>
      <c r="DQ5" s="260"/>
      <c r="DR5" s="260"/>
      <c r="DS5" s="260"/>
      <c r="DT5" s="260"/>
      <c r="DU5" s="260"/>
      <c r="DV5" s="260"/>
      <c r="DW5" s="260"/>
      <c r="DY5" s="260"/>
      <c r="DZ5" s="260"/>
    </row>
    <row r="6" spans="1:136">
      <c r="A6" s="414" t="s">
        <v>576</v>
      </c>
      <c r="B6" s="415"/>
      <c r="C6" s="416">
        <v>6.8</v>
      </c>
      <c r="D6" s="416"/>
      <c r="E6" s="416"/>
      <c r="F6" s="416">
        <v>7.5790000000000006</v>
      </c>
      <c r="G6" s="416">
        <v>7.8</v>
      </c>
      <c r="H6" s="416">
        <v>8.06</v>
      </c>
      <c r="I6" s="416">
        <v>8.3000000000000007</v>
      </c>
      <c r="J6" s="416">
        <v>8.67</v>
      </c>
      <c r="K6" s="416">
        <v>8.9</v>
      </c>
      <c r="L6" s="416">
        <v>9.4</v>
      </c>
      <c r="M6" s="416">
        <v>9.6999999999999993</v>
      </c>
      <c r="N6" s="416">
        <v>10.3</v>
      </c>
      <c r="O6" s="416">
        <v>10.6</v>
      </c>
      <c r="P6" s="416">
        <v>11</v>
      </c>
      <c r="Q6" s="416">
        <v>11.5</v>
      </c>
      <c r="R6" s="416">
        <v>12</v>
      </c>
      <c r="S6" s="416">
        <v>12.4</v>
      </c>
      <c r="T6" s="416">
        <v>12.7</v>
      </c>
      <c r="U6" s="416">
        <v>13.1</v>
      </c>
      <c r="V6" s="416">
        <v>13.6</v>
      </c>
      <c r="W6" s="416">
        <v>13.8</v>
      </c>
      <c r="X6" s="416">
        <v>14.3</v>
      </c>
      <c r="Y6" s="416">
        <v>14.7</v>
      </c>
      <c r="Z6" s="416">
        <v>15.2</v>
      </c>
      <c r="AA6" s="416">
        <v>15.6</v>
      </c>
      <c r="AB6" s="416">
        <v>16</v>
      </c>
      <c r="AC6" s="416">
        <v>16.399999999999999</v>
      </c>
      <c r="AD6" s="416">
        <v>17.100000000000001</v>
      </c>
      <c r="AE6" s="416">
        <v>17.5</v>
      </c>
      <c r="AF6" s="416">
        <v>17.899999999999999</v>
      </c>
      <c r="AG6" s="416">
        <v>18.399999999999999</v>
      </c>
      <c r="AH6" s="416">
        <v>19</v>
      </c>
      <c r="AI6" s="416">
        <v>19.399999999999999</v>
      </c>
      <c r="AJ6" s="416">
        <v>19.8</v>
      </c>
      <c r="AK6" s="416">
        <v>20.2</v>
      </c>
      <c r="AL6" s="416">
        <v>20.8</v>
      </c>
      <c r="AM6" s="416">
        <v>21.1</v>
      </c>
      <c r="AN6" s="416">
        <v>21.6</v>
      </c>
      <c r="AO6" s="416">
        <v>22</v>
      </c>
      <c r="AP6" s="416">
        <v>22.5</v>
      </c>
      <c r="AQ6" s="629">
        <v>22.8</v>
      </c>
      <c r="AR6" s="629">
        <v>23.3</v>
      </c>
      <c r="AS6" s="629">
        <v>23.7</v>
      </c>
      <c r="AT6" s="629">
        <v>24.3</v>
      </c>
      <c r="AU6" s="629">
        <v>24.7</v>
      </c>
      <c r="AV6" s="629">
        <v>25.2</v>
      </c>
      <c r="AW6" s="629">
        <v>25.6</v>
      </c>
      <c r="AX6" s="629">
        <v>26</v>
      </c>
      <c r="AY6" s="629">
        <v>26.2</v>
      </c>
      <c r="AZ6" s="629">
        <v>26.6</v>
      </c>
      <c r="BA6" s="629">
        <v>26.9</v>
      </c>
      <c r="BB6" s="629">
        <v>27.4</v>
      </c>
      <c r="BC6" s="629">
        <v>27.7</v>
      </c>
      <c r="BD6" s="629">
        <v>28</v>
      </c>
      <c r="BE6" s="629">
        <v>28.4</v>
      </c>
      <c r="BF6" s="629">
        <v>28.847245000000001</v>
      </c>
      <c r="BG6" s="629">
        <v>29.2</v>
      </c>
      <c r="BH6" s="629">
        <v>29.589276999999999</v>
      </c>
      <c r="BI6" s="629">
        <v>30.006012999999999</v>
      </c>
      <c r="BJ6" s="629">
        <v>30.583219</v>
      </c>
      <c r="BK6" s="629">
        <v>30.965406999999999</v>
      </c>
      <c r="BL6" s="629">
        <v>31.452252999999999</v>
      </c>
      <c r="BM6" s="630">
        <v>31.9</v>
      </c>
      <c r="BN6" s="630">
        <v>32.528067</v>
      </c>
      <c r="BO6" s="630">
        <v>32.872098999999999</v>
      </c>
      <c r="BP6" s="630">
        <v>32.944091</v>
      </c>
      <c r="BQ6" s="630">
        <v>33.266879000000003</v>
      </c>
      <c r="BR6" s="630">
        <v>33.799999999999997</v>
      </c>
      <c r="BS6" s="630">
        <v>33.953814000000001</v>
      </c>
      <c r="BT6" s="630">
        <v>34.184426000000002</v>
      </c>
      <c r="BU6" s="630">
        <v>34.449674000000002</v>
      </c>
      <c r="BV6" s="630">
        <v>34.695143000000002</v>
      </c>
      <c r="BW6" s="630">
        <v>34.841377999999999</v>
      </c>
      <c r="BX6" s="630">
        <v>35.012151000000003</v>
      </c>
      <c r="BY6" s="630">
        <v>35.121651</v>
      </c>
      <c r="BZ6" s="630">
        <v>35.200000000000003</v>
      </c>
      <c r="CA6" s="630">
        <v>35.324933999999999</v>
      </c>
      <c r="CB6" s="630">
        <v>35.477778999999998</v>
      </c>
      <c r="CC6" s="630">
        <v>35.602145</v>
      </c>
      <c r="CD6" s="1912"/>
      <c r="CE6" s="1912"/>
      <c r="CF6" s="1912"/>
      <c r="CG6" s="1912"/>
      <c r="CH6" s="1912"/>
      <c r="CI6" s="1912"/>
      <c r="CJ6" s="1912"/>
      <c r="CK6" s="1912"/>
      <c r="CL6" s="1913"/>
      <c r="CM6" s="1913"/>
      <c r="CN6" s="1913"/>
      <c r="CO6" s="1913"/>
      <c r="CP6" s="1913"/>
      <c r="CQ6" s="259"/>
      <c r="CR6" s="259"/>
      <c r="CS6" s="1913"/>
      <c r="CT6" s="1133" t="e">
        <f>+CI6/CS6-1</f>
        <v>#DIV/0!</v>
      </c>
      <c r="CU6" s="234">
        <f>F6</f>
        <v>7.5790000000000006</v>
      </c>
      <c r="CV6" s="234">
        <f>J6</f>
        <v>8.67</v>
      </c>
      <c r="CW6" s="234">
        <f>N6</f>
        <v>10.3</v>
      </c>
      <c r="CX6" s="234">
        <f>R6</f>
        <v>12</v>
      </c>
      <c r="CY6" s="234">
        <f>V6</f>
        <v>13.6</v>
      </c>
      <c r="CZ6" s="234">
        <f>Z6</f>
        <v>15.2</v>
      </c>
      <c r="DA6" s="234">
        <f>+AD6</f>
        <v>17.100000000000001</v>
      </c>
      <c r="DB6" s="234">
        <f>+AH6</f>
        <v>19</v>
      </c>
      <c r="DC6" s="234">
        <f>+AL6</f>
        <v>20.8</v>
      </c>
      <c r="DD6" s="234">
        <f>+AP6</f>
        <v>22.5</v>
      </c>
      <c r="DE6" s="234">
        <f>+AT6</f>
        <v>24.3</v>
      </c>
      <c r="DF6" s="234">
        <f>+AX6</f>
        <v>26</v>
      </c>
      <c r="DG6" s="234">
        <f>+BB6</f>
        <v>27.4</v>
      </c>
      <c r="DH6" s="234">
        <f>+BF6</f>
        <v>28.847245000000001</v>
      </c>
      <c r="DI6" s="234">
        <f>+BJ6</f>
        <v>30.583219</v>
      </c>
      <c r="DJ6" s="234">
        <f>+BN6</f>
        <v>32.528067</v>
      </c>
      <c r="DK6" s="234">
        <f>+BR6</f>
        <v>33.799999999999997</v>
      </c>
      <c r="DL6" s="234">
        <f>+BV6</f>
        <v>34.695143000000002</v>
      </c>
      <c r="DM6" s="234">
        <f>+BZ6</f>
        <v>35.200000000000003</v>
      </c>
      <c r="DN6" s="1964"/>
      <c r="DO6" s="1964"/>
      <c r="DP6" s="1964"/>
      <c r="DQ6" s="1964"/>
      <c r="DR6" s="1964"/>
      <c r="DS6" s="1964"/>
      <c r="DT6" s="1964"/>
      <c r="DU6" s="1964"/>
      <c r="DV6" s="233"/>
      <c r="DW6" s="233"/>
      <c r="DY6" s="234" t="e">
        <v>#DIV/0!</v>
      </c>
      <c r="DZ6" s="234" t="e">
        <v>#DIV/0!</v>
      </c>
    </row>
    <row r="7" spans="1:136">
      <c r="A7" s="417" t="s">
        <v>169</v>
      </c>
      <c r="B7" s="418"/>
      <c r="C7" s="418"/>
      <c r="D7" s="418"/>
      <c r="E7" s="418"/>
      <c r="F7" s="418"/>
      <c r="G7" s="419">
        <v>0.14705882352941169</v>
      </c>
      <c r="H7" s="419"/>
      <c r="I7" s="419"/>
      <c r="J7" s="419">
        <v>0.14395038923340797</v>
      </c>
      <c r="K7" s="419">
        <v>0.14102564102564119</v>
      </c>
      <c r="L7" s="419">
        <v>0.16625310173697261</v>
      </c>
      <c r="M7" s="419">
        <v>0.1686746987951806</v>
      </c>
      <c r="N7" s="419">
        <v>0.18800461361015008</v>
      </c>
      <c r="O7" s="419">
        <v>0.1910112359550562</v>
      </c>
      <c r="P7" s="419">
        <v>0.17021276595744683</v>
      </c>
      <c r="Q7" s="419">
        <v>0.18556701030927836</v>
      </c>
      <c r="R7" s="419">
        <v>0.16504854368932032</v>
      </c>
      <c r="S7" s="419">
        <v>0.16981132075471694</v>
      </c>
      <c r="T7" s="419">
        <v>0.15454545454545454</v>
      </c>
      <c r="U7" s="419">
        <v>0.13913043478260856</v>
      </c>
      <c r="V7" s="419">
        <v>0.1333333333333333</v>
      </c>
      <c r="W7" s="419">
        <v>0.11290322580645173</v>
      </c>
      <c r="X7" s="419">
        <v>0.12598425196850416</v>
      </c>
      <c r="Y7" s="419">
        <v>0.12213740458015265</v>
      </c>
      <c r="Z7" s="419">
        <v>0.11764705882352944</v>
      </c>
      <c r="AA7" s="419">
        <v>0.13043478260869557</v>
      </c>
      <c r="AB7" s="419">
        <v>0.11888111888111874</v>
      </c>
      <c r="AC7" s="419">
        <v>0.11564625850340127</v>
      </c>
      <c r="AD7" s="419">
        <v>0.12500000000000022</v>
      </c>
      <c r="AE7" s="419">
        <v>0.12179487179487181</v>
      </c>
      <c r="AF7" s="419">
        <v>0.11874999999999991</v>
      </c>
      <c r="AG7" s="419">
        <v>0.12195121951219523</v>
      </c>
      <c r="AH7" s="419">
        <v>0.11111111111111094</v>
      </c>
      <c r="AI7" s="419">
        <v>0.10857142857142854</v>
      </c>
      <c r="AJ7" s="419">
        <v>0.1061452513966481</v>
      </c>
      <c r="AK7" s="419">
        <v>9.7826086956521729E-2</v>
      </c>
      <c r="AL7" s="419">
        <v>9.473684210526323E-2</v>
      </c>
      <c r="AM7" s="419">
        <v>8.7628865979381576E-2</v>
      </c>
      <c r="AN7" s="419">
        <v>9.090909090909105E-2</v>
      </c>
      <c r="AO7" s="419">
        <v>8.9108910891089188E-2</v>
      </c>
      <c r="AP7" s="419">
        <v>8.1730769230769162E-2</v>
      </c>
      <c r="AQ7" s="419">
        <f t="shared" ref="AQ7:BD7" si="6">AQ6/AM6-1</f>
        <v>8.0568720379146974E-2</v>
      </c>
      <c r="AR7" s="419">
        <f t="shared" si="6"/>
        <v>7.870370370370372E-2</v>
      </c>
      <c r="AS7" s="419">
        <f t="shared" si="6"/>
        <v>7.727272727272716E-2</v>
      </c>
      <c r="AT7" s="419">
        <f t="shared" si="6"/>
        <v>8.0000000000000071E-2</v>
      </c>
      <c r="AU7" s="419">
        <f t="shared" si="6"/>
        <v>8.3333333333333259E-2</v>
      </c>
      <c r="AV7" s="419">
        <f t="shared" si="6"/>
        <v>8.1545064377682275E-2</v>
      </c>
      <c r="AW7" s="419">
        <f t="shared" si="6"/>
        <v>8.0168776371308148E-2</v>
      </c>
      <c r="AX7" s="419">
        <f t="shared" si="6"/>
        <v>6.9958847736625529E-2</v>
      </c>
      <c r="AY7" s="419">
        <f t="shared" si="6"/>
        <v>6.0728744939271273E-2</v>
      </c>
      <c r="AZ7" s="419">
        <f t="shared" si="6"/>
        <v>5.555555555555558E-2</v>
      </c>
      <c r="BA7" s="419">
        <f t="shared" si="6"/>
        <v>5.0781249999999778E-2</v>
      </c>
      <c r="BB7" s="419">
        <f t="shared" si="6"/>
        <v>5.3846153846153877E-2</v>
      </c>
      <c r="BC7" s="419">
        <f t="shared" si="6"/>
        <v>5.7251908396946494E-2</v>
      </c>
      <c r="BD7" s="419">
        <f t="shared" si="6"/>
        <v>5.2631578947368363E-2</v>
      </c>
      <c r="BE7" s="419">
        <f>BE6/BA6-1</f>
        <v>5.5762081784386686E-2</v>
      </c>
      <c r="BF7" s="419">
        <f>BF6/BB6-1</f>
        <v>5.2819160583941649E-2</v>
      </c>
      <c r="BG7" s="419">
        <f>BG6/BC6-1</f>
        <v>5.4151624548736566E-2</v>
      </c>
      <c r="BH7" s="419">
        <f>BH6/BD6-1</f>
        <v>5.6759892857142891E-2</v>
      </c>
      <c r="BI7" s="419">
        <f t="shared" ref="BI7:CC7" si="7">BI6/BE6-1</f>
        <v>5.6549753521126789E-2</v>
      </c>
      <c r="BJ7" s="419">
        <f t="shared" si="7"/>
        <v>6.0178155660965071E-2</v>
      </c>
      <c r="BK7" s="419">
        <f t="shared" si="7"/>
        <v>6.0459143835616347E-2</v>
      </c>
      <c r="BL7" s="419">
        <f t="shared" si="7"/>
        <v>6.2961186919166634E-2</v>
      </c>
      <c r="BM7" s="419">
        <f t="shared" si="7"/>
        <v>6.3120248598172557E-2</v>
      </c>
      <c r="BN7" s="419">
        <f t="shared" si="7"/>
        <v>6.3591997951556456E-2</v>
      </c>
      <c r="BO7" s="419">
        <f t="shared" si="7"/>
        <v>6.1574905183710227E-2</v>
      </c>
      <c r="BP7" s="419">
        <f t="shared" si="7"/>
        <v>4.7431832625790094E-2</v>
      </c>
      <c r="BQ7" s="419">
        <f t="shared" si="7"/>
        <v>4.2848871473354366E-2</v>
      </c>
      <c r="BR7" s="419">
        <f t="shared" si="7"/>
        <v>3.9102630967896124E-2</v>
      </c>
      <c r="BS7" s="419">
        <f t="shared" si="7"/>
        <v>3.2906782131557843E-2</v>
      </c>
      <c r="BT7" s="419">
        <f t="shared" si="7"/>
        <v>3.7649695661658988E-2</v>
      </c>
      <c r="BU7" s="419">
        <f t="shared" si="7"/>
        <v>3.5554732982315596E-2</v>
      </c>
      <c r="BV7" s="419">
        <f t="shared" si="7"/>
        <v>2.6483520710059327E-2</v>
      </c>
      <c r="BW7" s="419">
        <f t="shared" si="7"/>
        <v>2.6140332865109084E-2</v>
      </c>
      <c r="BX7" s="419">
        <f t="shared" si="7"/>
        <v>2.4213511731921544E-2</v>
      </c>
      <c r="BY7" s="419">
        <f t="shared" si="7"/>
        <v>1.9506048155927269E-2</v>
      </c>
      <c r="BZ7" s="419">
        <f t="shared" si="7"/>
        <v>1.4551229836406776E-2</v>
      </c>
      <c r="CA7" s="419">
        <f t="shared" si="7"/>
        <v>1.3878785161711926E-2</v>
      </c>
      <c r="CB7" s="419">
        <f t="shared" si="7"/>
        <v>1.3299040096108161E-2</v>
      </c>
      <c r="CC7" s="419">
        <f t="shared" si="7"/>
        <v>1.3680848887200669E-2</v>
      </c>
      <c r="CD7" s="1914"/>
      <c r="CE7" s="1914"/>
      <c r="CF7" s="1914"/>
      <c r="CG7" s="1914"/>
      <c r="CH7" s="1914"/>
      <c r="CI7" s="1914"/>
      <c r="CJ7" s="1914"/>
      <c r="CK7" s="1914"/>
      <c r="CL7" s="1915"/>
      <c r="CM7" s="1915"/>
      <c r="CN7" s="1915"/>
      <c r="CO7" s="1915"/>
      <c r="CP7" s="1915"/>
      <c r="CQ7" s="258"/>
      <c r="CR7" s="258"/>
      <c r="CS7" s="1915"/>
      <c r="CT7" s="1133"/>
      <c r="CU7" s="257"/>
      <c r="CV7" s="231">
        <f t="shared" ref="CV7:DL7" si="8">CV6/CU6-1</f>
        <v>0.14395038923340797</v>
      </c>
      <c r="CW7" s="231">
        <f t="shared" si="8"/>
        <v>0.18800461361015008</v>
      </c>
      <c r="CX7" s="231">
        <f t="shared" si="8"/>
        <v>0.16504854368932032</v>
      </c>
      <c r="CY7" s="231">
        <f t="shared" si="8"/>
        <v>0.1333333333333333</v>
      </c>
      <c r="CZ7" s="231">
        <f t="shared" si="8"/>
        <v>0.11764705882352944</v>
      </c>
      <c r="DA7" s="231">
        <f t="shared" si="8"/>
        <v>0.12500000000000022</v>
      </c>
      <c r="DB7" s="231">
        <f t="shared" si="8"/>
        <v>0.11111111111111094</v>
      </c>
      <c r="DC7" s="231">
        <f t="shared" si="8"/>
        <v>9.473684210526323E-2</v>
      </c>
      <c r="DD7" s="231">
        <f t="shared" si="8"/>
        <v>8.1730769230769162E-2</v>
      </c>
      <c r="DE7" s="231">
        <f t="shared" si="8"/>
        <v>8.0000000000000071E-2</v>
      </c>
      <c r="DF7" s="231">
        <f t="shared" si="8"/>
        <v>6.9958847736625529E-2</v>
      </c>
      <c r="DG7" s="231">
        <f t="shared" si="8"/>
        <v>5.3846153846153877E-2</v>
      </c>
      <c r="DH7" s="231">
        <f t="shared" si="8"/>
        <v>5.2819160583941649E-2</v>
      </c>
      <c r="DI7" s="231">
        <f t="shared" si="8"/>
        <v>6.0178155660965071E-2</v>
      </c>
      <c r="DJ7" s="231">
        <f t="shared" si="8"/>
        <v>6.3591997951556456E-2</v>
      </c>
      <c r="DK7" s="231">
        <f t="shared" si="8"/>
        <v>3.9102630967896124E-2</v>
      </c>
      <c r="DL7" s="231">
        <f t="shared" si="8"/>
        <v>2.6483520710059327E-2</v>
      </c>
      <c r="DM7" s="231">
        <f>DM6/DL6-1</f>
        <v>1.4551229836406776E-2</v>
      </c>
      <c r="DN7" s="1965"/>
      <c r="DO7" s="1965"/>
      <c r="DP7" s="1965"/>
      <c r="DQ7" s="1965"/>
      <c r="DR7" s="1966"/>
      <c r="DS7" s="1966"/>
      <c r="DT7" s="1966"/>
      <c r="DU7" s="1966"/>
      <c r="DV7" s="255"/>
      <c r="DW7" s="255"/>
      <c r="DY7" s="258" t="e">
        <v>#DIV/0!</v>
      </c>
      <c r="DZ7" s="258" t="e">
        <v>#DIV/0!</v>
      </c>
    </row>
    <row r="8" spans="1:136">
      <c r="A8" s="417"/>
      <c r="B8" s="418"/>
      <c r="C8" s="418"/>
      <c r="D8" s="418"/>
      <c r="E8" s="418"/>
      <c r="F8" s="418"/>
      <c r="G8" s="419"/>
      <c r="H8" s="419"/>
      <c r="I8" s="419"/>
      <c r="J8" s="419"/>
      <c r="K8" s="419"/>
      <c r="L8" s="419"/>
      <c r="M8" s="419"/>
      <c r="N8" s="419"/>
      <c r="O8" s="419"/>
      <c r="P8" s="419"/>
      <c r="Q8" s="419"/>
      <c r="R8" s="419"/>
      <c r="S8" s="419"/>
      <c r="T8" s="419"/>
      <c r="U8" s="419"/>
      <c r="V8" s="419"/>
      <c r="W8" s="419"/>
      <c r="X8" s="419"/>
      <c r="Y8" s="419"/>
      <c r="Z8" s="419"/>
      <c r="AA8" s="420"/>
      <c r="AB8" s="420"/>
      <c r="AC8" s="420"/>
      <c r="AD8" s="420"/>
      <c r="AE8" s="420"/>
      <c r="AF8" s="420"/>
      <c r="AG8" s="420"/>
      <c r="AH8" s="420"/>
      <c r="AI8" s="420"/>
      <c r="AJ8" s="420"/>
      <c r="AK8" s="420"/>
      <c r="AL8" s="420"/>
      <c r="AM8" s="420"/>
      <c r="AN8" s="420"/>
      <c r="AO8" s="420"/>
      <c r="AP8" s="420"/>
      <c r="AQ8" s="420"/>
      <c r="AR8" s="420"/>
      <c r="AS8" s="420"/>
      <c r="AT8" s="420"/>
      <c r="AU8" s="420"/>
      <c r="AV8" s="420"/>
      <c r="AW8" s="420"/>
      <c r="AX8" s="420"/>
      <c r="AY8" s="420"/>
      <c r="AZ8" s="420"/>
      <c r="BA8" s="420"/>
      <c r="BB8" s="420"/>
      <c r="BC8" s="420"/>
      <c r="BD8" s="420"/>
      <c r="BE8" s="420"/>
      <c r="BF8" s="420"/>
      <c r="BG8" s="420"/>
      <c r="BH8" s="420"/>
      <c r="BI8" s="420"/>
      <c r="BJ8" s="420"/>
      <c r="BK8" s="420"/>
      <c r="BL8" s="420"/>
      <c r="BM8" s="257"/>
      <c r="BN8" s="257"/>
      <c r="BO8" s="257"/>
      <c r="BP8" s="257"/>
      <c r="BQ8" s="257"/>
      <c r="BR8" s="257"/>
      <c r="BS8" s="257"/>
      <c r="BT8" s="257"/>
      <c r="BU8" s="257"/>
      <c r="BV8" s="257"/>
      <c r="BW8" s="257"/>
      <c r="BX8" s="257"/>
      <c r="BY8" s="257"/>
      <c r="BZ8" s="257"/>
      <c r="CA8" s="257"/>
      <c r="CB8" s="257"/>
      <c r="CC8" s="1840"/>
      <c r="CD8" s="1840"/>
      <c r="CE8" s="1840"/>
      <c r="CF8" s="1840"/>
      <c r="CG8" s="1840"/>
      <c r="CH8" s="1840"/>
      <c r="CI8" s="1840"/>
      <c r="CJ8" s="1840"/>
      <c r="CK8" s="1840"/>
      <c r="CL8" s="257"/>
      <c r="CM8" s="257"/>
      <c r="CN8" s="257"/>
      <c r="CO8" s="257"/>
      <c r="CP8" s="257"/>
      <c r="CQ8" s="257"/>
      <c r="CR8" s="257"/>
      <c r="CS8" s="257"/>
      <c r="CT8" s="1133"/>
      <c r="CU8" s="257"/>
      <c r="CV8" s="257"/>
      <c r="CW8" s="257"/>
      <c r="CX8" s="257"/>
      <c r="CY8" s="256"/>
      <c r="CZ8" s="256"/>
      <c r="DA8" s="256"/>
      <c r="DB8" s="256"/>
      <c r="DC8" s="256"/>
      <c r="DD8" s="256"/>
      <c r="DE8" s="256"/>
      <c r="DF8" s="256"/>
      <c r="DG8" s="256"/>
      <c r="DH8" s="256"/>
      <c r="DI8" s="256"/>
      <c r="DJ8" s="256"/>
      <c r="DK8" s="256"/>
      <c r="DL8" s="256"/>
      <c r="DM8" s="256"/>
      <c r="DN8" s="256"/>
      <c r="DO8" s="256"/>
      <c r="DP8" s="256"/>
      <c r="DQ8" s="256"/>
      <c r="DR8" s="256"/>
      <c r="DS8" s="256"/>
      <c r="DT8" s="256"/>
      <c r="DU8" s="256"/>
      <c r="DV8" s="255"/>
      <c r="DW8" s="255"/>
      <c r="DY8" s="256"/>
      <c r="DZ8" s="256"/>
    </row>
    <row r="9" spans="1:136">
      <c r="A9" s="421" t="s">
        <v>577</v>
      </c>
      <c r="B9" s="422">
        <v>0</v>
      </c>
      <c r="C9" s="422">
        <v>0</v>
      </c>
      <c r="D9" s="422">
        <v>0</v>
      </c>
      <c r="E9" s="423">
        <v>0</v>
      </c>
      <c r="F9" s="423">
        <v>0</v>
      </c>
      <c r="G9" s="423">
        <v>0</v>
      </c>
      <c r="H9" s="423">
        <v>0</v>
      </c>
      <c r="I9" s="423">
        <v>0</v>
      </c>
      <c r="J9" s="423">
        <v>304003.69267886452</v>
      </c>
      <c r="K9" s="423">
        <v>179773.10186416513</v>
      </c>
      <c r="L9" s="423">
        <v>265011.34640942636</v>
      </c>
      <c r="M9" s="423">
        <v>236976.60810024836</v>
      </c>
      <c r="N9" s="423">
        <v>359209.49708093598</v>
      </c>
      <c r="O9" s="423">
        <v>210982.81623855568</v>
      </c>
      <c r="P9" s="423">
        <v>313239.2672844326</v>
      </c>
      <c r="Q9" s="423">
        <v>274535.1651827087</v>
      </c>
      <c r="R9" s="423">
        <v>401962.06614547467</v>
      </c>
      <c r="S9" s="423">
        <v>243821.34171098028</v>
      </c>
      <c r="T9" s="423">
        <v>336525.88315693254</v>
      </c>
      <c r="U9" s="423">
        <v>292878.98142226244</v>
      </c>
      <c r="V9" s="423">
        <v>387415.6005699563</v>
      </c>
      <c r="W9" s="423">
        <v>220889.80070416225</v>
      </c>
      <c r="X9" s="423">
        <v>348241.56653164246</v>
      </c>
      <c r="Y9" s="423">
        <v>302344.15864190919</v>
      </c>
      <c r="Z9" s="423">
        <v>432144.14224395668</v>
      </c>
      <c r="AA9" s="423">
        <v>252347.44181330915</v>
      </c>
      <c r="AB9" s="423">
        <v>372134.07077053399</v>
      </c>
      <c r="AC9" s="423">
        <v>331958.02226917958</v>
      </c>
      <c r="AD9" s="423">
        <v>468510.22609812504</v>
      </c>
      <c r="AE9" s="423">
        <v>286861.39690396748</v>
      </c>
      <c r="AF9" s="423">
        <v>422744.44784163608</v>
      </c>
      <c r="AG9" s="423">
        <v>371969.55138634116</v>
      </c>
      <c r="AH9" s="423">
        <v>536059.27122408571</v>
      </c>
      <c r="AI9" s="423">
        <v>325399.36834402976</v>
      </c>
      <c r="AJ9" s="423">
        <v>463098.76794713282</v>
      </c>
      <c r="AK9" s="423">
        <v>434833.46532876877</v>
      </c>
      <c r="AL9" s="423">
        <v>625293.81964967353</v>
      </c>
      <c r="AM9" s="423">
        <v>372332.3372589043</v>
      </c>
      <c r="AN9" s="423">
        <v>506343.1391157998</v>
      </c>
      <c r="AO9" s="423">
        <v>486273.35968069109</v>
      </c>
      <c r="AP9" s="423">
        <v>687467.53330056195</v>
      </c>
      <c r="AQ9" s="423">
        <f t="shared" ref="AQ9:BD9" si="9">+AQ49+AQ41</f>
        <v>399112.84</v>
      </c>
      <c r="AR9" s="423">
        <f t="shared" si="9"/>
        <v>566710.98</v>
      </c>
      <c r="AS9" s="423">
        <f t="shared" si="9"/>
        <v>527733.86400000006</v>
      </c>
      <c r="AT9" s="423">
        <f t="shared" si="9"/>
        <v>808186.58800000011</v>
      </c>
      <c r="AU9" s="423">
        <f t="shared" si="9"/>
        <v>482196.91500000004</v>
      </c>
      <c r="AV9" s="423">
        <f t="shared" si="9"/>
        <v>677113</v>
      </c>
      <c r="AW9" s="423">
        <f t="shared" si="9"/>
        <v>621685.77</v>
      </c>
      <c r="AX9" s="423">
        <f t="shared" si="9"/>
        <v>880098.31400000001</v>
      </c>
      <c r="AY9" s="423">
        <f t="shared" si="9"/>
        <v>501484.96799999999</v>
      </c>
      <c r="AZ9" s="423">
        <f t="shared" si="9"/>
        <v>726485.24799999991</v>
      </c>
      <c r="BA9" s="423">
        <f t="shared" si="9"/>
        <v>623906.91</v>
      </c>
      <c r="BB9" s="423">
        <f t="shared" si="9"/>
        <v>908817.18359267863</v>
      </c>
      <c r="BC9" s="423">
        <f t="shared" si="9"/>
        <v>554373.11599999992</v>
      </c>
      <c r="BD9" s="423">
        <f t="shared" si="9"/>
        <v>753270.67200000002</v>
      </c>
      <c r="BE9" s="423">
        <f t="shared" ref="BE9:BL9" si="10">+BE49+BE41</f>
        <v>691248.14600000007</v>
      </c>
      <c r="BF9" s="423">
        <f t="shared" si="10"/>
        <v>986725.62</v>
      </c>
      <c r="BG9" s="423">
        <f t="shared" si="10"/>
        <v>600093.35100000002</v>
      </c>
      <c r="BH9" s="423">
        <f t="shared" si="10"/>
        <v>809380.09569999995</v>
      </c>
      <c r="BI9" s="423">
        <f t="shared" si="10"/>
        <v>774093.81030000001</v>
      </c>
      <c r="BJ9" s="423">
        <f t="shared" si="10"/>
        <v>1131473.192</v>
      </c>
      <c r="BK9" s="423">
        <f t="shared" si="10"/>
        <v>691491.20299999998</v>
      </c>
      <c r="BL9" s="423">
        <f t="shared" si="10"/>
        <v>904679.55200000003</v>
      </c>
      <c r="BM9" s="423">
        <f t="shared" ref="BM9:BV9" si="11">+BM49+BM41</f>
        <v>857774.25600000005</v>
      </c>
      <c r="BN9" s="423">
        <f t="shared" si="11"/>
        <v>1246907.172</v>
      </c>
      <c r="BO9" s="423">
        <f>+BO49+BO41</f>
        <v>646425.06000000006</v>
      </c>
      <c r="BP9" s="423">
        <f>+BP49+BP41</f>
        <v>266040.54800000001</v>
      </c>
      <c r="BQ9" s="423">
        <f t="shared" si="11"/>
        <v>673688.37599999993</v>
      </c>
      <c r="BR9" s="423">
        <f>+BR49+BR41</f>
        <v>1170742.7580000001</v>
      </c>
      <c r="BS9" s="423">
        <f t="shared" si="11"/>
        <v>489825.70299999998</v>
      </c>
      <c r="BT9" s="423">
        <f>+BT49+BT41</f>
        <v>858314.74000000011</v>
      </c>
      <c r="BU9" s="423">
        <f>+BU49+BU41</f>
        <v>853892.77321800089</v>
      </c>
      <c r="BV9" s="423">
        <f t="shared" si="11"/>
        <v>1303202.3042866199</v>
      </c>
      <c r="BW9" s="423">
        <f t="shared" ref="BW9" si="12">+BW49+BW41</f>
        <v>774727.96645948989</v>
      </c>
      <c r="BX9" s="423">
        <f t="shared" ref="BX9:CD9" si="13">+BX49+BX41</f>
        <v>1115542.1972234789</v>
      </c>
      <c r="BY9" s="423">
        <f t="shared" si="13"/>
        <v>897825.91437097406</v>
      </c>
      <c r="BZ9" s="423">
        <f t="shared" si="13"/>
        <v>1219318.352</v>
      </c>
      <c r="CA9" s="423">
        <f t="shared" si="13"/>
        <v>685799.87047527498</v>
      </c>
      <c r="CB9" s="423">
        <f t="shared" si="13"/>
        <v>912098.92708967393</v>
      </c>
      <c r="CC9" s="423">
        <f t="shared" si="13"/>
        <v>764456.06800039939</v>
      </c>
      <c r="CD9" s="423">
        <f t="shared" si="13"/>
        <v>1090574.8477832726</v>
      </c>
      <c r="CE9" s="423">
        <f t="shared" ref="CE9:CH9" si="14">+CE49+CE41</f>
        <v>703835.54211541137</v>
      </c>
      <c r="CF9" s="423">
        <f t="shared" si="14"/>
        <v>936456.1846349868</v>
      </c>
      <c r="CG9" s="423">
        <f t="shared" ref="CG9" si="15">+CG49+CG41</f>
        <v>897747.14534077991</v>
      </c>
      <c r="CH9" s="423">
        <f t="shared" si="14"/>
        <v>1213834.718099291</v>
      </c>
      <c r="CI9" s="423">
        <f t="shared" ref="CI9:CL9" si="16">+CI49+CI41</f>
        <v>764088.20920933143</v>
      </c>
      <c r="CJ9" s="423">
        <f t="shared" ref="CJ9" si="17">+CJ49+CJ41</f>
        <v>1043805.334</v>
      </c>
      <c r="CK9" s="423">
        <f t="shared" si="16"/>
        <v>867913.15690231952</v>
      </c>
      <c r="CL9" s="254">
        <f t="shared" si="16"/>
        <v>1299604.6374407241</v>
      </c>
      <c r="CM9" s="254">
        <f t="shared" ref="CM9:CP9" si="18">+CM49+CM41</f>
        <v>902043.3756588808</v>
      </c>
      <c r="CN9" s="254">
        <f t="shared" si="18"/>
        <v>1221875.9095393238</v>
      </c>
      <c r="CO9" s="254">
        <f t="shared" si="18"/>
        <v>1090554.8895379405</v>
      </c>
      <c r="CP9" s="254">
        <f t="shared" si="18"/>
        <v>1598975.588600579</v>
      </c>
      <c r="CQ9" s="254"/>
      <c r="CR9" s="254"/>
      <c r="CS9" s="254">
        <v>1046726.8278081748</v>
      </c>
      <c r="CT9" s="1133"/>
      <c r="CU9" s="252">
        <f>SUM(C9:F9)</f>
        <v>0</v>
      </c>
      <c r="CV9" s="252">
        <f>SUM(G9:J9)</f>
        <v>304003.69267886452</v>
      </c>
      <c r="CW9" s="252">
        <f>SUM(K9:N9)</f>
        <v>1040970.5534547758</v>
      </c>
      <c r="CX9" s="252">
        <f>SUM(O9:R9)</f>
        <v>1200719.3148511718</v>
      </c>
      <c r="CY9" s="252">
        <f>SUM(S9:V9)</f>
        <v>1260641.8068601314</v>
      </c>
      <c r="CZ9" s="252">
        <f>SUM(W9:Z9)</f>
        <v>1303619.6681216706</v>
      </c>
      <c r="DA9" s="252">
        <f>SUM(AA9:AD9)</f>
        <v>1424949.7609511479</v>
      </c>
      <c r="DB9" s="252">
        <f>SUM(AE9:AH9)</f>
        <v>1617634.6673560305</v>
      </c>
      <c r="DC9" s="252">
        <f>+SUM(AI9:AL9)</f>
        <v>1848625.4212696049</v>
      </c>
      <c r="DD9" s="252">
        <f>+SUM(AM9:AP9)</f>
        <v>2052416.369355957</v>
      </c>
      <c r="DE9" s="252">
        <f>+SUM(AQ9:AT9)</f>
        <v>2301744.2720000003</v>
      </c>
      <c r="DF9" s="252">
        <f>+SUM(AU9:AX9)</f>
        <v>2661093.9989999998</v>
      </c>
      <c r="DG9" s="252">
        <f>+SUM(AY9:BB9)</f>
        <v>2760694.3095926787</v>
      </c>
      <c r="DH9" s="252">
        <f>+SUM(BC9:BF9)</f>
        <v>2985617.554</v>
      </c>
      <c r="DI9" s="252">
        <f>+SUM(BG9:BJ9)</f>
        <v>3315040.449</v>
      </c>
      <c r="DJ9" s="252">
        <f>+SUM(BK9:BN9)</f>
        <v>3700852.1830000002</v>
      </c>
      <c r="DK9" s="252">
        <f>+SUM(BO9:BR9)</f>
        <v>2756896.7420000001</v>
      </c>
      <c r="DL9" s="252">
        <f>+SUM(BS9:BV9)</f>
        <v>3505235.5205046209</v>
      </c>
      <c r="DM9" s="252">
        <f>+SUM(BW9:BZ9)</f>
        <v>4007414.4300539428</v>
      </c>
      <c r="DN9" s="252">
        <f>+SUM(CA9:CD9)</f>
        <v>3452929.713348621</v>
      </c>
      <c r="DO9" s="252">
        <f>+SUM(CE9:CH9)</f>
        <v>3751873.5901904688</v>
      </c>
      <c r="DP9" s="252">
        <f>+SUM(CI9:CL9)</f>
        <v>3975411.3375523752</v>
      </c>
      <c r="DQ9" s="252">
        <f>+SUM(CM9:CP9)</f>
        <v>4813449.7633367237</v>
      </c>
      <c r="DR9" s="254">
        <f>+DR49+DR41</f>
        <v>5520316.7262906255</v>
      </c>
      <c r="DS9" s="254">
        <f t="shared" ref="DS9:DU9" si="19">+DS49+DS41</f>
        <v>6292511.4511767579</v>
      </c>
      <c r="DT9" s="254">
        <f t="shared" si="19"/>
        <v>7146387.978349274</v>
      </c>
      <c r="DU9" s="254">
        <f t="shared" si="19"/>
        <v>8089097.691286779</v>
      </c>
      <c r="DV9" s="253"/>
      <c r="DW9" s="253"/>
      <c r="DY9" s="254">
        <v>4371927.5389392003</v>
      </c>
      <c r="DZ9" s="254">
        <v>4966193.8224722631</v>
      </c>
    </row>
    <row r="10" spans="1:136">
      <c r="A10" s="421" t="s">
        <v>578</v>
      </c>
      <c r="B10" s="423">
        <v>0</v>
      </c>
      <c r="C10" s="423">
        <v>0</v>
      </c>
      <c r="D10" s="423">
        <v>0</v>
      </c>
      <c r="E10" s="423">
        <v>0</v>
      </c>
      <c r="F10" s="423">
        <v>0</v>
      </c>
      <c r="G10" s="423">
        <v>0</v>
      </c>
      <c r="H10" s="423">
        <v>0</v>
      </c>
      <c r="I10" s="423">
        <v>0</v>
      </c>
      <c r="J10" s="423">
        <v>409833.31199999998</v>
      </c>
      <c r="K10" s="423">
        <v>234458.32499999998</v>
      </c>
      <c r="L10" s="423">
        <v>353896.08799999999</v>
      </c>
      <c r="M10" s="423">
        <v>312569.62400000001</v>
      </c>
      <c r="N10" s="423">
        <v>484081.26599999995</v>
      </c>
      <c r="O10" s="423">
        <v>273372.85500000004</v>
      </c>
      <c r="P10" s="423">
        <v>416007.89999999997</v>
      </c>
      <c r="Q10" s="423">
        <v>360556.33200000005</v>
      </c>
      <c r="R10" s="423">
        <v>540955.40399999998</v>
      </c>
      <c r="S10" s="423">
        <v>315058.55</v>
      </c>
      <c r="T10" s="423">
        <v>443917.63400000002</v>
      </c>
      <c r="U10" s="423">
        <v>378554.83199999999</v>
      </c>
      <c r="V10" s="423">
        <v>512096.84299999999</v>
      </c>
      <c r="W10" s="423">
        <v>283244.07799999998</v>
      </c>
      <c r="X10" s="423">
        <v>456259.27500000002</v>
      </c>
      <c r="Y10" s="423">
        <v>391647.49800000002</v>
      </c>
      <c r="Z10" s="423">
        <v>568166.20400000003</v>
      </c>
      <c r="AA10" s="423">
        <v>323894.66200000001</v>
      </c>
      <c r="AB10" s="423">
        <v>486980.60600000003</v>
      </c>
      <c r="AC10" s="423">
        <v>430613.34</v>
      </c>
      <c r="AD10" s="423">
        <v>612485.54259931715</v>
      </c>
      <c r="AE10" s="423">
        <v>370556.73229026329</v>
      </c>
      <c r="AF10" s="423">
        <v>550754.50420109043</v>
      </c>
      <c r="AG10" s="423">
        <v>483034.29067661741</v>
      </c>
      <c r="AH10" s="423">
        <v>700596.28590731253</v>
      </c>
      <c r="AI10" s="423">
        <v>421478.07853869093</v>
      </c>
      <c r="AJ10" s="423">
        <v>602734.30482051533</v>
      </c>
      <c r="AK10" s="423">
        <v>564962.73120175977</v>
      </c>
      <c r="AL10" s="423">
        <v>817271.77465017792</v>
      </c>
      <c r="AM10" s="423">
        <v>482170.75395197317</v>
      </c>
      <c r="AN10" s="423">
        <v>658694.97418581601</v>
      </c>
      <c r="AO10" s="423">
        <v>631864.97423155082</v>
      </c>
      <c r="AP10" s="423">
        <v>898570.88313967851</v>
      </c>
      <c r="AQ10" s="423">
        <f t="shared" ref="AQ10:BD10" si="20">AQ40+AQ48</f>
        <v>530671.55039377161</v>
      </c>
      <c r="AR10" s="423">
        <f t="shared" si="20"/>
        <v>753516.2125480962</v>
      </c>
      <c r="AS10" s="423">
        <f t="shared" si="20"/>
        <v>701687.56700926716</v>
      </c>
      <c r="AT10" s="423">
        <f t="shared" si="20"/>
        <v>1074586.5945707262</v>
      </c>
      <c r="AU10" s="423">
        <f t="shared" si="20"/>
        <v>641142.17596453428</v>
      </c>
      <c r="AV10" s="423">
        <f t="shared" si="20"/>
        <v>900307.82471933856</v>
      </c>
      <c r="AW10" s="423">
        <f t="shared" si="20"/>
        <v>826609.75122711598</v>
      </c>
      <c r="AX10" s="423">
        <f t="shared" si="20"/>
        <v>1170202.391301966</v>
      </c>
      <c r="AY10" s="423">
        <f t="shared" si="20"/>
        <v>666787.90735986223</v>
      </c>
      <c r="AZ10" s="423">
        <f t="shared" si="20"/>
        <v>965954.26505241741</v>
      </c>
      <c r="BA10" s="423">
        <f t="shared" si="20"/>
        <v>829563.30470710108</v>
      </c>
      <c r="BB10" s="423">
        <f t="shared" si="20"/>
        <v>1208387.7175380664</v>
      </c>
      <c r="BC10" s="423">
        <f t="shared" si="20"/>
        <v>736581.80599999998</v>
      </c>
      <c r="BD10" s="423">
        <f t="shared" si="20"/>
        <v>991328.64599999995</v>
      </c>
      <c r="BE10" s="423">
        <f>BE40+BE48</f>
        <v>906057.34</v>
      </c>
      <c r="BF10" s="423">
        <f>BF40+BF48</f>
        <v>1295955.6359999999</v>
      </c>
      <c r="BG10" s="423">
        <f>BG40+BG48</f>
        <v>782349.28200000001</v>
      </c>
      <c r="BH10" s="423">
        <f>BH40+BH48</f>
        <v>1058921.9736830958</v>
      </c>
      <c r="BI10" s="423">
        <f t="shared" ref="BI10:BN10" si="21">BI40+BI48</f>
        <v>1010527.7553999999</v>
      </c>
      <c r="BJ10" s="423">
        <f t="shared" si="21"/>
        <v>1577639.84</v>
      </c>
      <c r="BK10" s="423">
        <f t="shared" si="21"/>
        <v>961638.93900000001</v>
      </c>
      <c r="BL10" s="423">
        <f t="shared" si="21"/>
        <v>1257837.504</v>
      </c>
      <c r="BM10" s="423">
        <f t="shared" si="21"/>
        <v>1189788.132</v>
      </c>
      <c r="BN10" s="423">
        <f t="shared" si="21"/>
        <v>1732437.7280000001</v>
      </c>
      <c r="BO10" s="423">
        <f>BO40+BO48</f>
        <v>895747.69200000004</v>
      </c>
      <c r="BP10" s="423">
        <f>BP40+BP48</f>
        <v>368307.97500000003</v>
      </c>
      <c r="BQ10" s="423">
        <f t="shared" ref="BQ10:BV10" si="22">BQ40+BQ48</f>
        <v>973750.75199999998</v>
      </c>
      <c r="BR10" s="423">
        <f>BR40+BR48</f>
        <v>1654756.9759999998</v>
      </c>
      <c r="BS10" s="423">
        <f t="shared" si="22"/>
        <v>688924.59</v>
      </c>
      <c r="BT10" s="423">
        <f>BT40+BT48</f>
        <v>1197494</v>
      </c>
      <c r="BU10" s="423">
        <f>BU40+BU48</f>
        <v>1185067.08</v>
      </c>
      <c r="BV10" s="423">
        <f t="shared" si="22"/>
        <v>1806313.9439999999</v>
      </c>
      <c r="BW10" s="423">
        <f t="shared" ref="BW10:CD10" si="23">BW40+BW48</f>
        <v>1066621.220974267</v>
      </c>
      <c r="BX10" s="423">
        <f t="shared" ref="BX10:CC10" si="24">BX40+BX48</f>
        <v>1543080.6744165246</v>
      </c>
      <c r="BY10" s="423">
        <f t="shared" si="24"/>
        <v>1231927.7515015539</v>
      </c>
      <c r="BZ10" s="423">
        <f t="shared" si="24"/>
        <v>1683507.7980000002</v>
      </c>
      <c r="CA10" s="423">
        <f t="shared" si="24"/>
        <v>952600.52254413441</v>
      </c>
      <c r="CB10" s="423">
        <f t="shared" si="24"/>
        <v>1274156.772549642</v>
      </c>
      <c r="CC10" s="423">
        <f t="shared" si="24"/>
        <v>1065155.3567598674</v>
      </c>
      <c r="CD10" s="423">
        <f t="shared" si="23"/>
        <v>1655759.8223502187</v>
      </c>
      <c r="CE10" s="423">
        <f t="shared" ref="CE10:CH10" si="25">CE40+CE48</f>
        <v>908296.76793723484</v>
      </c>
      <c r="CF10" s="423">
        <f t="shared" si="25"/>
        <v>1219529.3384975109</v>
      </c>
      <c r="CG10" s="423">
        <f t="shared" ref="CG10" si="26">CG40+CG48</f>
        <v>1167946.3940274622</v>
      </c>
      <c r="CH10" s="423">
        <f t="shared" si="25"/>
        <v>1582424.1658207604</v>
      </c>
      <c r="CI10" s="423">
        <f t="shared" ref="CI10:CL10" si="27">CI40+CI48</f>
        <v>994148.92623052816</v>
      </c>
      <c r="CJ10" s="423">
        <f t="shared" ref="CJ10" si="28">CJ40+CJ48</f>
        <v>1369801.5760000001</v>
      </c>
      <c r="CK10" s="423">
        <f t="shared" si="27"/>
        <v>1135043.8431428485</v>
      </c>
      <c r="CL10" s="423">
        <f t="shared" si="27"/>
        <v>1702542.1035542574</v>
      </c>
      <c r="CM10" s="423">
        <f t="shared" ref="CM10:CP10" si="29">CM40+CM48</f>
        <v>1180697.7791258367</v>
      </c>
      <c r="CN10" s="423">
        <f t="shared" si="29"/>
        <v>1600022.2735008672</v>
      </c>
      <c r="CO10" s="423">
        <f t="shared" si="29"/>
        <v>1427751.5639632752</v>
      </c>
      <c r="CP10" s="423">
        <f t="shared" si="29"/>
        <v>2093600.6844079592</v>
      </c>
      <c r="CQ10" s="423"/>
      <c r="CR10" s="252"/>
      <c r="CS10" s="423">
        <v>1363228.934462433</v>
      </c>
      <c r="CT10" s="1133"/>
      <c r="CU10" s="252">
        <f>SUM(C10:F10)</f>
        <v>0</v>
      </c>
      <c r="CV10" s="252">
        <f>SUM(G10:J10)</f>
        <v>409833.31199999998</v>
      </c>
      <c r="CW10" s="252">
        <f>SUM(K10:N10)</f>
        <v>1385005.3029999998</v>
      </c>
      <c r="CX10" s="252">
        <f>SUM(O10:R10)</f>
        <v>1590892.4909999999</v>
      </c>
      <c r="CY10" s="252">
        <f>SUM(S10:V10)</f>
        <v>1649627.8590000002</v>
      </c>
      <c r="CZ10" s="252">
        <f>SUM(W10:Z10)</f>
        <v>1699317.0550000002</v>
      </c>
      <c r="DA10" s="252">
        <f>SUM(AA10:AD10)</f>
        <v>1853974.1505993172</v>
      </c>
      <c r="DB10" s="252">
        <f>SUM(AE10:AH10)</f>
        <v>2104941.8130752835</v>
      </c>
      <c r="DC10" s="252">
        <f>+SUM(AI10:AL10)</f>
        <v>2406446.8892111438</v>
      </c>
      <c r="DD10" s="252">
        <f>+SUM(AM10:AP10)</f>
        <v>2671301.585509019</v>
      </c>
      <c r="DE10" s="252">
        <f>+SUM(AQ10:AT10)</f>
        <v>3060461.9245218611</v>
      </c>
      <c r="DF10" s="252">
        <f>+SUM(AU10:AX10)</f>
        <v>3538262.1432129554</v>
      </c>
      <c r="DG10" s="252">
        <f>+SUM(AY10:BB10)</f>
        <v>3670693.1946574468</v>
      </c>
      <c r="DH10" s="252">
        <f>+SUM(BC10:BF10)</f>
        <v>3929923.4279999998</v>
      </c>
      <c r="DI10" s="252">
        <f>+SUM(BG10:BJ10)</f>
        <v>4429438.8510830952</v>
      </c>
      <c r="DJ10" s="252">
        <f>+SUM(BK10:BN10)</f>
        <v>5141702.3030000003</v>
      </c>
      <c r="DK10" s="252">
        <f>+SUM(BO10:BR10)</f>
        <v>3892563.395</v>
      </c>
      <c r="DL10" s="252">
        <f>+SUM(BS10:BV10)</f>
        <v>4877799.6140000001</v>
      </c>
      <c r="DM10" s="252">
        <f>+SUM(BW10:BZ10)</f>
        <v>5525137.4448923459</v>
      </c>
      <c r="DN10" s="252">
        <f>+SUM(CA10:CD10)</f>
        <v>4947672.4742038632</v>
      </c>
      <c r="DO10" s="252">
        <f>+SUM(CE10:CH10)</f>
        <v>4878196.6662829686</v>
      </c>
      <c r="DP10" s="252">
        <f>+SUM(CI10:CL10)</f>
        <v>5201536.4489276344</v>
      </c>
      <c r="DQ10" s="252">
        <f>+SUM(CM10:CP10)</f>
        <v>6302072.300997939</v>
      </c>
      <c r="DR10" s="252">
        <f>+SUM(BJ10:BM10)</f>
        <v>4986904.415</v>
      </c>
      <c r="DS10" s="252">
        <f>+SUM(BK10:BN10)</f>
        <v>5141702.3030000003</v>
      </c>
      <c r="DT10" s="252">
        <f>+SUM(BL10:BO10)</f>
        <v>5075811.0559999999</v>
      </c>
      <c r="DU10" s="252">
        <f>+SUM(BM10:BP10)</f>
        <v>4186281.5270000002</v>
      </c>
      <c r="DV10" s="251"/>
      <c r="DW10" s="251"/>
      <c r="DY10" s="252">
        <v>4608728.5080830958</v>
      </c>
      <c r="DZ10" s="252">
        <v>4807644.0384</v>
      </c>
    </row>
    <row r="11" spans="1:136">
      <c r="A11" s="424" t="s">
        <v>579</v>
      </c>
      <c r="B11" s="425"/>
      <c r="C11" s="426"/>
      <c r="D11" s="426"/>
      <c r="E11" s="427">
        <v>0.75</v>
      </c>
      <c r="F11" s="427">
        <v>0.75700000000000001</v>
      </c>
      <c r="G11" s="427">
        <v>0.70799999999999996</v>
      </c>
      <c r="H11" s="427">
        <v>0.74399999999999999</v>
      </c>
      <c r="I11" s="427">
        <v>0.747</v>
      </c>
      <c r="J11" s="427">
        <v>0.74199999999999999</v>
      </c>
      <c r="K11" s="427">
        <v>0.70499999999999996</v>
      </c>
      <c r="L11" s="427">
        <v>0.72799999999999998</v>
      </c>
      <c r="M11" s="427">
        <v>0.72399999999999998</v>
      </c>
      <c r="N11" s="427">
        <v>0.69899999999999995</v>
      </c>
      <c r="O11" s="427">
        <v>0.66500000000000004</v>
      </c>
      <c r="P11" s="427">
        <v>0.69</v>
      </c>
      <c r="Q11" s="427">
        <v>0.67800000000000005</v>
      </c>
      <c r="R11" s="427">
        <v>0.65700000000000003</v>
      </c>
      <c r="S11" s="427">
        <v>0.622</v>
      </c>
      <c r="T11" s="427">
        <v>0.64600000000000002</v>
      </c>
      <c r="U11" s="427">
        <v>0.63600000000000001</v>
      </c>
      <c r="V11" s="427">
        <v>0.61899999999999999</v>
      </c>
      <c r="W11" s="427">
        <v>0.59299999999999997</v>
      </c>
      <c r="X11" s="427">
        <v>0.61499999999999999</v>
      </c>
      <c r="Y11" s="427">
        <v>0.60599999999999998</v>
      </c>
      <c r="Z11" s="427">
        <v>0.59599999999999997</v>
      </c>
      <c r="AA11" s="427">
        <v>0.55900000000000005</v>
      </c>
      <c r="AB11" s="427">
        <v>0.57799999999999996</v>
      </c>
      <c r="AC11" s="427">
        <v>0.56999999999999995</v>
      </c>
      <c r="AD11" s="428">
        <v>0.55900000000000005</v>
      </c>
      <c r="AE11" s="428">
        <v>0.53900000000000003</v>
      </c>
      <c r="AF11" s="428">
        <v>0.55200000000000005</v>
      </c>
      <c r="AG11" s="428">
        <v>0.55300000000000005</v>
      </c>
      <c r="AH11" s="428">
        <v>0.54199999999999993</v>
      </c>
      <c r="AI11" s="428">
        <v>0.51200000000000001</v>
      </c>
      <c r="AJ11" s="428">
        <v>0.53</v>
      </c>
      <c r="AK11" s="428">
        <v>0.52900000000000003</v>
      </c>
      <c r="AL11" s="428">
        <v>0.51900000000000002</v>
      </c>
      <c r="AM11" s="428">
        <v>0.499</v>
      </c>
      <c r="AN11" s="428">
        <v>0.52299999999999991</v>
      </c>
      <c r="AO11" s="428">
        <v>0.52400000000000002</v>
      </c>
      <c r="AP11" s="428">
        <v>0.50700000000000001</v>
      </c>
      <c r="AQ11" s="428">
        <f t="shared" ref="AQ11:BD11" si="30">AQ10/AQ4</f>
        <v>0.4900000000000001</v>
      </c>
      <c r="AR11" s="428">
        <f t="shared" si="30"/>
        <v>0.51</v>
      </c>
      <c r="AS11" s="428">
        <f t="shared" si="30"/>
        <v>0.504</v>
      </c>
      <c r="AT11" s="428">
        <f t="shared" si="30"/>
        <v>0.48399999999999993</v>
      </c>
      <c r="AU11" s="428">
        <f t="shared" si="30"/>
        <v>0.47700000000000004</v>
      </c>
      <c r="AV11" s="428">
        <f t="shared" si="30"/>
        <v>0.5</v>
      </c>
      <c r="AW11" s="428">
        <f t="shared" si="30"/>
        <v>0.49800000000000005</v>
      </c>
      <c r="AX11" s="428">
        <f t="shared" si="30"/>
        <v>0.47899999999999998</v>
      </c>
      <c r="AY11" s="428">
        <f t="shared" si="30"/>
        <v>0.46600000000000003</v>
      </c>
      <c r="AZ11" s="428">
        <f t="shared" si="30"/>
        <v>0.49599999999999994</v>
      </c>
      <c r="BA11" s="428">
        <f t="shared" si="30"/>
        <v>0.495</v>
      </c>
      <c r="BB11" s="428">
        <f t="shared" si="30"/>
        <v>0.47321806337954969</v>
      </c>
      <c r="BC11" s="428">
        <f t="shared" si="30"/>
        <v>0.44900000000000001</v>
      </c>
      <c r="BD11" s="428">
        <f t="shared" si="30"/>
        <v>0.46199999999999997</v>
      </c>
      <c r="BE11" s="428">
        <f t="shared" ref="BE11:BN11" si="31">BE10/BE4</f>
        <v>0.45699999999999996</v>
      </c>
      <c r="BF11" s="428">
        <f t="shared" si="31"/>
        <v>0.44400000000000001</v>
      </c>
      <c r="BG11" s="428">
        <f t="shared" si="31"/>
        <v>0.42899999999999999</v>
      </c>
      <c r="BH11" s="428">
        <f t="shared" si="31"/>
        <v>0.45469999999999999</v>
      </c>
      <c r="BI11" s="428">
        <f t="shared" si="31"/>
        <v>0.45229999999999998</v>
      </c>
      <c r="BJ11" s="428">
        <f t="shared" si="31"/>
        <v>0.436</v>
      </c>
      <c r="BK11" s="428">
        <f t="shared" si="31"/>
        <v>0.41899999999999998</v>
      </c>
      <c r="BL11" s="428">
        <f t="shared" si="31"/>
        <v>0.44800000000000001</v>
      </c>
      <c r="BM11" s="428">
        <f t="shared" si="31"/>
        <v>0.44400000000000001</v>
      </c>
      <c r="BN11" s="428">
        <f t="shared" si="31"/>
        <v>0.43400000000000005</v>
      </c>
      <c r="BO11" s="428">
        <f>BO10/BO4</f>
        <v>0.41700000000000004</v>
      </c>
      <c r="BP11" s="428">
        <f>BP10/BP4</f>
        <v>0.49300000000000005</v>
      </c>
      <c r="BQ11" s="428">
        <f t="shared" ref="BQ11:BV11" si="32">BQ10/BQ4</f>
        <v>0.40799999999999997</v>
      </c>
      <c r="BR11" s="428">
        <f>BR10/BR4</f>
        <v>0.40099999999999997</v>
      </c>
      <c r="BS11" s="428">
        <f t="shared" si="32"/>
        <v>0.35899999999999999</v>
      </c>
      <c r="BT11" s="428">
        <f>BT10/BT4</f>
        <v>0.38</v>
      </c>
      <c r="BU11" s="428">
        <f>BU10/BU4</f>
        <v>0.36000000000000004</v>
      </c>
      <c r="BV11" s="428">
        <f t="shared" si="32"/>
        <v>0.36599999999999999</v>
      </c>
      <c r="BW11" s="428">
        <f t="shared" ref="BW11:CD11" si="33">BW10/BW4</f>
        <v>0.3474638416351738</v>
      </c>
      <c r="BX11" s="428">
        <f t="shared" ref="BX11:CC11" si="34">BX10/BX4</f>
        <v>0.35126944928622378</v>
      </c>
      <c r="BY11" s="428">
        <f t="shared" si="34"/>
        <v>0.34326847858265103</v>
      </c>
      <c r="BZ11" s="428">
        <f t="shared" si="34"/>
        <v>0.34300000000000003</v>
      </c>
      <c r="CA11" s="428">
        <f t="shared" si="34"/>
        <v>0.30105363104868571</v>
      </c>
      <c r="CB11" s="428">
        <f t="shared" si="34"/>
        <v>0.30552966367568396</v>
      </c>
      <c r="CC11" s="428">
        <f t="shared" si="34"/>
        <v>0.28999443421486065</v>
      </c>
      <c r="CD11" s="428">
        <f t="shared" si="33"/>
        <v>0.28647087320029513</v>
      </c>
      <c r="CE11" s="428">
        <f t="shared" ref="CE11:CH11" si="35">CE10/CE4</f>
        <v>0.28596135617796942</v>
      </c>
      <c r="CF11" s="428">
        <f t="shared" si="35"/>
        <v>0.30405181708600731</v>
      </c>
      <c r="CG11" s="428">
        <f t="shared" ref="CG11" si="36">CG10/CG4</f>
        <v>0.30370829612279904</v>
      </c>
      <c r="CH11" s="428">
        <f t="shared" si="35"/>
        <v>0.2907542454580927</v>
      </c>
      <c r="CI11" s="428">
        <f t="shared" ref="CI11:CL11" si="37">CI10/CI4</f>
        <v>0.27716088318848081</v>
      </c>
      <c r="CJ11" s="428">
        <f t="shared" ref="CJ11" si="38">CJ10/CJ4</f>
        <v>0.28600000000000003</v>
      </c>
      <c r="CK11" s="428">
        <f t="shared" si="37"/>
        <v>0.28186786573248629</v>
      </c>
      <c r="CL11" s="428">
        <f t="shared" si="37"/>
        <v>0.29725525135810144</v>
      </c>
      <c r="CM11" s="428">
        <f t="shared" ref="CM11:CP11" si="39">CM10/CM4</f>
        <v>0.30725525135810139</v>
      </c>
      <c r="CN11" s="428">
        <f t="shared" si="39"/>
        <v>0.31725525135810145</v>
      </c>
      <c r="CO11" s="428">
        <f t="shared" si="39"/>
        <v>0.32725525135810146</v>
      </c>
      <c r="CP11" s="428">
        <f t="shared" si="39"/>
        <v>0.33725525135810147</v>
      </c>
      <c r="CQ11" s="428"/>
      <c r="CR11" s="249"/>
      <c r="CS11" s="428">
        <v>0.28716088318848082</v>
      </c>
      <c r="CT11" s="1133"/>
      <c r="CU11" s="249" t="e">
        <f t="shared" ref="CU11:DG11" si="40">CU10/CU4</f>
        <v>#DIV/0!</v>
      </c>
      <c r="CV11" s="249">
        <f t="shared" si="40"/>
        <v>0.74199999999999999</v>
      </c>
      <c r="CW11" s="249">
        <f t="shared" si="40"/>
        <v>0.71283777469883358</v>
      </c>
      <c r="CX11" s="249">
        <f t="shared" si="40"/>
        <v>0.67149980436128709</v>
      </c>
      <c r="CY11" s="249">
        <f t="shared" si="40"/>
        <v>0.63054034935228909</v>
      </c>
      <c r="CZ11" s="249">
        <f t="shared" si="40"/>
        <v>0.60278429952967483</v>
      </c>
      <c r="DA11" s="249">
        <f t="shared" si="40"/>
        <v>0.56642971066250336</v>
      </c>
      <c r="DB11" s="249">
        <f t="shared" si="40"/>
        <v>0.54654992562285543</v>
      </c>
      <c r="DC11" s="249">
        <f t="shared" si="40"/>
        <v>0.52278591145030562</v>
      </c>
      <c r="DD11" s="249">
        <f t="shared" si="40"/>
        <v>0.51332611639071357</v>
      </c>
      <c r="DE11" s="249">
        <f t="shared" si="40"/>
        <v>0.49578648675788423</v>
      </c>
      <c r="DF11" s="249">
        <f t="shared" si="40"/>
        <v>0.48819780708804672</v>
      </c>
      <c r="DG11" s="249">
        <f t="shared" si="40"/>
        <v>0.48249057492816283</v>
      </c>
      <c r="DH11" s="249">
        <f t="shared" ref="DH11:DL11" si="41">DH10/DH4</f>
        <v>0.45235664308457529</v>
      </c>
      <c r="DI11" s="249">
        <f t="shared" si="41"/>
        <v>0.44271665911486247</v>
      </c>
      <c r="DJ11" s="249">
        <f t="shared" si="41"/>
        <v>0.43669046773174242</v>
      </c>
      <c r="DK11" s="249">
        <f t="shared" si="41"/>
        <v>0.41373404545802883</v>
      </c>
      <c r="DL11" s="249">
        <f t="shared" si="41"/>
        <v>0.36682226400300749</v>
      </c>
      <c r="DM11" s="249">
        <f t="shared" ref="DM11:DR11" si="42">DM10/DM4</f>
        <v>0.34619512480994019</v>
      </c>
      <c r="DN11" s="249">
        <f t="shared" si="42"/>
        <v>0.29472505950164118</v>
      </c>
      <c r="DO11" s="249">
        <f t="shared" si="42"/>
        <v>0.29609121732121868</v>
      </c>
      <c r="DP11" s="249">
        <f t="shared" si="42"/>
        <v>0.28688911221966307</v>
      </c>
      <c r="DQ11" s="249">
        <f t="shared" ref="DQ11" si="43">DQ10/DQ4</f>
        <v>0.32390368479714654</v>
      </c>
      <c r="DR11" s="249">
        <f t="shared" si="42"/>
        <v>0.23623303886950964</v>
      </c>
      <c r="DS11" s="249">
        <f t="shared" ref="DS11:DU11" si="44">DS10/DS4</f>
        <v>0.22612387017484731</v>
      </c>
      <c r="DT11" s="249">
        <f t="shared" si="44"/>
        <v>0.2074237379417142</v>
      </c>
      <c r="DU11" s="249">
        <f t="shared" si="44"/>
        <v>0.15903676991418053</v>
      </c>
      <c r="DV11" s="245"/>
      <c r="DW11" s="245"/>
      <c r="DY11" s="249">
        <v>0.24907090707002524</v>
      </c>
      <c r="DZ11" s="249">
        <v>0.24304361746660172</v>
      </c>
    </row>
    <row r="12" spans="1:136">
      <c r="A12" s="424"/>
      <c r="B12" s="425"/>
      <c r="C12" s="426"/>
      <c r="D12" s="426"/>
      <c r="E12" s="427"/>
      <c r="F12" s="427"/>
      <c r="G12" s="427"/>
      <c r="H12" s="427"/>
      <c r="I12" s="427"/>
      <c r="J12" s="427"/>
      <c r="K12" s="427"/>
      <c r="L12" s="427"/>
      <c r="M12" s="427"/>
      <c r="N12" s="427"/>
      <c r="O12" s="427"/>
      <c r="P12" s="427"/>
      <c r="Q12" s="427"/>
      <c r="R12" s="427"/>
      <c r="S12" s="427"/>
      <c r="T12" s="427"/>
      <c r="U12" s="427"/>
      <c r="V12" s="427"/>
      <c r="W12" s="427"/>
      <c r="X12" s="427"/>
      <c r="Y12" s="427"/>
      <c r="Z12" s="427"/>
      <c r="AA12" s="427"/>
      <c r="AB12" s="427"/>
      <c r="AC12" s="427"/>
      <c r="AD12" s="428"/>
      <c r="AE12" s="428"/>
      <c r="AF12" s="428"/>
      <c r="AG12" s="428"/>
      <c r="AH12" s="428"/>
      <c r="AI12" s="428"/>
      <c r="AJ12" s="428"/>
      <c r="AK12" s="428"/>
      <c r="AL12" s="428"/>
      <c r="AM12" s="428"/>
      <c r="AN12" s="428"/>
      <c r="AO12" s="428"/>
      <c r="AP12" s="428"/>
      <c r="AQ12" s="428"/>
      <c r="AR12" s="428"/>
      <c r="AS12" s="428"/>
      <c r="AT12" s="428"/>
      <c r="AU12" s="428"/>
      <c r="AV12" s="428"/>
      <c r="AW12" s="428"/>
      <c r="AX12" s="428"/>
      <c r="AY12" s="428"/>
      <c r="AZ12" s="428"/>
      <c r="BA12" s="428"/>
      <c r="BB12" s="428"/>
      <c r="BC12" s="428"/>
      <c r="BD12" s="428"/>
      <c r="BE12" s="428"/>
      <c r="BF12" s="428"/>
      <c r="BG12" s="428"/>
      <c r="BH12" s="428"/>
      <c r="BI12" s="428"/>
      <c r="BJ12" s="428"/>
      <c r="BK12" s="428"/>
      <c r="BL12" s="428"/>
      <c r="BM12" s="249"/>
      <c r="BN12" s="249"/>
      <c r="BO12" s="249"/>
      <c r="BP12" s="249"/>
      <c r="BQ12" s="249"/>
      <c r="BR12" s="249"/>
      <c r="BS12" s="249"/>
      <c r="BT12" s="249"/>
      <c r="BU12" s="249"/>
      <c r="BV12" s="249"/>
      <c r="BW12" s="249"/>
      <c r="BX12" s="249"/>
      <c r="BY12" s="249"/>
      <c r="BZ12" s="249"/>
      <c r="CA12" s="249"/>
      <c r="CB12" s="249"/>
      <c r="CC12" s="249"/>
      <c r="CD12" s="249"/>
      <c r="CE12" s="249"/>
      <c r="CF12" s="249"/>
      <c r="CG12" s="249"/>
      <c r="CH12" s="249"/>
      <c r="CI12" s="249"/>
      <c r="CJ12" s="249"/>
      <c r="CK12" s="249"/>
      <c r="CL12" s="249"/>
      <c r="CM12" s="249"/>
      <c r="CN12" s="249"/>
      <c r="CO12" s="249"/>
      <c r="CP12" s="249"/>
      <c r="CQ12" s="249"/>
      <c r="CR12" s="249"/>
      <c r="CS12" s="249"/>
      <c r="CT12" s="1133"/>
      <c r="CU12" s="249"/>
      <c r="CV12" s="249"/>
      <c r="CW12" s="249"/>
      <c r="CX12" s="249"/>
      <c r="CY12" s="249"/>
      <c r="CZ12" s="249"/>
      <c r="DA12" s="249"/>
      <c r="DB12" s="249"/>
      <c r="DC12" s="249"/>
      <c r="DD12" s="249"/>
      <c r="DE12" s="249"/>
      <c r="DF12" s="249"/>
      <c r="DG12" s="249"/>
      <c r="DH12" s="249"/>
      <c r="DI12" s="249"/>
      <c r="DJ12" s="249"/>
      <c r="DK12" s="249"/>
      <c r="DL12" s="249"/>
      <c r="DM12" s="249"/>
      <c r="DN12" s="249"/>
      <c r="DO12" s="249"/>
      <c r="DP12" s="249"/>
      <c r="DQ12" s="249"/>
      <c r="DR12" s="249"/>
      <c r="DS12" s="249"/>
      <c r="DT12" s="249"/>
      <c r="DU12" s="249"/>
      <c r="DV12" s="245"/>
      <c r="DW12" s="245"/>
      <c r="DY12" s="249"/>
      <c r="DZ12" s="249"/>
    </row>
    <row r="13" spans="1:136">
      <c r="A13" s="424" t="s">
        <v>580</v>
      </c>
      <c r="B13" s="425"/>
      <c r="C13" s="426"/>
      <c r="D13" s="426"/>
      <c r="E13" s="427"/>
      <c r="F13" s="427"/>
      <c r="G13" s="427"/>
      <c r="H13" s="427"/>
      <c r="I13" s="427"/>
      <c r="J13" s="427"/>
      <c r="K13" s="427"/>
      <c r="L13" s="427"/>
      <c r="M13" s="427"/>
      <c r="N13" s="427"/>
      <c r="O13" s="427"/>
      <c r="P13" s="427"/>
      <c r="Q13" s="427"/>
      <c r="R13" s="427"/>
      <c r="S13" s="427"/>
      <c r="T13" s="427"/>
      <c r="U13" s="427"/>
      <c r="V13" s="427"/>
      <c r="W13" s="427"/>
      <c r="X13" s="427"/>
      <c r="Y13" s="427"/>
      <c r="Z13" s="427"/>
      <c r="AA13" s="427"/>
      <c r="AB13" s="427"/>
      <c r="AC13" s="427"/>
      <c r="AD13" s="428"/>
      <c r="AE13" s="428"/>
      <c r="AF13" s="428"/>
      <c r="AG13" s="428"/>
      <c r="AH13" s="428"/>
      <c r="AI13" s="428"/>
      <c r="AJ13" s="428"/>
      <c r="AK13" s="428"/>
      <c r="AL13" s="428"/>
      <c r="AM13" s="428"/>
      <c r="AN13" s="428"/>
      <c r="AO13" s="428"/>
      <c r="AP13" s="428"/>
      <c r="AQ13" s="429">
        <f>+FAT!AQ30</f>
        <v>814516</v>
      </c>
      <c r="AR13" s="429">
        <f>+FAT!AR30</f>
        <v>1111198</v>
      </c>
      <c r="AS13" s="429">
        <f>+FAT!AS30</f>
        <v>1047091</v>
      </c>
      <c r="AT13" s="429">
        <f>+FAT!AT30</f>
        <v>1669807</v>
      </c>
      <c r="AU13" s="429">
        <f>+FAT!AU30</f>
        <v>1010895</v>
      </c>
      <c r="AV13" s="429">
        <f>+FAT!AV30</f>
        <v>1354226</v>
      </c>
      <c r="AW13" s="429">
        <f>+FAT!AW30</f>
        <v>1248365</v>
      </c>
      <c r="AX13" s="429">
        <f>+FAT!AX30</f>
        <v>1837366</v>
      </c>
      <c r="AY13" s="429">
        <f>+FAT!AY30</f>
        <v>1076148</v>
      </c>
      <c r="AZ13" s="429">
        <f>+FAT!AZ30</f>
        <v>1464688</v>
      </c>
      <c r="BA13" s="429">
        <f>+FAT!BA30</f>
        <v>1260418</v>
      </c>
      <c r="BB13" s="429">
        <f>+FAT!BB30</f>
        <v>1920504</v>
      </c>
      <c r="BC13" s="429">
        <f>+FAT!BC30</f>
        <v>1234684</v>
      </c>
      <c r="BD13" s="429">
        <f>+FAT!BD30</f>
        <v>1630456</v>
      </c>
      <c r="BE13" s="429">
        <f>+FAT!BE30</f>
        <v>1512578</v>
      </c>
      <c r="BF13" s="429">
        <f>+FAT!BF30</f>
        <v>2222355</v>
      </c>
      <c r="BG13" s="429">
        <f>+FAT!BG30</f>
        <v>1398819</v>
      </c>
      <c r="BH13" s="429">
        <f>+FAT!BH30</f>
        <v>1780031</v>
      </c>
      <c r="BI13" s="429">
        <f>+FAT!BI30</f>
        <v>1711461</v>
      </c>
      <c r="BJ13" s="429">
        <f>+FAT!BJ30</f>
        <v>2595122</v>
      </c>
      <c r="BK13" s="429">
        <f>+FAT!BK30</f>
        <v>1650337</v>
      </c>
      <c r="BL13" s="429">
        <f>+FAT!BL30</f>
        <v>2019374</v>
      </c>
      <c r="BM13" s="429">
        <f>+FAT!BM30</f>
        <v>1931924</v>
      </c>
      <c r="BN13" s="429">
        <f>+FAT!BN30</f>
        <v>2873058</v>
      </c>
      <c r="BO13" s="429">
        <f>+FAT!BO30</f>
        <v>1550180</v>
      </c>
      <c r="BP13" s="429">
        <f>+FAT!BP30</f>
        <v>539636</v>
      </c>
      <c r="BQ13" s="429">
        <f>+FAT!BQ30</f>
        <v>1651197</v>
      </c>
      <c r="BR13" s="429">
        <f>+FAT!BR30</f>
        <v>2919558</v>
      </c>
      <c r="BS13" s="429">
        <f>+FAT!BS30</f>
        <v>1364417</v>
      </c>
      <c r="BT13" s="429">
        <f>+FAT!BT30</f>
        <v>2258723</v>
      </c>
      <c r="BU13" s="429">
        <f>+FAT!BU30</f>
        <v>2371924.3700500024</v>
      </c>
      <c r="BV13" s="429">
        <f>+FAT!BV30</f>
        <v>3560662.0335699995</v>
      </c>
      <c r="BW13" s="429">
        <f>+FAT!BW30</f>
        <v>2229665</v>
      </c>
      <c r="BX13" s="429">
        <f>+FAT!BX30</f>
        <v>3175745</v>
      </c>
      <c r="BY13" s="429">
        <f>+FAT!BY30</f>
        <v>2615521</v>
      </c>
      <c r="BZ13" s="429">
        <f>+FAT!BZ30</f>
        <v>3554864</v>
      </c>
      <c r="CA13" s="429">
        <f>+FAT!CA30</f>
        <v>2277999</v>
      </c>
      <c r="CB13" s="429">
        <f>+FAT!CB30</f>
        <v>2985304</v>
      </c>
      <c r="CC13" s="429">
        <f>+FAT!CC30</f>
        <v>2636106</v>
      </c>
      <c r="CD13" s="429">
        <f>+FAT!CD30</f>
        <v>3806931</v>
      </c>
      <c r="CE13" s="429">
        <f>+FAT!CE30</f>
        <v>2461296</v>
      </c>
      <c r="CF13" s="429">
        <f>+FAT!CF30</f>
        <v>3079923</v>
      </c>
      <c r="CG13" s="429">
        <f>+FAT!CG30</f>
        <v>2955952</v>
      </c>
      <c r="CH13" s="429">
        <f>+FAT!CH30</f>
        <v>4174779</v>
      </c>
      <c r="CI13" s="429">
        <f>+FAT!CI30</f>
        <v>2756840</v>
      </c>
      <c r="CJ13" s="429">
        <f>+FAT!CJ30</f>
        <v>3649669</v>
      </c>
      <c r="CK13" s="429">
        <f>+FAT!CK30</f>
        <v>3079149</v>
      </c>
      <c r="CL13" s="250">
        <f>+FAT!CL30</f>
        <v>4372015.7390090954</v>
      </c>
      <c r="CM13" s="250">
        <f>+FAT!CM30</f>
        <v>2935811.0941041741</v>
      </c>
      <c r="CN13" s="250">
        <f>+FAT!CN30</f>
        <v>3851396.9565790822</v>
      </c>
      <c r="CO13" s="250">
        <f>+FAT!CO30</f>
        <v>3332428.9985024352</v>
      </c>
      <c r="CP13" s="250">
        <f>+FAT!CP30</f>
        <v>4741143.6357525196</v>
      </c>
      <c r="CQ13" s="250"/>
      <c r="CR13" s="250"/>
      <c r="CS13" s="250">
        <v>3645088.4820588375</v>
      </c>
      <c r="CT13" s="1133"/>
      <c r="CU13" s="249"/>
      <c r="CV13" s="249"/>
      <c r="CW13" s="249"/>
      <c r="CX13" s="249"/>
      <c r="CY13" s="249"/>
      <c r="CZ13" s="249"/>
      <c r="DA13" s="249"/>
      <c r="DB13" s="249"/>
      <c r="DC13" s="249"/>
      <c r="DD13" s="249"/>
      <c r="DE13" s="240">
        <f>+SUM(AQ13:AT13)</f>
        <v>4642612</v>
      </c>
      <c r="DF13" s="240">
        <f>+SUM(AU13:AX13)</f>
        <v>5450852</v>
      </c>
      <c r="DG13" s="240">
        <f>+SUM(AY13:BB13)</f>
        <v>5721758</v>
      </c>
      <c r="DH13" s="240">
        <f>+SUM(BC13:BF13)</f>
        <v>6600073</v>
      </c>
      <c r="DI13" s="240">
        <f>+SUM(BG13:BJ13)</f>
        <v>7485433</v>
      </c>
      <c r="DJ13" s="240">
        <f>+SUM(BK13:BN13)</f>
        <v>8474693</v>
      </c>
      <c r="DK13" s="240">
        <f>+SUM(BO13:BR13)</f>
        <v>6660571</v>
      </c>
      <c r="DL13" s="240">
        <f>+SUM(BS13:BV13)</f>
        <v>9555726.4036200009</v>
      </c>
      <c r="DM13" s="240">
        <f>+SUM(BW13:BZ13)</f>
        <v>11575795</v>
      </c>
      <c r="DN13" s="240">
        <f>+SUM(CA13:CD13)</f>
        <v>11706340</v>
      </c>
      <c r="DO13" s="240">
        <f>+SUM(CE13:CH13)</f>
        <v>12671950</v>
      </c>
      <c r="DP13" s="240">
        <f>+SUM(CI13:CL13)</f>
        <v>13857673.739009095</v>
      </c>
      <c r="DQ13" s="240">
        <f>+SUM(CM13:CP13)</f>
        <v>14860780.684938211</v>
      </c>
      <c r="DR13" s="239">
        <f>+FAT!DS30</f>
        <v>16129238.936102465</v>
      </c>
      <c r="DS13" s="239">
        <f>+FAT!DT30</f>
        <v>17370380.215569045</v>
      </c>
      <c r="DT13" s="239">
        <f>+FAT!DU30</f>
        <v>18695329.764494058</v>
      </c>
      <c r="DU13" s="239">
        <f>+FAT!DV30</f>
        <v>20109365.04613978</v>
      </c>
      <c r="DV13" s="245"/>
      <c r="DW13" s="245"/>
      <c r="DY13" s="239">
        <v>13368615.139219904</v>
      </c>
      <c r="DZ13" s="239">
        <v>14310593.448242687</v>
      </c>
    </row>
    <row r="14" spans="1:136">
      <c r="A14" s="424"/>
      <c r="B14" s="425"/>
      <c r="C14" s="426"/>
      <c r="D14" s="426"/>
      <c r="E14" s="427"/>
      <c r="F14" s="427"/>
      <c r="G14" s="427"/>
      <c r="H14" s="427"/>
      <c r="I14" s="427"/>
      <c r="J14" s="427"/>
      <c r="K14" s="427"/>
      <c r="L14" s="427"/>
      <c r="M14" s="427"/>
      <c r="N14" s="427"/>
      <c r="O14" s="427"/>
      <c r="P14" s="427"/>
      <c r="Q14" s="427"/>
      <c r="R14" s="427"/>
      <c r="S14" s="427"/>
      <c r="T14" s="427"/>
      <c r="U14" s="427"/>
      <c r="V14" s="427"/>
      <c r="W14" s="427"/>
      <c r="X14" s="427"/>
      <c r="Y14" s="427"/>
      <c r="Z14" s="427"/>
      <c r="AA14" s="427"/>
      <c r="AB14" s="427"/>
      <c r="AC14" s="427"/>
      <c r="AD14" s="428"/>
      <c r="AE14" s="428"/>
      <c r="AF14" s="428"/>
      <c r="AG14" s="428"/>
      <c r="AH14" s="428"/>
      <c r="AI14" s="428"/>
      <c r="AJ14" s="428"/>
      <c r="AK14" s="428"/>
      <c r="AL14" s="428"/>
      <c r="AM14" s="428"/>
      <c r="AN14" s="428"/>
      <c r="AO14" s="428"/>
      <c r="AP14" s="428"/>
      <c r="AQ14" s="428"/>
      <c r="AR14" s="428"/>
      <c r="AS14" s="428"/>
      <c r="AT14" s="428"/>
      <c r="AU14" s="428"/>
      <c r="AV14" s="428"/>
      <c r="AW14" s="428"/>
      <c r="AX14" s="428"/>
      <c r="AY14" s="428"/>
      <c r="AZ14" s="428"/>
      <c r="BA14" s="428"/>
      <c r="BB14" s="428"/>
      <c r="BC14" s="428"/>
      <c r="BD14" s="428"/>
      <c r="BE14" s="428"/>
      <c r="BF14" s="428"/>
      <c r="BG14" s="428"/>
      <c r="BH14" s="428"/>
      <c r="BI14" s="428"/>
      <c r="BJ14" s="428"/>
      <c r="BK14" s="428"/>
      <c r="BL14" s="428"/>
      <c r="BM14" s="249"/>
      <c r="BN14" s="249"/>
      <c r="BO14" s="249"/>
      <c r="BP14" s="249"/>
      <c r="BQ14" s="249"/>
      <c r="BR14" s="249"/>
      <c r="BS14" s="249"/>
      <c r="BT14" s="249"/>
      <c r="BU14" s="249"/>
      <c r="BV14" s="249"/>
      <c r="BW14" s="249"/>
      <c r="BX14" s="249"/>
      <c r="BY14" s="249"/>
      <c r="BZ14" s="249"/>
      <c r="CA14" s="249"/>
      <c r="CB14" s="249"/>
      <c r="CC14" s="249"/>
      <c r="CD14" s="249"/>
      <c r="CE14" s="249"/>
      <c r="CF14" s="249"/>
      <c r="CG14" s="249"/>
      <c r="CH14" s="249"/>
      <c r="CI14" s="249"/>
      <c r="CJ14" s="249"/>
      <c r="CK14" s="249"/>
      <c r="CL14" s="249"/>
      <c r="CM14" s="249"/>
      <c r="CN14" s="249"/>
      <c r="CO14" s="249"/>
      <c r="CP14" s="249"/>
      <c r="CQ14" s="249"/>
      <c r="CR14" s="249"/>
      <c r="CS14" s="249"/>
      <c r="CT14" s="1133"/>
      <c r="CU14" s="249"/>
      <c r="CV14" s="249"/>
      <c r="CW14" s="249"/>
      <c r="CX14" s="249"/>
      <c r="CY14" s="249"/>
      <c r="CZ14" s="249"/>
      <c r="DA14" s="249"/>
      <c r="DB14" s="249"/>
      <c r="DC14" s="249"/>
      <c r="DD14" s="249"/>
      <c r="DE14" s="249"/>
      <c r="DF14" s="249"/>
      <c r="DG14" s="249"/>
      <c r="DH14" s="249"/>
      <c r="DI14" s="249"/>
      <c r="DJ14" s="249"/>
      <c r="DK14" s="249"/>
      <c r="DL14" s="249"/>
      <c r="DM14" s="249"/>
      <c r="DN14" s="249"/>
      <c r="DO14" s="249"/>
      <c r="DP14" s="249"/>
      <c r="DQ14" s="249"/>
      <c r="DR14" s="249"/>
      <c r="DS14" s="249"/>
      <c r="DT14" s="249"/>
      <c r="DU14" s="249"/>
      <c r="DV14" s="245"/>
      <c r="DW14" s="245"/>
      <c r="DY14" s="249"/>
      <c r="DZ14" s="249"/>
    </row>
    <row r="15" spans="1:136" s="830" customFormat="1" ht="12.75">
      <c r="A15" s="1436" t="s">
        <v>581</v>
      </c>
      <c r="B15" s="820"/>
      <c r="C15" s="820"/>
      <c r="D15" s="820"/>
      <c r="E15" s="820"/>
      <c r="F15" s="820"/>
      <c r="G15" s="820"/>
      <c r="H15" s="820"/>
      <c r="I15" s="820"/>
      <c r="J15" s="820"/>
      <c r="K15" s="820"/>
      <c r="L15" s="820"/>
      <c r="M15" s="820"/>
      <c r="N15" s="820"/>
      <c r="O15" s="820"/>
      <c r="P15" s="820"/>
      <c r="Q15" s="820"/>
      <c r="R15" s="820"/>
      <c r="S15" s="820"/>
      <c r="T15" s="820"/>
      <c r="U15" s="820"/>
      <c r="V15" s="820"/>
      <c r="W15" s="820"/>
      <c r="X15" s="820"/>
      <c r="Y15" s="820"/>
      <c r="Z15" s="820"/>
      <c r="AA15" s="820"/>
      <c r="AB15" s="820"/>
      <c r="AC15" s="820"/>
      <c r="AD15" s="820"/>
      <c r="AE15" s="820"/>
      <c r="AF15" s="820"/>
      <c r="AG15" s="820"/>
      <c r="AH15" s="820"/>
      <c r="AI15" s="820"/>
      <c r="AJ15" s="820"/>
      <c r="AK15" s="820"/>
      <c r="AL15" s="820"/>
      <c r="AM15" s="820"/>
      <c r="AN15" s="820"/>
      <c r="AO15" s="820"/>
      <c r="AP15" s="820"/>
      <c r="AQ15" s="1967">
        <v>0.49</v>
      </c>
      <c r="AR15" s="1967">
        <v>0.51</v>
      </c>
      <c r="AS15" s="1967">
        <v>0.50900000000000001</v>
      </c>
      <c r="AT15" s="1967">
        <v>0.48399999999999999</v>
      </c>
      <c r="AU15" s="1967">
        <v>0.47699999999999998</v>
      </c>
      <c r="AV15" s="1967">
        <v>0.5</v>
      </c>
      <c r="AW15" s="1967">
        <v>0.498</v>
      </c>
      <c r="AX15" s="1967">
        <v>0.47899999999999998</v>
      </c>
      <c r="AY15" s="1967">
        <v>0.46600000000000003</v>
      </c>
      <c r="AZ15" s="1967">
        <v>0.496</v>
      </c>
      <c r="BA15" s="1967">
        <v>0.495</v>
      </c>
      <c r="BB15" s="1967">
        <v>0.47321806337954964</v>
      </c>
      <c r="BC15" s="1967">
        <v>0.44900000000000001</v>
      </c>
      <c r="BD15" s="1967">
        <v>0.46200000000000002</v>
      </c>
      <c r="BE15" s="1967">
        <v>0.45700000000000002</v>
      </c>
      <c r="BF15" s="1967">
        <v>0.443</v>
      </c>
      <c r="BG15" s="1967">
        <v>0.42899999999999999</v>
      </c>
      <c r="BH15" s="1967">
        <v>0.45469999999999999</v>
      </c>
      <c r="BI15" s="1967">
        <v>0.45229999999999998</v>
      </c>
      <c r="BJ15" s="1967">
        <v>0.436</v>
      </c>
      <c r="BK15" s="1967">
        <v>0.41899999999999998</v>
      </c>
      <c r="BL15" s="1967">
        <v>0.44800000000000001</v>
      </c>
      <c r="BM15" s="1967">
        <v>0.44400000000000001</v>
      </c>
      <c r="BN15" s="1967">
        <v>0.434</v>
      </c>
      <c r="BO15" s="1967">
        <v>0.41699999999999998</v>
      </c>
      <c r="BP15" s="1967">
        <v>0.49300000000000005</v>
      </c>
      <c r="BQ15" s="1967">
        <v>0.40799999999999997</v>
      </c>
      <c r="BR15" s="1967">
        <v>0.40099999999999997</v>
      </c>
      <c r="BS15" s="1967">
        <v>0.35573777217174885</v>
      </c>
      <c r="BT15" s="1967">
        <v>0.38</v>
      </c>
      <c r="BU15" s="1967">
        <v>0.36</v>
      </c>
      <c r="BV15" s="1967">
        <v>0.36599999999999999</v>
      </c>
      <c r="BW15" s="1967">
        <v>0.34746384163517385</v>
      </c>
      <c r="BX15" s="1967">
        <v>0.35126944928622378</v>
      </c>
      <c r="BY15" s="1967">
        <v>0.34326847858265103</v>
      </c>
      <c r="BZ15" s="1967">
        <v>0.34300000000000003</v>
      </c>
      <c r="CA15" s="1967">
        <v>0.30105363104868571</v>
      </c>
      <c r="CB15" s="1967">
        <v>0.3055296636756839</v>
      </c>
      <c r="CC15" s="1967">
        <v>0.28999443421486065</v>
      </c>
      <c r="CD15" s="1967">
        <v>0.28647087320029513</v>
      </c>
      <c r="CE15" s="1967">
        <v>0.28596135617796942</v>
      </c>
      <c r="CF15" s="1967">
        <v>0.30405181708600731</v>
      </c>
      <c r="CG15" s="1967">
        <v>0.30370829612279898</v>
      </c>
      <c r="CH15" s="1967">
        <v>0.29560532643856191</v>
      </c>
      <c r="CI15" s="1967">
        <v>0.27716088318848081</v>
      </c>
      <c r="CJ15" s="1967">
        <v>0.28599999999999998</v>
      </c>
      <c r="CK15" s="1967">
        <v>0.28725525135810143</v>
      </c>
      <c r="CL15" s="1968">
        <f t="shared" ref="CL15" si="45">+CK15+1%</f>
        <v>0.29725525135810144</v>
      </c>
      <c r="CM15" s="1968">
        <f t="shared" ref="CM15" si="46">+CL15+1%</f>
        <v>0.30725525135810144</v>
      </c>
      <c r="CN15" s="1968">
        <f t="shared" ref="CN15" si="47">+CM15+1%</f>
        <v>0.31725525135810145</v>
      </c>
      <c r="CO15" s="1968">
        <f t="shared" ref="CO15" si="48">+CN15+1%</f>
        <v>0.32725525135810146</v>
      </c>
      <c r="CP15" s="1968">
        <f t="shared" ref="CP15" si="49">+CO15+1%</f>
        <v>0.33725525135810147</v>
      </c>
      <c r="CQ15" s="1969"/>
      <c r="CR15" s="1969"/>
      <c r="CS15" s="1968">
        <v>0.28716088318848082</v>
      </c>
      <c r="CT15" s="1136"/>
      <c r="CU15" s="1969"/>
      <c r="CV15" s="1969"/>
      <c r="CW15" s="1969"/>
      <c r="CX15" s="1969"/>
      <c r="CY15" s="1969"/>
      <c r="CZ15" s="1969"/>
      <c r="DA15" s="1969"/>
      <c r="DB15" s="1969"/>
      <c r="DC15" s="1969"/>
      <c r="DD15" s="1969"/>
      <c r="DE15" s="1970">
        <f>+AVERAGE(AQ15:AT15)</f>
        <v>0.49824999999999997</v>
      </c>
      <c r="DF15" s="1970">
        <f>+AVERAGE(AU15:AX15)</f>
        <v>0.48850000000000005</v>
      </c>
      <c r="DG15" s="1970">
        <f>+AVERAGE(AY15:BB15)</f>
        <v>0.4825545158448874</v>
      </c>
      <c r="DH15" s="1970">
        <f>+AVERAGE(BC15:BF15)</f>
        <v>0.45275000000000004</v>
      </c>
      <c r="DI15" s="1970">
        <f>+AVERAGE(BG15:BJ15)</f>
        <v>0.44299999999999995</v>
      </c>
      <c r="DJ15" s="1970">
        <f>+AVERAGE(BK15:BN15)</f>
        <v>0.43624999999999997</v>
      </c>
      <c r="DK15" s="1970">
        <f>+AVERAGE(BO15:BR15)</f>
        <v>0.42975000000000002</v>
      </c>
      <c r="DL15" s="1970">
        <f>+AVERAGE(BS15:BV15)</f>
        <v>0.36543444304293726</v>
      </c>
      <c r="DM15" s="1970">
        <f>+AVERAGE(BW15:BZ15)</f>
        <v>0.34625044237601216</v>
      </c>
      <c r="DN15" s="1970">
        <f>+AVERAGE(CA15:CD15)</f>
        <v>0.29576215053488136</v>
      </c>
      <c r="DO15" s="1970">
        <f>+AVERAGE(CE15:CH15)</f>
        <v>0.29733169895633438</v>
      </c>
      <c r="DP15" s="1970">
        <f>+AVERAGE(CI15:CL15)</f>
        <v>0.28691784647617091</v>
      </c>
      <c r="DQ15" s="1970">
        <f>+AVERAGE(CM15:CP15)</f>
        <v>0.32225525135810146</v>
      </c>
      <c r="DR15" s="1968">
        <f t="shared" ref="DR15:DU15" si="50">+DQ15+2%</f>
        <v>0.34225525135810148</v>
      </c>
      <c r="DS15" s="1968">
        <f t="shared" si="50"/>
        <v>0.36225525135810149</v>
      </c>
      <c r="DT15" s="1968">
        <f t="shared" si="50"/>
        <v>0.38225525135810151</v>
      </c>
      <c r="DU15" s="1968">
        <f t="shared" si="50"/>
        <v>0.40225525135810153</v>
      </c>
      <c r="DV15" s="1969"/>
      <c r="DW15" s="1969"/>
      <c r="DY15" s="1968">
        <v>0.32702920185899786</v>
      </c>
      <c r="DZ15" s="1968">
        <v>0.34702920185899788</v>
      </c>
    </row>
    <row r="16" spans="1:136">
      <c r="A16" s="430" t="s">
        <v>582</v>
      </c>
      <c r="B16" s="425"/>
      <c r="C16" s="426"/>
      <c r="D16" s="426"/>
      <c r="E16" s="427"/>
      <c r="F16" s="427"/>
      <c r="G16" s="427"/>
      <c r="H16" s="427"/>
      <c r="I16" s="427"/>
      <c r="J16" s="427"/>
      <c r="K16" s="427"/>
      <c r="L16" s="427"/>
      <c r="M16" s="427"/>
      <c r="N16" s="427"/>
      <c r="O16" s="427"/>
      <c r="P16" s="427"/>
      <c r="Q16" s="427"/>
      <c r="R16" s="427"/>
      <c r="S16" s="427"/>
      <c r="T16" s="427"/>
      <c r="U16" s="427"/>
      <c r="V16" s="427"/>
      <c r="W16" s="427"/>
      <c r="X16" s="427"/>
      <c r="Y16" s="427"/>
      <c r="Z16" s="427"/>
      <c r="AA16" s="427"/>
      <c r="AB16" s="427"/>
      <c r="AC16" s="427"/>
      <c r="AD16" s="428"/>
      <c r="AE16" s="428"/>
      <c r="AF16" s="428"/>
      <c r="AG16" s="428"/>
      <c r="AH16" s="428"/>
      <c r="AI16" s="428"/>
      <c r="AJ16" s="428"/>
      <c r="AK16" s="428"/>
      <c r="AL16" s="428"/>
      <c r="AM16" s="428"/>
      <c r="AN16" s="428"/>
      <c r="AO16" s="428"/>
      <c r="AP16" s="428"/>
      <c r="AQ16" s="1437">
        <f t="shared" ref="AQ16:BY16" si="51">+AQ13*AQ15</f>
        <v>399112.83999999997</v>
      </c>
      <c r="AR16" s="1437">
        <f t="shared" si="51"/>
        <v>566710.98</v>
      </c>
      <c r="AS16" s="1437">
        <f t="shared" si="51"/>
        <v>532969.31900000002</v>
      </c>
      <c r="AT16" s="1437">
        <f t="shared" si="51"/>
        <v>808186.58799999999</v>
      </c>
      <c r="AU16" s="1437">
        <f t="shared" si="51"/>
        <v>482196.91499999998</v>
      </c>
      <c r="AV16" s="1437">
        <f t="shared" si="51"/>
        <v>677113</v>
      </c>
      <c r="AW16" s="1437">
        <f t="shared" si="51"/>
        <v>621685.77</v>
      </c>
      <c r="AX16" s="1437">
        <f t="shared" si="51"/>
        <v>880098.31400000001</v>
      </c>
      <c r="AY16" s="1437">
        <f t="shared" si="51"/>
        <v>501484.96800000005</v>
      </c>
      <c r="AZ16" s="1437">
        <f t="shared" si="51"/>
        <v>726485.24800000002</v>
      </c>
      <c r="BA16" s="1437">
        <f t="shared" si="51"/>
        <v>623906.91</v>
      </c>
      <c r="BB16" s="1437">
        <f t="shared" si="51"/>
        <v>908817.18359267863</v>
      </c>
      <c r="BC16" s="1437">
        <f t="shared" si="51"/>
        <v>554373.11600000004</v>
      </c>
      <c r="BD16" s="1437">
        <f t="shared" si="51"/>
        <v>753270.67200000002</v>
      </c>
      <c r="BE16" s="1437">
        <f t="shared" si="51"/>
        <v>691248.14600000007</v>
      </c>
      <c r="BF16" s="1437">
        <f t="shared" si="51"/>
        <v>984503.26500000001</v>
      </c>
      <c r="BG16" s="1437">
        <f t="shared" si="51"/>
        <v>600093.35100000002</v>
      </c>
      <c r="BH16" s="1437">
        <f t="shared" si="51"/>
        <v>809380.09569999995</v>
      </c>
      <c r="BI16" s="1437">
        <f t="shared" si="51"/>
        <v>774093.81030000001</v>
      </c>
      <c r="BJ16" s="1437">
        <f t="shared" si="51"/>
        <v>1131473.192</v>
      </c>
      <c r="BK16" s="1437">
        <f t="shared" si="51"/>
        <v>691491.20299999998</v>
      </c>
      <c r="BL16" s="1437">
        <f t="shared" si="51"/>
        <v>904679.55200000003</v>
      </c>
      <c r="BM16" s="1437">
        <f t="shared" si="51"/>
        <v>857774.25600000005</v>
      </c>
      <c r="BN16" s="1437">
        <f t="shared" si="51"/>
        <v>1246907.172</v>
      </c>
      <c r="BO16" s="1437">
        <f t="shared" si="51"/>
        <v>646425.05999999994</v>
      </c>
      <c r="BP16" s="1437">
        <f t="shared" si="51"/>
        <v>266040.54800000001</v>
      </c>
      <c r="BQ16" s="1437">
        <f t="shared" si="51"/>
        <v>673688.37599999993</v>
      </c>
      <c r="BR16" s="1437">
        <f t="shared" si="51"/>
        <v>1170742.7579999999</v>
      </c>
      <c r="BS16" s="1437">
        <f t="shared" si="51"/>
        <v>485374.66389326105</v>
      </c>
      <c r="BT16" s="1437">
        <f t="shared" si="51"/>
        <v>858314.74</v>
      </c>
      <c r="BU16" s="1437">
        <f t="shared" si="51"/>
        <v>853892.77321800077</v>
      </c>
      <c r="BV16" s="1437">
        <f t="shared" si="51"/>
        <v>1303202.3042866199</v>
      </c>
      <c r="BW16" s="1437">
        <f t="shared" si="51"/>
        <v>774727.96645948989</v>
      </c>
      <c r="BX16" s="1437">
        <f t="shared" si="51"/>
        <v>1115542.1972234787</v>
      </c>
      <c r="BY16" s="1437">
        <f t="shared" si="51"/>
        <v>897825.91437097394</v>
      </c>
      <c r="BZ16" s="1437">
        <f t="shared" ref="BZ16:CA16" si="52">+BZ13*BZ15</f>
        <v>1219318.3520000002</v>
      </c>
      <c r="CA16" s="1437">
        <f t="shared" si="52"/>
        <v>685799.87047527498</v>
      </c>
      <c r="CB16" s="1437">
        <f t="shared" ref="CB16:CC16" si="53">+CB13*CB15</f>
        <v>912098.92708967382</v>
      </c>
      <c r="CC16" s="1437">
        <f t="shared" si="53"/>
        <v>764456.06800039951</v>
      </c>
      <c r="CD16" s="1437">
        <f t="shared" ref="CD16:CH16" si="54">+CD13*CD15</f>
        <v>1090574.8477832726</v>
      </c>
      <c r="CE16" s="1437">
        <f t="shared" si="54"/>
        <v>703835.54211541137</v>
      </c>
      <c r="CF16" s="1437">
        <f t="shared" si="54"/>
        <v>936456.18463498692</v>
      </c>
      <c r="CG16" s="1437">
        <f t="shared" si="54"/>
        <v>897747.14534077991</v>
      </c>
      <c r="CH16" s="1437">
        <f t="shared" si="54"/>
        <v>1234086.9091038532</v>
      </c>
      <c r="CI16" s="1437">
        <f t="shared" ref="CI16:CL16" si="55">+CI13*CI15</f>
        <v>764088.20920933143</v>
      </c>
      <c r="CJ16" s="1437">
        <f t="shared" si="55"/>
        <v>1043805.3339999999</v>
      </c>
      <c r="CK16" s="1437">
        <f t="shared" si="55"/>
        <v>884501.71996404661</v>
      </c>
      <c r="CL16" s="1948">
        <f t="shared" si="55"/>
        <v>1299604.6374407243</v>
      </c>
      <c r="CM16" s="1948">
        <f t="shared" ref="CM16:CP16" si="56">+CM13*CM15</f>
        <v>902043.3756588808</v>
      </c>
      <c r="CN16" s="1948">
        <f t="shared" si="56"/>
        <v>1221875.9095393238</v>
      </c>
      <c r="CO16" s="1948">
        <f t="shared" si="56"/>
        <v>1090554.8895379407</v>
      </c>
      <c r="CP16" s="1948">
        <f t="shared" si="56"/>
        <v>1598975.5886005792</v>
      </c>
      <c r="CQ16" s="249"/>
      <c r="CR16" s="249"/>
      <c r="CS16" s="1948">
        <v>1046726.8278081748</v>
      </c>
      <c r="CT16" s="1133"/>
      <c r="CU16" s="249"/>
      <c r="CV16" s="249"/>
      <c r="CW16" s="249"/>
      <c r="CX16" s="249"/>
      <c r="CY16" s="249"/>
      <c r="CZ16" s="249"/>
      <c r="DA16" s="249"/>
      <c r="DB16" s="249"/>
      <c r="DC16" s="249"/>
      <c r="DD16" s="249"/>
      <c r="DE16" s="249"/>
      <c r="DF16" s="249">
        <f t="shared" ref="DF16:DM16" si="57">+DF15-DE15</f>
        <v>-9.7499999999999254E-3</v>
      </c>
      <c r="DG16" s="249">
        <f t="shared" si="57"/>
        <v>-5.9454841551126458E-3</v>
      </c>
      <c r="DH16" s="249">
        <f t="shared" si="57"/>
        <v>-2.9804515844887358E-2</v>
      </c>
      <c r="DI16" s="249">
        <f t="shared" si="57"/>
        <v>-9.7500000000000919E-3</v>
      </c>
      <c r="DJ16" s="249">
        <f t="shared" si="57"/>
        <v>-6.7499999999999782E-3</v>
      </c>
      <c r="DK16" s="249">
        <f t="shared" si="57"/>
        <v>-6.4999999999999503E-3</v>
      </c>
      <c r="DL16" s="249">
        <f t="shared" si="57"/>
        <v>-6.4315556957062758E-2</v>
      </c>
      <c r="DM16" s="249">
        <f t="shared" si="57"/>
        <v>-1.9184000666925105E-2</v>
      </c>
      <c r="DN16" s="249">
        <f>+DN15-DM15</f>
        <v>-5.0488291841130795E-2</v>
      </c>
      <c r="DO16" s="249">
        <f t="shared" ref="DO16:DU16" si="58">+DO15-DN15</f>
        <v>1.5695484214530153E-3</v>
      </c>
      <c r="DP16" s="249">
        <f t="shared" si="58"/>
        <v>-1.0413852480163466E-2</v>
      </c>
      <c r="DQ16" s="249">
        <f t="shared" si="58"/>
        <v>3.5337404881930545E-2</v>
      </c>
      <c r="DR16" s="249">
        <f t="shared" si="58"/>
        <v>2.0000000000000018E-2</v>
      </c>
      <c r="DS16" s="249">
        <f t="shared" si="58"/>
        <v>2.0000000000000018E-2</v>
      </c>
      <c r="DT16" s="249">
        <f t="shared" si="58"/>
        <v>2.0000000000000018E-2</v>
      </c>
      <c r="DU16" s="249">
        <f t="shared" si="58"/>
        <v>2.0000000000000018E-2</v>
      </c>
      <c r="DV16" s="245"/>
      <c r="DW16" s="245"/>
      <c r="DY16" s="249">
        <v>2.0000000000000018E-2</v>
      </c>
      <c r="DZ16" s="249">
        <v>2.0000000000000018E-2</v>
      </c>
    </row>
    <row r="17" spans="1:130">
      <c r="A17" s="430" t="s">
        <v>583</v>
      </c>
      <c r="B17" s="425"/>
      <c r="C17" s="426"/>
      <c r="D17" s="426"/>
      <c r="E17" s="427"/>
      <c r="F17" s="427"/>
      <c r="G17" s="427"/>
      <c r="H17" s="427"/>
      <c r="I17" s="427"/>
      <c r="J17" s="427"/>
      <c r="K17" s="427"/>
      <c r="L17" s="427"/>
      <c r="M17" s="427"/>
      <c r="N17" s="427"/>
      <c r="O17" s="427"/>
      <c r="P17" s="427"/>
      <c r="Q17" s="427"/>
      <c r="R17" s="427"/>
      <c r="S17" s="427"/>
      <c r="T17" s="427"/>
      <c r="U17" s="427"/>
      <c r="V17" s="427"/>
      <c r="W17" s="427"/>
      <c r="X17" s="427"/>
      <c r="Y17" s="427"/>
      <c r="Z17" s="427"/>
      <c r="AA17" s="427"/>
      <c r="AB17" s="427"/>
      <c r="AC17" s="427"/>
      <c r="AD17" s="428"/>
      <c r="AE17" s="428"/>
      <c r="AF17" s="428"/>
      <c r="AG17" s="428"/>
      <c r="AH17" s="428"/>
      <c r="AI17" s="428"/>
      <c r="AJ17" s="428"/>
      <c r="AK17" s="428"/>
      <c r="AL17" s="428"/>
      <c r="AM17" s="428"/>
      <c r="AN17" s="428"/>
      <c r="AO17" s="428"/>
      <c r="AP17" s="428"/>
      <c r="AQ17" s="238">
        <f t="shared" ref="AQ17:BP17" si="59">+AQ16/(AQ6*1000)</f>
        <v>17.504949122807016</v>
      </c>
      <c r="AR17" s="238">
        <f t="shared" si="59"/>
        <v>24.32235965665236</v>
      </c>
      <c r="AS17" s="238">
        <f t="shared" si="59"/>
        <v>22.488156919831223</v>
      </c>
      <c r="AT17" s="238">
        <f t="shared" si="59"/>
        <v>33.258707325102883</v>
      </c>
      <c r="AU17" s="238">
        <f t="shared" si="59"/>
        <v>19.522142307692306</v>
      </c>
      <c r="AV17" s="238">
        <f t="shared" si="59"/>
        <v>26.869563492063492</v>
      </c>
      <c r="AW17" s="238">
        <f t="shared" si="59"/>
        <v>24.284600390625002</v>
      </c>
      <c r="AX17" s="238">
        <f t="shared" si="59"/>
        <v>33.849935153846154</v>
      </c>
      <c r="AY17" s="238">
        <f t="shared" si="59"/>
        <v>19.14064763358779</v>
      </c>
      <c r="AZ17" s="238">
        <f t="shared" si="59"/>
        <v>27.311475488721804</v>
      </c>
      <c r="BA17" s="238">
        <f t="shared" si="59"/>
        <v>23.193565427509295</v>
      </c>
      <c r="BB17" s="238">
        <f t="shared" si="59"/>
        <v>33.168510350097762</v>
      </c>
      <c r="BC17" s="238">
        <f t="shared" si="59"/>
        <v>20.013469891696751</v>
      </c>
      <c r="BD17" s="238">
        <f t="shared" si="59"/>
        <v>26.902524</v>
      </c>
      <c r="BE17" s="238">
        <f t="shared" si="59"/>
        <v>24.339723450704227</v>
      </c>
      <c r="BF17" s="238">
        <f t="shared" si="59"/>
        <v>34.128155565635467</v>
      </c>
      <c r="BG17" s="238">
        <f t="shared" si="59"/>
        <v>20.551142157534247</v>
      </c>
      <c r="BH17" s="238">
        <f t="shared" si="59"/>
        <v>27.353831447115116</v>
      </c>
      <c r="BI17" s="238">
        <f t="shared" si="59"/>
        <v>25.797956239637703</v>
      </c>
      <c r="BJ17" s="238">
        <f t="shared" si="59"/>
        <v>36.996536957080941</v>
      </c>
      <c r="BK17" s="238">
        <f t="shared" si="59"/>
        <v>22.331087170919471</v>
      </c>
      <c r="BL17" s="238">
        <f t="shared" si="59"/>
        <v>28.763584980700745</v>
      </c>
      <c r="BM17" s="238">
        <f t="shared" si="59"/>
        <v>26.889475109717871</v>
      </c>
      <c r="BN17" s="238">
        <f t="shared" si="59"/>
        <v>38.333269911181631</v>
      </c>
      <c r="BO17" s="238">
        <f t="shared" si="59"/>
        <v>19.664854988420419</v>
      </c>
      <c r="BP17" s="238">
        <f t="shared" si="59"/>
        <v>8.0755164256922427</v>
      </c>
      <c r="BQ17" s="238">
        <f t="shared" ref="BQ17:BX17" si="60">+BQ16/(BQ6*1000)</f>
        <v>20.251024329634287</v>
      </c>
      <c r="BR17" s="238">
        <f t="shared" si="60"/>
        <v>34.637359704142007</v>
      </c>
      <c r="BS17" s="238">
        <f t="shared" si="60"/>
        <v>14.295144100549678</v>
      </c>
      <c r="BT17" s="238">
        <f t="shared" si="60"/>
        <v>25.108356068345277</v>
      </c>
      <c r="BU17" s="238">
        <f t="shared" si="60"/>
        <v>24.786672095010267</v>
      </c>
      <c r="BV17" s="238">
        <f t="shared" si="60"/>
        <v>37.561519901694012</v>
      </c>
      <c r="BW17" s="238">
        <f t="shared" si="60"/>
        <v>22.235858939318931</v>
      </c>
      <c r="BX17" s="238">
        <f t="shared" si="60"/>
        <v>31.861572778647005</v>
      </c>
      <c r="BY17" s="238">
        <f t="shared" ref="BY17:CC17" si="61">+BY16/(BY6*1000)</f>
        <v>25.563317463947637</v>
      </c>
      <c r="BZ17" s="238">
        <f t="shared" si="61"/>
        <v>34.639725909090913</v>
      </c>
      <c r="CA17" s="238">
        <f t="shared" si="61"/>
        <v>19.414045344720954</v>
      </c>
      <c r="CB17" s="238">
        <f t="shared" si="61"/>
        <v>25.709019921728302</v>
      </c>
      <c r="CC17" s="238">
        <f t="shared" si="61"/>
        <v>21.47219129635025</v>
      </c>
      <c r="CD17" s="238"/>
      <c r="CE17" s="238"/>
      <c r="CF17" s="238"/>
      <c r="CG17" s="238"/>
      <c r="CH17" s="238"/>
      <c r="CI17" s="238"/>
      <c r="CJ17" s="238"/>
      <c r="CK17" s="238"/>
      <c r="CL17" s="238"/>
      <c r="CM17" s="238"/>
      <c r="CN17" s="238"/>
      <c r="CO17" s="238"/>
      <c r="CP17" s="238"/>
      <c r="CQ17" s="249"/>
      <c r="CR17" s="249"/>
      <c r="CS17" s="238"/>
      <c r="CT17" s="1133"/>
      <c r="CU17" s="249"/>
      <c r="CV17" s="249"/>
      <c r="CW17" s="249"/>
      <c r="CX17" s="249"/>
      <c r="CY17" s="249"/>
      <c r="CZ17" s="249"/>
      <c r="DA17" s="249"/>
      <c r="DB17" s="249"/>
      <c r="DC17" s="249"/>
      <c r="DD17" s="249"/>
      <c r="DE17" s="249"/>
      <c r="DF17" s="249"/>
      <c r="DG17" s="249"/>
      <c r="DH17" s="249"/>
      <c r="DI17" s="249"/>
      <c r="DJ17" s="249"/>
      <c r="DK17" s="249"/>
      <c r="DL17" s="249"/>
      <c r="DM17" s="249"/>
      <c r="DN17" s="249"/>
      <c r="DO17" s="249"/>
      <c r="DP17" s="249"/>
      <c r="DQ17" s="249"/>
      <c r="DR17" s="249"/>
      <c r="DS17" s="249"/>
      <c r="DT17" s="249"/>
      <c r="DU17" s="249"/>
      <c r="DV17" s="245"/>
      <c r="DW17" s="245"/>
      <c r="DY17" s="249"/>
      <c r="DZ17" s="249"/>
    </row>
    <row r="18" spans="1:130">
      <c r="A18" s="430" t="s">
        <v>120</v>
      </c>
      <c r="B18" s="425"/>
      <c r="C18" s="426"/>
      <c r="D18" s="426"/>
      <c r="E18" s="427"/>
      <c r="F18" s="427"/>
      <c r="G18" s="427"/>
      <c r="H18" s="427"/>
      <c r="I18" s="427"/>
      <c r="J18" s="427"/>
      <c r="K18" s="427"/>
      <c r="L18" s="427"/>
      <c r="M18" s="427"/>
      <c r="N18" s="427"/>
      <c r="O18" s="427"/>
      <c r="P18" s="427"/>
      <c r="Q18" s="427"/>
      <c r="R18" s="427"/>
      <c r="S18" s="427"/>
      <c r="T18" s="427"/>
      <c r="U18" s="427"/>
      <c r="V18" s="427"/>
      <c r="W18" s="427"/>
      <c r="X18" s="427"/>
      <c r="Y18" s="427"/>
      <c r="Z18" s="427"/>
      <c r="AA18" s="427"/>
      <c r="AB18" s="427"/>
      <c r="AC18" s="427"/>
      <c r="AD18" s="428"/>
      <c r="AE18" s="428"/>
      <c r="AF18" s="428"/>
      <c r="AG18" s="428"/>
      <c r="AH18" s="428"/>
      <c r="AI18" s="428"/>
      <c r="AJ18" s="428"/>
      <c r="AK18" s="428"/>
      <c r="AL18" s="428"/>
      <c r="AM18" s="428"/>
      <c r="AN18" s="428"/>
      <c r="AO18" s="428"/>
      <c r="AP18" s="428"/>
      <c r="AQ18" s="238"/>
      <c r="AR18" s="238"/>
      <c r="AS18" s="238"/>
      <c r="AT18" s="238"/>
      <c r="AU18" s="238"/>
      <c r="AV18" s="238"/>
      <c r="AW18" s="238"/>
      <c r="AX18" s="238"/>
      <c r="AY18" s="238"/>
      <c r="AZ18" s="238"/>
      <c r="BA18" s="238"/>
      <c r="BB18" s="238"/>
      <c r="BC18" s="238"/>
      <c r="BD18" s="238"/>
      <c r="BE18" s="238"/>
      <c r="BF18" s="238"/>
      <c r="BG18" s="238"/>
      <c r="BH18" s="238"/>
      <c r="BI18" s="238"/>
      <c r="BJ18" s="238"/>
      <c r="BK18" s="238"/>
      <c r="BL18" s="238"/>
      <c r="BM18" s="238"/>
      <c r="BN18" s="238"/>
      <c r="BO18" s="242">
        <f t="shared" ref="BO18:BX18" si="62">+BO17/BK17-1</f>
        <v>-0.11939553869867725</v>
      </c>
      <c r="BP18" s="242">
        <f t="shared" si="62"/>
        <v>-0.71924513473857299</v>
      </c>
      <c r="BQ18" s="242">
        <f t="shared" si="62"/>
        <v>-0.24687915078284461</v>
      </c>
      <c r="BR18" s="242">
        <f t="shared" si="62"/>
        <v>-9.6415208397380825E-2</v>
      </c>
      <c r="BS18" s="242">
        <f t="shared" si="62"/>
        <v>-0.2730613010384606</v>
      </c>
      <c r="BT18" s="242">
        <f t="shared" si="62"/>
        <v>2.1091950959895374</v>
      </c>
      <c r="BU18" s="242">
        <f t="shared" si="62"/>
        <v>0.22397127629434288</v>
      </c>
      <c r="BV18" s="242">
        <f t="shared" si="62"/>
        <v>8.4422144832313251E-2</v>
      </c>
      <c r="BW18" s="242">
        <f t="shared" si="62"/>
        <v>0.55548337134033621</v>
      </c>
      <c r="BX18" s="242">
        <f t="shared" si="62"/>
        <v>0.26896291783975745</v>
      </c>
      <c r="BY18" s="242">
        <f t="shared" ref="BY18:CC18" si="63">+BY17/BU17-1</f>
        <v>3.1333184461407093E-2</v>
      </c>
      <c r="BZ18" s="242">
        <f t="shared" si="63"/>
        <v>-7.7786894679715224E-2</v>
      </c>
      <c r="CA18" s="242">
        <f t="shared" si="63"/>
        <v>-0.12690373699071533</v>
      </c>
      <c r="CB18" s="242">
        <f t="shared" si="63"/>
        <v>-0.19310260983230632</v>
      </c>
      <c r="CC18" s="242">
        <f t="shared" si="63"/>
        <v>-0.16003893756618914</v>
      </c>
      <c r="CD18" s="242"/>
      <c r="CE18" s="242"/>
      <c r="CF18" s="242"/>
      <c r="CG18" s="242"/>
      <c r="CH18" s="242"/>
      <c r="CI18" s="242"/>
      <c r="CJ18" s="242"/>
      <c r="CK18" s="242"/>
      <c r="CL18" s="242"/>
      <c r="CM18" s="242"/>
      <c r="CN18" s="242"/>
      <c r="CO18" s="242"/>
      <c r="CP18" s="242"/>
      <c r="CQ18" s="249"/>
      <c r="CR18" s="249"/>
      <c r="CS18" s="242"/>
      <c r="CT18" s="1133"/>
      <c r="CU18" s="249"/>
      <c r="CV18" s="249"/>
      <c r="CW18" s="249"/>
      <c r="CX18" s="249"/>
      <c r="CY18" s="249"/>
      <c r="CZ18" s="249"/>
      <c r="DA18" s="249"/>
      <c r="DB18" s="249"/>
      <c r="DC18" s="249"/>
      <c r="DD18" s="249"/>
      <c r="DE18" s="249"/>
      <c r="DF18" s="249"/>
      <c r="DG18" s="249"/>
      <c r="DH18" s="249"/>
      <c r="DI18" s="249"/>
      <c r="DJ18" s="249"/>
      <c r="DK18" s="249"/>
      <c r="DL18" s="249"/>
      <c r="DM18" s="249"/>
      <c r="DN18" s="249"/>
      <c r="DO18" s="249"/>
      <c r="DP18" s="249"/>
      <c r="DQ18" s="249"/>
      <c r="DR18" s="249"/>
      <c r="DS18" s="249"/>
      <c r="DT18" s="249"/>
      <c r="DU18" s="249"/>
      <c r="DV18" s="245"/>
      <c r="DW18" s="245"/>
      <c r="DY18" s="249"/>
      <c r="DZ18" s="249"/>
    </row>
    <row r="19" spans="1:130">
      <c r="A19" s="430" t="s">
        <v>124</v>
      </c>
      <c r="B19" s="425"/>
      <c r="C19" s="426"/>
      <c r="D19" s="426"/>
      <c r="E19" s="427"/>
      <c r="F19" s="427"/>
      <c r="G19" s="427"/>
      <c r="H19" s="427"/>
      <c r="I19" s="427"/>
      <c r="J19" s="427"/>
      <c r="K19" s="427"/>
      <c r="L19" s="427"/>
      <c r="M19" s="427"/>
      <c r="N19" s="427"/>
      <c r="O19" s="427"/>
      <c r="P19" s="427"/>
      <c r="Q19" s="427"/>
      <c r="R19" s="427"/>
      <c r="S19" s="427"/>
      <c r="T19" s="427"/>
      <c r="U19" s="427"/>
      <c r="V19" s="427"/>
      <c r="W19" s="427"/>
      <c r="X19" s="427"/>
      <c r="Y19" s="427"/>
      <c r="Z19" s="427"/>
      <c r="AA19" s="427"/>
      <c r="AB19" s="427"/>
      <c r="AC19" s="427"/>
      <c r="AD19" s="428"/>
      <c r="AE19" s="428"/>
      <c r="AF19" s="428"/>
      <c r="AG19" s="428"/>
      <c r="AH19" s="428"/>
      <c r="AI19" s="428"/>
      <c r="AJ19" s="428"/>
      <c r="AK19" s="428"/>
      <c r="AL19" s="428"/>
      <c r="AM19" s="428"/>
      <c r="AN19" s="428"/>
      <c r="AO19" s="428"/>
      <c r="AP19" s="428"/>
      <c r="AQ19" s="238"/>
      <c r="AR19" s="238"/>
      <c r="AS19" s="238"/>
      <c r="AT19" s="238"/>
      <c r="AU19" s="238"/>
      <c r="AV19" s="238"/>
      <c r="AW19" s="238"/>
      <c r="AX19" s="238"/>
      <c r="AY19" s="238"/>
      <c r="AZ19" s="238"/>
      <c r="BA19" s="238"/>
      <c r="BB19" s="238"/>
      <c r="BC19" s="238"/>
      <c r="BD19" s="238"/>
      <c r="BE19" s="238"/>
      <c r="BF19" s="238"/>
      <c r="BG19" s="238"/>
      <c r="BH19" s="238"/>
      <c r="BI19" s="238"/>
      <c r="BJ19" s="238"/>
      <c r="BK19" s="238"/>
      <c r="BL19" s="238"/>
      <c r="BM19" s="238"/>
      <c r="BN19" s="238"/>
      <c r="BO19" s="242"/>
      <c r="BP19" s="242"/>
      <c r="BQ19" s="242"/>
      <c r="BR19" s="242"/>
      <c r="BS19" s="242"/>
      <c r="BT19" s="242"/>
      <c r="BU19" s="242"/>
      <c r="BV19" s="242"/>
      <c r="BW19" s="242">
        <f>+BW17/BK17-1</f>
        <v>-4.2643795562515852E-3</v>
      </c>
      <c r="BX19" s="242">
        <f t="shared" ref="BX19:CC19" si="64">+BX17/BL17-1</f>
        <v>0.10770520434170106</v>
      </c>
      <c r="BY19" s="242">
        <f t="shared" si="64"/>
        <v>-4.9318837216385858E-2</v>
      </c>
      <c r="BZ19" s="242">
        <f t="shared" si="64"/>
        <v>-9.6353481209630054E-2</v>
      </c>
      <c r="CA19" s="242">
        <f t="shared" si="64"/>
        <v>-1.2754207638304704E-2</v>
      </c>
      <c r="CB19" s="242">
        <f t="shared" si="64"/>
        <v>2.183575955580388</v>
      </c>
      <c r="CC19" s="242">
        <f t="shared" si="64"/>
        <v>6.0301491264763918E-2</v>
      </c>
      <c r="CD19" s="242"/>
      <c r="CE19" s="242"/>
      <c r="CF19" s="242"/>
      <c r="CG19" s="242"/>
      <c r="CH19" s="242"/>
      <c r="CI19" s="242"/>
      <c r="CJ19" s="242"/>
      <c r="CK19" s="242"/>
      <c r="CL19" s="242"/>
      <c r="CM19" s="242"/>
      <c r="CN19" s="242"/>
      <c r="CO19" s="242"/>
      <c r="CP19" s="242"/>
      <c r="CQ19" s="249"/>
      <c r="CR19" s="249"/>
      <c r="CS19" s="242"/>
      <c r="CT19" s="1133"/>
      <c r="CU19" s="249"/>
      <c r="CV19" s="249"/>
      <c r="CW19" s="249"/>
      <c r="CX19" s="249"/>
      <c r="CY19" s="249"/>
      <c r="CZ19" s="249"/>
      <c r="DA19" s="249"/>
      <c r="DB19" s="249"/>
      <c r="DC19" s="249"/>
      <c r="DD19" s="249"/>
      <c r="DE19" s="249"/>
      <c r="DF19" s="249"/>
      <c r="DG19" s="249"/>
      <c r="DH19" s="249"/>
      <c r="DI19" s="249"/>
      <c r="DJ19" s="249"/>
      <c r="DK19" s="249"/>
      <c r="DL19" s="249"/>
      <c r="DM19" s="249"/>
      <c r="DN19" s="249"/>
      <c r="DO19" s="249"/>
      <c r="DP19" s="249"/>
      <c r="DQ19" s="249"/>
      <c r="DR19" s="249"/>
      <c r="DS19" s="249"/>
      <c r="DT19" s="249"/>
      <c r="DU19" s="249"/>
      <c r="DV19" s="245"/>
      <c r="DW19" s="245"/>
      <c r="DY19" s="249"/>
      <c r="DZ19" s="249"/>
    </row>
    <row r="20" spans="1:130">
      <c r="A20" s="430"/>
      <c r="B20" s="425"/>
      <c r="C20" s="426"/>
      <c r="D20" s="426"/>
      <c r="E20" s="427"/>
      <c r="F20" s="427"/>
      <c r="G20" s="427"/>
      <c r="H20" s="427"/>
      <c r="I20" s="427"/>
      <c r="J20" s="427"/>
      <c r="K20" s="427"/>
      <c r="L20" s="427"/>
      <c r="M20" s="427"/>
      <c r="N20" s="427"/>
      <c r="O20" s="427"/>
      <c r="P20" s="427"/>
      <c r="Q20" s="427"/>
      <c r="R20" s="427"/>
      <c r="S20" s="427"/>
      <c r="T20" s="427"/>
      <c r="U20" s="427"/>
      <c r="V20" s="427"/>
      <c r="W20" s="427"/>
      <c r="X20" s="427"/>
      <c r="Y20" s="427"/>
      <c r="Z20" s="427"/>
      <c r="AA20" s="427"/>
      <c r="AB20" s="427"/>
      <c r="AC20" s="427"/>
      <c r="AD20" s="428"/>
      <c r="AE20" s="428"/>
      <c r="AF20" s="428"/>
      <c r="AG20" s="428"/>
      <c r="AH20" s="428"/>
      <c r="AI20" s="428"/>
      <c r="AJ20" s="428"/>
      <c r="AK20" s="428"/>
      <c r="AL20" s="428"/>
      <c r="AM20" s="428"/>
      <c r="AN20" s="428"/>
      <c r="AO20" s="428"/>
      <c r="AP20" s="428"/>
      <c r="AQ20" s="238"/>
      <c r="AR20" s="238"/>
      <c r="AS20" s="238"/>
      <c r="AT20" s="238"/>
      <c r="AU20" s="238"/>
      <c r="AV20" s="238"/>
      <c r="AW20" s="238"/>
      <c r="AX20" s="238"/>
      <c r="AY20" s="238"/>
      <c r="AZ20" s="238"/>
      <c r="BA20" s="238"/>
      <c r="BB20" s="238"/>
      <c r="BC20" s="238"/>
      <c r="BD20" s="238"/>
      <c r="BE20" s="238"/>
      <c r="BF20" s="238"/>
      <c r="BG20" s="238"/>
      <c r="BH20" s="238"/>
      <c r="BI20" s="238"/>
      <c r="BJ20" s="238"/>
      <c r="BK20" s="238"/>
      <c r="BL20" s="238"/>
      <c r="BM20" s="238"/>
      <c r="BN20" s="238"/>
      <c r="BO20" s="242"/>
      <c r="BP20" s="242"/>
      <c r="BQ20" s="242"/>
      <c r="BR20" s="242"/>
      <c r="BS20" s="242"/>
      <c r="BT20" s="242"/>
      <c r="BU20" s="242"/>
      <c r="BV20" s="242"/>
      <c r="BW20" s="242"/>
      <c r="BX20" s="242"/>
      <c r="BY20" s="242"/>
      <c r="BZ20" s="242"/>
      <c r="CA20" s="242"/>
      <c r="CB20" s="242"/>
      <c r="CC20" s="242"/>
      <c r="CD20" s="242"/>
      <c r="CE20" s="242"/>
      <c r="CF20" s="242"/>
      <c r="CG20" s="242"/>
      <c r="CH20" s="242"/>
      <c r="CI20" s="242"/>
      <c r="CJ20" s="242"/>
      <c r="CK20" s="242"/>
      <c r="CL20" s="242"/>
      <c r="CM20" s="242"/>
      <c r="CN20" s="242"/>
      <c r="CO20" s="242"/>
      <c r="CP20" s="242"/>
      <c r="CQ20" s="249"/>
      <c r="CR20" s="249"/>
      <c r="CS20" s="242"/>
      <c r="CT20" s="1133"/>
      <c r="CU20" s="249"/>
      <c r="CV20" s="249"/>
      <c r="CW20" s="249"/>
      <c r="CX20" s="249"/>
      <c r="CY20" s="249"/>
      <c r="CZ20" s="249"/>
      <c r="DA20" s="249"/>
      <c r="DB20" s="249"/>
      <c r="DC20" s="249"/>
      <c r="DD20" s="249"/>
      <c r="DE20" s="249"/>
      <c r="DF20" s="249"/>
      <c r="DG20" s="249"/>
      <c r="DH20" s="249"/>
      <c r="DI20" s="249"/>
      <c r="DJ20" s="249"/>
      <c r="DK20" s="249"/>
      <c r="DL20" s="249"/>
      <c r="DM20" s="249"/>
      <c r="DN20" s="249"/>
      <c r="DO20" s="249"/>
      <c r="DP20" s="249"/>
      <c r="DQ20" s="249"/>
      <c r="DR20" s="249"/>
      <c r="DS20" s="249"/>
      <c r="DT20" s="249"/>
      <c r="DU20" s="249"/>
      <c r="DV20" s="245"/>
      <c r="DW20" s="245"/>
      <c r="DY20" s="249"/>
      <c r="DZ20" s="249"/>
    </row>
    <row r="21" spans="1:130" s="359" customFormat="1">
      <c r="A21" s="424" t="s">
        <v>584</v>
      </c>
      <c r="B21" s="425"/>
      <c r="C21" s="426"/>
      <c r="D21" s="426"/>
      <c r="E21" s="427"/>
      <c r="F21" s="427"/>
      <c r="G21" s="427"/>
      <c r="H21" s="427"/>
      <c r="I21" s="427"/>
      <c r="J21" s="427"/>
      <c r="K21" s="427"/>
      <c r="L21" s="427"/>
      <c r="M21" s="427"/>
      <c r="N21" s="427"/>
      <c r="O21" s="427"/>
      <c r="P21" s="427"/>
      <c r="Q21" s="427"/>
      <c r="R21" s="427"/>
      <c r="S21" s="427"/>
      <c r="T21" s="427"/>
      <c r="U21" s="427"/>
      <c r="V21" s="427"/>
      <c r="W21" s="427"/>
      <c r="X21" s="427"/>
      <c r="Y21" s="427"/>
      <c r="Z21" s="427"/>
      <c r="AA21" s="427"/>
      <c r="AB21" s="427"/>
      <c r="AC21" s="427"/>
      <c r="AD21" s="428"/>
      <c r="AE21" s="428"/>
      <c r="AF21" s="428"/>
      <c r="AG21" s="428"/>
      <c r="AH21" s="428"/>
      <c r="AI21" s="428"/>
      <c r="AJ21" s="428"/>
      <c r="AK21" s="428"/>
      <c r="AL21" s="428"/>
      <c r="AM21" s="428"/>
      <c r="AN21" s="428"/>
      <c r="AO21" s="428"/>
      <c r="AP21" s="428"/>
      <c r="AQ21" s="1589">
        <f t="shared" ref="AQ21:CL21" si="65">+AQ240+AQ166</f>
        <v>1129443</v>
      </c>
      <c r="AR21" s="1589">
        <f t="shared" si="65"/>
        <v>1197445</v>
      </c>
      <c r="AS21" s="1589">
        <f t="shared" si="65"/>
        <v>1183199</v>
      </c>
      <c r="AT21" s="1589">
        <f t="shared" si="65"/>
        <v>1576372</v>
      </c>
      <c r="AU21" s="1589">
        <f t="shared" si="65"/>
        <v>1392225</v>
      </c>
      <c r="AV21" s="1589">
        <f t="shared" si="65"/>
        <v>1472249.4282799999</v>
      </c>
      <c r="AW21" s="1589">
        <f t="shared" si="65"/>
        <v>1423136</v>
      </c>
      <c r="AX21" s="1589">
        <f t="shared" si="65"/>
        <v>1762658</v>
      </c>
      <c r="AY21" s="1589">
        <f t="shared" si="65"/>
        <v>1492170</v>
      </c>
      <c r="AZ21" s="1589">
        <f t="shared" si="65"/>
        <v>1570170</v>
      </c>
      <c r="BA21" s="1589">
        <f t="shared" si="65"/>
        <v>1478979</v>
      </c>
      <c r="BB21" s="1589">
        <f t="shared" si="65"/>
        <v>1825405</v>
      </c>
      <c r="BC21" s="1589">
        <f t="shared" si="65"/>
        <v>1635655</v>
      </c>
      <c r="BD21" s="1589">
        <f t="shared" si="65"/>
        <v>1852089</v>
      </c>
      <c r="BE21" s="1589">
        <f t="shared" si="65"/>
        <v>1819546.8431500001</v>
      </c>
      <c r="BF21" s="1589">
        <f t="shared" si="65"/>
        <v>2286651.6244600001</v>
      </c>
      <c r="BG21" s="1589">
        <f t="shared" si="65"/>
        <v>2082285.9108</v>
      </c>
      <c r="BH21" s="1589">
        <f t="shared" si="65"/>
        <v>2185728.0381800001</v>
      </c>
      <c r="BI21" s="1589">
        <f t="shared" si="65"/>
        <v>2182801.1979799997</v>
      </c>
      <c r="BJ21" s="1589">
        <f t="shared" si="65"/>
        <v>2761210.7797699999</v>
      </c>
      <c r="BK21" s="1589">
        <f t="shared" si="65"/>
        <v>2560557.2160198218</v>
      </c>
      <c r="BL21" s="1589">
        <f t="shared" si="65"/>
        <v>2673294.2436991963</v>
      </c>
      <c r="BM21" s="1589">
        <f t="shared" si="65"/>
        <v>2793383.4471604768</v>
      </c>
      <c r="BN21" s="1589">
        <f t="shared" si="65"/>
        <v>3417337.8496167916</v>
      </c>
      <c r="BO21" s="1589">
        <f t="shared" si="65"/>
        <v>3249187.5514299991</v>
      </c>
      <c r="BP21" s="1589">
        <f t="shared" si="65"/>
        <v>2656011.4753300003</v>
      </c>
      <c r="BQ21" s="1589">
        <f t="shared" si="65"/>
        <v>2867332.9017600003</v>
      </c>
      <c r="BR21" s="1589">
        <f t="shared" si="65"/>
        <v>3535836.4253900005</v>
      </c>
      <c r="BS21" s="1589">
        <f t="shared" si="65"/>
        <v>3046404</v>
      </c>
      <c r="BT21" s="1589">
        <f t="shared" si="65"/>
        <v>3418532</v>
      </c>
      <c r="BU21" s="1589">
        <f t="shared" si="65"/>
        <v>3717541</v>
      </c>
      <c r="BV21" s="1589">
        <f t="shared" si="65"/>
        <v>4811666</v>
      </c>
      <c r="BW21" s="1589">
        <f t="shared" si="65"/>
        <v>4935589</v>
      </c>
      <c r="BX21" s="1589">
        <f t="shared" si="65"/>
        <v>5499902</v>
      </c>
      <c r="BY21" s="1589">
        <f t="shared" si="65"/>
        <v>5651328</v>
      </c>
      <c r="BZ21" s="1589">
        <f t="shared" si="65"/>
        <v>6368525</v>
      </c>
      <c r="CA21" s="1589">
        <f t="shared" si="65"/>
        <v>6175230</v>
      </c>
      <c r="CB21" s="1589">
        <f t="shared" si="65"/>
        <v>6209023</v>
      </c>
      <c r="CC21" s="1589">
        <f t="shared" si="65"/>
        <v>5821044</v>
      </c>
      <c r="CD21" s="1589">
        <f t="shared" si="65"/>
        <v>6186858</v>
      </c>
      <c r="CE21" s="1589">
        <f t="shared" si="65"/>
        <v>5749932</v>
      </c>
      <c r="CF21" s="1589">
        <f t="shared" si="65"/>
        <v>5801184.0457786657</v>
      </c>
      <c r="CG21" s="1589">
        <f t="shared" si="65"/>
        <v>5734545.3906081431</v>
      </c>
      <c r="CH21" s="1589">
        <f t="shared" si="65"/>
        <v>6182188.4025662439</v>
      </c>
      <c r="CI21" s="1589">
        <f t="shared" si="65"/>
        <v>6111623.318900045</v>
      </c>
      <c r="CJ21" s="1589">
        <f t="shared" si="65"/>
        <v>6511546.7584300004</v>
      </c>
      <c r="CK21" s="1589">
        <f t="shared" si="65"/>
        <v>6395676.9893299993</v>
      </c>
      <c r="CL21" s="1589">
        <f t="shared" si="65"/>
        <v>6568557.0239881864</v>
      </c>
      <c r="CM21" s="1589">
        <f t="shared" ref="CM21:CP21" si="66">+CM240+CM166</f>
        <v>6492167.5259392494</v>
      </c>
      <c r="CN21" s="1589">
        <f t="shared" si="66"/>
        <v>6917265.7591044009</v>
      </c>
      <c r="CO21" s="1589">
        <f t="shared" si="66"/>
        <v>6793193.3813065998</v>
      </c>
      <c r="CP21" s="1589">
        <f t="shared" si="66"/>
        <v>6979342.7480768841</v>
      </c>
      <c r="CQ21" s="249"/>
      <c r="CR21" s="249"/>
      <c r="CS21" s="1589">
        <v>6142699.3507829979</v>
      </c>
      <c r="CT21" s="1136"/>
      <c r="CU21" s="249"/>
      <c r="CV21" s="249"/>
      <c r="CW21" s="249"/>
      <c r="CX21" s="249"/>
      <c r="CY21" s="249"/>
      <c r="CZ21" s="249"/>
      <c r="DA21" s="249"/>
      <c r="DB21" s="249"/>
      <c r="DC21" s="249"/>
      <c r="DD21" s="249"/>
      <c r="DE21" s="249"/>
      <c r="DF21" s="592">
        <f>+AX21</f>
        <v>1762658</v>
      </c>
      <c r="DG21" s="592">
        <f>+BB21</f>
        <v>1825405</v>
      </c>
      <c r="DH21" s="592">
        <f>+BF21</f>
        <v>2286651.6244600001</v>
      </c>
      <c r="DI21" s="939">
        <f>+BJ21</f>
        <v>2761210.7797699999</v>
      </c>
      <c r="DJ21" s="939">
        <f>+BN21</f>
        <v>3417337.8496167916</v>
      </c>
      <c r="DK21" s="939">
        <f>+BR21</f>
        <v>3535836.4253900005</v>
      </c>
      <c r="DL21" s="939">
        <f>+BV21</f>
        <v>4811666</v>
      </c>
      <c r="DM21" s="939">
        <f>+BZ21</f>
        <v>6368525</v>
      </c>
      <c r="DN21" s="939">
        <f>+CD21</f>
        <v>6186858</v>
      </c>
      <c r="DO21" s="939">
        <f>+CH21</f>
        <v>6182188.4025662439</v>
      </c>
      <c r="DP21" s="939">
        <f>+CL21</f>
        <v>6568557.0239881864</v>
      </c>
      <c r="DQ21" s="939">
        <f>+CP21</f>
        <v>6979342.7480768841</v>
      </c>
      <c r="DR21" s="249"/>
      <c r="DS21" s="249"/>
      <c r="DT21" s="249"/>
      <c r="DU21" s="249"/>
      <c r="DV21" s="245"/>
      <c r="DW21" s="245"/>
      <c r="DY21" s="249"/>
      <c r="DZ21" s="249"/>
    </row>
    <row r="22" spans="1:130">
      <c r="A22" s="430" t="s">
        <v>120</v>
      </c>
      <c r="B22" s="425"/>
      <c r="C22" s="426"/>
      <c r="D22" s="426"/>
      <c r="E22" s="427"/>
      <c r="F22" s="427"/>
      <c r="G22" s="427"/>
      <c r="H22" s="427"/>
      <c r="I22" s="427"/>
      <c r="J22" s="427"/>
      <c r="K22" s="427"/>
      <c r="L22" s="427"/>
      <c r="M22" s="427"/>
      <c r="N22" s="427"/>
      <c r="O22" s="427"/>
      <c r="P22" s="427"/>
      <c r="Q22" s="427"/>
      <c r="R22" s="427"/>
      <c r="S22" s="427"/>
      <c r="T22" s="427"/>
      <c r="U22" s="427"/>
      <c r="V22" s="427"/>
      <c r="W22" s="427"/>
      <c r="X22" s="427"/>
      <c r="Y22" s="427"/>
      <c r="Z22" s="427"/>
      <c r="AA22" s="427"/>
      <c r="AB22" s="427"/>
      <c r="AC22" s="427"/>
      <c r="AD22" s="428"/>
      <c r="AE22" s="428"/>
      <c r="AF22" s="428"/>
      <c r="AG22" s="428"/>
      <c r="AH22" s="428"/>
      <c r="AI22" s="428"/>
      <c r="AJ22" s="428"/>
      <c r="AK22" s="428"/>
      <c r="AL22" s="428"/>
      <c r="AM22" s="428"/>
      <c r="AN22" s="428"/>
      <c r="AO22" s="428"/>
      <c r="AP22" s="428"/>
      <c r="AQ22" s="242" t="e">
        <f t="shared" ref="AQ22" si="67">+AQ21/AM21-1</f>
        <v>#DIV/0!</v>
      </c>
      <c r="AR22" s="242" t="e">
        <f t="shared" ref="AR22" si="68">+AR21/AN21-1</f>
        <v>#DIV/0!</v>
      </c>
      <c r="AS22" s="242" t="e">
        <f t="shared" ref="AS22" si="69">+AS21/AO21-1</f>
        <v>#DIV/0!</v>
      </c>
      <c r="AT22" s="242" t="e">
        <f t="shared" ref="AT22" si="70">+AT21/AP21-1</f>
        <v>#DIV/0!</v>
      </c>
      <c r="AU22" s="242">
        <f t="shared" ref="AU22" si="71">+AU21/AQ21-1</f>
        <v>0.23266512785505777</v>
      </c>
      <c r="AV22" s="242">
        <f t="shared" ref="AV22" si="72">+AV21/AR21-1</f>
        <v>0.22949231762627909</v>
      </c>
      <c r="AW22" s="242">
        <f t="shared" ref="AW22" si="73">+AW21/AS21-1</f>
        <v>0.20278668254452548</v>
      </c>
      <c r="AX22" s="242">
        <f t="shared" ref="AX22" si="74">+AX21/AT21-1</f>
        <v>0.11817388281446251</v>
      </c>
      <c r="AY22" s="242">
        <f t="shared" ref="AY22" si="75">+AY21/AU21-1</f>
        <v>7.1787965307331891E-2</v>
      </c>
      <c r="AZ22" s="242">
        <f t="shared" ref="AZ22" si="76">+AZ21/AV21-1</f>
        <v>6.6510857358184738E-2</v>
      </c>
      <c r="BA22" s="242">
        <f t="shared" ref="BA22" si="77">+BA21/AW21-1</f>
        <v>3.9239398061745367E-2</v>
      </c>
      <c r="BB22" s="242">
        <f t="shared" ref="BB22" si="78">+BB21/AX21-1</f>
        <v>3.5597943560236933E-2</v>
      </c>
      <c r="BC22" s="242">
        <f t="shared" ref="BC22" si="79">+BC21/AY21-1</f>
        <v>9.6158614635061701E-2</v>
      </c>
      <c r="BD22" s="242">
        <f t="shared" ref="BD22" si="80">+BD21/AZ21-1</f>
        <v>0.17954680066489614</v>
      </c>
      <c r="BE22" s="242">
        <f t="shared" ref="BE22" si="81">+BE21/BA21-1</f>
        <v>0.2302722642782622</v>
      </c>
      <c r="BF22" s="242">
        <f t="shared" ref="BF22" si="82">+BF21/BB21-1</f>
        <v>0.25268180182480049</v>
      </c>
      <c r="BG22" s="242">
        <f t="shared" ref="BG22" si="83">+BG21/BC21-1</f>
        <v>0.27305936202927872</v>
      </c>
      <c r="BH22" s="242">
        <f t="shared" ref="BH22" si="84">+BH21/BD21-1</f>
        <v>0.18014201163119048</v>
      </c>
      <c r="BI22" s="242">
        <f t="shared" ref="BI22" si="85">+BI21/BE21-1</f>
        <v>0.19964001267542719</v>
      </c>
      <c r="BJ22" s="242">
        <f t="shared" ref="BJ22" si="86">+BJ21/BF21-1</f>
        <v>0.20753452350751878</v>
      </c>
      <c r="BK22" s="242">
        <f t="shared" ref="BK22" si="87">+BK21/BG21-1</f>
        <v>0.22968570393682075</v>
      </c>
      <c r="BL22" s="242">
        <f t="shared" ref="BL22" si="88">+BL21/BH21-1</f>
        <v>0.22306810225355389</v>
      </c>
      <c r="BM22" s="242">
        <f t="shared" ref="BM22" si="89">+BM21/BI21-1</f>
        <v>0.27972416807610334</v>
      </c>
      <c r="BN22" s="242">
        <f t="shared" ref="BN22" si="90">+BN21/BJ21-1</f>
        <v>0.23762295680355305</v>
      </c>
      <c r="BO22" s="242">
        <f t="shared" ref="BO22" si="91">+BO21/BK21-1</f>
        <v>0.26893768711819566</v>
      </c>
      <c r="BP22" s="242">
        <f t="shared" ref="BP22" si="92">+BP21/BL21-1</f>
        <v>-6.4649704797481444E-3</v>
      </c>
      <c r="BQ22" s="242">
        <f t="shared" ref="BQ22" si="93">+BQ21/BM21-1</f>
        <v>2.6473076825415554E-2</v>
      </c>
      <c r="BR22" s="242">
        <f t="shared" ref="BR22" si="94">+BR21/BN21-1</f>
        <v>3.467569815682614E-2</v>
      </c>
      <c r="BS22" s="242">
        <f t="shared" ref="BS22" si="95">+BS21/BO21-1</f>
        <v>-6.2410540549052707E-2</v>
      </c>
      <c r="BT22" s="242">
        <f t="shared" ref="BT22" si="96">+BT21/BP21-1</f>
        <v>0.28709233064411332</v>
      </c>
      <c r="BU22" s="242">
        <f t="shared" ref="BU22" si="97">+BU21/BQ21-1</f>
        <v>0.29651530790796299</v>
      </c>
      <c r="BV22" s="242">
        <f t="shared" ref="BV22" si="98">+BV21/BR21-1</f>
        <v>0.36082822311817675</v>
      </c>
      <c r="BW22" s="242">
        <f t="shared" ref="BW22" si="99">+BW21/BS21-1</f>
        <v>0.6201360686238595</v>
      </c>
      <c r="BX22" s="242">
        <f t="shared" ref="BX22" si="100">+BX21/BT21-1</f>
        <v>0.60884906152699458</v>
      </c>
      <c r="BY22" s="242">
        <f t="shared" ref="BY22:CE22" si="101">+BY21/BU21-1</f>
        <v>0.52017906460211205</v>
      </c>
      <c r="BZ22" s="242">
        <f t="shared" si="101"/>
        <v>0.32355924122746682</v>
      </c>
      <c r="CA22" s="242">
        <f t="shared" si="101"/>
        <v>0.25116374155141363</v>
      </c>
      <c r="CB22" s="242">
        <f t="shared" si="101"/>
        <v>0.12893338826764555</v>
      </c>
      <c r="CC22" s="242">
        <f t="shared" si="101"/>
        <v>3.0031171434395487E-2</v>
      </c>
      <c r="CD22" s="242">
        <f t="shared" si="101"/>
        <v>-2.8525757534122897E-2</v>
      </c>
      <c r="CE22" s="242">
        <f t="shared" si="101"/>
        <v>-6.8871604782332008E-2</v>
      </c>
      <c r="CF22" s="242">
        <f t="shared" ref="CF22" si="102">+CF21/CB21-1</f>
        <v>-6.5684883792721416E-2</v>
      </c>
      <c r="CG22" s="242">
        <f t="shared" ref="CG22" si="103">+CG21/CC21-1</f>
        <v>-1.4859638475822723E-2</v>
      </c>
      <c r="CH22" s="242">
        <f t="shared" ref="CH22" si="104">+CH21/CD21-1</f>
        <v>-7.5476072567948194E-4</v>
      </c>
      <c r="CI22" s="242">
        <f t="shared" ref="CI22" si="105">+CI21/CE21-1</f>
        <v>6.2903581972803435E-2</v>
      </c>
      <c r="CJ22" s="242">
        <f t="shared" ref="CJ22" si="106">+CJ21/CF21-1</f>
        <v>0.12245133183944445</v>
      </c>
      <c r="CK22" s="242">
        <f t="shared" ref="CK22" si="107">+CK21/CG21-1</f>
        <v>0.11528927817096646</v>
      </c>
      <c r="CL22" s="242">
        <f t="shared" ref="CL22" si="108">+CL21/CH21-1</f>
        <v>6.2497063541699927E-2</v>
      </c>
      <c r="CM22" s="242">
        <f t="shared" ref="CM22" si="109">+CM21/CI21-1</f>
        <v>6.2265651396148813E-2</v>
      </c>
      <c r="CN22" s="242">
        <f t="shared" ref="CN22" si="110">+CN21/CJ21-1</f>
        <v>6.2307623015859903E-2</v>
      </c>
      <c r="CO22" s="242">
        <f t="shared" ref="CO22" si="111">+CO21/CK21-1</f>
        <v>6.2153919380197431E-2</v>
      </c>
      <c r="CP22" s="242">
        <f t="shared" ref="CP22" si="112">+CP21/CL21-1</f>
        <v>6.2538198661977074E-2</v>
      </c>
      <c r="CQ22" s="249"/>
      <c r="CR22" s="249"/>
      <c r="CS22" s="242">
        <v>5.8869931088092686E-2</v>
      </c>
      <c r="CT22" s="1133"/>
      <c r="CU22" s="249"/>
      <c r="CV22" s="249"/>
      <c r="CW22" s="249"/>
      <c r="CX22" s="249"/>
      <c r="CY22" s="249"/>
      <c r="CZ22" s="249"/>
      <c r="DA22" s="249"/>
      <c r="DB22" s="249"/>
      <c r="DC22" s="249"/>
      <c r="DD22" s="249"/>
      <c r="DE22" s="249"/>
      <c r="DF22" s="249"/>
      <c r="DG22" s="242">
        <f>+DG21/DF21-1</f>
        <v>3.5597943560236933E-2</v>
      </c>
      <c r="DH22" s="242">
        <f t="shared" ref="DH22" si="113">+DH21/DG21-1</f>
        <v>0.25268180182480049</v>
      </c>
      <c r="DI22" s="242">
        <f t="shared" ref="DI22" si="114">+DI21/DH21-1</f>
        <v>0.20753452350751878</v>
      </c>
      <c r="DJ22" s="242">
        <f t="shared" ref="DJ22" si="115">+DJ21/DI21-1</f>
        <v>0.23762295680355305</v>
      </c>
      <c r="DK22" s="242">
        <f t="shared" ref="DK22" si="116">+DK21/DJ21-1</f>
        <v>3.467569815682614E-2</v>
      </c>
      <c r="DL22" s="242">
        <f t="shared" ref="DL22" si="117">+DL21/DK21-1</f>
        <v>0.36082822311817675</v>
      </c>
      <c r="DM22" s="242">
        <f t="shared" ref="DM22" si="118">+DM21/DL21-1</f>
        <v>0.32355924122746682</v>
      </c>
      <c r="DN22" s="242">
        <f t="shared" ref="DN22" si="119">+DN21/DM21-1</f>
        <v>-2.8525757534122897E-2</v>
      </c>
      <c r="DO22" s="242">
        <f t="shared" ref="DO22:DQ22" si="120">+DO21/DN21-1</f>
        <v>-7.5476072567948194E-4</v>
      </c>
      <c r="DP22" s="242">
        <f t="shared" si="120"/>
        <v>6.2497063541699927E-2</v>
      </c>
      <c r="DQ22" s="242">
        <f t="shared" si="120"/>
        <v>6.2538198661977074E-2</v>
      </c>
      <c r="DR22" s="249"/>
      <c r="DS22" s="249"/>
      <c r="DT22" s="249"/>
      <c r="DU22" s="249"/>
      <c r="DV22" s="245"/>
      <c r="DW22" s="245"/>
      <c r="DY22" s="249"/>
      <c r="DZ22" s="249"/>
    </row>
    <row r="23" spans="1:130">
      <c r="A23" s="430" t="s">
        <v>583</v>
      </c>
      <c r="B23" s="425"/>
      <c r="C23" s="426"/>
      <c r="D23" s="426"/>
      <c r="E23" s="427"/>
      <c r="F23" s="427"/>
      <c r="G23" s="427"/>
      <c r="H23" s="427"/>
      <c r="I23" s="427"/>
      <c r="J23" s="427"/>
      <c r="K23" s="427"/>
      <c r="L23" s="427"/>
      <c r="M23" s="427"/>
      <c r="N23" s="427"/>
      <c r="O23" s="427"/>
      <c r="P23" s="427"/>
      <c r="Q23" s="427"/>
      <c r="R23" s="427"/>
      <c r="S23" s="427"/>
      <c r="T23" s="427"/>
      <c r="U23" s="427"/>
      <c r="V23" s="427"/>
      <c r="W23" s="427"/>
      <c r="X23" s="427"/>
      <c r="Y23" s="427"/>
      <c r="Z23" s="427"/>
      <c r="AA23" s="427"/>
      <c r="AB23" s="427"/>
      <c r="AC23" s="427"/>
      <c r="AD23" s="428"/>
      <c r="AE23" s="428"/>
      <c r="AF23" s="428"/>
      <c r="AG23" s="428"/>
      <c r="AH23" s="428"/>
      <c r="AI23" s="428"/>
      <c r="AJ23" s="428"/>
      <c r="AK23" s="428"/>
      <c r="AL23" s="428"/>
      <c r="AM23" s="428"/>
      <c r="AN23" s="428"/>
      <c r="AO23" s="428"/>
      <c r="AP23" s="428"/>
      <c r="AQ23" s="1588">
        <f t="shared" ref="AQ23" si="121">+AQ21/(AQ6*1000)</f>
        <v>49.53697368421053</v>
      </c>
      <c r="AR23" s="1588">
        <f t="shared" ref="AR23" si="122">+AR21/(AR6*1000)</f>
        <v>51.392489270386264</v>
      </c>
      <c r="AS23" s="1588">
        <f t="shared" ref="AS23" si="123">+AS21/(AS6*1000)</f>
        <v>49.924008438818568</v>
      </c>
      <c r="AT23" s="1588">
        <f t="shared" ref="AT23" si="124">+AT21/(AT6*1000)</f>
        <v>64.871275720164604</v>
      </c>
      <c r="AU23" s="1588">
        <f t="shared" ref="AU23" si="125">+AU21/(AU6*1000)</f>
        <v>56.365384615384613</v>
      </c>
      <c r="AV23" s="1588">
        <f t="shared" ref="AV23" si="126">+AV21/(AV6*1000)</f>
        <v>58.422596360317456</v>
      </c>
      <c r="AW23" s="1588">
        <f t="shared" ref="AW23" si="127">+AW21/(AW6*1000)</f>
        <v>55.591250000000002</v>
      </c>
      <c r="AX23" s="1588">
        <f t="shared" ref="AX23" si="128">+AX21/(AX6*1000)</f>
        <v>67.794538461538465</v>
      </c>
      <c r="AY23" s="1588">
        <f t="shared" ref="AY23" si="129">+AY21/(AY6*1000)</f>
        <v>56.953053435114505</v>
      </c>
      <c r="AZ23" s="1588">
        <f t="shared" ref="AZ23" si="130">+AZ21/(AZ6*1000)</f>
        <v>59.028947368421051</v>
      </c>
      <c r="BA23" s="1588">
        <f t="shared" ref="BA23" si="131">+BA21/(BA6*1000)</f>
        <v>54.98063197026022</v>
      </c>
      <c r="BB23" s="1588">
        <f t="shared" ref="BB23" si="132">+BB21/(BB6*1000)</f>
        <v>66.620620437956205</v>
      </c>
      <c r="BC23" s="1588">
        <f t="shared" ref="BC23" si="133">+BC21/(BC6*1000)</f>
        <v>59.048916967509022</v>
      </c>
      <c r="BD23" s="1588">
        <f t="shared" ref="BD23" si="134">+BD21/(BD6*1000)</f>
        <v>66.146035714285716</v>
      </c>
      <c r="BE23" s="1588">
        <f t="shared" ref="BE23" si="135">+BE21/(BE6*1000)</f>
        <v>64.068550815140853</v>
      </c>
      <c r="BF23" s="1588">
        <f t="shared" ref="BF23" si="136">+BF21/(BF6*1000)</f>
        <v>79.267591219196149</v>
      </c>
      <c r="BG23" s="1588">
        <f t="shared" ref="BG23" si="137">+BG21/(BG6*1000)</f>
        <v>71.311161328767128</v>
      </c>
      <c r="BH23" s="1588">
        <f t="shared" ref="BH23" si="138">+BH21/(BH6*1000)</f>
        <v>73.86892346778194</v>
      </c>
      <c r="BI23" s="1588">
        <f t="shared" ref="BI23" si="139">+BI21/(BI6*1000)</f>
        <v>72.745459317770738</v>
      </c>
      <c r="BJ23" s="1588">
        <f t="shared" ref="BJ23" si="140">+BJ21/(BJ6*1000)</f>
        <v>90.285158660702123</v>
      </c>
      <c r="BK23" s="1588">
        <f t="shared" ref="BK23" si="141">+BK21/(BK6*1000)</f>
        <v>82.690894907979796</v>
      </c>
      <c r="BL23" s="1588">
        <f t="shared" ref="BL23" si="142">+BL21/(BL6*1000)</f>
        <v>84.995317941108894</v>
      </c>
      <c r="BM23" s="1588">
        <f t="shared" ref="BM23" si="143">+BM21/(BM6*1000)</f>
        <v>87.566879221331561</v>
      </c>
      <c r="BN23" s="1588">
        <f t="shared" ref="BN23" si="144">+BN21/(BN6*1000)</f>
        <v>105.0581287113308</v>
      </c>
      <c r="BO23" s="1588">
        <f t="shared" ref="BO23" si="145">+BO21/(BO6*1000)</f>
        <v>98.843324590559277</v>
      </c>
      <c r="BP23" s="1588">
        <f t="shared" ref="BP23" si="146">+BP21/(BP6*1000)</f>
        <v>80.621786630263983</v>
      </c>
      <c r="BQ23" s="1588">
        <f t="shared" ref="BQ23" si="147">+BQ21/(BQ6*1000)</f>
        <v>86.191821654204475</v>
      </c>
      <c r="BR23" s="1588">
        <f t="shared" ref="BR23" si="148">+BR21/(BR6*1000)</f>
        <v>104.61054512988167</v>
      </c>
      <c r="BS23" s="1588">
        <f t="shared" ref="BS23" si="149">+BS21/(BS6*1000)</f>
        <v>89.721997063422691</v>
      </c>
      <c r="BT23" s="1588">
        <f t="shared" ref="BT23" si="150">+BT21/(BT6*1000)</f>
        <v>100.00261522600965</v>
      </c>
      <c r="BU23" s="1588">
        <f t="shared" ref="BU23" si="151">+BU21/(BU6*1000)</f>
        <v>107.91222581670874</v>
      </c>
      <c r="BV23" s="1588">
        <f t="shared" ref="BV23:BX23" si="152">+BV21/(BV6*1000)</f>
        <v>138.68413800744386</v>
      </c>
      <c r="BW23" s="1588">
        <f t="shared" si="152"/>
        <v>141.65883450419213</v>
      </c>
      <c r="BX23" s="1588">
        <f t="shared" si="152"/>
        <v>157.0855215379369</v>
      </c>
      <c r="BY23" s="1588">
        <f t="shared" ref="BY23:CC23" si="153">+BY21/(BY6*1000)</f>
        <v>160.90724208836312</v>
      </c>
      <c r="BZ23" s="1588">
        <f t="shared" si="153"/>
        <v>180.92400568181819</v>
      </c>
      <c r="CA23" s="1588">
        <f t="shared" si="153"/>
        <v>174.81221620966085</v>
      </c>
      <c r="CB23" s="1588">
        <f t="shared" si="153"/>
        <v>175.01160374216212</v>
      </c>
      <c r="CC23" s="1588">
        <f t="shared" si="153"/>
        <v>163.50262041795517</v>
      </c>
      <c r="CD23" s="1588"/>
      <c r="CE23" s="1588"/>
      <c r="CF23" s="1588"/>
      <c r="CG23" s="1588"/>
      <c r="CH23" s="1588"/>
      <c r="CI23" s="1588"/>
      <c r="CJ23" s="1588"/>
      <c r="CK23" s="1588"/>
      <c r="CL23" s="1588"/>
      <c r="CM23" s="1588"/>
      <c r="CN23" s="1588"/>
      <c r="CO23" s="1588"/>
      <c r="CP23" s="1588"/>
      <c r="CQ23" s="249"/>
      <c r="CR23" s="249"/>
      <c r="CS23" s="1588"/>
      <c r="CT23" s="1133"/>
      <c r="CU23" s="249"/>
      <c r="CV23" s="249"/>
      <c r="CW23" s="249"/>
      <c r="CX23" s="249"/>
      <c r="CY23" s="249"/>
      <c r="CZ23" s="249"/>
      <c r="DA23" s="249"/>
      <c r="DB23" s="249"/>
      <c r="DC23" s="249"/>
      <c r="DD23" s="249"/>
      <c r="DE23" s="249"/>
      <c r="DF23" s="1588">
        <f t="shared" ref="DF23" si="154">+DF21/(DF6*1000)</f>
        <v>67.794538461538465</v>
      </c>
      <c r="DG23" s="1588">
        <f t="shared" ref="DG23" si="155">+DG21/(DG6*1000)</f>
        <v>66.620620437956205</v>
      </c>
      <c r="DH23" s="1588">
        <f t="shared" ref="DH23" si="156">+DH21/(DH6*1000)</f>
        <v>79.267591219196149</v>
      </c>
      <c r="DI23" s="1588">
        <f t="shared" ref="DI23" si="157">+DI21/(DI6*1000)</f>
        <v>90.285158660702123</v>
      </c>
      <c r="DJ23" s="1588">
        <f t="shared" ref="DJ23" si="158">+DJ21/(DJ6*1000)</f>
        <v>105.0581287113308</v>
      </c>
      <c r="DK23" s="1588">
        <f t="shared" ref="DK23" si="159">+DK21/(DK6*1000)</f>
        <v>104.61054512988167</v>
      </c>
      <c r="DL23" s="1588">
        <f t="shared" ref="DL23" si="160">+DL21/(DL6*1000)</f>
        <v>138.68413800744386</v>
      </c>
      <c r="DM23" s="1588">
        <f t="shared" ref="DM23" si="161">+DM21/(DM6*1000)</f>
        <v>180.92400568181819</v>
      </c>
      <c r="DN23" s="1588"/>
      <c r="DO23" s="1588"/>
      <c r="DP23" s="1588"/>
      <c r="DQ23" s="1588"/>
      <c r="DR23" s="249"/>
      <c r="DS23" s="249"/>
      <c r="DT23" s="249"/>
      <c r="DU23" s="249"/>
      <c r="DV23" s="245"/>
      <c r="DW23" s="245"/>
      <c r="DY23" s="249"/>
      <c r="DZ23" s="249"/>
    </row>
    <row r="24" spans="1:130">
      <c r="A24" s="430" t="s">
        <v>120</v>
      </c>
      <c r="B24" s="425"/>
      <c r="C24" s="426"/>
      <c r="D24" s="426"/>
      <c r="E24" s="427"/>
      <c r="F24" s="427"/>
      <c r="G24" s="427"/>
      <c r="H24" s="427"/>
      <c r="I24" s="427"/>
      <c r="J24" s="427"/>
      <c r="K24" s="427"/>
      <c r="L24" s="427"/>
      <c r="M24" s="427"/>
      <c r="N24" s="427"/>
      <c r="O24" s="427"/>
      <c r="P24" s="427"/>
      <c r="Q24" s="427"/>
      <c r="R24" s="427"/>
      <c r="S24" s="427"/>
      <c r="T24" s="427"/>
      <c r="U24" s="427"/>
      <c r="V24" s="427"/>
      <c r="W24" s="427"/>
      <c r="X24" s="427"/>
      <c r="Y24" s="427"/>
      <c r="Z24" s="427"/>
      <c r="AA24" s="427"/>
      <c r="AB24" s="427"/>
      <c r="AC24" s="427"/>
      <c r="AD24" s="428"/>
      <c r="AE24" s="428"/>
      <c r="AF24" s="428"/>
      <c r="AG24" s="428"/>
      <c r="AH24" s="428"/>
      <c r="AI24" s="428"/>
      <c r="AJ24" s="428"/>
      <c r="AK24" s="428"/>
      <c r="AL24" s="428"/>
      <c r="AM24" s="428"/>
      <c r="AN24" s="428"/>
      <c r="AO24" s="428"/>
      <c r="AP24" s="428"/>
      <c r="AQ24" s="242" t="e">
        <f t="shared" ref="AQ24" si="162">+AQ23/AM23-1</f>
        <v>#DIV/0!</v>
      </c>
      <c r="AR24" s="242" t="e">
        <f t="shared" ref="AR24" si="163">+AR23/AN23-1</f>
        <v>#DIV/0!</v>
      </c>
      <c r="AS24" s="242" t="e">
        <f t="shared" ref="AS24" si="164">+AS23/AO23-1</f>
        <v>#DIV/0!</v>
      </c>
      <c r="AT24" s="242" t="e">
        <f t="shared" ref="AT24" si="165">+AT23/AP23-1</f>
        <v>#DIV/0!</v>
      </c>
      <c r="AU24" s="242">
        <f t="shared" ref="AU24" si="166">+AU23/AQ23-1</f>
        <v>0.13784473340466863</v>
      </c>
      <c r="AV24" s="242">
        <f t="shared" ref="AV24" si="167">+AV23/AR23-1</f>
        <v>0.13679250002747256</v>
      </c>
      <c r="AW24" s="242">
        <f t="shared" ref="AW24" si="168">+AW23/AS23-1</f>
        <v>0.11351735844942401</v>
      </c>
      <c r="AX24" s="242">
        <f t="shared" ref="AX24" si="169">+AX23/AT23-1</f>
        <v>4.5062513553516981E-2</v>
      </c>
      <c r="AY24" s="242">
        <f t="shared" ref="AY24" si="170">+AY23/AU23-1</f>
        <v>1.0426058896606749E-2</v>
      </c>
      <c r="AZ24" s="242">
        <f t="shared" ref="AZ24" si="171">+AZ23/AV23-1</f>
        <v>1.0378706970911811E-2</v>
      </c>
      <c r="BA24" s="242">
        <f t="shared" ref="BA24" si="172">+BA23/AW23-1</f>
        <v>-1.0984067272093778E-2</v>
      </c>
      <c r="BB24" s="242">
        <f t="shared" ref="BB24" si="173">+BB23/AX23-1</f>
        <v>-1.7315819979337288E-2</v>
      </c>
      <c r="BC24" s="242">
        <f t="shared" ref="BC24" si="174">+BC23/AY23-1</f>
        <v>3.6799844889480626E-2</v>
      </c>
      <c r="BD24" s="242">
        <f t="shared" ref="BD24" si="175">+BD23/AZ23-1</f>
        <v>0.12056946063165142</v>
      </c>
      <c r="BE24" s="242">
        <f t="shared" ref="BE24" si="176">+BE23/BA23-1</f>
        <v>0.16529309539032599</v>
      </c>
      <c r="BF24" s="242">
        <f t="shared" ref="BF24" si="177">+BF23/BB23-1</f>
        <v>0.18983567997566264</v>
      </c>
      <c r="BG24" s="242">
        <f t="shared" ref="BG24" si="178">+BG23/BC23-1</f>
        <v>0.20766247699352824</v>
      </c>
      <c r="BH24" s="242">
        <f t="shared" ref="BH24" si="179">+BH23/BD23-1</f>
        <v>0.11675511117332604</v>
      </c>
      <c r="BI24" s="242">
        <f t="shared" ref="BI24" si="180">+BI23/BE23-1</f>
        <v>0.13543163365229938</v>
      </c>
      <c r="BJ24" s="242">
        <f t="shared" ref="BJ24" si="181">+BJ23/BF23-1</f>
        <v>0.13899208077408898</v>
      </c>
      <c r="BK24" s="242">
        <f t="shared" ref="BK24" si="182">+BK23/BG23-1</f>
        <v>0.15957857602049819</v>
      </c>
      <c r="BL24" s="242">
        <f t="shared" ref="BL24" si="183">+BL23/BH23-1</f>
        <v>0.15062348212208287</v>
      </c>
      <c r="BM24" s="242">
        <f t="shared" ref="BM24" si="184">+BM23/BI23-1</f>
        <v>0.20374357441083824</v>
      </c>
      <c r="BN24" s="242">
        <f t="shared" ref="BN24" si="185">+BN23/BJ23-1</f>
        <v>0.16362567524687543</v>
      </c>
      <c r="BO24" s="242">
        <f t="shared" ref="BO24" si="186">+BO23/BK23-1</f>
        <v>0.19533504505610022</v>
      </c>
      <c r="BP24" s="242">
        <f t="shared" ref="BP24" si="187">+BP23/BL23-1</f>
        <v>-5.1456143900481921E-2</v>
      </c>
      <c r="BQ24" s="242">
        <f t="shared" ref="BQ24" si="188">+BQ23/BM23-1</f>
        <v>-1.5702941333007092E-2</v>
      </c>
      <c r="BR24" s="242">
        <f t="shared" ref="BR24" si="189">+BR23/BN23-1</f>
        <v>-4.2603422213901565E-3</v>
      </c>
      <c r="BS24" s="242">
        <f t="shared" ref="BS24" si="190">+BS23/BO23-1</f>
        <v>-9.2280663008048824E-2</v>
      </c>
      <c r="BT24" s="242">
        <f t="shared" ref="BT24" si="191">+BT23/BP23-1</f>
        <v>0.24039195118097823</v>
      </c>
      <c r="BU24" s="242">
        <f t="shared" ref="BU24" si="192">+BU23/BQ23-1</f>
        <v>0.25200075535756739</v>
      </c>
      <c r="BV24" s="242">
        <f t="shared" ref="BV24" si="193">+BV23/BR23-1</f>
        <v>0.32571852899970377</v>
      </c>
      <c r="BW24" s="242">
        <f t="shared" ref="BW24:BX24" si="194">+BW23/BS23-1</f>
        <v>0.57886403714416113</v>
      </c>
      <c r="BX24" s="242">
        <f t="shared" si="194"/>
        <v>0.57081413503954614</v>
      </c>
      <c r="BY24" s="242">
        <f t="shared" ref="BY24:CC24" si="195">+BY23/BU23-1</f>
        <v>0.49109371871976371</v>
      </c>
      <c r="BZ24" s="242">
        <f t="shared" si="195"/>
        <v>0.30457605520904707</v>
      </c>
      <c r="CA24" s="242">
        <f t="shared" si="195"/>
        <v>0.23403680978673869</v>
      </c>
      <c r="CB24" s="242">
        <f t="shared" si="195"/>
        <v>0.11411670552907061</v>
      </c>
      <c r="CC24" s="242">
        <f t="shared" si="195"/>
        <v>1.6129655172181678E-2</v>
      </c>
      <c r="CD24" s="242"/>
      <c r="CE24" s="242"/>
      <c r="CF24" s="242"/>
      <c r="CG24" s="242"/>
      <c r="CH24" s="242"/>
      <c r="CI24" s="242"/>
      <c r="CJ24" s="242"/>
      <c r="CK24" s="242"/>
      <c r="CL24" s="242"/>
      <c r="CM24" s="242"/>
      <c r="CN24" s="242"/>
      <c r="CO24" s="242"/>
      <c r="CP24" s="242"/>
      <c r="CQ24" s="249"/>
      <c r="CR24" s="249"/>
      <c r="CS24" s="242"/>
      <c r="CT24" s="1133"/>
      <c r="CU24" s="249"/>
      <c r="CV24" s="249"/>
      <c r="CW24" s="249"/>
      <c r="CX24" s="249"/>
      <c r="CY24" s="249"/>
      <c r="CZ24" s="249"/>
      <c r="DA24" s="249"/>
      <c r="DB24" s="249"/>
      <c r="DC24" s="249"/>
      <c r="DD24" s="249"/>
      <c r="DE24" s="249"/>
      <c r="DF24" s="249"/>
      <c r="DG24" s="242">
        <f>+DG23/DF23-1</f>
        <v>-1.7315819979337288E-2</v>
      </c>
      <c r="DH24" s="242">
        <f t="shared" ref="DH24:DM24" si="196">+DH23/DG23-1</f>
        <v>0.18983567997566264</v>
      </c>
      <c r="DI24" s="242">
        <f t="shared" si="196"/>
        <v>0.13899208077408898</v>
      </c>
      <c r="DJ24" s="242">
        <f t="shared" si="196"/>
        <v>0.16362567524687543</v>
      </c>
      <c r="DK24" s="242">
        <f t="shared" si="196"/>
        <v>-4.2603422213901565E-3</v>
      </c>
      <c r="DL24" s="242">
        <f t="shared" si="196"/>
        <v>0.32571852899970377</v>
      </c>
      <c r="DM24" s="242">
        <f t="shared" si="196"/>
        <v>0.30457605520904707</v>
      </c>
      <c r="DN24" s="242"/>
      <c r="DO24" s="242"/>
      <c r="DP24" s="242"/>
      <c r="DQ24" s="242"/>
      <c r="DR24" s="249"/>
      <c r="DS24" s="249"/>
      <c r="DT24" s="249"/>
      <c r="DU24" s="249"/>
      <c r="DV24" s="245"/>
      <c r="DW24" s="245"/>
      <c r="DY24" s="249"/>
      <c r="DZ24" s="249"/>
    </row>
    <row r="25" spans="1:130">
      <c r="A25" s="430"/>
      <c r="B25" s="425"/>
      <c r="C25" s="426"/>
      <c r="D25" s="426"/>
      <c r="E25" s="427"/>
      <c r="F25" s="427"/>
      <c r="G25" s="427"/>
      <c r="H25" s="427"/>
      <c r="I25" s="427"/>
      <c r="J25" s="427"/>
      <c r="K25" s="427"/>
      <c r="L25" s="427"/>
      <c r="M25" s="427"/>
      <c r="N25" s="427"/>
      <c r="O25" s="427"/>
      <c r="P25" s="427"/>
      <c r="Q25" s="427"/>
      <c r="R25" s="427"/>
      <c r="S25" s="427"/>
      <c r="T25" s="427"/>
      <c r="U25" s="427"/>
      <c r="V25" s="427"/>
      <c r="W25" s="427"/>
      <c r="X25" s="427"/>
      <c r="Y25" s="427"/>
      <c r="Z25" s="427"/>
      <c r="AA25" s="427"/>
      <c r="AB25" s="427"/>
      <c r="AC25" s="427"/>
      <c r="AD25" s="428"/>
      <c r="AE25" s="428"/>
      <c r="AF25" s="428"/>
      <c r="AG25" s="428"/>
      <c r="AH25" s="428"/>
      <c r="AI25" s="428"/>
      <c r="AJ25" s="428"/>
      <c r="AK25" s="428"/>
      <c r="AL25" s="428"/>
      <c r="AM25" s="428"/>
      <c r="AN25" s="428"/>
      <c r="AO25" s="428"/>
      <c r="AP25" s="428"/>
      <c r="AQ25" s="238"/>
      <c r="AR25" s="238"/>
      <c r="AS25" s="238"/>
      <c r="AT25" s="238"/>
      <c r="AU25" s="238"/>
      <c r="AV25" s="238"/>
      <c r="AW25" s="238"/>
      <c r="AX25" s="238"/>
      <c r="AY25" s="238"/>
      <c r="AZ25" s="238"/>
      <c r="BA25" s="238"/>
      <c r="BB25" s="238"/>
      <c r="BC25" s="238"/>
      <c r="BD25" s="238"/>
      <c r="BE25" s="238"/>
      <c r="BF25" s="238"/>
      <c r="BG25" s="238"/>
      <c r="BH25" s="238"/>
      <c r="BI25" s="238"/>
      <c r="BJ25" s="238"/>
      <c r="BK25" s="242"/>
      <c r="BL25" s="242"/>
      <c r="BM25" s="242"/>
      <c r="BN25" s="242"/>
      <c r="BO25" s="242"/>
      <c r="BP25" s="242"/>
      <c r="BQ25" s="242"/>
      <c r="BR25" s="242"/>
      <c r="BS25" s="242"/>
      <c r="BT25" s="242"/>
      <c r="BU25" s="242"/>
      <c r="BV25" s="242"/>
      <c r="BW25" s="242"/>
      <c r="BX25" s="242"/>
      <c r="BY25" s="242"/>
      <c r="BZ25" s="242"/>
      <c r="CA25" s="242"/>
      <c r="CB25" s="242"/>
      <c r="CC25" s="242"/>
      <c r="CD25" s="242"/>
      <c r="CE25" s="242"/>
      <c r="CF25" s="242"/>
      <c r="CG25" s="242"/>
      <c r="CH25" s="242"/>
      <c r="CI25" s="242"/>
      <c r="CJ25" s="242"/>
      <c r="CK25" s="242"/>
      <c r="CL25" s="242"/>
      <c r="CM25" s="242"/>
      <c r="CN25" s="242"/>
      <c r="CO25" s="242"/>
      <c r="CP25" s="242"/>
      <c r="CQ25" s="249"/>
      <c r="CR25" s="249"/>
      <c r="CS25" s="242"/>
      <c r="CT25" s="1133"/>
      <c r="CU25" s="249"/>
      <c r="CV25" s="249"/>
      <c r="CW25" s="249"/>
      <c r="CX25" s="249"/>
      <c r="CY25" s="249"/>
      <c r="CZ25" s="249"/>
      <c r="DA25" s="249"/>
      <c r="DB25" s="249"/>
      <c r="DC25" s="249"/>
      <c r="DD25" s="249"/>
      <c r="DE25" s="249"/>
      <c r="DF25" s="249"/>
      <c r="DG25" s="249"/>
      <c r="DH25" s="249"/>
      <c r="DI25" s="249"/>
      <c r="DJ25" s="249"/>
      <c r="DK25" s="249"/>
      <c r="DL25" s="249"/>
      <c r="DM25" s="249"/>
      <c r="DN25" s="249"/>
      <c r="DO25" s="249"/>
      <c r="DP25" s="249"/>
      <c r="DQ25" s="249"/>
      <c r="DR25" s="249"/>
      <c r="DS25" s="249"/>
      <c r="DT25" s="249"/>
      <c r="DU25" s="249"/>
      <c r="DV25" s="245"/>
      <c r="DW25" s="245"/>
      <c r="DY25" s="249"/>
      <c r="DZ25" s="249"/>
    </row>
    <row r="26" spans="1:130">
      <c r="A26" s="424" t="s">
        <v>585</v>
      </c>
      <c r="B26" s="425"/>
      <c r="C26" s="426"/>
      <c r="D26" s="426"/>
      <c r="E26" s="427"/>
      <c r="F26" s="427"/>
      <c r="G26" s="427"/>
      <c r="H26" s="427"/>
      <c r="I26" s="427"/>
      <c r="J26" s="427"/>
      <c r="K26" s="427"/>
      <c r="L26" s="427"/>
      <c r="M26" s="427"/>
      <c r="N26" s="427"/>
      <c r="O26" s="427"/>
      <c r="P26" s="427"/>
      <c r="Q26" s="427"/>
      <c r="R26" s="427"/>
      <c r="S26" s="427"/>
      <c r="T26" s="427"/>
      <c r="U26" s="427"/>
      <c r="V26" s="427"/>
      <c r="W26" s="427"/>
      <c r="X26" s="427"/>
      <c r="Y26" s="427"/>
      <c r="Z26" s="427"/>
      <c r="AA26" s="427"/>
      <c r="AB26" s="427"/>
      <c r="AC26" s="427"/>
      <c r="AD26" s="428"/>
      <c r="AE26" s="428"/>
      <c r="AF26" s="428"/>
      <c r="AG26" s="428"/>
      <c r="AH26" s="428"/>
      <c r="AI26" s="428"/>
      <c r="AJ26" s="428"/>
      <c r="AK26" s="428"/>
      <c r="AL26" s="428"/>
      <c r="AM26" s="428"/>
      <c r="AN26" s="428"/>
      <c r="AO26" s="428"/>
      <c r="AP26" s="428"/>
      <c r="AQ26" s="241">
        <f t="shared" ref="AQ26:CH26" si="197">+AQ264+AQ210</f>
        <v>56926</v>
      </c>
      <c r="AR26" s="241">
        <f t="shared" si="197"/>
        <v>38000</v>
      </c>
      <c r="AS26" s="241">
        <f t="shared" si="197"/>
        <v>29899.999999991465</v>
      </c>
      <c r="AT26" s="241">
        <f t="shared" si="197"/>
        <v>34200.000000008527</v>
      </c>
      <c r="AU26" s="241">
        <f t="shared" si="197"/>
        <v>24799.999999995736</v>
      </c>
      <c r="AV26" s="241">
        <f t="shared" si="197"/>
        <v>45100.000000004264</v>
      </c>
      <c r="AW26" s="241">
        <f t="shared" si="197"/>
        <v>41699.999999995736</v>
      </c>
      <c r="AX26" s="241">
        <f t="shared" si="197"/>
        <v>53200.000000004249</v>
      </c>
      <c r="AY26" s="241">
        <f t="shared" si="197"/>
        <v>84030</v>
      </c>
      <c r="AZ26" s="241">
        <f t="shared" si="197"/>
        <v>73374</v>
      </c>
      <c r="BA26" s="241">
        <f t="shared" si="197"/>
        <v>93422</v>
      </c>
      <c r="BB26" s="241">
        <f t="shared" si="197"/>
        <v>95164</v>
      </c>
      <c r="BC26" s="241">
        <f t="shared" si="197"/>
        <v>87820</v>
      </c>
      <c r="BD26" s="241">
        <f t="shared" si="197"/>
        <v>70879</v>
      </c>
      <c r="BE26" s="241">
        <f t="shared" si="197"/>
        <v>52185</v>
      </c>
      <c r="BF26" s="241">
        <f t="shared" si="197"/>
        <v>55348</v>
      </c>
      <c r="BG26" s="241">
        <f t="shared" si="197"/>
        <v>72524</v>
      </c>
      <c r="BH26" s="241">
        <f t="shared" si="197"/>
        <v>83552</v>
      </c>
      <c r="BI26" s="241">
        <f t="shared" si="197"/>
        <v>99095</v>
      </c>
      <c r="BJ26" s="241">
        <f t="shared" si="197"/>
        <v>93628</v>
      </c>
      <c r="BK26" s="241">
        <f t="shared" si="197"/>
        <v>99468</v>
      </c>
      <c r="BL26" s="241">
        <f t="shared" si="197"/>
        <v>97637</v>
      </c>
      <c r="BM26" s="241">
        <f t="shared" si="197"/>
        <v>113596</v>
      </c>
      <c r="BN26" s="241">
        <f t="shared" si="197"/>
        <v>-77273</v>
      </c>
      <c r="BO26" s="241">
        <f t="shared" si="197"/>
        <v>75171</v>
      </c>
      <c r="BP26" s="241">
        <f t="shared" si="197"/>
        <v>99018</v>
      </c>
      <c r="BQ26" s="241">
        <f t="shared" si="197"/>
        <v>128538</v>
      </c>
      <c r="BR26" s="241">
        <f t="shared" si="197"/>
        <v>132757</v>
      </c>
      <c r="BS26" s="241">
        <f t="shared" si="197"/>
        <v>211263</v>
      </c>
      <c r="BT26" s="241">
        <f t="shared" si="197"/>
        <v>124499</v>
      </c>
      <c r="BU26" s="241">
        <f t="shared" si="197"/>
        <v>68373</v>
      </c>
      <c r="BV26" s="241">
        <f t="shared" si="197"/>
        <v>88397</v>
      </c>
      <c r="BW26" s="241">
        <f t="shared" si="197"/>
        <v>154789</v>
      </c>
      <c r="BX26" s="241">
        <f t="shared" si="197"/>
        <v>134971</v>
      </c>
      <c r="BY26" s="241">
        <f t="shared" si="197"/>
        <v>174635</v>
      </c>
      <c r="BZ26" s="241">
        <f t="shared" si="197"/>
        <v>226207</v>
      </c>
      <c r="CA26" s="241">
        <f t="shared" si="197"/>
        <v>329350</v>
      </c>
      <c r="CB26" s="241">
        <f t="shared" si="197"/>
        <v>354480</v>
      </c>
      <c r="CC26" s="241">
        <f t="shared" si="197"/>
        <v>368112</v>
      </c>
      <c r="CD26" s="241">
        <f t="shared" si="197"/>
        <v>367006</v>
      </c>
      <c r="CE26" s="241">
        <f t="shared" si="197"/>
        <v>415852</v>
      </c>
      <c r="CF26" s="241">
        <f t="shared" si="197"/>
        <v>377711</v>
      </c>
      <c r="CG26" s="241">
        <f t="shared" si="197"/>
        <v>335660</v>
      </c>
      <c r="CH26" s="241">
        <f t="shared" si="197"/>
        <v>291662</v>
      </c>
      <c r="CI26" s="241">
        <f t="shared" ref="CI26:CL26" si="198">+CI264+CI210</f>
        <v>6011</v>
      </c>
      <c r="CJ26" s="241">
        <f t="shared" si="198"/>
        <v>6000.7150000000001</v>
      </c>
      <c r="CK26" s="241">
        <f t="shared" si="198"/>
        <v>273213.28500000003</v>
      </c>
      <c r="CL26" s="241">
        <f t="shared" si="198"/>
        <v>337404.60174399999</v>
      </c>
      <c r="CM26" s="241">
        <f t="shared" ref="CM26:CP26" si="199">+CM264+CM210</f>
        <v>312403.55323448428</v>
      </c>
      <c r="CN26" s="241">
        <f t="shared" si="199"/>
        <v>297841.75964452833</v>
      </c>
      <c r="CO26" s="241">
        <f t="shared" si="199"/>
        <v>307743.05141940014</v>
      </c>
      <c r="CP26" s="241">
        <f t="shared" si="199"/>
        <v>320741.02671507502</v>
      </c>
      <c r="CQ26" s="249"/>
      <c r="CR26" s="249"/>
      <c r="CS26" s="241">
        <v>185148.46252349956</v>
      </c>
      <c r="CT26" s="1133"/>
      <c r="CU26" s="249"/>
      <c r="CV26" s="249"/>
      <c r="CW26" s="249"/>
      <c r="CX26" s="249"/>
      <c r="CY26" s="249"/>
      <c r="CZ26" s="249"/>
      <c r="DA26" s="249"/>
      <c r="DB26" s="249"/>
      <c r="DC26" s="249"/>
      <c r="DD26" s="249"/>
      <c r="DE26" s="249"/>
      <c r="DF26" s="249"/>
      <c r="DG26" s="249"/>
      <c r="DH26" s="249"/>
      <c r="DI26" s="249"/>
      <c r="DJ26" s="249"/>
      <c r="DK26" s="249"/>
      <c r="DL26" s="249"/>
      <c r="DM26" s="249"/>
      <c r="DN26" s="249"/>
      <c r="DO26" s="249"/>
      <c r="DP26" s="249"/>
      <c r="DQ26" s="249"/>
      <c r="DR26" s="249"/>
      <c r="DS26" s="249"/>
      <c r="DT26" s="249"/>
      <c r="DU26" s="249"/>
      <c r="DV26" s="245"/>
      <c r="DW26" s="245"/>
      <c r="DY26" s="249"/>
      <c r="DZ26" s="249"/>
    </row>
    <row r="27" spans="1:130">
      <c r="A27" s="424" t="s">
        <v>586</v>
      </c>
      <c r="B27" s="425"/>
      <c r="C27" s="426"/>
      <c r="D27" s="426"/>
      <c r="E27" s="427"/>
      <c r="F27" s="427"/>
      <c r="G27" s="427"/>
      <c r="H27" s="427"/>
      <c r="I27" s="427"/>
      <c r="J27" s="427"/>
      <c r="K27" s="427"/>
      <c r="L27" s="427"/>
      <c r="M27" s="427"/>
      <c r="N27" s="427"/>
      <c r="O27" s="427"/>
      <c r="P27" s="427"/>
      <c r="Q27" s="427"/>
      <c r="R27" s="427"/>
      <c r="S27" s="427"/>
      <c r="T27" s="427"/>
      <c r="U27" s="427"/>
      <c r="V27" s="427"/>
      <c r="W27" s="427"/>
      <c r="X27" s="427"/>
      <c r="Y27" s="427"/>
      <c r="Z27" s="427"/>
      <c r="AA27" s="427"/>
      <c r="AB27" s="427"/>
      <c r="AC27" s="427"/>
      <c r="AD27" s="428"/>
      <c r="AE27" s="428"/>
      <c r="AF27" s="428"/>
      <c r="AG27" s="428"/>
      <c r="AH27" s="428"/>
      <c r="AI27" s="428"/>
      <c r="AJ27" s="428"/>
      <c r="AK27" s="428"/>
      <c r="AL27" s="428"/>
      <c r="AM27" s="428"/>
      <c r="AN27" s="428"/>
      <c r="AO27" s="428"/>
      <c r="AP27" s="428"/>
      <c r="AQ27" s="241"/>
      <c r="AR27" s="241"/>
      <c r="AS27" s="241"/>
      <c r="AT27" s="241"/>
      <c r="AU27" s="241"/>
      <c r="AV27" s="241"/>
      <c r="AW27" s="241"/>
      <c r="AX27" s="241"/>
      <c r="AY27" s="241"/>
      <c r="AZ27" s="241"/>
      <c r="BA27" s="241"/>
      <c r="BB27" s="241"/>
      <c r="BC27" s="241"/>
      <c r="BD27" s="241"/>
      <c r="BE27" s="241"/>
      <c r="BF27" s="241"/>
      <c r="BG27" s="241"/>
      <c r="BH27" s="241">
        <f t="shared" ref="BH27" si="200">+BH26+BH21</f>
        <v>2269280.0381800001</v>
      </c>
      <c r="BI27" s="241">
        <f t="shared" ref="BI27" si="201">+BI26+BI21</f>
        <v>2281896.1979799997</v>
      </c>
      <c r="BJ27" s="241">
        <f t="shared" ref="BJ27" si="202">+BJ26+BJ21</f>
        <v>2854838.7797699999</v>
      </c>
      <c r="BK27" s="241">
        <f t="shared" ref="BK27" si="203">+BK26+BK21</f>
        <v>2660025.2160198218</v>
      </c>
      <c r="BL27" s="241">
        <f t="shared" ref="BL27" si="204">+BL26+BL21</f>
        <v>2770931.2436991963</v>
      </c>
      <c r="BM27" s="241">
        <f t="shared" ref="BM27" si="205">+BM26+BM21</f>
        <v>2906979.4471604768</v>
      </c>
      <c r="BN27" s="241">
        <f t="shared" ref="BN27" si="206">+BN26+BN21</f>
        <v>3340064.8496167916</v>
      </c>
      <c r="BO27" s="241">
        <f t="shared" ref="BO27" si="207">+BO26+BO21</f>
        <v>3324358.5514299991</v>
      </c>
      <c r="BP27" s="241">
        <f t="shared" ref="BP27" si="208">+BP26+BP21</f>
        <v>2755029.4753300003</v>
      </c>
      <c r="BQ27" s="241">
        <f t="shared" ref="BQ27" si="209">+BQ26+BQ21</f>
        <v>2995870.9017600003</v>
      </c>
      <c r="BR27" s="241">
        <f t="shared" ref="BR27" si="210">+BR26+BR21</f>
        <v>3668593.4253900005</v>
      </c>
      <c r="BS27" s="241">
        <f t="shared" ref="BS27" si="211">+BS26+BS21</f>
        <v>3257667</v>
      </c>
      <c r="BT27" s="241">
        <f t="shared" ref="BT27" si="212">+BT26+BT21</f>
        <v>3543031</v>
      </c>
      <c r="BU27" s="241">
        <f t="shared" ref="BU27" si="213">+BU26+BU21</f>
        <v>3785914</v>
      </c>
      <c r="BV27" s="241">
        <f t="shared" ref="BV27" si="214">+BV26+BV21</f>
        <v>4900063</v>
      </c>
      <c r="BW27" s="241">
        <f t="shared" ref="BW27" si="215">+BW26+BW21</f>
        <v>5090378</v>
      </c>
      <c r="BX27" s="241">
        <f t="shared" ref="BX27" si="216">+BX26+BX21</f>
        <v>5634873</v>
      </c>
      <c r="BY27" s="241">
        <f t="shared" ref="BY27:BZ27" si="217">+BY26+BY21</f>
        <v>5825963</v>
      </c>
      <c r="BZ27" s="241">
        <f t="shared" si="217"/>
        <v>6594732</v>
      </c>
      <c r="CA27" s="241">
        <f t="shared" ref="CA27:CB27" si="218">+CA26+CA21</f>
        <v>6504580</v>
      </c>
      <c r="CB27" s="241">
        <f t="shared" si="218"/>
        <v>6563503</v>
      </c>
      <c r="CC27" s="241">
        <f t="shared" ref="CC27:CD27" si="219">+CC26+CC21</f>
        <v>6189156</v>
      </c>
      <c r="CD27" s="241">
        <f t="shared" si="219"/>
        <v>6553864</v>
      </c>
      <c r="CE27" s="241">
        <f t="shared" ref="CE27:CH27" si="220">+CE26+CE21</f>
        <v>6165784</v>
      </c>
      <c r="CF27" s="241">
        <f t="shared" si="220"/>
        <v>6178895.0457786657</v>
      </c>
      <c r="CG27" s="241">
        <f t="shared" si="220"/>
        <v>6070205.3906081431</v>
      </c>
      <c r="CH27" s="241">
        <f t="shared" si="220"/>
        <v>6473850.4025662439</v>
      </c>
      <c r="CI27" s="241">
        <f t="shared" ref="CI27:CL27" si="221">+CI26+CI21</f>
        <v>6117634.318900045</v>
      </c>
      <c r="CJ27" s="241">
        <f t="shared" si="221"/>
        <v>6517547.4734300002</v>
      </c>
      <c r="CK27" s="241">
        <f t="shared" si="221"/>
        <v>6668890.2743299995</v>
      </c>
      <c r="CL27" s="241">
        <f t="shared" si="221"/>
        <v>6905961.6257321863</v>
      </c>
      <c r="CM27" s="241">
        <f t="shared" ref="CM27:CP27" si="222">+CM26+CM21</f>
        <v>6804571.0791737335</v>
      </c>
      <c r="CN27" s="241">
        <f t="shared" si="222"/>
        <v>7215107.5187489288</v>
      </c>
      <c r="CO27" s="241">
        <f t="shared" si="222"/>
        <v>7100936.4327259995</v>
      </c>
      <c r="CP27" s="241">
        <f t="shared" si="222"/>
        <v>7300083.7747919587</v>
      </c>
      <c r="CQ27" s="249"/>
      <c r="CR27" s="249"/>
      <c r="CS27" s="241">
        <v>6327847.8133064974</v>
      </c>
      <c r="CT27" s="1133"/>
      <c r="CU27" s="249"/>
      <c r="CV27" s="249"/>
      <c r="CW27" s="249"/>
      <c r="CX27" s="249"/>
      <c r="CY27" s="249"/>
      <c r="CZ27" s="249"/>
      <c r="DA27" s="249"/>
      <c r="DB27" s="249"/>
      <c r="DC27" s="249"/>
      <c r="DD27" s="249"/>
      <c r="DE27" s="249"/>
      <c r="DF27" s="249"/>
      <c r="DG27" s="249"/>
      <c r="DH27" s="249"/>
      <c r="DI27" s="249"/>
      <c r="DJ27" s="249"/>
      <c r="DK27" s="249"/>
      <c r="DL27" s="249"/>
      <c r="DM27" s="249"/>
      <c r="DN27" s="249"/>
      <c r="DO27" s="249"/>
      <c r="DP27" s="249"/>
      <c r="DQ27" s="249"/>
      <c r="DR27" s="249"/>
      <c r="DS27" s="249"/>
      <c r="DT27" s="249"/>
      <c r="DU27" s="249"/>
      <c r="DV27" s="245"/>
      <c r="DW27" s="245"/>
      <c r="DY27" s="249"/>
      <c r="DZ27" s="249"/>
    </row>
    <row r="28" spans="1:130">
      <c r="A28" s="424"/>
      <c r="B28" s="425"/>
      <c r="C28" s="426"/>
      <c r="D28" s="426"/>
      <c r="E28" s="427"/>
      <c r="F28" s="427"/>
      <c r="G28" s="427"/>
      <c r="H28" s="427"/>
      <c r="I28" s="427"/>
      <c r="J28" s="427"/>
      <c r="K28" s="427"/>
      <c r="L28" s="427"/>
      <c r="M28" s="427"/>
      <c r="N28" s="427"/>
      <c r="O28" s="427"/>
      <c r="P28" s="427"/>
      <c r="Q28" s="427"/>
      <c r="R28" s="427"/>
      <c r="S28" s="427"/>
      <c r="T28" s="427"/>
      <c r="U28" s="427"/>
      <c r="V28" s="427"/>
      <c r="W28" s="427"/>
      <c r="X28" s="427"/>
      <c r="Y28" s="427"/>
      <c r="Z28" s="427"/>
      <c r="AA28" s="427"/>
      <c r="AB28" s="427"/>
      <c r="AC28" s="427"/>
      <c r="AD28" s="428"/>
      <c r="AE28" s="428"/>
      <c r="AF28" s="428"/>
      <c r="AG28" s="428"/>
      <c r="AH28" s="428"/>
      <c r="AI28" s="428"/>
      <c r="AJ28" s="428"/>
      <c r="AK28" s="428"/>
      <c r="AL28" s="428"/>
      <c r="AM28" s="428"/>
      <c r="AN28" s="428"/>
      <c r="AO28" s="428"/>
      <c r="AP28" s="428"/>
      <c r="AQ28" s="241"/>
      <c r="AR28" s="241"/>
      <c r="AS28" s="241"/>
      <c r="AT28" s="241"/>
      <c r="AU28" s="241"/>
      <c r="AV28" s="241"/>
      <c r="AW28" s="241"/>
      <c r="AX28" s="241"/>
      <c r="AY28" s="241"/>
      <c r="AZ28" s="241"/>
      <c r="BA28" s="241"/>
      <c r="BB28" s="241"/>
      <c r="BC28" s="241"/>
      <c r="BD28" s="241"/>
      <c r="BE28" s="241"/>
      <c r="BF28" s="241"/>
      <c r="BG28" s="241"/>
      <c r="BH28" s="241"/>
      <c r="BI28" s="241"/>
      <c r="BJ28" s="241"/>
      <c r="BK28" s="241"/>
      <c r="BL28" s="241"/>
      <c r="BM28" s="241"/>
      <c r="BN28" s="241"/>
      <c r="BO28" s="241"/>
      <c r="BP28" s="241"/>
      <c r="BQ28" s="241"/>
      <c r="BR28" s="241"/>
      <c r="BS28" s="241"/>
      <c r="BT28" s="241"/>
      <c r="BU28" s="241"/>
      <c r="BV28" s="241"/>
      <c r="BW28" s="241"/>
      <c r="BX28" s="241"/>
      <c r="BY28" s="241"/>
      <c r="BZ28" s="241"/>
      <c r="CA28" s="241"/>
      <c r="CB28" s="241"/>
      <c r="CC28" s="241"/>
      <c r="CD28" s="241"/>
      <c r="CE28" s="241"/>
      <c r="CF28" s="241"/>
      <c r="CG28" s="241"/>
      <c r="CH28" s="241"/>
      <c r="CI28" s="241"/>
      <c r="CJ28" s="241"/>
      <c r="CK28" s="241"/>
      <c r="CL28" s="241"/>
      <c r="CM28" s="241"/>
      <c r="CN28" s="241"/>
      <c r="CO28" s="241"/>
      <c r="CP28" s="241"/>
      <c r="CQ28" s="249"/>
      <c r="CR28" s="249"/>
      <c r="CS28" s="241"/>
      <c r="CT28" s="1133"/>
      <c r="CU28" s="249"/>
      <c r="CV28" s="249"/>
      <c r="CW28" s="249"/>
      <c r="CX28" s="249"/>
      <c r="CY28" s="249"/>
      <c r="CZ28" s="249"/>
      <c r="DA28" s="249"/>
      <c r="DB28" s="249"/>
      <c r="DC28" s="249"/>
      <c r="DD28" s="249"/>
      <c r="DE28" s="249"/>
      <c r="DF28" s="249"/>
      <c r="DG28" s="249"/>
      <c r="DH28" s="249"/>
      <c r="DI28" s="249"/>
      <c r="DJ28" s="249"/>
      <c r="DK28" s="249"/>
      <c r="DL28" s="249"/>
      <c r="DM28" s="249"/>
      <c r="DN28" s="249"/>
      <c r="DO28" s="249"/>
      <c r="DP28" s="249"/>
      <c r="DQ28" s="249"/>
      <c r="DR28" s="249"/>
      <c r="DS28" s="249"/>
      <c r="DT28" s="249"/>
      <c r="DU28" s="249"/>
      <c r="DV28" s="245"/>
      <c r="DW28" s="245"/>
      <c r="DY28" s="249"/>
      <c r="DZ28" s="249"/>
    </row>
    <row r="29" spans="1:130">
      <c r="A29" s="424" t="s">
        <v>587</v>
      </c>
      <c r="B29" s="425"/>
      <c r="C29" s="426"/>
      <c r="D29" s="426"/>
      <c r="E29" s="427"/>
      <c r="F29" s="427"/>
      <c r="G29" s="427"/>
      <c r="H29" s="427"/>
      <c r="I29" s="427"/>
      <c r="J29" s="427"/>
      <c r="K29" s="427"/>
      <c r="L29" s="427"/>
      <c r="M29" s="427"/>
      <c r="N29" s="427"/>
      <c r="O29" s="427"/>
      <c r="P29" s="427"/>
      <c r="Q29" s="427"/>
      <c r="R29" s="427"/>
      <c r="S29" s="427"/>
      <c r="T29" s="427"/>
      <c r="U29" s="427"/>
      <c r="V29" s="427"/>
      <c r="W29" s="427"/>
      <c r="X29" s="427"/>
      <c r="Y29" s="427"/>
      <c r="Z29" s="427"/>
      <c r="AA29" s="427"/>
      <c r="AB29" s="427"/>
      <c r="AC29" s="427"/>
      <c r="AD29" s="428"/>
      <c r="AE29" s="428"/>
      <c r="AF29" s="428"/>
      <c r="AG29" s="428"/>
      <c r="AH29" s="428"/>
      <c r="AI29" s="428"/>
      <c r="AJ29" s="428"/>
      <c r="AK29" s="428"/>
      <c r="AL29" s="428"/>
      <c r="AM29" s="428"/>
      <c r="AN29" s="428"/>
      <c r="AO29" s="428"/>
      <c r="AP29" s="428"/>
      <c r="AQ29" s="241"/>
      <c r="AR29" s="241"/>
      <c r="AS29" s="241"/>
      <c r="AT29" s="241"/>
      <c r="AU29" s="241"/>
      <c r="AV29" s="241"/>
      <c r="AW29" s="241"/>
      <c r="AX29" s="241"/>
      <c r="AY29" s="241"/>
      <c r="AZ29" s="241"/>
      <c r="BA29" s="241"/>
      <c r="BB29" s="241"/>
      <c r="BC29" s="241"/>
      <c r="BD29" s="241"/>
      <c r="BE29" s="241"/>
      <c r="BF29" s="241"/>
      <c r="BG29" s="241"/>
      <c r="BH29" s="241"/>
      <c r="BI29" s="241"/>
      <c r="BJ29" s="241">
        <f t="shared" ref="BJ29:CL29" si="223">+BJ160+BJ244</f>
        <v>2249060</v>
      </c>
      <c r="BK29" s="241">
        <f t="shared" si="223"/>
        <v>2067535.9235498216</v>
      </c>
      <c r="BL29" s="241">
        <f t="shared" si="223"/>
        <v>2121549.2609575447</v>
      </c>
      <c r="BM29" s="241">
        <f t="shared" si="223"/>
        <v>2221310.9847004046</v>
      </c>
      <c r="BN29" s="241">
        <f t="shared" si="223"/>
        <v>2862805.3241632739</v>
      </c>
      <c r="BO29" s="241">
        <f t="shared" si="223"/>
        <v>2475506.0473656133</v>
      </c>
      <c r="BP29" s="241">
        <f t="shared" si="223"/>
        <v>1803352.1131621485</v>
      </c>
      <c r="BQ29" s="241">
        <f t="shared" si="223"/>
        <v>2213169.4618330593</v>
      </c>
      <c r="BR29" s="241">
        <f t="shared" si="223"/>
        <v>2977997.3324377341</v>
      </c>
      <c r="BS29" s="241">
        <f t="shared" si="223"/>
        <v>2467694</v>
      </c>
      <c r="BT29" s="241">
        <f t="shared" si="223"/>
        <v>2823735</v>
      </c>
      <c r="BU29" s="241">
        <f t="shared" si="223"/>
        <v>3000355</v>
      </c>
      <c r="BV29" s="241">
        <f t="shared" si="223"/>
        <v>3994135</v>
      </c>
      <c r="BW29" s="241">
        <f t="shared" si="223"/>
        <v>3847119</v>
      </c>
      <c r="BX29" s="241">
        <f t="shared" si="223"/>
        <v>4169448</v>
      </c>
      <c r="BY29" s="241">
        <f t="shared" si="223"/>
        <v>4118369</v>
      </c>
      <c r="BZ29" s="241">
        <f t="shared" si="223"/>
        <v>4738153</v>
      </c>
      <c r="CA29" s="241">
        <f t="shared" si="223"/>
        <v>4434726</v>
      </c>
      <c r="CB29" s="241">
        <f t="shared" si="223"/>
        <v>4441247</v>
      </c>
      <c r="CC29" s="241">
        <f t="shared" si="223"/>
        <v>4139978</v>
      </c>
      <c r="CD29" s="241">
        <f t="shared" si="223"/>
        <v>4647042</v>
      </c>
      <c r="CE29" s="241">
        <f t="shared" si="223"/>
        <v>4280589</v>
      </c>
      <c r="CF29" s="241">
        <f t="shared" si="223"/>
        <v>4443520.0010086438</v>
      </c>
      <c r="CG29" s="241">
        <f t="shared" si="223"/>
        <v>4469932.2282481166</v>
      </c>
      <c r="CH29" s="241">
        <f t="shared" si="223"/>
        <v>4998599.2044862527</v>
      </c>
      <c r="CI29" s="241">
        <f t="shared" si="223"/>
        <v>4597079.6237500412</v>
      </c>
      <c r="CJ29" s="241">
        <f t="shared" si="223"/>
        <v>4662481.2661499996</v>
      </c>
      <c r="CK29" s="241">
        <f t="shared" si="223"/>
        <v>4556400.1155200005</v>
      </c>
      <c r="CL29" s="241">
        <f t="shared" si="223"/>
        <v>5266068.0228190711</v>
      </c>
      <c r="CM29" s="241">
        <f t="shared" ref="CM29:CP29" si="224">+CM160+CM244</f>
        <v>5203136.3005662775</v>
      </c>
      <c r="CN29" s="241">
        <f t="shared" si="224"/>
        <v>5552467.1054583322</v>
      </c>
      <c r="CO29" s="241">
        <f t="shared" si="224"/>
        <v>5383653.0411303807</v>
      </c>
      <c r="CP29" s="241">
        <f t="shared" si="224"/>
        <v>5595571.8175368533</v>
      </c>
      <c r="CQ29" s="249"/>
      <c r="CR29" s="249"/>
      <c r="CS29" s="241">
        <v>4843412.8658680152</v>
      </c>
      <c r="CT29" s="1133"/>
      <c r="CU29" s="249"/>
      <c r="CV29" s="249"/>
      <c r="CW29" s="249"/>
      <c r="CX29" s="249"/>
      <c r="CY29" s="249"/>
      <c r="CZ29" s="249"/>
      <c r="DA29" s="249"/>
      <c r="DB29" s="249"/>
      <c r="DC29" s="249"/>
      <c r="DD29" s="249"/>
      <c r="DE29" s="249"/>
      <c r="DF29" s="249"/>
      <c r="DG29" s="249"/>
      <c r="DH29" s="249"/>
      <c r="DI29" s="249"/>
      <c r="DJ29" s="249"/>
      <c r="DK29" s="249"/>
      <c r="DL29" s="249"/>
      <c r="DM29" s="249"/>
      <c r="DN29" s="249"/>
      <c r="DO29" s="249"/>
      <c r="DP29" s="249"/>
      <c r="DQ29" s="249"/>
      <c r="DR29" s="249"/>
      <c r="DS29" s="249"/>
      <c r="DT29" s="249"/>
      <c r="DU29" s="249"/>
      <c r="DV29" s="245"/>
      <c r="DW29" s="245"/>
      <c r="DY29" s="249"/>
      <c r="DZ29" s="249"/>
    </row>
    <row r="30" spans="1:130">
      <c r="A30" s="424"/>
      <c r="B30" s="425"/>
      <c r="C30" s="426"/>
      <c r="D30" s="426"/>
      <c r="E30" s="427"/>
      <c r="F30" s="427"/>
      <c r="G30" s="427"/>
      <c r="H30" s="427"/>
      <c r="I30" s="427"/>
      <c r="J30" s="427"/>
      <c r="K30" s="427"/>
      <c r="L30" s="427"/>
      <c r="M30" s="427"/>
      <c r="N30" s="427"/>
      <c r="O30" s="427"/>
      <c r="P30" s="427"/>
      <c r="Q30" s="427"/>
      <c r="R30" s="427"/>
      <c r="S30" s="427"/>
      <c r="T30" s="427"/>
      <c r="U30" s="427"/>
      <c r="V30" s="427"/>
      <c r="W30" s="427"/>
      <c r="X30" s="427"/>
      <c r="Y30" s="427"/>
      <c r="Z30" s="427"/>
      <c r="AA30" s="427"/>
      <c r="AB30" s="427"/>
      <c r="AC30" s="427"/>
      <c r="AD30" s="428"/>
      <c r="AE30" s="428"/>
      <c r="AF30" s="428"/>
      <c r="AG30" s="428"/>
      <c r="AH30" s="428"/>
      <c r="AI30" s="428"/>
      <c r="AJ30" s="428"/>
      <c r="AK30" s="428"/>
      <c r="AL30" s="428"/>
      <c r="AM30" s="428"/>
      <c r="AN30" s="428"/>
      <c r="AO30" s="428"/>
      <c r="AP30" s="428"/>
      <c r="AQ30" s="241"/>
      <c r="AR30" s="241"/>
      <c r="AS30" s="241"/>
      <c r="AT30" s="241"/>
      <c r="AU30" s="241"/>
      <c r="AV30" s="241"/>
      <c r="AW30" s="241"/>
      <c r="AX30" s="241"/>
      <c r="AY30" s="241"/>
      <c r="AZ30" s="241"/>
      <c r="BA30" s="241"/>
      <c r="BB30" s="241"/>
      <c r="BC30" s="241"/>
      <c r="BD30" s="241"/>
      <c r="BE30" s="241"/>
      <c r="BF30" s="241"/>
      <c r="BG30" s="241"/>
      <c r="BH30" s="241"/>
      <c r="BI30" s="241"/>
      <c r="BJ30" s="241"/>
      <c r="BK30" s="241"/>
      <c r="BL30" s="241"/>
      <c r="BM30" s="241"/>
      <c r="BN30" s="241"/>
      <c r="BO30" s="241"/>
      <c r="BP30" s="241"/>
      <c r="BQ30" s="241"/>
      <c r="BR30" s="241"/>
      <c r="BS30" s="241"/>
      <c r="BT30" s="241"/>
      <c r="BU30" s="241"/>
      <c r="BV30" s="241"/>
      <c r="BW30" s="1643">
        <f t="shared" ref="BW30:CD30" si="225">+BW29/BS29-1</f>
        <v>0.55899353809670083</v>
      </c>
      <c r="BX30" s="1643">
        <f t="shared" si="225"/>
        <v>0.47657198710218918</v>
      </c>
      <c r="BY30" s="1643">
        <f t="shared" si="225"/>
        <v>0.3726272391100387</v>
      </c>
      <c r="BZ30" s="1592">
        <f t="shared" si="225"/>
        <v>0.18627762957436333</v>
      </c>
      <c r="CA30" s="1592">
        <f t="shared" si="225"/>
        <v>0.15273949155198996</v>
      </c>
      <c r="CB30" s="1592">
        <f t="shared" si="225"/>
        <v>6.5188245542335599E-2</v>
      </c>
      <c r="CC30" s="1592">
        <f t="shared" si="225"/>
        <v>5.2469800544827638E-3</v>
      </c>
      <c r="CD30" s="1592">
        <f t="shared" si="225"/>
        <v>-1.9229222863845874E-2</v>
      </c>
      <c r="CE30" s="1592">
        <f t="shared" ref="CE30" si="226">+CE29/CA29-1</f>
        <v>-3.4756826013602637E-2</v>
      </c>
      <c r="CF30" s="1592">
        <f t="shared" ref="CF30" si="227">+CF29/CB29-1</f>
        <v>5.1179342392893012E-4</v>
      </c>
      <c r="CG30" s="1592">
        <f t="shared" ref="CG30" si="228">+CG29/CC29-1</f>
        <v>7.9699512472799716E-2</v>
      </c>
      <c r="CH30" s="1592">
        <f t="shared" ref="CH30" si="229">+CH29/CD29-1</f>
        <v>7.5651824211240726E-2</v>
      </c>
      <c r="CI30" s="1592">
        <f t="shared" ref="CI30" si="230">+CI29/CE29-1</f>
        <v>7.393623254884818E-2</v>
      </c>
      <c r="CJ30" s="1592">
        <f t="shared" ref="CJ30" si="231">+CJ29/CF29-1</f>
        <v>4.9276534164728325E-2</v>
      </c>
      <c r="CK30" s="1592">
        <f t="shared" ref="CK30" si="232">+CK29/CG29-1</f>
        <v>1.9344339658092125E-2</v>
      </c>
      <c r="CL30" s="1592">
        <f t="shared" ref="CL30" si="233">+CL29/CH29-1</f>
        <v>5.3508754631250488E-2</v>
      </c>
      <c r="CM30" s="1592">
        <f t="shared" ref="CM30" si="234">+CM29/CI29-1</f>
        <v>0.13183514892479686</v>
      </c>
      <c r="CN30" s="1592">
        <f t="shared" ref="CN30" si="235">+CN29/CJ29-1</f>
        <v>0.19088244831560042</v>
      </c>
      <c r="CO30" s="1592">
        <f t="shared" ref="CO30" si="236">+CO29/CK29-1</f>
        <v>0.18155844628143902</v>
      </c>
      <c r="CP30" s="1592">
        <f t="shared" ref="CP30" si="237">+CP29/CL29-1</f>
        <v>6.2571123899267445E-2</v>
      </c>
      <c r="CQ30" s="249"/>
      <c r="CR30" s="249"/>
      <c r="CS30" s="1592">
        <v>8.9994613452532901E-2</v>
      </c>
      <c r="CT30" s="1133"/>
      <c r="CU30" s="249"/>
      <c r="CV30" s="249"/>
      <c r="CW30" s="249"/>
      <c r="CX30" s="249"/>
      <c r="CY30" s="249"/>
      <c r="CZ30" s="249"/>
      <c r="DA30" s="249"/>
      <c r="DB30" s="249"/>
      <c r="DC30" s="249"/>
      <c r="DD30" s="249"/>
      <c r="DE30" s="249"/>
      <c r="DF30" s="249"/>
      <c r="DG30" s="249"/>
      <c r="DH30" s="249"/>
      <c r="DI30" s="249"/>
      <c r="DJ30" s="249"/>
      <c r="DK30" s="249"/>
      <c r="DL30" s="249"/>
      <c r="DM30" s="249"/>
      <c r="DN30" s="249"/>
      <c r="DO30" s="249"/>
      <c r="DP30" s="249"/>
      <c r="DQ30" s="249"/>
      <c r="DR30" s="249"/>
      <c r="DS30" s="249"/>
      <c r="DT30" s="249"/>
      <c r="DU30" s="249"/>
      <c r="DV30" s="245"/>
      <c r="DW30" s="245"/>
      <c r="DY30" s="249"/>
      <c r="DZ30" s="249"/>
    </row>
    <row r="31" spans="1:130">
      <c r="A31" s="424" t="s">
        <v>588</v>
      </c>
      <c r="B31" s="425"/>
      <c r="C31" s="426"/>
      <c r="D31" s="426"/>
      <c r="E31" s="427"/>
      <c r="F31" s="427"/>
      <c r="G31" s="427"/>
      <c r="H31" s="427"/>
      <c r="I31" s="427"/>
      <c r="J31" s="427"/>
      <c r="K31" s="427"/>
      <c r="L31" s="427"/>
      <c r="M31" s="427"/>
      <c r="N31" s="427"/>
      <c r="O31" s="427"/>
      <c r="P31" s="427"/>
      <c r="Q31" s="427"/>
      <c r="R31" s="427"/>
      <c r="S31" s="427"/>
      <c r="T31" s="427"/>
      <c r="U31" s="427"/>
      <c r="V31" s="427"/>
      <c r="W31" s="427"/>
      <c r="X31" s="427"/>
      <c r="Y31" s="427"/>
      <c r="Z31" s="427"/>
      <c r="AA31" s="427"/>
      <c r="AB31" s="427"/>
      <c r="AC31" s="427"/>
      <c r="AD31" s="428"/>
      <c r="AE31" s="428"/>
      <c r="AF31" s="428"/>
      <c r="AG31" s="428"/>
      <c r="AH31" s="428"/>
      <c r="AI31" s="428"/>
      <c r="AJ31" s="428"/>
      <c r="AK31" s="428"/>
      <c r="AL31" s="428"/>
      <c r="AM31" s="428"/>
      <c r="AN31" s="428"/>
      <c r="AO31" s="428"/>
      <c r="AP31" s="428"/>
      <c r="AQ31" s="241"/>
      <c r="AR31" s="241"/>
      <c r="AS31" s="241"/>
      <c r="AT31" s="241"/>
      <c r="AU31" s="241"/>
      <c r="AV31" s="241"/>
      <c r="AW31" s="241"/>
      <c r="AX31" s="241"/>
      <c r="AY31" s="241"/>
      <c r="AZ31" s="241"/>
      <c r="BA31" s="241"/>
      <c r="BB31" s="241"/>
      <c r="BC31" s="241"/>
      <c r="BD31" s="241"/>
      <c r="BE31" s="241"/>
      <c r="BF31" s="241"/>
      <c r="BG31" s="241"/>
      <c r="BH31" s="241"/>
      <c r="BI31" s="241"/>
      <c r="BJ31" s="241">
        <f t="shared" ref="BJ31:BX31" si="238">+BJ29-BJ27</f>
        <v>-605778.77976999991</v>
      </c>
      <c r="BK31" s="241">
        <f t="shared" si="238"/>
        <v>-592489.29247000022</v>
      </c>
      <c r="BL31" s="241">
        <f t="shared" si="238"/>
        <v>-649381.98274165159</v>
      </c>
      <c r="BM31" s="241">
        <f t="shared" si="238"/>
        <v>-685668.46246007225</v>
      </c>
      <c r="BN31" s="241">
        <f t="shared" si="238"/>
        <v>-477259.52545351768</v>
      </c>
      <c r="BO31" s="241">
        <f t="shared" si="238"/>
        <v>-848852.50406438578</v>
      </c>
      <c r="BP31" s="241">
        <f t="shared" si="238"/>
        <v>-951677.36216785177</v>
      </c>
      <c r="BQ31" s="241">
        <f t="shared" si="238"/>
        <v>-782701.43992694095</v>
      </c>
      <c r="BR31" s="241">
        <f t="shared" si="238"/>
        <v>-690596.09295226634</v>
      </c>
      <c r="BS31" s="241">
        <f t="shared" si="238"/>
        <v>-789973</v>
      </c>
      <c r="BT31" s="241">
        <f t="shared" si="238"/>
        <v>-719296</v>
      </c>
      <c r="BU31" s="241">
        <f t="shared" si="238"/>
        <v>-785559</v>
      </c>
      <c r="BV31" s="241">
        <f t="shared" si="238"/>
        <v>-905928</v>
      </c>
      <c r="BW31" s="241">
        <f t="shared" si="238"/>
        <v>-1243259</v>
      </c>
      <c r="BX31" s="241">
        <f t="shared" si="238"/>
        <v>-1465425</v>
      </c>
      <c r="BY31" s="241">
        <f t="shared" ref="BY31:CD31" si="239">+BY29-BY27</f>
        <v>-1707594</v>
      </c>
      <c r="BZ31" s="241">
        <f t="shared" si="239"/>
        <v>-1856579</v>
      </c>
      <c r="CA31" s="241">
        <f t="shared" si="239"/>
        <v>-2069854</v>
      </c>
      <c r="CB31" s="241">
        <f t="shared" si="239"/>
        <v>-2122256</v>
      </c>
      <c r="CC31" s="241">
        <f t="shared" si="239"/>
        <v>-2049178</v>
      </c>
      <c r="CD31" s="241">
        <f t="shared" si="239"/>
        <v>-1906822</v>
      </c>
      <c r="CE31" s="241">
        <f t="shared" ref="CE31:CH31" si="240">+CE29-CE27</f>
        <v>-1885195</v>
      </c>
      <c r="CF31" s="241">
        <f t="shared" si="240"/>
        <v>-1735375.0447700219</v>
      </c>
      <c r="CG31" s="241">
        <f t="shared" si="240"/>
        <v>-1600273.1623600265</v>
      </c>
      <c r="CH31" s="241">
        <f t="shared" si="240"/>
        <v>-1475251.1980799912</v>
      </c>
      <c r="CI31" s="241">
        <f t="shared" ref="CI31:CL31" si="241">+CI29-CI27</f>
        <v>-1520554.6951500038</v>
      </c>
      <c r="CJ31" s="241">
        <f t="shared" si="241"/>
        <v>-1855066.2072800007</v>
      </c>
      <c r="CK31" s="241">
        <f t="shared" si="241"/>
        <v>-2112490.158809999</v>
      </c>
      <c r="CL31" s="241">
        <f t="shared" si="241"/>
        <v>-1639893.6029131152</v>
      </c>
      <c r="CM31" s="241">
        <f t="shared" ref="CM31:CP31" si="242">+CM29-CM27</f>
        <v>-1601434.778607456</v>
      </c>
      <c r="CN31" s="241">
        <f t="shared" si="242"/>
        <v>-1662640.4132905966</v>
      </c>
      <c r="CO31" s="241">
        <f t="shared" si="242"/>
        <v>-1717283.3915956188</v>
      </c>
      <c r="CP31" s="241">
        <f t="shared" si="242"/>
        <v>-1704511.9572551055</v>
      </c>
      <c r="CQ31" s="249"/>
      <c r="CR31" s="249"/>
      <c r="CS31" s="241">
        <v>-1484434.9474384822</v>
      </c>
      <c r="CT31" s="1133"/>
      <c r="CU31" s="249"/>
      <c r="CV31" s="249"/>
      <c r="CW31" s="249"/>
      <c r="CX31" s="249"/>
      <c r="CY31" s="249"/>
      <c r="CZ31" s="249"/>
      <c r="DA31" s="249"/>
      <c r="DB31" s="249"/>
      <c r="DC31" s="249"/>
      <c r="DD31" s="249"/>
      <c r="DE31" s="249"/>
      <c r="DF31" s="249"/>
      <c r="DG31" s="249"/>
      <c r="DH31" s="249"/>
      <c r="DI31" s="249"/>
      <c r="DJ31" s="249"/>
      <c r="DK31" s="249"/>
      <c r="DL31" s="249"/>
      <c r="DM31" s="249"/>
      <c r="DN31" s="249"/>
      <c r="DO31" s="249"/>
      <c r="DP31" s="249"/>
      <c r="DQ31" s="249"/>
      <c r="DR31" s="249"/>
      <c r="DS31" s="249"/>
      <c r="DT31" s="249"/>
      <c r="DU31" s="249"/>
      <c r="DV31" s="245"/>
      <c r="DW31" s="245"/>
      <c r="DY31" s="249"/>
      <c r="DZ31" s="249"/>
    </row>
    <row r="32" spans="1:130">
      <c r="A32" s="424"/>
      <c r="B32" s="425"/>
      <c r="C32" s="426"/>
      <c r="D32" s="426"/>
      <c r="E32" s="427"/>
      <c r="F32" s="427"/>
      <c r="G32" s="427"/>
      <c r="H32" s="427"/>
      <c r="I32" s="427"/>
      <c r="J32" s="427"/>
      <c r="K32" s="427"/>
      <c r="L32" s="427"/>
      <c r="M32" s="427"/>
      <c r="N32" s="427"/>
      <c r="O32" s="427"/>
      <c r="P32" s="427"/>
      <c r="Q32" s="427"/>
      <c r="R32" s="427"/>
      <c r="S32" s="427"/>
      <c r="T32" s="427"/>
      <c r="U32" s="427"/>
      <c r="V32" s="427"/>
      <c r="W32" s="427"/>
      <c r="X32" s="427"/>
      <c r="Y32" s="427"/>
      <c r="Z32" s="427"/>
      <c r="AA32" s="427"/>
      <c r="AB32" s="427"/>
      <c r="AC32" s="427"/>
      <c r="AD32" s="428"/>
      <c r="AE32" s="428"/>
      <c r="AF32" s="428"/>
      <c r="AG32" s="428"/>
      <c r="AH32" s="428"/>
      <c r="AI32" s="428"/>
      <c r="AJ32" s="428"/>
      <c r="AK32" s="428"/>
      <c r="AL32" s="428"/>
      <c r="AM32" s="428"/>
      <c r="AN32" s="428"/>
      <c r="AO32" s="428"/>
      <c r="AP32" s="428"/>
      <c r="AQ32" s="241"/>
      <c r="AR32" s="241"/>
      <c r="AS32" s="241"/>
      <c r="AT32" s="241"/>
      <c r="AU32" s="241"/>
      <c r="AV32" s="241"/>
      <c r="AW32" s="241"/>
      <c r="AX32" s="241"/>
      <c r="AY32" s="241"/>
      <c r="AZ32" s="241"/>
      <c r="BA32" s="241"/>
      <c r="BB32" s="241"/>
      <c r="BC32" s="241"/>
      <c r="BD32" s="241"/>
      <c r="BE32" s="241"/>
      <c r="BF32" s="241"/>
      <c r="BG32" s="241"/>
      <c r="BH32" s="241"/>
      <c r="BI32" s="241"/>
      <c r="BJ32" s="241"/>
      <c r="BK32" s="241"/>
      <c r="BL32" s="241"/>
      <c r="BM32" s="241"/>
      <c r="BN32" s="241"/>
      <c r="BO32" s="241"/>
      <c r="BP32" s="241"/>
      <c r="BQ32" s="241"/>
      <c r="BR32" s="241"/>
      <c r="BS32" s="241"/>
      <c r="BT32" s="241"/>
      <c r="BU32" s="241"/>
      <c r="BV32" s="241"/>
      <c r="BW32" s="241"/>
      <c r="BX32" s="241"/>
      <c r="BY32" s="241"/>
      <c r="BZ32" s="241"/>
      <c r="CA32" s="241"/>
      <c r="CB32" s="241"/>
      <c r="CC32" s="241"/>
      <c r="CD32" s="241"/>
      <c r="CE32" s="241"/>
      <c r="CF32" s="241"/>
      <c r="CG32" s="241"/>
      <c r="CH32" s="241"/>
      <c r="CI32" s="241"/>
      <c r="CJ32" s="241"/>
      <c r="CK32" s="241"/>
      <c r="CL32" s="241"/>
      <c r="CM32" s="241"/>
      <c r="CN32" s="241"/>
      <c r="CO32" s="241"/>
      <c r="CP32" s="241"/>
      <c r="CQ32" s="249"/>
      <c r="CR32" s="249"/>
      <c r="CS32" s="241"/>
      <c r="CT32" s="1133"/>
      <c r="CU32" s="249"/>
      <c r="CV32" s="249"/>
      <c r="CW32" s="249"/>
      <c r="CX32" s="249"/>
      <c r="CY32" s="249"/>
      <c r="CZ32" s="249"/>
      <c r="DA32" s="249"/>
      <c r="DB32" s="249"/>
      <c r="DC32" s="249"/>
      <c r="DD32" s="249"/>
      <c r="DE32" s="249"/>
      <c r="DF32" s="249"/>
      <c r="DG32" s="249"/>
      <c r="DH32" s="249"/>
      <c r="DI32" s="249"/>
      <c r="DJ32" s="249"/>
      <c r="DK32" s="249"/>
      <c r="DL32" s="249"/>
      <c r="DM32" s="249"/>
      <c r="DN32" s="249"/>
      <c r="DO32" s="249"/>
      <c r="DP32" s="249"/>
      <c r="DQ32" s="249"/>
      <c r="DR32" s="249"/>
      <c r="DS32" s="249"/>
      <c r="DT32" s="249"/>
      <c r="DU32" s="249"/>
      <c r="DV32" s="245"/>
      <c r="DW32" s="245"/>
      <c r="DY32" s="249"/>
      <c r="DZ32" s="249"/>
    </row>
    <row r="33" spans="1:130">
      <c r="A33" s="424"/>
      <c r="B33" s="425"/>
      <c r="C33" s="426"/>
      <c r="D33" s="426"/>
      <c r="E33" s="427"/>
      <c r="F33" s="427"/>
      <c r="G33" s="427"/>
      <c r="H33" s="427"/>
      <c r="I33" s="427"/>
      <c r="J33" s="427"/>
      <c r="K33" s="427"/>
      <c r="L33" s="427"/>
      <c r="M33" s="427"/>
      <c r="N33" s="427"/>
      <c r="O33" s="427"/>
      <c r="P33" s="427"/>
      <c r="Q33" s="427"/>
      <c r="R33" s="427"/>
      <c r="S33" s="427"/>
      <c r="T33" s="427"/>
      <c r="U33" s="427"/>
      <c r="V33" s="427"/>
      <c r="W33" s="427"/>
      <c r="X33" s="427"/>
      <c r="Y33" s="427"/>
      <c r="Z33" s="427"/>
      <c r="AA33" s="427"/>
      <c r="AB33" s="427"/>
      <c r="AC33" s="427"/>
      <c r="AD33" s="428"/>
      <c r="AE33" s="428"/>
      <c r="AF33" s="428"/>
      <c r="AG33" s="428"/>
      <c r="AH33" s="428"/>
      <c r="AI33" s="428"/>
      <c r="AJ33" s="428"/>
      <c r="AK33" s="428"/>
      <c r="AL33" s="428"/>
      <c r="AM33" s="428"/>
      <c r="AN33" s="428"/>
      <c r="AO33" s="428"/>
      <c r="AP33" s="428"/>
      <c r="AQ33" s="241"/>
      <c r="AR33" s="241"/>
      <c r="AS33" s="241"/>
      <c r="AT33" s="241"/>
      <c r="AU33" s="241"/>
      <c r="AV33" s="241"/>
      <c r="AW33" s="241"/>
      <c r="AX33" s="241"/>
      <c r="AY33" s="241"/>
      <c r="AZ33" s="241"/>
      <c r="BA33" s="241"/>
      <c r="BB33" s="241"/>
      <c r="BC33" s="241"/>
      <c r="BD33" s="241"/>
      <c r="BE33" s="241"/>
      <c r="BF33" s="241"/>
      <c r="BG33" s="241"/>
      <c r="BH33" s="241">
        <f t="shared" ref="BH33:BX33" si="243">+BH29-BG29</f>
        <v>0</v>
      </c>
      <c r="BI33" s="241">
        <f t="shared" si="243"/>
        <v>0</v>
      </c>
      <c r="BJ33" s="241">
        <f t="shared" si="243"/>
        <v>2249060</v>
      </c>
      <c r="BK33" s="241">
        <f t="shared" si="243"/>
        <v>-181524.0764501784</v>
      </c>
      <c r="BL33" s="241">
        <f t="shared" si="243"/>
        <v>54013.337407723069</v>
      </c>
      <c r="BM33" s="241">
        <f t="shared" si="243"/>
        <v>99761.723742859904</v>
      </c>
      <c r="BN33" s="241">
        <f t="shared" si="243"/>
        <v>641494.33946286933</v>
      </c>
      <c r="BO33" s="241">
        <f t="shared" si="243"/>
        <v>-387299.27679766063</v>
      </c>
      <c r="BP33" s="241">
        <f t="shared" si="243"/>
        <v>-672153.93420346477</v>
      </c>
      <c r="BQ33" s="241">
        <f t="shared" si="243"/>
        <v>409817.34867091081</v>
      </c>
      <c r="BR33" s="241">
        <f t="shared" si="243"/>
        <v>764827.8706046748</v>
      </c>
      <c r="BS33" s="241">
        <f t="shared" si="243"/>
        <v>-510303.33243773412</v>
      </c>
      <c r="BT33" s="241">
        <f t="shared" si="243"/>
        <v>356041</v>
      </c>
      <c r="BU33" s="241">
        <f t="shared" si="243"/>
        <v>176620</v>
      </c>
      <c r="BV33" s="241">
        <f t="shared" si="243"/>
        <v>993780</v>
      </c>
      <c r="BW33" s="241">
        <f t="shared" si="243"/>
        <v>-147016</v>
      </c>
      <c r="BX33" s="241">
        <f t="shared" si="243"/>
        <v>322329</v>
      </c>
      <c r="BY33" s="241">
        <f t="shared" ref="BY33:CD33" si="244">+BY29-BX29</f>
        <v>-51079</v>
      </c>
      <c r="BZ33" s="241">
        <f t="shared" si="244"/>
        <v>619784</v>
      </c>
      <c r="CA33" s="241">
        <f t="shared" si="244"/>
        <v>-303427</v>
      </c>
      <c r="CB33" s="241">
        <f t="shared" si="244"/>
        <v>6521</v>
      </c>
      <c r="CC33" s="241">
        <f t="shared" si="244"/>
        <v>-301269</v>
      </c>
      <c r="CD33" s="241">
        <f t="shared" si="244"/>
        <v>507064</v>
      </c>
      <c r="CE33" s="241">
        <f t="shared" ref="CE33:CH33" si="245">+CE29-CD29</f>
        <v>-366453</v>
      </c>
      <c r="CF33" s="241">
        <f t="shared" si="245"/>
        <v>162931.00100864377</v>
      </c>
      <c r="CG33" s="241">
        <f t="shared" si="245"/>
        <v>26412.227239472792</v>
      </c>
      <c r="CH33" s="241">
        <f t="shared" si="245"/>
        <v>528666.97623813618</v>
      </c>
      <c r="CI33" s="241">
        <f t="shared" ref="CI33" si="246">+CI29-CH29</f>
        <v>-401519.5807362115</v>
      </c>
      <c r="CJ33" s="241">
        <f t="shared" ref="CJ33" si="247">+CJ29-CI29</f>
        <v>65401.642399958335</v>
      </c>
      <c r="CK33" s="241">
        <f t="shared" ref="CK33" si="248">+CK29-CJ29</f>
        <v>-106081.15062999912</v>
      </c>
      <c r="CL33" s="241">
        <f t="shared" ref="CL33" si="249">+CL29-CK29</f>
        <v>709667.90729907062</v>
      </c>
      <c r="CM33" s="241">
        <f t="shared" ref="CM33" si="250">+CM29-CL29</f>
        <v>-62931.72225279361</v>
      </c>
      <c r="CN33" s="241">
        <f t="shared" ref="CN33" si="251">+CN29-CM29</f>
        <v>349330.80489205476</v>
      </c>
      <c r="CO33" s="241">
        <f t="shared" ref="CO33" si="252">+CO29-CN29</f>
        <v>-168814.06432795152</v>
      </c>
      <c r="CP33" s="241">
        <f t="shared" ref="CP33" si="253">+CP29-CO29</f>
        <v>211918.77640647255</v>
      </c>
      <c r="CQ33" s="249"/>
      <c r="CR33" s="249"/>
      <c r="CS33" s="241">
        <v>246333.24211797398</v>
      </c>
      <c r="CT33" s="1133"/>
      <c r="CU33" s="249"/>
      <c r="CV33" s="249"/>
      <c r="CW33" s="249"/>
      <c r="CX33" s="249"/>
      <c r="CY33" s="249"/>
      <c r="CZ33" s="249"/>
      <c r="DA33" s="249"/>
      <c r="DB33" s="249"/>
      <c r="DC33" s="249"/>
      <c r="DD33" s="249"/>
      <c r="DE33" s="249"/>
      <c r="DF33" s="249"/>
      <c r="DG33" s="249"/>
      <c r="DH33" s="249"/>
      <c r="DI33" s="249"/>
      <c r="DJ33" s="249"/>
      <c r="DK33" s="249"/>
      <c r="DL33" s="249"/>
      <c r="DM33" s="249"/>
      <c r="DN33" s="249"/>
      <c r="DO33" s="249"/>
      <c r="DP33" s="249"/>
      <c r="DQ33" s="249"/>
      <c r="DR33" s="249"/>
      <c r="DS33" s="249"/>
      <c r="DT33" s="249"/>
      <c r="DU33" s="249"/>
      <c r="DV33" s="245"/>
      <c r="DW33" s="245"/>
      <c r="DY33" s="249"/>
      <c r="DZ33" s="249"/>
    </row>
    <row r="34" spans="1:130">
      <c r="A34" s="424"/>
      <c r="B34" s="425"/>
      <c r="C34" s="426"/>
      <c r="D34" s="426"/>
      <c r="E34" s="427"/>
      <c r="F34" s="427"/>
      <c r="G34" s="427"/>
      <c r="H34" s="427"/>
      <c r="I34" s="427"/>
      <c r="J34" s="427"/>
      <c r="K34" s="427"/>
      <c r="L34" s="427"/>
      <c r="M34" s="427"/>
      <c r="N34" s="427"/>
      <c r="O34" s="427"/>
      <c r="P34" s="427"/>
      <c r="Q34" s="427"/>
      <c r="R34" s="427"/>
      <c r="S34" s="427"/>
      <c r="T34" s="427"/>
      <c r="U34" s="427"/>
      <c r="V34" s="427"/>
      <c r="W34" s="427"/>
      <c r="X34" s="427"/>
      <c r="Y34" s="427"/>
      <c r="Z34" s="427"/>
      <c r="AA34" s="427"/>
      <c r="AB34" s="427"/>
      <c r="AC34" s="427"/>
      <c r="AD34" s="428"/>
      <c r="AE34" s="428"/>
      <c r="AF34" s="428"/>
      <c r="AG34" s="428"/>
      <c r="AH34" s="428"/>
      <c r="AI34" s="428"/>
      <c r="AJ34" s="428"/>
      <c r="AK34" s="428"/>
      <c r="AL34" s="428"/>
      <c r="AM34" s="428"/>
      <c r="AN34" s="428"/>
      <c r="AO34" s="428"/>
      <c r="AP34" s="428"/>
      <c r="AQ34" s="241"/>
      <c r="AR34" s="241"/>
      <c r="AS34" s="241"/>
      <c r="AT34" s="241"/>
      <c r="AU34" s="241"/>
      <c r="AV34" s="241"/>
      <c r="AW34" s="241"/>
      <c r="AX34" s="241"/>
      <c r="AY34" s="241"/>
      <c r="AZ34" s="241"/>
      <c r="BA34" s="241"/>
      <c r="BB34" s="241"/>
      <c r="BC34" s="241"/>
      <c r="BD34" s="241"/>
      <c r="BE34" s="241"/>
      <c r="BF34" s="241"/>
      <c r="BG34" s="241"/>
      <c r="BH34" s="241">
        <f t="shared" ref="BH34:BX34" si="254">-BF29</f>
        <v>0</v>
      </c>
      <c r="BI34" s="241">
        <f t="shared" si="254"/>
        <v>0</v>
      </c>
      <c r="BJ34" s="241">
        <f t="shared" si="254"/>
        <v>0</v>
      </c>
      <c r="BK34" s="241">
        <f t="shared" si="254"/>
        <v>0</v>
      </c>
      <c r="BL34" s="241">
        <f t="shared" si="254"/>
        <v>-2249060</v>
      </c>
      <c r="BM34" s="241">
        <f t="shared" si="254"/>
        <v>-2067535.9235498216</v>
      </c>
      <c r="BN34" s="241">
        <f t="shared" si="254"/>
        <v>-2121549.2609575447</v>
      </c>
      <c r="BO34" s="241">
        <f t="shared" si="254"/>
        <v>-2221310.9847004046</v>
      </c>
      <c r="BP34" s="241">
        <f t="shared" si="254"/>
        <v>-2862805.3241632739</v>
      </c>
      <c r="BQ34" s="241">
        <f t="shared" si="254"/>
        <v>-2475506.0473656133</v>
      </c>
      <c r="BR34" s="241">
        <f t="shared" si="254"/>
        <v>-1803352.1131621485</v>
      </c>
      <c r="BS34" s="241">
        <f t="shared" si="254"/>
        <v>-2213169.4618330593</v>
      </c>
      <c r="BT34" s="241">
        <f t="shared" si="254"/>
        <v>-2977997.3324377341</v>
      </c>
      <c r="BU34" s="241">
        <f t="shared" si="254"/>
        <v>-2467694</v>
      </c>
      <c r="BV34" s="241">
        <f t="shared" si="254"/>
        <v>-2823735</v>
      </c>
      <c r="BW34" s="241">
        <f t="shared" si="254"/>
        <v>-3000355</v>
      </c>
      <c r="BX34" s="241">
        <f t="shared" si="254"/>
        <v>-3994135</v>
      </c>
      <c r="BY34" s="241">
        <f t="shared" ref="BY34:CD34" si="255">-BW29</f>
        <v>-3847119</v>
      </c>
      <c r="BZ34" s="241">
        <f t="shared" si="255"/>
        <v>-4169448</v>
      </c>
      <c r="CA34" s="241">
        <f t="shared" si="255"/>
        <v>-4118369</v>
      </c>
      <c r="CB34" s="241">
        <f t="shared" si="255"/>
        <v>-4738153</v>
      </c>
      <c r="CC34" s="241">
        <f t="shared" si="255"/>
        <v>-4434726</v>
      </c>
      <c r="CD34" s="241">
        <f t="shared" si="255"/>
        <v>-4441247</v>
      </c>
      <c r="CE34" s="241">
        <f t="shared" ref="CE34:CH34" si="256">-CC29</f>
        <v>-4139978</v>
      </c>
      <c r="CF34" s="241">
        <f t="shared" si="256"/>
        <v>-4647042</v>
      </c>
      <c r="CG34" s="241">
        <f t="shared" si="256"/>
        <v>-4280589</v>
      </c>
      <c r="CH34" s="241">
        <f t="shared" si="256"/>
        <v>-4443520.0010086438</v>
      </c>
      <c r="CI34" s="241">
        <f t="shared" ref="CI34" si="257">-CG29</f>
        <v>-4469932.2282481166</v>
      </c>
      <c r="CJ34" s="241">
        <f t="shared" ref="CJ34" si="258">-CH29</f>
        <v>-4998599.2044862527</v>
      </c>
      <c r="CK34" s="241">
        <f t="shared" ref="CK34" si="259">-CI29</f>
        <v>-4597079.6237500412</v>
      </c>
      <c r="CL34" s="241">
        <f t="shared" ref="CL34" si="260">-CJ29</f>
        <v>-4662481.2661499996</v>
      </c>
      <c r="CM34" s="241">
        <f t="shared" ref="CM34" si="261">-CK29</f>
        <v>-4556400.1155200005</v>
      </c>
      <c r="CN34" s="241">
        <f t="shared" ref="CN34" si="262">-CL29</f>
        <v>-5266068.0228190711</v>
      </c>
      <c r="CO34" s="241">
        <f t="shared" ref="CO34" si="263">-CM29</f>
        <v>-5203136.3005662775</v>
      </c>
      <c r="CP34" s="241">
        <f t="shared" ref="CP34" si="264">-CN29</f>
        <v>-5552467.1054583322</v>
      </c>
      <c r="CQ34" s="249"/>
      <c r="CR34" s="249"/>
      <c r="CS34" s="241">
        <v>-4998599.2044862527</v>
      </c>
      <c r="CT34" s="1133"/>
      <c r="CU34" s="249"/>
      <c r="CV34" s="249"/>
      <c r="CW34" s="249"/>
      <c r="CX34" s="249"/>
      <c r="CY34" s="249"/>
      <c r="CZ34" s="249"/>
      <c r="DA34" s="249"/>
      <c r="DB34" s="249"/>
      <c r="DC34" s="249"/>
      <c r="DD34" s="249"/>
      <c r="DE34" s="249"/>
      <c r="DF34" s="249"/>
      <c r="DG34" s="249"/>
      <c r="DH34" s="249"/>
      <c r="DI34" s="249"/>
      <c r="DJ34" s="249"/>
      <c r="DK34" s="249"/>
      <c r="DL34" s="249"/>
      <c r="DM34" s="249"/>
      <c r="DN34" s="249"/>
      <c r="DO34" s="249"/>
      <c r="DP34" s="249"/>
      <c r="DQ34" s="249"/>
      <c r="DR34" s="249"/>
      <c r="DS34" s="249"/>
      <c r="DT34" s="249"/>
      <c r="DU34" s="249"/>
      <c r="DV34" s="245"/>
      <c r="DW34" s="245"/>
      <c r="DY34" s="249"/>
      <c r="DZ34" s="249"/>
    </row>
    <row r="35" spans="1:130" s="359" customFormat="1">
      <c r="A35" s="424" t="s">
        <v>589</v>
      </c>
      <c r="B35" s="425"/>
      <c r="C35" s="426"/>
      <c r="D35" s="426"/>
      <c r="E35" s="427"/>
      <c r="F35" s="427"/>
      <c r="G35" s="427"/>
      <c r="H35" s="427"/>
      <c r="I35" s="427"/>
      <c r="J35" s="427"/>
      <c r="K35" s="427"/>
      <c r="L35" s="427"/>
      <c r="M35" s="427"/>
      <c r="N35" s="427"/>
      <c r="O35" s="427"/>
      <c r="P35" s="427"/>
      <c r="Q35" s="427"/>
      <c r="R35" s="427"/>
      <c r="S35" s="427"/>
      <c r="T35" s="427"/>
      <c r="U35" s="427"/>
      <c r="V35" s="427"/>
      <c r="W35" s="427"/>
      <c r="X35" s="427"/>
      <c r="Y35" s="427"/>
      <c r="Z35" s="427"/>
      <c r="AA35" s="427"/>
      <c r="AB35" s="427"/>
      <c r="AC35" s="427"/>
      <c r="AD35" s="428"/>
      <c r="AE35" s="428"/>
      <c r="AF35" s="428"/>
      <c r="AG35" s="428"/>
      <c r="AH35" s="428"/>
      <c r="AI35" s="428"/>
      <c r="AJ35" s="428"/>
      <c r="AK35" s="428"/>
      <c r="AL35" s="428"/>
      <c r="AM35" s="428"/>
      <c r="AN35" s="428"/>
      <c r="AO35" s="428"/>
      <c r="AP35" s="428"/>
      <c r="AQ35" s="1589">
        <f t="shared" ref="AQ35" si="265">+AQ21+AQ26-AO21</f>
        <v>1186369</v>
      </c>
      <c r="AR35" s="1589">
        <f t="shared" ref="AR35" si="266">+AR21+AR26-AP21</f>
        <v>1235445</v>
      </c>
      <c r="AS35" s="1589">
        <f t="shared" ref="AS35" si="267">+AS21+AS26-AQ21</f>
        <v>83655.999999991385</v>
      </c>
      <c r="AT35" s="1589">
        <f t="shared" ref="AT35" si="268">+AT21+AT26-AR21</f>
        <v>413127.00000000861</v>
      </c>
      <c r="AU35" s="1589">
        <f t="shared" ref="AU35" si="269">+AU21+AU26-AS21</f>
        <v>233825.99999999581</v>
      </c>
      <c r="AV35" s="1589">
        <f t="shared" ref="AV35" si="270">+AV21+AV26-AT21</f>
        <v>-59022.571719995933</v>
      </c>
      <c r="AW35" s="1589">
        <f t="shared" ref="AW35" si="271">+AW21+AW26-AU21</f>
        <v>72610.999999995809</v>
      </c>
      <c r="AX35" s="1589">
        <f t="shared" ref="AX35" si="272">+AX21+AX26-AV21</f>
        <v>343608.57172000431</v>
      </c>
      <c r="AY35" s="1589">
        <f t="shared" ref="AY35" si="273">+AY21+AY26-AW21</f>
        <v>153064</v>
      </c>
      <c r="AZ35" s="1589">
        <f t="shared" ref="AZ35" si="274">+AZ21+AZ26-AX21</f>
        <v>-119114</v>
      </c>
      <c r="BA35" s="1589">
        <f t="shared" ref="BA35" si="275">+BA21+BA26-AY21</f>
        <v>80231</v>
      </c>
      <c r="BB35" s="1589">
        <f t="shared" ref="BB35" si="276">+BB21+BB26-AZ21</f>
        <v>350399</v>
      </c>
      <c r="BC35" s="1589">
        <f t="shared" ref="BC35" si="277">+BC21+BC26-BA21</f>
        <v>244496</v>
      </c>
      <c r="BD35" s="1589">
        <f t="shared" ref="BD35" si="278">+BD21+BD26-BB21</f>
        <v>97563</v>
      </c>
      <c r="BE35" s="1589">
        <f t="shared" ref="BE35" si="279">+BE21+BE26-BC21</f>
        <v>236076.84315000009</v>
      </c>
      <c r="BF35" s="1589">
        <f t="shared" ref="BF35" si="280">+BF21+BF26-BD21</f>
        <v>489910.62446000008</v>
      </c>
      <c r="BG35" s="1589">
        <f t="shared" ref="BG35" si="281">+BG21+BG26-BE21</f>
        <v>335263.06764999963</v>
      </c>
      <c r="BH35" s="1589">
        <f t="shared" ref="BH35" si="282">+BH33-BH34</f>
        <v>0</v>
      </c>
      <c r="BI35" s="1589">
        <f t="shared" ref="BI35" si="283">+BI33-BI34</f>
        <v>0</v>
      </c>
      <c r="BJ35" s="1589">
        <f t="shared" ref="BJ35" si="284">+BJ33-BJ34</f>
        <v>2249060</v>
      </c>
      <c r="BK35" s="1589">
        <f t="shared" ref="BK35" si="285">+BK33-BK34</f>
        <v>-181524.0764501784</v>
      </c>
      <c r="BL35" s="1589">
        <f t="shared" ref="BL35" si="286">+BL33-BL34</f>
        <v>2303073.3374077231</v>
      </c>
      <c r="BM35" s="1589">
        <f t="shared" ref="BM35" si="287">+BM33-BM34</f>
        <v>2167297.6472926815</v>
      </c>
      <c r="BN35" s="1589">
        <f t="shared" ref="BN35" si="288">+BN33-BN34</f>
        <v>2763043.600420414</v>
      </c>
      <c r="BO35" s="1589">
        <f t="shared" ref="BO35" si="289">+BO33-BO34</f>
        <v>1834011.7079027439</v>
      </c>
      <c r="BP35" s="1589">
        <f t="shared" ref="BP35" si="290">+BP33-BP34</f>
        <v>2190651.3899598094</v>
      </c>
      <c r="BQ35" s="1589">
        <f t="shared" ref="BQ35" si="291">+BQ33-BQ34</f>
        <v>2885323.3960365243</v>
      </c>
      <c r="BR35" s="1589">
        <f t="shared" ref="BR35" si="292">+BR33-BR34</f>
        <v>2568179.9837668231</v>
      </c>
      <c r="BS35" s="1589">
        <f t="shared" ref="BS35" si="293">+BS33-BS34</f>
        <v>1702866.1293953252</v>
      </c>
      <c r="BT35" s="1589">
        <f t="shared" ref="BT35" si="294">+BT33-BT34</f>
        <v>3334038.3324377341</v>
      </c>
      <c r="BU35" s="1589">
        <f t="shared" ref="BU35" si="295">+BU33-BU34</f>
        <v>2644314</v>
      </c>
      <c r="BV35" s="1589">
        <f t="shared" ref="BV35" si="296">+BV33-BV34</f>
        <v>3817515</v>
      </c>
      <c r="BW35" s="1589">
        <f t="shared" ref="BW35" si="297">+BW33-BW34</f>
        <v>2853339</v>
      </c>
      <c r="BX35" s="1589">
        <f t="shared" ref="BX35" si="298">+BX33-BX34</f>
        <v>4316464</v>
      </c>
      <c r="BY35" s="1589">
        <f t="shared" ref="BY35" si="299">+BY33-BY34</f>
        <v>3796040</v>
      </c>
      <c r="BZ35" s="1589">
        <f t="shared" ref="BZ35:CA35" si="300">+BZ33-BZ34</f>
        <v>4789232</v>
      </c>
      <c r="CA35" s="1589">
        <f t="shared" si="300"/>
        <v>3814942</v>
      </c>
      <c r="CB35" s="1589">
        <f t="shared" ref="CB35:CC35" si="301">+CB33-CB34</f>
        <v>4744674</v>
      </c>
      <c r="CC35" s="1589">
        <f t="shared" si="301"/>
        <v>4133457</v>
      </c>
      <c r="CD35" s="1589">
        <f t="shared" ref="CD35:CH35" si="302">+CD33-CD34</f>
        <v>4948311</v>
      </c>
      <c r="CE35" s="1589">
        <f t="shared" si="302"/>
        <v>3773525</v>
      </c>
      <c r="CF35" s="1589">
        <f t="shared" si="302"/>
        <v>4809973.0010086438</v>
      </c>
      <c r="CG35" s="1589">
        <f t="shared" si="302"/>
        <v>4307001.2272394728</v>
      </c>
      <c r="CH35" s="1589">
        <f t="shared" si="302"/>
        <v>4972186.9772467799</v>
      </c>
      <c r="CI35" s="1589">
        <f t="shared" ref="CI35:CL35" si="303">+CI33-CI34</f>
        <v>4068412.6475119051</v>
      </c>
      <c r="CJ35" s="1589">
        <f t="shared" si="303"/>
        <v>5064000.8468862111</v>
      </c>
      <c r="CK35" s="1589">
        <f t="shared" si="303"/>
        <v>4490998.4731200421</v>
      </c>
      <c r="CL35" s="1589">
        <f t="shared" si="303"/>
        <v>5372149.1734490702</v>
      </c>
      <c r="CM35" s="1589">
        <f t="shared" ref="CM35:CP35" si="304">+CM33-CM34</f>
        <v>4493468.3932672068</v>
      </c>
      <c r="CN35" s="1589">
        <f t="shared" si="304"/>
        <v>5615398.8277111258</v>
      </c>
      <c r="CO35" s="1589">
        <f t="shared" si="304"/>
        <v>5034322.2362383259</v>
      </c>
      <c r="CP35" s="1589">
        <f t="shared" si="304"/>
        <v>5764385.8818648048</v>
      </c>
      <c r="CQ35" s="249"/>
      <c r="CR35" s="249"/>
      <c r="CS35" s="1589">
        <v>5244932.4466042267</v>
      </c>
      <c r="CT35" s="1136"/>
      <c r="CU35" s="249"/>
      <c r="CV35" s="249"/>
      <c r="CW35" s="249"/>
      <c r="CX35" s="249"/>
      <c r="CY35" s="249"/>
      <c r="CZ35" s="249"/>
      <c r="DA35" s="249"/>
      <c r="DB35" s="249"/>
      <c r="DC35" s="249"/>
      <c r="DD35" s="249"/>
      <c r="DE35" s="249"/>
      <c r="DF35" s="249"/>
      <c r="DG35" s="249"/>
      <c r="DH35" s="249"/>
      <c r="DI35" s="249"/>
      <c r="DJ35" s="249"/>
      <c r="DK35" s="249"/>
      <c r="DL35" s="249"/>
      <c r="DM35" s="249"/>
      <c r="DN35" s="249"/>
      <c r="DO35" s="249"/>
      <c r="DP35" s="249"/>
      <c r="DQ35" s="249"/>
      <c r="DR35" s="249"/>
      <c r="DS35" s="249"/>
      <c r="DT35" s="249"/>
      <c r="DU35" s="249"/>
      <c r="DV35" s="245"/>
      <c r="DW35" s="245"/>
      <c r="DY35" s="249"/>
      <c r="DZ35" s="249"/>
    </row>
    <row r="36" spans="1:130">
      <c r="A36" s="430"/>
      <c r="B36" s="425"/>
      <c r="C36" s="426"/>
      <c r="D36" s="426"/>
      <c r="E36" s="427"/>
      <c r="F36" s="427"/>
      <c r="G36" s="427"/>
      <c r="H36" s="427"/>
      <c r="I36" s="427"/>
      <c r="J36" s="427"/>
      <c r="K36" s="427"/>
      <c r="L36" s="427"/>
      <c r="M36" s="427"/>
      <c r="N36" s="427"/>
      <c r="O36" s="427"/>
      <c r="P36" s="427"/>
      <c r="Q36" s="427"/>
      <c r="R36" s="427"/>
      <c r="S36" s="427"/>
      <c r="T36" s="427"/>
      <c r="U36" s="427"/>
      <c r="V36" s="427"/>
      <c r="W36" s="427"/>
      <c r="X36" s="427"/>
      <c r="Y36" s="427"/>
      <c r="Z36" s="427"/>
      <c r="AA36" s="427"/>
      <c r="AB36" s="427"/>
      <c r="AC36" s="427"/>
      <c r="AD36" s="428"/>
      <c r="AE36" s="428"/>
      <c r="AF36" s="428"/>
      <c r="AG36" s="428"/>
      <c r="AH36" s="428"/>
      <c r="AI36" s="428"/>
      <c r="AJ36" s="428"/>
      <c r="AK36" s="428"/>
      <c r="AL36" s="428"/>
      <c r="AM36" s="428"/>
      <c r="AN36" s="428"/>
      <c r="AO36" s="428"/>
      <c r="AP36" s="428"/>
      <c r="AQ36" s="238"/>
      <c r="AR36" s="238"/>
      <c r="AS36" s="238"/>
      <c r="AT36" s="238"/>
      <c r="AU36" s="238"/>
      <c r="AV36" s="238"/>
      <c r="AW36" s="238"/>
      <c r="AX36" s="238"/>
      <c r="AY36" s="238"/>
      <c r="AZ36" s="238"/>
      <c r="BA36" s="238"/>
      <c r="BB36" s="238"/>
      <c r="BC36" s="238"/>
      <c r="BD36" s="238"/>
      <c r="BE36" s="238"/>
      <c r="BF36" s="238"/>
      <c r="BG36" s="238"/>
      <c r="BH36" s="238"/>
      <c r="BI36" s="238"/>
      <c r="BJ36" s="1589">
        <f t="shared" ref="BJ36:CK36" si="305">+BJ13</f>
        <v>2595122</v>
      </c>
      <c r="BK36" s="1589">
        <f t="shared" si="305"/>
        <v>1650337</v>
      </c>
      <c r="BL36" s="1589">
        <f t="shared" si="305"/>
        <v>2019374</v>
      </c>
      <c r="BM36" s="1589">
        <f t="shared" si="305"/>
        <v>1931924</v>
      </c>
      <c r="BN36" s="1589">
        <f t="shared" si="305"/>
        <v>2873058</v>
      </c>
      <c r="BO36" s="1589">
        <f t="shared" si="305"/>
        <v>1550180</v>
      </c>
      <c r="BP36" s="1589">
        <f t="shared" si="305"/>
        <v>539636</v>
      </c>
      <c r="BQ36" s="1589">
        <f t="shared" si="305"/>
        <v>1651197</v>
      </c>
      <c r="BR36" s="1589">
        <f t="shared" si="305"/>
        <v>2919558</v>
      </c>
      <c r="BS36" s="1589">
        <f t="shared" si="305"/>
        <v>1364417</v>
      </c>
      <c r="BT36" s="1589">
        <f t="shared" si="305"/>
        <v>2258723</v>
      </c>
      <c r="BU36" s="1589">
        <f t="shared" si="305"/>
        <v>2371924.3700500024</v>
      </c>
      <c r="BV36" s="1589">
        <f t="shared" si="305"/>
        <v>3560662.0335699995</v>
      </c>
      <c r="BW36" s="1589">
        <f t="shared" si="305"/>
        <v>2229665</v>
      </c>
      <c r="BX36" s="1589">
        <f t="shared" si="305"/>
        <v>3175745</v>
      </c>
      <c r="BY36" s="1589">
        <f t="shared" si="305"/>
        <v>2615521</v>
      </c>
      <c r="BZ36" s="1589">
        <f t="shared" si="305"/>
        <v>3554864</v>
      </c>
      <c r="CA36" s="1589">
        <f t="shared" si="305"/>
        <v>2277999</v>
      </c>
      <c r="CB36" s="1589">
        <f t="shared" si="305"/>
        <v>2985304</v>
      </c>
      <c r="CC36" s="1589">
        <f t="shared" si="305"/>
        <v>2636106</v>
      </c>
      <c r="CD36" s="1589">
        <f t="shared" si="305"/>
        <v>3806931</v>
      </c>
      <c r="CE36" s="1589">
        <f t="shared" si="305"/>
        <v>2461296</v>
      </c>
      <c r="CF36" s="1589">
        <f t="shared" si="305"/>
        <v>3079923</v>
      </c>
      <c r="CG36" s="1589">
        <f t="shared" si="305"/>
        <v>2955952</v>
      </c>
      <c r="CH36" s="1589">
        <f t="shared" si="305"/>
        <v>4174779</v>
      </c>
      <c r="CI36" s="1589">
        <f t="shared" si="305"/>
        <v>2756840</v>
      </c>
      <c r="CJ36" s="1589">
        <f t="shared" si="305"/>
        <v>3649669</v>
      </c>
      <c r="CK36" s="1589">
        <f t="shared" si="305"/>
        <v>3079149</v>
      </c>
      <c r="CL36" s="1589">
        <f>+CL13</f>
        <v>4372015.7390090954</v>
      </c>
      <c r="CM36" s="1589">
        <f t="shared" ref="CM36:CP36" si="306">+CM13</f>
        <v>2935811.0941041741</v>
      </c>
      <c r="CN36" s="1589">
        <f t="shared" si="306"/>
        <v>3851396.9565790822</v>
      </c>
      <c r="CO36" s="1589">
        <f t="shared" si="306"/>
        <v>3332428.9985024352</v>
      </c>
      <c r="CP36" s="1589">
        <f t="shared" si="306"/>
        <v>4741143.6357525196</v>
      </c>
      <c r="CQ36" s="249"/>
      <c r="CR36" s="249"/>
      <c r="CS36" s="1589">
        <v>3645088.4820588375</v>
      </c>
      <c r="CT36" s="1133"/>
      <c r="CU36" s="249"/>
      <c r="CV36" s="249"/>
      <c r="CW36" s="249"/>
      <c r="CX36" s="249"/>
      <c r="CY36" s="249"/>
      <c r="CZ36" s="249"/>
      <c r="DA36" s="249"/>
      <c r="DB36" s="249"/>
      <c r="DC36" s="249"/>
      <c r="DD36" s="249"/>
      <c r="DE36" s="249"/>
      <c r="DF36" s="249"/>
      <c r="DG36" s="249"/>
      <c r="DH36" s="249"/>
      <c r="DI36" s="249"/>
      <c r="DJ36" s="249"/>
      <c r="DK36" s="249"/>
      <c r="DL36" s="249"/>
      <c r="DM36" s="249"/>
      <c r="DN36" s="249"/>
      <c r="DO36" s="249"/>
      <c r="DP36" s="249"/>
      <c r="DQ36" s="249"/>
      <c r="DR36" s="249"/>
      <c r="DS36" s="249"/>
      <c r="DT36" s="249"/>
      <c r="DU36" s="249"/>
      <c r="DV36" s="245"/>
      <c r="DW36" s="245"/>
      <c r="DY36" s="249"/>
      <c r="DZ36" s="249"/>
    </row>
    <row r="37" spans="1:130">
      <c r="A37" s="417"/>
      <c r="B37" s="419"/>
      <c r="C37" s="419"/>
      <c r="D37" s="419"/>
      <c r="E37" s="419"/>
      <c r="F37" s="419"/>
      <c r="G37" s="419"/>
      <c r="H37" s="419"/>
      <c r="I37" s="419"/>
      <c r="J37" s="419"/>
      <c r="K37" s="419"/>
      <c r="L37" s="419"/>
      <c r="M37" s="419"/>
      <c r="N37" s="419"/>
      <c r="O37" s="419"/>
      <c r="P37" s="419"/>
      <c r="Q37" s="419"/>
      <c r="R37" s="419"/>
      <c r="S37" s="419"/>
      <c r="T37" s="419"/>
      <c r="U37" s="419"/>
      <c r="V37" s="419"/>
      <c r="W37" s="419"/>
      <c r="X37" s="419"/>
      <c r="Y37" s="419"/>
      <c r="Z37" s="419"/>
      <c r="AA37" s="419"/>
      <c r="AB37" s="419"/>
      <c r="AC37" s="419"/>
      <c r="AD37" s="419"/>
      <c r="AE37" s="419"/>
      <c r="AF37" s="419"/>
      <c r="AG37" s="419"/>
      <c r="AH37" s="419"/>
      <c r="AI37" s="419"/>
      <c r="AJ37" s="419"/>
      <c r="AK37" s="419"/>
      <c r="AL37" s="419"/>
      <c r="AM37" s="419"/>
      <c r="AN37" s="419"/>
      <c r="AO37" s="419"/>
      <c r="AP37" s="419"/>
      <c r="AQ37" s="419"/>
      <c r="AR37" s="419"/>
      <c r="AS37" s="419"/>
      <c r="AT37" s="419"/>
      <c r="AU37" s="419"/>
      <c r="AV37" s="419"/>
      <c r="AW37" s="419"/>
      <c r="AX37" s="419"/>
      <c r="AY37" s="419"/>
      <c r="AZ37" s="419"/>
      <c r="BA37" s="419"/>
      <c r="BB37" s="419"/>
      <c r="BC37" s="419"/>
      <c r="BD37" s="419"/>
      <c r="BE37" s="419"/>
      <c r="BF37" s="419"/>
      <c r="BG37" s="419"/>
      <c r="BH37" s="419"/>
      <c r="BI37" s="419"/>
      <c r="BJ37" s="419"/>
      <c r="BK37" s="419"/>
      <c r="BL37" s="419"/>
      <c r="BM37" s="231"/>
      <c r="BN37" s="231"/>
      <c r="BO37" s="231"/>
      <c r="BP37" s="231"/>
      <c r="BQ37" s="231"/>
      <c r="BR37" s="231"/>
      <c r="BS37" s="231"/>
      <c r="BT37" s="231"/>
      <c r="BU37" s="231"/>
      <c r="BV37" s="231"/>
      <c r="BW37" s="231"/>
      <c r="BX37" s="231"/>
      <c r="BY37" s="231"/>
      <c r="BZ37" s="231"/>
      <c r="CA37" s="231"/>
      <c r="CB37" s="231"/>
      <c r="CC37" s="231"/>
      <c r="CD37" s="231"/>
      <c r="CE37" s="231"/>
      <c r="CF37" s="231"/>
      <c r="CG37" s="231"/>
      <c r="CH37" s="231"/>
      <c r="CI37" s="231"/>
      <c r="CJ37" s="231"/>
      <c r="CK37" s="231"/>
      <c r="CL37" s="231"/>
      <c r="CM37" s="231"/>
      <c r="CN37" s="231"/>
      <c r="CO37" s="231"/>
      <c r="CP37" s="231"/>
      <c r="CQ37" s="231"/>
      <c r="CR37" s="231"/>
      <c r="CS37" s="231"/>
      <c r="CT37" s="1136"/>
      <c r="CU37" s="231"/>
      <c r="CV37" s="231"/>
      <c r="CW37" s="231"/>
      <c r="CX37" s="231"/>
      <c r="CY37" s="231"/>
      <c r="CZ37" s="231"/>
      <c r="DA37" s="231"/>
      <c r="DB37" s="231"/>
      <c r="DC37" s="231"/>
      <c r="DD37" s="231"/>
      <c r="DE37" s="231"/>
      <c r="DF37" s="231"/>
      <c r="DG37" s="231"/>
      <c r="DH37" s="231"/>
      <c r="DI37" s="231"/>
      <c r="DJ37" s="231"/>
      <c r="DK37" s="231"/>
      <c r="DL37" s="231"/>
      <c r="DM37" s="231"/>
      <c r="DN37" s="231"/>
      <c r="DO37" s="231"/>
      <c r="DP37" s="231"/>
      <c r="DQ37" s="231"/>
      <c r="DR37" s="231"/>
      <c r="DS37" s="231"/>
      <c r="DT37" s="231"/>
      <c r="DU37" s="231"/>
      <c r="DV37" s="231"/>
      <c r="DW37" s="231"/>
      <c r="DY37" s="231"/>
      <c r="DZ37" s="231"/>
    </row>
    <row r="38" spans="1:130">
      <c r="A38" s="424" t="s">
        <v>590</v>
      </c>
      <c r="B38" s="425"/>
      <c r="C38" s="426"/>
      <c r="D38" s="426"/>
      <c r="E38" s="428"/>
      <c r="F38" s="426"/>
      <c r="G38" s="425"/>
      <c r="H38" s="425"/>
      <c r="I38" s="425"/>
      <c r="J38" s="425"/>
      <c r="K38" s="428">
        <v>7.1999999999999995E-2</v>
      </c>
      <c r="L38" s="428">
        <v>0.127</v>
      </c>
      <c r="M38" s="428">
        <v>0.14899999999999999</v>
      </c>
      <c r="N38" s="428">
        <v>0.16200000000000001</v>
      </c>
      <c r="O38" s="428">
        <v>0.13200000000000001</v>
      </c>
      <c r="P38" s="428">
        <v>0.13300000000000001</v>
      </c>
      <c r="Q38" s="428">
        <v>0.13600000000000001</v>
      </c>
      <c r="R38" s="428">
        <v>0.158</v>
      </c>
      <c r="S38" s="428">
        <v>0.13600000000000001</v>
      </c>
      <c r="T38" s="428">
        <v>0.159</v>
      </c>
      <c r="U38" s="428">
        <v>0.14799999999999999</v>
      </c>
      <c r="V38" s="428">
        <v>0.11600000000000001</v>
      </c>
      <c r="W38" s="428">
        <v>8.6999999999999994E-2</v>
      </c>
      <c r="X38" s="428">
        <v>0.121</v>
      </c>
      <c r="Y38" s="428">
        <v>0.13</v>
      </c>
      <c r="Z38" s="428">
        <v>0.13300000000000001</v>
      </c>
      <c r="AA38" s="428">
        <v>0.124</v>
      </c>
      <c r="AB38" s="428">
        <v>0.13400000000000001</v>
      </c>
      <c r="AC38" s="428">
        <v>0.13</v>
      </c>
      <c r="AD38" s="428">
        <v>0.13</v>
      </c>
      <c r="AE38" s="428">
        <v>0.121</v>
      </c>
      <c r="AF38" s="428">
        <v>0.122</v>
      </c>
      <c r="AG38" s="428">
        <v>0.11700000000000001</v>
      </c>
      <c r="AH38" s="428">
        <v>0.11799999999999999</v>
      </c>
      <c r="AI38" s="428">
        <v>0.11600000000000001</v>
      </c>
      <c r="AJ38" s="428">
        <v>0.128</v>
      </c>
      <c r="AK38" s="428">
        <v>0.11700000000000001</v>
      </c>
      <c r="AL38" s="428">
        <v>0.115</v>
      </c>
      <c r="AM38" s="428">
        <v>0.11600000000000001</v>
      </c>
      <c r="AN38" s="428">
        <v>0.123</v>
      </c>
      <c r="AO38" s="428">
        <v>0.12</v>
      </c>
      <c r="AP38" s="428">
        <v>0.115</v>
      </c>
      <c r="AQ38" s="631">
        <v>0.106</v>
      </c>
      <c r="AR38" s="631">
        <v>0.113</v>
      </c>
      <c r="AS38" s="631">
        <v>0.109</v>
      </c>
      <c r="AT38" s="631">
        <v>9.9000000000000005E-2</v>
      </c>
      <c r="AU38" s="631">
        <v>9.5000000000000001E-2</v>
      </c>
      <c r="AV38" s="631">
        <v>0.10199999999999999</v>
      </c>
      <c r="AW38" s="631">
        <v>0.10100000000000001</v>
      </c>
      <c r="AX38" s="631">
        <v>9.1999999999999998E-2</v>
      </c>
      <c r="AY38" s="631">
        <v>8.3000000000000004E-2</v>
      </c>
      <c r="AZ38" s="632">
        <v>8.8999999999999996E-2</v>
      </c>
      <c r="BA38" s="632">
        <v>9.0999999999999998E-2</v>
      </c>
      <c r="BB38" s="632">
        <v>8.5145514655094984E-2</v>
      </c>
      <c r="BC38" s="632">
        <v>7.5999999999999998E-2</v>
      </c>
      <c r="BD38" s="632">
        <v>7.3999999999999996E-2</v>
      </c>
      <c r="BE38" s="632">
        <v>7.3999999999999996E-2</v>
      </c>
      <c r="BF38" s="632">
        <v>7.3000000000000009E-2</v>
      </c>
      <c r="BG38" s="632">
        <v>7.0000000000000007E-2</v>
      </c>
      <c r="BH38" s="632">
        <v>7.1099999999999997E-2</v>
      </c>
      <c r="BI38" s="632">
        <v>6.6199999999999995E-2</v>
      </c>
      <c r="BJ38" s="632">
        <v>6.2E-2</v>
      </c>
      <c r="BK38" s="632">
        <v>6.0999999999999999E-2</v>
      </c>
      <c r="BL38" s="632">
        <v>6.8000000000000005E-2</v>
      </c>
      <c r="BM38" s="633">
        <v>6.3E-2</v>
      </c>
      <c r="BN38" s="633">
        <v>5.7000000000000002E-2</v>
      </c>
      <c r="BO38" s="633">
        <v>5.2999999999999999E-2</v>
      </c>
      <c r="BP38" s="633">
        <v>2.9000000000000001E-2</v>
      </c>
      <c r="BQ38" s="633">
        <v>4.1999999999999996E-2</v>
      </c>
      <c r="BR38" s="633">
        <v>3.9E-2</v>
      </c>
      <c r="BS38" s="633">
        <v>3.5000000000000003E-2</v>
      </c>
      <c r="BT38" s="633">
        <v>0.04</v>
      </c>
      <c r="BU38" s="633">
        <v>4.2000000000000003E-2</v>
      </c>
      <c r="BV38" s="633">
        <v>3.7999999999999999E-2</v>
      </c>
      <c r="BW38" s="633">
        <v>2.3491283225690805E-2</v>
      </c>
      <c r="BX38" s="633">
        <v>2.1469514990738035E-2</v>
      </c>
      <c r="BY38" s="633">
        <v>1.6043354552486754E-2</v>
      </c>
      <c r="BZ38" s="633">
        <v>1.6E-2</v>
      </c>
      <c r="CA38" s="633">
        <v>1.1232304549729351E-2</v>
      </c>
      <c r="CB38" s="633">
        <v>9.803492169410918E-3</v>
      </c>
      <c r="CC38" s="633">
        <v>1.580660348145585E-2</v>
      </c>
      <c r="CD38" s="633">
        <v>1.6435052462638711E-2</v>
      </c>
      <c r="CE38" s="633">
        <v>1.9024409681009255E-2</v>
      </c>
      <c r="CF38" s="633">
        <v>2.0826849533360652E-2</v>
      </c>
      <c r="CG38" s="633">
        <v>1.9337112131299926E-2</v>
      </c>
      <c r="CH38" s="633">
        <v>1.6098316945462109E-2</v>
      </c>
      <c r="CI38" s="633">
        <v>1.7712548067572605E-2</v>
      </c>
      <c r="CJ38" s="633">
        <v>1.9E-2</v>
      </c>
      <c r="CK38" s="633">
        <v>1.8355257274760537E-2</v>
      </c>
      <c r="CL38" s="248">
        <f t="shared" ref="CL38" si="307">+CK38</f>
        <v>1.8355257274760537E-2</v>
      </c>
      <c r="CM38" s="248">
        <f t="shared" ref="CM38" si="308">+CL38</f>
        <v>1.8355257274760537E-2</v>
      </c>
      <c r="CN38" s="248">
        <f t="shared" ref="CN38" si="309">+CM38</f>
        <v>1.8355257274760537E-2</v>
      </c>
      <c r="CO38" s="248">
        <f t="shared" ref="CO38" si="310">+CN38</f>
        <v>1.8355257274760537E-2</v>
      </c>
      <c r="CP38" s="248">
        <f t="shared" ref="CP38" si="311">+CO38</f>
        <v>1.8355257274760537E-2</v>
      </c>
      <c r="CQ38" s="248"/>
      <c r="CR38" s="248"/>
      <c r="CS38" s="248">
        <v>1.7712548067572605E-2</v>
      </c>
      <c r="CT38" s="1133"/>
      <c r="CU38" s="247" t="e">
        <f>CU40/#REF!</f>
        <v>#REF!</v>
      </c>
      <c r="CV38" s="247" t="e">
        <f>CV40/#REF!</f>
        <v>#REF!</v>
      </c>
      <c r="CW38" s="247">
        <f>+AVERAGE(K38:N38)</f>
        <v>0.1275</v>
      </c>
      <c r="CX38" s="247">
        <f>+AVERAGE(O38:R38)</f>
        <v>0.13975000000000001</v>
      </c>
      <c r="CY38" s="247">
        <f>+AVERAGE(S38:V38)</f>
        <v>0.13975000000000001</v>
      </c>
      <c r="CZ38" s="247">
        <f>+AVERAGE(W38:Z38)</f>
        <v>0.11774999999999999</v>
      </c>
      <c r="DA38" s="247">
        <f>+AVERAGE(AA38:AD38)</f>
        <v>0.1295</v>
      </c>
      <c r="DB38" s="247">
        <f>+AVERAGE(AE38:AH38)</f>
        <v>0.1195</v>
      </c>
      <c r="DC38" s="247">
        <f>+AVERAGE(AI38:AL38)</f>
        <v>0.11899999999999999</v>
      </c>
      <c r="DD38" s="247">
        <f>+AVERAGE(AM38:AP38)</f>
        <v>0.11849999999999999</v>
      </c>
      <c r="DE38" s="247">
        <f t="shared" ref="DE38:DN38" si="312">+DE41/DE13</f>
        <v>0.10583436263896272</v>
      </c>
      <c r="DF38" s="247">
        <f t="shared" si="312"/>
        <v>9.710199689883342E-2</v>
      </c>
      <c r="DG38" s="247">
        <f t="shared" si="312"/>
        <v>8.7018335182503098E-2</v>
      </c>
      <c r="DH38" s="247">
        <f t="shared" si="312"/>
        <v>7.4037425798169201E-2</v>
      </c>
      <c r="DI38" s="247">
        <f t="shared" si="312"/>
        <v>6.6619234491845702E-2</v>
      </c>
      <c r="DJ38" s="247">
        <f t="shared" si="312"/>
        <v>6.1767843035730026E-2</v>
      </c>
      <c r="DK38" s="247">
        <f t="shared" si="312"/>
        <v>4.2191881146526319E-2</v>
      </c>
      <c r="DL38" s="247">
        <f t="shared" si="312"/>
        <v>3.9037272527648458E-2</v>
      </c>
      <c r="DM38" s="247">
        <f t="shared" si="312"/>
        <v>1.8953251300679215E-2</v>
      </c>
      <c r="DN38" s="247">
        <f t="shared" si="312"/>
        <v>1.358995005296466E-2</v>
      </c>
      <c r="DO38" s="247">
        <f t="shared" ref="DO38:DP38" si="313">+DO41/DO13</f>
        <v>1.8571434320966047E-2</v>
      </c>
      <c r="DP38" s="247">
        <f t="shared" si="313"/>
        <v>1.8397201622526626E-2</v>
      </c>
      <c r="DQ38" s="247">
        <f t="shared" ref="DQ38" si="314">+DQ41/DQ13</f>
        <v>1.8355257274760537E-2</v>
      </c>
      <c r="DR38" s="246">
        <f>+DQ38+0.3%</f>
        <v>2.1355257274760536E-2</v>
      </c>
      <c r="DS38" s="246">
        <f t="shared" ref="DS38:DU38" si="315">+DR38+0.3%</f>
        <v>2.4355257274760535E-2</v>
      </c>
      <c r="DT38" s="246">
        <f t="shared" si="315"/>
        <v>2.7355257274760535E-2</v>
      </c>
      <c r="DU38" s="246">
        <f t="shared" si="315"/>
        <v>3.0355257274760534E-2</v>
      </c>
      <c r="DV38" s="245"/>
      <c r="DW38" s="245"/>
      <c r="DY38" s="246">
        <v>2.3468849625572597E-2</v>
      </c>
      <c r="DZ38" s="246">
        <v>2.6468849625572596E-2</v>
      </c>
    </row>
    <row r="39" spans="1:130">
      <c r="A39" s="430" t="s">
        <v>591</v>
      </c>
      <c r="B39" s="431"/>
      <c r="C39" s="432"/>
      <c r="D39" s="432"/>
      <c r="E39" s="433"/>
      <c r="F39" s="432"/>
      <c r="G39" s="431"/>
      <c r="H39" s="431"/>
      <c r="I39" s="431"/>
      <c r="J39" s="431"/>
      <c r="K39" s="433">
        <v>0.10212765957446808</v>
      </c>
      <c r="L39" s="433">
        <v>0.17445054945054944</v>
      </c>
      <c r="M39" s="433">
        <v>0.20580110497237569</v>
      </c>
      <c r="N39" s="433">
        <v>0.23175965665236054</v>
      </c>
      <c r="O39" s="433">
        <v>0.19849624060150375</v>
      </c>
      <c r="P39" s="433">
        <v>0.1927536231884058</v>
      </c>
      <c r="Q39" s="433">
        <v>0.20058997050147492</v>
      </c>
      <c r="R39" s="433">
        <v>0.24048706240487064</v>
      </c>
      <c r="S39" s="433">
        <v>0.2186495176848875</v>
      </c>
      <c r="T39" s="433">
        <v>0.24613003095975231</v>
      </c>
      <c r="U39" s="433">
        <v>0.23270440251572325</v>
      </c>
      <c r="V39" s="433">
        <v>0.18739903069466884</v>
      </c>
      <c r="W39" s="433">
        <v>0.14671163575042159</v>
      </c>
      <c r="X39" s="433">
        <v>0.19674796747967477</v>
      </c>
      <c r="Y39" s="433">
        <v>0.21452145214521454</v>
      </c>
      <c r="Z39" s="433">
        <v>0.22315436241610739</v>
      </c>
      <c r="AA39" s="433">
        <v>0.22182468694096599</v>
      </c>
      <c r="AB39" s="433">
        <v>0.23183391003460208</v>
      </c>
      <c r="AC39" s="433">
        <v>0.22807017543859648</v>
      </c>
      <c r="AD39" s="433">
        <v>0.23255813953488372</v>
      </c>
      <c r="AE39" s="433">
        <v>0.22448979591836735</v>
      </c>
      <c r="AF39" s="433">
        <v>0.22101449275362317</v>
      </c>
      <c r="AG39" s="433">
        <v>0.2115732368896926</v>
      </c>
      <c r="AH39" s="433">
        <v>0.21771217712177121</v>
      </c>
      <c r="AI39" s="433">
        <v>0.2265625</v>
      </c>
      <c r="AJ39" s="433">
        <v>0.24150943396226413</v>
      </c>
      <c r="AK39" s="433">
        <v>0.22117202268430999</v>
      </c>
      <c r="AL39" s="433">
        <v>0.22157996146435452</v>
      </c>
      <c r="AM39" s="433">
        <v>0.23246492985971948</v>
      </c>
      <c r="AN39" s="433">
        <v>0.23518164435946465</v>
      </c>
      <c r="AO39" s="433">
        <v>0.22900763358778625</v>
      </c>
      <c r="AP39" s="433">
        <v>0.22682445759368838</v>
      </c>
      <c r="AQ39" s="433">
        <f t="shared" ref="AQ39:CD39" si="316">AQ40/AQ10</f>
        <v>0.21632653061224486</v>
      </c>
      <c r="AR39" s="433">
        <f t="shared" si="316"/>
        <v>0.22156862745098038</v>
      </c>
      <c r="AS39" s="433">
        <f t="shared" si="316"/>
        <v>0.21626984126984128</v>
      </c>
      <c r="AT39" s="433">
        <f t="shared" si="316"/>
        <v>0.20454545454545456</v>
      </c>
      <c r="AU39" s="433">
        <f t="shared" si="316"/>
        <v>0.19916142557651992</v>
      </c>
      <c r="AV39" s="433">
        <f t="shared" si="316"/>
        <v>0.20399999999999996</v>
      </c>
      <c r="AW39" s="433">
        <f t="shared" si="316"/>
        <v>0.2028112449799197</v>
      </c>
      <c r="AX39" s="433">
        <f t="shared" si="316"/>
        <v>0.1920668058455115</v>
      </c>
      <c r="AY39" s="433">
        <f t="shared" si="316"/>
        <v>0.17811158798283261</v>
      </c>
      <c r="AZ39" s="433">
        <f t="shared" si="316"/>
        <v>0.17943548387096775</v>
      </c>
      <c r="BA39" s="433">
        <f t="shared" si="316"/>
        <v>0.18383838383838383</v>
      </c>
      <c r="BB39" s="433">
        <f t="shared" si="316"/>
        <v>0.17992870780759504</v>
      </c>
      <c r="BC39" s="433">
        <f t="shared" si="316"/>
        <v>0.16926503340757237</v>
      </c>
      <c r="BD39" s="433">
        <f t="shared" si="316"/>
        <v>0.16017316017316019</v>
      </c>
      <c r="BE39" s="433">
        <f t="shared" si="316"/>
        <v>0.16192560175054704</v>
      </c>
      <c r="BF39" s="433">
        <f t="shared" si="316"/>
        <v>0.16441441441441446</v>
      </c>
      <c r="BG39" s="433">
        <f t="shared" si="316"/>
        <v>0.1631701631701632</v>
      </c>
      <c r="BH39" s="433">
        <f t="shared" si="316"/>
        <v>0.15636683527600614</v>
      </c>
      <c r="BI39" s="433">
        <f t="shared" si="316"/>
        <v>0.14636303338492151</v>
      </c>
      <c r="BJ39" s="433">
        <f t="shared" si="316"/>
        <v>0.1422018348623853</v>
      </c>
      <c r="BK39" s="433">
        <f t="shared" si="316"/>
        <v>0.14558472553699284</v>
      </c>
      <c r="BL39" s="433">
        <f t="shared" si="316"/>
        <v>0.1517857142857143</v>
      </c>
      <c r="BM39" s="433">
        <f t="shared" si="316"/>
        <v>0.14189189189189189</v>
      </c>
      <c r="BN39" s="433">
        <f t="shared" si="316"/>
        <v>0.1313364055299539</v>
      </c>
      <c r="BO39" s="433">
        <f t="shared" si="316"/>
        <v>0.12709832134292565</v>
      </c>
      <c r="BP39" s="433">
        <f t="shared" si="316"/>
        <v>5.8823529411764705E-2</v>
      </c>
      <c r="BQ39" s="433">
        <f t="shared" si="316"/>
        <v>0.10294117647058823</v>
      </c>
      <c r="BR39" s="433">
        <f t="shared" si="316"/>
        <v>9.7256857855361617E-2</v>
      </c>
      <c r="BS39" s="433">
        <f t="shared" si="316"/>
        <v>9.7493036211699177E-2</v>
      </c>
      <c r="BT39" s="433">
        <f t="shared" si="316"/>
        <v>0.10526315789473684</v>
      </c>
      <c r="BU39" s="433">
        <f t="shared" si="316"/>
        <v>0.11666666666666665</v>
      </c>
      <c r="BV39" s="433">
        <f t="shared" si="316"/>
        <v>0.10382513661202186</v>
      </c>
      <c r="BW39" s="433">
        <f t="shared" si="316"/>
        <v>6.7607849827309274E-2</v>
      </c>
      <c r="BX39" s="433">
        <f t="shared" si="316"/>
        <v>6.1119790048248961E-2</v>
      </c>
      <c r="BY39" s="433">
        <f>BY40/BY10</f>
        <v>4.6737045646397406E-2</v>
      </c>
      <c r="BZ39" s="433">
        <f>BZ40/BZ10</f>
        <v>4.6647230320699701E-2</v>
      </c>
      <c r="CA39" s="433">
        <f>CA40/CA10</f>
        <v>3.7309978659293724E-2</v>
      </c>
      <c r="CB39" s="433">
        <f t="shared" si="316"/>
        <v>3.2086875138308026E-2</v>
      </c>
      <c r="CC39" s="433">
        <f t="shared" ref="CC39" si="317">CC40/CC10</f>
        <v>5.4506575356355051E-2</v>
      </c>
      <c r="CD39" s="433">
        <f t="shared" si="316"/>
        <v>5.7370762615533435E-2</v>
      </c>
      <c r="CE39" s="433">
        <f t="shared" ref="CE39:CH39" si="318">CE40/CE10</f>
        <v>6.6527904103131058E-2</v>
      </c>
      <c r="CF39" s="433">
        <f t="shared" ref="CF39:CG39" si="319">CF40/CF10</f>
        <v>6.8497697967939947E-2</v>
      </c>
      <c r="CG39" s="433">
        <f t="shared" si="319"/>
        <v>6.3670016190408268E-2</v>
      </c>
      <c r="CH39" s="433">
        <f t="shared" si="318"/>
        <v>5.5367435547153197E-2</v>
      </c>
      <c r="CI39" s="433">
        <f t="shared" ref="CI39:CL39" si="320">CI40/CI10</f>
        <v>6.3907099240722742E-2</v>
      </c>
      <c r="CJ39" s="433">
        <f t="shared" si="320"/>
        <v>6.6433566433566432E-2</v>
      </c>
      <c r="CK39" s="433">
        <f t="shared" si="320"/>
        <v>6.5120077547899877E-2</v>
      </c>
      <c r="CL39" s="433">
        <f t="shared" si="320"/>
        <v>6.1749143844890664E-2</v>
      </c>
      <c r="CM39" s="433">
        <f t="shared" ref="CM39:CP39" si="321">CM40/CM10</f>
        <v>5.9739442022970539E-2</v>
      </c>
      <c r="CN39" s="433">
        <f t="shared" si="321"/>
        <v>5.7856433254250737E-2</v>
      </c>
      <c r="CO39" s="433">
        <f t="shared" si="321"/>
        <v>5.6088503388674923E-2</v>
      </c>
      <c r="CP39" s="433">
        <f t="shared" si="321"/>
        <v>5.4425415766975613E-2</v>
      </c>
      <c r="CQ39" s="433"/>
      <c r="CR39" s="242"/>
      <c r="CS39" s="433">
        <v>6.1681618578763052E-2</v>
      </c>
      <c r="CT39" s="1133"/>
      <c r="CU39" s="244" t="e">
        <f t="shared" ref="CU39:DR39" si="322">CU40/CU10</f>
        <v>#DIV/0!</v>
      </c>
      <c r="CV39" s="244">
        <f t="shared" si="322"/>
        <v>0</v>
      </c>
      <c r="CW39" s="244">
        <f t="shared" si="322"/>
        <v>0.18931315889698078</v>
      </c>
      <c r="CX39" s="244">
        <f t="shared" si="322"/>
        <v>0.21174735307742429</v>
      </c>
      <c r="CY39" s="244">
        <f t="shared" si="322"/>
        <v>0.21956872698522964</v>
      </c>
      <c r="CZ39" s="244">
        <f t="shared" si="322"/>
        <v>0.2013331432138189</v>
      </c>
      <c r="DA39" s="244">
        <f t="shared" si="322"/>
        <v>0.22945034489364238</v>
      </c>
      <c r="DB39" s="244">
        <f t="shared" si="322"/>
        <v>0.21836062204957163</v>
      </c>
      <c r="DC39" s="244">
        <f t="shared" si="322"/>
        <v>0.2273485231453187</v>
      </c>
      <c r="DD39" s="244">
        <f t="shared" si="322"/>
        <v>0.23041970126870381</v>
      </c>
      <c r="DE39" s="244">
        <f t="shared" si="322"/>
        <v>0.21346762258699195</v>
      </c>
      <c r="DF39" s="244">
        <f t="shared" si="322"/>
        <v>0.19889887969390455</v>
      </c>
      <c r="DG39" s="244">
        <f t="shared" si="322"/>
        <v>0.18035240418003834</v>
      </c>
      <c r="DH39" s="244">
        <f t="shared" si="322"/>
        <v>0.16367047313225094</v>
      </c>
      <c r="DI39" s="244">
        <f t="shared" si="322"/>
        <v>0.15047826441643208</v>
      </c>
      <c r="DJ39" s="244">
        <f t="shared" si="322"/>
        <v>0.14144536599702887</v>
      </c>
      <c r="DK39" s="244">
        <f t="shared" si="322"/>
        <v>0.10197826746362469</v>
      </c>
      <c r="DL39" s="244">
        <f t="shared" si="322"/>
        <v>0.10642012865208313</v>
      </c>
      <c r="DM39" s="244">
        <f t="shared" si="322"/>
        <v>5.474730850437156E-2</v>
      </c>
      <c r="DN39" s="244">
        <f t="shared" si="322"/>
        <v>4.6110602457572779E-2</v>
      </c>
      <c r="DO39" s="244">
        <f t="shared" ref="DO39:DP39" si="323">DO40/DO10</f>
        <v>6.2722003337297799E-2</v>
      </c>
      <c r="DP39" s="244">
        <f t="shared" si="323"/>
        <v>6.4126524287336478E-2</v>
      </c>
      <c r="DQ39" s="244">
        <f t="shared" ref="DQ39" si="324">DQ40/DQ10</f>
        <v>5.6668874533662726E-2</v>
      </c>
      <c r="DR39" s="244">
        <f t="shared" si="322"/>
        <v>0.14519754415625793</v>
      </c>
      <c r="DS39" s="244">
        <f t="shared" ref="DS39:DU39" si="325">DS40/DS10</f>
        <v>0.14144637225995385</v>
      </c>
      <c r="DT39" s="244">
        <f t="shared" si="325"/>
        <v>0.1381302844539925</v>
      </c>
      <c r="DU39" s="244">
        <f t="shared" si="325"/>
        <v>0.12704989680451559</v>
      </c>
      <c r="DV39" s="237"/>
      <c r="DW39" s="237"/>
      <c r="DY39" s="244">
        <v>0.14707470948662499</v>
      </c>
      <c r="DZ39" s="244">
        <v>0.14626059811907724</v>
      </c>
    </row>
    <row r="40" spans="1:130">
      <c r="A40" s="414" t="s">
        <v>168</v>
      </c>
      <c r="B40" s="415"/>
      <c r="C40" s="416"/>
      <c r="D40" s="416"/>
      <c r="E40" s="434"/>
      <c r="F40" s="416"/>
      <c r="G40" s="416"/>
      <c r="H40" s="416"/>
      <c r="I40" s="434"/>
      <c r="J40" s="416"/>
      <c r="K40" s="435">
        <v>23944.679999999997</v>
      </c>
      <c r="L40" s="435">
        <v>61737.366999999998</v>
      </c>
      <c r="M40" s="435">
        <v>64327.173999999999</v>
      </c>
      <c r="N40" s="435">
        <v>112190.508</v>
      </c>
      <c r="O40" s="435">
        <v>54263.484000000004</v>
      </c>
      <c r="P40" s="435">
        <v>80187.03</v>
      </c>
      <c r="Q40" s="435">
        <v>72323.984000000011</v>
      </c>
      <c r="R40" s="435">
        <v>130092.776</v>
      </c>
      <c r="S40" s="435">
        <v>68887.400000000009</v>
      </c>
      <c r="T40" s="435">
        <v>109261.461</v>
      </c>
      <c r="U40" s="435">
        <v>88091.375999999989</v>
      </c>
      <c r="V40" s="435">
        <v>95966.452000000005</v>
      </c>
      <c r="W40" s="435">
        <v>41555.201999999997</v>
      </c>
      <c r="X40" s="435">
        <v>89768.084999999992</v>
      </c>
      <c r="Y40" s="435">
        <v>84016.790000000008</v>
      </c>
      <c r="Z40" s="435">
        <v>126788.76700000001</v>
      </c>
      <c r="AA40" s="435">
        <v>71847.831999999995</v>
      </c>
      <c r="AB40" s="435">
        <v>112898.618</v>
      </c>
      <c r="AC40" s="435">
        <v>98210.06</v>
      </c>
      <c r="AD40" s="435">
        <v>142438.49827891096</v>
      </c>
      <c r="AE40" s="435">
        <v>83186.205208018291</v>
      </c>
      <c r="AF40" s="435">
        <v>121724.72737777722</v>
      </c>
      <c r="AG40" s="435">
        <v>102197.12840716861</v>
      </c>
      <c r="AH40" s="435">
        <v>152528.34268830789</v>
      </c>
      <c r="AI40" s="435">
        <v>95491.127168922161</v>
      </c>
      <c r="AJ40" s="435">
        <v>145566.02078684143</v>
      </c>
      <c r="AK40" s="435">
        <v>124953.95000114535</v>
      </c>
      <c r="AL40" s="435">
        <v>181091.04833289105</v>
      </c>
      <c r="AM40" s="435">
        <v>112087.79049785349</v>
      </c>
      <c r="AN40" s="435">
        <v>154912.96716033533</v>
      </c>
      <c r="AO40" s="435">
        <v>144701.90249577499</v>
      </c>
      <c r="AP40" s="435">
        <v>203817.85317763913</v>
      </c>
      <c r="AQ40" s="435">
        <f t="shared" ref="AQ40:CD40" si="326">AQ38*AQ4</f>
        <v>114798.33539130568</v>
      </c>
      <c r="AR40" s="435">
        <f t="shared" si="326"/>
        <v>166955.55297634288</v>
      </c>
      <c r="AS40" s="435">
        <f t="shared" si="326"/>
        <v>151753.85873811532</v>
      </c>
      <c r="AT40" s="435">
        <f t="shared" si="326"/>
        <v>219801.80343492128</v>
      </c>
      <c r="AU40" s="435">
        <f t="shared" si="326"/>
        <v>127690.78976232863</v>
      </c>
      <c r="AV40" s="435">
        <f t="shared" si="326"/>
        <v>183662.79624274504</v>
      </c>
      <c r="AW40" s="435">
        <f t="shared" si="326"/>
        <v>167645.75275891309</v>
      </c>
      <c r="AX40" s="435">
        <f t="shared" si="326"/>
        <v>224757.03549014797</v>
      </c>
      <c r="AY40" s="435">
        <f t="shared" si="326"/>
        <v>118762.65302761494</v>
      </c>
      <c r="AZ40" s="435">
        <f t="shared" si="326"/>
        <v>173326.47094690555</v>
      </c>
      <c r="BA40" s="435">
        <f t="shared" si="326"/>
        <v>152505.57722898221</v>
      </c>
      <c r="BB40" s="435">
        <f t="shared" si="326"/>
        <v>217423.64054719344</v>
      </c>
      <c r="BC40" s="435">
        <f t="shared" si="326"/>
        <v>124677.54399999999</v>
      </c>
      <c r="BD40" s="435">
        <f t="shared" si="326"/>
        <v>158784.242</v>
      </c>
      <c r="BE40" s="435">
        <f t="shared" si="326"/>
        <v>146713.88</v>
      </c>
      <c r="BF40" s="435">
        <f t="shared" si="326"/>
        <v>213073.78700000004</v>
      </c>
      <c r="BG40" s="435">
        <f t="shared" si="326"/>
        <v>127656.06000000001</v>
      </c>
      <c r="BH40" s="435">
        <f t="shared" si="326"/>
        <v>165580.27782904796</v>
      </c>
      <c r="BI40" s="435">
        <f t="shared" si="326"/>
        <v>147903.90759999998</v>
      </c>
      <c r="BJ40" s="435">
        <f t="shared" si="326"/>
        <v>224343.28</v>
      </c>
      <c r="BK40" s="435">
        <f t="shared" si="326"/>
        <v>139999.94099999999</v>
      </c>
      <c r="BL40" s="435">
        <f t="shared" si="326"/>
        <v>190921.76400000002</v>
      </c>
      <c r="BM40" s="435">
        <f t="shared" si="326"/>
        <v>168821.28899999999</v>
      </c>
      <c r="BN40" s="435">
        <f t="shared" si="326"/>
        <v>227532.144</v>
      </c>
      <c r="BO40" s="435">
        <f t="shared" si="326"/>
        <v>113848.02799999999</v>
      </c>
      <c r="BP40" s="435">
        <f t="shared" si="326"/>
        <v>21665.175000000003</v>
      </c>
      <c r="BQ40" s="435">
        <f t="shared" si="326"/>
        <v>100239.048</v>
      </c>
      <c r="BR40" s="435">
        <f t="shared" si="326"/>
        <v>160936.46400000001</v>
      </c>
      <c r="BS40" s="435">
        <f t="shared" si="326"/>
        <v>67165.350000000006</v>
      </c>
      <c r="BT40" s="435">
        <f t="shared" si="326"/>
        <v>126052</v>
      </c>
      <c r="BU40" s="435">
        <f t="shared" si="326"/>
        <v>138257.826</v>
      </c>
      <c r="BV40" s="435">
        <f t="shared" si="326"/>
        <v>187540.79199999999</v>
      </c>
      <c r="BW40" s="435">
        <f t="shared" si="326"/>
        <v>72111.967330249507</v>
      </c>
      <c r="BX40" s="435">
        <f t="shared" si="326"/>
        <v>94312.766847848397</v>
      </c>
      <c r="BY40" s="435">
        <f>BY38*BY4</f>
        <v>57576.66355499185</v>
      </c>
      <c r="BZ40" s="435">
        <f>BZ38*BZ4</f>
        <v>78530.975999999995</v>
      </c>
      <c r="CA40" s="435">
        <f>CA38*CA4</f>
        <v>35541.505166953706</v>
      </c>
      <c r="CB40" s="435">
        <f t="shared" si="326"/>
        <v>40883.709267429906</v>
      </c>
      <c r="CC40" s="435">
        <f t="shared" ref="CC40" si="327">CC38*CC4</f>
        <v>58057.970719456964</v>
      </c>
      <c r="CD40" s="435">
        <f t="shared" si="326"/>
        <v>94992.203716392207</v>
      </c>
      <c r="CE40" s="435">
        <f t="shared" ref="CE40:CH40" si="328">CE38*CE4</f>
        <v>60427.080274512249</v>
      </c>
      <c r="CF40" s="435">
        <f t="shared" ref="CF40:CG40" si="329">CF38*CF4</f>
        <v>83534.952291444104</v>
      </c>
      <c r="CG40" s="435">
        <f t="shared" si="329"/>
        <v>74363.165817257483</v>
      </c>
      <c r="CH40" s="435">
        <f t="shared" si="328"/>
        <v>87614.768009338615</v>
      </c>
      <c r="CI40" s="435">
        <f t="shared" ref="CI40:CL40" si="330">CI38*CI4</f>
        <v>63533.174088672313</v>
      </c>
      <c r="CJ40" s="435">
        <f t="shared" si="330"/>
        <v>91000.804000000004</v>
      </c>
      <c r="CK40" s="435">
        <f t="shared" si="330"/>
        <v>73914.143085728589</v>
      </c>
      <c r="CL40" s="435">
        <f t="shared" si="330"/>
        <v>105130.51725435458</v>
      </c>
      <c r="CM40" s="435">
        <f t="shared" ref="CM40:CP40" si="331">CM38*CM4</f>
        <v>70534.226522737998</v>
      </c>
      <c r="CN40" s="435">
        <f t="shared" si="331"/>
        <v>92571.581872117444</v>
      </c>
      <c r="CO40" s="435">
        <f t="shared" si="331"/>
        <v>80080.448433540078</v>
      </c>
      <c r="CP40" s="435">
        <f t="shared" si="331"/>
        <v>113945.08769892788</v>
      </c>
      <c r="CQ40" s="435"/>
      <c r="CR40" s="240"/>
      <c r="CS40" s="435">
        <v>84086.167171045367</v>
      </c>
      <c r="CT40" s="1133"/>
      <c r="CU40" s="234">
        <f>SUM(C40:F40)</f>
        <v>0</v>
      </c>
      <c r="CV40" s="234">
        <f>SUM(G40:J40)</f>
        <v>0</v>
      </c>
      <c r="CW40" s="240">
        <f>SUM(K40:N40)</f>
        <v>262199.72899999999</v>
      </c>
      <c r="CX40" s="240">
        <f>SUM(O40:R40)</f>
        <v>336867.27400000003</v>
      </c>
      <c r="CY40" s="240">
        <f>SUM(S40:V40)</f>
        <v>362206.68899999995</v>
      </c>
      <c r="CZ40" s="240">
        <f>SUM(W40:Z40)</f>
        <v>342128.84399999998</v>
      </c>
      <c r="DA40" s="240">
        <f>SUM(AA40:AD40)</f>
        <v>425395.008278911</v>
      </c>
      <c r="DB40" s="240">
        <f>SUM(AE40:AH40)</f>
        <v>459636.40368127206</v>
      </c>
      <c r="DC40" s="240">
        <f>+SUM(AI40:AL40)</f>
        <v>547102.14628979994</v>
      </c>
      <c r="DD40" s="240">
        <f>+SUM(AM40:AP40)</f>
        <v>615520.51333160303</v>
      </c>
      <c r="DE40" s="435">
        <f t="shared" ref="DE40:DN40" si="332">DE38*DE4</f>
        <v>653309.53104569169</v>
      </c>
      <c r="DF40" s="435">
        <f t="shared" si="332"/>
        <v>703756.3763484105</v>
      </c>
      <c r="DG40" s="435">
        <f t="shared" si="332"/>
        <v>662018.34266377601</v>
      </c>
      <c r="DH40" s="435">
        <f t="shared" si="332"/>
        <v>643212.42683427746</v>
      </c>
      <c r="DI40" s="435">
        <f t="shared" si="332"/>
        <v>666534.27064969914</v>
      </c>
      <c r="DJ40" s="435">
        <f t="shared" si="332"/>
        <v>727269.96409560123</v>
      </c>
      <c r="DK40" s="435">
        <f t="shared" si="332"/>
        <v>396956.87101442495</v>
      </c>
      <c r="DL40" s="435">
        <f t="shared" si="332"/>
        <v>519096.0624609614</v>
      </c>
      <c r="DM40" s="435">
        <f t="shared" si="332"/>
        <v>302486.40422457649</v>
      </c>
      <c r="DN40" s="435">
        <f t="shared" si="332"/>
        <v>228140.15854828985</v>
      </c>
      <c r="DO40" s="435">
        <f t="shared" ref="DO40:DP40" si="333">DO38*DO4</f>
        <v>305970.26758259535</v>
      </c>
      <c r="DP40" s="435">
        <f t="shared" si="333"/>
        <v>333556.45342362387</v>
      </c>
      <c r="DQ40" s="435">
        <f t="shared" ref="DQ40" si="334">DQ38*DQ4</f>
        <v>357131.34452732338</v>
      </c>
      <c r="DR40" s="240">
        <f>+SUM(BJ40:BM40)</f>
        <v>724086.27400000009</v>
      </c>
      <c r="DS40" s="240">
        <f>+SUM(BK40:BN40)</f>
        <v>727275.13800000004</v>
      </c>
      <c r="DT40" s="240">
        <f>+SUM(BL40:BO40)</f>
        <v>701123.22500000009</v>
      </c>
      <c r="DU40" s="240">
        <f>+SUM(BM40:BP40)</f>
        <v>531866.63599999994</v>
      </c>
      <c r="DV40" s="233"/>
      <c r="DW40" s="233"/>
      <c r="DY40" s="240">
        <v>677827.40642904793</v>
      </c>
      <c r="DZ40" s="240">
        <v>703168.8925999999</v>
      </c>
    </row>
    <row r="41" spans="1:130">
      <c r="A41" s="414" t="s">
        <v>90</v>
      </c>
      <c r="B41" s="415"/>
      <c r="C41" s="416"/>
      <c r="D41" s="416"/>
      <c r="E41" s="434"/>
      <c r="F41" s="416"/>
      <c r="G41" s="416"/>
      <c r="H41" s="416"/>
      <c r="I41" s="434"/>
      <c r="J41" s="416"/>
      <c r="K41" s="435">
        <v>18359.806147829629</v>
      </c>
      <c r="L41" s="435">
        <v>46231.374991754325</v>
      </c>
      <c r="M41" s="435">
        <v>48770.047799636748</v>
      </c>
      <c r="N41" s="435">
        <v>83250.26970974484</v>
      </c>
      <c r="O41" s="435">
        <v>41879.295854871198</v>
      </c>
      <c r="P41" s="435">
        <v>60378.003693955849</v>
      </c>
      <c r="Q41" s="435">
        <v>55069.00068561708</v>
      </c>
      <c r="R41" s="435">
        <v>96666.676485517513</v>
      </c>
      <c r="S41" s="435">
        <v>53311.418766387978</v>
      </c>
      <c r="T41" s="435">
        <v>82829.126040173796</v>
      </c>
      <c r="U41" s="435">
        <v>68154.22838128118</v>
      </c>
      <c r="V41" s="435">
        <v>72601.308022802797</v>
      </c>
      <c r="W41" s="435">
        <v>32407.103981892269</v>
      </c>
      <c r="X41" s="435">
        <v>68515.820407038584</v>
      </c>
      <c r="Y41" s="435">
        <v>64859.307959485472</v>
      </c>
      <c r="Z41" s="435">
        <v>96434.850534305762</v>
      </c>
      <c r="AA41" s="435">
        <v>55976.892280590931</v>
      </c>
      <c r="AB41" s="435">
        <v>86273.296683826222</v>
      </c>
      <c r="AC41" s="435">
        <v>75709.724377181294</v>
      </c>
      <c r="AD41" s="435">
        <v>108955.86653444768</v>
      </c>
      <c r="AE41" s="435">
        <v>64397.456447829434</v>
      </c>
      <c r="AF41" s="435">
        <v>93432.649704129712</v>
      </c>
      <c r="AG41" s="435">
        <v>78698.802011215041</v>
      </c>
      <c r="AH41" s="435">
        <v>116706.63100450575</v>
      </c>
      <c r="AI41" s="435">
        <v>73723.294390444236</v>
      </c>
      <c r="AJ41" s="435">
        <v>111842.72131553396</v>
      </c>
      <c r="AK41" s="435">
        <v>96172.99705759158</v>
      </c>
      <c r="AL41" s="435">
        <v>138552.5804618737</v>
      </c>
      <c r="AM41" s="435">
        <v>86554.210665396604</v>
      </c>
      <c r="AN41" s="435">
        <v>119082.61206738696</v>
      </c>
      <c r="AO41" s="435">
        <v>111360.3113772575</v>
      </c>
      <c r="AP41" s="435">
        <v>155934.45035417087</v>
      </c>
      <c r="AQ41" s="435">
        <f t="shared" ref="AQ41:CD41" si="335">+AQ38*AQ13</f>
        <v>86338.695999999996</v>
      </c>
      <c r="AR41" s="435">
        <f t="shared" si="335"/>
        <v>125565.37400000001</v>
      </c>
      <c r="AS41" s="435">
        <f t="shared" si="335"/>
        <v>114132.91899999999</v>
      </c>
      <c r="AT41" s="435">
        <f t="shared" si="335"/>
        <v>165310.89300000001</v>
      </c>
      <c r="AU41" s="435">
        <f t="shared" si="335"/>
        <v>96035.024999999994</v>
      </c>
      <c r="AV41" s="435">
        <f t="shared" si="335"/>
        <v>138131.052</v>
      </c>
      <c r="AW41" s="435">
        <f t="shared" si="335"/>
        <v>126084.86500000001</v>
      </c>
      <c r="AX41" s="435">
        <f t="shared" si="335"/>
        <v>169037.67199999999</v>
      </c>
      <c r="AY41" s="435">
        <f t="shared" si="335"/>
        <v>89320.284</v>
      </c>
      <c r="AZ41" s="435">
        <f t="shared" si="335"/>
        <v>130357.23199999999</v>
      </c>
      <c r="BA41" s="435">
        <f t="shared" si="335"/>
        <v>114698.038</v>
      </c>
      <c r="BB41" s="435">
        <f t="shared" si="335"/>
        <v>163522.30147716854</v>
      </c>
      <c r="BC41" s="435">
        <f t="shared" si="335"/>
        <v>93835.983999999997</v>
      </c>
      <c r="BD41" s="435">
        <f t="shared" si="335"/>
        <v>120653.74399999999</v>
      </c>
      <c r="BE41" s="435">
        <f t="shared" si="335"/>
        <v>111930.772</v>
      </c>
      <c r="BF41" s="435">
        <f t="shared" si="335"/>
        <v>162231.91500000001</v>
      </c>
      <c r="BG41" s="435">
        <f t="shared" si="335"/>
        <v>97917.330000000016</v>
      </c>
      <c r="BH41" s="435">
        <f t="shared" si="335"/>
        <v>126560.20409999999</v>
      </c>
      <c r="BI41" s="435">
        <f t="shared" si="335"/>
        <v>113298.71819999999</v>
      </c>
      <c r="BJ41" s="435">
        <f t="shared" si="335"/>
        <v>160897.56400000001</v>
      </c>
      <c r="BK41" s="435">
        <f t="shared" si="335"/>
        <v>100670.557</v>
      </c>
      <c r="BL41" s="435">
        <f t="shared" si="335"/>
        <v>137317.432</v>
      </c>
      <c r="BM41" s="435">
        <f t="shared" si="335"/>
        <v>121711.212</v>
      </c>
      <c r="BN41" s="435">
        <f t="shared" si="335"/>
        <v>163764.30600000001</v>
      </c>
      <c r="BO41" s="435">
        <f t="shared" si="335"/>
        <v>82159.539999999994</v>
      </c>
      <c r="BP41" s="435">
        <f t="shared" si="335"/>
        <v>15649.444000000001</v>
      </c>
      <c r="BQ41" s="435">
        <f t="shared" si="335"/>
        <v>69350.27399999999</v>
      </c>
      <c r="BR41" s="435">
        <f t="shared" si="335"/>
        <v>113862.762</v>
      </c>
      <c r="BS41" s="435">
        <f t="shared" si="335"/>
        <v>47754.595000000001</v>
      </c>
      <c r="BT41" s="435">
        <f t="shared" si="335"/>
        <v>90348.92</v>
      </c>
      <c r="BU41" s="435">
        <f t="shared" si="335"/>
        <v>99620.823542100101</v>
      </c>
      <c r="BV41" s="435">
        <f t="shared" si="335"/>
        <v>135305.15727565996</v>
      </c>
      <c r="BW41" s="435">
        <f t="shared" si="335"/>
        <v>52377.692013409891</v>
      </c>
      <c r="BX41" s="435">
        <f t="shared" si="335"/>
        <v>68181.704884261359</v>
      </c>
      <c r="BY41" s="435">
        <f>+BY38*BY13</f>
        <v>41961.730742474705</v>
      </c>
      <c r="BZ41" s="435">
        <f>+BZ38*BZ13</f>
        <v>56877.824000000001</v>
      </c>
      <c r="CA41" s="435">
        <f>+CA38*CA13</f>
        <v>25587.178531978912</v>
      </c>
      <c r="CB41" s="435">
        <f t="shared" si="335"/>
        <v>29266.40438731109</v>
      </c>
      <c r="CC41" s="435">
        <f t="shared" ref="CC41" si="336">+CC38*CC13</f>
        <v>41667.882277086654</v>
      </c>
      <c r="CD41" s="435">
        <f t="shared" si="335"/>
        <v>62567.110706645646</v>
      </c>
      <c r="CE41" s="435">
        <f t="shared" ref="CE41" si="337">+CE38*CE13</f>
        <v>46824.703450229354</v>
      </c>
      <c r="CF41" s="435">
        <f t="shared" ref="CF41:CH41" si="338">+CF38*CF13</f>
        <v>64145.09289533674</v>
      </c>
      <c r="CG41" s="435">
        <f t="shared" si="338"/>
        <v>57159.575278740282</v>
      </c>
      <c r="CH41" s="435">
        <f t="shared" si="338"/>
        <v>67206.915519259361</v>
      </c>
      <c r="CI41" s="435">
        <f t="shared" ref="CI41:CL41" si="339">+CI38*CI13</f>
        <v>48830.661014606863</v>
      </c>
      <c r="CJ41" s="435">
        <f t="shared" si="339"/>
        <v>69343.710999999996</v>
      </c>
      <c r="CK41" s="435">
        <f t="shared" si="339"/>
        <v>56518.572082321632</v>
      </c>
      <c r="CL41" s="239">
        <f t="shared" si="339"/>
        <v>80249.473698814269</v>
      </c>
      <c r="CM41" s="239">
        <f t="shared" ref="CM41:CP41" si="340">+CM38*CM13</f>
        <v>53887.567942378329</v>
      </c>
      <c r="CN41" s="239">
        <f t="shared" si="340"/>
        <v>70693.382005238789</v>
      </c>
      <c r="CO41" s="239">
        <f t="shared" si="340"/>
        <v>61167.591617384795</v>
      </c>
      <c r="CP41" s="239">
        <f t="shared" si="340"/>
        <v>87024.911210831051</v>
      </c>
      <c r="CQ41" s="239"/>
      <c r="CR41" s="239"/>
      <c r="CS41" s="239">
        <v>64563.804949022422</v>
      </c>
      <c r="CT41" s="1133"/>
      <c r="CU41" s="240">
        <f>+CU40*(1+FAT!CV16)</f>
        <v>0</v>
      </c>
      <c r="CV41" s="240">
        <f>+CV40*(1+FAT!CW16)</f>
        <v>0</v>
      </c>
      <c r="CW41" s="240">
        <f>+CW40*(1+FAT!CX16)</f>
        <v>197063.54631092207</v>
      </c>
      <c r="CX41" s="240">
        <f>+CX40*(1+FAT!CY16)</f>
        <v>254275.74496449789</v>
      </c>
      <c r="CY41" s="240">
        <f>+CY40*(1+FAT!CZ16)</f>
        <v>276832.67793737806</v>
      </c>
      <c r="CZ41" s="240">
        <f>+CZ40*(1+FAT!DA16)</f>
        <v>262513.18880563288</v>
      </c>
      <c r="DA41" s="240">
        <f>+DA40*(1+FAT!DB16)</f>
        <v>326999.97212482413</v>
      </c>
      <c r="DB41" s="240">
        <f>+DB40*(1+FAT!DC16)</f>
        <v>353253.45722659404</v>
      </c>
      <c r="DC41" s="240">
        <f>+DC40*(1+FAT!DD16)</f>
        <v>420303.30489275052</v>
      </c>
      <c r="DD41" s="240">
        <f>+DD40*(1+FAT!DE16)</f>
        <v>472940.23430540127</v>
      </c>
      <c r="DE41" s="240">
        <f>+SUM(AQ41:AT41)</f>
        <v>491347.88199999998</v>
      </c>
      <c r="DF41" s="240">
        <f>+SUM(AU41:AX41)</f>
        <v>529288.61399999994</v>
      </c>
      <c r="DG41" s="240">
        <f>+SUM(AY41:BB41)</f>
        <v>497897.85547716857</v>
      </c>
      <c r="DH41" s="240">
        <f>+SUM(BC41:BF41)</f>
        <v>488652.41500000004</v>
      </c>
      <c r="DI41" s="240">
        <f>+SUM(BG41:BJ41)</f>
        <v>498673.81630000001</v>
      </c>
      <c r="DJ41" s="240">
        <f>+SUM(BK41:BN41)</f>
        <v>523463.50699999998</v>
      </c>
      <c r="DK41" s="240">
        <f>+SUM(BO41:BR41)</f>
        <v>281022.01999999996</v>
      </c>
      <c r="DL41" s="240">
        <f>+SUM(BS41:BV41)</f>
        <v>373029.49581776006</v>
      </c>
      <c r="DM41" s="240">
        <f>+SUM(BW41:BZ41)</f>
        <v>219398.95164014594</v>
      </c>
      <c r="DN41" s="240">
        <f>+SUM(CA41:CD41)</f>
        <v>159088.57590302231</v>
      </c>
      <c r="DO41" s="240">
        <f>+SUM(CE41:CH41)</f>
        <v>235336.28714356571</v>
      </c>
      <c r="DP41" s="240">
        <f>+SUM(CI41:CL41)</f>
        <v>254942.41779574275</v>
      </c>
      <c r="DQ41" s="240">
        <f>+SUM(CM41:CP41)</f>
        <v>272773.45277583296</v>
      </c>
      <c r="DR41" s="239">
        <f>+DR38*DR13</f>
        <v>344444.04712655308</v>
      </c>
      <c r="DS41" s="239">
        <f t="shared" ref="DS41:DU41" si="341">+DS38*DS13</f>
        <v>423060.07911059447</v>
      </c>
      <c r="DT41" s="239">
        <f t="shared" si="341"/>
        <v>511415.55554422323</v>
      </c>
      <c r="DU41" s="239">
        <f t="shared" si="341"/>
        <v>610424.94960764982</v>
      </c>
      <c r="DV41" s="233"/>
      <c r="DW41" s="233"/>
      <c r="DY41" s="239">
        <v>313746.01840450522</v>
      </c>
      <c r="DZ41" s="239">
        <v>378784.94603424007</v>
      </c>
    </row>
    <row r="42" spans="1:130">
      <c r="A42" s="417" t="s">
        <v>169</v>
      </c>
      <c r="B42" s="419"/>
      <c r="C42" s="419"/>
      <c r="D42" s="419"/>
      <c r="E42" s="419">
        <v>0.01</v>
      </c>
      <c r="F42" s="419"/>
      <c r="G42" s="419"/>
      <c r="H42" s="419"/>
      <c r="I42" s="419"/>
      <c r="J42" s="419"/>
      <c r="K42" s="419"/>
      <c r="L42" s="419"/>
      <c r="M42" s="419"/>
      <c r="N42" s="419"/>
      <c r="O42" s="419">
        <v>1.2662020958308906</v>
      </c>
      <c r="P42" s="419">
        <v>0.2988411054199962</v>
      </c>
      <c r="Q42" s="419">
        <v>0.12431464811434134</v>
      </c>
      <c r="R42" s="419">
        <v>0.15957025526615842</v>
      </c>
      <c r="S42" s="419">
        <v>0.26949828728284397</v>
      </c>
      <c r="T42" s="419">
        <v>0.36258271443648682</v>
      </c>
      <c r="U42" s="419">
        <v>0.21801055649810408</v>
      </c>
      <c r="V42" s="419">
        <v>-0.26232297479761668</v>
      </c>
      <c r="W42" s="419">
        <v>-0.39676628817461546</v>
      </c>
      <c r="X42" s="419">
        <v>-0.17841035458971211</v>
      </c>
      <c r="Y42" s="419">
        <v>-4.6254085076386842E-2</v>
      </c>
      <c r="Z42" s="419">
        <v>0.32117801958542769</v>
      </c>
      <c r="AA42" s="419">
        <v>0.72897323420543114</v>
      </c>
      <c r="AB42" s="419">
        <v>0.25766989459561285</v>
      </c>
      <c r="AC42" s="419">
        <v>0.16893373336448581</v>
      </c>
      <c r="AD42" s="419">
        <v>0.12343152827498471</v>
      </c>
      <c r="AE42" s="419">
        <v>0.1578109303008377</v>
      </c>
      <c r="AF42" s="419">
        <v>7.8177302203798593E-2</v>
      </c>
      <c r="AG42" s="419">
        <v>4.0597352319799107E-2</v>
      </c>
      <c r="AH42" s="419">
        <v>7.0836498076803922E-2</v>
      </c>
      <c r="AI42" s="419">
        <v>0.14792022223076229</v>
      </c>
      <c r="AJ42" s="419">
        <v>0.19586236849865246</v>
      </c>
      <c r="AK42" s="419">
        <v>0.22267574391435119</v>
      </c>
      <c r="AL42" s="419">
        <v>0.18726162719115824</v>
      </c>
      <c r="AM42" s="419">
        <v>0.1738031984853643</v>
      </c>
      <c r="AN42" s="419">
        <v>6.421104542784084E-2</v>
      </c>
      <c r="AO42" s="419">
        <v>0.158041842570392</v>
      </c>
      <c r="AP42" s="419">
        <v>0.12549932784623619</v>
      </c>
      <c r="AQ42" s="419">
        <f t="shared" ref="AQ42:BL42" si="342">AQ41/AM41-1</f>
        <v>-2.4899385453326373E-3</v>
      </c>
      <c r="AR42" s="419">
        <f t="shared" si="342"/>
        <v>5.4439198301634129E-2</v>
      </c>
      <c r="AS42" s="419">
        <f t="shared" si="342"/>
        <v>2.4897628144641804E-2</v>
      </c>
      <c r="AT42" s="419">
        <f t="shared" si="342"/>
        <v>6.0130667883412592E-2</v>
      </c>
      <c r="AU42" s="419">
        <f t="shared" si="342"/>
        <v>0.1123057151569673</v>
      </c>
      <c r="AV42" s="419">
        <f t="shared" si="342"/>
        <v>0.10007279554632631</v>
      </c>
      <c r="AW42" s="419">
        <f t="shared" si="342"/>
        <v>0.10471953319620275</v>
      </c>
      <c r="AX42" s="419">
        <f t="shared" si="342"/>
        <v>2.2544061872558974E-2</v>
      </c>
      <c r="AY42" s="419">
        <f t="shared" si="342"/>
        <v>-6.9919708981176387E-2</v>
      </c>
      <c r="AZ42" s="419">
        <f t="shared" si="342"/>
        <v>-5.6278583905956303E-2</v>
      </c>
      <c r="BA42" s="419">
        <f t="shared" si="342"/>
        <v>-9.031081565578869E-2</v>
      </c>
      <c r="BB42" s="419">
        <f t="shared" si="342"/>
        <v>-3.2628055377096343E-2</v>
      </c>
      <c r="BC42" s="419">
        <f t="shared" si="342"/>
        <v>5.0556265584645876E-2</v>
      </c>
      <c r="BD42" s="419">
        <f t="shared" si="342"/>
        <v>-7.4437665261256836E-2</v>
      </c>
      <c r="BE42" s="419">
        <f t="shared" si="342"/>
        <v>-2.4126533010093931E-2</v>
      </c>
      <c r="BF42" s="419">
        <f t="shared" si="342"/>
        <v>-7.8911956687981455E-3</v>
      </c>
      <c r="BG42" s="419">
        <f t="shared" si="342"/>
        <v>4.3494465833064933E-2</v>
      </c>
      <c r="BH42" s="419">
        <f>BH41/BD41-1</f>
        <v>4.8953807019863405E-2</v>
      </c>
      <c r="BI42" s="419">
        <f>BI41/BE41-1</f>
        <v>1.2221359466724646E-2</v>
      </c>
      <c r="BJ42" s="419">
        <f t="shared" si="342"/>
        <v>-8.2249599285072472E-3</v>
      </c>
      <c r="BK42" s="419">
        <f t="shared" si="342"/>
        <v>2.8117872495093454E-2</v>
      </c>
      <c r="BL42" s="419">
        <f t="shared" si="342"/>
        <v>8.4996922820228082E-2</v>
      </c>
      <c r="BM42" s="231">
        <f t="shared" ref="BM42:BW42" si="343">BM41/BI41-1</f>
        <v>7.42505646458409E-2</v>
      </c>
      <c r="BN42" s="231">
        <f t="shared" si="343"/>
        <v>1.7817187089296027E-2</v>
      </c>
      <c r="BO42" s="231">
        <f t="shared" si="343"/>
        <v>-0.18387716877338833</v>
      </c>
      <c r="BP42" s="231">
        <f t="shared" si="343"/>
        <v>-0.88603454221311095</v>
      </c>
      <c r="BQ42" s="231">
        <f t="shared" si="343"/>
        <v>-0.43020636422550795</v>
      </c>
      <c r="BR42" s="231">
        <f t="shared" si="343"/>
        <v>-0.3047156319888169</v>
      </c>
      <c r="BS42" s="231">
        <f t="shared" si="343"/>
        <v>-0.41875776081511651</v>
      </c>
      <c r="BT42" s="231">
        <f t="shared" si="343"/>
        <v>4.7732990386112117</v>
      </c>
      <c r="BU42" s="231">
        <f t="shared" si="343"/>
        <v>0.43648781462781416</v>
      </c>
      <c r="BV42" s="231">
        <f t="shared" si="343"/>
        <v>0.18831789163572155</v>
      </c>
      <c r="BW42" s="231">
        <f t="shared" si="343"/>
        <v>9.6809469610408927E-2</v>
      </c>
      <c r="BX42" s="231">
        <f t="shared" ref="BX42:CD42" si="344">BX41/BT41-1</f>
        <v>-0.24535119086911761</v>
      </c>
      <c r="BY42" s="231">
        <f t="shared" si="344"/>
        <v>-0.57878554653042458</v>
      </c>
      <c r="BZ42" s="231">
        <f t="shared" si="344"/>
        <v>-0.57963299296772819</v>
      </c>
      <c r="CA42" s="231">
        <f t="shared" si="344"/>
        <v>-0.51148709405851622</v>
      </c>
      <c r="CB42" s="231">
        <f t="shared" si="344"/>
        <v>-0.57075868905022409</v>
      </c>
      <c r="CC42" s="231">
        <f t="shared" si="344"/>
        <v>-7.002772769108212E-3</v>
      </c>
      <c r="CD42" s="231">
        <f t="shared" si="344"/>
        <v>0.1000264480343982</v>
      </c>
      <c r="CE42" s="231">
        <f t="shared" ref="CE42:CG42" si="345">CE41/CA41-1</f>
        <v>0.83000651641632683</v>
      </c>
      <c r="CF42" s="231">
        <f t="shared" si="345"/>
        <v>1.1917654128755171</v>
      </c>
      <c r="CG42" s="231">
        <f t="shared" si="345"/>
        <v>0.37178978520280048</v>
      </c>
      <c r="CH42" s="231">
        <f t="shared" ref="CH42" si="346">CH41/CD41-1</f>
        <v>7.4157249075605725E-2</v>
      </c>
      <c r="CI42" s="231">
        <f t="shared" ref="CI42" si="347">CI41/CE41-1</f>
        <v>4.2839728104411279E-2</v>
      </c>
      <c r="CJ42" s="231">
        <f t="shared" ref="CJ42" si="348">CJ41/CF41-1</f>
        <v>8.1044673411661439E-2</v>
      </c>
      <c r="CK42" s="231">
        <f t="shared" ref="CK42" si="349">CK41/CG41-1</f>
        <v>-1.1214275006292129E-2</v>
      </c>
      <c r="CL42" s="231">
        <f t="shared" ref="CL42" si="350">CL41/CH41-1</f>
        <v>0.19406571598747635</v>
      </c>
      <c r="CM42" s="231">
        <f t="shared" ref="CM42" si="351">CM41/CI41-1</f>
        <v>0.10356007522115629</v>
      </c>
      <c r="CN42" s="231">
        <f t="shared" ref="CN42" si="352">CN41/CJ41-1</f>
        <v>1.946349547457582E-2</v>
      </c>
      <c r="CO42" s="231">
        <f t="shared" ref="CO42" si="353">CO41/CK41-1</f>
        <v>8.2256493109763573E-2</v>
      </c>
      <c r="CP42" s="231">
        <f t="shared" ref="CP42" si="354">CP41/CL41-1</f>
        <v>8.4429681588265693E-2</v>
      </c>
      <c r="CQ42" s="231"/>
      <c r="CR42" s="231"/>
      <c r="CS42" s="231">
        <v>6.5275773217583488E-3</v>
      </c>
      <c r="CT42" s="1133"/>
      <c r="CU42" s="231"/>
      <c r="CV42" s="231"/>
      <c r="CW42" s="231"/>
      <c r="CX42" s="231">
        <f t="shared" ref="CX42:DD42" si="355">CX40/CW40-1</f>
        <v>0.28477353994519206</v>
      </c>
      <c r="CY42" s="231">
        <f t="shared" si="355"/>
        <v>7.5220767808985567E-2</v>
      </c>
      <c r="CZ42" s="231">
        <f t="shared" si="355"/>
        <v>-5.5432010533632003E-2</v>
      </c>
      <c r="DA42" s="231">
        <f t="shared" si="355"/>
        <v>0.24337662766285506</v>
      </c>
      <c r="DB42" s="231">
        <f t="shared" si="355"/>
        <v>8.0493176308995773E-2</v>
      </c>
      <c r="DC42" s="231">
        <f t="shared" si="355"/>
        <v>0.19029333165956031</v>
      </c>
      <c r="DD42" s="231">
        <f t="shared" si="355"/>
        <v>0.12505592878000127</v>
      </c>
      <c r="DE42" s="231">
        <f t="shared" ref="DE42:DL42" si="356">DE41/DD41-1</f>
        <v>3.8921720672874693E-2</v>
      </c>
      <c r="DF42" s="231">
        <f t="shared" si="356"/>
        <v>7.7217656552348801E-2</v>
      </c>
      <c r="DG42" s="231">
        <f t="shared" si="356"/>
        <v>-5.9307450968199671E-2</v>
      </c>
      <c r="DH42" s="231">
        <f t="shared" si="356"/>
        <v>-1.8568950188202815E-2</v>
      </c>
      <c r="DI42" s="231">
        <f t="shared" si="356"/>
        <v>2.0508240606976091E-2</v>
      </c>
      <c r="DJ42" s="231">
        <f t="shared" si="356"/>
        <v>4.9711233856093662E-2</v>
      </c>
      <c r="DK42" s="231">
        <f t="shared" si="356"/>
        <v>-0.46314878450543073</v>
      </c>
      <c r="DL42" s="231">
        <f t="shared" si="356"/>
        <v>0.32740308328066292</v>
      </c>
      <c r="DM42" s="231">
        <f t="shared" ref="DM42:DR42" si="357">DM41/DL41-1</f>
        <v>-0.4118455669057034</v>
      </c>
      <c r="DN42" s="231">
        <f t="shared" si="357"/>
        <v>-0.27488907894165138</v>
      </c>
      <c r="DO42" s="231">
        <f t="shared" si="357"/>
        <v>0.47927835677542752</v>
      </c>
      <c r="DP42" s="231">
        <f t="shared" si="357"/>
        <v>8.3311124222064548E-2</v>
      </c>
      <c r="DQ42" s="231">
        <f t="shared" si="357"/>
        <v>6.9941421024634076E-2</v>
      </c>
      <c r="DR42" s="231">
        <f t="shared" si="357"/>
        <v>0.26274768904882939</v>
      </c>
      <c r="DS42" s="231">
        <f t="shared" ref="DS42" si="358">DS41/DR41-1</f>
        <v>0.22824035613295668</v>
      </c>
      <c r="DT42" s="231">
        <f t="shared" ref="DT42" si="359">DT41/DS41-1</f>
        <v>0.2088485319139064</v>
      </c>
      <c r="DU42" s="231">
        <f t="shared" ref="DU42" si="360">DU41/DT41-1</f>
        <v>0.19359871437243559</v>
      </c>
      <c r="DV42" s="231"/>
      <c r="DW42" s="231"/>
      <c r="DY42" s="231">
        <v>0.23692416845317865</v>
      </c>
      <c r="DZ42" s="231">
        <v>0.20729801755087696</v>
      </c>
    </row>
    <row r="43" spans="1:130">
      <c r="A43" s="417" t="s">
        <v>170</v>
      </c>
      <c r="B43" s="419"/>
      <c r="C43" s="419"/>
      <c r="D43" s="419"/>
      <c r="E43" s="419"/>
      <c r="F43" s="419"/>
      <c r="G43" s="419"/>
      <c r="H43" s="419"/>
      <c r="I43" s="419"/>
      <c r="J43" s="419"/>
      <c r="K43" s="419"/>
      <c r="L43" s="419">
        <v>1.5783333500385055</v>
      </c>
      <c r="M43" s="419">
        <v>4.1948776338323501E-2</v>
      </c>
      <c r="N43" s="419">
        <v>0.74406088475144272</v>
      </c>
      <c r="O43" s="419">
        <v>-0.5163273171024414</v>
      </c>
      <c r="P43" s="419">
        <v>0.47773464011267675</v>
      </c>
      <c r="Q43" s="419">
        <v>-9.8058825722813103E-2</v>
      </c>
      <c r="R43" s="419">
        <v>0.79875013522485117</v>
      </c>
      <c r="S43" s="419">
        <v>-0.47047482482809033</v>
      </c>
      <c r="T43" s="419">
        <v>0.58608774608999581</v>
      </c>
      <c r="U43" s="419">
        <v>-0.1937561955171001</v>
      </c>
      <c r="V43" s="419">
        <v>8.9396673744771782E-2</v>
      </c>
      <c r="W43" s="419">
        <v>-0.56698199074818367</v>
      </c>
      <c r="X43" s="419">
        <v>1.1602129379614134</v>
      </c>
      <c r="Y43" s="419">
        <v>-6.4068371292536619E-2</v>
      </c>
      <c r="Z43" s="419">
        <v>0.50908844529766006</v>
      </c>
      <c r="AA43" s="419">
        <v>-0.43332651858661908</v>
      </c>
      <c r="AB43" s="419">
        <v>0.57135733754638562</v>
      </c>
      <c r="AC43" s="419">
        <v>-0.13010396637450428</v>
      </c>
      <c r="AD43" s="419">
        <v>0.45034529333258688</v>
      </c>
      <c r="AE43" s="419">
        <v>-0.41598510084590945</v>
      </c>
      <c r="AF43" s="419">
        <v>0.46328020461311081</v>
      </c>
      <c r="AG43" s="419">
        <v>-0.16042425718485265</v>
      </c>
      <c r="AH43" s="419">
        <v>0.49249147276048899</v>
      </c>
      <c r="AI43" s="419">
        <v>-0.37394502893105874</v>
      </c>
      <c r="AJ43" s="419">
        <v>0.5243931567520157</v>
      </c>
      <c r="AK43" s="419">
        <v>-0.14159946582505833</v>
      </c>
      <c r="AL43" s="419">
        <v>0.4492622948792826</v>
      </c>
      <c r="AM43" s="419">
        <v>-0.38104179345293843</v>
      </c>
      <c r="AN43" s="419">
        <v>0.38206816703467772</v>
      </c>
      <c r="AO43" s="419">
        <v>-6.5914847877078353E-2</v>
      </c>
      <c r="AP43" s="419">
        <v>0.4085360984358184</v>
      </c>
      <c r="AQ43" s="419">
        <f t="shared" ref="AQ43:BL43" si="361">AQ41/AP41-1</f>
        <v>-0.44631416724206485</v>
      </c>
      <c r="AR43" s="419">
        <f t="shared" si="361"/>
        <v>0.45433484425106463</v>
      </c>
      <c r="AS43" s="419">
        <f t="shared" si="361"/>
        <v>-9.1047831387019329E-2</v>
      </c>
      <c r="AT43" s="419">
        <f t="shared" si="361"/>
        <v>0.44840677385987138</v>
      </c>
      <c r="AU43" s="419">
        <f t="shared" si="361"/>
        <v>-0.41906414479292664</v>
      </c>
      <c r="AV43" s="419">
        <f t="shared" si="361"/>
        <v>0.4383403555109191</v>
      </c>
      <c r="AW43" s="419">
        <f t="shared" si="361"/>
        <v>-8.7208392505401244E-2</v>
      </c>
      <c r="AX43" s="419">
        <f t="shared" si="361"/>
        <v>0.34066584438980829</v>
      </c>
      <c r="AY43" s="419">
        <f t="shared" si="361"/>
        <v>-0.47159539679415363</v>
      </c>
      <c r="AZ43" s="419">
        <f t="shared" si="361"/>
        <v>0.4594359328279789</v>
      </c>
      <c r="BA43" s="419">
        <f t="shared" si="361"/>
        <v>-0.12012524168969763</v>
      </c>
      <c r="BB43" s="419">
        <f t="shared" si="361"/>
        <v>0.42567653578493236</v>
      </c>
      <c r="BC43" s="419">
        <f t="shared" si="361"/>
        <v>-0.42615788089857798</v>
      </c>
      <c r="BD43" s="419">
        <f t="shared" si="361"/>
        <v>0.28579398709134862</v>
      </c>
      <c r="BE43" s="419">
        <f t="shared" si="361"/>
        <v>-7.2297565834343214E-2</v>
      </c>
      <c r="BF43" s="419">
        <f t="shared" si="361"/>
        <v>0.44939512254949876</v>
      </c>
      <c r="BG43" s="419">
        <f t="shared" si="361"/>
        <v>-0.39643608349195647</v>
      </c>
      <c r="BH43" s="419">
        <f>BH41/BG41-1</f>
        <v>0.2925209878578181</v>
      </c>
      <c r="BI43" s="419">
        <f>BI41/BH41-1</f>
        <v>-0.10478401164335671</v>
      </c>
      <c r="BJ43" s="419">
        <f t="shared" si="361"/>
        <v>0.42011813157476685</v>
      </c>
      <c r="BK43" s="419">
        <f t="shared" si="361"/>
        <v>-0.37431894866972637</v>
      </c>
      <c r="BL43" s="419">
        <f t="shared" si="361"/>
        <v>0.36402773653075138</v>
      </c>
      <c r="BM43" s="231">
        <f t="shared" ref="BM43:BW43" si="362">BM41/BL41-1</f>
        <v>-0.11365068347622465</v>
      </c>
      <c r="BN43" s="231">
        <f t="shared" si="362"/>
        <v>0.34551536632467372</v>
      </c>
      <c r="BO43" s="231">
        <f t="shared" si="362"/>
        <v>-0.49830618156803974</v>
      </c>
      <c r="BP43" s="231">
        <f t="shared" si="362"/>
        <v>-0.80952371447065063</v>
      </c>
      <c r="BQ43" s="231">
        <f t="shared" si="362"/>
        <v>3.4314848501965942</v>
      </c>
      <c r="BR43" s="231">
        <f t="shared" si="362"/>
        <v>0.64185021100277151</v>
      </c>
      <c r="BS43" s="231">
        <f t="shared" si="362"/>
        <v>-0.58059514663802025</v>
      </c>
      <c r="BT43" s="231">
        <f t="shared" si="362"/>
        <v>0.89194191679355672</v>
      </c>
      <c r="BU43" s="231">
        <f t="shared" si="362"/>
        <v>0.10262329136972648</v>
      </c>
      <c r="BV43" s="231">
        <f t="shared" si="362"/>
        <v>0.35820155329753467</v>
      </c>
      <c r="BW43" s="231">
        <f t="shared" si="362"/>
        <v>-0.61289212423219208</v>
      </c>
      <c r="BX43" s="231">
        <f t="shared" ref="BX43:CD43" si="363">BX41/BW41-1</f>
        <v>0.30173175379329953</v>
      </c>
      <c r="BY43" s="231">
        <f t="shared" si="363"/>
        <v>-0.38456025976902652</v>
      </c>
      <c r="BZ43" s="231">
        <f t="shared" si="363"/>
        <v>0.35546897121731091</v>
      </c>
      <c r="CA43" s="231">
        <f t="shared" si="363"/>
        <v>-0.55013787918505974</v>
      </c>
      <c r="CB43" s="231">
        <f t="shared" si="363"/>
        <v>0.1437917764451393</v>
      </c>
      <c r="CC43" s="231">
        <f t="shared" si="363"/>
        <v>0.42374449985910867</v>
      </c>
      <c r="CD43" s="231">
        <f t="shared" si="363"/>
        <v>0.50156684927209683</v>
      </c>
      <c r="CE43" s="231">
        <f t="shared" ref="CE43:CG43" si="364">CE41/CD41-1</f>
        <v>-0.25160834627999196</v>
      </c>
      <c r="CF43" s="231">
        <f t="shared" si="364"/>
        <v>0.36989854006267175</v>
      </c>
      <c r="CG43" s="231">
        <f t="shared" si="364"/>
        <v>-0.10890182399446324</v>
      </c>
      <c r="CH43" s="231">
        <f t="shared" ref="CH43" si="365">CH41/CG41-1</f>
        <v>0.17577702758501856</v>
      </c>
      <c r="CI43" s="231">
        <f t="shared" ref="CI43" si="366">CI41/CH41-1</f>
        <v>-0.27342802987865811</v>
      </c>
      <c r="CJ43" s="231">
        <f t="shared" ref="CJ43" si="367">CJ41/CI41-1</f>
        <v>0.42008544547977755</v>
      </c>
      <c r="CK43" s="231">
        <f t="shared" ref="CK43" si="368">CK41/CJ41-1</f>
        <v>-0.18495028219182508</v>
      </c>
      <c r="CL43" s="231">
        <f t="shared" ref="CL43" si="369">CL41/CK41-1</f>
        <v>0.41987793997922673</v>
      </c>
      <c r="CM43" s="231">
        <f t="shared" ref="CM43" si="370">CM41/CL41-1</f>
        <v>-0.32849942238095264</v>
      </c>
      <c r="CN43" s="231">
        <f t="shared" ref="CN43" si="371">CN41/CM41-1</f>
        <v>0.31186811178472218</v>
      </c>
      <c r="CO43" s="231">
        <f t="shared" ref="CO43" si="372">CO41/CN41-1</f>
        <v>-0.13474797948056971</v>
      </c>
      <c r="CP43" s="231">
        <f t="shared" ref="CP43" si="373">CP41/CO41-1</f>
        <v>0.4227290777637418</v>
      </c>
      <c r="CQ43" s="231"/>
      <c r="CR43" s="231"/>
      <c r="CS43" s="231">
        <v>0.32219805358992071</v>
      </c>
      <c r="CT43" s="1133"/>
      <c r="CU43" s="231"/>
      <c r="CV43" s="231"/>
      <c r="CW43" s="231"/>
      <c r="CX43" s="231"/>
      <c r="CY43" s="231"/>
      <c r="CZ43" s="231"/>
      <c r="DA43" s="231"/>
      <c r="DB43" s="231"/>
      <c r="DC43" s="231"/>
      <c r="DD43" s="231"/>
      <c r="DE43" s="231"/>
      <c r="DF43" s="231"/>
      <c r="DG43" s="231"/>
      <c r="DH43" s="231"/>
      <c r="DI43" s="231"/>
      <c r="DJ43" s="231"/>
      <c r="DK43" s="231"/>
      <c r="DL43" s="231"/>
      <c r="DM43" s="231"/>
      <c r="DN43" s="231"/>
      <c r="DO43" s="231"/>
      <c r="DP43" s="231"/>
      <c r="DQ43" s="231"/>
      <c r="DR43" s="231"/>
      <c r="DS43" s="231"/>
      <c r="DT43" s="231"/>
      <c r="DU43" s="231"/>
      <c r="DV43" s="231"/>
      <c r="DW43" s="231"/>
      <c r="DY43" s="231"/>
      <c r="DZ43" s="231"/>
    </row>
    <row r="44" spans="1:130">
      <c r="A44" s="414"/>
      <c r="B44" s="415"/>
      <c r="C44" s="415"/>
      <c r="D44" s="415"/>
      <c r="E44" s="415"/>
      <c r="F44" s="415"/>
      <c r="G44" s="415"/>
      <c r="H44" s="415"/>
      <c r="I44" s="415"/>
      <c r="J44" s="415"/>
      <c r="K44" s="415"/>
      <c r="L44" s="415"/>
      <c r="M44" s="415"/>
      <c r="N44" s="415"/>
      <c r="O44" s="435"/>
      <c r="P44" s="435"/>
      <c r="Q44" s="419"/>
      <c r="R44" s="419"/>
      <c r="S44" s="419"/>
      <c r="T44" s="419"/>
      <c r="U44" s="419"/>
      <c r="V44" s="419"/>
      <c r="W44" s="419"/>
      <c r="X44" s="419"/>
      <c r="Y44" s="419"/>
      <c r="Z44" s="419"/>
      <c r="AA44" s="419"/>
      <c r="AB44" s="419"/>
      <c r="AC44" s="419"/>
      <c r="AD44" s="419"/>
      <c r="AE44" s="419"/>
      <c r="AF44" s="419"/>
      <c r="AG44" s="419"/>
      <c r="AH44" s="419"/>
      <c r="AI44" s="419"/>
      <c r="AJ44" s="419"/>
      <c r="AK44" s="419"/>
      <c r="AL44" s="419"/>
      <c r="AM44" s="419"/>
      <c r="AN44" s="419"/>
      <c r="AO44" s="419"/>
      <c r="AP44" s="419"/>
      <c r="AQ44" s="419"/>
      <c r="AR44" s="419"/>
      <c r="AS44" s="419"/>
      <c r="AT44" s="419"/>
      <c r="AU44" s="419"/>
      <c r="AV44" s="419"/>
      <c r="AW44" s="419"/>
      <c r="AX44" s="419"/>
      <c r="AY44" s="419"/>
      <c r="AZ44" s="419"/>
      <c r="BA44" s="419"/>
      <c r="BB44" s="419"/>
      <c r="BC44" s="419"/>
      <c r="BD44" s="419"/>
      <c r="BE44" s="419"/>
      <c r="BF44" s="419"/>
      <c r="BG44" s="419"/>
      <c r="BH44" s="419"/>
      <c r="BI44" s="419"/>
      <c r="BJ44" s="419"/>
      <c r="BK44" s="419"/>
      <c r="BL44" s="419"/>
      <c r="BM44" s="231"/>
      <c r="BN44" s="231"/>
      <c r="BO44" s="231"/>
      <c r="BP44" s="231"/>
      <c r="BQ44" s="231"/>
      <c r="BR44" s="231"/>
      <c r="BS44" s="231"/>
      <c r="BT44" s="231"/>
      <c r="BU44" s="231"/>
      <c r="BV44" s="231"/>
      <c r="BW44" s="231"/>
      <c r="BX44" s="231"/>
      <c r="BY44" s="231"/>
      <c r="BZ44" s="231"/>
      <c r="CA44" s="231"/>
      <c r="CB44" s="231"/>
      <c r="CC44" s="231"/>
      <c r="CD44" s="231"/>
      <c r="CE44" s="231"/>
      <c r="CF44" s="231"/>
      <c r="CG44" s="231"/>
      <c r="CH44" s="231"/>
      <c r="CI44" s="231"/>
      <c r="CJ44" s="231"/>
      <c r="CK44" s="231"/>
      <c r="CL44" s="231"/>
      <c r="CM44" s="231"/>
      <c r="CN44" s="231"/>
      <c r="CO44" s="231"/>
      <c r="CP44" s="231"/>
      <c r="CQ44" s="231"/>
      <c r="CR44" s="231"/>
      <c r="CS44" s="231"/>
      <c r="CT44" s="1133"/>
      <c r="CU44" s="233"/>
      <c r="CV44" s="233"/>
      <c r="CW44" s="233"/>
      <c r="CX44" s="233"/>
      <c r="CY44" s="233"/>
      <c r="CZ44" s="233"/>
      <c r="DA44" s="233"/>
      <c r="DB44" s="233"/>
      <c r="DC44" s="233"/>
      <c r="DD44" s="233"/>
      <c r="DE44" s="233"/>
      <c r="DF44" s="233"/>
      <c r="DG44" s="233"/>
      <c r="DH44" s="233"/>
      <c r="DI44" s="233"/>
      <c r="DJ44" s="233"/>
      <c r="DK44" s="233"/>
      <c r="DL44" s="233"/>
      <c r="DM44" s="233"/>
      <c r="DN44" s="233"/>
      <c r="DO44" s="233"/>
      <c r="DP44" s="233"/>
      <c r="DQ44" s="233"/>
      <c r="DR44" s="233"/>
      <c r="DS44" s="233"/>
      <c r="DT44" s="233"/>
      <c r="DU44" s="233"/>
      <c r="DV44" s="233"/>
      <c r="DW44" s="233"/>
      <c r="DY44" s="233"/>
      <c r="DZ44" s="233"/>
    </row>
    <row r="45" spans="1:130">
      <c r="A45" s="414"/>
      <c r="B45" s="415"/>
      <c r="C45" s="415"/>
      <c r="D45" s="415"/>
      <c r="E45" s="415"/>
      <c r="F45" s="415"/>
      <c r="G45" s="415"/>
      <c r="H45" s="415"/>
      <c r="I45" s="415"/>
      <c r="J45" s="415"/>
      <c r="K45" s="415"/>
      <c r="L45" s="415"/>
      <c r="M45" s="415"/>
      <c r="N45" s="415"/>
      <c r="O45" s="435"/>
      <c r="P45" s="435"/>
      <c r="Q45" s="419"/>
      <c r="R45" s="419"/>
      <c r="S45" s="419"/>
      <c r="T45" s="419"/>
      <c r="U45" s="419"/>
      <c r="V45" s="419"/>
      <c r="W45" s="419"/>
      <c r="X45" s="419"/>
      <c r="Y45" s="419"/>
      <c r="Z45" s="419"/>
      <c r="AA45" s="419"/>
      <c r="AB45" s="419"/>
      <c r="AC45" s="419"/>
      <c r="AD45" s="419"/>
      <c r="AE45" s="419"/>
      <c r="AF45" s="419"/>
      <c r="AG45" s="419"/>
      <c r="AH45" s="419"/>
      <c r="AI45" s="419"/>
      <c r="AJ45" s="419"/>
      <c r="AK45" s="419"/>
      <c r="AL45" s="419"/>
      <c r="AM45" s="419"/>
      <c r="AN45" s="419"/>
      <c r="AO45" s="419"/>
      <c r="AP45" s="419"/>
      <c r="AQ45" s="419"/>
      <c r="AR45" s="419"/>
      <c r="AS45" s="419"/>
      <c r="AT45" s="419"/>
      <c r="AU45" s="419"/>
      <c r="AV45" s="419"/>
      <c r="AW45" s="419"/>
      <c r="AX45" s="419"/>
      <c r="AY45" s="419"/>
      <c r="AZ45" s="419"/>
      <c r="BA45" s="419"/>
      <c r="BB45" s="419"/>
      <c r="BC45" s="419"/>
      <c r="BD45" s="419"/>
      <c r="BE45" s="419"/>
      <c r="BF45" s="419"/>
      <c r="BG45" s="419"/>
      <c r="BH45" s="419"/>
      <c r="BI45" s="419"/>
      <c r="BJ45" s="419"/>
      <c r="BK45" s="419"/>
      <c r="BL45" s="419"/>
      <c r="BM45" s="231"/>
      <c r="BN45" s="231"/>
      <c r="BO45" s="231"/>
      <c r="BP45" s="231"/>
      <c r="BQ45" s="231"/>
      <c r="BR45" s="231"/>
      <c r="BS45" s="231"/>
      <c r="BT45" s="231"/>
      <c r="BU45" s="231"/>
      <c r="BV45" s="231"/>
      <c r="BW45" s="231"/>
      <c r="BX45" s="231"/>
      <c r="BY45" s="231"/>
      <c r="BZ45" s="231"/>
      <c r="CA45" s="231"/>
      <c r="CB45" s="231"/>
      <c r="CC45" s="231"/>
      <c r="CD45" s="231"/>
      <c r="CE45" s="231"/>
      <c r="CF45" s="231"/>
      <c r="CG45" s="231"/>
      <c r="CH45" s="231"/>
      <c r="CI45" s="231"/>
      <c r="CJ45" s="231"/>
      <c r="CK45" s="231"/>
      <c r="CL45" s="231"/>
      <c r="CM45" s="231"/>
      <c r="CN45" s="231"/>
      <c r="CO45" s="231"/>
      <c r="CP45" s="231"/>
      <c r="CQ45" s="231"/>
      <c r="CR45" s="231"/>
      <c r="CS45" s="231"/>
      <c r="CT45" s="1133"/>
      <c r="CU45" s="233"/>
      <c r="CV45" s="233"/>
      <c r="CW45" s="233"/>
      <c r="CX45" s="233"/>
      <c r="CY45" s="233"/>
      <c r="CZ45" s="233"/>
      <c r="DA45" s="233"/>
      <c r="DB45" s="233"/>
      <c r="DC45" s="233"/>
      <c r="DD45" s="233"/>
      <c r="DE45" s="233"/>
      <c r="DF45" s="233"/>
      <c r="DG45" s="233"/>
      <c r="DH45" s="233"/>
      <c r="DI45" s="233"/>
      <c r="DJ45" s="233"/>
      <c r="DK45" s="233"/>
      <c r="DL45" s="233"/>
      <c r="DM45" s="233"/>
      <c r="DN45" s="233"/>
      <c r="DO45" s="233"/>
      <c r="DP45" s="233"/>
      <c r="DQ45" s="233"/>
      <c r="DR45" s="233"/>
      <c r="DS45" s="233"/>
      <c r="DT45" s="233"/>
      <c r="DU45" s="233"/>
      <c r="DV45" s="233"/>
      <c r="DW45" s="233"/>
      <c r="DY45" s="233"/>
      <c r="DZ45" s="233"/>
    </row>
    <row r="46" spans="1:130">
      <c r="A46" s="424" t="s">
        <v>592</v>
      </c>
      <c r="B46" s="425"/>
      <c r="C46" s="426"/>
      <c r="D46" s="426"/>
      <c r="E46" s="428"/>
      <c r="F46" s="426"/>
      <c r="G46" s="426"/>
      <c r="H46" s="426"/>
      <c r="I46" s="428"/>
      <c r="J46" s="426"/>
      <c r="K46" s="436">
        <v>0.63200000000000001</v>
      </c>
      <c r="L46" s="436">
        <v>0.60099999999999998</v>
      </c>
      <c r="M46" s="436">
        <v>0.57599999999999996</v>
      </c>
      <c r="N46" s="436">
        <v>0.53700000000000003</v>
      </c>
      <c r="O46" s="436">
        <v>0.53300000000000003</v>
      </c>
      <c r="P46" s="436">
        <v>0.55700000000000005</v>
      </c>
      <c r="Q46" s="436">
        <v>0.54200000000000004</v>
      </c>
      <c r="R46" s="436">
        <v>0.499</v>
      </c>
      <c r="S46" s="436">
        <v>0.48599999999999999</v>
      </c>
      <c r="T46" s="436">
        <v>0.48699999999999999</v>
      </c>
      <c r="U46" s="436">
        <v>0.48799999999999999</v>
      </c>
      <c r="V46" s="436">
        <v>0.503</v>
      </c>
      <c r="W46" s="436">
        <v>0.50600000000000001</v>
      </c>
      <c r="X46" s="436">
        <v>0.49399999999999999</v>
      </c>
      <c r="Y46" s="436">
        <v>0.47599999999999998</v>
      </c>
      <c r="Z46" s="436">
        <v>0.46300000000000002</v>
      </c>
      <c r="AA46" s="436">
        <v>0.435</v>
      </c>
      <c r="AB46" s="436">
        <v>0.44400000000000001</v>
      </c>
      <c r="AC46" s="436">
        <v>0.44</v>
      </c>
      <c r="AD46" s="436">
        <v>0.42899999999999999</v>
      </c>
      <c r="AE46" s="436">
        <v>0.41799999999999998</v>
      </c>
      <c r="AF46" s="436">
        <v>0.43</v>
      </c>
      <c r="AG46" s="436">
        <v>0.436</v>
      </c>
      <c r="AH46" s="436">
        <v>0.42399999999999999</v>
      </c>
      <c r="AI46" s="436">
        <v>0.39600000000000002</v>
      </c>
      <c r="AJ46" s="436">
        <v>0.40200000000000002</v>
      </c>
      <c r="AK46" s="436">
        <v>0.41200000000000003</v>
      </c>
      <c r="AL46" s="436">
        <v>0.40400000000000003</v>
      </c>
      <c r="AM46" s="436">
        <v>0.38300000000000001</v>
      </c>
      <c r="AN46" s="436">
        <v>0.4</v>
      </c>
      <c r="AO46" s="436">
        <v>0.40400000000000003</v>
      </c>
      <c r="AP46" s="436">
        <v>0.39200000000000002</v>
      </c>
      <c r="AQ46" s="634">
        <v>0.38400000000000001</v>
      </c>
      <c r="AR46" s="634">
        <v>0.39700000000000002</v>
      </c>
      <c r="AS46" s="634">
        <v>0.39500000000000002</v>
      </c>
      <c r="AT46" s="634">
        <v>0.38500000000000001</v>
      </c>
      <c r="AU46" s="634">
        <v>0.38200000000000001</v>
      </c>
      <c r="AV46" s="634">
        <v>0.39800000000000002</v>
      </c>
      <c r="AW46" s="634">
        <v>0.39700000000000002</v>
      </c>
      <c r="AX46" s="634">
        <v>0.38700000000000001</v>
      </c>
      <c r="AY46" s="634">
        <v>0.38300000000000001</v>
      </c>
      <c r="AZ46" s="632">
        <v>0.40699999999999997</v>
      </c>
      <c r="BA46" s="632">
        <v>0.40400000000000003</v>
      </c>
      <c r="BB46" s="632">
        <v>0.38807254872445468</v>
      </c>
      <c r="BC46" s="632">
        <v>0.373</v>
      </c>
      <c r="BD46" s="632">
        <v>0.38800000000000001</v>
      </c>
      <c r="BE46" s="632">
        <v>0.38300000000000001</v>
      </c>
      <c r="BF46" s="632">
        <v>0.371</v>
      </c>
      <c r="BG46" s="632">
        <v>0.35899999999999999</v>
      </c>
      <c r="BH46" s="632">
        <v>0.3836</v>
      </c>
      <c r="BI46" s="632">
        <v>0.3861</v>
      </c>
      <c r="BJ46" s="632">
        <v>0.374</v>
      </c>
      <c r="BK46" s="632">
        <v>0.35799999999999998</v>
      </c>
      <c r="BL46" s="632">
        <v>0.38</v>
      </c>
      <c r="BM46" s="633">
        <v>0.38100000000000001</v>
      </c>
      <c r="BN46" s="633">
        <v>0.377</v>
      </c>
      <c r="BO46" s="633">
        <v>0.36399999999999999</v>
      </c>
      <c r="BP46" s="633">
        <v>0.46400000000000002</v>
      </c>
      <c r="BQ46" s="633">
        <v>0.36599999999999999</v>
      </c>
      <c r="BR46" s="633">
        <v>0.36199999999999999</v>
      </c>
      <c r="BS46" s="633">
        <v>0.32400000000000001</v>
      </c>
      <c r="BT46" s="633">
        <v>0.34</v>
      </c>
      <c r="BU46" s="633">
        <v>0.318</v>
      </c>
      <c r="BV46" s="633">
        <v>0.32800000000000001</v>
      </c>
      <c r="BW46" s="633">
        <v>0.32397255840948302</v>
      </c>
      <c r="BX46" s="633">
        <v>0.32979993429548576</v>
      </c>
      <c r="BY46" s="633">
        <v>0.32722512403016429</v>
      </c>
      <c r="BZ46" s="633">
        <v>0.32700000000000001</v>
      </c>
      <c r="CA46" s="633">
        <v>0.28982132649895637</v>
      </c>
      <c r="CB46" s="633">
        <v>0.29572617150627301</v>
      </c>
      <c r="CC46" s="633">
        <v>0.2741878307334048</v>
      </c>
      <c r="CD46" s="633">
        <v>0.27003582073765642</v>
      </c>
      <c r="CE46" s="633">
        <v>0.26693694649696015</v>
      </c>
      <c r="CF46" s="633">
        <v>0.28322496755264664</v>
      </c>
      <c r="CG46" s="633">
        <v>0.28437118399149908</v>
      </c>
      <c r="CH46" s="633">
        <v>0.2746559285126306</v>
      </c>
      <c r="CI46" s="633">
        <v>0.2594483351209082</v>
      </c>
      <c r="CJ46" s="633">
        <v>0.26700000000000002</v>
      </c>
      <c r="CK46" s="633">
        <v>0.26351260845772578</v>
      </c>
      <c r="CL46" s="248">
        <f t="shared" ref="CL46:CP46" si="374">+CL15-CL38</f>
        <v>0.27889999408334087</v>
      </c>
      <c r="CM46" s="248">
        <f t="shared" si="374"/>
        <v>0.28889999408334088</v>
      </c>
      <c r="CN46" s="248">
        <f t="shared" si="374"/>
        <v>0.29889999408334089</v>
      </c>
      <c r="CO46" s="248">
        <f t="shared" si="374"/>
        <v>0.3088999940833409</v>
      </c>
      <c r="CP46" s="248">
        <f t="shared" si="374"/>
        <v>0.31889999408334091</v>
      </c>
      <c r="CQ46" s="248"/>
      <c r="CR46" s="248"/>
      <c r="CS46" s="248">
        <v>0.26944833512090821</v>
      </c>
      <c r="CT46" s="1133"/>
      <c r="CU46" s="247" t="e">
        <f>CU48/#REF!</f>
        <v>#REF!</v>
      </c>
      <c r="CV46" s="247" t="e">
        <f>CV48/#REF!</f>
        <v>#REF!</v>
      </c>
      <c r="CW46" s="247">
        <f>+AVERAGE(K46:N46)</f>
        <v>0.58650000000000002</v>
      </c>
      <c r="CX46" s="247">
        <f>+AVERAGE(O46:R46)</f>
        <v>0.53275000000000006</v>
      </c>
      <c r="CY46" s="247">
        <f>+AVERAGE(S46:V46)</f>
        <v>0.49099999999999999</v>
      </c>
      <c r="CZ46" s="247">
        <f>+AVERAGE(W46:Z46)</f>
        <v>0.48475000000000001</v>
      </c>
      <c r="DA46" s="247">
        <f>+AVERAGE(AA46:AD46)</f>
        <v>0.437</v>
      </c>
      <c r="DB46" s="247">
        <f>+AVERAGE(AE46:AH46)</f>
        <v>0.42699999999999999</v>
      </c>
      <c r="DC46" s="247">
        <f>+AVERAGE(AI46:AL46)</f>
        <v>0.40349999999999997</v>
      </c>
      <c r="DD46" s="247">
        <f>+AVERAGE(AM46:AP46)</f>
        <v>0.39475000000000005</v>
      </c>
      <c r="DE46" s="247">
        <f t="shared" ref="DE46:DN46" si="375">+DE49/DE13</f>
        <v>0.38995211962576243</v>
      </c>
      <c r="DF46" s="247">
        <f t="shared" si="375"/>
        <v>0.39109581126033138</v>
      </c>
      <c r="DG46" s="247">
        <f t="shared" si="375"/>
        <v>0.39547224019532284</v>
      </c>
      <c r="DH46" s="247">
        <f t="shared" si="375"/>
        <v>0.37832386687238156</v>
      </c>
      <c r="DI46" s="247">
        <f t="shared" si="375"/>
        <v>0.3762463217157912</v>
      </c>
      <c r="DJ46" s="247">
        <f t="shared" si="375"/>
        <v>0.37492669952764068</v>
      </c>
      <c r="DK46" s="247">
        <f t="shared" si="375"/>
        <v>0.37172109147999477</v>
      </c>
      <c r="DL46" s="247">
        <f t="shared" si="375"/>
        <v>0.32778314200166775</v>
      </c>
      <c r="DM46" s="247">
        <f t="shared" si="375"/>
        <v>0.32723588128623537</v>
      </c>
      <c r="DN46" s="247">
        <f t="shared" si="375"/>
        <v>0.28137241336281016</v>
      </c>
      <c r="DO46" s="247">
        <f t="shared" ref="DO46:DP46" si="376">+DO49/DO13</f>
        <v>0.27750561697662185</v>
      </c>
      <c r="DP46" s="247">
        <f t="shared" si="376"/>
        <v>0.2684771621721459</v>
      </c>
      <c r="DQ46" s="247">
        <f t="shared" ref="DQ46" si="377">+DQ49/DQ13</f>
        <v>0.30554762948375824</v>
      </c>
      <c r="DR46" s="246">
        <f t="shared" ref="DR46:DU46" si="378">+DR15-DR38</f>
        <v>0.32089999408334091</v>
      </c>
      <c r="DS46" s="246">
        <f t="shared" si="378"/>
        <v>0.33789999408334098</v>
      </c>
      <c r="DT46" s="246">
        <f t="shared" si="378"/>
        <v>0.354899994083341</v>
      </c>
      <c r="DU46" s="246">
        <f t="shared" si="378"/>
        <v>0.37189999408334101</v>
      </c>
      <c r="DV46" s="245"/>
      <c r="DW46" s="245"/>
      <c r="DY46" s="246">
        <v>0.30356035223342526</v>
      </c>
      <c r="DZ46" s="246">
        <v>0.32056035223342527</v>
      </c>
    </row>
    <row r="47" spans="1:130">
      <c r="A47" s="430" t="s">
        <v>591</v>
      </c>
      <c r="B47" s="431"/>
      <c r="C47" s="432"/>
      <c r="D47" s="432"/>
      <c r="E47" s="433"/>
      <c r="F47" s="432"/>
      <c r="G47" s="431"/>
      <c r="H47" s="431"/>
      <c r="I47" s="431"/>
      <c r="J47" s="431"/>
      <c r="K47" s="433">
        <v>0.89645390070922004</v>
      </c>
      <c r="L47" s="433">
        <v>0.8255494505494505</v>
      </c>
      <c r="M47" s="433">
        <v>0.79558011049723742</v>
      </c>
      <c r="N47" s="433">
        <v>0.76824034334763969</v>
      </c>
      <c r="O47" s="433">
        <v>0.80150375939849616</v>
      </c>
      <c r="P47" s="433">
        <v>0.80724637681159439</v>
      </c>
      <c r="Q47" s="433">
        <v>0.79941002949852491</v>
      </c>
      <c r="R47" s="433">
        <v>0.7595129375951295</v>
      </c>
      <c r="S47" s="433">
        <v>0.7813504823151125</v>
      </c>
      <c r="T47" s="433">
        <v>0.75386996904024761</v>
      </c>
      <c r="U47" s="433">
        <v>0.76729559748427678</v>
      </c>
      <c r="V47" s="433">
        <v>0.81260096930533121</v>
      </c>
      <c r="W47" s="433">
        <v>0.85328836424957843</v>
      </c>
      <c r="X47" s="433">
        <v>0.80325203252032518</v>
      </c>
      <c r="Y47" s="433">
        <v>0.78547854785478544</v>
      </c>
      <c r="Z47" s="433">
        <v>0.77684563758389269</v>
      </c>
      <c r="AA47" s="433">
        <v>0.77817531305903387</v>
      </c>
      <c r="AB47" s="433">
        <v>0.76816608996539792</v>
      </c>
      <c r="AC47" s="433">
        <v>0.77192982456140358</v>
      </c>
      <c r="AD47" s="433">
        <v>0.7674418604651162</v>
      </c>
      <c r="AE47" s="433">
        <v>0.77551020408163263</v>
      </c>
      <c r="AF47" s="433">
        <v>0.77898550724637683</v>
      </c>
      <c r="AG47" s="433">
        <v>0.78842676311030735</v>
      </c>
      <c r="AH47" s="433">
        <v>0.78228782287822884</v>
      </c>
      <c r="AI47" s="433">
        <v>0.7734375</v>
      </c>
      <c r="AJ47" s="433">
        <v>0.75849056603773579</v>
      </c>
      <c r="AK47" s="433">
        <v>0.77882797731568998</v>
      </c>
      <c r="AL47" s="433">
        <v>0.77842003853564545</v>
      </c>
      <c r="AM47" s="433">
        <v>0.76753507014028055</v>
      </c>
      <c r="AN47" s="433">
        <v>0.76481835564053546</v>
      </c>
      <c r="AO47" s="433">
        <v>0.7709923664122138</v>
      </c>
      <c r="AP47" s="433">
        <v>0.7731755424063117</v>
      </c>
      <c r="AQ47" s="433">
        <f t="shared" ref="AQ47:CD47" si="379">AQ48/AQ10</f>
        <v>0.78367346938775506</v>
      </c>
      <c r="AR47" s="433">
        <f t="shared" si="379"/>
        <v>0.77843137254901962</v>
      </c>
      <c r="AS47" s="433">
        <f t="shared" si="379"/>
        <v>0.78373015873015872</v>
      </c>
      <c r="AT47" s="433">
        <f t="shared" si="379"/>
        <v>0.79545454545454553</v>
      </c>
      <c r="AU47" s="433">
        <f t="shared" si="379"/>
        <v>0.80083857442348005</v>
      </c>
      <c r="AV47" s="433">
        <f t="shared" si="379"/>
        <v>0.79600000000000004</v>
      </c>
      <c r="AW47" s="433">
        <f t="shared" si="379"/>
        <v>0.79718875502008035</v>
      </c>
      <c r="AX47" s="433">
        <f t="shared" si="379"/>
        <v>0.80793319415448861</v>
      </c>
      <c r="AY47" s="433">
        <f t="shared" si="379"/>
        <v>0.82188841201716745</v>
      </c>
      <c r="AZ47" s="433">
        <f t="shared" si="379"/>
        <v>0.82056451612903225</v>
      </c>
      <c r="BA47" s="433">
        <f t="shared" si="379"/>
        <v>0.81616161616161609</v>
      </c>
      <c r="BB47" s="433">
        <f t="shared" si="379"/>
        <v>0.82007129219240493</v>
      </c>
      <c r="BC47" s="433">
        <f t="shared" si="379"/>
        <v>0.83073496659242763</v>
      </c>
      <c r="BD47" s="433">
        <f t="shared" si="379"/>
        <v>0.83982683982683981</v>
      </c>
      <c r="BE47" s="433">
        <f t="shared" si="379"/>
        <v>0.83807439824945296</v>
      </c>
      <c r="BF47" s="433">
        <f t="shared" si="379"/>
        <v>0.8355855855855856</v>
      </c>
      <c r="BG47" s="433">
        <f t="shared" si="379"/>
        <v>0.8368298368298368</v>
      </c>
      <c r="BH47" s="433">
        <f t="shared" si="379"/>
        <v>0.84363316472399397</v>
      </c>
      <c r="BI47" s="433">
        <f t="shared" si="379"/>
        <v>0.8536369666150786</v>
      </c>
      <c r="BJ47" s="433">
        <f t="shared" si="379"/>
        <v>0.85779816513761464</v>
      </c>
      <c r="BK47" s="433">
        <f t="shared" si="379"/>
        <v>0.85441527446300713</v>
      </c>
      <c r="BL47" s="433">
        <f t="shared" si="379"/>
        <v>0.8482142857142857</v>
      </c>
      <c r="BM47" s="433">
        <f t="shared" si="379"/>
        <v>0.85810810810810811</v>
      </c>
      <c r="BN47" s="433">
        <f t="shared" si="379"/>
        <v>0.86866359447004604</v>
      </c>
      <c r="BO47" s="433">
        <f t="shared" si="379"/>
        <v>0.87290167865707424</v>
      </c>
      <c r="BP47" s="433">
        <f t="shared" si="379"/>
        <v>0.94117647058823528</v>
      </c>
      <c r="BQ47" s="433">
        <f t="shared" si="379"/>
        <v>0.8970588235294118</v>
      </c>
      <c r="BR47" s="433">
        <f t="shared" si="379"/>
        <v>0.90274314214463847</v>
      </c>
      <c r="BS47" s="433">
        <f t="shared" si="379"/>
        <v>0.90250696378830086</v>
      </c>
      <c r="BT47" s="433">
        <f t="shared" si="379"/>
        <v>0.89473684210526316</v>
      </c>
      <c r="BU47" s="433">
        <f t="shared" si="379"/>
        <v>0.8833333333333333</v>
      </c>
      <c r="BV47" s="433">
        <f t="shared" si="379"/>
        <v>0.89617486338797814</v>
      </c>
      <c r="BW47" s="433">
        <f t="shared" si="379"/>
        <v>0.93239215017269073</v>
      </c>
      <c r="BX47" s="433">
        <f t="shared" si="379"/>
        <v>0.93888020995175103</v>
      </c>
      <c r="BY47" s="433">
        <f>BY48/BY10</f>
        <v>0.95326295435360264</v>
      </c>
      <c r="BZ47" s="433">
        <f>BZ48/BZ10</f>
        <v>0.95335276967930027</v>
      </c>
      <c r="CA47" s="433">
        <f>CA48/CA10</f>
        <v>0.96269002134070636</v>
      </c>
      <c r="CB47" s="433">
        <f>CB48/CB10</f>
        <v>0.9679131248616919</v>
      </c>
      <c r="CC47" s="433">
        <f>CC48/CC10</f>
        <v>0.94549342464364505</v>
      </c>
      <c r="CD47" s="433">
        <f t="shared" si="379"/>
        <v>0.94262923738446658</v>
      </c>
      <c r="CE47" s="433">
        <f t="shared" ref="CE47:CH47" si="380">CE48/CE10</f>
        <v>0.93347209589686886</v>
      </c>
      <c r="CF47" s="433">
        <f t="shared" ref="CF47:CG47" si="381">CF48/CF10</f>
        <v>0.93150230203205997</v>
      </c>
      <c r="CG47" s="433">
        <f t="shared" si="381"/>
        <v>0.93632998380959176</v>
      </c>
      <c r="CH47" s="433">
        <f t="shared" si="380"/>
        <v>0.94463256445284682</v>
      </c>
      <c r="CI47" s="433">
        <f t="shared" ref="CI47:CL47" si="382">CI48/CI10</f>
        <v>0.93609290075927731</v>
      </c>
      <c r="CJ47" s="433">
        <f t="shared" si="382"/>
        <v>0.93356643356643354</v>
      </c>
      <c r="CK47" s="433">
        <f t="shared" si="382"/>
        <v>0.93487992245210005</v>
      </c>
      <c r="CL47" s="433">
        <f t="shared" si="382"/>
        <v>0.93825085615510928</v>
      </c>
      <c r="CM47" s="433">
        <f t="shared" ref="CM47:CP47" si="383">CM48/CM10</f>
        <v>0.94026055797702957</v>
      </c>
      <c r="CN47" s="433">
        <f t="shared" si="383"/>
        <v>0.94214356674574928</v>
      </c>
      <c r="CO47" s="433">
        <f t="shared" si="383"/>
        <v>0.94391149661132512</v>
      </c>
      <c r="CP47" s="433">
        <f t="shared" si="383"/>
        <v>0.94557458423302443</v>
      </c>
      <c r="CQ47" s="433"/>
      <c r="CR47" s="242"/>
      <c r="CS47" s="433">
        <v>0.93831838142123691</v>
      </c>
      <c r="CT47" s="1133"/>
      <c r="CU47" s="244" t="e">
        <f t="shared" ref="CU47:DA47" si="384">CU48/CU10</f>
        <v>#DIV/0!</v>
      </c>
      <c r="CV47" s="244">
        <f t="shared" si="384"/>
        <v>0</v>
      </c>
      <c r="CW47" s="244">
        <f t="shared" si="384"/>
        <v>0.81075843721877794</v>
      </c>
      <c r="CX47" s="244">
        <f t="shared" si="384"/>
        <v>0.78825264692257591</v>
      </c>
      <c r="CY47" s="244">
        <f t="shared" si="384"/>
        <v>0.78043127301477022</v>
      </c>
      <c r="CZ47" s="244">
        <f t="shared" si="384"/>
        <v>0.7986668567861811</v>
      </c>
      <c r="DA47" s="242">
        <f t="shared" si="384"/>
        <v>0.77054965510635764</v>
      </c>
      <c r="DB47" s="243">
        <f>1-DB39</f>
        <v>0.78163937795042837</v>
      </c>
      <c r="DC47" s="243">
        <f>DC48/DC41</f>
        <v>4.4238166135662338</v>
      </c>
      <c r="DD47" s="243">
        <f t="shared" ref="DD47:DL47" si="385">1-DD39</f>
        <v>0.76958029873129619</v>
      </c>
      <c r="DE47" s="243">
        <f t="shared" si="385"/>
        <v>0.78653237741300808</v>
      </c>
      <c r="DF47" s="243">
        <f t="shared" si="385"/>
        <v>0.80110112030609548</v>
      </c>
      <c r="DG47" s="243">
        <f t="shared" si="385"/>
        <v>0.81964759581996161</v>
      </c>
      <c r="DH47" s="243">
        <f t="shared" si="385"/>
        <v>0.83632952686774908</v>
      </c>
      <c r="DI47" s="243">
        <f t="shared" si="385"/>
        <v>0.84952173558356792</v>
      </c>
      <c r="DJ47" s="243">
        <f t="shared" si="385"/>
        <v>0.85855463400297116</v>
      </c>
      <c r="DK47" s="243">
        <f t="shared" si="385"/>
        <v>0.89802173253637529</v>
      </c>
      <c r="DL47" s="243">
        <f t="shared" si="385"/>
        <v>0.89357987134791683</v>
      </c>
      <c r="DM47" s="243">
        <f t="shared" ref="DM47:DR47" si="386">1-DM39</f>
        <v>0.94525269149562841</v>
      </c>
      <c r="DN47" s="243">
        <f t="shared" si="386"/>
        <v>0.95388939754242719</v>
      </c>
      <c r="DO47" s="243">
        <f t="shared" ref="DO47:DP47" si="387">1-DO39</f>
        <v>0.93727799666270217</v>
      </c>
      <c r="DP47" s="243">
        <f t="shared" si="387"/>
        <v>0.93587347571266355</v>
      </c>
      <c r="DQ47" s="243">
        <f t="shared" ref="DQ47" si="388">1-DQ39</f>
        <v>0.94333112546633724</v>
      </c>
      <c r="DR47" s="243">
        <f t="shared" si="386"/>
        <v>0.85480245584374204</v>
      </c>
      <c r="DS47" s="243">
        <f t="shared" ref="DS47:DU47" si="389">1-DS39</f>
        <v>0.85855362774004618</v>
      </c>
      <c r="DT47" s="243">
        <f t="shared" si="389"/>
        <v>0.86186971554600755</v>
      </c>
      <c r="DU47" s="243">
        <f t="shared" si="389"/>
        <v>0.87295010319548438</v>
      </c>
      <c r="DV47" s="237"/>
      <c r="DW47" s="237"/>
      <c r="DY47" s="243">
        <v>0.85292529051337507</v>
      </c>
      <c r="DZ47" s="243">
        <v>0.85373940188092279</v>
      </c>
    </row>
    <row r="48" spans="1:130">
      <c r="A48" s="414" t="s">
        <v>168</v>
      </c>
      <c r="B48" s="415"/>
      <c r="C48" s="432"/>
      <c r="D48" s="432"/>
      <c r="E48" s="433"/>
      <c r="F48" s="432"/>
      <c r="G48" s="432"/>
      <c r="H48" s="432"/>
      <c r="I48" s="433"/>
      <c r="J48" s="432"/>
      <c r="K48" s="435">
        <v>210181.08000000002</v>
      </c>
      <c r="L48" s="435">
        <v>292158.72099999996</v>
      </c>
      <c r="M48" s="435">
        <v>248674.17599999998</v>
      </c>
      <c r="N48" s="435">
        <v>371890.75800000003</v>
      </c>
      <c r="O48" s="435">
        <v>219109.37100000001</v>
      </c>
      <c r="P48" s="435">
        <v>335820.87000000005</v>
      </c>
      <c r="Q48" s="435">
        <v>288232.348</v>
      </c>
      <c r="R48" s="435">
        <v>410862.62800000003</v>
      </c>
      <c r="S48" s="435">
        <v>246171.15</v>
      </c>
      <c r="T48" s="435">
        <v>334656.17300000001</v>
      </c>
      <c r="U48" s="435">
        <v>290463.45600000001</v>
      </c>
      <c r="V48" s="435">
        <v>416130.391</v>
      </c>
      <c r="W48" s="435">
        <v>241688.87599999999</v>
      </c>
      <c r="X48" s="435">
        <v>366491.19</v>
      </c>
      <c r="Y48" s="435">
        <v>307630.70799999998</v>
      </c>
      <c r="Z48" s="435">
        <v>441377.43700000003</v>
      </c>
      <c r="AA48" s="435">
        <v>252046.83</v>
      </c>
      <c r="AB48" s="435">
        <v>374081.98800000001</v>
      </c>
      <c r="AC48" s="435">
        <v>332403.28000000003</v>
      </c>
      <c r="AD48" s="435">
        <v>470047.04432040616</v>
      </c>
      <c r="AE48" s="435">
        <v>287370.52708224498</v>
      </c>
      <c r="AF48" s="435">
        <v>429029.77682331321</v>
      </c>
      <c r="AG48" s="435">
        <v>380837.1622694488</v>
      </c>
      <c r="AH48" s="435">
        <v>548067.94321900466</v>
      </c>
      <c r="AI48" s="435">
        <v>325986.95136976877</v>
      </c>
      <c r="AJ48" s="435">
        <v>457168.28403367387</v>
      </c>
      <c r="AK48" s="435">
        <v>440008.78120061441</v>
      </c>
      <c r="AL48" s="435">
        <v>636180.72631728684</v>
      </c>
      <c r="AM48" s="435">
        <v>370082.96345411969</v>
      </c>
      <c r="AN48" s="435">
        <v>503782.00702548074</v>
      </c>
      <c r="AO48" s="435">
        <v>487163.07173577585</v>
      </c>
      <c r="AP48" s="435">
        <v>694753.02996203944</v>
      </c>
      <c r="AQ48" s="435">
        <f t="shared" ref="AQ48:CD48" si="390">AQ46*AQ4</f>
        <v>415873.21500246588</v>
      </c>
      <c r="AR48" s="435">
        <f t="shared" si="390"/>
        <v>586560.65957175335</v>
      </c>
      <c r="AS48" s="435">
        <f t="shared" si="390"/>
        <v>549933.70827115187</v>
      </c>
      <c r="AT48" s="435">
        <f t="shared" si="390"/>
        <v>854784.79113580496</v>
      </c>
      <c r="AU48" s="435">
        <f t="shared" si="390"/>
        <v>513451.38620220561</v>
      </c>
      <c r="AV48" s="435">
        <f t="shared" si="390"/>
        <v>716645.02847659355</v>
      </c>
      <c r="AW48" s="435">
        <f t="shared" si="390"/>
        <v>658963.99846820289</v>
      </c>
      <c r="AX48" s="435">
        <f t="shared" si="390"/>
        <v>945445.35581181815</v>
      </c>
      <c r="AY48" s="435">
        <f t="shared" si="390"/>
        <v>548025.25433224731</v>
      </c>
      <c r="AZ48" s="435">
        <f t="shared" si="390"/>
        <v>792627.79410551186</v>
      </c>
      <c r="BA48" s="435">
        <f t="shared" si="390"/>
        <v>677057.72747811885</v>
      </c>
      <c r="BB48" s="435">
        <f t="shared" si="390"/>
        <v>990964.07699087297</v>
      </c>
      <c r="BC48" s="435">
        <f t="shared" si="390"/>
        <v>611904.26199999999</v>
      </c>
      <c r="BD48" s="435">
        <f t="shared" si="390"/>
        <v>832544.40399999998</v>
      </c>
      <c r="BE48" s="435">
        <f t="shared" si="390"/>
        <v>759343.46</v>
      </c>
      <c r="BF48" s="435">
        <f t="shared" si="390"/>
        <v>1082881.8489999999</v>
      </c>
      <c r="BG48" s="435">
        <f t="shared" si="390"/>
        <v>654693.22199999995</v>
      </c>
      <c r="BH48" s="435">
        <f t="shared" si="390"/>
        <v>893341.6958540479</v>
      </c>
      <c r="BI48" s="435">
        <f t="shared" si="390"/>
        <v>862623.84779999999</v>
      </c>
      <c r="BJ48" s="435">
        <f t="shared" si="390"/>
        <v>1353296.56</v>
      </c>
      <c r="BK48" s="435">
        <f t="shared" si="390"/>
        <v>821638.99800000002</v>
      </c>
      <c r="BL48" s="435">
        <f t="shared" si="390"/>
        <v>1066915.74</v>
      </c>
      <c r="BM48" s="435">
        <f t="shared" si="390"/>
        <v>1020966.843</v>
      </c>
      <c r="BN48" s="435">
        <f t="shared" si="390"/>
        <v>1504905.584</v>
      </c>
      <c r="BO48" s="435">
        <f t="shared" si="390"/>
        <v>781899.66399999999</v>
      </c>
      <c r="BP48" s="435">
        <f t="shared" si="390"/>
        <v>346642.80000000005</v>
      </c>
      <c r="BQ48" s="435">
        <f t="shared" si="390"/>
        <v>873511.70400000003</v>
      </c>
      <c r="BR48" s="435">
        <f t="shared" si="390"/>
        <v>1493820.5119999999</v>
      </c>
      <c r="BS48" s="435">
        <f t="shared" si="390"/>
        <v>621759.24</v>
      </c>
      <c r="BT48" s="435">
        <f t="shared" si="390"/>
        <v>1071442</v>
      </c>
      <c r="BU48" s="435">
        <f t="shared" si="390"/>
        <v>1046809.2540000001</v>
      </c>
      <c r="BV48" s="435">
        <f t="shared" si="390"/>
        <v>1618773.152</v>
      </c>
      <c r="BW48" s="435">
        <f t="shared" si="390"/>
        <v>994509.2536440175</v>
      </c>
      <c r="BX48" s="435">
        <f t="shared" si="390"/>
        <v>1448767.9075686762</v>
      </c>
      <c r="BY48" s="435">
        <f>BY46*BY4</f>
        <v>1174351.0879465621</v>
      </c>
      <c r="BZ48" s="435">
        <f>BZ46*BZ4</f>
        <v>1604976.8220000002</v>
      </c>
      <c r="CA48" s="435">
        <f>CA46*CA4</f>
        <v>917059.01737718075</v>
      </c>
      <c r="CB48" s="435">
        <f>CB46*CB4</f>
        <v>1233273.063282212</v>
      </c>
      <c r="CC48" s="435">
        <f>CC46*CC4</f>
        <v>1007097.3860404105</v>
      </c>
      <c r="CD48" s="435">
        <f t="shared" si="390"/>
        <v>1560767.6186338265</v>
      </c>
      <c r="CE48" s="435">
        <f t="shared" ref="CE48:CH48" si="391">CE46*CE4</f>
        <v>847869.68766272254</v>
      </c>
      <c r="CF48" s="435">
        <f t="shared" ref="CF48:CG48" si="392">CF46*CF4</f>
        <v>1135994.3862060667</v>
      </c>
      <c r="CG48" s="435">
        <f t="shared" si="392"/>
        <v>1093583.2282102047</v>
      </c>
      <c r="CH48" s="435">
        <f t="shared" si="391"/>
        <v>1494809.3978114219</v>
      </c>
      <c r="CI48" s="435">
        <f t="shared" ref="CI48:CL48" si="393">CI46*CI4</f>
        <v>930615.75214185589</v>
      </c>
      <c r="CJ48" s="435">
        <f t="shared" ref="CJ48" si="394">CJ46*CJ4</f>
        <v>1278800.7720000001</v>
      </c>
      <c r="CK48" s="435">
        <f t="shared" si="393"/>
        <v>1061129.7000571198</v>
      </c>
      <c r="CL48" s="435">
        <f t="shared" si="393"/>
        <v>1597411.5862999028</v>
      </c>
      <c r="CM48" s="435">
        <f t="shared" ref="CM48:CP48" si="395">CM46*CM4</f>
        <v>1110163.5526030988</v>
      </c>
      <c r="CN48" s="435">
        <f t="shared" si="395"/>
        <v>1507450.6916287497</v>
      </c>
      <c r="CO48" s="435">
        <f t="shared" si="395"/>
        <v>1347671.1155297351</v>
      </c>
      <c r="CP48" s="435">
        <f t="shared" si="395"/>
        <v>1979655.5967090314</v>
      </c>
      <c r="CQ48" s="435"/>
      <c r="CR48" s="240"/>
      <c r="CS48" s="435">
        <v>1279142.7672913875</v>
      </c>
      <c r="CT48" s="1133"/>
      <c r="CU48" s="238">
        <f>SUM(C48:F48)</f>
        <v>0</v>
      </c>
      <c r="CV48" s="238">
        <f>SUM(G48:J48)</f>
        <v>0</v>
      </c>
      <c r="CW48" s="241">
        <f>SUM(K48:N48)</f>
        <v>1122904.7349999999</v>
      </c>
      <c r="CX48" s="241">
        <f>SUM(O48:R48)</f>
        <v>1254025.2170000002</v>
      </c>
      <c r="CY48" s="240">
        <f>SUM(S48:V48)</f>
        <v>1287421.17</v>
      </c>
      <c r="CZ48" s="240">
        <f>SUM(W48:Z48)</f>
        <v>1357188.2110000001</v>
      </c>
      <c r="DA48" s="240">
        <f>SUM(AA48:AD48)</f>
        <v>1428579.1423204062</v>
      </c>
      <c r="DB48" s="240">
        <f>SUM(AE48:AH48)</f>
        <v>1645305.4093940116</v>
      </c>
      <c r="DC48" s="240">
        <f>+SUM(AI48:AL48)</f>
        <v>1859344.742921344</v>
      </c>
      <c r="DD48" s="240">
        <f>+SUM(AM48:AP48)</f>
        <v>2055781.0721774157</v>
      </c>
      <c r="DE48" s="435">
        <f t="shared" ref="DE48:DR48" si="396">DE46*DE4</f>
        <v>2407152.3657401525</v>
      </c>
      <c r="DF48" s="435">
        <f t="shared" si="396"/>
        <v>2834505.7746275798</v>
      </c>
      <c r="DG48" s="435">
        <f t="shared" si="396"/>
        <v>3008674.8554146192</v>
      </c>
      <c r="DH48" s="435">
        <f t="shared" si="396"/>
        <v>3286751.3952157157</v>
      </c>
      <c r="DI48" s="435">
        <f t="shared" si="396"/>
        <v>3764394.3155810796</v>
      </c>
      <c r="DJ48" s="435">
        <f t="shared" si="396"/>
        <v>4414480.3169866242</v>
      </c>
      <c r="DK48" s="435">
        <f t="shared" si="396"/>
        <v>3497289.93716873</v>
      </c>
      <c r="DL48" s="435">
        <f t="shared" si="396"/>
        <v>4358678.9582606507</v>
      </c>
      <c r="DM48" s="435">
        <f t="shared" si="396"/>
        <v>5222555.4071552083</v>
      </c>
      <c r="DN48" s="435">
        <f t="shared" si="396"/>
        <v>4723516.035417866</v>
      </c>
      <c r="DO48" s="435">
        <f t="shared" ref="DO48:DP48" si="397">DO46*DO4</f>
        <v>4571993.0089704264</v>
      </c>
      <c r="DP48" s="435">
        <f t="shared" si="397"/>
        <v>4867712.5943832109</v>
      </c>
      <c r="DQ48" s="435">
        <f t="shared" ref="DQ48" si="398">DQ46*DQ4</f>
        <v>5944925.4293328673</v>
      </c>
      <c r="DR48" s="435">
        <f t="shared" si="396"/>
        <v>6774232.7869373886</v>
      </c>
      <c r="DS48" s="435">
        <f t="shared" ref="DS48:DU48" si="399">DS46*DS4</f>
        <v>7683316.1241163686</v>
      </c>
      <c r="DT48" s="435">
        <f t="shared" si="399"/>
        <v>8684663.2483729962</v>
      </c>
      <c r="DU48" s="435">
        <f t="shared" si="399"/>
        <v>9789422.1315147616</v>
      </c>
      <c r="DV48" s="237"/>
      <c r="DW48" s="237"/>
      <c r="DY48" s="435">
        <v>5616983.7967812214</v>
      </c>
      <c r="DZ48" s="435">
        <v>6341002.0078976555</v>
      </c>
    </row>
    <row r="49" spans="1:130">
      <c r="A49" s="414" t="s">
        <v>90</v>
      </c>
      <c r="B49" s="415"/>
      <c r="C49" s="432"/>
      <c r="D49" s="432"/>
      <c r="E49" s="433"/>
      <c r="F49" s="432"/>
      <c r="G49" s="432"/>
      <c r="H49" s="432"/>
      <c r="I49" s="433"/>
      <c r="J49" s="432"/>
      <c r="K49" s="435"/>
      <c r="L49" s="435"/>
      <c r="M49" s="435"/>
      <c r="N49" s="435"/>
      <c r="O49" s="435"/>
      <c r="P49" s="435"/>
      <c r="Q49" s="435"/>
      <c r="R49" s="435"/>
      <c r="S49" s="435"/>
      <c r="T49" s="435"/>
      <c r="U49" s="435"/>
      <c r="V49" s="435"/>
      <c r="W49" s="435"/>
      <c r="X49" s="435"/>
      <c r="Y49" s="435"/>
      <c r="Z49" s="435"/>
      <c r="AA49" s="435"/>
      <c r="AB49" s="435"/>
      <c r="AC49" s="435"/>
      <c r="AD49" s="435"/>
      <c r="AE49" s="435"/>
      <c r="AF49" s="435"/>
      <c r="AG49" s="435"/>
      <c r="AH49" s="435"/>
      <c r="AI49" s="435"/>
      <c r="AJ49" s="435"/>
      <c r="AK49" s="435"/>
      <c r="AL49" s="435"/>
      <c r="AM49" s="435"/>
      <c r="AN49" s="435"/>
      <c r="AO49" s="435"/>
      <c r="AP49" s="435"/>
      <c r="AQ49" s="435">
        <f t="shared" ref="AQ49:CD49" si="400">+AQ46*AQ13</f>
        <v>312774.14400000003</v>
      </c>
      <c r="AR49" s="435">
        <f t="shared" si="400"/>
        <v>441145.60600000003</v>
      </c>
      <c r="AS49" s="435">
        <f t="shared" si="400"/>
        <v>413600.94500000001</v>
      </c>
      <c r="AT49" s="435">
        <f t="shared" si="400"/>
        <v>642875.69500000007</v>
      </c>
      <c r="AU49" s="435">
        <f t="shared" si="400"/>
        <v>386161.89</v>
      </c>
      <c r="AV49" s="435">
        <f t="shared" si="400"/>
        <v>538981.94799999997</v>
      </c>
      <c r="AW49" s="435">
        <f t="shared" si="400"/>
        <v>495600.90500000003</v>
      </c>
      <c r="AX49" s="435">
        <f t="shared" si="400"/>
        <v>711060.64199999999</v>
      </c>
      <c r="AY49" s="435">
        <f t="shared" si="400"/>
        <v>412164.68400000001</v>
      </c>
      <c r="AZ49" s="435">
        <f t="shared" si="400"/>
        <v>596128.01599999995</v>
      </c>
      <c r="BA49" s="435">
        <f t="shared" si="400"/>
        <v>509208.87200000003</v>
      </c>
      <c r="BB49" s="435">
        <f t="shared" si="400"/>
        <v>745294.88211551006</v>
      </c>
      <c r="BC49" s="435">
        <f t="shared" si="400"/>
        <v>460537.13199999998</v>
      </c>
      <c r="BD49" s="435">
        <f t="shared" si="400"/>
        <v>632616.92800000007</v>
      </c>
      <c r="BE49" s="435">
        <f t="shared" si="400"/>
        <v>579317.37400000007</v>
      </c>
      <c r="BF49" s="435">
        <f t="shared" si="400"/>
        <v>824493.70499999996</v>
      </c>
      <c r="BG49" s="435">
        <f t="shared" si="400"/>
        <v>502176.02100000001</v>
      </c>
      <c r="BH49" s="435">
        <f t="shared" si="400"/>
        <v>682819.89159999997</v>
      </c>
      <c r="BI49" s="435">
        <f t="shared" si="400"/>
        <v>660795.09210000001</v>
      </c>
      <c r="BJ49" s="435">
        <f t="shared" si="400"/>
        <v>970575.62800000003</v>
      </c>
      <c r="BK49" s="435">
        <f t="shared" si="400"/>
        <v>590820.64599999995</v>
      </c>
      <c r="BL49" s="435">
        <f t="shared" si="400"/>
        <v>767362.12</v>
      </c>
      <c r="BM49" s="435">
        <f t="shared" si="400"/>
        <v>736063.04399999999</v>
      </c>
      <c r="BN49" s="435">
        <f t="shared" si="400"/>
        <v>1083142.8659999999</v>
      </c>
      <c r="BO49" s="435">
        <f t="shared" si="400"/>
        <v>564265.52</v>
      </c>
      <c r="BP49" s="435">
        <f t="shared" si="400"/>
        <v>250391.10400000002</v>
      </c>
      <c r="BQ49" s="435">
        <f t="shared" si="400"/>
        <v>604338.10199999996</v>
      </c>
      <c r="BR49" s="435">
        <f t="shared" si="400"/>
        <v>1056879.996</v>
      </c>
      <c r="BS49" s="435">
        <f t="shared" si="400"/>
        <v>442071.10800000001</v>
      </c>
      <c r="BT49" s="435">
        <f t="shared" si="400"/>
        <v>767965.82000000007</v>
      </c>
      <c r="BU49" s="435">
        <f t="shared" si="400"/>
        <v>754271.94967590075</v>
      </c>
      <c r="BV49" s="435">
        <f t="shared" si="400"/>
        <v>1167897.1470109599</v>
      </c>
      <c r="BW49" s="435">
        <f t="shared" si="400"/>
        <v>722350.27444607997</v>
      </c>
      <c r="BX49" s="435">
        <f t="shared" si="400"/>
        <v>1047360.4923392175</v>
      </c>
      <c r="BY49" s="435">
        <f>+BY46*BY13</f>
        <v>855864.18362849939</v>
      </c>
      <c r="BZ49" s="435">
        <f>+BZ46*BZ13</f>
        <v>1162440.5279999999</v>
      </c>
      <c r="CA49" s="435">
        <f>+CA46*CA13</f>
        <v>660212.69194329611</v>
      </c>
      <c r="CB49" s="435">
        <f>+CB46*CB13</f>
        <v>882832.52270236285</v>
      </c>
      <c r="CC49" s="435">
        <f>+CC46*CC13</f>
        <v>722788.18572331278</v>
      </c>
      <c r="CD49" s="435">
        <f t="shared" si="400"/>
        <v>1028007.7370766271</v>
      </c>
      <c r="CE49" s="435">
        <f t="shared" ref="CE49" si="401">+CE46*CE13</f>
        <v>657010.838665182</v>
      </c>
      <c r="CF49" s="435">
        <f t="shared" ref="CF49:CH49" si="402">+CF46*CF13</f>
        <v>872311.09173965012</v>
      </c>
      <c r="CG49" s="435">
        <f t="shared" si="402"/>
        <v>840587.57006203965</v>
      </c>
      <c r="CH49" s="435">
        <f t="shared" si="402"/>
        <v>1146627.8025800316</v>
      </c>
      <c r="CI49" s="435">
        <f t="shared" ref="CI49:CL49" si="403">+CI46*CI13</f>
        <v>715257.5481947246</v>
      </c>
      <c r="CJ49" s="435">
        <f t="shared" ref="CJ49:CK49" si="404">+CJ46*CJ13</f>
        <v>974461.62300000002</v>
      </c>
      <c r="CK49" s="435">
        <f t="shared" si="404"/>
        <v>811394.58481999789</v>
      </c>
      <c r="CL49" s="239">
        <f t="shared" si="403"/>
        <v>1219355.1637419099</v>
      </c>
      <c r="CM49" s="239">
        <f t="shared" ref="CM49:CP49" si="405">+CM46*CM13</f>
        <v>848155.80771650246</v>
      </c>
      <c r="CN49" s="239">
        <f t="shared" si="405"/>
        <v>1151182.5275340849</v>
      </c>
      <c r="CO49" s="239">
        <f t="shared" si="405"/>
        <v>1029387.2979205558</v>
      </c>
      <c r="CP49" s="239">
        <f t="shared" si="405"/>
        <v>1511950.6773897479</v>
      </c>
      <c r="CQ49" s="239"/>
      <c r="CR49" s="239"/>
      <c r="CS49" s="239">
        <v>982163.02285915229</v>
      </c>
      <c r="CT49" s="1133"/>
      <c r="CU49" s="238"/>
      <c r="CV49" s="238"/>
      <c r="CW49" s="241"/>
      <c r="CX49" s="241"/>
      <c r="CY49" s="240"/>
      <c r="CZ49" s="240"/>
      <c r="DA49" s="240"/>
      <c r="DB49" s="240"/>
      <c r="DC49" s="240"/>
      <c r="DD49" s="240"/>
      <c r="DE49" s="240">
        <f>+SUM(AQ49:AT49)</f>
        <v>1810396.3900000001</v>
      </c>
      <c r="DF49" s="240">
        <f>+SUM(AU49:AX49)</f>
        <v>2131805.3849999998</v>
      </c>
      <c r="DG49" s="240">
        <f>+SUM(AY49:BB49)</f>
        <v>2262796.45411551</v>
      </c>
      <c r="DH49" s="240">
        <f>+SUM(BC49:BF49)</f>
        <v>2496965.139</v>
      </c>
      <c r="DI49" s="240">
        <f>+SUM(BG49:BJ49)</f>
        <v>2816366.6327</v>
      </c>
      <c r="DJ49" s="240">
        <f>+SUM(BK49:BN49)</f>
        <v>3177388.676</v>
      </c>
      <c r="DK49" s="240">
        <f>+SUM(BO49:BR49)</f>
        <v>2475874.7220000001</v>
      </c>
      <c r="DL49" s="240">
        <f>+SUM(BS49:BV49)</f>
        <v>3132206.0246868609</v>
      </c>
      <c r="DM49" s="240">
        <f>+SUM(BW49:BZ49)</f>
        <v>3788015.478413797</v>
      </c>
      <c r="DN49" s="240">
        <f>+SUM(CA49:CD49)</f>
        <v>3293841.1374455988</v>
      </c>
      <c r="DO49" s="240">
        <f>+SUM(CE49:CH49)</f>
        <v>3516537.3030469036</v>
      </c>
      <c r="DP49" s="240">
        <f>+SUM(CI49:CL49)</f>
        <v>3720468.9197566323</v>
      </c>
      <c r="DQ49" s="240">
        <f>+SUM(CM49:CP49)</f>
        <v>4540676.3105608914</v>
      </c>
      <c r="DR49" s="239">
        <f>DR46*DR13</f>
        <v>5175872.6791640725</v>
      </c>
      <c r="DS49" s="239">
        <f t="shared" ref="DS49:DU49" si="406">DS46*DS13</f>
        <v>5869451.3720661635</v>
      </c>
      <c r="DT49" s="239">
        <f t="shared" si="406"/>
        <v>6634972.4228050504</v>
      </c>
      <c r="DU49" s="239">
        <f t="shared" si="406"/>
        <v>7478672.7416791292</v>
      </c>
      <c r="DV49" s="237"/>
      <c r="DW49" s="237"/>
      <c r="DY49" s="239">
        <v>4058181.5205346956</v>
      </c>
      <c r="DZ49" s="239">
        <v>4587408.8764380235</v>
      </c>
    </row>
    <row r="50" spans="1:130">
      <c r="A50" s="417" t="s">
        <v>169</v>
      </c>
      <c r="B50" s="419"/>
      <c r="C50" s="419"/>
      <c r="D50" s="419"/>
      <c r="E50" s="419">
        <v>0.01</v>
      </c>
      <c r="F50" s="419"/>
      <c r="G50" s="419"/>
      <c r="H50" s="419"/>
      <c r="I50" s="419"/>
      <c r="J50" s="419"/>
      <c r="K50" s="419"/>
      <c r="L50" s="419"/>
      <c r="M50" s="419"/>
      <c r="N50" s="419"/>
      <c r="O50" s="419">
        <v>4.2479042357190355E-2</v>
      </c>
      <c r="P50" s="419">
        <v>0.14944667354290653</v>
      </c>
      <c r="Q50" s="419">
        <v>0.15907631679455148</v>
      </c>
      <c r="R50" s="419">
        <v>0.10479386529955126</v>
      </c>
      <c r="S50" s="419">
        <v>0.12350808583170991</v>
      </c>
      <c r="T50" s="419">
        <v>-3.4682091080284749E-3</v>
      </c>
      <c r="U50" s="419">
        <v>7.7406578945122817E-3</v>
      </c>
      <c r="V50" s="419">
        <v>1.2821226952771214E-2</v>
      </c>
      <c r="W50" s="419">
        <v>-1.8207958162441029E-2</v>
      </c>
      <c r="X50" s="419">
        <v>9.5127535567676391E-2</v>
      </c>
      <c r="Y50" s="419">
        <v>5.9102966811769964E-2</v>
      </c>
      <c r="Z50" s="419">
        <v>6.0670997711388175E-2</v>
      </c>
      <c r="AA50" s="419">
        <v>4.2856560762854379E-2</v>
      </c>
      <c r="AB50" s="419">
        <v>2.071208860436724E-2</v>
      </c>
      <c r="AC50" s="419">
        <v>8.0526980420953409E-2</v>
      </c>
      <c r="AD50" s="419">
        <v>6.4954854772982351E-2</v>
      </c>
      <c r="AE50" s="419">
        <v>0.14014735706949777</v>
      </c>
      <c r="AF50" s="419">
        <v>0.14688702098993645</v>
      </c>
      <c r="AG50" s="419">
        <v>0.14570819598846541</v>
      </c>
      <c r="AH50" s="419">
        <v>0.16598529836816889</v>
      </c>
      <c r="AI50" s="419">
        <v>0.13437851362005482</v>
      </c>
      <c r="AJ50" s="419">
        <v>6.5586373558283118E-2</v>
      </c>
      <c r="AK50" s="419">
        <v>0.15537249195576308</v>
      </c>
      <c r="AL50" s="419">
        <v>0.16076981729813156</v>
      </c>
      <c r="AM50" s="419">
        <v>0.1352692551007435</v>
      </c>
      <c r="AN50" s="419">
        <v>0.10196184779164041</v>
      </c>
      <c r="AO50" s="419">
        <v>0.10716670337009093</v>
      </c>
      <c r="AP50" s="419">
        <v>9.2068654741892297E-2</v>
      </c>
      <c r="AQ50" s="419" t="e">
        <f t="shared" ref="AQ50:BG50" si="407">AQ49/AM49-1</f>
        <v>#DIV/0!</v>
      </c>
      <c r="AR50" s="419" t="e">
        <f t="shared" si="407"/>
        <v>#DIV/0!</v>
      </c>
      <c r="AS50" s="419" t="e">
        <f t="shared" si="407"/>
        <v>#DIV/0!</v>
      </c>
      <c r="AT50" s="419" t="e">
        <f t="shared" si="407"/>
        <v>#DIV/0!</v>
      </c>
      <c r="AU50" s="419">
        <f t="shared" si="407"/>
        <v>0.23463495115504163</v>
      </c>
      <c r="AV50" s="419">
        <f t="shared" si="407"/>
        <v>0.22177789072209397</v>
      </c>
      <c r="AW50" s="419">
        <f t="shared" si="407"/>
        <v>0.19825863792453391</v>
      </c>
      <c r="AX50" s="419">
        <f t="shared" si="407"/>
        <v>0.10606241226774005</v>
      </c>
      <c r="AY50" s="419">
        <f t="shared" si="407"/>
        <v>6.733651008389252E-2</v>
      </c>
      <c r="AZ50" s="419">
        <f t="shared" si="407"/>
        <v>0.10602594059421078</v>
      </c>
      <c r="BA50" s="419">
        <f t="shared" si="407"/>
        <v>2.7457510393367857E-2</v>
      </c>
      <c r="BB50" s="419">
        <f t="shared" si="407"/>
        <v>4.8145317140911414E-2</v>
      </c>
      <c r="BC50" s="419">
        <f t="shared" si="407"/>
        <v>0.11736194263553146</v>
      </c>
      <c r="BD50" s="419">
        <f t="shared" si="407"/>
        <v>6.1209859326591509E-2</v>
      </c>
      <c r="BE50" s="419">
        <f t="shared" si="407"/>
        <v>0.13768122641822322</v>
      </c>
      <c r="BF50" s="419">
        <f t="shared" si="407"/>
        <v>0.1062650835058534</v>
      </c>
      <c r="BG50" s="419">
        <f t="shared" si="407"/>
        <v>9.0413749742984884E-2</v>
      </c>
      <c r="BH50" s="419">
        <f t="shared" ref="BH50:BW50" si="408">BH49/BD49-1</f>
        <v>7.9357603911604402E-2</v>
      </c>
      <c r="BI50" s="419">
        <f t="shared" si="408"/>
        <v>0.14064435447088797</v>
      </c>
      <c r="BJ50" s="419">
        <f t="shared" si="408"/>
        <v>0.17717772993791403</v>
      </c>
      <c r="BK50" s="419">
        <f t="shared" si="408"/>
        <v>0.17652102309361339</v>
      </c>
      <c r="BL50" s="419">
        <f t="shared" si="408"/>
        <v>0.12381336490051376</v>
      </c>
      <c r="BM50" s="231">
        <f t="shared" si="408"/>
        <v>0.11390513156022264</v>
      </c>
      <c r="BN50" s="231">
        <f t="shared" si="408"/>
        <v>0.11597987292547174</v>
      </c>
      <c r="BO50" s="231">
        <f t="shared" si="408"/>
        <v>-4.4946171363144827E-2</v>
      </c>
      <c r="BP50" s="231">
        <f t="shared" si="408"/>
        <v>-0.6736988998101705</v>
      </c>
      <c r="BQ50" s="231">
        <f t="shared" si="408"/>
        <v>-0.17895877679738537</v>
      </c>
      <c r="BR50" s="231">
        <f t="shared" si="408"/>
        <v>-2.4246912225889039E-2</v>
      </c>
      <c r="BS50" s="231">
        <f t="shared" si="408"/>
        <v>-0.21655480916147418</v>
      </c>
      <c r="BT50" s="231">
        <f t="shared" si="408"/>
        <v>2.0670651142622063</v>
      </c>
      <c r="BU50" s="231">
        <f t="shared" si="408"/>
        <v>0.24809597008646134</v>
      </c>
      <c r="BV50" s="231">
        <f t="shared" si="408"/>
        <v>0.10504234296337267</v>
      </c>
      <c r="BW50" s="231">
        <f t="shared" si="408"/>
        <v>0.63401376243316943</v>
      </c>
      <c r="BX50" s="231">
        <f t="shared" ref="BX50:CD50" si="409">BX49/BT49-1</f>
        <v>0.36381133777440433</v>
      </c>
      <c r="BY50" s="231">
        <f t="shared" si="409"/>
        <v>0.13468913168022656</v>
      </c>
      <c r="BZ50" s="231">
        <f t="shared" si="409"/>
        <v>-4.6721742791523413E-3</v>
      </c>
      <c r="CA50" s="231">
        <f t="shared" si="409"/>
        <v>-8.6021400836917894E-2</v>
      </c>
      <c r="CB50" s="231">
        <f t="shared" si="409"/>
        <v>-0.1570881953637483</v>
      </c>
      <c r="CC50" s="231">
        <f t="shared" si="409"/>
        <v>-0.15548728460747252</v>
      </c>
      <c r="CD50" s="231">
        <f t="shared" si="409"/>
        <v>-0.11564702682438899</v>
      </c>
      <c r="CE50" s="231">
        <f t="shared" ref="CE50:CG50" si="410">CE49/CA49-1</f>
        <v>-4.8497299691250273E-3</v>
      </c>
      <c r="CF50" s="231">
        <f t="shared" si="410"/>
        <v>-1.191781078760723E-2</v>
      </c>
      <c r="CG50" s="231">
        <f t="shared" si="410"/>
        <v>0.1629791226053896</v>
      </c>
      <c r="CH50" s="231">
        <f t="shared" ref="CH50" si="411">CH49/CD49-1</f>
        <v>0.11538830032615066</v>
      </c>
      <c r="CI50" s="231">
        <f t="shared" ref="CI50:CJ50" si="412">CI49/CE49-1</f>
        <v>8.8654107514998914E-2</v>
      </c>
      <c r="CJ50" s="231">
        <f t="shared" si="412"/>
        <v>0.11710332727356598</v>
      </c>
      <c r="CK50" s="231">
        <f t="shared" ref="CK50" si="413">CK49/CG49-1</f>
        <v>-3.4729261152276147E-2</v>
      </c>
      <c r="CL50" s="231">
        <f t="shared" ref="CL50" si="414">CL49/CH49-1</f>
        <v>6.3427174012556042E-2</v>
      </c>
      <c r="CM50" s="231">
        <f t="shared" ref="CM50" si="415">CM49/CI49-1</f>
        <v>0.18580476341313235</v>
      </c>
      <c r="CN50" s="231">
        <f t="shared" ref="CN50" si="416">CN49/CJ49-1</f>
        <v>0.18135234919773224</v>
      </c>
      <c r="CO50" s="231">
        <f t="shared" ref="CO50" si="417">CO49/CK49-1</f>
        <v>0.26866424447350479</v>
      </c>
      <c r="CP50" s="231">
        <f t="shared" ref="CP50" si="418">CP49/CL49-1</f>
        <v>0.2399592197157161</v>
      </c>
      <c r="CQ50" s="231"/>
      <c r="CR50" s="231"/>
      <c r="CS50" s="231">
        <v>0.12593205813814023</v>
      </c>
      <c r="CT50" s="1133"/>
      <c r="CU50" s="231"/>
      <c r="CV50" s="231"/>
      <c r="CW50" s="231"/>
      <c r="CX50" s="231">
        <f t="shared" ref="CX50:DD50" si="419">CX48/CW48-1</f>
        <v>0.11676901691932073</v>
      </c>
      <c r="CY50" s="231">
        <f t="shared" si="419"/>
        <v>2.6631005937737706E-2</v>
      </c>
      <c r="CZ50" s="231">
        <f t="shared" si="419"/>
        <v>5.4191310991103414E-2</v>
      </c>
      <c r="DA50" s="231">
        <f t="shared" si="419"/>
        <v>5.26020862410852E-2</v>
      </c>
      <c r="DB50" s="231">
        <f t="shared" si="419"/>
        <v>0.15170756778765671</v>
      </c>
      <c r="DC50" s="231">
        <f t="shared" si="419"/>
        <v>0.13009094378785635</v>
      </c>
      <c r="DD50" s="231">
        <f t="shared" si="419"/>
        <v>0.1056481483618994</v>
      </c>
      <c r="DE50" s="231" t="e">
        <f t="shared" ref="DE50:DL50" si="420">DE49/DD49-1</f>
        <v>#DIV/0!</v>
      </c>
      <c r="DF50" s="231">
        <f t="shared" si="420"/>
        <v>0.17753515018884869</v>
      </c>
      <c r="DG50" s="231">
        <f t="shared" si="420"/>
        <v>6.1446072909469684E-2</v>
      </c>
      <c r="DH50" s="231">
        <f t="shared" si="420"/>
        <v>0.10348641145278026</v>
      </c>
      <c r="DI50" s="231">
        <f t="shared" si="420"/>
        <v>0.12791588024649636</v>
      </c>
      <c r="DJ50" s="231">
        <f t="shared" si="420"/>
        <v>0.12818716111328676</v>
      </c>
      <c r="DK50" s="231">
        <f t="shared" si="420"/>
        <v>-0.22078317308134066</v>
      </c>
      <c r="DL50" s="231">
        <f t="shared" si="420"/>
        <v>0.26509067557209809</v>
      </c>
      <c r="DM50" s="231">
        <f t="shared" ref="DM50:DR50" si="421">DM49/DL49-1</f>
        <v>0.20937621872830037</v>
      </c>
      <c r="DN50" s="231">
        <f t="shared" si="421"/>
        <v>-0.13045731829351714</v>
      </c>
      <c r="DO50" s="231">
        <f t="shared" si="421"/>
        <v>6.7609868329596257E-2</v>
      </c>
      <c r="DP50" s="231">
        <f t="shared" si="421"/>
        <v>5.7992166479517326E-2</v>
      </c>
      <c r="DQ50" s="231">
        <f t="shared" si="421"/>
        <v>0.22045806818832703</v>
      </c>
      <c r="DR50" s="231">
        <f t="shared" si="421"/>
        <v>0.13989025536258004</v>
      </c>
      <c r="DS50" s="231">
        <f t="shared" ref="DS50" si="422">DS49/DR49-1</f>
        <v>0.13400227090093475</v>
      </c>
      <c r="DT50" s="231">
        <f t="shared" ref="DT50" si="423">DT49/DS49-1</f>
        <v>0.13042463463998488</v>
      </c>
      <c r="DU50" s="231">
        <f t="shared" ref="DU50" si="424">DU49/DT49-1</f>
        <v>0.12715958185058884</v>
      </c>
      <c r="DV50" s="231"/>
      <c r="DW50" s="231"/>
      <c r="DY50" s="231">
        <v>0.13406555755872573</v>
      </c>
      <c r="DZ50" s="231">
        <v>0.13040997629736339</v>
      </c>
    </row>
    <row r="51" spans="1:130">
      <c r="A51" s="417" t="s">
        <v>170</v>
      </c>
      <c r="B51" s="419"/>
      <c r="C51" s="419"/>
      <c r="D51" s="419"/>
      <c r="E51" s="419"/>
      <c r="F51" s="419"/>
      <c r="G51" s="437"/>
      <c r="H51" s="419"/>
      <c r="I51" s="419"/>
      <c r="J51" s="419"/>
      <c r="K51" s="419"/>
      <c r="L51" s="419">
        <v>0.39003339881972221</v>
      </c>
      <c r="M51" s="419">
        <v>-0.14883877110072641</v>
      </c>
      <c r="N51" s="419">
        <v>0.49549407977127502</v>
      </c>
      <c r="O51" s="419">
        <v>-0.41082329612504109</v>
      </c>
      <c r="P51" s="419">
        <v>0.53266320133792933</v>
      </c>
      <c r="Q51" s="419">
        <v>-0.14170805405870113</v>
      </c>
      <c r="R51" s="419">
        <v>0.42545634052150194</v>
      </c>
      <c r="S51" s="419">
        <v>-0.40084316941087184</v>
      </c>
      <c r="T51" s="419">
        <v>0.35944513806756007</v>
      </c>
      <c r="U51" s="419">
        <v>-0.13205409182755456</v>
      </c>
      <c r="V51" s="419">
        <v>0.43264284165234201</v>
      </c>
      <c r="W51" s="419">
        <v>-0.41919917115594663</v>
      </c>
      <c r="X51" s="419">
        <v>0.51637591297333851</v>
      </c>
      <c r="Y51" s="419">
        <v>-0.16060544866030757</v>
      </c>
      <c r="Z51" s="419">
        <v>0.43476390854972791</v>
      </c>
      <c r="AA51" s="419">
        <v>-0.42895397709239957</v>
      </c>
      <c r="AB51" s="419">
        <v>0.48417652386264898</v>
      </c>
      <c r="AC51" s="419">
        <v>-0.11141597119613245</v>
      </c>
      <c r="AD51" s="419">
        <v>0.41408666099927216</v>
      </c>
      <c r="AE51" s="419">
        <v>-0.38863454083042859</v>
      </c>
      <c r="AF51" s="419">
        <v>0.49294982049612068</v>
      </c>
      <c r="AG51" s="419">
        <v>-0.11232930010289588</v>
      </c>
      <c r="AH51" s="419">
        <v>0.43911360948340761</v>
      </c>
      <c r="AI51" s="419">
        <v>-0.40520704521573092</v>
      </c>
      <c r="AJ51" s="419">
        <v>0.40241283312934018</v>
      </c>
      <c r="AK51" s="419">
        <v>-3.753432473849283E-2</v>
      </c>
      <c r="AL51" s="419">
        <v>0.44583643213072888</v>
      </c>
      <c r="AM51" s="419">
        <v>-0.4182738518401049</v>
      </c>
      <c r="AN51" s="419">
        <v>0.36126776094608348</v>
      </c>
      <c r="AO51" s="419">
        <v>-3.2988346264745227E-2</v>
      </c>
      <c r="AP51" s="419">
        <v>0.42612006178262796</v>
      </c>
      <c r="AQ51" s="419" t="e">
        <f t="shared" ref="AQ51:BG51" si="425">AQ49/AP49-1</f>
        <v>#DIV/0!</v>
      </c>
      <c r="AR51" s="419">
        <f t="shared" si="425"/>
        <v>0.4104286254556897</v>
      </c>
      <c r="AS51" s="419">
        <f t="shared" si="425"/>
        <v>-6.2438933144445818E-2</v>
      </c>
      <c r="AT51" s="419">
        <f t="shared" si="425"/>
        <v>0.55433807096354681</v>
      </c>
      <c r="AU51" s="419">
        <f t="shared" si="425"/>
        <v>-0.39932106159340808</v>
      </c>
      <c r="AV51" s="419">
        <f t="shared" si="425"/>
        <v>0.39574091063206662</v>
      </c>
      <c r="AW51" s="419">
        <f t="shared" si="425"/>
        <v>-8.048700547573806E-2</v>
      </c>
      <c r="AX51" s="419">
        <f t="shared" si="425"/>
        <v>0.4347444381684491</v>
      </c>
      <c r="AY51" s="419">
        <f t="shared" si="425"/>
        <v>-0.42035227425792465</v>
      </c>
      <c r="AZ51" s="419">
        <f t="shared" si="425"/>
        <v>0.44633453360113684</v>
      </c>
      <c r="BA51" s="419">
        <f t="shared" si="425"/>
        <v>-0.14580617194143064</v>
      </c>
      <c r="BB51" s="419">
        <f t="shared" si="425"/>
        <v>0.46363294729772497</v>
      </c>
      <c r="BC51" s="419">
        <f t="shared" si="425"/>
        <v>-0.38207393737526929</v>
      </c>
      <c r="BD51" s="419">
        <f t="shared" si="425"/>
        <v>0.37365020981630659</v>
      </c>
      <c r="BE51" s="419">
        <f t="shared" si="425"/>
        <v>-8.4252494109673948E-2</v>
      </c>
      <c r="BF51" s="419">
        <f t="shared" si="425"/>
        <v>0.42321591238863809</v>
      </c>
      <c r="BG51" s="419">
        <f t="shared" si="425"/>
        <v>-0.39092801078450923</v>
      </c>
      <c r="BH51" s="419">
        <f t="shared" ref="BH51:BW51" si="426">BH49/BG49-1</f>
        <v>0.35972221501193502</v>
      </c>
      <c r="BI51" s="419">
        <f t="shared" si="426"/>
        <v>-3.2255650093014898E-2</v>
      </c>
      <c r="BJ51" s="419">
        <f t="shared" si="426"/>
        <v>0.46879969237592345</v>
      </c>
      <c r="BK51" s="419">
        <f t="shared" si="426"/>
        <v>-0.39126779103503317</v>
      </c>
      <c r="BL51" s="419">
        <f t="shared" si="426"/>
        <v>0.29880721873080929</v>
      </c>
      <c r="BM51" s="231">
        <f t="shared" si="426"/>
        <v>-4.0787882518881657E-2</v>
      </c>
      <c r="BN51" s="231">
        <f t="shared" si="426"/>
        <v>0.47153545450924716</v>
      </c>
      <c r="BO51" s="231">
        <f t="shared" si="426"/>
        <v>-0.47904792829056031</v>
      </c>
      <c r="BP51" s="231">
        <f t="shared" si="426"/>
        <v>-0.55625304909646078</v>
      </c>
      <c r="BQ51" s="231">
        <f t="shared" si="426"/>
        <v>1.4135765701963594</v>
      </c>
      <c r="BR51" s="231">
        <f t="shared" si="426"/>
        <v>0.7488223769150999</v>
      </c>
      <c r="BS51" s="231">
        <f t="shared" si="426"/>
        <v>-0.58172062138263803</v>
      </c>
      <c r="BT51" s="231">
        <f t="shared" si="426"/>
        <v>0.73719975384593561</v>
      </c>
      <c r="BU51" s="231">
        <f t="shared" si="426"/>
        <v>-1.7831353905958136E-2</v>
      </c>
      <c r="BV51" s="231">
        <f t="shared" si="426"/>
        <v>0.54837674596382335</v>
      </c>
      <c r="BW51" s="231">
        <f t="shared" si="426"/>
        <v>-0.38149495758696184</v>
      </c>
      <c r="BX51" s="231">
        <f t="shared" ref="BX51:CD51" si="427">BX49/BW49-1</f>
        <v>0.44993437310225315</v>
      </c>
      <c r="BY51" s="231">
        <f t="shared" si="427"/>
        <v>-0.18283705573333442</v>
      </c>
      <c r="BZ51" s="231">
        <f t="shared" si="427"/>
        <v>0.35820676952708497</v>
      </c>
      <c r="CA51" s="231">
        <f t="shared" si="427"/>
        <v>-0.43204604791334655</v>
      </c>
      <c r="CB51" s="231">
        <f t="shared" si="427"/>
        <v>0.33719410952824713</v>
      </c>
      <c r="CC51" s="231">
        <f t="shared" si="427"/>
        <v>-0.18128504882121022</v>
      </c>
      <c r="CD51" s="231">
        <f t="shared" si="427"/>
        <v>0.42228076963913463</v>
      </c>
      <c r="CE51" s="231">
        <f t="shared" ref="CE51:CG51" si="428">CE49/CD49-1</f>
        <v>-0.36088920835018112</v>
      </c>
      <c r="CF51" s="231">
        <f t="shared" si="428"/>
        <v>0.32769665339446075</v>
      </c>
      <c r="CG51" s="231">
        <f t="shared" si="428"/>
        <v>-3.6367211168144453E-2</v>
      </c>
      <c r="CH51" s="231">
        <f t="shared" ref="CH51" si="429">CH49/CG49-1</f>
        <v>0.36407894122846063</v>
      </c>
      <c r="CI51" s="231">
        <f t="shared" ref="CI51:CJ51" si="430">CI49/CH49-1</f>
        <v>-0.3762077401356213</v>
      </c>
      <c r="CJ51" s="231">
        <f t="shared" si="430"/>
        <v>0.36239264508217217</v>
      </c>
      <c r="CK51" s="231">
        <f t="shared" ref="CK51" si="431">CK49/CJ49-1</f>
        <v>-0.16734064670292526</v>
      </c>
      <c r="CL51" s="231">
        <f t="shared" ref="CL51" si="432">CL49/CK49-1</f>
        <v>0.50278937837921989</v>
      </c>
      <c r="CM51" s="231">
        <f t="shared" ref="CM51" si="433">CM49/CL49-1</f>
        <v>-0.3044226711488105</v>
      </c>
      <c r="CN51" s="231">
        <f t="shared" ref="CN51" si="434">CN49/CM49-1</f>
        <v>0.35727718546598641</v>
      </c>
      <c r="CO51" s="231">
        <f t="shared" ref="CO51" si="435">CO49/CN49-1</f>
        <v>-0.10580010267739481</v>
      </c>
      <c r="CP51" s="231">
        <f t="shared" ref="CP51" si="436">CP49/CO49-1</f>
        <v>0.4687869963462814</v>
      </c>
      <c r="CQ51" s="231"/>
      <c r="CR51" s="231"/>
      <c r="CS51" s="231">
        <v>0.37315995523302647</v>
      </c>
      <c r="CT51" s="1133"/>
      <c r="CU51" s="231"/>
      <c r="CV51" s="231"/>
      <c r="CW51" s="231"/>
      <c r="CX51" s="231"/>
      <c r="CY51" s="231"/>
      <c r="CZ51" s="231"/>
      <c r="DA51" s="231"/>
      <c r="DB51" s="231"/>
      <c r="DC51" s="231"/>
      <c r="DD51" s="231"/>
      <c r="DE51" s="231"/>
      <c r="DF51" s="231"/>
      <c r="DG51" s="231"/>
      <c r="DH51" s="231"/>
      <c r="DI51" s="231"/>
      <c r="DJ51" s="231"/>
      <c r="DK51" s="231"/>
      <c r="DL51" s="231"/>
      <c r="DM51" s="231"/>
      <c r="DN51" s="231"/>
      <c r="DO51" s="231"/>
      <c r="DP51" s="231"/>
      <c r="DQ51" s="231"/>
      <c r="DR51" s="231"/>
      <c r="DS51" s="231"/>
      <c r="DT51" s="231"/>
      <c r="DU51" s="231"/>
      <c r="DV51" s="231"/>
      <c r="DW51" s="231"/>
      <c r="DY51" s="231"/>
      <c r="DZ51" s="231"/>
    </row>
    <row r="52" spans="1:130">
      <c r="A52" s="414"/>
      <c r="B52" s="415"/>
      <c r="C52" s="416"/>
      <c r="D52" s="416"/>
      <c r="E52" s="434"/>
      <c r="F52" s="416"/>
      <c r="G52" s="416"/>
      <c r="H52" s="416"/>
      <c r="I52" s="434"/>
      <c r="J52" s="416"/>
      <c r="K52" s="416"/>
      <c r="L52" s="416"/>
      <c r="M52" s="416"/>
      <c r="N52" s="416"/>
      <c r="O52" s="416"/>
      <c r="P52" s="419">
        <v>-4.3999999999999928E-2</v>
      </c>
      <c r="Q52" s="419">
        <v>-3.3999999999999919E-2</v>
      </c>
      <c r="R52" s="419">
        <v>-3.8000000000000034E-2</v>
      </c>
      <c r="S52" s="419">
        <v>-4.7000000000000042E-2</v>
      </c>
      <c r="T52" s="419">
        <v>-7.0000000000000062E-2</v>
      </c>
      <c r="U52" s="419">
        <v>-5.4000000000000048E-2</v>
      </c>
      <c r="V52" s="419">
        <v>4.0000000000000036E-3</v>
      </c>
      <c r="W52" s="419">
        <v>2.0000000000000018E-2</v>
      </c>
      <c r="X52" s="419">
        <v>7.0000000000000062E-3</v>
      </c>
      <c r="Y52" s="416"/>
      <c r="Z52" s="416"/>
      <c r="AA52" s="416"/>
      <c r="AB52" s="416"/>
      <c r="AC52" s="416"/>
      <c r="AD52" s="416"/>
      <c r="AE52" s="438"/>
      <c r="AF52" s="438"/>
      <c r="AG52" s="438"/>
      <c r="AH52" s="438"/>
      <c r="AI52" s="438"/>
      <c r="AJ52" s="438"/>
      <c r="AK52" s="438"/>
      <c r="AL52" s="438"/>
      <c r="AM52" s="438"/>
      <c r="AN52" s="438"/>
      <c r="AO52" s="438"/>
      <c r="AP52" s="438"/>
      <c r="AQ52" s="438"/>
      <c r="AR52" s="438"/>
      <c r="AS52" s="438"/>
      <c r="AT52" s="438"/>
      <c r="AU52" s="438"/>
      <c r="AV52" s="438"/>
      <c r="AW52" s="438"/>
      <c r="AX52" s="438"/>
      <c r="AY52" s="438"/>
      <c r="AZ52" s="438"/>
      <c r="BA52" s="438"/>
      <c r="BB52" s="438"/>
      <c r="BC52" s="438"/>
      <c r="BD52" s="438"/>
      <c r="BE52" s="438"/>
      <c r="BF52" s="438"/>
      <c r="BG52" s="438"/>
      <c r="BH52" s="438"/>
      <c r="BI52" s="438"/>
      <c r="BJ52" s="438"/>
      <c r="BK52" s="438"/>
      <c r="BL52" s="438"/>
      <c r="BM52" s="236"/>
      <c r="BN52" s="236"/>
      <c r="BO52" s="236"/>
      <c r="BP52" s="236"/>
      <c r="BQ52" s="236"/>
      <c r="BR52" s="236"/>
      <c r="BS52" s="236"/>
      <c r="BT52" s="236"/>
      <c r="BU52" s="236"/>
      <c r="BV52" s="236"/>
      <c r="BW52" s="236"/>
      <c r="BX52" s="236"/>
      <c r="BY52" s="236"/>
      <c r="BZ52" s="236"/>
      <c r="CA52" s="236"/>
      <c r="CB52" s="236"/>
      <c r="CC52" s="236"/>
      <c r="CD52" s="236"/>
      <c r="CE52" s="236"/>
      <c r="CF52" s="236"/>
      <c r="CG52" s="236"/>
      <c r="CH52" s="236"/>
      <c r="CI52" s="236"/>
      <c r="CJ52" s="236"/>
      <c r="CK52" s="236"/>
      <c r="CL52" s="236"/>
      <c r="CM52" s="236"/>
      <c r="CN52" s="236"/>
      <c r="CO52" s="236"/>
      <c r="CP52" s="236"/>
      <c r="CQ52" s="236"/>
      <c r="CR52" s="236"/>
      <c r="CS52" s="236"/>
      <c r="CT52" s="1133"/>
      <c r="CU52" s="234"/>
      <c r="CV52" s="234"/>
      <c r="CW52" s="234"/>
      <c r="CX52" s="234"/>
      <c r="CY52" s="234"/>
      <c r="CZ52" s="234"/>
      <c r="DA52" s="234"/>
      <c r="DB52" s="234"/>
      <c r="DC52" s="234"/>
      <c r="DD52" s="234"/>
      <c r="DE52" s="234"/>
      <c r="DF52" s="234"/>
      <c r="DG52" s="234"/>
      <c r="DH52" s="234"/>
      <c r="DI52" s="234"/>
      <c r="DJ52" s="234"/>
      <c r="DK52" s="234"/>
      <c r="DL52" s="234"/>
      <c r="DM52" s="234"/>
      <c r="DN52" s="234"/>
      <c r="DO52" s="234"/>
      <c r="DP52" s="234"/>
      <c r="DQ52" s="234"/>
      <c r="DR52" s="234"/>
      <c r="DS52" s="234"/>
      <c r="DT52" s="234"/>
      <c r="DU52" s="234"/>
      <c r="DV52" s="233"/>
      <c r="DW52" s="233"/>
      <c r="DY52" s="234"/>
      <c r="DZ52" s="234"/>
    </row>
    <row r="53" spans="1:130">
      <c r="A53" s="414"/>
      <c r="B53" s="415"/>
      <c r="C53" s="416"/>
      <c r="D53" s="416"/>
      <c r="E53" s="434"/>
      <c r="F53" s="416"/>
      <c r="G53" s="416"/>
      <c r="H53" s="416"/>
      <c r="I53" s="434"/>
      <c r="J53" s="416"/>
      <c r="K53" s="416"/>
      <c r="L53" s="416"/>
      <c r="M53" s="416"/>
      <c r="N53" s="416"/>
      <c r="O53" s="416"/>
      <c r="P53" s="419"/>
      <c r="Q53" s="419"/>
      <c r="R53" s="419"/>
      <c r="S53" s="419"/>
      <c r="T53" s="419"/>
      <c r="U53" s="419"/>
      <c r="V53" s="419"/>
      <c r="W53" s="419"/>
      <c r="X53" s="419"/>
      <c r="Y53" s="416"/>
      <c r="Z53" s="416"/>
      <c r="AA53" s="416"/>
      <c r="AB53" s="416"/>
      <c r="AC53" s="416"/>
      <c r="AD53" s="416"/>
      <c r="AE53" s="416"/>
      <c r="AF53" s="416"/>
      <c r="AG53" s="416"/>
      <c r="AH53" s="416"/>
      <c r="AI53" s="416"/>
      <c r="AJ53" s="416"/>
      <c r="AK53" s="416"/>
      <c r="AL53" s="416"/>
      <c r="AM53" s="416"/>
      <c r="AN53" s="416"/>
      <c r="AO53" s="416"/>
      <c r="AP53" s="416"/>
      <c r="AQ53" s="416"/>
      <c r="AR53" s="416"/>
      <c r="AS53" s="416"/>
      <c r="AT53" s="416"/>
      <c r="AU53" s="416"/>
      <c r="AV53" s="416"/>
      <c r="AW53" s="416"/>
      <c r="AX53" s="416"/>
      <c r="AY53" s="416"/>
      <c r="AZ53" s="416"/>
      <c r="BA53" s="416"/>
      <c r="BB53" s="416"/>
      <c r="BC53" s="416"/>
      <c r="BD53" s="416"/>
      <c r="BE53" s="416"/>
      <c r="BF53" s="416"/>
      <c r="BG53" s="416"/>
      <c r="BH53" s="416"/>
      <c r="BI53" s="416"/>
      <c r="BJ53" s="416"/>
      <c r="BK53" s="416"/>
      <c r="BL53" s="416"/>
      <c r="BM53" s="234"/>
      <c r="BN53" s="234"/>
      <c r="BO53" s="234"/>
      <c r="BP53" s="234"/>
      <c r="BQ53" s="234"/>
      <c r="BR53" s="234"/>
      <c r="BS53" s="234"/>
      <c r="BT53" s="234"/>
      <c r="BU53" s="234"/>
      <c r="BV53" s="234"/>
      <c r="BW53" s="234"/>
      <c r="BX53" s="234"/>
      <c r="BY53" s="234"/>
      <c r="BZ53" s="234"/>
      <c r="CA53" s="234"/>
      <c r="CB53" s="234"/>
      <c r="CC53" s="234"/>
      <c r="CD53" s="234"/>
      <c r="CE53" s="234"/>
      <c r="CF53" s="234"/>
      <c r="CG53" s="234"/>
      <c r="CH53" s="234"/>
      <c r="CI53" s="234"/>
      <c r="CJ53" s="234"/>
      <c r="CK53" s="234"/>
      <c r="CL53" s="234"/>
      <c r="CM53" s="234"/>
      <c r="CN53" s="234"/>
      <c r="CO53" s="234"/>
      <c r="CP53" s="234"/>
      <c r="CQ53" s="234"/>
      <c r="CR53" s="234"/>
      <c r="CS53" s="234"/>
      <c r="CT53" s="1133"/>
      <c r="CU53" s="234"/>
      <c r="CV53" s="234"/>
      <c r="CW53" s="234"/>
      <c r="CX53" s="234"/>
      <c r="CY53" s="234"/>
      <c r="CZ53" s="234"/>
      <c r="DA53" s="234"/>
      <c r="DB53" s="234"/>
      <c r="DC53" s="234"/>
      <c r="DD53" s="234"/>
      <c r="DE53" s="234"/>
      <c r="DF53" s="234"/>
      <c r="DG53" s="234"/>
      <c r="DH53" s="234"/>
      <c r="DI53" s="234"/>
      <c r="DJ53" s="234"/>
      <c r="DK53" s="234"/>
      <c r="DL53" s="234"/>
      <c r="DM53" s="234"/>
      <c r="DN53" s="234"/>
      <c r="DO53" s="234"/>
      <c r="DP53" s="234"/>
      <c r="DQ53" s="234"/>
      <c r="DR53" s="234"/>
      <c r="DS53" s="234"/>
      <c r="DT53" s="234"/>
      <c r="DU53" s="234"/>
      <c r="DV53" s="233"/>
      <c r="DW53" s="233"/>
      <c r="DY53" s="234"/>
      <c r="DZ53" s="234"/>
    </row>
    <row r="54" spans="1:130">
      <c r="A54" s="1440" t="s">
        <v>593</v>
      </c>
      <c r="B54" s="415"/>
      <c r="C54" s="416"/>
      <c r="D54" s="416"/>
      <c r="E54" s="434"/>
      <c r="F54" s="416"/>
      <c r="G54" s="416"/>
      <c r="H54" s="416"/>
      <c r="I54" s="434"/>
      <c r="J54" s="416"/>
      <c r="K54" s="416"/>
      <c r="L54" s="416"/>
      <c r="M54" s="416"/>
      <c r="N54" s="416"/>
      <c r="O54" s="416"/>
      <c r="P54" s="419"/>
      <c r="Q54" s="419"/>
      <c r="R54" s="419"/>
      <c r="S54" s="419"/>
      <c r="T54" s="419"/>
      <c r="U54" s="419"/>
      <c r="V54" s="419"/>
      <c r="W54" s="419"/>
      <c r="X54" s="419"/>
      <c r="Y54" s="416"/>
      <c r="Z54" s="416"/>
      <c r="AA54" s="416"/>
      <c r="AB54" s="416"/>
      <c r="AC54" s="416"/>
      <c r="AD54" s="416"/>
      <c r="AE54" s="416"/>
      <c r="AF54" s="416"/>
      <c r="AG54" s="416"/>
      <c r="AH54" s="416"/>
      <c r="AI54" s="416"/>
      <c r="AJ54" s="416"/>
      <c r="AK54" s="416"/>
      <c r="AL54" s="416"/>
      <c r="AM54" s="416"/>
      <c r="AN54" s="416"/>
      <c r="AO54" s="416"/>
      <c r="AP54" s="416"/>
      <c r="AQ54" s="416"/>
      <c r="AR54" s="416"/>
      <c r="AS54" s="416"/>
      <c r="AT54" s="416"/>
      <c r="AU54" s="416"/>
      <c r="AV54" s="416"/>
      <c r="AW54" s="416"/>
      <c r="AX54" s="416"/>
      <c r="AY54" s="416"/>
      <c r="AZ54" s="416"/>
      <c r="BA54" s="416"/>
      <c r="BB54" s="416"/>
      <c r="BC54" s="416"/>
      <c r="BD54" s="416"/>
      <c r="BE54" s="416"/>
      <c r="BF54" s="416"/>
      <c r="BG54" s="416"/>
      <c r="BH54" s="416"/>
      <c r="BI54" s="416"/>
      <c r="BJ54" s="416"/>
      <c r="BK54" s="416"/>
      <c r="BL54" s="416"/>
      <c r="BM54" s="234"/>
      <c r="BN54" s="234"/>
      <c r="BO54" s="234"/>
      <c r="BP54" s="234"/>
      <c r="BQ54" s="234"/>
      <c r="BR54" s="234"/>
      <c r="BS54" s="234"/>
      <c r="BT54" s="234"/>
      <c r="BU54" s="234"/>
      <c r="BV54" s="234"/>
      <c r="BW54" s="234"/>
      <c r="BX54" s="234"/>
      <c r="BY54" s="234"/>
      <c r="BZ54" s="234"/>
      <c r="CA54" s="234"/>
      <c r="CB54" s="234"/>
      <c r="CC54" s="234"/>
      <c r="CD54" s="234"/>
      <c r="CE54" s="234"/>
      <c r="CF54" s="234"/>
      <c r="CG54" s="234"/>
      <c r="CH54" s="234"/>
      <c r="CI54" s="234"/>
      <c r="CJ54" s="234"/>
      <c r="CK54" s="234"/>
      <c r="CL54" s="234"/>
      <c r="CM54" s="234"/>
      <c r="CN54" s="234"/>
      <c r="CO54" s="234"/>
      <c r="CP54" s="234"/>
      <c r="CQ54" s="234"/>
      <c r="CR54" s="234"/>
      <c r="CS54" s="234"/>
      <c r="CT54" s="1133"/>
      <c r="CU54" s="234"/>
      <c r="CV54" s="234"/>
      <c r="CW54" s="234"/>
      <c r="CX54" s="234"/>
      <c r="CY54" s="234"/>
      <c r="CZ54" s="234"/>
      <c r="DA54" s="234"/>
      <c r="DB54" s="234"/>
      <c r="DC54" s="234"/>
      <c r="DD54" s="234"/>
      <c r="DE54" s="234"/>
      <c r="DF54" s="234"/>
      <c r="DG54" s="234"/>
      <c r="DH54" s="234"/>
      <c r="DI54" s="234"/>
      <c r="DJ54" s="234"/>
      <c r="DK54" s="234"/>
      <c r="DL54" s="234"/>
      <c r="DM54" s="234"/>
      <c r="DN54" s="234"/>
      <c r="DO54" s="234"/>
      <c r="DP54" s="234"/>
      <c r="DQ54" s="234"/>
      <c r="DR54" s="234"/>
      <c r="DS54" s="234"/>
      <c r="DT54" s="234"/>
      <c r="DU54" s="234"/>
      <c r="DV54" s="233"/>
      <c r="DW54" s="233"/>
      <c r="DY54" s="234"/>
      <c r="DZ54" s="234"/>
    </row>
    <row r="55" spans="1:130">
      <c r="A55" s="1439" t="s">
        <v>594</v>
      </c>
      <c r="B55" s="415"/>
      <c r="C55" s="416"/>
      <c r="D55" s="416"/>
      <c r="E55" s="416">
        <v>82.41</v>
      </c>
      <c r="F55" s="416">
        <v>98.91</v>
      </c>
      <c r="G55" s="416">
        <v>83.22</v>
      </c>
      <c r="H55" s="416">
        <v>99.94</v>
      </c>
      <c r="I55" s="416">
        <v>92.42</v>
      </c>
      <c r="J55" s="416">
        <v>106.06</v>
      </c>
      <c r="K55" s="416">
        <v>89.56</v>
      </c>
      <c r="L55" s="416">
        <v>108.01</v>
      </c>
      <c r="M55" s="416">
        <v>98.22</v>
      </c>
      <c r="N55" s="416">
        <v>112.69</v>
      </c>
      <c r="O55" s="416">
        <v>93.57</v>
      </c>
      <c r="P55" s="416">
        <v>111.13</v>
      </c>
      <c r="Q55" s="416">
        <v>100.78</v>
      </c>
      <c r="R55" s="416">
        <v>116.48</v>
      </c>
      <c r="S55" s="416">
        <v>101.35</v>
      </c>
      <c r="T55" s="416">
        <v>110.35</v>
      </c>
      <c r="U55" s="416">
        <v>107.84</v>
      </c>
      <c r="V55" s="416">
        <v>121.09</v>
      </c>
      <c r="W55" s="416">
        <v>102.93</v>
      </c>
      <c r="X55" s="416">
        <v>117.63</v>
      </c>
      <c r="Y55" s="416">
        <v>116.96</v>
      </c>
      <c r="Z55" s="416">
        <v>132.86000000000001</v>
      </c>
      <c r="AA55" s="416">
        <v>115.53</v>
      </c>
      <c r="AB55" s="416">
        <v>138.08000000000001</v>
      </c>
      <c r="AC55" s="416">
        <v>125.67</v>
      </c>
      <c r="AD55" s="416">
        <v>142.74</v>
      </c>
      <c r="AE55" s="416">
        <v>128.19999999999999</v>
      </c>
      <c r="AF55" s="416">
        <v>155.47</v>
      </c>
      <c r="AG55" s="416">
        <v>136.34</v>
      </c>
      <c r="AH55" s="416">
        <v>155.78</v>
      </c>
      <c r="AI55" s="416">
        <v>138.72</v>
      </c>
      <c r="AJ55" s="416">
        <v>161.46</v>
      </c>
      <c r="AK55" s="416">
        <v>147.66</v>
      </c>
      <c r="AL55" s="416">
        <v>165.27</v>
      </c>
      <c r="AM55" s="416">
        <v>146.91</v>
      </c>
      <c r="AN55" s="416">
        <v>164.51</v>
      </c>
      <c r="AO55" s="416">
        <v>156.96</v>
      </c>
      <c r="AP55" s="416">
        <v>178.31</v>
      </c>
      <c r="AQ55" s="629">
        <v>155.62</v>
      </c>
      <c r="AR55" s="629">
        <v>180.39</v>
      </c>
      <c r="AS55" s="629">
        <v>169.37</v>
      </c>
      <c r="AT55" s="629">
        <v>190.4</v>
      </c>
      <c r="AU55" s="629">
        <v>165.81</v>
      </c>
      <c r="AV55" s="629">
        <v>189.45</v>
      </c>
      <c r="AW55" s="629">
        <v>177.97</v>
      </c>
      <c r="AX55" s="629">
        <v>197.43532572253767</v>
      </c>
      <c r="AY55" s="629">
        <v>170.82</v>
      </c>
      <c r="AZ55" s="629">
        <v>200.61</v>
      </c>
      <c r="BA55" s="629">
        <v>182.03</v>
      </c>
      <c r="BB55" s="629">
        <v>204.28455966586452</v>
      </c>
      <c r="BC55" s="629">
        <v>177.47307143384012</v>
      </c>
      <c r="BD55" s="629">
        <v>205.30062318697244</v>
      </c>
      <c r="BE55" s="629">
        <v>185.31255534216839</v>
      </c>
      <c r="BF55" s="629">
        <v>206.93391365890034</v>
      </c>
      <c r="BG55" s="629">
        <v>180.11377850887143</v>
      </c>
      <c r="BH55" s="629">
        <v>207.77512643845563</v>
      </c>
      <c r="BI55" s="629">
        <v>192.06185320842073</v>
      </c>
      <c r="BJ55" s="629">
        <v>217.05131744738847</v>
      </c>
      <c r="BK55" s="629">
        <v>185.43025245020934</v>
      </c>
      <c r="BL55" s="629">
        <v>213.86929599561523</v>
      </c>
      <c r="BM55" s="630">
        <v>200.19885629559258</v>
      </c>
      <c r="BN55" s="630">
        <v>224.06785923154706</v>
      </c>
      <c r="BO55" s="630">
        <v>186.22044668715111</v>
      </c>
      <c r="BP55" s="630">
        <v>204.04178865394584</v>
      </c>
      <c r="BQ55" s="630">
        <v>205.91840132651191</v>
      </c>
      <c r="BR55" s="630">
        <v>234.20476261527722</v>
      </c>
      <c r="BS55" s="630">
        <v>185.57275430449255</v>
      </c>
      <c r="BT55" s="630">
        <v>237.03890050087389</v>
      </c>
      <c r="BU55" s="630">
        <v>218.9177268536063</v>
      </c>
      <c r="BV55" s="630">
        <v>253.1222756611879</v>
      </c>
      <c r="BW55" s="630">
        <v>229.13955108953547</v>
      </c>
      <c r="BX55" s="630">
        <v>294.74188388920754</v>
      </c>
      <c r="BY55" s="630">
        <v>269.8212965360301</v>
      </c>
      <c r="BZ55" s="630">
        <v>299.07499999999999</v>
      </c>
      <c r="CA55" s="630">
        <v>258.9536560732106</v>
      </c>
      <c r="CB55" s="630">
        <v>293.92262363452181</v>
      </c>
      <c r="CC55" s="630">
        <v>273.97399494665422</v>
      </c>
      <c r="CD55" s="630">
        <v>295.97048771890508</v>
      </c>
      <c r="CE55" s="630">
        <v>273.75320123704495</v>
      </c>
      <c r="CF55" s="630">
        <v>299.73940314900426</v>
      </c>
      <c r="CG55" s="630">
        <v>272.88876395966633</v>
      </c>
      <c r="CH55" s="630">
        <v>294.09291437365533</v>
      </c>
      <c r="CI55" s="630">
        <v>266.74239723153306</v>
      </c>
      <c r="CJ55" s="630">
        <v>318.8</v>
      </c>
      <c r="CK55" s="630">
        <v>289.91763426598487</v>
      </c>
      <c r="CL55" s="234"/>
      <c r="CM55" s="234"/>
      <c r="CN55" s="234"/>
      <c r="CO55" s="234"/>
      <c r="CP55" s="234"/>
      <c r="CQ55" s="234"/>
      <c r="CR55" s="234"/>
      <c r="CS55" s="234"/>
      <c r="CT55" s="1133"/>
      <c r="CU55" s="235">
        <v>88.19</v>
      </c>
      <c r="CV55" s="235">
        <v>97.7</v>
      </c>
      <c r="CW55" s="235">
        <v>103.84</v>
      </c>
      <c r="CX55" s="235">
        <v>107.12</v>
      </c>
      <c r="CY55" s="234">
        <f>+(V55*V4+U55*U4+T55*T4+S55*S4)/(SUM(S4:V4))</f>
        <v>111.43265751297771</v>
      </c>
      <c r="CZ55" s="234">
        <f>+(Z55*Z4+Y55*Y4+X55*X4+W55*W4)/(SUM(W4:Z4))</f>
        <v>120.13587257765118</v>
      </c>
      <c r="DA55" s="234">
        <f>+(AD55*AD4+AC55*AC4+AB55*AB4+AA55*AA4)/(SUM(AA4:AD4))</f>
        <v>132.78369012705343</v>
      </c>
      <c r="DB55" s="234">
        <f>+(AH55*AH4+AG55*AG4+AF55*AF4+AE55*AE4)/(SUM(AE4:AH4))</f>
        <v>146.3674746706489</v>
      </c>
      <c r="DC55" s="234">
        <f>+(AL55*AL4+AK55*AK4+AJ55*AJ4+AI55*AI4)/(SUM(AI4:AL4))</f>
        <v>155.49489809869794</v>
      </c>
      <c r="DD55" s="234">
        <f>+AP55</f>
        <v>178.31</v>
      </c>
      <c r="DE55" s="234"/>
      <c r="DF55" s="234"/>
      <c r="DG55" s="234"/>
      <c r="DH55" s="234"/>
      <c r="DI55" s="234">
        <f>+AVERAGE(BG55:BJ55)</f>
        <v>199.25051890078407</v>
      </c>
      <c r="DJ55" s="234">
        <f>+AVERAGE(BK55:BN55)</f>
        <v>205.89156599324104</v>
      </c>
      <c r="DK55" s="234">
        <f>+AVERAGE(BO55:BR55)</f>
        <v>207.59634982072151</v>
      </c>
      <c r="DL55" s="234">
        <f>+AVERAGE(BS55:BV55)</f>
        <v>223.66291433004017</v>
      </c>
      <c r="DM55" s="234">
        <f>+AVERAGE(BW55:BZ55)</f>
        <v>273.19443287869331</v>
      </c>
      <c r="DN55" s="234">
        <f>+AVERAGE(CA55:CD55)</f>
        <v>280.70519059332292</v>
      </c>
      <c r="DO55" s="234">
        <f>+AVERAGE(CE55:CH55)</f>
        <v>285.11857067984272</v>
      </c>
      <c r="DP55" s="234">
        <f>+AVERAGE(CI55:CL55)</f>
        <v>291.82001049917267</v>
      </c>
      <c r="DQ55" s="234" t="e">
        <f>+AVERAGE(CM55:CP55)</f>
        <v>#DIV/0!</v>
      </c>
      <c r="DR55" s="234"/>
      <c r="DS55" s="234"/>
      <c r="DT55" s="234"/>
      <c r="DU55" s="234"/>
      <c r="DV55" s="233"/>
      <c r="DW55" s="233"/>
      <c r="DY55" s="234"/>
      <c r="DZ55" s="234"/>
    </row>
    <row r="56" spans="1:130">
      <c r="A56" s="417" t="s">
        <v>169</v>
      </c>
      <c r="B56" s="419"/>
      <c r="C56" s="419"/>
      <c r="D56" s="419"/>
      <c r="E56" s="419"/>
      <c r="F56" s="419"/>
      <c r="G56" s="419"/>
      <c r="H56" s="419"/>
      <c r="I56" s="419">
        <v>0.12146584152408701</v>
      </c>
      <c r="J56" s="419">
        <v>7.2287938529976836E-2</v>
      </c>
      <c r="K56" s="419">
        <v>7.6183609709204569E-2</v>
      </c>
      <c r="L56" s="419">
        <v>8.0748449069441675E-2</v>
      </c>
      <c r="M56" s="419">
        <v>6.2756979008872449E-2</v>
      </c>
      <c r="N56" s="419">
        <v>6.2511785781633078E-2</v>
      </c>
      <c r="O56" s="419">
        <v>4.4774452880750326E-2</v>
      </c>
      <c r="P56" s="419">
        <v>2.888621423942217E-2</v>
      </c>
      <c r="Q56" s="419">
        <v>2.606393809814711E-2</v>
      </c>
      <c r="R56" s="419">
        <v>3.3632088029106555E-2</v>
      </c>
      <c r="S56" s="419">
        <v>8.3146307577214973E-2</v>
      </c>
      <c r="T56" s="419">
        <v>-7.0188068028435024E-3</v>
      </c>
      <c r="U56" s="419">
        <v>7.0053582059932618E-2</v>
      </c>
      <c r="V56" s="419">
        <v>3.9577609890109944E-2</v>
      </c>
      <c r="W56" s="419">
        <v>1.5589541193882672E-2</v>
      </c>
      <c r="X56" s="419">
        <v>6.5971907566832799E-2</v>
      </c>
      <c r="Y56" s="419">
        <v>8.4569732937685327E-2</v>
      </c>
      <c r="Z56" s="419">
        <v>9.720042943265339E-2</v>
      </c>
      <c r="AA56" s="419">
        <v>0.12241329058583506</v>
      </c>
      <c r="AB56" s="419">
        <v>0.1738502082802007</v>
      </c>
      <c r="AC56" s="419">
        <v>7.446990424076616E-2</v>
      </c>
      <c r="AD56" s="419">
        <v>7.4363992172211235E-2</v>
      </c>
      <c r="AE56" s="419">
        <v>0.10966848437635246</v>
      </c>
      <c r="AF56" s="419">
        <v>0.1259414831981458</v>
      </c>
      <c r="AG56" s="419">
        <v>8.4904909684093255E-2</v>
      </c>
      <c r="AH56" s="419">
        <v>9.1354911027042185E-2</v>
      </c>
      <c r="AI56" s="419">
        <v>8.2059282371294895E-2</v>
      </c>
      <c r="AJ56" s="419">
        <v>3.8528333440535301E-2</v>
      </c>
      <c r="AK56" s="419">
        <v>8.302772480563303E-2</v>
      </c>
      <c r="AL56" s="419">
        <v>6.0919245089228413E-2</v>
      </c>
      <c r="AM56" s="419">
        <v>5.90397923875432E-2</v>
      </c>
      <c r="AN56" s="419">
        <v>1.889012758577957E-2</v>
      </c>
      <c r="AO56" s="419">
        <v>6.2982527427875024E-2</v>
      </c>
      <c r="AP56" s="419">
        <v>7.8901191988866692E-2</v>
      </c>
      <c r="AQ56" s="419">
        <f t="shared" ref="AQ56:BD56" si="437">AQ55/AM55-1</f>
        <v>5.9287999455448936E-2</v>
      </c>
      <c r="AR56" s="419">
        <f t="shared" si="437"/>
        <v>9.6529086377727724E-2</v>
      </c>
      <c r="AS56" s="419">
        <f t="shared" si="437"/>
        <v>7.9064729867482031E-2</v>
      </c>
      <c r="AT56" s="419">
        <f t="shared" si="437"/>
        <v>6.7803263978464479E-2</v>
      </c>
      <c r="AU56" s="419">
        <f t="shared" si="437"/>
        <v>6.5480015422182181E-2</v>
      </c>
      <c r="AV56" s="419">
        <f t="shared" si="437"/>
        <v>5.022451355396651E-2</v>
      </c>
      <c r="AW56" s="419">
        <f t="shared" si="437"/>
        <v>5.0776406683592068E-2</v>
      </c>
      <c r="AX56" s="419">
        <f t="shared" si="437"/>
        <v>3.6950240139378421E-2</v>
      </c>
      <c r="AY56" s="419">
        <f t="shared" si="437"/>
        <v>3.0215306676316223E-2</v>
      </c>
      <c r="AZ56" s="419">
        <f t="shared" si="437"/>
        <v>5.8907363420427794E-2</v>
      </c>
      <c r="BA56" s="419">
        <f t="shared" si="437"/>
        <v>2.2812833623644391E-2</v>
      </c>
      <c r="BB56" s="419">
        <f t="shared" si="437"/>
        <v>3.4691025621991889E-2</v>
      </c>
      <c r="BC56" s="419">
        <f t="shared" si="437"/>
        <v>3.8947848225267201E-2</v>
      </c>
      <c r="BD56" s="419">
        <f t="shared" si="437"/>
        <v>2.3381801440468752E-2</v>
      </c>
      <c r="BE56" s="419">
        <f>BE55/BA55-1</f>
        <v>1.8033045883471877E-2</v>
      </c>
      <c r="BF56" s="419">
        <f>BF55/BB55-1</f>
        <v>1.2968939000427726E-2</v>
      </c>
      <c r="BG56" s="419">
        <f>BG55/BC55-1</f>
        <v>1.4879480327333772E-2</v>
      </c>
      <c r="BH56" s="419">
        <f>BH55/BD55-1</f>
        <v>1.2053072285268085E-2</v>
      </c>
      <c r="BI56" s="419">
        <f t="shared" ref="BI56:CK56" si="438">BI55/BE55-1</f>
        <v>3.6421158047225566E-2</v>
      </c>
      <c r="BJ56" s="419">
        <f t="shared" si="438"/>
        <v>4.8891955937029996E-2</v>
      </c>
      <c r="BK56" s="419">
        <f t="shared" si="438"/>
        <v>2.951730836670019E-2</v>
      </c>
      <c r="BL56" s="419">
        <f t="shared" si="438"/>
        <v>2.9330602087082491E-2</v>
      </c>
      <c r="BM56" s="419">
        <f t="shared" si="438"/>
        <v>4.2366575929795758E-2</v>
      </c>
      <c r="BN56" s="419">
        <f t="shared" si="438"/>
        <v>3.2326649138443297E-2</v>
      </c>
      <c r="BO56" s="419">
        <f t="shared" si="438"/>
        <v>4.2614094868578256E-3</v>
      </c>
      <c r="BP56" s="419">
        <f t="shared" si="438"/>
        <v>-4.5950996826916501E-2</v>
      </c>
      <c r="BQ56" s="419">
        <f t="shared" si="438"/>
        <v>2.8569319209668542E-2</v>
      </c>
      <c r="BR56" s="419">
        <f t="shared" si="438"/>
        <v>4.524032772257125E-2</v>
      </c>
      <c r="BS56" s="419">
        <f t="shared" si="438"/>
        <v>-3.4780948826026448E-3</v>
      </c>
      <c r="BT56" s="419">
        <f t="shared" si="438"/>
        <v>0.16171742104697495</v>
      </c>
      <c r="BU56" s="419">
        <f t="shared" si="438"/>
        <v>6.3128527821475044E-2</v>
      </c>
      <c r="BV56" s="419">
        <f t="shared" si="438"/>
        <v>8.0773391773360403E-2</v>
      </c>
      <c r="BW56" s="419">
        <f t="shared" si="438"/>
        <v>0.23476936012685035</v>
      </c>
      <c r="BX56" s="419">
        <f t="shared" si="438"/>
        <v>0.24343254742746723</v>
      </c>
      <c r="BY56" s="419">
        <f t="shared" si="438"/>
        <v>0.23252374494306638</v>
      </c>
      <c r="BZ56" s="419">
        <f t="shared" si="438"/>
        <v>0.18154358093841272</v>
      </c>
      <c r="CA56" s="419">
        <f t="shared" si="438"/>
        <v>0.13011330799031451</v>
      </c>
      <c r="CB56" s="419">
        <f t="shared" si="438"/>
        <v>-2.7795854592341795E-3</v>
      </c>
      <c r="CC56" s="419">
        <f t="shared" si="438"/>
        <v>1.5390550945890924E-2</v>
      </c>
      <c r="CD56" s="419">
        <f t="shared" si="438"/>
        <v>-1.038038044334999E-2</v>
      </c>
      <c r="CE56" s="419">
        <f t="shared" si="438"/>
        <v>5.7151327338858859E-2</v>
      </c>
      <c r="CF56" s="419">
        <f t="shared" si="438"/>
        <v>1.9790172809954543E-2</v>
      </c>
      <c r="CG56" s="419">
        <f t="shared" si="438"/>
        <v>-3.9610729740944262E-3</v>
      </c>
      <c r="CH56" s="419">
        <f t="shared" si="438"/>
        <v>-6.3437856920145475E-3</v>
      </c>
      <c r="CI56" s="419">
        <f t="shared" si="438"/>
        <v>-2.5609943459405149E-2</v>
      </c>
      <c r="CJ56" s="419">
        <f t="shared" si="438"/>
        <v>6.3590561169965643E-2</v>
      </c>
      <c r="CK56" s="419">
        <f t="shared" si="438"/>
        <v>6.2402240602458248E-2</v>
      </c>
      <c r="CL56" s="231"/>
      <c r="CM56" s="231"/>
      <c r="CN56" s="231"/>
      <c r="CO56" s="231"/>
      <c r="CP56" s="231"/>
      <c r="CQ56" s="231"/>
      <c r="CR56" s="231"/>
      <c r="CS56" s="231"/>
      <c r="CT56" s="1133"/>
      <c r="CU56" s="231"/>
      <c r="CV56" s="231">
        <f t="shared" ref="CV56:DD56" si="439">CV55/CU55-1</f>
        <v>0.10783535548248113</v>
      </c>
      <c r="CW56" s="231">
        <f t="shared" si="439"/>
        <v>6.2845445240532261E-2</v>
      </c>
      <c r="CX56" s="231">
        <f t="shared" si="439"/>
        <v>3.1587057010785902E-2</v>
      </c>
      <c r="CY56" s="231">
        <f t="shared" si="439"/>
        <v>4.0260058933697884E-2</v>
      </c>
      <c r="CZ56" s="231">
        <f t="shared" si="439"/>
        <v>7.8102912188555473E-2</v>
      </c>
      <c r="DA56" s="231">
        <f t="shared" si="439"/>
        <v>0.10527927485795052</v>
      </c>
      <c r="DB56" s="231">
        <f t="shared" si="439"/>
        <v>0.1023000982319282</v>
      </c>
      <c r="DC56" s="231">
        <f t="shared" si="439"/>
        <v>6.2359642732015885E-2</v>
      </c>
      <c r="DD56" s="231">
        <f t="shared" si="439"/>
        <v>0.14672572656898697</v>
      </c>
      <c r="DE56" s="232"/>
      <c r="DF56" s="232"/>
      <c r="DG56" s="232"/>
      <c r="DH56" s="232"/>
      <c r="DI56" s="232"/>
      <c r="DJ56" s="231">
        <f>+DJ55/DI55-1</f>
        <v>3.3330137000866955E-2</v>
      </c>
      <c r="DK56" s="231">
        <f t="shared" ref="DK56" si="440">+DK55/DJ55-1</f>
        <v>8.280008067627298E-3</v>
      </c>
      <c r="DL56" s="231">
        <f t="shared" ref="DL56" si="441">+DL55/DK55-1</f>
        <v>7.7393290022650163E-2</v>
      </c>
      <c r="DM56" s="231">
        <f t="shared" ref="DM56" si="442">+DM55/DL55-1</f>
        <v>0.22145610816625472</v>
      </c>
      <c r="DN56" s="231">
        <f t="shared" ref="DN56" si="443">+DN55/DM55-1</f>
        <v>2.7492352737526815E-2</v>
      </c>
      <c r="DO56" s="231">
        <f t="shared" ref="DO56:DQ56" si="444">+DO55/DN55-1</f>
        <v>1.5722474091737659E-2</v>
      </c>
      <c r="DP56" s="231">
        <f t="shared" si="444"/>
        <v>2.3504045363831993E-2</v>
      </c>
      <c r="DQ56" s="231" t="e">
        <f t="shared" si="444"/>
        <v>#DIV/0!</v>
      </c>
      <c r="DR56" s="232"/>
      <c r="DS56" s="232"/>
      <c r="DT56" s="232"/>
      <c r="DU56" s="232"/>
      <c r="DV56" s="231"/>
      <c r="DW56" s="231"/>
      <c r="DY56" s="232"/>
      <c r="DZ56" s="232"/>
    </row>
    <row r="57" spans="1:130">
      <c r="A57" s="1439" t="s">
        <v>595</v>
      </c>
      <c r="B57" s="415"/>
      <c r="C57" s="416"/>
      <c r="D57" s="416"/>
      <c r="E57" s="434"/>
      <c r="F57" s="416"/>
      <c r="G57" s="416"/>
      <c r="H57" s="416"/>
      <c r="I57" s="434"/>
      <c r="J57" s="416"/>
      <c r="K57" s="416"/>
      <c r="L57" s="416"/>
      <c r="M57" s="416"/>
      <c r="N57" s="416"/>
      <c r="O57" s="416"/>
      <c r="P57" s="419"/>
      <c r="Q57" s="419"/>
      <c r="R57" s="419"/>
      <c r="S57" s="419"/>
      <c r="T57" s="419"/>
      <c r="U57" s="419"/>
      <c r="V57" s="419"/>
      <c r="W57" s="419"/>
      <c r="X57" s="419"/>
      <c r="Y57" s="416"/>
      <c r="Z57" s="416"/>
      <c r="AA57" s="416"/>
      <c r="AB57" s="416"/>
      <c r="AC57" s="416"/>
      <c r="AD57" s="416"/>
      <c r="AE57" s="416"/>
      <c r="AF57" s="416"/>
      <c r="AG57" s="416"/>
      <c r="AH57" s="416"/>
      <c r="AI57" s="416"/>
      <c r="AJ57" s="416"/>
      <c r="AK57" s="416"/>
      <c r="AL57" s="416"/>
      <c r="AM57" s="416"/>
      <c r="AN57" s="416"/>
      <c r="AO57" s="416"/>
      <c r="AP57" s="416"/>
      <c r="AQ57" s="629">
        <v>111.13</v>
      </c>
      <c r="AR57" s="629">
        <v>130.94999999999999</v>
      </c>
      <c r="AS57" s="629">
        <v>122.96</v>
      </c>
      <c r="AT57" s="629">
        <v>134.79</v>
      </c>
      <c r="AU57" s="629">
        <v>119.44</v>
      </c>
      <c r="AV57" s="629">
        <v>139.77000000000001</v>
      </c>
      <c r="AW57" s="629">
        <v>130.62</v>
      </c>
      <c r="AX57" s="629">
        <v>141.57426111621808</v>
      </c>
      <c r="AY57" s="629">
        <v>125.52</v>
      </c>
      <c r="AZ57" s="629">
        <v>149.87078828439815</v>
      </c>
      <c r="BA57" s="629">
        <v>134.69651401421376</v>
      </c>
      <c r="BB57" s="629">
        <v>146.78480715810664</v>
      </c>
      <c r="BC57" s="629">
        <v>129.40066812678808</v>
      </c>
      <c r="BD57" s="629">
        <v>153.30634346916466</v>
      </c>
      <c r="BE57" s="629">
        <v>139.30885082815092</v>
      </c>
      <c r="BF57" s="629">
        <v>150.26712261568767</v>
      </c>
      <c r="BG57" s="629">
        <v>131.98921178505418</v>
      </c>
      <c r="BH57" s="629">
        <v>155.67411869665219</v>
      </c>
      <c r="BI57" s="629">
        <v>144.2920469620758</v>
      </c>
      <c r="BJ57" s="629">
        <v>158.47793032747353</v>
      </c>
      <c r="BK57" s="629">
        <v>136.78946767695822</v>
      </c>
      <c r="BL57" s="629">
        <v>161.30292472794213</v>
      </c>
      <c r="BM57" s="630">
        <v>150.73863979965392</v>
      </c>
      <c r="BN57" s="630">
        <v>164.57982734162505</v>
      </c>
      <c r="BO57" s="630">
        <v>141.21460206786799</v>
      </c>
      <c r="BP57" s="630">
        <v>147.61023140520234</v>
      </c>
      <c r="BQ57" s="630">
        <v>142.71754477261777</v>
      </c>
      <c r="BR57" s="630">
        <v>162.9716539662374</v>
      </c>
      <c r="BS57" s="630">
        <v>138.27926173562923</v>
      </c>
      <c r="BT57" s="630">
        <v>180.61075580769523</v>
      </c>
      <c r="BU57" s="630">
        <v>167.03855703889081</v>
      </c>
      <c r="BV57" s="630">
        <v>189.00234112206735</v>
      </c>
      <c r="BW57" s="630">
        <v>172.82323532454902</v>
      </c>
      <c r="BX57" s="630">
        <v>215.64038568039476</v>
      </c>
      <c r="BY57" s="630">
        <v>195.61242425969724</v>
      </c>
      <c r="BZ57" s="630">
        <v>210.95099999999999</v>
      </c>
      <c r="CA57" s="630">
        <v>189.17222299844585</v>
      </c>
      <c r="CB57" s="630">
        <v>221.39646915703523</v>
      </c>
      <c r="CC57" s="630">
        <v>199.9450185384577</v>
      </c>
      <c r="CD57" s="630">
        <v>208.13708433590045</v>
      </c>
      <c r="CE57" s="630">
        <v>187.70856785163224</v>
      </c>
      <c r="CF57" s="630">
        <v>213.39255634198997</v>
      </c>
      <c r="CG57" s="630">
        <v>198.75501099672115</v>
      </c>
      <c r="CH57" s="630">
        <v>209.28087771945812</v>
      </c>
      <c r="CI57" s="630">
        <v>193.47532826345321</v>
      </c>
      <c r="CJ57" s="630">
        <v>226.9</v>
      </c>
      <c r="CK57" s="630">
        <v>204.80393802714394</v>
      </c>
      <c r="CL57" s="234"/>
      <c r="CM57" s="234"/>
      <c r="CN57" s="234"/>
      <c r="CO57" s="234"/>
      <c r="CP57" s="234"/>
      <c r="CQ57" s="234"/>
      <c r="CR57" s="234"/>
      <c r="CS57" s="234"/>
      <c r="CT57" s="1133"/>
      <c r="CU57" s="234"/>
      <c r="CV57" s="234"/>
      <c r="CW57" s="234"/>
      <c r="CX57" s="234"/>
      <c r="CY57" s="234"/>
      <c r="CZ57" s="234"/>
      <c r="DA57" s="234"/>
      <c r="DB57" s="234"/>
      <c r="DC57" s="234"/>
      <c r="DD57" s="234"/>
      <c r="DE57" s="234"/>
      <c r="DF57" s="234"/>
      <c r="DG57" s="234"/>
      <c r="DH57" s="234"/>
      <c r="DI57" s="234">
        <f>+AVERAGE(BG57:BJ57)</f>
        <v>147.6083269428139</v>
      </c>
      <c r="DJ57" s="234">
        <f>+AVERAGE(BK57:BN57)</f>
        <v>153.35271488654485</v>
      </c>
      <c r="DK57" s="234">
        <f>+AVERAGE(BO57:BR57)</f>
        <v>148.62850805298137</v>
      </c>
      <c r="DL57" s="234">
        <f>+DL13/DL61</f>
        <v>172.44790743302863</v>
      </c>
      <c r="DM57" s="234">
        <f>+DM13/DM61</f>
        <v>200.09669279208967</v>
      </c>
      <c r="DN57" s="234">
        <f>+DN13/DN61</f>
        <v>205.37237733462973</v>
      </c>
      <c r="DO57" s="234">
        <f>+DO13/DO61</f>
        <v>203.18680440714118</v>
      </c>
      <c r="DP57" s="234">
        <f>+AVERAGE(CI57:CL57)</f>
        <v>208.39308876353235</v>
      </c>
      <c r="DQ57" s="234" t="e">
        <f>+AVERAGE(CM57:CP57)</f>
        <v>#DIV/0!</v>
      </c>
      <c r="DR57" s="234"/>
      <c r="DS57" s="234"/>
      <c r="DT57" s="234"/>
      <c r="DU57" s="234"/>
      <c r="DV57" s="233"/>
      <c r="DW57" s="233"/>
      <c r="DY57" s="234"/>
      <c r="DZ57" s="234"/>
    </row>
    <row r="58" spans="1:130">
      <c r="A58" s="417" t="s">
        <v>169</v>
      </c>
      <c r="B58" s="419"/>
      <c r="C58" s="419"/>
      <c r="D58" s="419"/>
      <c r="E58" s="419"/>
      <c r="F58" s="419"/>
      <c r="G58" s="419"/>
      <c r="H58" s="419"/>
      <c r="I58" s="419">
        <v>0.12146584152408701</v>
      </c>
      <c r="J58" s="419"/>
      <c r="K58" s="419"/>
      <c r="L58" s="419"/>
      <c r="M58" s="419"/>
      <c r="N58" s="419"/>
      <c r="O58" s="419"/>
      <c r="P58" s="419"/>
      <c r="Q58" s="419"/>
      <c r="R58" s="419"/>
      <c r="S58" s="419"/>
      <c r="T58" s="419"/>
      <c r="U58" s="419"/>
      <c r="V58" s="419"/>
      <c r="W58" s="419"/>
      <c r="X58" s="419"/>
      <c r="Y58" s="419"/>
      <c r="Z58" s="419"/>
      <c r="AA58" s="419"/>
      <c r="AB58" s="419"/>
      <c r="AC58" s="419"/>
      <c r="AD58" s="419"/>
      <c r="AE58" s="419"/>
      <c r="AF58" s="419"/>
      <c r="AG58" s="419"/>
      <c r="AH58" s="419"/>
      <c r="AI58" s="419"/>
      <c r="AJ58" s="419"/>
      <c r="AK58" s="419"/>
      <c r="AL58" s="419"/>
      <c r="AM58" s="419"/>
      <c r="AN58" s="419"/>
      <c r="AO58" s="419"/>
      <c r="AP58" s="419"/>
      <c r="AQ58" s="419"/>
      <c r="AR58" s="419"/>
      <c r="AS58" s="419"/>
      <c r="AT58" s="419"/>
      <c r="AU58" s="419">
        <f t="shared" ref="AU58:CK58" si="445">AU57/AQ57-1</f>
        <v>7.4777287861063746E-2</v>
      </c>
      <c r="AV58" s="419">
        <f t="shared" si="445"/>
        <v>6.7353951890034569E-2</v>
      </c>
      <c r="AW58" s="419">
        <f t="shared" si="445"/>
        <v>6.2296681847755497E-2</v>
      </c>
      <c r="AX58" s="419">
        <f t="shared" si="445"/>
        <v>5.0332080393338474E-2</v>
      </c>
      <c r="AY58" s="419">
        <f t="shared" si="445"/>
        <v>5.0904219691895403E-2</v>
      </c>
      <c r="AZ58" s="419">
        <f t="shared" si="445"/>
        <v>7.2267212451871954E-2</v>
      </c>
      <c r="BA58" s="419">
        <f t="shared" si="445"/>
        <v>3.1208957389479153E-2</v>
      </c>
      <c r="BB58" s="419">
        <f t="shared" si="445"/>
        <v>3.6804331527545253E-2</v>
      </c>
      <c r="BC58" s="419">
        <f t="shared" si="445"/>
        <v>3.0916731411632314E-2</v>
      </c>
      <c r="BD58" s="419">
        <f t="shared" si="445"/>
        <v>2.2923447751853621E-2</v>
      </c>
      <c r="BE58" s="419">
        <f t="shared" si="445"/>
        <v>3.4242436396315634E-2</v>
      </c>
      <c r="BF58" s="419">
        <f t="shared" si="445"/>
        <v>2.3723950216660405E-2</v>
      </c>
      <c r="BG58" s="419">
        <f t="shared" si="445"/>
        <v>2.0004098091130684E-2</v>
      </c>
      <c r="BH58" s="419">
        <f t="shared" si="445"/>
        <v>1.5444730947899554E-2</v>
      </c>
      <c r="BI58" s="419">
        <f t="shared" si="445"/>
        <v>3.577085091364407E-2</v>
      </c>
      <c r="BJ58" s="419">
        <f t="shared" si="445"/>
        <v>5.4641411699785092E-2</v>
      </c>
      <c r="BK58" s="419">
        <f t="shared" si="445"/>
        <v>3.6368547300072551E-2</v>
      </c>
      <c r="BL58" s="419">
        <f t="shared" si="445"/>
        <v>3.6157622592733363E-2</v>
      </c>
      <c r="BM58" s="419">
        <f t="shared" si="445"/>
        <v>4.4677395416481192E-2</v>
      </c>
      <c r="BN58" s="419">
        <f t="shared" si="445"/>
        <v>3.8503134168541786E-2</v>
      </c>
      <c r="BO58" s="419">
        <f t="shared" si="445"/>
        <v>3.2349964263039155E-2</v>
      </c>
      <c r="BP58" s="419">
        <f t="shared" si="445"/>
        <v>-8.4888066015134322E-2</v>
      </c>
      <c r="BQ58" s="419">
        <f t="shared" si="445"/>
        <v>-5.3211937149605149E-2</v>
      </c>
      <c r="BR58" s="419">
        <f t="shared" si="445"/>
        <v>-9.7713881546946935E-3</v>
      </c>
      <c r="BS58" s="419">
        <f t="shared" si="445"/>
        <v>-2.0786379660851395E-2</v>
      </c>
      <c r="BT58" s="419">
        <f t="shared" si="445"/>
        <v>0.2235652914322972</v>
      </c>
      <c r="BU58" s="419">
        <f t="shared" si="445"/>
        <v>0.17041361176036252</v>
      </c>
      <c r="BV58" s="419">
        <f t="shared" si="445"/>
        <v>0.1597252437606278</v>
      </c>
      <c r="BW58" s="419">
        <f t="shared" si="445"/>
        <v>0.2498131184339345</v>
      </c>
      <c r="BX58" s="419">
        <f t="shared" si="445"/>
        <v>0.19395096220070762</v>
      </c>
      <c r="BY58" s="419">
        <f t="shared" si="445"/>
        <v>0.17106150656074992</v>
      </c>
      <c r="BZ58" s="419">
        <f t="shared" si="445"/>
        <v>0.11612903177615719</v>
      </c>
      <c r="CA58" s="419">
        <f t="shared" si="445"/>
        <v>9.45994769927474E-2</v>
      </c>
      <c r="CB58" s="419">
        <f t="shared" si="445"/>
        <v>2.6692975244311024E-2</v>
      </c>
      <c r="CC58" s="419">
        <f t="shared" si="445"/>
        <v>2.2148870631082618E-2</v>
      </c>
      <c r="CD58" s="419">
        <f t="shared" si="445"/>
        <v>-1.3339190921586197E-2</v>
      </c>
      <c r="CE58" s="419">
        <f t="shared" si="445"/>
        <v>-7.7371567749966452E-3</v>
      </c>
      <c r="CF58" s="419">
        <f t="shared" si="445"/>
        <v>-3.6151944272282521E-2</v>
      </c>
      <c r="CG58" s="419">
        <f t="shared" si="445"/>
        <v>-5.9516738673219827E-3</v>
      </c>
      <c r="CH58" s="419">
        <f t="shared" si="445"/>
        <v>5.4953848671761563E-3</v>
      </c>
      <c r="CI58" s="419">
        <f t="shared" si="445"/>
        <v>3.0721881679791618E-2</v>
      </c>
      <c r="CJ58" s="419">
        <f t="shared" si="445"/>
        <v>6.3298569966810714E-2</v>
      </c>
      <c r="CK58" s="419">
        <f t="shared" si="445"/>
        <v>3.0434085661984023E-2</v>
      </c>
      <c r="CL58" s="231"/>
      <c r="CM58" s="231"/>
      <c r="CN58" s="231"/>
      <c r="CO58" s="231"/>
      <c r="CP58" s="231"/>
      <c r="CQ58" s="231"/>
      <c r="CR58" s="231"/>
      <c r="CS58" s="231"/>
      <c r="CT58" s="1133"/>
      <c r="CU58" s="231"/>
      <c r="CV58" s="231" t="e">
        <f t="shared" ref="CV58:DD58" si="446">CV57/CU57-1</f>
        <v>#DIV/0!</v>
      </c>
      <c r="CW58" s="231" t="e">
        <f t="shared" si="446"/>
        <v>#DIV/0!</v>
      </c>
      <c r="CX58" s="231" t="e">
        <f t="shared" si="446"/>
        <v>#DIV/0!</v>
      </c>
      <c r="CY58" s="231" t="e">
        <f t="shared" si="446"/>
        <v>#DIV/0!</v>
      </c>
      <c r="CZ58" s="231" t="e">
        <f t="shared" si="446"/>
        <v>#DIV/0!</v>
      </c>
      <c r="DA58" s="231" t="e">
        <f t="shared" si="446"/>
        <v>#DIV/0!</v>
      </c>
      <c r="DB58" s="231" t="e">
        <f t="shared" si="446"/>
        <v>#DIV/0!</v>
      </c>
      <c r="DC58" s="231" t="e">
        <f t="shared" si="446"/>
        <v>#DIV/0!</v>
      </c>
      <c r="DD58" s="231" t="e">
        <f t="shared" si="446"/>
        <v>#DIV/0!</v>
      </c>
      <c r="DE58" s="232"/>
      <c r="DF58" s="232"/>
      <c r="DG58" s="232"/>
      <c r="DH58" s="232"/>
      <c r="DI58" s="232"/>
      <c r="DJ58" s="231">
        <f>+DJ57/DI57-1</f>
        <v>3.8916422011587626E-2</v>
      </c>
      <c r="DK58" s="231">
        <f t="shared" ref="DK58:DQ58" si="447">+DK57/DJ57-1</f>
        <v>-3.0806150625103612E-2</v>
      </c>
      <c r="DL58" s="231">
        <f t="shared" si="447"/>
        <v>0.16026130983940434</v>
      </c>
      <c r="DM58" s="231">
        <f t="shared" si="447"/>
        <v>0.16033123144621886</v>
      </c>
      <c r="DN58" s="231">
        <f t="shared" si="447"/>
        <v>2.63656758586297E-2</v>
      </c>
      <c r="DO58" s="231">
        <f t="shared" si="447"/>
        <v>-1.0642000427971032E-2</v>
      </c>
      <c r="DP58" s="231">
        <f t="shared" si="447"/>
        <v>2.5623142071563576E-2</v>
      </c>
      <c r="DQ58" s="231" t="e">
        <f t="shared" si="447"/>
        <v>#DIV/0!</v>
      </c>
      <c r="DR58" s="232"/>
      <c r="DS58" s="232"/>
      <c r="DT58" s="232"/>
      <c r="DU58" s="232"/>
      <c r="DV58" s="231"/>
      <c r="DW58" s="231"/>
      <c r="DY58" s="232"/>
      <c r="DZ58" s="232"/>
    </row>
    <row r="59" spans="1:130">
      <c r="A59" s="439" t="s">
        <v>596</v>
      </c>
      <c r="B59" s="439"/>
      <c r="C59" s="439"/>
      <c r="D59" s="439"/>
      <c r="E59" s="439"/>
      <c r="F59" s="439"/>
      <c r="G59" s="439"/>
      <c r="H59" s="439"/>
      <c r="I59" s="439"/>
      <c r="J59" s="439"/>
      <c r="K59" s="439"/>
      <c r="L59" s="439"/>
      <c r="M59" s="439"/>
      <c r="N59" s="439"/>
      <c r="O59" s="439"/>
      <c r="P59" s="439"/>
      <c r="Q59" s="439"/>
      <c r="R59" s="439"/>
      <c r="S59" s="439"/>
      <c r="T59" s="439"/>
      <c r="U59" s="439"/>
      <c r="V59" s="439"/>
      <c r="W59" s="439"/>
      <c r="X59" s="439"/>
      <c r="Y59" s="439"/>
      <c r="Z59" s="439"/>
      <c r="AA59" s="439"/>
      <c r="AB59" s="439"/>
      <c r="AC59" s="439"/>
      <c r="AD59" s="439"/>
      <c r="AE59" s="439"/>
      <c r="AF59" s="439"/>
      <c r="AG59" s="439"/>
      <c r="AH59" s="439"/>
      <c r="AI59" s="439"/>
      <c r="AJ59" s="439"/>
      <c r="AK59" s="439"/>
      <c r="AL59" s="439"/>
      <c r="AM59" s="439"/>
      <c r="AN59" s="439"/>
      <c r="AO59" s="439"/>
      <c r="AP59" s="439"/>
      <c r="AQ59" s="1441">
        <f t="shared" ref="AQ59:BV59" si="448">+AQ55/AQ57</f>
        <v>1.4003419418698821</v>
      </c>
      <c r="AR59" s="1441">
        <f t="shared" si="448"/>
        <v>1.3775486827033219</v>
      </c>
      <c r="AS59" s="1441">
        <f t="shared" si="448"/>
        <v>1.3774398178269356</v>
      </c>
      <c r="AT59" s="1441">
        <f t="shared" si="448"/>
        <v>1.4125676979004378</v>
      </c>
      <c r="AU59" s="1441">
        <f t="shared" si="448"/>
        <v>1.3882283991962492</v>
      </c>
      <c r="AV59" s="1441">
        <f t="shared" si="448"/>
        <v>1.3554410817772051</v>
      </c>
      <c r="AW59" s="1441">
        <f t="shared" si="448"/>
        <v>1.3625019139488592</v>
      </c>
      <c r="AX59" s="1441">
        <f t="shared" si="448"/>
        <v>1.3945707656596091</v>
      </c>
      <c r="AY59" s="1441">
        <f t="shared" si="448"/>
        <v>1.3608986615678775</v>
      </c>
      <c r="AZ59" s="1441">
        <f t="shared" si="448"/>
        <v>1.3385530449023728</v>
      </c>
      <c r="BA59" s="1441">
        <f t="shared" si="448"/>
        <v>1.35140839636571</v>
      </c>
      <c r="BB59" s="1441">
        <f t="shared" si="448"/>
        <v>1.391728228697559</v>
      </c>
      <c r="BC59" s="1441">
        <f t="shared" si="448"/>
        <v>1.3715004257933987</v>
      </c>
      <c r="BD59" s="1441">
        <f t="shared" si="448"/>
        <v>1.3391528265643207</v>
      </c>
      <c r="BE59" s="1441">
        <f t="shared" si="448"/>
        <v>1.3302281530609055</v>
      </c>
      <c r="BF59" s="1441">
        <f t="shared" si="448"/>
        <v>1.3771070481474486</v>
      </c>
      <c r="BG59" s="1441">
        <f t="shared" si="448"/>
        <v>1.36460985010039</v>
      </c>
      <c r="BH59" s="1441">
        <f t="shared" si="448"/>
        <v>1.3346799595077707</v>
      </c>
      <c r="BI59" s="1441">
        <f t="shared" si="448"/>
        <v>1.3310633347581537</v>
      </c>
      <c r="BJ59" s="1441">
        <f t="shared" si="448"/>
        <v>1.3695996470857541</v>
      </c>
      <c r="BK59" s="1441">
        <f t="shared" si="448"/>
        <v>1.3555886692104184</v>
      </c>
      <c r="BL59" s="1441">
        <f t="shared" si="448"/>
        <v>1.3258860393035834</v>
      </c>
      <c r="BM59" s="1441">
        <f t="shared" si="448"/>
        <v>1.328119031468481</v>
      </c>
      <c r="BN59" s="1441">
        <f t="shared" si="448"/>
        <v>1.3614539694858245</v>
      </c>
      <c r="BO59" s="1441">
        <f t="shared" si="448"/>
        <v>1.3187053177238233</v>
      </c>
      <c r="BP59" s="1441">
        <f t="shared" si="448"/>
        <v>1.3823011231100519</v>
      </c>
      <c r="BQ59" s="1441">
        <f t="shared" si="448"/>
        <v>1.4428387319483935</v>
      </c>
      <c r="BR59" s="1441">
        <f t="shared" si="448"/>
        <v>1.4370889471600814</v>
      </c>
      <c r="BS59" s="1441">
        <f t="shared" si="448"/>
        <v>1.3420143554084192</v>
      </c>
      <c r="BT59" s="1441">
        <f t="shared" si="448"/>
        <v>1.3124295916975197</v>
      </c>
      <c r="BU59" s="1441">
        <f t="shared" si="448"/>
        <v>1.3105820041455261</v>
      </c>
      <c r="BV59" s="1441">
        <f t="shared" si="448"/>
        <v>1.3392547105948738</v>
      </c>
      <c r="BW59" s="1441">
        <f t="shared" ref="BW59:CB59" si="449">+BW55/BW57</f>
        <v>1.3258607886794196</v>
      </c>
      <c r="BX59" s="1441">
        <f t="shared" si="449"/>
        <v>1.3668213537980349</v>
      </c>
      <c r="BY59" s="1441">
        <f t="shared" si="449"/>
        <v>1.3793668656639742</v>
      </c>
      <c r="BZ59" s="1441">
        <f t="shared" si="449"/>
        <v>1.4177463012737554</v>
      </c>
      <c r="CA59" s="1441">
        <f t="shared" si="449"/>
        <v>1.3688777980651949</v>
      </c>
      <c r="CB59" s="1441">
        <f t="shared" si="449"/>
        <v>1.3275849644469453</v>
      </c>
      <c r="CC59" s="1441">
        <f t="shared" ref="CC59:CD59" si="450">+CC55/CC57</f>
        <v>1.3702466655549994</v>
      </c>
      <c r="CD59" s="1441">
        <f t="shared" si="450"/>
        <v>1.4219978561881619</v>
      </c>
      <c r="CE59" s="1441">
        <f t="shared" ref="CE59:CF59" si="451">+CE55/CE57</f>
        <v>1.4583948104778239</v>
      </c>
      <c r="CF59" s="1441">
        <f t="shared" si="451"/>
        <v>1.4046385135788522</v>
      </c>
      <c r="CG59" s="1441">
        <f t="shared" ref="CG59:CH59" si="452">+CG55/CG57</f>
        <v>1.3729906108589542</v>
      </c>
      <c r="CH59" s="1441">
        <f t="shared" si="452"/>
        <v>1.4052545917161534</v>
      </c>
      <c r="CI59" s="1441">
        <f t="shared" ref="CI59:CJ59" si="453">+CI55/CI57</f>
        <v>1.3786894671568299</v>
      </c>
      <c r="CJ59" s="1441">
        <f t="shared" si="453"/>
        <v>1.4050242397531953</v>
      </c>
      <c r="CK59" s="1441">
        <f t="shared" ref="CK59" si="454">+CK55/CK57</f>
        <v>1.4155862287548411</v>
      </c>
      <c r="CL59" s="556"/>
      <c r="CM59" s="556"/>
      <c r="CN59" s="556"/>
      <c r="CO59" s="556"/>
      <c r="CP59" s="556"/>
      <c r="CQ59" s="556"/>
      <c r="CR59" s="556"/>
      <c r="CS59" s="556"/>
      <c r="CT59" s="1133"/>
      <c r="CU59" s="91"/>
      <c r="CV59" s="91"/>
      <c r="CW59" s="91"/>
      <c r="CX59" s="91"/>
      <c r="CY59" s="91"/>
      <c r="CZ59" s="91"/>
      <c r="DA59" s="91"/>
      <c r="DB59" s="91"/>
      <c r="DC59" s="91"/>
      <c r="DD59" s="91"/>
      <c r="DE59" s="91"/>
      <c r="DF59" s="91"/>
      <c r="DG59" s="91"/>
      <c r="DH59" s="91"/>
      <c r="DI59" s="1441">
        <f t="shared" ref="DI59:DO59" si="455">+DI55/DI57</f>
        <v>1.3498596117682256</v>
      </c>
      <c r="DJ59" s="1441">
        <f t="shared" si="455"/>
        <v>1.3426013758254367</v>
      </c>
      <c r="DK59" s="1441">
        <f t="shared" si="455"/>
        <v>1.3967465094026239</v>
      </c>
      <c r="DL59" s="1441">
        <f t="shared" si="455"/>
        <v>1.2969882769780854</v>
      </c>
      <c r="DM59" s="1441">
        <f t="shared" ref="DM59" si="456">+DM55/DM57</f>
        <v>1.3653120852055052</v>
      </c>
      <c r="DN59" s="1441">
        <f t="shared" ref="DN59" si="457">+DN55/DN57</f>
        <v>1.3668108352076354</v>
      </c>
      <c r="DO59" s="1441">
        <f t="shared" si="455"/>
        <v>1.4032336967538921</v>
      </c>
      <c r="DP59" s="1441">
        <f t="shared" ref="DP59:DQ59" si="458">+DP55/DP57</f>
        <v>1.4003343979910314</v>
      </c>
      <c r="DQ59" s="1441" t="e">
        <f t="shared" si="458"/>
        <v>#DIV/0!</v>
      </c>
      <c r="DR59" s="91"/>
      <c r="DS59" s="91"/>
      <c r="DT59" s="91"/>
      <c r="DU59" s="91"/>
      <c r="DV59" s="91"/>
      <c r="DW59" s="91"/>
      <c r="DY59" s="91"/>
      <c r="DZ59" s="91"/>
    </row>
    <row r="60" spans="1:130">
      <c r="A60" s="439"/>
      <c r="B60" s="439"/>
      <c r="C60" s="439"/>
      <c r="D60" s="439"/>
      <c r="E60" s="439"/>
      <c r="F60" s="439"/>
      <c r="G60" s="439"/>
      <c r="H60" s="439"/>
      <c r="I60" s="439"/>
      <c r="J60" s="439"/>
      <c r="K60" s="439"/>
      <c r="L60" s="439"/>
      <c r="M60" s="439"/>
      <c r="N60" s="439"/>
      <c r="O60" s="439"/>
      <c r="P60" s="439"/>
      <c r="Q60" s="439"/>
      <c r="R60" s="439"/>
      <c r="S60" s="439"/>
      <c r="T60" s="439"/>
      <c r="U60" s="439"/>
      <c r="V60" s="439"/>
      <c r="W60" s="439"/>
      <c r="X60" s="439"/>
      <c r="Y60" s="439"/>
      <c r="Z60" s="439"/>
      <c r="AA60" s="439"/>
      <c r="AB60" s="439"/>
      <c r="AC60" s="439"/>
      <c r="AD60" s="439"/>
      <c r="AE60" s="439"/>
      <c r="AF60" s="439"/>
      <c r="AG60" s="439"/>
      <c r="AH60" s="439"/>
      <c r="AI60" s="439"/>
      <c r="AJ60" s="439"/>
      <c r="AK60" s="439"/>
      <c r="AL60" s="439"/>
      <c r="AM60" s="439"/>
      <c r="AN60" s="439"/>
      <c r="AO60" s="439"/>
      <c r="AP60" s="439"/>
      <c r="AQ60" s="1441"/>
      <c r="AR60" s="1441"/>
      <c r="AS60" s="1441"/>
      <c r="AT60" s="1441"/>
      <c r="AU60" s="1441"/>
      <c r="AV60" s="1441"/>
      <c r="AW60" s="1441"/>
      <c r="AX60" s="1441"/>
      <c r="AY60" s="1441"/>
      <c r="AZ60" s="1441"/>
      <c r="BA60" s="1441"/>
      <c r="BB60" s="1441"/>
      <c r="BC60" s="1441"/>
      <c r="BD60" s="1441"/>
      <c r="BE60" s="1441"/>
      <c r="BF60" s="1441"/>
      <c r="BG60" s="1441"/>
      <c r="BH60" s="1441"/>
      <c r="BI60" s="1441"/>
      <c r="BJ60" s="1441"/>
      <c r="BK60" s="1441"/>
      <c r="BL60" s="1441"/>
      <c r="BM60" s="1441"/>
      <c r="BN60" s="1441"/>
      <c r="BO60" s="1441"/>
      <c r="BP60" s="1441"/>
      <c r="BQ60" s="1441"/>
      <c r="BR60" s="1441"/>
      <c r="BS60" s="1441"/>
      <c r="BT60" s="1441"/>
      <c r="BU60" s="1441"/>
      <c r="BV60" s="1441"/>
      <c r="BW60" s="1441"/>
      <c r="BX60" s="1441"/>
      <c r="BY60" s="1441"/>
      <c r="BZ60" s="1441"/>
      <c r="CA60" s="1441"/>
      <c r="CB60" s="1441"/>
      <c r="CC60" s="1441"/>
      <c r="CD60" s="1441"/>
      <c r="CE60" s="1441"/>
      <c r="CF60" s="1441"/>
      <c r="CG60" s="1441"/>
      <c r="CH60" s="1441"/>
      <c r="CI60" s="1441"/>
      <c r="CJ60" s="1441"/>
      <c r="CK60" s="1441"/>
      <c r="CL60" s="556"/>
      <c r="CM60" s="556"/>
      <c r="CN60" s="556"/>
      <c r="CO60" s="556"/>
      <c r="CP60" s="556"/>
      <c r="CQ60" s="556"/>
      <c r="CR60" s="556"/>
      <c r="CS60" s="556"/>
      <c r="CT60" s="1133"/>
      <c r="CU60" s="91"/>
      <c r="CV60" s="91"/>
      <c r="CW60" s="91"/>
      <c r="CX60" s="91"/>
      <c r="CY60" s="91"/>
      <c r="CZ60" s="91"/>
      <c r="DA60" s="91"/>
      <c r="DB60" s="91"/>
      <c r="DC60" s="91"/>
      <c r="DD60" s="91"/>
      <c r="DE60" s="91"/>
      <c r="DF60" s="91"/>
      <c r="DG60" s="91"/>
      <c r="DH60" s="91"/>
      <c r="DI60" s="1441"/>
      <c r="DJ60" s="1441"/>
      <c r="DK60" s="1441"/>
      <c r="DL60" s="1441"/>
      <c r="DM60" s="1441"/>
      <c r="DN60" s="1441"/>
      <c r="DO60" s="1441"/>
      <c r="DP60" s="1441"/>
      <c r="DQ60" s="1441"/>
      <c r="DR60" s="91"/>
      <c r="DS60" s="91"/>
      <c r="DT60" s="91"/>
      <c r="DU60" s="91"/>
      <c r="DV60" s="91"/>
      <c r="DW60" s="91"/>
      <c r="DY60" s="91"/>
      <c r="DZ60" s="91"/>
    </row>
    <row r="61" spans="1:130" s="656" customFormat="1" ht="12">
      <c r="A61" s="2072" t="s">
        <v>597</v>
      </c>
      <c r="B61" s="2073"/>
      <c r="C61" s="2073"/>
      <c r="D61" s="2073"/>
      <c r="E61" s="2073"/>
      <c r="F61" s="2073"/>
      <c r="G61" s="2073"/>
      <c r="H61" s="2073"/>
      <c r="I61" s="2073"/>
      <c r="J61" s="2073"/>
      <c r="K61" s="2073"/>
      <c r="L61" s="2073"/>
      <c r="M61" s="2073"/>
      <c r="N61" s="2073"/>
      <c r="O61" s="2073"/>
      <c r="P61" s="2073"/>
      <c r="Q61" s="2073"/>
      <c r="R61" s="2073"/>
      <c r="S61" s="2073"/>
      <c r="T61" s="2073"/>
      <c r="U61" s="2073"/>
      <c r="V61" s="2073"/>
      <c r="W61" s="2073"/>
      <c r="X61" s="2073"/>
      <c r="Y61" s="2073"/>
      <c r="Z61" s="2073"/>
      <c r="AA61" s="2073"/>
      <c r="AB61" s="2073"/>
      <c r="AC61" s="2073"/>
      <c r="AD61" s="2073"/>
      <c r="AE61" s="2073"/>
      <c r="AF61" s="2073"/>
      <c r="AG61" s="2073"/>
      <c r="AH61" s="2073"/>
      <c r="AI61" s="2073"/>
      <c r="AJ61" s="2073"/>
      <c r="AK61" s="2073"/>
      <c r="AL61" s="2073"/>
      <c r="AM61" s="2073"/>
      <c r="AN61" s="2073"/>
      <c r="AO61" s="2073"/>
      <c r="AP61" s="2073"/>
      <c r="AQ61" s="2074">
        <f t="shared" ref="AQ61:CE61" si="459">+AQ13/AQ57</f>
        <v>7329.3980023396025</v>
      </c>
      <c r="AR61" s="2074">
        <f t="shared" si="459"/>
        <v>8485.6662848415435</v>
      </c>
      <c r="AS61" s="2074">
        <f t="shared" si="459"/>
        <v>8515.7042940793763</v>
      </c>
      <c r="AT61" s="2074">
        <f t="shared" si="459"/>
        <v>12388.211291638847</v>
      </c>
      <c r="AU61" s="2074">
        <f t="shared" si="459"/>
        <v>8463.6219022103141</v>
      </c>
      <c r="AV61" s="2074">
        <f t="shared" si="459"/>
        <v>9688.9604350003574</v>
      </c>
      <c r="AW61" s="2074">
        <f t="shared" si="459"/>
        <v>9557.2270708926662</v>
      </c>
      <c r="AX61" s="2074">
        <f t="shared" si="459"/>
        <v>12978.10764127322</v>
      </c>
      <c r="AY61" s="2074">
        <f t="shared" si="459"/>
        <v>8573.5181644359473</v>
      </c>
      <c r="AZ61" s="2074">
        <f t="shared" si="459"/>
        <v>9773.0052451620886</v>
      </c>
      <c r="BA61" s="2074">
        <f t="shared" si="459"/>
        <v>9357.465627261854</v>
      </c>
      <c r="BB61" s="2074">
        <f t="shared" si="459"/>
        <v>13083.806404646248</v>
      </c>
      <c r="BC61" s="2074">
        <f t="shared" si="459"/>
        <v>9541.5581532410961</v>
      </c>
      <c r="BD61" s="2074">
        <f t="shared" si="459"/>
        <v>10635.280726840521</v>
      </c>
      <c r="BE61" s="2074">
        <f t="shared" si="459"/>
        <v>10857.730797491762</v>
      </c>
      <c r="BF61" s="2074">
        <f t="shared" si="459"/>
        <v>14789.362844750374</v>
      </c>
      <c r="BG61" s="2074">
        <f t="shared" si="459"/>
        <v>10597.979797606424</v>
      </c>
      <c r="BH61" s="2074">
        <f t="shared" si="459"/>
        <v>11434.341269460356</v>
      </c>
      <c r="BI61" s="2074">
        <f t="shared" si="459"/>
        <v>11861.090309778629</v>
      </c>
      <c r="BJ61" s="2074">
        <f t="shared" si="459"/>
        <v>16375.289572734362</v>
      </c>
      <c r="BK61" s="2074">
        <f t="shared" si="459"/>
        <v>12064.795835724963</v>
      </c>
      <c r="BL61" s="2074">
        <f t="shared" si="459"/>
        <v>12519.140638063016</v>
      </c>
      <c r="BM61" s="2074">
        <f t="shared" si="459"/>
        <v>12816.382067449407</v>
      </c>
      <c r="BN61" s="2074">
        <f t="shared" si="459"/>
        <v>17456.926808145668</v>
      </c>
      <c r="BO61" s="2074">
        <f t="shared" si="459"/>
        <v>10977.476672383928</v>
      </c>
      <c r="BP61" s="2074">
        <f t="shared" si="459"/>
        <v>3655.8170450844586</v>
      </c>
      <c r="BQ61" s="2074">
        <f t="shared" si="459"/>
        <v>11569.684740798622</v>
      </c>
      <c r="BR61" s="2074">
        <f t="shared" si="459"/>
        <v>17914.514143697903</v>
      </c>
      <c r="BS61" s="2074">
        <f t="shared" si="459"/>
        <v>9867.1122688561645</v>
      </c>
      <c r="BT61" s="2074">
        <f t="shared" si="459"/>
        <v>12506.027063000438</v>
      </c>
      <c r="BU61" s="2074">
        <f t="shared" si="459"/>
        <v>14199.861469695037</v>
      </c>
      <c r="BV61" s="2074">
        <f t="shared" si="459"/>
        <v>18839.248299418377</v>
      </c>
      <c r="BW61" s="2074">
        <f t="shared" si="459"/>
        <v>12901.419162839169</v>
      </c>
      <c r="BX61" s="2074">
        <f t="shared" si="459"/>
        <v>14727.041922039778</v>
      </c>
      <c r="BY61" s="2074">
        <f t="shared" si="459"/>
        <v>13370.934949037824</v>
      </c>
      <c r="BZ61" s="2074">
        <f t="shared" si="459"/>
        <v>16851.610089546863</v>
      </c>
      <c r="CA61" s="2074">
        <f t="shared" si="459"/>
        <v>12041.931758758868</v>
      </c>
      <c r="CB61" s="2074">
        <f t="shared" si="459"/>
        <v>13483.972943952151</v>
      </c>
      <c r="CC61" s="2074">
        <f t="shared" si="459"/>
        <v>13184.154420396164</v>
      </c>
      <c r="CD61" s="2074">
        <f t="shared" si="459"/>
        <v>18290.498361436701</v>
      </c>
      <c r="CE61" s="2074">
        <f t="shared" si="459"/>
        <v>13112.326348072969</v>
      </c>
      <c r="CF61" s="2074">
        <f t="shared" ref="CF61:CK61" si="460">+CF13/CF57</f>
        <v>14433.132311625779</v>
      </c>
      <c r="CG61" s="2074">
        <f t="shared" si="460"/>
        <v>14872.339495625416</v>
      </c>
      <c r="CH61" s="2074">
        <f t="shared" si="460"/>
        <v>19948.21048866351</v>
      </c>
      <c r="CI61" s="2074">
        <f t="shared" si="460"/>
        <v>14249.051932068784</v>
      </c>
      <c r="CJ61" s="2074">
        <f t="shared" si="460"/>
        <v>16084.92287351256</v>
      </c>
      <c r="CK61" s="2074">
        <f t="shared" si="460"/>
        <v>15034.618131180179</v>
      </c>
      <c r="CL61" s="2075"/>
      <c r="CM61" s="2075"/>
      <c r="CN61" s="2075"/>
      <c r="CO61" s="2075"/>
      <c r="CP61" s="2075"/>
      <c r="CQ61" s="2075"/>
      <c r="CR61" s="2075"/>
      <c r="CS61" s="2075"/>
      <c r="CT61" s="1134"/>
      <c r="CU61" s="2076"/>
      <c r="CV61" s="2076"/>
      <c r="CW61" s="2076"/>
      <c r="CX61" s="2076"/>
      <c r="CY61" s="2076"/>
      <c r="CZ61" s="2076"/>
      <c r="DA61" s="2076"/>
      <c r="DB61" s="2076"/>
      <c r="DC61" s="2076"/>
      <c r="DD61" s="2076"/>
      <c r="DE61" s="2076"/>
      <c r="DF61" s="2076"/>
      <c r="DG61" s="2076"/>
      <c r="DH61" s="2076"/>
      <c r="DI61" s="2074">
        <f t="shared" ref="DI61:DK61" si="461">+DI13/DI57</f>
        <v>50711.454800920481</v>
      </c>
      <c r="DJ61" s="2074">
        <f t="shared" si="461"/>
        <v>55262.751665465097</v>
      </c>
      <c r="DK61" s="2074">
        <f t="shared" si="461"/>
        <v>44813.549481541704</v>
      </c>
      <c r="DL61" s="2074">
        <f>+SUM(BS61:BV61)</f>
        <v>55412.249100970017</v>
      </c>
      <c r="DM61" s="2074">
        <f>+SUM(BW61:BZ61)</f>
        <v>57851.006123463631</v>
      </c>
      <c r="DN61" s="2074">
        <f>+SUM(CA61:CD61)</f>
        <v>57000.55748454389</v>
      </c>
      <c r="DO61" s="2074">
        <f>+SUM(CE61:CH61)</f>
        <v>62366.008643987676</v>
      </c>
      <c r="DP61" s="2074">
        <f t="shared" ref="DP61:DQ61" si="462">+DP13/DP57</f>
        <v>66497.760656226295</v>
      </c>
      <c r="DQ61" s="2074" t="e">
        <f t="shared" si="462"/>
        <v>#DIV/0!</v>
      </c>
      <c r="DR61" s="2076"/>
      <c r="DS61" s="2076"/>
      <c r="DT61" s="2076"/>
      <c r="DU61" s="2076"/>
      <c r="DV61" s="2076"/>
      <c r="DW61" s="2076"/>
      <c r="DY61" s="2076"/>
      <c r="DZ61" s="2076"/>
    </row>
    <row r="62" spans="1:130" s="656" customFormat="1" ht="12">
      <c r="A62" s="2077" t="s">
        <v>169</v>
      </c>
      <c r="B62" s="2078"/>
      <c r="C62" s="2078"/>
      <c r="D62" s="2078"/>
      <c r="E62" s="2078"/>
      <c r="F62" s="2078"/>
      <c r="G62" s="2078"/>
      <c r="H62" s="2078"/>
      <c r="I62" s="2078">
        <v>0.12146584152408701</v>
      </c>
      <c r="J62" s="2078"/>
      <c r="K62" s="2078"/>
      <c r="L62" s="2078"/>
      <c r="M62" s="2078"/>
      <c r="N62" s="2078"/>
      <c r="O62" s="2078"/>
      <c r="P62" s="2078"/>
      <c r="Q62" s="2078"/>
      <c r="R62" s="2078"/>
      <c r="S62" s="2078"/>
      <c r="T62" s="2078"/>
      <c r="U62" s="2078"/>
      <c r="V62" s="2078"/>
      <c r="W62" s="2078"/>
      <c r="X62" s="2078"/>
      <c r="Y62" s="2078"/>
      <c r="Z62" s="2078"/>
      <c r="AA62" s="2078"/>
      <c r="AB62" s="2078"/>
      <c r="AC62" s="2078"/>
      <c r="AD62" s="2078"/>
      <c r="AE62" s="2078"/>
      <c r="AF62" s="2078"/>
      <c r="AG62" s="2078"/>
      <c r="AH62" s="2078"/>
      <c r="AI62" s="2078"/>
      <c r="AJ62" s="2078"/>
      <c r="AK62" s="2078"/>
      <c r="AL62" s="2078"/>
      <c r="AM62" s="2078"/>
      <c r="AN62" s="2078"/>
      <c r="AO62" s="2078"/>
      <c r="AP62" s="2078"/>
      <c r="AQ62" s="2078"/>
      <c r="AR62" s="2078"/>
      <c r="AS62" s="2078"/>
      <c r="AT62" s="2078"/>
      <c r="AU62" s="2078">
        <f t="shared" ref="AU62" si="463">AU61/AQ61-1</f>
        <v>0.15474993983252894</v>
      </c>
      <c r="AV62" s="2078">
        <f t="shared" ref="AV62" si="464">AV61/AR61-1</f>
        <v>0.14180314306117969</v>
      </c>
      <c r="AW62" s="2078">
        <f t="shared" ref="AW62" si="465">AW61/AS61-1</f>
        <v>0.12230612299882448</v>
      </c>
      <c r="AX62" s="2078">
        <f t="shared" ref="AX62" si="466">AX61/AT61-1</f>
        <v>4.7617556380598058E-2</v>
      </c>
      <c r="AY62" s="2078">
        <f t="shared" ref="AY62" si="467">AY61/AU61-1</f>
        <v>1.298454296463003E-2</v>
      </c>
      <c r="AZ62" s="2078">
        <f t="shared" ref="AZ62" si="468">AZ61/AV61-1</f>
        <v>8.6742856187262962E-3</v>
      </c>
      <c r="BA62" s="2078">
        <f t="shared" ref="BA62" si="469">BA61/AW61-1</f>
        <v>-2.0901611120991648E-2</v>
      </c>
      <c r="BB62" s="2078">
        <f t="shared" ref="BB62" si="470">BB61/AX61-1</f>
        <v>8.1443894822448293E-3</v>
      </c>
      <c r="BC62" s="2078">
        <f t="shared" ref="BC62" si="471">BC61/AY61-1</f>
        <v>0.11291047271827126</v>
      </c>
      <c r="BD62" s="2078">
        <f t="shared" ref="BD62" si="472">BD61/AZ61-1</f>
        <v>8.8230330389445166E-2</v>
      </c>
      <c r="BE62" s="2078">
        <f t="shared" ref="BE62" si="473">BE61/BA61-1</f>
        <v>0.160328151872561</v>
      </c>
      <c r="BF62" s="2078">
        <f t="shared" ref="BF62" si="474">BF61/BB61-1</f>
        <v>0.13035628832741364</v>
      </c>
      <c r="BG62" s="2078">
        <f t="shared" ref="BG62" si="475">BG61/BC61-1</f>
        <v>0.11071793803473073</v>
      </c>
      <c r="BH62" s="2078">
        <f t="shared" ref="BH62" si="476">BH61/BD61-1</f>
        <v>7.5132999602278927E-2</v>
      </c>
      <c r="BI62" s="2078">
        <f t="shared" ref="BI62" si="477">BI61/BE61-1</f>
        <v>9.2409687714734234E-2</v>
      </c>
      <c r="BJ62" s="2078">
        <f t="shared" ref="BJ62" si="478">BJ61/BF61-1</f>
        <v>0.10723428349362107</v>
      </c>
      <c r="BK62" s="2078">
        <f t="shared" ref="BK62" si="479">BK61/BG61-1</f>
        <v>0.13840524950328947</v>
      </c>
      <c r="BL62" s="2078">
        <f t="shared" ref="BL62" si="480">BL61/BH61-1</f>
        <v>9.4872047548556049E-2</v>
      </c>
      <c r="BM62" s="2078">
        <f t="shared" ref="BM62" si="481">BM61/BI61-1</f>
        <v>8.0539961565186724E-2</v>
      </c>
      <c r="BN62" s="2078">
        <f t="shared" ref="BN62" si="482">BN61/BJ61-1</f>
        <v>6.6053014244846331E-2</v>
      </c>
      <c r="BO62" s="2078">
        <f t="shared" ref="BO62" si="483">BO61/BK61-1</f>
        <v>-9.0123295756185384E-2</v>
      </c>
      <c r="BP62" s="2078">
        <f t="shared" ref="BP62" si="484">BP61/BL61-1</f>
        <v>-0.70798178958311531</v>
      </c>
      <c r="BQ62" s="2078">
        <f t="shared" ref="BQ62" si="485">BQ61/BM61-1</f>
        <v>-9.7273732952851244E-2</v>
      </c>
      <c r="BR62" s="2078">
        <f t="shared" ref="BR62" si="486">BR61/BN61-1</f>
        <v>2.6212364901404994E-2</v>
      </c>
      <c r="BS62" s="2078">
        <f t="shared" ref="BS62" si="487">BS61/BO61-1</f>
        <v>-0.1011493293646536</v>
      </c>
      <c r="BT62" s="2078">
        <f t="shared" ref="BT62" si="488">BT61/BP61-1</f>
        <v>2.4208569271309135</v>
      </c>
      <c r="BU62" s="2078">
        <f t="shared" ref="BU62" si="489">BU61/BQ61-1</f>
        <v>0.22733348296185829</v>
      </c>
      <c r="BV62" s="2078">
        <f t="shared" ref="BV62" si="490">BV61/BR61-1</f>
        <v>5.1619270737843781E-2</v>
      </c>
      <c r="BW62" s="2078">
        <f t="shared" ref="BW62" si="491">BW61/BS61-1</f>
        <v>0.30751721590928582</v>
      </c>
      <c r="BX62" s="2078">
        <f t="shared" ref="BX62" si="492">BX61/BT61-1</f>
        <v>0.17759555835364349</v>
      </c>
      <c r="BY62" s="2078">
        <f t="shared" ref="BY62" si="493">BY61/BU61-1</f>
        <v>-5.8375676581513547E-2</v>
      </c>
      <c r="BZ62" s="2078">
        <f t="shared" ref="BZ62" si="494">BZ61/BV61-1</f>
        <v>-0.10550517612387322</v>
      </c>
      <c r="CA62" s="2078">
        <f t="shared" ref="CA62" si="495">CA61/BW61-1</f>
        <v>-6.661960155173785E-2</v>
      </c>
      <c r="CB62" s="2078">
        <f t="shared" ref="CB62" si="496">CB61/BX61-1</f>
        <v>-8.4407241092137486E-2</v>
      </c>
      <c r="CC62" s="2078">
        <f t="shared" ref="CC62" si="497">CC61/BY61-1</f>
        <v>-1.3969144966568092E-2</v>
      </c>
      <c r="CD62" s="2078">
        <f t="shared" ref="CD62" si="498">CD61/BZ61-1</f>
        <v>8.5385803744793876E-2</v>
      </c>
      <c r="CE62" s="2078">
        <f t="shared" ref="CE62" si="499">CE61/CA61-1</f>
        <v>8.8888943298946588E-2</v>
      </c>
      <c r="CF62" s="2078">
        <f t="shared" ref="CF62:CK62" si="500">CF61/CB61-1</f>
        <v>7.0391669548650837E-2</v>
      </c>
      <c r="CG62" s="2078">
        <f t="shared" si="500"/>
        <v>0.1280465186768136</v>
      </c>
      <c r="CH62" s="2078">
        <f t="shared" si="500"/>
        <v>9.063241987555104E-2</v>
      </c>
      <c r="CI62" s="2078">
        <f t="shared" si="500"/>
        <v>8.6691373736504929E-2</v>
      </c>
      <c r="CJ62" s="2078">
        <f t="shared" si="500"/>
        <v>0.11444435803836406</v>
      </c>
      <c r="CK62" s="2078">
        <f t="shared" si="500"/>
        <v>1.091143969665942E-2</v>
      </c>
      <c r="CL62" s="244"/>
      <c r="CM62" s="244"/>
      <c r="CN62" s="244"/>
      <c r="CO62" s="244"/>
      <c r="CP62" s="244"/>
      <c r="CQ62" s="244"/>
      <c r="CR62" s="244"/>
      <c r="CS62" s="244"/>
      <c r="CT62" s="1134"/>
      <c r="CU62" s="244"/>
      <c r="CV62" s="244" t="e">
        <f t="shared" ref="CV62" si="501">CV61/CU61-1</f>
        <v>#DIV/0!</v>
      </c>
      <c r="CW62" s="244" t="e">
        <f t="shared" ref="CW62" si="502">CW61/CV61-1</f>
        <v>#DIV/0!</v>
      </c>
      <c r="CX62" s="244" t="e">
        <f t="shared" ref="CX62" si="503">CX61/CW61-1</f>
        <v>#DIV/0!</v>
      </c>
      <c r="CY62" s="244" t="e">
        <f t="shared" ref="CY62" si="504">CY61/CX61-1</f>
        <v>#DIV/0!</v>
      </c>
      <c r="CZ62" s="244" t="e">
        <f t="shared" ref="CZ62" si="505">CZ61/CY61-1</f>
        <v>#DIV/0!</v>
      </c>
      <c r="DA62" s="244" t="e">
        <f t="shared" ref="DA62" si="506">DA61/CZ61-1</f>
        <v>#DIV/0!</v>
      </c>
      <c r="DB62" s="244" t="e">
        <f t="shared" ref="DB62" si="507">DB61/DA61-1</f>
        <v>#DIV/0!</v>
      </c>
      <c r="DC62" s="244" t="e">
        <f t="shared" ref="DC62" si="508">DC61/DB61-1</f>
        <v>#DIV/0!</v>
      </c>
      <c r="DD62" s="244" t="e">
        <f t="shared" ref="DD62" si="509">DD61/DC61-1</f>
        <v>#DIV/0!</v>
      </c>
      <c r="DE62" s="2079"/>
      <c r="DF62" s="2079"/>
      <c r="DG62" s="2079"/>
      <c r="DH62" s="2079"/>
      <c r="DI62" s="2079"/>
      <c r="DJ62" s="244">
        <f>+DJ61/DI61-1</f>
        <v>8.974889169344058E-2</v>
      </c>
      <c r="DK62" s="244">
        <f t="shared" ref="DK62" si="510">+DK61/DJ61-1</f>
        <v>-0.18908219133165838</v>
      </c>
      <c r="DL62" s="244">
        <f t="shared" ref="DL62" si="511">+DL61/DK61-1</f>
        <v>0.23650658655801915</v>
      </c>
      <c r="DM62" s="244">
        <f t="shared" ref="DM62:DQ62" si="512">+DM61/DL61-1</f>
        <v>4.4011153888552812E-2</v>
      </c>
      <c r="DN62" s="244">
        <f t="shared" si="512"/>
        <v>-1.4700671533780074E-2</v>
      </c>
      <c r="DO62" s="244">
        <f t="shared" si="512"/>
        <v>9.4129801465514973E-2</v>
      </c>
      <c r="DP62" s="244">
        <f t="shared" si="512"/>
        <v>6.6250063168615814E-2</v>
      </c>
      <c r="DQ62" s="244" t="e">
        <f t="shared" si="512"/>
        <v>#DIV/0!</v>
      </c>
      <c r="DR62" s="2079"/>
      <c r="DS62" s="2079"/>
      <c r="DT62" s="2079"/>
      <c r="DU62" s="2079"/>
      <c r="DV62" s="244"/>
      <c r="DW62" s="244"/>
      <c r="DY62" s="2079"/>
      <c r="DZ62" s="2079"/>
    </row>
    <row r="63" spans="1:130">
      <c r="A63" s="419"/>
      <c r="B63" s="419"/>
      <c r="C63" s="419"/>
      <c r="D63" s="419"/>
      <c r="E63" s="419"/>
      <c r="F63" s="419"/>
      <c r="G63" s="419"/>
      <c r="H63" s="419"/>
      <c r="I63" s="419"/>
      <c r="J63" s="419"/>
      <c r="K63" s="419"/>
      <c r="L63" s="419"/>
      <c r="M63" s="419"/>
      <c r="N63" s="419"/>
      <c r="O63" s="419"/>
      <c r="P63" s="419"/>
      <c r="Q63" s="419"/>
      <c r="R63" s="419"/>
      <c r="S63" s="419"/>
      <c r="T63" s="419"/>
      <c r="U63" s="419"/>
      <c r="V63" s="419"/>
      <c r="W63" s="419"/>
      <c r="X63" s="419"/>
      <c r="Y63" s="419"/>
      <c r="Z63" s="419"/>
      <c r="AA63" s="419"/>
      <c r="AB63" s="419"/>
      <c r="AC63" s="419"/>
      <c r="AD63" s="419"/>
      <c r="AE63" s="419"/>
      <c r="AF63" s="419"/>
      <c r="AG63" s="419"/>
      <c r="AH63" s="419"/>
      <c r="AI63" s="419"/>
      <c r="AJ63" s="419"/>
      <c r="AK63" s="419"/>
      <c r="AL63" s="419"/>
      <c r="AM63" s="419"/>
      <c r="AN63" s="419"/>
      <c r="AO63" s="419"/>
      <c r="AP63" s="419"/>
      <c r="AQ63" s="419"/>
      <c r="AR63" s="419"/>
      <c r="AS63" s="419"/>
      <c r="AT63" s="419"/>
      <c r="AU63" s="419"/>
      <c r="AV63" s="419"/>
      <c r="AW63" s="419"/>
      <c r="AX63" s="419"/>
      <c r="AY63" s="419"/>
      <c r="AZ63" s="419"/>
      <c r="BA63" s="419"/>
      <c r="BB63" s="419"/>
      <c r="BC63" s="419"/>
      <c r="BD63" s="419"/>
      <c r="BE63" s="419"/>
      <c r="BF63" s="419"/>
      <c r="BG63" s="419"/>
      <c r="BH63" s="419"/>
      <c r="BI63" s="419"/>
      <c r="BJ63" s="419"/>
      <c r="BK63" s="419"/>
      <c r="BL63" s="419"/>
      <c r="BM63" s="419"/>
      <c r="BN63" s="419"/>
      <c r="BO63" s="419"/>
      <c r="BP63" s="419"/>
      <c r="BQ63" s="419"/>
      <c r="BR63" s="419"/>
      <c r="BS63" s="419"/>
      <c r="BT63" s="419"/>
      <c r="BU63" s="419"/>
      <c r="BV63" s="419"/>
      <c r="BW63" s="419"/>
      <c r="BX63" s="419"/>
      <c r="BY63" s="419"/>
      <c r="BZ63" s="419"/>
      <c r="CA63" s="419"/>
      <c r="CB63" s="419"/>
      <c r="CC63" s="419"/>
      <c r="CD63" s="419"/>
      <c r="CE63" s="419"/>
      <c r="CF63" s="419"/>
      <c r="CG63" s="419"/>
      <c r="CH63" s="419"/>
      <c r="CI63" s="419"/>
      <c r="CJ63" s="419"/>
      <c r="CK63" s="419"/>
      <c r="CL63" s="231"/>
      <c r="CM63" s="231"/>
      <c r="CN63" s="231"/>
      <c r="CO63" s="231"/>
      <c r="CP63" s="231"/>
      <c r="CQ63" s="231"/>
      <c r="CR63" s="231"/>
      <c r="CS63" s="231"/>
      <c r="CT63" s="1133"/>
      <c r="CU63" s="231"/>
      <c r="CV63" s="231"/>
      <c r="CW63" s="231"/>
      <c r="CX63" s="231"/>
      <c r="CY63" s="231"/>
      <c r="CZ63" s="231"/>
      <c r="DA63" s="231"/>
      <c r="DB63" s="231"/>
      <c r="DC63" s="231"/>
      <c r="DD63" s="231"/>
      <c r="DE63" s="232"/>
      <c r="DF63" s="232"/>
      <c r="DG63" s="232"/>
      <c r="DH63" s="232"/>
      <c r="DI63" s="232"/>
      <c r="DJ63" s="231"/>
      <c r="DK63" s="231"/>
      <c r="DL63" s="231"/>
      <c r="DM63" s="231"/>
      <c r="DN63" s="231"/>
      <c r="DO63" s="231"/>
      <c r="DP63" s="231"/>
      <c r="DQ63" s="231"/>
      <c r="DR63" s="232"/>
      <c r="DS63" s="232"/>
      <c r="DT63" s="232"/>
      <c r="DU63" s="232"/>
      <c r="DV63" s="231"/>
      <c r="DW63" s="231"/>
      <c r="DY63" s="232"/>
      <c r="DZ63" s="232"/>
    </row>
    <row r="64" spans="1:130">
      <c r="A64" s="211" t="s">
        <v>598</v>
      </c>
      <c r="B64" s="211"/>
      <c r="C64" s="211">
        <v>0</v>
      </c>
      <c r="D64" s="211">
        <v>0</v>
      </c>
      <c r="E64" s="211">
        <v>0</v>
      </c>
      <c r="F64" s="211">
        <v>0</v>
      </c>
      <c r="G64" s="211">
        <v>0</v>
      </c>
      <c r="H64" s="211">
        <v>0</v>
      </c>
      <c r="I64" s="211">
        <v>0.4</v>
      </c>
      <c r="J64" s="211">
        <v>3</v>
      </c>
      <c r="K64" s="211">
        <v>0.60000000000000009</v>
      </c>
      <c r="L64" s="211">
        <v>2.6</v>
      </c>
      <c r="M64" s="211">
        <v>4.5999999999999996</v>
      </c>
      <c r="N64" s="211">
        <v>6.8000000000000016</v>
      </c>
      <c r="O64" s="211">
        <v>11.799999999999999</v>
      </c>
      <c r="P64" s="211">
        <v>11</v>
      </c>
      <c r="Q64" s="211">
        <v>12.599999999999998</v>
      </c>
      <c r="R64" s="211">
        <v>12.200000000000003</v>
      </c>
      <c r="S64" s="211">
        <v>15.3</v>
      </c>
      <c r="T64" s="211">
        <v>17.100000000000001</v>
      </c>
      <c r="U64" s="211">
        <v>17.899999999999999</v>
      </c>
      <c r="V64" s="211">
        <v>14.100000000000001</v>
      </c>
      <c r="W64" s="211">
        <v>50.116999999999997</v>
      </c>
      <c r="X64" s="211">
        <v>50.739000000000004</v>
      </c>
      <c r="Y64" s="211">
        <v>57.34</v>
      </c>
      <c r="Z64" s="211">
        <v>60.334000000000003</v>
      </c>
      <c r="AA64" s="211">
        <v>59.545000000000002</v>
      </c>
      <c r="AB64" s="211">
        <v>65.201000000000008</v>
      </c>
      <c r="AC64" s="211">
        <v>67.613</v>
      </c>
      <c r="AD64" s="211">
        <v>69.3</v>
      </c>
      <c r="AE64" s="211">
        <v>74.900000000000006</v>
      </c>
      <c r="AF64" s="211">
        <v>81.2</v>
      </c>
      <c r="AG64" s="211">
        <v>79.599999999999994</v>
      </c>
      <c r="AH64" s="211">
        <v>85.3</v>
      </c>
      <c r="AI64" s="211">
        <v>85.919999999999987</v>
      </c>
      <c r="AJ64" s="211">
        <v>94.914000000000001</v>
      </c>
      <c r="AK64" s="211">
        <v>97.399999999999991</v>
      </c>
      <c r="AL64" s="211">
        <v>104.60000000000001</v>
      </c>
      <c r="AM64" s="211">
        <v>103.89999999999999</v>
      </c>
      <c r="AN64" s="211">
        <v>108.89999999999999</v>
      </c>
      <c r="AO64" s="211">
        <v>109.39999999999999</v>
      </c>
      <c r="AP64" s="211">
        <v>117.39999999999998</v>
      </c>
      <c r="AQ64" s="211">
        <f t="shared" ref="AQ64:BP64" si="513">+AQ84+AQ93+AQ89</f>
        <v>119.99999999999999</v>
      </c>
      <c r="AR64" s="211">
        <f t="shared" si="513"/>
        <v>140.5</v>
      </c>
      <c r="AS64" s="211">
        <f t="shared" si="513"/>
        <v>151</v>
      </c>
      <c r="AT64" s="211">
        <f t="shared" si="513"/>
        <v>140</v>
      </c>
      <c r="AU64" s="211">
        <f t="shared" si="513"/>
        <v>151.464</v>
      </c>
      <c r="AV64" s="211">
        <f t="shared" si="513"/>
        <v>168.542</v>
      </c>
      <c r="AW64" s="211">
        <f t="shared" si="513"/>
        <v>161.58099999999999</v>
      </c>
      <c r="AX64" s="211">
        <f t="shared" si="513"/>
        <v>167.61500000000001</v>
      </c>
      <c r="AY64" s="211">
        <f t="shared" si="513"/>
        <v>160.37100000000001</v>
      </c>
      <c r="AZ64" s="211">
        <f t="shared" si="513"/>
        <v>172.6</v>
      </c>
      <c r="BA64" s="211">
        <f t="shared" si="513"/>
        <v>175.006</v>
      </c>
      <c r="BB64" s="211">
        <f t="shared" si="513"/>
        <v>183.392</v>
      </c>
      <c r="BC64" s="211">
        <f t="shared" si="513"/>
        <v>174.20999999999998</v>
      </c>
      <c r="BD64" s="211">
        <f t="shared" si="513"/>
        <v>195.34800000000001</v>
      </c>
      <c r="BE64" s="211">
        <f t="shared" si="513"/>
        <v>228.06400000000002</v>
      </c>
      <c r="BF64" s="211">
        <f t="shared" si="513"/>
        <v>224.57900000000001</v>
      </c>
      <c r="BG64" s="211">
        <f t="shared" si="513"/>
        <v>222.68299999999999</v>
      </c>
      <c r="BH64" s="211">
        <f t="shared" si="513"/>
        <v>232.83999999999997</v>
      </c>
      <c r="BI64" s="211">
        <f t="shared" si="513"/>
        <v>224.96628662000001</v>
      </c>
      <c r="BJ64" s="211">
        <f t="shared" si="513"/>
        <v>233.49992909000039</v>
      </c>
      <c r="BK64" s="211">
        <f t="shared" si="513"/>
        <v>236.17860819000003</v>
      </c>
      <c r="BL64" s="211">
        <f t="shared" si="513"/>
        <v>266.87477643</v>
      </c>
      <c r="BM64" s="211">
        <f t="shared" si="513"/>
        <v>286.66500000000002</v>
      </c>
      <c r="BN64" s="211">
        <f t="shared" si="513"/>
        <v>300.80804796742984</v>
      </c>
      <c r="BO64" s="211">
        <f t="shared" si="513"/>
        <v>308.14699999999999</v>
      </c>
      <c r="BP64" s="211">
        <f t="shared" si="513"/>
        <v>262.06845269999997</v>
      </c>
      <c r="BQ64" s="211">
        <f>+BQ84+BQ89+BQ93</f>
        <v>132.47362887</v>
      </c>
      <c r="BR64" s="211">
        <f>+BR84+BR89+BR93</f>
        <v>151.6</v>
      </c>
      <c r="BS64" s="211">
        <f>+BS84+BS93+BS89</f>
        <v>213.1</v>
      </c>
      <c r="BT64" s="211">
        <f>+BT84+BT93+BT89</f>
        <v>227.97558000000001</v>
      </c>
      <c r="BU64" s="211">
        <f>+BU84+BU93+BU89</f>
        <v>250.66712999999999</v>
      </c>
      <c r="BV64" s="211">
        <f>+BV84+BV93+BV89</f>
        <v>301.61634999999995</v>
      </c>
      <c r="BW64" s="211">
        <f>+BW84+BW93+BW89</f>
        <v>366.74312000000003</v>
      </c>
      <c r="BX64" s="211">
        <f t="shared" ref="BX64:CD64" si="514">+BX84+BX93+BX89</f>
        <v>423.20400000000001</v>
      </c>
      <c r="BY64" s="211">
        <f t="shared" si="514"/>
        <v>367.88780999999994</v>
      </c>
      <c r="BZ64" s="211">
        <f t="shared" ref="BZ64" si="515">+BZ84+BZ93+BZ89</f>
        <v>427.47499999999997</v>
      </c>
      <c r="CA64" s="211">
        <f t="shared" si="514"/>
        <v>468.93700000000001</v>
      </c>
      <c r="CB64" s="211">
        <f t="shared" ref="CB64:CC64" si="516">+CB84+CB93+CB89</f>
        <v>488.392</v>
      </c>
      <c r="CC64" s="211">
        <f t="shared" si="516"/>
        <v>434.62699999999995</v>
      </c>
      <c r="CD64" s="211">
        <f t="shared" si="514"/>
        <v>443.86699999999996</v>
      </c>
      <c r="CE64" s="211">
        <f t="shared" ref="CE64:CJ64" si="517">+CE84+CE93+CE89</f>
        <v>429.29399999999998</v>
      </c>
      <c r="CF64" s="211">
        <f t="shared" ref="CF64" si="518">+CF84+CF93+CF89</f>
        <v>426.02100000000002</v>
      </c>
      <c r="CG64" s="211">
        <f t="shared" si="517"/>
        <v>426.80970708999996</v>
      </c>
      <c r="CH64" s="211">
        <f t="shared" si="517"/>
        <v>444.07</v>
      </c>
      <c r="CI64" s="211">
        <f t="shared" si="517"/>
        <v>503.54503640999997</v>
      </c>
      <c r="CJ64" s="211">
        <f t="shared" si="517"/>
        <v>519.51201521000007</v>
      </c>
      <c r="CK64" s="211">
        <f t="shared" ref="CK64:CL64" si="519">+CK84+CK93+CK89</f>
        <v>490.30041237999995</v>
      </c>
      <c r="CL64" s="212">
        <f t="shared" si="519"/>
        <v>461.42667328637924</v>
      </c>
      <c r="CM64" s="212">
        <f t="shared" ref="CM64:CP64" si="520">+CM84+CM93+CM89</f>
        <v>504.57377062223719</v>
      </c>
      <c r="CN64" s="212">
        <f t="shared" si="520"/>
        <v>510.8821847563645</v>
      </c>
      <c r="CO64" s="212">
        <f t="shared" si="520"/>
        <v>514.55238963652562</v>
      </c>
      <c r="CP64" s="212">
        <f t="shared" si="520"/>
        <v>515.32024291663481</v>
      </c>
      <c r="CQ64" s="212"/>
      <c r="CR64" s="212"/>
      <c r="CS64" s="212">
        <v>471.50381448870837</v>
      </c>
      <c r="CT64" s="1133">
        <f>+CI64/CS64-1</f>
        <v>6.7955382197780523E-2</v>
      </c>
      <c r="CU64" s="211">
        <f>SUM(C64:F64)</f>
        <v>0</v>
      </c>
      <c r="CV64" s="211">
        <f>SUM(G64:J64)</f>
        <v>3.4</v>
      </c>
      <c r="CW64" s="211">
        <f>SUM(K64:N64)</f>
        <v>14.600000000000001</v>
      </c>
      <c r="CX64" s="211">
        <f>SUM(O64:R64)</f>
        <v>47.599999999999994</v>
      </c>
      <c r="CY64" s="211">
        <f>SUM(S64:V64)</f>
        <v>64.400000000000006</v>
      </c>
      <c r="CZ64" s="211">
        <f>SUM(W64:Z64)</f>
        <v>218.53</v>
      </c>
      <c r="DA64" s="211">
        <f>SUM(AA64:AD64)</f>
        <v>261.65899999999999</v>
      </c>
      <c r="DB64" s="211">
        <f>SUM(AE64:AH64)</f>
        <v>321</v>
      </c>
      <c r="DC64" s="211">
        <f>+SUM(AI64:AL64)</f>
        <v>382.834</v>
      </c>
      <c r="DD64" s="211">
        <f>+SUM(AM64:AP64)</f>
        <v>439.59999999999997</v>
      </c>
      <c r="DE64" s="211">
        <f t="shared" ref="DE64:DL64" si="521">+DE84+DE93+DE89</f>
        <v>551.49999999999989</v>
      </c>
      <c r="DF64" s="211">
        <f t="shared" si="521"/>
        <v>649.20199999999988</v>
      </c>
      <c r="DG64" s="211">
        <f t="shared" si="521"/>
        <v>691.36899999999991</v>
      </c>
      <c r="DH64" s="211">
        <f t="shared" si="521"/>
        <v>822.20100000000002</v>
      </c>
      <c r="DI64" s="211">
        <f t="shared" si="521"/>
        <v>913.98921571000039</v>
      </c>
      <c r="DJ64" s="211">
        <f t="shared" si="521"/>
        <v>1090.52643258743</v>
      </c>
      <c r="DK64" s="211">
        <f t="shared" si="521"/>
        <v>854.28908157000001</v>
      </c>
      <c r="DL64" s="211">
        <f t="shared" si="521"/>
        <v>993.35906</v>
      </c>
      <c r="DM64" s="211">
        <f t="shared" ref="DM64:DR64" si="522">+DM84+DM93+DM89</f>
        <v>1585.3099299999999</v>
      </c>
      <c r="DN64" s="211">
        <f t="shared" si="522"/>
        <v>1835.8229999999999</v>
      </c>
      <c r="DO64" s="211">
        <f t="shared" si="522"/>
        <v>1726.1947070899998</v>
      </c>
      <c r="DP64" s="211">
        <f t="shared" si="522"/>
        <v>1974.7841372863793</v>
      </c>
      <c r="DQ64" s="211">
        <f t="shared" ref="DQ64" si="523">+DQ84+DQ93+DQ89</f>
        <v>2045.3285879317621</v>
      </c>
      <c r="DR64" s="212">
        <f t="shared" si="522"/>
        <v>2107.7168448959737</v>
      </c>
      <c r="DS64" s="212">
        <f t="shared" ref="DS64:DU64" si="524">+DS84+DS93+DS89</f>
        <v>2114.7059290423754</v>
      </c>
      <c r="DT64" s="212">
        <f t="shared" si="524"/>
        <v>2123.0722198578655</v>
      </c>
      <c r="DU64" s="212">
        <f t="shared" si="524"/>
        <v>2132.2620380856824</v>
      </c>
      <c r="DV64" s="211"/>
      <c r="DW64" s="211"/>
      <c r="DY64" s="212">
        <v>1728.4869571127269</v>
      </c>
      <c r="DZ64" s="212">
        <v>1736.917628538989</v>
      </c>
    </row>
    <row r="65" spans="1:130">
      <c r="A65" s="440" t="s">
        <v>169</v>
      </c>
      <c r="B65" s="440"/>
      <c r="C65" s="419"/>
      <c r="D65" s="419"/>
      <c r="E65" s="419">
        <v>0.01</v>
      </c>
      <c r="F65" s="419"/>
      <c r="G65" s="419"/>
      <c r="H65" s="419"/>
      <c r="I65" s="419"/>
      <c r="J65" s="419"/>
      <c r="K65" s="419"/>
      <c r="L65" s="419"/>
      <c r="M65" s="419">
        <v>10.499999999999998</v>
      </c>
      <c r="N65" s="419">
        <v>1.2666666666666671</v>
      </c>
      <c r="O65" s="419">
        <v>18.666666666666661</v>
      </c>
      <c r="P65" s="419">
        <v>3.2307692307692308</v>
      </c>
      <c r="Q65" s="419">
        <v>1.7391304347826084</v>
      </c>
      <c r="R65" s="419">
        <v>0.79411764705882359</v>
      </c>
      <c r="S65" s="419">
        <v>0.29661016949152552</v>
      </c>
      <c r="T65" s="419">
        <v>0.55454545454545467</v>
      </c>
      <c r="U65" s="419">
        <v>0.42063492063492069</v>
      </c>
      <c r="V65" s="419">
        <v>0.15573770491803263</v>
      </c>
      <c r="W65" s="419">
        <v>2.2756209150326794</v>
      </c>
      <c r="X65" s="419">
        <v>1.9671929824561403</v>
      </c>
      <c r="Y65" s="419">
        <v>2.2033519553072631</v>
      </c>
      <c r="Z65" s="419">
        <v>3.2790070921985812</v>
      </c>
      <c r="AA65" s="419">
        <v>0.18811979966877512</v>
      </c>
      <c r="AB65" s="419">
        <v>0.28502729655688919</v>
      </c>
      <c r="AC65" s="419">
        <v>0.17915940006975917</v>
      </c>
      <c r="AD65" s="419">
        <v>0.1486060927503563</v>
      </c>
      <c r="AE65" s="419">
        <v>0.25787219749769097</v>
      </c>
      <c r="AF65" s="419">
        <v>0.24537967209091871</v>
      </c>
      <c r="AG65" s="419">
        <v>0.17728839128569951</v>
      </c>
      <c r="AH65" s="419">
        <v>0.23088023088023091</v>
      </c>
      <c r="AI65" s="419">
        <v>0.14712950600801045</v>
      </c>
      <c r="AJ65" s="419">
        <v>0.16889162561576354</v>
      </c>
      <c r="AK65" s="419">
        <v>0.22361809045226133</v>
      </c>
      <c r="AL65" s="419">
        <v>0.22626025791324755</v>
      </c>
      <c r="AM65" s="419">
        <v>0.20926443202979517</v>
      </c>
      <c r="AN65" s="419">
        <v>0.14735444718376622</v>
      </c>
      <c r="AO65" s="419">
        <v>0.12320328542094461</v>
      </c>
      <c r="AP65" s="419">
        <v>0.12237093690248546</v>
      </c>
      <c r="AQ65" s="419">
        <f t="shared" ref="AQ65:BG65" si="525">AQ64/AM64-1</f>
        <v>0.15495668912415783</v>
      </c>
      <c r="AR65" s="419">
        <f t="shared" si="525"/>
        <v>0.290174471992654</v>
      </c>
      <c r="AS65" s="419">
        <f t="shared" si="525"/>
        <v>0.38025594149908604</v>
      </c>
      <c r="AT65" s="419">
        <f t="shared" si="525"/>
        <v>0.1925042589437822</v>
      </c>
      <c r="AU65" s="419">
        <f t="shared" si="525"/>
        <v>0.26220000000000021</v>
      </c>
      <c r="AV65" s="419">
        <f t="shared" si="525"/>
        <v>0.19958718861209968</v>
      </c>
      <c r="AW65" s="419">
        <f t="shared" si="525"/>
        <v>7.0072847682119077E-2</v>
      </c>
      <c r="AX65" s="419">
        <f t="shared" si="525"/>
        <v>0.19725000000000015</v>
      </c>
      <c r="AY65" s="419">
        <f t="shared" si="525"/>
        <v>5.8806052923467078E-2</v>
      </c>
      <c r="AZ65" s="419">
        <f t="shared" si="525"/>
        <v>2.4077084643590263E-2</v>
      </c>
      <c r="BA65" s="419">
        <f t="shared" si="525"/>
        <v>8.3085263737691983E-2</v>
      </c>
      <c r="BB65" s="419">
        <f t="shared" si="525"/>
        <v>9.4126420666408084E-2</v>
      </c>
      <c r="BC65" s="419">
        <f t="shared" si="525"/>
        <v>8.6293656583796174E-2</v>
      </c>
      <c r="BD65" s="419">
        <f t="shared" si="525"/>
        <v>0.13179606025492485</v>
      </c>
      <c r="BE65" s="419">
        <f t="shared" si="525"/>
        <v>0.303178176748226</v>
      </c>
      <c r="BF65" s="419">
        <f t="shared" si="525"/>
        <v>0.22458449659745261</v>
      </c>
      <c r="BG65" s="419">
        <f t="shared" si="525"/>
        <v>0.27824464726479547</v>
      </c>
      <c r="BH65" s="419">
        <f t="shared" ref="BH65:BV65" si="526">BH64/BD64-1</f>
        <v>0.19192415586542966</v>
      </c>
      <c r="BI65" s="419">
        <f t="shared" si="526"/>
        <v>-1.3582649519433221E-2</v>
      </c>
      <c r="BJ65" s="419">
        <f t="shared" si="526"/>
        <v>3.9722899692314906E-2</v>
      </c>
      <c r="BK65" s="419">
        <f t="shared" si="526"/>
        <v>6.0604573272319939E-2</v>
      </c>
      <c r="BL65" s="419">
        <f t="shared" si="526"/>
        <v>0.14617237772719482</v>
      </c>
      <c r="BM65" s="231">
        <f t="shared" si="526"/>
        <v>0.27425759791385063</v>
      </c>
      <c r="BN65" s="231">
        <f t="shared" si="526"/>
        <v>0.2882575559647651</v>
      </c>
      <c r="BO65" s="231">
        <f>BO64/BK64-1</f>
        <v>0.30472019613267909</v>
      </c>
      <c r="BP65" s="231">
        <f>BP64/BL64-1</f>
        <v>-1.8009659040447823E-2</v>
      </c>
      <c r="BQ65" s="231">
        <f t="shared" si="526"/>
        <v>-0.53788000324420493</v>
      </c>
      <c r="BR65" s="231">
        <f t="shared" si="526"/>
        <v>-0.49602412227875448</v>
      </c>
      <c r="BS65" s="231">
        <f t="shared" si="526"/>
        <v>-0.30844694253067528</v>
      </c>
      <c r="BT65" s="231">
        <f t="shared" si="526"/>
        <v>-0.13009147933966481</v>
      </c>
      <c r="BU65" s="231">
        <f t="shared" si="526"/>
        <v>0.89220399666099959</v>
      </c>
      <c r="BV65" s="231">
        <f t="shared" si="526"/>
        <v>0.98955375989445882</v>
      </c>
      <c r="BW65" s="231">
        <f t="shared" ref="BW65:CD65" si="527">BW64/BS64-1</f>
        <v>0.72099070858751779</v>
      </c>
      <c r="BX65" s="231">
        <f t="shared" si="527"/>
        <v>0.85635672031188603</v>
      </c>
      <c r="BY65" s="231">
        <f t="shared" si="527"/>
        <v>0.46763482711115723</v>
      </c>
      <c r="BZ65" s="231">
        <f t="shared" si="527"/>
        <v>0.41728059503405568</v>
      </c>
      <c r="CA65" s="231">
        <f t="shared" si="527"/>
        <v>0.27865248024284672</v>
      </c>
      <c r="CB65" s="231">
        <f>CB64/BX64-1</f>
        <v>0.15403446092191952</v>
      </c>
      <c r="CC65" s="231">
        <f t="shared" si="527"/>
        <v>0.18141180051603234</v>
      </c>
      <c r="CD65" s="231">
        <f t="shared" si="527"/>
        <v>3.834610211123457E-2</v>
      </c>
      <c r="CE65" s="231">
        <f t="shared" ref="CE65:CF65" si="528">CE64/CA64-1</f>
        <v>-8.4538008303887358E-2</v>
      </c>
      <c r="CF65" s="231">
        <f t="shared" si="528"/>
        <v>-0.12770684204491467</v>
      </c>
      <c r="CG65" s="231">
        <f t="shared" ref="CG65" si="529">CG64/CC64-1</f>
        <v>-1.7986210957901871E-2</v>
      </c>
      <c r="CH65" s="231">
        <f t="shared" ref="CH65" si="530">CH64/CD64-1</f>
        <v>4.573442044577547E-4</v>
      </c>
      <c r="CI65" s="231">
        <f t="shared" ref="CI65" si="531">CI64/CE64-1</f>
        <v>0.1729608063704593</v>
      </c>
      <c r="CJ65" s="231">
        <f t="shared" ref="CJ65" si="532">CJ64/CF64-1</f>
        <v>0.21945165897925234</v>
      </c>
      <c r="CK65" s="231">
        <f t="shared" ref="CK65" si="533">CK64/CG64-1</f>
        <v>0.14875646976935308</v>
      </c>
      <c r="CL65" s="231">
        <f t="shared" ref="CL65" si="534">CL64/CH64-1</f>
        <v>3.9085444381244505E-2</v>
      </c>
      <c r="CM65" s="231">
        <f t="shared" ref="CM65" si="535">CM64/CI64-1</f>
        <v>2.0429835225297399E-3</v>
      </c>
      <c r="CN65" s="231">
        <f t="shared" ref="CN65" si="536">CN64/CJ64-1</f>
        <v>-1.6611416485039721E-2</v>
      </c>
      <c r="CO65" s="231">
        <f t="shared" ref="CO65" si="537">CO64/CK64-1</f>
        <v>4.9463505728666535E-2</v>
      </c>
      <c r="CP65" s="231">
        <f t="shared" ref="CP65" si="538">CP64/CL64-1</f>
        <v>0.11679769018642561</v>
      </c>
      <c r="CQ65" s="231"/>
      <c r="CR65" s="231"/>
      <c r="CS65" s="231">
        <v>0.10676190725036649</v>
      </c>
      <c r="CT65" s="1133"/>
      <c r="CU65" s="207"/>
      <c r="CV65" s="209"/>
      <c r="CW65" s="209"/>
      <c r="CX65" s="108"/>
      <c r="CY65" s="108"/>
      <c r="CZ65" s="108">
        <f t="shared" ref="CZ65:DK65" si="539">CZ64/CY64-1</f>
        <v>2.3933229813664592</v>
      </c>
      <c r="DA65" s="108">
        <f t="shared" si="539"/>
        <v>0.19735963025671532</v>
      </c>
      <c r="DB65" s="108">
        <f t="shared" si="539"/>
        <v>0.22678753645011263</v>
      </c>
      <c r="DC65" s="108">
        <f t="shared" si="539"/>
        <v>0.19262928348909658</v>
      </c>
      <c r="DD65" s="108">
        <f t="shared" si="539"/>
        <v>0.14827836608033751</v>
      </c>
      <c r="DE65" s="108">
        <f t="shared" si="539"/>
        <v>0.25454959053685156</v>
      </c>
      <c r="DF65" s="108">
        <f t="shared" si="539"/>
        <v>0.17715684496826833</v>
      </c>
      <c r="DG65" s="108">
        <f t="shared" si="539"/>
        <v>6.4952048823016639E-2</v>
      </c>
      <c r="DH65" s="108">
        <f t="shared" si="539"/>
        <v>0.1892361387334407</v>
      </c>
      <c r="DI65" s="108">
        <f t="shared" si="539"/>
        <v>0.11163719785064763</v>
      </c>
      <c r="DJ65" s="108">
        <f t="shared" si="539"/>
        <v>0.19315021867111737</v>
      </c>
      <c r="DK65" s="108">
        <f t="shared" si="539"/>
        <v>-0.21662689134175606</v>
      </c>
      <c r="DL65" s="108">
        <f t="shared" ref="DL65:DR65" si="540">DL64/DK64-1</f>
        <v>0.16279030299020003</v>
      </c>
      <c r="DM65" s="108">
        <f t="shared" si="540"/>
        <v>0.59590826100685068</v>
      </c>
      <c r="DN65" s="108">
        <f>DN64/DM64-1</f>
        <v>0.15802151065817149</v>
      </c>
      <c r="DO65" s="108">
        <f t="shared" si="540"/>
        <v>-5.9716156138146181E-2</v>
      </c>
      <c r="DP65" s="108">
        <f t="shared" si="540"/>
        <v>0.14401007555830647</v>
      </c>
      <c r="DQ65" s="108">
        <f t="shared" si="540"/>
        <v>3.5722613582626961E-2</v>
      </c>
      <c r="DR65" s="108">
        <f t="shared" si="540"/>
        <v>3.0502803966231617E-2</v>
      </c>
      <c r="DS65" s="108">
        <f t="shared" ref="DS65" si="541">DS64/DR64-1</f>
        <v>3.3159502251578488E-3</v>
      </c>
      <c r="DT65" s="108">
        <f t="shared" ref="DT65" si="542">DT64/DS64-1</f>
        <v>3.956243135554427E-3</v>
      </c>
      <c r="DU65" s="108">
        <f t="shared" ref="DU65" si="543">DU64/DT64-1</f>
        <v>4.3285471600358338E-3</v>
      </c>
      <c r="DV65" s="206"/>
      <c r="DW65" s="206"/>
      <c r="DY65" s="108">
        <v>2.9304256143529495E-2</v>
      </c>
      <c r="DZ65" s="108">
        <v>4.877486284504462E-3</v>
      </c>
    </row>
    <row r="66" spans="1:130">
      <c r="A66" s="440" t="s">
        <v>170</v>
      </c>
      <c r="B66" s="440"/>
      <c r="C66" s="419"/>
      <c r="D66" s="419"/>
      <c r="E66" s="419"/>
      <c r="F66" s="419"/>
      <c r="G66" s="419"/>
      <c r="H66" s="419"/>
      <c r="I66" s="419"/>
      <c r="J66" s="419"/>
      <c r="K66" s="419"/>
      <c r="L66" s="419">
        <v>3.333333333333333</v>
      </c>
      <c r="M66" s="419">
        <v>0.76923076923076894</v>
      </c>
      <c r="N66" s="419">
        <v>0.47826086956521796</v>
      </c>
      <c r="O66" s="419">
        <v>0.73529411764705821</v>
      </c>
      <c r="P66" s="419">
        <v>-6.7796610169491456E-2</v>
      </c>
      <c r="Q66" s="419">
        <v>0.14545454545454528</v>
      </c>
      <c r="R66" s="419">
        <v>-3.1746031746031411E-2</v>
      </c>
      <c r="S66" s="419">
        <v>0.25409836065573743</v>
      </c>
      <c r="T66" s="419">
        <v>0.11764705882352944</v>
      </c>
      <c r="U66" s="419">
        <v>4.6783625730993927E-2</v>
      </c>
      <c r="V66" s="419">
        <v>-0.21229050279329598</v>
      </c>
      <c r="W66" s="419">
        <v>2.5543971631205666</v>
      </c>
      <c r="X66" s="419">
        <v>1.2410958357443658E-2</v>
      </c>
      <c r="Y66" s="419">
        <v>0.13009716391730231</v>
      </c>
      <c r="Z66" s="419">
        <v>5.2214858737356096E-2</v>
      </c>
      <c r="AA66" s="419">
        <v>-1.3077203566811413E-2</v>
      </c>
      <c r="AB66" s="419">
        <v>9.498698463347055E-2</v>
      </c>
      <c r="AC66" s="419">
        <v>3.6993297648808987E-2</v>
      </c>
      <c r="AD66" s="419">
        <v>2.4950823066570038E-2</v>
      </c>
      <c r="AE66" s="419">
        <v>8.0808080808080884E-2</v>
      </c>
      <c r="AF66" s="419">
        <v>8.4112149532710179E-2</v>
      </c>
      <c r="AG66" s="419">
        <v>-1.9704433497537033E-2</v>
      </c>
      <c r="AH66" s="419">
        <v>7.1608040201005085E-2</v>
      </c>
      <c r="AI66" s="419">
        <v>7.2684642438451963E-3</v>
      </c>
      <c r="AJ66" s="419">
        <v>0.10467877094972078</v>
      </c>
      <c r="AK66" s="419">
        <v>2.6192131824599008E-2</v>
      </c>
      <c r="AL66" s="419">
        <v>7.3921971252566943E-2</v>
      </c>
      <c r="AM66" s="419">
        <v>-6.6921606118548471E-3</v>
      </c>
      <c r="AN66" s="419">
        <v>4.8123195380173289E-2</v>
      </c>
      <c r="AO66" s="419">
        <v>4.5913682277318735E-3</v>
      </c>
      <c r="AP66" s="419">
        <v>7.3126142595977939E-2</v>
      </c>
      <c r="AQ66" s="419">
        <f t="shared" ref="AQ66:BG66" si="544">AQ64/AP64-1</f>
        <v>2.2146507666098936E-2</v>
      </c>
      <c r="AR66" s="419">
        <f t="shared" si="544"/>
        <v>0.17083333333333339</v>
      </c>
      <c r="AS66" s="419">
        <f t="shared" si="544"/>
        <v>7.4733096085409345E-2</v>
      </c>
      <c r="AT66" s="419">
        <f t="shared" si="544"/>
        <v>-7.2847682119205337E-2</v>
      </c>
      <c r="AU66" s="419">
        <f t="shared" si="544"/>
        <v>8.1885714285714339E-2</v>
      </c>
      <c r="AV66" s="419">
        <f t="shared" si="544"/>
        <v>0.11275286536734797</v>
      </c>
      <c r="AW66" s="419">
        <f t="shared" si="544"/>
        <v>-4.1301278019722165E-2</v>
      </c>
      <c r="AX66" s="419">
        <f t="shared" si="544"/>
        <v>3.734349954511984E-2</v>
      </c>
      <c r="AY66" s="419">
        <f t="shared" si="544"/>
        <v>-4.3218089073173593E-2</v>
      </c>
      <c r="AZ66" s="419">
        <f t="shared" si="544"/>
        <v>7.6254435028776824E-2</v>
      </c>
      <c r="BA66" s="419">
        <f t="shared" si="544"/>
        <v>1.3939745075318699E-2</v>
      </c>
      <c r="BB66" s="419">
        <f t="shared" si="544"/>
        <v>4.7918357084899998E-2</v>
      </c>
      <c r="BC66" s="419">
        <f t="shared" si="544"/>
        <v>-5.0067614726923892E-2</v>
      </c>
      <c r="BD66" s="419">
        <f t="shared" si="544"/>
        <v>0.12133631823661117</v>
      </c>
      <c r="BE66" s="419">
        <f t="shared" si="544"/>
        <v>0.16747547965681764</v>
      </c>
      <c r="BF66" s="419">
        <f t="shared" si="544"/>
        <v>-1.5280798372386717E-2</v>
      </c>
      <c r="BG66" s="419">
        <f t="shared" si="544"/>
        <v>-8.4424634538403653E-3</v>
      </c>
      <c r="BH66" s="419">
        <f t="shared" ref="BH66:BV66" si="545">BH64/BG64-1</f>
        <v>4.5611923676257105E-2</v>
      </c>
      <c r="BI66" s="419">
        <f t="shared" si="545"/>
        <v>-3.381598256313334E-2</v>
      </c>
      <c r="BJ66" s="419">
        <f t="shared" si="545"/>
        <v>3.7932983640410534E-2</v>
      </c>
      <c r="BK66" s="419">
        <f t="shared" si="545"/>
        <v>1.1471862584451431E-2</v>
      </c>
      <c r="BL66" s="419">
        <f t="shared" si="545"/>
        <v>0.12997014621792347</v>
      </c>
      <c r="BM66" s="231">
        <f t="shared" si="545"/>
        <v>7.4155466600234865E-2</v>
      </c>
      <c r="BN66" s="231">
        <f t="shared" si="545"/>
        <v>4.9336500679991735E-2</v>
      </c>
      <c r="BO66" s="231">
        <f>BO64/BN64-1</f>
        <v>2.4397459051244352E-2</v>
      </c>
      <c r="BP66" s="231">
        <f>BP64/BO64-1</f>
        <v>-0.14953430440666315</v>
      </c>
      <c r="BQ66" s="231">
        <f t="shared" si="545"/>
        <v>-0.49450753226811406</v>
      </c>
      <c r="BR66" s="231">
        <f t="shared" si="545"/>
        <v>0.14437870611040049</v>
      </c>
      <c r="BS66" s="231">
        <f t="shared" si="545"/>
        <v>0.40567282321899745</v>
      </c>
      <c r="BT66" s="231">
        <f t="shared" si="545"/>
        <v>6.9805631159080228E-2</v>
      </c>
      <c r="BU66" s="231">
        <f t="shared" si="545"/>
        <v>9.953500282793426E-2</v>
      </c>
      <c r="BV66" s="231">
        <f t="shared" si="545"/>
        <v>0.20325449132480977</v>
      </c>
      <c r="BW66" s="231">
        <f t="shared" ref="BW66:CD66" si="546">BW64/BV64-1</f>
        <v>0.21592586078307785</v>
      </c>
      <c r="BX66" s="231">
        <f t="shared" si="546"/>
        <v>0.15395211776569928</v>
      </c>
      <c r="BY66" s="231">
        <f t="shared" si="546"/>
        <v>-0.13070809822213414</v>
      </c>
      <c r="BZ66" s="231">
        <f t="shared" si="546"/>
        <v>0.16197109113237551</v>
      </c>
      <c r="CA66" s="231">
        <f t="shared" si="546"/>
        <v>9.6992806596877035E-2</v>
      </c>
      <c r="CB66" s="231">
        <f t="shared" si="546"/>
        <v>4.1487449273569732E-2</v>
      </c>
      <c r="CC66" s="231">
        <f t="shared" si="546"/>
        <v>-0.11008575079034888</v>
      </c>
      <c r="CD66" s="231">
        <f t="shared" si="546"/>
        <v>2.1259608813994468E-2</v>
      </c>
      <c r="CE66" s="231">
        <f t="shared" ref="CE66:CF66" si="547">CE64/CD64-1</f>
        <v>-3.2831906854981274E-2</v>
      </c>
      <c r="CF66" s="231">
        <f t="shared" si="547"/>
        <v>-7.6241456903659577E-3</v>
      </c>
      <c r="CG66" s="231">
        <f t="shared" ref="CG66" si="548">CG64/CF64-1</f>
        <v>1.8513338309613658E-3</v>
      </c>
      <c r="CH66" s="231">
        <f t="shared" ref="CH66" si="549">CH64/CG64-1</f>
        <v>4.0440253872577436E-2</v>
      </c>
      <c r="CI66" s="231">
        <f t="shared" ref="CI66" si="550">CI64/CH64-1</f>
        <v>0.13393166935393053</v>
      </c>
      <c r="CJ66" s="231">
        <f t="shared" ref="CJ66" si="551">CJ64/CI64-1</f>
        <v>3.1709137506023222E-2</v>
      </c>
      <c r="CK66" s="231">
        <f t="shared" ref="CK66" si="552">CK64/CJ64-1</f>
        <v>-5.6228926328473872E-2</v>
      </c>
      <c r="CL66" s="231">
        <f t="shared" ref="CL66" si="553">CL64/CK64-1</f>
        <v>-5.888989355212404E-2</v>
      </c>
      <c r="CM66" s="231">
        <f t="shared" ref="CM66" si="554">CM64/CL64-1</f>
        <v>9.3508025941706263E-2</v>
      </c>
      <c r="CN66" s="231">
        <f t="shared" ref="CN66" si="555">CN64/CM64-1</f>
        <v>1.2502461486152638E-2</v>
      </c>
      <c r="CO66" s="231">
        <f t="shared" ref="CO66" si="556">CO64/CN64-1</f>
        <v>7.184053368217258E-3</v>
      </c>
      <c r="CP66" s="231">
        <f t="shared" ref="CP66" si="557">CP64/CO64-1</f>
        <v>1.492274247626435E-3</v>
      </c>
      <c r="CQ66" s="231"/>
      <c r="CR66" s="231"/>
      <c r="CS66" s="231">
        <v>-6.36312256328464E-2</v>
      </c>
      <c r="CT66" s="1133"/>
      <c r="CU66" s="207"/>
      <c r="CV66" s="207"/>
      <c r="CW66" s="207"/>
      <c r="CX66" s="207"/>
      <c r="CY66" s="207"/>
      <c r="CZ66" s="207"/>
      <c r="DA66" s="206"/>
      <c r="DB66" s="206"/>
      <c r="DC66" s="206"/>
      <c r="DD66" s="206"/>
      <c r="DE66" s="206"/>
      <c r="DF66" s="206"/>
      <c r="DG66" s="206"/>
      <c r="DH66" s="206"/>
      <c r="DI66" s="206"/>
      <c r="DJ66" s="206"/>
      <c r="DK66" s="206"/>
      <c r="DL66" s="206"/>
      <c r="DM66" s="206"/>
      <c r="DN66" s="206"/>
      <c r="DO66" s="206"/>
      <c r="DP66" s="206"/>
      <c r="DQ66" s="206"/>
      <c r="DR66" s="206"/>
      <c r="DS66" s="206"/>
      <c r="DT66" s="206"/>
      <c r="DU66" s="206"/>
      <c r="DV66" s="206"/>
      <c r="DW66" s="206"/>
      <c r="DY66" s="206"/>
      <c r="DZ66" s="206"/>
    </row>
    <row r="67" spans="1:130">
      <c r="A67" s="440"/>
      <c r="B67" s="440"/>
      <c r="C67" s="419"/>
      <c r="D67" s="419"/>
      <c r="E67" s="419"/>
      <c r="F67" s="419"/>
      <c r="G67" s="419"/>
      <c r="H67" s="419"/>
      <c r="I67" s="419"/>
      <c r="J67" s="419"/>
      <c r="K67" s="419"/>
      <c r="L67" s="419"/>
      <c r="M67" s="419"/>
      <c r="N67" s="419"/>
      <c r="O67" s="419"/>
      <c r="P67" s="419"/>
      <c r="Q67" s="419"/>
      <c r="R67" s="419"/>
      <c r="S67" s="419"/>
      <c r="T67" s="419"/>
      <c r="U67" s="419"/>
      <c r="V67" s="419"/>
      <c r="W67" s="419"/>
      <c r="X67" s="419"/>
      <c r="Y67" s="419"/>
      <c r="Z67" s="419"/>
      <c r="AA67" s="419"/>
      <c r="AB67" s="419"/>
      <c r="AC67" s="419"/>
      <c r="AD67" s="419"/>
      <c r="AE67" s="419"/>
      <c r="AF67" s="419"/>
      <c r="AG67" s="419"/>
      <c r="AH67" s="419"/>
      <c r="AI67" s="419"/>
      <c r="AJ67" s="419"/>
      <c r="AK67" s="419"/>
      <c r="AL67" s="419"/>
      <c r="AM67" s="419"/>
      <c r="AN67" s="419"/>
      <c r="AO67" s="419"/>
      <c r="AP67" s="419"/>
      <c r="AQ67" s="419"/>
      <c r="AR67" s="419"/>
      <c r="AS67" s="419"/>
      <c r="AT67" s="419"/>
      <c r="AU67" s="419"/>
      <c r="AV67" s="419"/>
      <c r="AW67" s="419"/>
      <c r="AX67" s="419"/>
      <c r="AY67" s="419"/>
      <c r="AZ67" s="419"/>
      <c r="BA67" s="419"/>
      <c r="BB67" s="419"/>
      <c r="BC67" s="419"/>
      <c r="BD67" s="419"/>
      <c r="BE67" s="419"/>
      <c r="BF67" s="419"/>
      <c r="BG67" s="419"/>
      <c r="BH67" s="419"/>
      <c r="BI67" s="419"/>
      <c r="BJ67" s="419"/>
      <c r="BK67" s="419"/>
      <c r="BL67" s="419"/>
      <c r="BM67" s="231"/>
      <c r="BN67" s="231"/>
      <c r="BO67" s="231"/>
      <c r="BP67" s="231"/>
      <c r="BQ67" s="231"/>
      <c r="BR67" s="231"/>
      <c r="BS67" s="231"/>
      <c r="BT67" s="231"/>
      <c r="BU67" s="231"/>
      <c r="BV67" s="231"/>
      <c r="BW67" s="231">
        <f>+BW64/BK64-1</f>
        <v>0.55282107389236534</v>
      </c>
      <c r="BX67" s="231">
        <f>+BX64/BL64-1</f>
        <v>0.58577744087030426</v>
      </c>
      <c r="BY67" s="231"/>
      <c r="BZ67" s="231"/>
      <c r="CA67" s="231"/>
      <c r="CB67" s="231"/>
      <c r="CC67" s="231"/>
      <c r="CD67" s="231"/>
      <c r="CE67" s="231"/>
      <c r="CF67" s="231"/>
      <c r="CG67" s="231"/>
      <c r="CH67" s="231"/>
      <c r="CI67" s="231"/>
      <c r="CJ67" s="231"/>
      <c r="CK67" s="231"/>
      <c r="CL67" s="231"/>
      <c r="CM67" s="231"/>
      <c r="CN67" s="231"/>
      <c r="CO67" s="231"/>
      <c r="CP67" s="231"/>
      <c r="CQ67" s="231"/>
      <c r="CR67" s="231"/>
      <c r="CS67" s="231"/>
      <c r="CT67" s="1133"/>
      <c r="CU67" s="207"/>
      <c r="CV67" s="207"/>
      <c r="CW67" s="207"/>
      <c r="CX67" s="207"/>
      <c r="CY67" s="207"/>
      <c r="CZ67" s="207"/>
      <c r="DA67" s="206"/>
      <c r="DB67" s="206"/>
      <c r="DC67" s="206"/>
      <c r="DD67" s="206"/>
      <c r="DE67" s="206"/>
      <c r="DF67" s="206"/>
      <c r="DG67" s="206"/>
      <c r="DH67" s="206"/>
      <c r="DI67" s="206"/>
      <c r="DJ67" s="206"/>
      <c r="DK67" s="206"/>
      <c r="DL67" s="206"/>
      <c r="DM67" s="206"/>
      <c r="DN67" s="206"/>
      <c r="DO67" s="206"/>
      <c r="DP67" s="206"/>
      <c r="DQ67" s="206"/>
      <c r="DR67" s="206"/>
      <c r="DS67" s="206"/>
      <c r="DT67" s="206"/>
      <c r="DU67" s="206"/>
      <c r="DV67" s="206"/>
      <c r="DW67" s="206"/>
      <c r="DY67" s="206"/>
      <c r="DZ67" s="206"/>
    </row>
    <row r="68" spans="1:130">
      <c r="A68" s="440"/>
      <c r="B68" s="440"/>
      <c r="C68" s="419"/>
      <c r="D68" s="419"/>
      <c r="E68" s="419"/>
      <c r="F68" s="419"/>
      <c r="G68" s="419"/>
      <c r="H68" s="419"/>
      <c r="I68" s="419"/>
      <c r="J68" s="419"/>
      <c r="K68" s="419"/>
      <c r="L68" s="419"/>
      <c r="M68" s="419"/>
      <c r="N68" s="419"/>
      <c r="O68" s="419"/>
      <c r="P68" s="419"/>
      <c r="Q68" s="419"/>
      <c r="R68" s="419"/>
      <c r="S68" s="419"/>
      <c r="T68" s="419"/>
      <c r="U68" s="419"/>
      <c r="V68" s="419"/>
      <c r="W68" s="419"/>
      <c r="X68" s="419"/>
      <c r="Y68" s="419"/>
      <c r="Z68" s="419"/>
      <c r="AA68" s="419"/>
      <c r="AB68" s="419"/>
      <c r="AC68" s="419"/>
      <c r="AD68" s="419"/>
      <c r="AE68" s="419"/>
      <c r="AF68" s="419"/>
      <c r="AG68" s="419"/>
      <c r="AH68" s="419"/>
      <c r="AI68" s="419"/>
      <c r="AJ68" s="419"/>
      <c r="AK68" s="419"/>
      <c r="AL68" s="419"/>
      <c r="AM68" s="419"/>
      <c r="AN68" s="419"/>
      <c r="AO68" s="419"/>
      <c r="AP68" s="419"/>
      <c r="AQ68" s="419"/>
      <c r="AR68" s="419"/>
      <c r="AS68" s="419"/>
      <c r="AT68" s="419"/>
      <c r="AU68" s="419"/>
      <c r="AV68" s="419"/>
      <c r="AW68" s="419"/>
      <c r="AX68" s="419"/>
      <c r="AY68" s="419"/>
      <c r="AZ68" s="419"/>
      <c r="BA68" s="419"/>
      <c r="BB68" s="419"/>
      <c r="BC68" s="419"/>
      <c r="BD68" s="419"/>
      <c r="BE68" s="419"/>
      <c r="BF68" s="419"/>
      <c r="BG68" s="419"/>
      <c r="BH68" s="419"/>
      <c r="BI68" s="419"/>
      <c r="BJ68" s="419"/>
      <c r="BK68" s="419"/>
      <c r="BL68" s="419"/>
      <c r="BM68" s="231"/>
      <c r="BN68" s="231"/>
      <c r="BO68" s="231"/>
      <c r="BP68" s="231"/>
      <c r="BQ68" s="231"/>
      <c r="BR68" s="231"/>
      <c r="BS68" s="231"/>
      <c r="BT68" s="231"/>
      <c r="BU68" s="231"/>
      <c r="BV68" s="231"/>
      <c r="BW68" s="231"/>
      <c r="BX68" s="231"/>
      <c r="BY68" s="231"/>
      <c r="BZ68" s="231"/>
      <c r="CA68" s="231"/>
      <c r="CB68" s="231"/>
      <c r="CC68" s="231"/>
      <c r="CD68" s="231"/>
      <c r="CE68" s="231"/>
      <c r="CF68" s="231"/>
      <c r="CG68" s="231"/>
      <c r="CH68" s="231"/>
      <c r="CI68" s="231"/>
      <c r="CJ68" s="231"/>
      <c r="CK68" s="231"/>
      <c r="CL68" s="231"/>
      <c r="CM68" s="231"/>
      <c r="CN68" s="231"/>
      <c r="CO68" s="231"/>
      <c r="CP68" s="231"/>
      <c r="CQ68" s="231"/>
      <c r="CR68" s="231"/>
      <c r="CS68" s="231"/>
      <c r="CT68" s="1133"/>
      <c r="CU68" s="207"/>
      <c r="CV68" s="207"/>
      <c r="CW68" s="207"/>
      <c r="CX68" s="207"/>
      <c r="CY68" s="207"/>
      <c r="CZ68" s="207"/>
      <c r="DA68" s="206"/>
      <c r="DB68" s="206"/>
      <c r="DC68" s="206"/>
      <c r="DD68" s="206"/>
      <c r="DE68" s="206"/>
      <c r="DF68" s="206"/>
      <c r="DG68" s="206"/>
      <c r="DH68" s="206"/>
      <c r="DI68" s="206"/>
      <c r="DJ68" s="206"/>
      <c r="DK68" s="206"/>
      <c r="DL68" s="206"/>
      <c r="DM68" s="206"/>
      <c r="DN68" s="206"/>
      <c r="DO68" s="206"/>
      <c r="DP68" s="206"/>
      <c r="DQ68" s="206"/>
      <c r="DR68" s="206"/>
      <c r="DS68" s="206"/>
      <c r="DT68" s="206"/>
      <c r="DU68" s="206"/>
      <c r="DV68" s="206"/>
      <c r="DW68" s="206"/>
      <c r="DY68" s="206"/>
      <c r="DZ68" s="206"/>
    </row>
    <row r="69" spans="1:130" s="359" customFormat="1">
      <c r="A69" s="1063" t="s">
        <v>599</v>
      </c>
      <c r="B69" s="1063"/>
      <c r="C69" s="1064"/>
      <c r="D69" s="1064"/>
      <c r="E69" s="1064"/>
      <c r="F69" s="1064"/>
      <c r="G69" s="1064"/>
      <c r="H69" s="1064"/>
      <c r="I69" s="1064"/>
      <c r="J69" s="1064"/>
      <c r="K69" s="1064"/>
      <c r="L69" s="1064"/>
      <c r="M69" s="1064"/>
      <c r="N69" s="1064"/>
      <c r="O69" s="1064"/>
      <c r="P69" s="1064"/>
      <c r="Q69" s="1064"/>
      <c r="R69" s="1064"/>
      <c r="S69" s="1064"/>
      <c r="T69" s="1064"/>
      <c r="U69" s="1064"/>
      <c r="V69" s="1064"/>
      <c r="W69" s="1064"/>
      <c r="X69" s="1064"/>
      <c r="Y69" s="1064"/>
      <c r="Z69" s="1064"/>
      <c r="AA69" s="1064"/>
      <c r="AB69" s="1064"/>
      <c r="AC69" s="1064"/>
      <c r="AD69" s="1064"/>
      <c r="AE69" s="1064"/>
      <c r="AF69" s="1064"/>
      <c r="AG69" s="1064"/>
      <c r="AH69" s="1064"/>
      <c r="AI69" s="1064"/>
      <c r="AJ69" s="1064"/>
      <c r="AK69" s="1064"/>
      <c r="AL69" s="1064"/>
      <c r="AM69" s="1064"/>
      <c r="AN69" s="1064"/>
      <c r="AO69" s="1064"/>
      <c r="AP69" s="1064"/>
      <c r="AQ69" s="1065">
        <f t="shared" ref="AQ69:CL69" si="558">+AQ64*1000/AVERAGE(AQ160+AQ237,AP160+AP237)</f>
        <v>0.11519863604814917</v>
      </c>
      <c r="AR69" s="1065">
        <f t="shared" si="558"/>
        <v>0.14465492336377778</v>
      </c>
      <c r="AS69" s="1065">
        <f t="shared" si="558"/>
        <v>0.1528634822807434</v>
      </c>
      <c r="AT69" s="1065">
        <f t="shared" si="558"/>
        <v>0.11641835601481673</v>
      </c>
      <c r="AU69" s="1065">
        <f t="shared" si="558"/>
        <v>0.11654662973222531</v>
      </c>
      <c r="AV69" s="1065">
        <f t="shared" si="558"/>
        <v>0.1395326696213729</v>
      </c>
      <c r="AW69" s="1065">
        <f t="shared" si="558"/>
        <v>0.13298738281989447</v>
      </c>
      <c r="AX69" s="1065">
        <f t="shared" si="558"/>
        <v>0.12086235795346999</v>
      </c>
      <c r="AY69" s="1065">
        <f t="shared" si="558"/>
        <v>0.11244912054355562</v>
      </c>
      <c r="AZ69" s="1065">
        <f t="shared" si="558"/>
        <v>0.13235364033856767</v>
      </c>
      <c r="BA69" s="1065">
        <f t="shared" si="558"/>
        <v>0.13535717600470254</v>
      </c>
      <c r="BB69" s="1065">
        <f t="shared" si="558"/>
        <v>0.12630281283950959</v>
      </c>
      <c r="BC69" s="1065">
        <f t="shared" si="558"/>
        <v>0.11300868015124907</v>
      </c>
      <c r="BD69" s="1065">
        <f t="shared" si="558"/>
        <v>0.12762133542215917</v>
      </c>
      <c r="BE69" s="1065">
        <f t="shared" si="558"/>
        <v>0.14338317888066268</v>
      </c>
      <c r="BF69" s="1065">
        <f t="shared" si="558"/>
        <v>0.12677705698121006</v>
      </c>
      <c r="BG69" s="1065">
        <f t="shared" si="558"/>
        <v>0.12027871764525119</v>
      </c>
      <c r="BH69" s="1065">
        <f t="shared" si="558"/>
        <v>0.13297525239607177</v>
      </c>
      <c r="BI69" s="1065">
        <f t="shared" si="558"/>
        <v>0.12547101102212499</v>
      </c>
      <c r="BJ69" s="1065">
        <f t="shared" si="558"/>
        <v>0.11193062364790421</v>
      </c>
      <c r="BK69" s="1065">
        <f t="shared" si="558"/>
        <v>0.10486915021866489</v>
      </c>
      <c r="BL69" s="1065">
        <f t="shared" si="558"/>
        <v>0.12352022290818084</v>
      </c>
      <c r="BM69" s="1065">
        <f t="shared" si="558"/>
        <v>0.12764290286295629</v>
      </c>
      <c r="BN69" s="1065">
        <f t="shared" si="558"/>
        <v>0.11491892035916629</v>
      </c>
      <c r="BO69" s="1065">
        <f t="shared" si="558"/>
        <v>0.11234795332325598</v>
      </c>
      <c r="BP69" s="1065">
        <f t="shared" si="558"/>
        <v>0.11766317688670101</v>
      </c>
      <c r="BQ69" s="1065">
        <f t="shared" si="558"/>
        <v>6.4372906597227331E-2</v>
      </c>
      <c r="BR69" s="1065">
        <f t="shared" si="558"/>
        <v>5.8659817905222199E-2</v>
      </c>
      <c r="BS69" s="1065">
        <f t="shared" si="558"/>
        <v>7.7922700247232191E-2</v>
      </c>
      <c r="BT69" s="1065">
        <f t="shared" si="558"/>
        <v>8.3934373961062805E-2</v>
      </c>
      <c r="BU69" s="1065">
        <f t="shared" si="558"/>
        <v>8.237822313787492E-2</v>
      </c>
      <c r="BV69" s="1065">
        <f t="shared" si="558"/>
        <v>8.2182791213348413E-2</v>
      </c>
      <c r="BW69" s="1065">
        <f t="shared" si="558"/>
        <v>8.7537393847730308E-2</v>
      </c>
      <c r="BX69" s="1065">
        <f t="shared" si="558"/>
        <v>9.6432586295468525E-2</v>
      </c>
      <c r="BY69" s="1065">
        <f t="shared" si="558"/>
        <v>8.0455624868850675E-2</v>
      </c>
      <c r="BZ69" s="1065">
        <f t="shared" si="558"/>
        <v>8.7757970917052563E-2</v>
      </c>
      <c r="CA69" s="1065">
        <f t="shared" si="558"/>
        <v>9.2919227779091618E-2</v>
      </c>
      <c r="CB69" s="1065">
        <f t="shared" si="558"/>
        <v>9.9486953428995009E-2</v>
      </c>
      <c r="CC69" s="1065">
        <f t="shared" si="558"/>
        <v>9.2074490965725342E-2</v>
      </c>
      <c r="CD69" s="1065">
        <f t="shared" si="558"/>
        <v>9.3340641600068788E-2</v>
      </c>
      <c r="CE69" s="1065">
        <f t="shared" si="558"/>
        <v>8.9485905356024117E-2</v>
      </c>
      <c r="CF69" s="1065">
        <f t="shared" si="558"/>
        <v>9.0971748892186774E-2</v>
      </c>
      <c r="CG69" s="1065">
        <f t="shared" si="558"/>
        <v>8.9944382014543148E-2</v>
      </c>
      <c r="CH69" s="1065">
        <f t="shared" si="558"/>
        <v>8.8840693993224515E-2</v>
      </c>
      <c r="CI69" s="1065">
        <f t="shared" si="558"/>
        <v>9.888092215597577E-2</v>
      </c>
      <c r="CJ69" s="1065">
        <f t="shared" si="558"/>
        <v>0.10390733224925311</v>
      </c>
      <c r="CK69" s="1065">
        <f t="shared" si="558"/>
        <v>9.8058045782050324E-2</v>
      </c>
      <c r="CL69" s="1065">
        <f t="shared" si="558"/>
        <v>9.0602657976207007E-2</v>
      </c>
      <c r="CM69" s="1065">
        <f t="shared" ref="CM69" si="559">+CM64*1000/AVERAGE(CM160+CM237,CL160+CL237)</f>
        <v>9.6622914031396889E-2</v>
      </c>
      <c r="CN69" s="1065">
        <f t="shared" ref="CN69" si="560">+CN64*1000/AVERAGE(CN160+CN237,CM160+CM237)</f>
        <v>9.5337457556657818E-2</v>
      </c>
      <c r="CO69" s="1065">
        <f t="shared" ref="CO69" si="561">+CO64*1000/AVERAGE(CO160+CO237,CN160+CN237)</f>
        <v>9.4598747346151341E-2</v>
      </c>
      <c r="CP69" s="1065">
        <f t="shared" ref="CP69" si="562">+CP64*1000/AVERAGE(CP160+CP237,CO160+CO237)</f>
        <v>9.4242195030379311E-2</v>
      </c>
      <c r="CQ69" s="1065"/>
      <c r="CR69" s="1066"/>
      <c r="CS69" s="1065">
        <v>9.584171861042208E-2</v>
      </c>
      <c r="CT69" s="1133"/>
      <c r="CU69" s="1067"/>
      <c r="CV69" s="1067"/>
      <c r="CW69" s="1067"/>
      <c r="CX69" s="1067"/>
      <c r="CY69" s="1067"/>
      <c r="CZ69" s="1067"/>
      <c r="DA69" s="1065"/>
      <c r="DB69" s="1065"/>
      <c r="DC69" s="1065"/>
      <c r="DD69" s="1065"/>
      <c r="DE69" s="1065">
        <f t="shared" ref="DE69:DU69" si="563">+DE64*1000/AVERAGE(DE160+DE237,DD160+DD237)</f>
        <v>0.43231506086901983</v>
      </c>
      <c r="DF69" s="1065">
        <f t="shared" si="563"/>
        <v>0.43275603820133485</v>
      </c>
      <c r="DG69" s="1065">
        <f t="shared" si="563"/>
        <v>0.42748993600657392</v>
      </c>
      <c r="DH69" s="1065">
        <f t="shared" si="563"/>
        <v>0.45070539340187843</v>
      </c>
      <c r="DI69" s="1065">
        <f t="shared" si="563"/>
        <v>0.41792255948734514</v>
      </c>
      <c r="DJ69" s="1065">
        <f t="shared" si="563"/>
        <v>0.40998578705191197</v>
      </c>
      <c r="DK69" s="1065">
        <f t="shared" si="563"/>
        <v>0.28948532729927701</v>
      </c>
      <c r="DL69" s="1065">
        <f t="shared" si="563"/>
        <v>0.27820730160021545</v>
      </c>
      <c r="DM69" s="1065">
        <f t="shared" si="563"/>
        <v>0.33898299963756223</v>
      </c>
      <c r="DN69" s="1065">
        <f t="shared" si="563"/>
        <v>0.36198335130115095</v>
      </c>
      <c r="DO69" s="1065">
        <f t="shared" si="563"/>
        <v>0.33795136490712241</v>
      </c>
      <c r="DP69" s="1065">
        <f t="shared" si="563"/>
        <v>0.37637860869078893</v>
      </c>
      <c r="DQ69" s="1065">
        <f t="shared" si="563"/>
        <v>0.37791150548417696</v>
      </c>
      <c r="DR69" s="1065">
        <f t="shared" si="563"/>
        <v>0.37596360263110379</v>
      </c>
      <c r="DS69" s="1065">
        <f t="shared" si="563"/>
        <v>0.37285364225874912</v>
      </c>
      <c r="DT69" s="1065">
        <f t="shared" si="563"/>
        <v>0.36935214090630381</v>
      </c>
      <c r="DU69" s="1065">
        <f t="shared" si="563"/>
        <v>0.36579346001430596</v>
      </c>
      <c r="DV69" s="1065"/>
      <c r="DW69" s="1065"/>
      <c r="DY69" s="1065">
        <v>0.3170700772313863</v>
      </c>
      <c r="DZ69" s="1065">
        <v>0.30943900149122033</v>
      </c>
    </row>
    <row r="70" spans="1:130">
      <c r="A70" s="440"/>
      <c r="B70" s="440"/>
      <c r="C70" s="419"/>
      <c r="D70" s="419"/>
      <c r="E70" s="419"/>
      <c r="F70" s="419"/>
      <c r="G70" s="419"/>
      <c r="H70" s="419"/>
      <c r="I70" s="419"/>
      <c r="J70" s="419"/>
      <c r="K70" s="419"/>
      <c r="L70" s="419"/>
      <c r="M70" s="419"/>
      <c r="N70" s="419"/>
      <c r="O70" s="419"/>
      <c r="P70" s="419"/>
      <c r="Q70" s="419"/>
      <c r="R70" s="419"/>
      <c r="S70" s="419"/>
      <c r="T70" s="419"/>
      <c r="U70" s="419"/>
      <c r="V70" s="419"/>
      <c r="W70" s="419"/>
      <c r="X70" s="419"/>
      <c r="Y70" s="419"/>
      <c r="Z70" s="419"/>
      <c r="AA70" s="419"/>
      <c r="AB70" s="419"/>
      <c r="AC70" s="419"/>
      <c r="AD70" s="419"/>
      <c r="AE70" s="419"/>
      <c r="AF70" s="419"/>
      <c r="AG70" s="419"/>
      <c r="AH70" s="419"/>
      <c r="AI70" s="419"/>
      <c r="AJ70" s="419"/>
      <c r="AK70" s="419"/>
      <c r="AL70" s="419"/>
      <c r="AM70" s="419"/>
      <c r="AN70" s="419"/>
      <c r="AO70" s="419"/>
      <c r="AP70" s="419"/>
      <c r="AQ70" s="419"/>
      <c r="AR70" s="419"/>
      <c r="AS70" s="419"/>
      <c r="AT70" s="419"/>
      <c r="AU70" s="419"/>
      <c r="AV70" s="419"/>
      <c r="AW70" s="419"/>
      <c r="AX70" s="419"/>
      <c r="AY70" s="419"/>
      <c r="AZ70" s="419"/>
      <c r="BA70" s="419"/>
      <c r="BB70" s="419"/>
      <c r="BC70" s="419"/>
      <c r="BD70" s="419"/>
      <c r="BE70" s="419"/>
      <c r="BF70" s="419"/>
      <c r="BG70" s="419"/>
      <c r="BH70" s="419"/>
      <c r="BI70" s="419"/>
      <c r="BJ70" s="419"/>
      <c r="BK70" s="419"/>
      <c r="BL70" s="419"/>
      <c r="BM70" s="231"/>
      <c r="BN70" s="231"/>
      <c r="BO70" s="231"/>
      <c r="BP70" s="231"/>
      <c r="BQ70" s="231"/>
      <c r="BR70" s="231"/>
      <c r="BS70" s="231"/>
      <c r="BT70" s="231"/>
      <c r="BU70" s="231"/>
      <c r="BV70" s="231"/>
      <c r="BW70" s="231"/>
      <c r="BX70" s="231"/>
      <c r="BY70" s="231"/>
      <c r="BZ70" s="231"/>
      <c r="CA70" s="231"/>
      <c r="CB70" s="231"/>
      <c r="CC70" s="231"/>
      <c r="CD70" s="231"/>
      <c r="CE70" s="231"/>
      <c r="CF70" s="231"/>
      <c r="CG70" s="231"/>
      <c r="CH70" s="231"/>
      <c r="CI70" s="231"/>
      <c r="CJ70" s="231"/>
      <c r="CK70" s="231"/>
      <c r="CL70" s="231"/>
      <c r="CM70" s="231"/>
      <c r="CN70" s="231"/>
      <c r="CO70" s="231"/>
      <c r="CP70" s="231"/>
      <c r="CQ70" s="231"/>
      <c r="CR70" s="231"/>
      <c r="CS70" s="231"/>
      <c r="CT70" s="1133"/>
      <c r="CU70" s="207"/>
      <c r="CV70" s="207"/>
      <c r="CW70" s="207"/>
      <c r="CX70" s="207"/>
      <c r="CY70" s="207"/>
      <c r="CZ70" s="207"/>
      <c r="DA70" s="206"/>
      <c r="DB70" s="206"/>
      <c r="DC70" s="206"/>
      <c r="DD70" s="206"/>
      <c r="DE70" s="206"/>
      <c r="DF70" s="206"/>
      <c r="DG70" s="206"/>
      <c r="DH70" s="206"/>
      <c r="DI70" s="206"/>
      <c r="DJ70" s="206"/>
      <c r="DK70" s="206"/>
      <c r="DL70" s="206"/>
      <c r="DM70" s="206"/>
      <c r="DN70" s="206"/>
      <c r="DO70" s="206"/>
      <c r="DP70" s="206"/>
      <c r="DQ70" s="206"/>
      <c r="DR70" s="206"/>
      <c r="DS70" s="206"/>
      <c r="DT70" s="206"/>
      <c r="DU70" s="206"/>
      <c r="DV70" s="206"/>
      <c r="DW70" s="206"/>
      <c r="DY70" s="206"/>
      <c r="DZ70" s="206"/>
    </row>
    <row r="71" spans="1:130">
      <c r="A71" s="345"/>
      <c r="B71" s="345"/>
      <c r="C71" s="441"/>
      <c r="D71" s="441"/>
      <c r="E71" s="441"/>
      <c r="F71" s="441"/>
      <c r="G71" s="441"/>
      <c r="H71" s="441"/>
      <c r="I71" s="441"/>
      <c r="J71" s="441"/>
      <c r="K71" s="441"/>
      <c r="L71" s="441"/>
      <c r="M71" s="441"/>
      <c r="N71" s="441"/>
      <c r="O71" s="441"/>
      <c r="P71" s="441"/>
      <c r="Q71" s="441"/>
      <c r="R71" s="441"/>
      <c r="S71" s="441"/>
      <c r="T71" s="441"/>
      <c r="U71" s="441"/>
      <c r="V71" s="441"/>
      <c r="W71" s="441"/>
      <c r="X71" s="441"/>
      <c r="Y71" s="441"/>
      <c r="Z71" s="441"/>
      <c r="AA71" s="441"/>
      <c r="AB71" s="441"/>
      <c r="AC71" s="441"/>
      <c r="AD71" s="442"/>
      <c r="AE71" s="345"/>
      <c r="AF71" s="441"/>
      <c r="AG71" s="441"/>
      <c r="AH71" s="441"/>
      <c r="AI71" s="441"/>
      <c r="AJ71" s="441"/>
      <c r="AK71" s="441"/>
      <c r="AL71" s="441"/>
      <c r="AM71" s="441"/>
      <c r="AN71" s="441"/>
      <c r="AO71" s="441"/>
      <c r="AP71" s="441"/>
      <c r="AQ71" s="441"/>
      <c r="AR71" s="441"/>
      <c r="AS71" s="441"/>
      <c r="AT71" s="443"/>
      <c r="AU71" s="441"/>
      <c r="AV71" s="441"/>
      <c r="AW71" s="441"/>
      <c r="AX71" s="441"/>
      <c r="AY71" s="441"/>
      <c r="AZ71" s="444"/>
      <c r="BA71" s="444"/>
      <c r="BB71" s="441"/>
      <c r="BC71" s="444"/>
      <c r="BD71" s="441"/>
      <c r="BE71" s="441"/>
      <c r="BF71" s="441"/>
      <c r="BG71" s="441"/>
      <c r="BH71" s="441"/>
      <c r="BI71" s="441"/>
      <c r="BJ71" s="441"/>
      <c r="BK71" s="441"/>
      <c r="BL71" s="441"/>
      <c r="BM71" s="174"/>
      <c r="BN71" s="174"/>
      <c r="BO71" s="174"/>
      <c r="BP71" s="174"/>
      <c r="BQ71" s="174"/>
      <c r="BR71" s="174"/>
      <c r="BS71" s="174"/>
      <c r="BT71" s="174"/>
      <c r="BU71" s="174"/>
      <c r="BV71" s="174"/>
      <c r="BW71" s="174"/>
      <c r="BX71" s="174"/>
      <c r="BY71" s="174"/>
      <c r="BZ71" s="174"/>
      <c r="CA71" s="174"/>
      <c r="CB71" s="174"/>
      <c r="CC71" s="174"/>
      <c r="CD71" s="174"/>
      <c r="CE71" s="174"/>
      <c r="CF71" s="174"/>
      <c r="CG71" s="174"/>
      <c r="CH71" s="174"/>
      <c r="CI71" s="174"/>
      <c r="CJ71" s="174"/>
      <c r="CK71" s="174"/>
      <c r="CL71" s="174"/>
      <c r="CM71" s="174"/>
      <c r="CN71" s="174"/>
      <c r="CO71" s="174"/>
      <c r="CP71" s="174"/>
      <c r="CQ71" s="174"/>
      <c r="CR71" s="174"/>
      <c r="CS71" s="174"/>
      <c r="CT71" s="1133"/>
      <c r="CU71" s="6"/>
      <c r="CV71" s="6"/>
      <c r="CW71" s="6"/>
      <c r="CX71" s="6"/>
      <c r="CY71" s="6"/>
      <c r="CZ71" s="6"/>
      <c r="DA71" s="6"/>
      <c r="DB71" s="230"/>
      <c r="DC71" s="73"/>
      <c r="DD71" s="73"/>
      <c r="DE71" s="73"/>
      <c r="DF71" s="73"/>
      <c r="DG71" s="73"/>
      <c r="DH71" s="73"/>
      <c r="DI71" s="73"/>
      <c r="DJ71" s="73"/>
      <c r="DK71" s="73"/>
      <c r="DL71" s="6"/>
      <c r="DM71" s="6"/>
      <c r="DN71" s="6"/>
      <c r="DO71" s="6"/>
      <c r="DP71" s="6"/>
      <c r="DQ71" s="6"/>
      <c r="DR71" s="6"/>
      <c r="DS71" s="6"/>
      <c r="DT71" s="6"/>
      <c r="DU71" s="6"/>
      <c r="DV71" s="6"/>
      <c r="DW71" s="6"/>
      <c r="DY71" s="6"/>
      <c r="DZ71" s="6"/>
    </row>
    <row r="72" spans="1:130">
      <c r="A72" s="345" t="s">
        <v>600</v>
      </c>
      <c r="B72" s="345"/>
      <c r="C72" s="441">
        <v>0</v>
      </c>
      <c r="D72" s="441">
        <v>0</v>
      </c>
      <c r="E72" s="441">
        <v>0</v>
      </c>
      <c r="F72" s="441">
        <v>0</v>
      </c>
      <c r="G72" s="441">
        <v>0</v>
      </c>
      <c r="H72" s="441">
        <v>0</v>
      </c>
      <c r="I72" s="441">
        <v>0.4</v>
      </c>
      <c r="J72" s="441">
        <v>3</v>
      </c>
      <c r="K72" s="441">
        <v>0.8</v>
      </c>
      <c r="L72" s="441">
        <v>3.6</v>
      </c>
      <c r="M72" s="441">
        <v>7.1</v>
      </c>
      <c r="N72" s="441">
        <v>12.100000000000001</v>
      </c>
      <c r="O72" s="441">
        <v>20.399999999999999</v>
      </c>
      <c r="P72" s="441">
        <v>25</v>
      </c>
      <c r="Q72" s="441">
        <v>27.2</v>
      </c>
      <c r="R72" s="441">
        <v>26.200000000000003</v>
      </c>
      <c r="S72" s="441">
        <v>30</v>
      </c>
      <c r="T72" s="441">
        <v>33.200000000000003</v>
      </c>
      <c r="U72" s="441">
        <v>34.4</v>
      </c>
      <c r="V72" s="441">
        <v>32.1</v>
      </c>
      <c r="W72" s="441">
        <v>31.729999999999997</v>
      </c>
      <c r="X72" s="441">
        <v>29.560000000000002</v>
      </c>
      <c r="Y72" s="441">
        <v>36.97</v>
      </c>
      <c r="Z72" s="441">
        <v>37.923000000000002</v>
      </c>
      <c r="AA72" s="441">
        <v>40.251000000000005</v>
      </c>
      <c r="AB72" s="441">
        <v>40.450000000000003</v>
      </c>
      <c r="AC72" s="441">
        <v>44.747</v>
      </c>
      <c r="AD72" s="441">
        <v>51.8</v>
      </c>
      <c r="AE72" s="441">
        <v>59.7</v>
      </c>
      <c r="AF72" s="441">
        <v>59.2</v>
      </c>
      <c r="AG72" s="441">
        <v>57.599999999999994</v>
      </c>
      <c r="AH72" s="441">
        <v>59.5</v>
      </c>
      <c r="AI72" s="441">
        <v>62</v>
      </c>
      <c r="AJ72" s="441">
        <v>64</v>
      </c>
      <c r="AK72" s="441">
        <v>63.699999999999996</v>
      </c>
      <c r="AL72" s="441">
        <v>66.900000000000006</v>
      </c>
      <c r="AM72" s="441">
        <v>70.599999999999994</v>
      </c>
      <c r="AN72" s="441">
        <v>69.2</v>
      </c>
      <c r="AO72" s="441">
        <v>69.5</v>
      </c>
      <c r="AP72" s="441">
        <v>68.699999999999989</v>
      </c>
      <c r="AQ72" s="441">
        <f t="shared" ref="AQ72:BV72" si="564">AQ80+AQ93</f>
        <v>70.400000000000006</v>
      </c>
      <c r="AR72" s="441">
        <f t="shared" si="564"/>
        <v>75.5</v>
      </c>
      <c r="AS72" s="441">
        <f t="shared" si="564"/>
        <v>84.8</v>
      </c>
      <c r="AT72" s="441">
        <f t="shared" si="564"/>
        <v>78.8</v>
      </c>
      <c r="AU72" s="441">
        <f t="shared" si="564"/>
        <v>26.457999999999998</v>
      </c>
      <c r="AV72" s="441">
        <f t="shared" si="564"/>
        <v>28.614999999999998</v>
      </c>
      <c r="AW72" s="441">
        <f t="shared" si="564"/>
        <v>28.846</v>
      </c>
      <c r="AX72" s="441">
        <f t="shared" si="564"/>
        <v>34.097000000000001</v>
      </c>
      <c r="AY72" s="441">
        <f t="shared" si="564"/>
        <v>29.856000000000002</v>
      </c>
      <c r="AZ72" s="444">
        <f t="shared" si="564"/>
        <v>27.4</v>
      </c>
      <c r="BA72" s="444">
        <f t="shared" si="564"/>
        <v>28.614000000000001</v>
      </c>
      <c r="BB72" s="441">
        <f t="shared" si="564"/>
        <v>28.925000000000001</v>
      </c>
      <c r="BC72" s="444">
        <f t="shared" si="564"/>
        <v>25.562999999999999</v>
      </c>
      <c r="BD72" s="441">
        <f t="shared" si="564"/>
        <v>22.486999999999998</v>
      </c>
      <c r="BE72" s="441">
        <f t="shared" si="564"/>
        <v>19.952999999999999</v>
      </c>
      <c r="BF72" s="441">
        <f t="shared" si="564"/>
        <v>24.803999999999998</v>
      </c>
      <c r="BG72" s="441">
        <f t="shared" si="564"/>
        <v>23.11</v>
      </c>
      <c r="BH72" s="441">
        <f t="shared" si="564"/>
        <v>23.038</v>
      </c>
      <c r="BI72" s="441">
        <f t="shared" si="564"/>
        <v>20.790579399999999</v>
      </c>
      <c r="BJ72" s="441">
        <f t="shared" si="564"/>
        <v>19.661757130000002</v>
      </c>
      <c r="BK72" s="441">
        <f t="shared" si="564"/>
        <v>18.030759720000002</v>
      </c>
      <c r="BL72" s="441">
        <f t="shared" si="564"/>
        <v>19.472621230000001</v>
      </c>
      <c r="BM72" s="174">
        <f t="shared" si="564"/>
        <v>22.318999999999999</v>
      </c>
      <c r="BN72" s="174">
        <f t="shared" si="564"/>
        <v>26.003011489999999</v>
      </c>
      <c r="BO72" s="174">
        <f t="shared" si="564"/>
        <v>0</v>
      </c>
      <c r="BP72" s="174">
        <f t="shared" si="564"/>
        <v>0</v>
      </c>
      <c r="BQ72" s="174">
        <f t="shared" si="564"/>
        <v>0</v>
      </c>
      <c r="BR72" s="174">
        <f t="shared" si="564"/>
        <v>0</v>
      </c>
      <c r="BS72" s="174">
        <f t="shared" si="564"/>
        <v>0</v>
      </c>
      <c r="BT72" s="174">
        <f t="shared" si="564"/>
        <v>0</v>
      </c>
      <c r="BU72" s="174">
        <f t="shared" si="564"/>
        <v>0</v>
      </c>
      <c r="BV72" s="174">
        <f t="shared" si="564"/>
        <v>0</v>
      </c>
      <c r="BW72" s="174">
        <f t="shared" ref="BW72:CD72" si="565">BW80+BW93</f>
        <v>1.3360000000000001</v>
      </c>
      <c r="BX72" s="174">
        <f t="shared" si="565"/>
        <v>2.9039999999999999</v>
      </c>
      <c r="BY72" s="174">
        <f t="shared" si="565"/>
        <v>1.637</v>
      </c>
      <c r="BZ72" s="174">
        <f t="shared" ref="BZ72" si="566">BZ80+BZ93</f>
        <v>11.925000000000001</v>
      </c>
      <c r="CA72" s="174">
        <f t="shared" si="565"/>
        <v>0.16800000000000001</v>
      </c>
      <c r="CB72" s="174">
        <f t="shared" si="565"/>
        <v>0.97099999999999997</v>
      </c>
      <c r="CC72" s="174">
        <f t="shared" si="565"/>
        <v>1.33</v>
      </c>
      <c r="CD72" s="174">
        <f t="shared" si="565"/>
        <v>4.91</v>
      </c>
      <c r="CE72" s="174">
        <f t="shared" ref="CE72:CH72" si="567">CE80+CE93</f>
        <v>0.74199999999999999</v>
      </c>
      <c r="CF72" s="174">
        <f t="shared" si="567"/>
        <v>0.59099999999999997</v>
      </c>
      <c r="CG72" s="174">
        <f t="shared" si="567"/>
        <v>1.17978125</v>
      </c>
      <c r="CH72" s="174">
        <f t="shared" si="567"/>
        <v>1.923</v>
      </c>
      <c r="CI72" s="174">
        <f t="shared" ref="CI72:CL72" si="568">CI80+CI93</f>
        <v>0.65664036999999997</v>
      </c>
      <c r="CJ72" s="174">
        <f t="shared" si="568"/>
        <v>0.20610427000000001</v>
      </c>
      <c r="CK72" s="174">
        <f t="shared" si="568"/>
        <v>5.6893200000000005E-2</v>
      </c>
      <c r="CL72" s="174">
        <f t="shared" si="568"/>
        <v>0.71065946000000002</v>
      </c>
      <c r="CM72" s="174">
        <f t="shared" ref="CM72:CP72" si="569">CM80+CM93</f>
        <v>0.40757432500000002</v>
      </c>
      <c r="CN72" s="174">
        <f t="shared" si="569"/>
        <v>0.34530781374999997</v>
      </c>
      <c r="CO72" s="174">
        <f t="shared" si="569"/>
        <v>0.38010869968749994</v>
      </c>
      <c r="CP72" s="174">
        <f t="shared" si="569"/>
        <v>0.46091257460937496</v>
      </c>
      <c r="CQ72" s="174"/>
      <c r="CR72" s="174"/>
      <c r="CS72" s="174">
        <v>1.0876054049999999</v>
      </c>
      <c r="CT72" s="1133"/>
      <c r="CU72" s="229">
        <f>SUM(C72:F72)</f>
        <v>0</v>
      </c>
      <c r="CV72" s="195">
        <f>SUM(G72:J72)</f>
        <v>3.4</v>
      </c>
      <c r="CW72" s="195">
        <f>SUM(K72:N72)</f>
        <v>23.6</v>
      </c>
      <c r="CX72" s="195">
        <f>SUM(O72:R72)</f>
        <v>98.8</v>
      </c>
      <c r="CY72" s="195">
        <f>SUM(S72:V72)</f>
        <v>129.69999999999999</v>
      </c>
      <c r="CZ72" s="195">
        <f>SUM(W72:Z72)</f>
        <v>136.18299999999999</v>
      </c>
      <c r="DA72" s="31">
        <f t="shared" ref="DA72:DL72" si="570">DA80+DA93</f>
        <v>177.24799999999999</v>
      </c>
      <c r="DB72" s="31">
        <f t="shared" si="570"/>
        <v>236</v>
      </c>
      <c r="DC72" s="31">
        <f t="shared" si="570"/>
        <v>256.60000000000002</v>
      </c>
      <c r="DD72" s="31">
        <f t="shared" si="570"/>
        <v>278</v>
      </c>
      <c r="DE72" s="31">
        <f t="shared" si="570"/>
        <v>309.5</v>
      </c>
      <c r="DF72" s="31">
        <f t="shared" si="570"/>
        <v>118.01599999999999</v>
      </c>
      <c r="DG72" s="31">
        <f t="shared" si="570"/>
        <v>114.795</v>
      </c>
      <c r="DH72" s="31">
        <f t="shared" si="570"/>
        <v>92.807000000000002</v>
      </c>
      <c r="DI72" s="31">
        <f t="shared" si="570"/>
        <v>86.600336529999993</v>
      </c>
      <c r="DJ72" s="31">
        <f t="shared" si="570"/>
        <v>85.825392440000002</v>
      </c>
      <c r="DK72" s="31">
        <f t="shared" si="570"/>
        <v>0</v>
      </c>
      <c r="DL72" s="31">
        <f t="shared" si="570"/>
        <v>0</v>
      </c>
      <c r="DM72" s="31">
        <f t="shared" ref="DM72:DR72" si="571">DM80+DM93</f>
        <v>17.802</v>
      </c>
      <c r="DN72" s="31">
        <f t="shared" si="571"/>
        <v>7.3790000000000004</v>
      </c>
      <c r="DO72" s="31">
        <f t="shared" si="571"/>
        <v>4.4357812499999998</v>
      </c>
      <c r="DP72" s="31">
        <f t="shared" si="571"/>
        <v>1.6302973000000001</v>
      </c>
      <c r="DQ72" s="31">
        <f t="shared" ref="DQ72" si="572">DQ80+DQ93</f>
        <v>1.5939034130468748</v>
      </c>
      <c r="DR72" s="31">
        <f t="shared" si="571"/>
        <v>1.6576595495687498</v>
      </c>
      <c r="DS72" s="31">
        <f t="shared" ref="DS72:DU72" si="573">DS80+DS93</f>
        <v>1.7239659315514999</v>
      </c>
      <c r="DT72" s="31">
        <f t="shared" si="573"/>
        <v>1.79292456881356</v>
      </c>
      <c r="DU72" s="31">
        <f t="shared" si="573"/>
        <v>1.8646415515661026</v>
      </c>
      <c r="DV72" s="6"/>
      <c r="DW72" s="6"/>
      <c r="DY72" s="31">
        <v>5.4707250000000007</v>
      </c>
      <c r="DZ72" s="31">
        <v>5.6895540000000011</v>
      </c>
    </row>
    <row r="73" spans="1:130">
      <c r="A73" s="345"/>
      <c r="B73" s="345"/>
      <c r="C73" s="441"/>
      <c r="D73" s="441"/>
      <c r="E73" s="441"/>
      <c r="F73" s="441"/>
      <c r="G73" s="441"/>
      <c r="H73" s="441"/>
      <c r="I73" s="441"/>
      <c r="J73" s="441"/>
      <c r="K73" s="441"/>
      <c r="L73" s="441"/>
      <c r="M73" s="441"/>
      <c r="N73" s="441"/>
      <c r="O73" s="441"/>
      <c r="P73" s="441"/>
      <c r="Q73" s="441"/>
      <c r="R73" s="441"/>
      <c r="S73" s="441"/>
      <c r="T73" s="441"/>
      <c r="U73" s="441"/>
      <c r="V73" s="441"/>
      <c r="W73" s="441"/>
      <c r="X73" s="441"/>
      <c r="Y73" s="441"/>
      <c r="Z73" s="441"/>
      <c r="AA73" s="441"/>
      <c r="AB73" s="441"/>
      <c r="AC73" s="441"/>
      <c r="AD73" s="441"/>
      <c r="AE73" s="441"/>
      <c r="AF73" s="441"/>
      <c r="AG73" s="441"/>
      <c r="AH73" s="441"/>
      <c r="AI73" s="441"/>
      <c r="AJ73" s="441"/>
      <c r="AK73" s="441"/>
      <c r="AL73" s="441"/>
      <c r="AM73" s="441"/>
      <c r="AN73" s="441"/>
      <c r="AO73" s="441"/>
      <c r="AP73" s="441"/>
      <c r="AQ73" s="441"/>
      <c r="AR73" s="441"/>
      <c r="AS73" s="441"/>
      <c r="AT73" s="441"/>
      <c r="AU73" s="441"/>
      <c r="AV73" s="441"/>
      <c r="AW73" s="441"/>
      <c r="AX73" s="441"/>
      <c r="AY73" s="441"/>
      <c r="AZ73" s="444"/>
      <c r="BA73" s="444"/>
      <c r="BB73" s="441"/>
      <c r="BC73" s="444"/>
      <c r="BD73" s="441"/>
      <c r="BE73" s="441"/>
      <c r="BF73" s="441"/>
      <c r="BG73" s="441"/>
      <c r="BH73" s="441"/>
      <c r="BI73" s="441"/>
      <c r="BJ73" s="441"/>
      <c r="BK73" s="441"/>
      <c r="BL73" s="441"/>
      <c r="BM73" s="174"/>
      <c r="BN73" s="174"/>
      <c r="BO73" s="174"/>
      <c r="BP73" s="174"/>
      <c r="BQ73" s="174"/>
      <c r="BR73" s="174"/>
      <c r="BS73" s="174"/>
      <c r="BT73" s="174"/>
      <c r="BU73" s="174"/>
      <c r="BV73" s="174"/>
      <c r="BW73" s="174"/>
      <c r="BX73" s="174"/>
      <c r="BY73" s="174"/>
      <c r="BZ73" s="174"/>
      <c r="CA73" s="174"/>
      <c r="CB73" s="174"/>
      <c r="CC73" s="174"/>
      <c r="CD73" s="174"/>
      <c r="CE73" s="174"/>
      <c r="CF73" s="174"/>
      <c r="CG73" s="174"/>
      <c r="CH73" s="174"/>
      <c r="CI73" s="174"/>
      <c r="CJ73" s="174"/>
      <c r="CK73" s="174"/>
      <c r="CL73" s="174"/>
      <c r="CM73" s="174"/>
      <c r="CN73" s="174"/>
      <c r="CO73" s="174"/>
      <c r="CP73" s="174"/>
      <c r="CQ73" s="174"/>
      <c r="CR73" s="174"/>
      <c r="CS73" s="174"/>
      <c r="CT73" s="1133"/>
      <c r="CU73" s="229"/>
      <c r="CV73" s="195"/>
      <c r="CW73" s="195"/>
      <c r="CX73" s="195"/>
      <c r="CY73" s="195"/>
      <c r="CZ73" s="195"/>
      <c r="DA73" s="31"/>
      <c r="DB73" s="31"/>
      <c r="DC73" s="31"/>
      <c r="DD73" s="31"/>
      <c r="DE73" s="31"/>
      <c r="DF73" s="31"/>
      <c r="DG73" s="31"/>
      <c r="DH73" s="31"/>
      <c r="DI73" s="31"/>
      <c r="DJ73" s="31"/>
      <c r="DK73" s="31"/>
      <c r="DL73" s="31"/>
      <c r="DM73" s="31"/>
      <c r="DN73" s="31"/>
      <c r="DO73" s="31"/>
      <c r="DP73" s="31"/>
      <c r="DQ73" s="31"/>
      <c r="DR73" s="31"/>
      <c r="DS73" s="31"/>
      <c r="DT73" s="31"/>
      <c r="DU73" s="31"/>
      <c r="DV73" s="6"/>
      <c r="DW73" s="6"/>
      <c r="DY73" s="31"/>
      <c r="DZ73" s="31"/>
    </row>
    <row r="74" spans="1:130" hidden="1">
      <c r="A74" s="345"/>
      <c r="B74" s="345"/>
      <c r="C74" s="441"/>
      <c r="D74" s="441"/>
      <c r="E74" s="441"/>
      <c r="F74" s="441"/>
      <c r="G74" s="441"/>
      <c r="H74" s="441"/>
      <c r="I74" s="441"/>
      <c r="J74" s="441"/>
      <c r="K74" s="441"/>
      <c r="L74" s="441"/>
      <c r="M74" s="441"/>
      <c r="N74" s="441"/>
      <c r="O74" s="441"/>
      <c r="P74" s="441"/>
      <c r="Q74" s="441"/>
      <c r="R74" s="441"/>
      <c r="S74" s="441"/>
      <c r="T74" s="441"/>
      <c r="U74" s="441"/>
      <c r="V74" s="441"/>
      <c r="W74" s="441"/>
      <c r="X74" s="441"/>
      <c r="Y74" s="441"/>
      <c r="Z74" s="441"/>
      <c r="AA74" s="441"/>
      <c r="AB74" s="441"/>
      <c r="AC74" s="441"/>
      <c r="AD74" s="441"/>
      <c r="AE74" s="441"/>
      <c r="AF74" s="441"/>
      <c r="AG74" s="441"/>
      <c r="AH74" s="441"/>
      <c r="AI74" s="441"/>
      <c r="AJ74" s="441"/>
      <c r="AK74" s="441"/>
      <c r="AL74" s="441"/>
      <c r="AM74" s="441"/>
      <c r="AN74" s="441"/>
      <c r="AO74" s="441"/>
      <c r="AP74" s="441"/>
      <c r="AQ74" s="441"/>
      <c r="AR74" s="441"/>
      <c r="AS74" s="441"/>
      <c r="AT74" s="441"/>
      <c r="AU74" s="441"/>
      <c r="AV74" s="441"/>
      <c r="AW74" s="441"/>
      <c r="AX74" s="441"/>
      <c r="AY74" s="441"/>
      <c r="AZ74" s="444"/>
      <c r="BA74" s="444"/>
      <c r="BB74" s="441"/>
      <c r="BC74" s="444"/>
      <c r="BD74" s="441"/>
      <c r="BE74" s="441"/>
      <c r="BF74" s="441"/>
      <c r="BG74" s="441"/>
      <c r="BH74" s="441"/>
      <c r="BI74" s="441"/>
      <c r="BJ74" s="441"/>
      <c r="BK74" s="441"/>
      <c r="BL74" s="441"/>
      <c r="BM74" s="174"/>
      <c r="BN74" s="174"/>
      <c r="BO74" s="174"/>
      <c r="BP74" s="174"/>
      <c r="BQ74" s="174"/>
      <c r="BR74" s="174"/>
      <c r="BS74" s="174"/>
      <c r="BT74" s="174"/>
      <c r="BU74" s="174"/>
      <c r="BV74" s="174"/>
      <c r="BW74" s="174"/>
      <c r="BX74" s="174"/>
      <c r="BY74" s="174"/>
      <c r="BZ74" s="174"/>
      <c r="CA74" s="174"/>
      <c r="CB74" s="174"/>
      <c r="CC74" s="174"/>
      <c r="CD74" s="174"/>
      <c r="CE74" s="174"/>
      <c r="CF74" s="174"/>
      <c r="CG74" s="174"/>
      <c r="CH74" s="174"/>
      <c r="CI74" s="174"/>
      <c r="CJ74" s="174"/>
      <c r="CK74" s="174"/>
      <c r="CL74" s="174"/>
      <c r="CM74" s="174"/>
      <c r="CN74" s="174"/>
      <c r="CO74" s="174"/>
      <c r="CP74" s="174"/>
      <c r="CQ74" s="174"/>
      <c r="CR74" s="174"/>
      <c r="CS74" s="174"/>
      <c r="CT74" s="1133"/>
      <c r="CU74" s="229"/>
      <c r="CV74" s="195"/>
      <c r="CW74" s="195"/>
      <c r="CX74" s="195"/>
      <c r="CY74" s="195"/>
      <c r="CZ74" s="195"/>
      <c r="DA74" s="31"/>
      <c r="DB74" s="31"/>
      <c r="DC74" s="31"/>
      <c r="DD74" s="31"/>
      <c r="DE74" s="31"/>
      <c r="DF74" s="31"/>
      <c r="DG74" s="31"/>
      <c r="DH74" s="31"/>
      <c r="DI74" s="31"/>
      <c r="DJ74" s="31"/>
      <c r="DK74" s="31"/>
      <c r="DL74" s="31"/>
      <c r="DM74" s="31"/>
      <c r="DN74" s="31"/>
      <c r="DO74" s="31"/>
      <c r="DP74" s="31"/>
      <c r="DQ74" s="31"/>
      <c r="DR74" s="31"/>
      <c r="DS74" s="31"/>
      <c r="DT74" s="31"/>
      <c r="DU74" s="31"/>
      <c r="DV74" s="6"/>
      <c r="DW74" s="6"/>
      <c r="DY74" s="31"/>
      <c r="DZ74" s="31"/>
    </row>
    <row r="75" spans="1:130" hidden="1">
      <c r="A75" s="355" t="s">
        <v>601</v>
      </c>
      <c r="B75" s="355"/>
      <c r="C75" s="442">
        <v>9</v>
      </c>
      <c r="D75" s="442">
        <v>0</v>
      </c>
      <c r="E75" s="442">
        <v>12.5</v>
      </c>
      <c r="F75" s="442">
        <v>14.2</v>
      </c>
      <c r="G75" s="442">
        <v>12.2</v>
      </c>
      <c r="H75" s="442">
        <v>16.600000000000001</v>
      </c>
      <c r="I75" s="442">
        <v>16.100000000000001</v>
      </c>
      <c r="J75" s="442">
        <v>17.399999999999999</v>
      </c>
      <c r="K75" s="442">
        <v>15</v>
      </c>
      <c r="L75" s="442">
        <v>19.5</v>
      </c>
      <c r="M75" s="442">
        <v>19.100000000000001</v>
      </c>
      <c r="N75" s="442">
        <v>17.8</v>
      </c>
      <c r="O75" s="442">
        <v>16.8</v>
      </c>
      <c r="P75" s="442">
        <v>21.5</v>
      </c>
      <c r="Q75" s="442">
        <v>21.4</v>
      </c>
      <c r="R75" s="442">
        <v>20.5</v>
      </c>
      <c r="S75" s="442">
        <v>18.399999999999999</v>
      </c>
      <c r="T75" s="442">
        <v>23.3</v>
      </c>
      <c r="U75" s="442">
        <v>27.9</v>
      </c>
      <c r="V75" s="442">
        <v>27.7</v>
      </c>
      <c r="W75" s="442">
        <v>18.387</v>
      </c>
      <c r="X75" s="442">
        <v>21.178999999999998</v>
      </c>
      <c r="Y75" s="442">
        <v>20.37</v>
      </c>
      <c r="Z75" s="442">
        <v>22.411000000000001</v>
      </c>
      <c r="AA75" s="442">
        <v>19.294</v>
      </c>
      <c r="AB75" s="442">
        <v>24.751000000000001</v>
      </c>
      <c r="AC75" s="442">
        <v>22.866</v>
      </c>
      <c r="AD75" s="442">
        <v>17.5</v>
      </c>
      <c r="AE75" s="442">
        <v>15.2</v>
      </c>
      <c r="AF75" s="442">
        <v>22</v>
      </c>
      <c r="AG75" s="442">
        <v>19.600000000000001</v>
      </c>
      <c r="AH75" s="442">
        <v>22.8</v>
      </c>
      <c r="AI75" s="442">
        <v>19.100000000000001</v>
      </c>
      <c r="AJ75" s="442">
        <v>23.9</v>
      </c>
      <c r="AK75" s="442">
        <v>23.2</v>
      </c>
      <c r="AL75" s="442">
        <v>25.3</v>
      </c>
      <c r="AM75" s="442">
        <v>22.5</v>
      </c>
      <c r="AN75" s="442">
        <v>28.9</v>
      </c>
      <c r="AO75" s="442">
        <v>26.6</v>
      </c>
      <c r="AP75" s="442">
        <v>29.3</v>
      </c>
      <c r="AQ75" s="442">
        <v>25.3</v>
      </c>
      <c r="AR75" s="442">
        <v>35</v>
      </c>
      <c r="AS75" s="442">
        <v>30.3</v>
      </c>
      <c r="AT75" s="442">
        <v>26.1</v>
      </c>
      <c r="AU75" s="442"/>
      <c r="AV75" s="442"/>
      <c r="AW75" s="442"/>
      <c r="AX75" s="442"/>
      <c r="AY75" s="442"/>
      <c r="AZ75" s="445"/>
      <c r="BA75" s="445"/>
      <c r="BB75" s="442"/>
      <c r="BC75" s="445"/>
      <c r="BD75" s="442"/>
      <c r="BE75" s="442"/>
      <c r="BF75" s="442"/>
      <c r="BG75" s="442"/>
      <c r="BH75" s="442"/>
      <c r="BI75" s="442"/>
      <c r="BJ75" s="442"/>
      <c r="BK75" s="442"/>
      <c r="BL75" s="442"/>
      <c r="BM75" s="557"/>
      <c r="BN75" s="557"/>
      <c r="BO75" s="557"/>
      <c r="BP75" s="557"/>
      <c r="BQ75" s="557"/>
      <c r="BR75" s="557"/>
      <c r="BS75" s="557"/>
      <c r="BT75" s="557"/>
      <c r="BU75" s="557"/>
      <c r="BV75" s="557"/>
      <c r="BW75" s="557"/>
      <c r="BX75" s="557"/>
      <c r="BY75" s="557"/>
      <c r="BZ75" s="557"/>
      <c r="CA75" s="557"/>
      <c r="CB75" s="557"/>
      <c r="CC75" s="557"/>
      <c r="CD75" s="557"/>
      <c r="CE75" s="557"/>
      <c r="CF75" s="557"/>
      <c r="CG75" s="557"/>
      <c r="CH75" s="557"/>
      <c r="CI75" s="557"/>
      <c r="CJ75" s="557"/>
      <c r="CK75" s="557"/>
      <c r="CL75" s="557"/>
      <c r="CM75" s="557"/>
      <c r="CN75" s="557"/>
      <c r="CO75" s="557"/>
      <c r="CP75" s="557"/>
      <c r="CQ75" s="557"/>
      <c r="CR75" s="557"/>
      <c r="CS75" s="557"/>
      <c r="CT75" s="1133"/>
      <c r="CU75" s="198">
        <f>SUM(C75:F75)</f>
        <v>35.700000000000003</v>
      </c>
      <c r="CV75" s="198">
        <f>SUM(G75:J75)</f>
        <v>62.300000000000004</v>
      </c>
      <c r="CW75" s="198">
        <f>SUM(K75:N75)</f>
        <v>71.400000000000006</v>
      </c>
      <c r="CX75" s="198">
        <f>SUM(O75:R75)</f>
        <v>80.199999999999989</v>
      </c>
      <c r="CY75" s="198">
        <f>SUM(S75:V75)</f>
        <v>97.3</v>
      </c>
      <c r="CZ75" s="198">
        <f>SUM(W75:Z75)</f>
        <v>82.347000000000008</v>
      </c>
      <c r="DA75" s="198">
        <f>SUM(AA75:AD75)</f>
        <v>84.411000000000001</v>
      </c>
      <c r="DB75" s="198">
        <f>SUM(AE75:AH75)</f>
        <v>79.600000000000009</v>
      </c>
      <c r="DC75" s="198">
        <f>+SUM(AI75:AL75)</f>
        <v>91.5</v>
      </c>
      <c r="DD75" s="198">
        <f>+SUM(AM75:AP75)</f>
        <v>107.3</v>
      </c>
      <c r="DE75" s="215">
        <f>+SUM(AQ75:AT75)</f>
        <v>116.69999999999999</v>
      </c>
      <c r="DF75" s="215"/>
      <c r="DG75" s="215"/>
      <c r="DH75" s="215"/>
      <c r="DI75" s="215"/>
      <c r="DJ75" s="215"/>
      <c r="DK75" s="215"/>
      <c r="DL75" s="215"/>
      <c r="DM75" s="215"/>
      <c r="DN75" s="215"/>
      <c r="DO75" s="215"/>
      <c r="DP75" s="215"/>
      <c r="DQ75" s="215"/>
      <c r="DR75" s="215"/>
      <c r="DS75" s="215"/>
      <c r="DT75" s="215"/>
      <c r="DU75" s="215"/>
      <c r="DV75" s="17"/>
      <c r="DW75" s="17"/>
      <c r="DY75" s="215"/>
      <c r="DZ75" s="215"/>
    </row>
    <row r="76" spans="1:130" hidden="1">
      <c r="A76" s="446" t="s">
        <v>602</v>
      </c>
      <c r="B76" s="447"/>
      <c r="C76" s="447"/>
      <c r="D76" s="447"/>
      <c r="E76" s="14" t="e">
        <v>#DIV/0!</v>
      </c>
      <c r="F76" s="14" t="e">
        <v>#DIV/0!</v>
      </c>
      <c r="G76" s="14">
        <v>0.41401544073979807</v>
      </c>
      <c r="H76" s="14">
        <v>0.26588715813078129</v>
      </c>
      <c r="I76" s="14">
        <v>0.24593857645863729</v>
      </c>
      <c r="J76" s="14">
        <v>0.31809290506572091</v>
      </c>
      <c r="K76" s="14">
        <v>0.25206271320304491</v>
      </c>
      <c r="L76" s="14">
        <v>0.2459248983195132</v>
      </c>
      <c r="M76" s="14">
        <v>0.23728624050389163</v>
      </c>
      <c r="N76" s="14">
        <v>0.26677257637863722</v>
      </c>
      <c r="O76" s="14">
        <v>0.2318200634745412</v>
      </c>
      <c r="P76" s="14">
        <v>0.23004986197008281</v>
      </c>
      <c r="Q76" s="14">
        <v>0.21772306440126155</v>
      </c>
      <c r="R76" s="14">
        <v>0.23748291281480968</v>
      </c>
      <c r="S76" s="14">
        <v>0.20725855504742163</v>
      </c>
      <c r="T76" s="14">
        <v>0.21847573325331934</v>
      </c>
      <c r="U76" s="14">
        <v>0.25011429954549125</v>
      </c>
      <c r="V76" s="14">
        <v>0.28076648236087109</v>
      </c>
      <c r="W76" s="14">
        <v>0.19241012332372348</v>
      </c>
      <c r="X76" s="14">
        <v>0.19778300741487831</v>
      </c>
      <c r="Y76" s="14">
        <v>0.19584372881844797</v>
      </c>
      <c r="Z76" s="14">
        <v>0.26513421746897442</v>
      </c>
      <c r="AA76" s="14">
        <v>0.22954837481559037</v>
      </c>
      <c r="AB76" s="14">
        <v>0.24102286946826174</v>
      </c>
      <c r="AC76" s="14">
        <v>0.21795617237467949</v>
      </c>
      <c r="AD76" s="14">
        <v>0.19285659183830903</v>
      </c>
      <c r="AE76" s="14">
        <v>0.15879814874789749</v>
      </c>
      <c r="AF76" s="14">
        <v>0.1847652641303435</v>
      </c>
      <c r="AG76" s="14">
        <v>0.15390534821085033</v>
      </c>
      <c r="AH76" s="14">
        <v>0.19944540182125142</v>
      </c>
      <c r="AI76" s="14">
        <v>0.16993562909547091</v>
      </c>
      <c r="AJ76" s="14">
        <v>0.18274825853908441</v>
      </c>
      <c r="AK76" s="14">
        <v>0.16778038126645259</v>
      </c>
      <c r="AL76" s="14">
        <v>0.20008699434536756</v>
      </c>
      <c r="AM76" s="14">
        <v>0.17395270805710286</v>
      </c>
      <c r="AN76" s="14">
        <v>0.19042285074208903</v>
      </c>
      <c r="AO76" s="14">
        <v>0.16773762304437478</v>
      </c>
      <c r="AP76" s="14">
        <v>0.20357400922683563</v>
      </c>
      <c r="AQ76" s="14">
        <f>AQ75/AVERAGE(AQ196+AQ199,AP196+AP199)*1000</f>
        <v>0.17049206841246953</v>
      </c>
      <c r="AR76" s="14">
        <f>AR75/AVERAGE(AR196+AR199,AQ196+AQ199)*1000</f>
        <v>0.19153261663652307</v>
      </c>
      <c r="AS76" s="14">
        <f>AS75/AVERAGE(AS196+AS199,AR196+AR199)*1000</f>
        <v>0.15912152315533257</v>
      </c>
      <c r="AT76" s="14">
        <f>AT75/AVERAGE(AT196+AT199,AS196+AS199)*1000</f>
        <v>0.15825806979726598</v>
      </c>
      <c r="AU76" s="448"/>
      <c r="AV76" s="448"/>
      <c r="AW76" s="448"/>
      <c r="AX76" s="448"/>
      <c r="AY76" s="448"/>
      <c r="AZ76" s="449"/>
      <c r="BA76" s="449"/>
      <c r="BB76" s="448"/>
      <c r="BC76" s="449"/>
      <c r="BD76" s="448"/>
      <c r="BE76" s="448"/>
      <c r="BF76" s="448"/>
      <c r="BG76" s="448"/>
      <c r="BH76" s="448"/>
      <c r="BI76" s="448"/>
      <c r="BJ76" s="448"/>
      <c r="BK76" s="448"/>
      <c r="BL76" s="448"/>
      <c r="BM76" s="169"/>
      <c r="BN76" s="169"/>
      <c r="BO76" s="169"/>
      <c r="BP76" s="169"/>
      <c r="BQ76" s="169"/>
      <c r="BR76" s="169"/>
      <c r="BS76" s="169"/>
      <c r="BT76" s="169"/>
      <c r="BU76" s="169"/>
      <c r="BV76" s="169"/>
      <c r="BW76" s="169"/>
      <c r="BX76" s="169"/>
      <c r="BY76" s="169"/>
      <c r="BZ76" s="169"/>
      <c r="CA76" s="169"/>
      <c r="CB76" s="169"/>
      <c r="CC76" s="169"/>
      <c r="CD76" s="169"/>
      <c r="CE76" s="169"/>
      <c r="CF76" s="169"/>
      <c r="CG76" s="169"/>
      <c r="CH76" s="169"/>
      <c r="CI76" s="169"/>
      <c r="CJ76" s="169"/>
      <c r="CK76" s="169"/>
      <c r="CL76" s="169"/>
      <c r="CM76" s="169"/>
      <c r="CN76" s="169"/>
      <c r="CO76" s="169"/>
      <c r="CP76" s="169"/>
      <c r="CQ76" s="169"/>
      <c r="CR76" s="169"/>
      <c r="CS76" s="169"/>
      <c r="CT76" s="1133"/>
      <c r="CU76" s="7" t="e">
        <f>CU75/(#REF!+#REF!)*1000</f>
        <v>#REF!</v>
      </c>
      <c r="CV76" s="7" t="e">
        <f>CV75/(CU196+CU199)*1000</f>
        <v>#DIV/0!</v>
      </c>
      <c r="CW76" s="7"/>
      <c r="CX76" s="7">
        <f t="shared" ref="CX76:DE76" si="574">CX75/AVERAGE(CW196+CW199,CX196+CX199)*1000/4</f>
        <v>0.30633135733056283</v>
      </c>
      <c r="CY76" s="7">
        <f t="shared" si="574"/>
        <v>0.30616162061131635</v>
      </c>
      <c r="CZ76" s="7">
        <f t="shared" si="574"/>
        <v>0.26922397897132094</v>
      </c>
      <c r="DA76" s="7">
        <f t="shared" si="574"/>
        <v>0.28918770769810548</v>
      </c>
      <c r="DB76" s="7">
        <f t="shared" si="574"/>
        <v>0.22675736961451248</v>
      </c>
      <c r="DC76" s="7">
        <f t="shared" si="574"/>
        <v>0.2186264999211511</v>
      </c>
      <c r="DD76" s="7">
        <f t="shared" si="574"/>
        <v>0.22550733897136707</v>
      </c>
      <c r="DE76" s="7">
        <f t="shared" si="574"/>
        <v>0.21520962191708068</v>
      </c>
      <c r="DF76" s="7"/>
      <c r="DG76" s="7"/>
      <c r="DH76" s="7"/>
      <c r="DI76" s="7"/>
      <c r="DJ76" s="9"/>
      <c r="DK76" s="9"/>
      <c r="DL76" s="9"/>
      <c r="DM76" s="9"/>
      <c r="DN76" s="9"/>
      <c r="DO76" s="9"/>
      <c r="DP76" s="9"/>
      <c r="DQ76" s="9"/>
      <c r="DR76" s="9"/>
      <c r="DS76" s="9"/>
      <c r="DT76" s="9"/>
      <c r="DU76" s="9"/>
      <c r="DV76" s="205"/>
      <c r="DW76" s="205"/>
      <c r="DY76" s="9"/>
      <c r="DZ76" s="9"/>
    </row>
    <row r="77" spans="1:130" hidden="1">
      <c r="A77" s="419" t="s">
        <v>169</v>
      </c>
      <c r="B77" s="419"/>
      <c r="C77" s="419"/>
      <c r="D77" s="419"/>
      <c r="E77" s="419">
        <v>0.01</v>
      </c>
      <c r="F77" s="419"/>
      <c r="G77" s="419"/>
      <c r="H77" s="419"/>
      <c r="I77" s="419"/>
      <c r="J77" s="419"/>
      <c r="K77" s="419"/>
      <c r="L77" s="419"/>
      <c r="M77" s="419"/>
      <c r="N77" s="419"/>
      <c r="O77" s="419">
        <v>0.12000000000000011</v>
      </c>
      <c r="P77" s="419">
        <v>0.10256410256410264</v>
      </c>
      <c r="Q77" s="419">
        <v>0.12041884816753901</v>
      </c>
      <c r="R77" s="419">
        <v>0.151685393258427</v>
      </c>
      <c r="S77" s="419">
        <v>9.5238095238095122E-2</v>
      </c>
      <c r="T77" s="419">
        <v>8.3720930232558111E-2</v>
      </c>
      <c r="U77" s="419">
        <v>0.30373831775700944</v>
      </c>
      <c r="V77" s="419">
        <v>0.35121951219512182</v>
      </c>
      <c r="W77" s="419">
        <v>-7.0652173913032801E-4</v>
      </c>
      <c r="X77" s="419">
        <v>-9.1030042918455067E-2</v>
      </c>
      <c r="Y77" s="419">
        <v>-0.26989247311827946</v>
      </c>
      <c r="Z77" s="419">
        <v>-0.19093862815884466</v>
      </c>
      <c r="AA77" s="419">
        <v>4.9328329798226989E-2</v>
      </c>
      <c r="AB77" s="419">
        <v>0.16865763256055533</v>
      </c>
      <c r="AC77" s="419">
        <v>0.12253313696612667</v>
      </c>
      <c r="AD77" s="419">
        <v>-0.21913346124670929</v>
      </c>
      <c r="AE77" s="419">
        <v>-0.21219031823364787</v>
      </c>
      <c r="AF77" s="419">
        <v>-0.111147024362652</v>
      </c>
      <c r="AG77" s="419">
        <v>-0.14283215254089032</v>
      </c>
      <c r="AH77" s="419">
        <v>0.30285714285714294</v>
      </c>
      <c r="AI77" s="419">
        <v>0.25657894736842124</v>
      </c>
      <c r="AJ77" s="419">
        <v>8.6363636363636198E-2</v>
      </c>
      <c r="AK77" s="419">
        <v>0.18367346938775508</v>
      </c>
      <c r="AL77" s="419">
        <v>0.10964912280701755</v>
      </c>
      <c r="AM77" s="419">
        <v>0.17801047120418834</v>
      </c>
      <c r="AN77" s="419">
        <v>0.20920502092050208</v>
      </c>
      <c r="AO77" s="419">
        <v>0.14655172413793105</v>
      </c>
      <c r="AP77" s="419">
        <v>0.15810276679841895</v>
      </c>
      <c r="AQ77" s="419">
        <f>AQ75/AM75-1</f>
        <v>0.12444444444444458</v>
      </c>
      <c r="AR77" s="419">
        <f>AR75/AN75-1</f>
        <v>0.21107266435986172</v>
      </c>
      <c r="AS77" s="419">
        <f>AS75/AO75-1</f>
        <v>0.13909774436090228</v>
      </c>
      <c r="AT77" s="419">
        <f>AT75/AP75-1</f>
        <v>-0.10921501706484638</v>
      </c>
      <c r="AU77" s="419"/>
      <c r="AV77" s="419"/>
      <c r="AW77" s="419"/>
      <c r="AX77" s="419"/>
      <c r="AY77" s="419"/>
      <c r="AZ77" s="419"/>
      <c r="BA77" s="419"/>
      <c r="BB77" s="419"/>
      <c r="BC77" s="419"/>
      <c r="BD77" s="419"/>
      <c r="BE77" s="419"/>
      <c r="BF77" s="419"/>
      <c r="BG77" s="419"/>
      <c r="BH77" s="419"/>
      <c r="BI77" s="419"/>
      <c r="BJ77" s="419"/>
      <c r="BK77" s="419"/>
      <c r="BL77" s="419"/>
      <c r="BM77" s="231"/>
      <c r="BN77" s="231"/>
      <c r="BO77" s="231"/>
      <c r="BP77" s="231"/>
      <c r="BQ77" s="231"/>
      <c r="BR77" s="231"/>
      <c r="BS77" s="231"/>
      <c r="BT77" s="231"/>
      <c r="BU77" s="231"/>
      <c r="BV77" s="231"/>
      <c r="BW77" s="231"/>
      <c r="BX77" s="231"/>
      <c r="BY77" s="231"/>
      <c r="BZ77" s="231"/>
      <c r="CA77" s="231"/>
      <c r="CB77" s="231"/>
      <c r="CC77" s="231"/>
      <c r="CD77" s="231"/>
      <c r="CE77" s="231"/>
      <c r="CF77" s="231"/>
      <c r="CG77" s="231"/>
      <c r="CH77" s="231"/>
      <c r="CI77" s="231"/>
      <c r="CJ77" s="231"/>
      <c r="CK77" s="231"/>
      <c r="CL77" s="231"/>
      <c r="CM77" s="231"/>
      <c r="CN77" s="231"/>
      <c r="CO77" s="231"/>
      <c r="CP77" s="231"/>
      <c r="CQ77" s="231"/>
      <c r="CR77" s="231"/>
      <c r="CS77" s="231"/>
      <c r="CT77" s="1133"/>
      <c r="CU77" s="207"/>
      <c r="CV77" s="207">
        <f t="shared" ref="CV77:DE77" si="575">CV75/CU75-1</f>
        <v>0.74509803921568629</v>
      </c>
      <c r="CW77" s="207">
        <f t="shared" si="575"/>
        <v>0.14606741573033699</v>
      </c>
      <c r="CX77" s="207">
        <f t="shared" si="575"/>
        <v>0.12324929971988774</v>
      </c>
      <c r="CY77" s="207">
        <f t="shared" si="575"/>
        <v>0.21321695760598525</v>
      </c>
      <c r="CZ77" s="207">
        <f t="shared" si="575"/>
        <v>-0.15367934224049318</v>
      </c>
      <c r="DA77" s="207">
        <f t="shared" si="575"/>
        <v>2.5064665379430862E-2</v>
      </c>
      <c r="DB77" s="207">
        <f t="shared" si="575"/>
        <v>-5.6994941417587652E-2</v>
      </c>
      <c r="DC77" s="207">
        <f t="shared" si="575"/>
        <v>0.14949748743718572</v>
      </c>
      <c r="DD77" s="207">
        <f t="shared" si="575"/>
        <v>0.17267759562841523</v>
      </c>
      <c r="DE77" s="207">
        <f t="shared" si="575"/>
        <v>8.7604846225535882E-2</v>
      </c>
      <c r="DF77" s="207"/>
      <c r="DG77" s="207"/>
      <c r="DH77" s="207"/>
      <c r="DI77" s="207"/>
      <c r="DJ77" s="207"/>
      <c r="DK77" s="207"/>
      <c r="DL77" s="207"/>
      <c r="DM77" s="207"/>
      <c r="DN77" s="207"/>
      <c r="DO77" s="207"/>
      <c r="DP77" s="207"/>
      <c r="DQ77" s="207"/>
      <c r="DR77" s="207"/>
      <c r="DS77" s="207"/>
      <c r="DT77" s="207"/>
      <c r="DU77" s="207"/>
      <c r="DV77" s="207"/>
      <c r="DW77" s="207"/>
      <c r="DY77" s="207"/>
      <c r="DZ77" s="207"/>
    </row>
    <row r="78" spans="1:130" hidden="1">
      <c r="A78" s="355"/>
      <c r="B78" s="355"/>
      <c r="C78" s="441"/>
      <c r="D78" s="441"/>
      <c r="E78" s="441"/>
      <c r="F78" s="441"/>
      <c r="G78" s="441"/>
      <c r="H78" s="441"/>
      <c r="I78" s="26"/>
      <c r="J78" s="26"/>
      <c r="K78" s="26"/>
      <c r="L78" s="26"/>
      <c r="M78" s="26"/>
      <c r="N78" s="26"/>
      <c r="O78" s="26"/>
      <c r="P78" s="26"/>
      <c r="Q78" s="26"/>
      <c r="R78" s="26"/>
      <c r="S78" s="26"/>
      <c r="T78" s="26"/>
      <c r="U78" s="26"/>
      <c r="V78" s="26"/>
      <c r="W78" s="26"/>
      <c r="X78" s="26"/>
      <c r="Y78" s="26"/>
      <c r="Z78" s="26"/>
      <c r="AA78" s="26"/>
      <c r="AB78" s="26"/>
      <c r="AC78" s="26"/>
      <c r="AD78" s="450"/>
      <c r="AE78" s="450"/>
      <c r="AF78" s="450"/>
      <c r="AG78" s="450"/>
      <c r="AH78" s="450"/>
      <c r="AI78" s="450"/>
      <c r="AJ78" s="447"/>
      <c r="AK78" s="447"/>
      <c r="AL78" s="447"/>
      <c r="AM78" s="447"/>
      <c r="AN78" s="447"/>
      <c r="AO78" s="447"/>
      <c r="AP78" s="447"/>
      <c r="AQ78" s="447"/>
      <c r="AR78" s="447"/>
      <c r="AS78" s="447"/>
      <c r="AT78" s="447"/>
      <c r="AU78" s="450"/>
      <c r="AV78" s="450"/>
      <c r="AW78" s="450"/>
      <c r="AX78" s="450"/>
      <c r="AY78" s="450"/>
      <c r="AZ78" s="358"/>
      <c r="BA78" s="358"/>
      <c r="BB78" s="450"/>
      <c r="BC78" s="358"/>
      <c r="BD78" s="450"/>
      <c r="BE78" s="450"/>
      <c r="BF78" s="450"/>
      <c r="BG78" s="450"/>
      <c r="BH78" s="450"/>
      <c r="BI78" s="450"/>
      <c r="BJ78" s="450"/>
      <c r="BK78" s="450"/>
      <c r="BL78" s="450"/>
      <c r="BM78" s="558"/>
      <c r="BN78" s="558"/>
      <c r="BO78" s="558"/>
      <c r="BP78" s="558"/>
      <c r="BQ78" s="558"/>
      <c r="BR78" s="558"/>
      <c r="BS78" s="558"/>
      <c r="BT78" s="558"/>
      <c r="BU78" s="558"/>
      <c r="BV78" s="558"/>
      <c r="BW78" s="558"/>
      <c r="BX78" s="558"/>
      <c r="BY78" s="558"/>
      <c r="BZ78" s="558"/>
      <c r="CA78" s="558"/>
      <c r="CB78" s="558"/>
      <c r="CC78" s="558"/>
      <c r="CD78" s="558"/>
      <c r="CE78" s="558"/>
      <c r="CF78" s="558"/>
      <c r="CG78" s="558"/>
      <c r="CH78" s="558"/>
      <c r="CI78" s="558"/>
      <c r="CJ78" s="558"/>
      <c r="CK78" s="558"/>
      <c r="CL78" s="558"/>
      <c r="CM78" s="558"/>
      <c r="CN78" s="558"/>
      <c r="CO78" s="558"/>
      <c r="CP78" s="558"/>
      <c r="CQ78" s="558"/>
      <c r="CR78" s="558"/>
      <c r="CS78" s="558"/>
      <c r="CT78" s="1136"/>
      <c r="CU78" s="210"/>
      <c r="CV78" s="198"/>
      <c r="CW78" s="198"/>
      <c r="CX78" s="198"/>
      <c r="CY78" s="198"/>
      <c r="CZ78" s="198"/>
      <c r="DA78" s="27"/>
      <c r="DB78" s="27"/>
      <c r="DC78" s="27"/>
      <c r="DD78" s="27"/>
      <c r="DE78" s="27"/>
      <c r="DF78" s="27"/>
      <c r="DG78" s="27"/>
      <c r="DH78" s="27"/>
      <c r="DI78" s="27"/>
      <c r="DJ78" s="27"/>
      <c r="DK78" s="27"/>
      <c r="DL78" s="27"/>
      <c r="DM78" s="27"/>
      <c r="DN78" s="27"/>
      <c r="DO78" s="27"/>
      <c r="DP78" s="27"/>
      <c r="DQ78" s="27"/>
      <c r="DR78" s="27"/>
      <c r="DS78" s="27"/>
      <c r="DT78" s="27"/>
      <c r="DU78" s="27"/>
      <c r="DV78" s="228"/>
      <c r="DW78" s="228"/>
      <c r="DY78" s="27"/>
      <c r="DZ78" s="27"/>
    </row>
    <row r="79" spans="1:130" hidden="1">
      <c r="A79" s="355"/>
      <c r="B79" s="355"/>
      <c r="C79" s="441"/>
      <c r="D79" s="441"/>
      <c r="E79" s="441"/>
      <c r="F79" s="441"/>
      <c r="G79" s="441"/>
      <c r="H79" s="441"/>
      <c r="I79" s="441"/>
      <c r="J79" s="441"/>
      <c r="K79" s="441"/>
      <c r="L79" s="441"/>
      <c r="M79" s="451"/>
      <c r="N79" s="452"/>
      <c r="O79" s="452"/>
      <c r="P79" s="452"/>
      <c r="Q79" s="452"/>
      <c r="R79" s="452"/>
      <c r="S79" s="452"/>
      <c r="T79" s="452"/>
      <c r="U79" s="452"/>
      <c r="V79" s="452"/>
      <c r="W79" s="452"/>
      <c r="X79" s="452"/>
      <c r="Y79" s="452"/>
      <c r="Z79" s="452"/>
      <c r="AA79" s="452"/>
      <c r="AB79" s="452"/>
      <c r="AC79" s="452"/>
      <c r="AD79" s="452"/>
      <c r="AE79" s="452"/>
      <c r="AF79" s="452"/>
      <c r="AG79" s="452"/>
      <c r="AH79" s="452"/>
      <c r="AI79" s="452"/>
      <c r="AJ79" s="452"/>
      <c r="AK79" s="452"/>
      <c r="AL79" s="452"/>
      <c r="AM79" s="452"/>
      <c r="AN79" s="452"/>
      <c r="AO79" s="452"/>
      <c r="AP79" s="452"/>
      <c r="AQ79" s="452"/>
      <c r="AR79" s="452"/>
      <c r="AS79" s="452"/>
      <c r="AT79" s="452"/>
      <c r="AU79" s="453"/>
      <c r="AV79" s="453"/>
      <c r="AW79" s="453"/>
      <c r="AX79" s="453"/>
      <c r="AY79" s="453"/>
      <c r="AZ79" s="453"/>
      <c r="BA79" s="453"/>
      <c r="BB79" s="453"/>
      <c r="BC79" s="453"/>
      <c r="BD79" s="453"/>
      <c r="BE79" s="453"/>
      <c r="BF79" s="453"/>
      <c r="BG79" s="453"/>
      <c r="BH79" s="453"/>
      <c r="BI79" s="453"/>
      <c r="BJ79" s="453"/>
      <c r="BK79" s="453"/>
      <c r="BL79" s="453"/>
      <c r="BM79" s="559"/>
      <c r="BN79" s="559"/>
      <c r="BO79" s="559"/>
      <c r="BP79" s="559"/>
      <c r="BQ79" s="559"/>
      <c r="BR79" s="559"/>
      <c r="BS79" s="559"/>
      <c r="BT79" s="559"/>
      <c r="BU79" s="559"/>
      <c r="BV79" s="559"/>
      <c r="BW79" s="559"/>
      <c r="BX79" s="559"/>
      <c r="BY79" s="559"/>
      <c r="BZ79" s="559"/>
      <c r="CA79" s="559"/>
      <c r="CB79" s="559"/>
      <c r="CC79" s="559"/>
      <c r="CD79" s="559"/>
      <c r="CE79" s="559"/>
      <c r="CF79" s="559"/>
      <c r="CG79" s="559"/>
      <c r="CH79" s="559"/>
      <c r="CI79" s="559"/>
      <c r="CJ79" s="559"/>
      <c r="CK79" s="559"/>
      <c r="CL79" s="559"/>
      <c r="CM79" s="559"/>
      <c r="CN79" s="559"/>
      <c r="CO79" s="559"/>
      <c r="CP79" s="559"/>
      <c r="CQ79" s="559"/>
      <c r="CR79" s="559"/>
      <c r="CS79" s="559"/>
      <c r="CT79" s="1136"/>
      <c r="CU79" s="345"/>
      <c r="CV79" s="345"/>
      <c r="CW79" s="345"/>
      <c r="CX79" s="345"/>
      <c r="CY79" s="345"/>
      <c r="CZ79" s="345"/>
      <c r="DA79" s="453"/>
      <c r="DB79" s="453"/>
      <c r="DC79" s="453"/>
      <c r="DD79" s="453"/>
      <c r="DE79" s="453"/>
      <c r="DF79" s="453"/>
      <c r="DG79" s="453"/>
      <c r="DH79" s="453"/>
      <c r="DI79" s="453"/>
      <c r="DJ79" s="453"/>
      <c r="DK79" s="453"/>
      <c r="DL79" s="453"/>
      <c r="DM79" s="453"/>
      <c r="DN79" s="453"/>
      <c r="DO79" s="453"/>
      <c r="DP79" s="453"/>
      <c r="DQ79" s="453"/>
      <c r="DR79" s="453"/>
      <c r="DS79" s="453"/>
      <c r="DT79" s="453"/>
      <c r="DU79" s="453"/>
      <c r="DV79" s="227"/>
      <c r="DW79" s="226"/>
      <c r="DY79" s="453"/>
      <c r="DZ79" s="453"/>
    </row>
    <row r="80" spans="1:130" hidden="1">
      <c r="A80" s="355" t="s">
        <v>603</v>
      </c>
      <c r="B80" s="355"/>
      <c r="C80" s="26">
        <v>0</v>
      </c>
      <c r="D80" s="26">
        <v>0</v>
      </c>
      <c r="E80" s="26">
        <v>0</v>
      </c>
      <c r="F80" s="26">
        <v>0</v>
      </c>
      <c r="G80" s="26">
        <v>0</v>
      </c>
      <c r="H80" s="26">
        <v>0</v>
      </c>
      <c r="I80" s="26">
        <v>0</v>
      </c>
      <c r="J80" s="26">
        <v>0</v>
      </c>
      <c r="K80" s="26">
        <v>0</v>
      </c>
      <c r="L80" s="26">
        <v>0</v>
      </c>
      <c r="M80" s="26">
        <v>0</v>
      </c>
      <c r="N80" s="26">
        <v>6.7</v>
      </c>
      <c r="O80" s="26">
        <v>11</v>
      </c>
      <c r="P80" s="26">
        <v>12.6</v>
      </c>
      <c r="Q80" s="26">
        <v>13.6</v>
      </c>
      <c r="R80" s="450">
        <v>11.9</v>
      </c>
      <c r="S80" s="355">
        <v>15.9</v>
      </c>
      <c r="T80" s="452">
        <v>17.3</v>
      </c>
      <c r="U80" s="452">
        <v>18.8</v>
      </c>
      <c r="V80" s="452">
        <v>16.600000000000001</v>
      </c>
      <c r="W80" s="452">
        <v>17.132999999999999</v>
      </c>
      <c r="X80" s="452">
        <v>14.96</v>
      </c>
      <c r="Y80" s="452">
        <v>16.77</v>
      </c>
      <c r="Z80" s="452">
        <v>16.023</v>
      </c>
      <c r="AA80" s="452">
        <v>20.451000000000001</v>
      </c>
      <c r="AB80" s="452">
        <v>21.85</v>
      </c>
      <c r="AC80" s="452">
        <v>24.446999999999999</v>
      </c>
      <c r="AD80" s="452">
        <v>29.9</v>
      </c>
      <c r="AE80" s="452">
        <v>38</v>
      </c>
      <c r="AF80" s="452">
        <v>37.700000000000003</v>
      </c>
      <c r="AG80" s="452">
        <v>37.4</v>
      </c>
      <c r="AH80" s="452">
        <v>37.4</v>
      </c>
      <c r="AI80" s="452">
        <v>41.6</v>
      </c>
      <c r="AJ80" s="452">
        <v>43.2</v>
      </c>
      <c r="AK80" s="452">
        <v>43.3</v>
      </c>
      <c r="AL80" s="452">
        <v>43.3</v>
      </c>
      <c r="AM80" s="452">
        <v>50.5</v>
      </c>
      <c r="AN80" s="452">
        <v>49.1</v>
      </c>
      <c r="AO80" s="452">
        <v>47.5</v>
      </c>
      <c r="AP80" s="452">
        <v>45.8</v>
      </c>
      <c r="AQ80" s="452">
        <v>46.8</v>
      </c>
      <c r="AR80" s="452">
        <v>51.4</v>
      </c>
      <c r="AS80" s="452">
        <v>58.9</v>
      </c>
      <c r="AT80" s="452">
        <v>52.5</v>
      </c>
      <c r="AU80" s="452"/>
      <c r="AV80" s="452"/>
      <c r="AW80" s="452"/>
      <c r="AX80" s="452"/>
      <c r="AY80" s="452"/>
      <c r="AZ80" s="452"/>
      <c r="BA80" s="452"/>
      <c r="BB80" s="452"/>
      <c r="BC80" s="452"/>
      <c r="BD80" s="452"/>
      <c r="BE80" s="452"/>
      <c r="BF80" s="452"/>
      <c r="BG80" s="452"/>
      <c r="BH80" s="452"/>
      <c r="BI80" s="452"/>
      <c r="BJ80" s="452"/>
      <c r="BK80" s="452"/>
      <c r="BL80" s="452"/>
      <c r="BM80" s="560"/>
      <c r="BN80" s="560"/>
      <c r="BO80" s="560"/>
      <c r="BP80" s="560"/>
      <c r="BQ80" s="560"/>
      <c r="BR80" s="560"/>
      <c r="BS80" s="560"/>
      <c r="BT80" s="560"/>
      <c r="BU80" s="560"/>
      <c r="BV80" s="560"/>
      <c r="BW80" s="560"/>
      <c r="BX80" s="560"/>
      <c r="BY80" s="560"/>
      <c r="BZ80" s="560"/>
      <c r="CA80" s="560"/>
      <c r="CB80" s="560"/>
      <c r="CC80" s="560"/>
      <c r="CD80" s="560"/>
      <c r="CE80" s="560"/>
      <c r="CF80" s="560"/>
      <c r="CG80" s="560"/>
      <c r="CH80" s="560"/>
      <c r="CI80" s="560"/>
      <c r="CJ80" s="560"/>
      <c r="CK80" s="560"/>
      <c r="CL80" s="560"/>
      <c r="CM80" s="560"/>
      <c r="CN80" s="560"/>
      <c r="CO80" s="560"/>
      <c r="CP80" s="560"/>
      <c r="CQ80" s="560"/>
      <c r="CR80" s="560"/>
      <c r="CS80" s="560"/>
      <c r="CT80" s="1133"/>
      <c r="CU80" s="475">
        <f>SUM(C80:F80)</f>
        <v>0</v>
      </c>
      <c r="CV80" s="475">
        <f>SUM(G80:J80)</f>
        <v>0</v>
      </c>
      <c r="CW80" s="475">
        <v>16.3</v>
      </c>
      <c r="CX80" s="475">
        <v>49.2</v>
      </c>
      <c r="CY80" s="475">
        <f>SUM(S80:V80)</f>
        <v>68.599999999999994</v>
      </c>
      <c r="CZ80" s="475">
        <f>SUM(W80:Z80)</f>
        <v>64.885999999999996</v>
      </c>
      <c r="DA80" s="475">
        <f>SUM(AA80:AD80)</f>
        <v>96.647999999999996</v>
      </c>
      <c r="DB80" s="475">
        <f>SUM(AE80:AH80)</f>
        <v>150.5</v>
      </c>
      <c r="DC80" s="475">
        <f>+SUM(AI80:AL80)</f>
        <v>171.40000000000003</v>
      </c>
      <c r="DD80" s="475">
        <f>+SUM(AM80:AP80)</f>
        <v>192.89999999999998</v>
      </c>
      <c r="DE80" s="442">
        <f>+SUM(AQ80:AT80)</f>
        <v>209.6</v>
      </c>
      <c r="DF80" s="442"/>
      <c r="DG80" s="442"/>
      <c r="DH80" s="442"/>
      <c r="DI80" s="442"/>
      <c r="DJ80" s="452"/>
      <c r="DK80" s="452"/>
      <c r="DL80" s="452"/>
      <c r="DM80" s="452"/>
      <c r="DN80" s="452"/>
      <c r="DO80" s="452"/>
      <c r="DP80" s="452"/>
      <c r="DQ80" s="452"/>
      <c r="DR80" s="452"/>
      <c r="DS80" s="452"/>
      <c r="DT80" s="452"/>
      <c r="DU80" s="452"/>
      <c r="DV80" s="227"/>
      <c r="DW80" s="226"/>
      <c r="DY80" s="452"/>
      <c r="DZ80" s="452"/>
    </row>
    <row r="81" spans="1:130" hidden="1">
      <c r="A81" s="419" t="s">
        <v>169</v>
      </c>
      <c r="B81" s="14"/>
      <c r="C81" s="14"/>
      <c r="D81" s="14"/>
      <c r="E81" s="14"/>
      <c r="F81" s="14"/>
      <c r="G81" s="14"/>
      <c r="H81" s="14"/>
      <c r="I81" s="14"/>
      <c r="J81" s="14"/>
      <c r="K81" s="14"/>
      <c r="L81" s="14"/>
      <c r="M81" s="14"/>
      <c r="N81" s="14"/>
      <c r="O81" s="14"/>
      <c r="P81" s="14"/>
      <c r="Q81" s="14"/>
      <c r="R81" s="14">
        <v>0.77611940298507465</v>
      </c>
      <c r="S81" s="14">
        <v>0.44545454545454555</v>
      </c>
      <c r="T81" s="14">
        <v>0.37301587301587302</v>
      </c>
      <c r="U81" s="14">
        <v>0.38235294117647078</v>
      </c>
      <c r="V81" s="14">
        <v>0.39495798319327746</v>
      </c>
      <c r="W81" s="14">
        <v>7.7547169811320593E-2</v>
      </c>
      <c r="X81" s="14">
        <v>-0.1352601156069364</v>
      </c>
      <c r="Y81" s="14">
        <v>-0.10797872340425541</v>
      </c>
      <c r="Z81" s="14">
        <v>-3.4759036144578426E-2</v>
      </c>
      <c r="AA81" s="14">
        <v>0.19366135527928563</v>
      </c>
      <c r="AB81" s="14">
        <v>0.46056149732620333</v>
      </c>
      <c r="AC81" s="14">
        <v>0.45778175313059033</v>
      </c>
      <c r="AD81" s="14">
        <v>0.86606752792860253</v>
      </c>
      <c r="AE81" s="14">
        <v>0.85809984841817011</v>
      </c>
      <c r="AF81" s="14">
        <v>0.72540045766590389</v>
      </c>
      <c r="AG81" s="14">
        <v>0.52984006217531809</v>
      </c>
      <c r="AH81" s="14">
        <v>0.25083612040133785</v>
      </c>
      <c r="AI81" s="14">
        <v>9.473684210526323E-2</v>
      </c>
      <c r="AJ81" s="14">
        <v>0.14588859416445632</v>
      </c>
      <c r="AK81" s="14">
        <v>0.15775401069518713</v>
      </c>
      <c r="AL81" s="14">
        <v>0.15775401069518713</v>
      </c>
      <c r="AM81" s="14">
        <v>0.21394230769230771</v>
      </c>
      <c r="AN81" s="14">
        <v>0.13657407407407396</v>
      </c>
      <c r="AO81" s="14">
        <v>9.6997690531177794E-2</v>
      </c>
      <c r="AP81" s="14">
        <v>5.773672055427248E-2</v>
      </c>
      <c r="AQ81" s="14">
        <f>AQ80/AM80-1</f>
        <v>-7.3267326732673332E-2</v>
      </c>
      <c r="AR81" s="14">
        <f>AR80/AN80-1</f>
        <v>4.6843177189409335E-2</v>
      </c>
      <c r="AS81" s="14">
        <f>AS80/AO80-1</f>
        <v>0.24</v>
      </c>
      <c r="AT81" s="14">
        <f>AT80/AP80-1</f>
        <v>0.14628820960698707</v>
      </c>
      <c r="AU81" s="14"/>
      <c r="AV81" s="14"/>
      <c r="AW81" s="14"/>
      <c r="AX81" s="14"/>
      <c r="AY81" s="14"/>
      <c r="AZ81" s="12"/>
      <c r="BA81" s="12"/>
      <c r="BB81" s="14"/>
      <c r="BC81" s="12"/>
      <c r="BD81" s="14"/>
      <c r="BE81" s="14"/>
      <c r="BF81" s="14"/>
      <c r="BG81" s="14"/>
      <c r="BH81" s="14"/>
      <c r="BI81" s="14"/>
      <c r="BJ81" s="14"/>
      <c r="BK81" s="14"/>
      <c r="BL81" s="14"/>
      <c r="BM81" s="168"/>
      <c r="BN81" s="168"/>
      <c r="BO81" s="168"/>
      <c r="BP81" s="168"/>
      <c r="BQ81" s="168"/>
      <c r="BR81" s="168"/>
      <c r="BS81" s="168"/>
      <c r="BT81" s="168"/>
      <c r="BU81" s="168"/>
      <c r="BV81" s="168"/>
      <c r="BW81" s="168"/>
      <c r="BX81" s="168"/>
      <c r="BY81" s="168"/>
      <c r="BZ81" s="168"/>
      <c r="CA81" s="168"/>
      <c r="CB81" s="168"/>
      <c r="CC81" s="168"/>
      <c r="CD81" s="168"/>
      <c r="CE81" s="168"/>
      <c r="CF81" s="168"/>
      <c r="CG81" s="168"/>
      <c r="CH81" s="168"/>
      <c r="CI81" s="168"/>
      <c r="CJ81" s="168"/>
      <c r="CK81" s="168"/>
      <c r="CL81" s="168"/>
      <c r="CM81" s="168"/>
      <c r="CN81" s="168"/>
      <c r="CO81" s="168"/>
      <c r="CP81" s="168"/>
      <c r="CQ81" s="168"/>
      <c r="CR81" s="168"/>
      <c r="CS81" s="168"/>
      <c r="CT81" s="1133"/>
      <c r="CU81" s="114"/>
      <c r="CV81" s="7"/>
      <c r="CW81" s="7"/>
      <c r="CX81" s="7">
        <f t="shared" ref="CX81:DE81" si="576">+CX80/CW80-1</f>
        <v>2.01840490797546</v>
      </c>
      <c r="CY81" s="7">
        <f t="shared" si="576"/>
        <v>0.39430894308943065</v>
      </c>
      <c r="CZ81" s="7">
        <f t="shared" si="576"/>
        <v>-5.4139941690962035E-2</v>
      </c>
      <c r="DA81" s="7">
        <f t="shared" si="576"/>
        <v>0.48950466972844686</v>
      </c>
      <c r="DB81" s="7">
        <f t="shared" si="576"/>
        <v>0.5571972518831223</v>
      </c>
      <c r="DC81" s="7">
        <f t="shared" si="576"/>
        <v>0.13887043189368797</v>
      </c>
      <c r="DD81" s="7">
        <f t="shared" si="576"/>
        <v>0.12543757292882107</v>
      </c>
      <c r="DE81" s="7">
        <f t="shared" si="576"/>
        <v>8.6573354069466202E-2</v>
      </c>
      <c r="DF81" s="7"/>
      <c r="DG81" s="7"/>
      <c r="DH81" s="7"/>
      <c r="DI81" s="7"/>
      <c r="DJ81" s="7"/>
      <c r="DK81" s="7"/>
      <c r="DL81" s="7"/>
      <c r="DM81" s="7"/>
      <c r="DN81" s="7"/>
      <c r="DO81" s="7"/>
      <c r="DP81" s="7"/>
      <c r="DQ81" s="7"/>
      <c r="DR81" s="7"/>
      <c r="DS81" s="7"/>
      <c r="DT81" s="7"/>
      <c r="DU81" s="7"/>
      <c r="DV81" s="224"/>
      <c r="DW81" s="224"/>
      <c r="DY81" s="7"/>
      <c r="DZ81" s="7"/>
    </row>
    <row r="82" spans="1:130" hidden="1">
      <c r="A82" s="419"/>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2"/>
      <c r="BA82" s="12"/>
      <c r="BB82" s="14"/>
      <c r="BC82" s="12"/>
      <c r="BD82" s="14"/>
      <c r="BE82" s="14"/>
      <c r="BF82" s="14"/>
      <c r="BG82" s="14"/>
      <c r="BH82" s="14"/>
      <c r="BI82" s="14"/>
      <c r="BJ82" s="14"/>
      <c r="BK82" s="14"/>
      <c r="BL82" s="14"/>
      <c r="BM82" s="168"/>
      <c r="BN82" s="168"/>
      <c r="BO82" s="168"/>
      <c r="BP82" s="168"/>
      <c r="BQ82" s="168"/>
      <c r="BR82" s="168"/>
      <c r="BS82" s="168"/>
      <c r="BT82" s="168"/>
      <c r="BU82" s="168"/>
      <c r="BV82" s="168"/>
      <c r="BW82" s="168"/>
      <c r="BX82" s="168"/>
      <c r="BY82" s="168"/>
      <c r="BZ82" s="168"/>
      <c r="CA82" s="168"/>
      <c r="CB82" s="168"/>
      <c r="CC82" s="168"/>
      <c r="CD82" s="168"/>
      <c r="CE82" s="168"/>
      <c r="CF82" s="168"/>
      <c r="CG82" s="168"/>
      <c r="CH82" s="168"/>
      <c r="CI82" s="168"/>
      <c r="CJ82" s="168"/>
      <c r="CK82" s="168"/>
      <c r="CL82" s="168"/>
      <c r="CM82" s="168"/>
      <c r="CN82" s="168"/>
      <c r="CO82" s="168"/>
      <c r="CP82" s="168"/>
      <c r="CQ82" s="168"/>
      <c r="CR82" s="168"/>
      <c r="CS82" s="168"/>
      <c r="CT82" s="1137"/>
      <c r="CU82" s="114"/>
      <c r="CV82" s="7"/>
      <c r="CW82" s="7"/>
      <c r="CX82" s="7"/>
      <c r="CY82" s="7"/>
      <c r="CZ82" s="7"/>
      <c r="DA82" s="7"/>
      <c r="DB82" s="7"/>
      <c r="DC82" s="7"/>
      <c r="DD82" s="7"/>
      <c r="DE82" s="7"/>
      <c r="DF82" s="7"/>
      <c r="DG82" s="7"/>
      <c r="DH82" s="7"/>
      <c r="DI82" s="7"/>
      <c r="DJ82" s="7"/>
      <c r="DK82" s="7"/>
      <c r="DL82" s="7"/>
      <c r="DM82" s="7"/>
      <c r="DN82" s="7"/>
      <c r="DO82" s="7"/>
      <c r="DP82" s="7"/>
      <c r="DQ82" s="7"/>
      <c r="DR82" s="7"/>
      <c r="DS82" s="7"/>
      <c r="DT82" s="7"/>
      <c r="DU82" s="7"/>
      <c r="DV82" s="224"/>
      <c r="DW82" s="224"/>
      <c r="DY82" s="7"/>
      <c r="DZ82" s="7"/>
    </row>
    <row r="83" spans="1:130" hidden="1">
      <c r="A83" s="419"/>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2"/>
      <c r="BA83" s="12"/>
      <c r="BB83" s="14"/>
      <c r="BC83" s="12"/>
      <c r="BD83" s="14"/>
      <c r="BE83" s="14"/>
      <c r="BF83" s="14"/>
      <c r="BG83" s="14"/>
      <c r="BH83" s="168"/>
      <c r="BI83" s="168"/>
      <c r="BJ83" s="168"/>
      <c r="BK83" s="168"/>
      <c r="BL83" s="168"/>
      <c r="BM83" s="168"/>
      <c r="BN83" s="168"/>
      <c r="BO83" s="168"/>
      <c r="BP83" s="168"/>
      <c r="BQ83" s="168"/>
      <c r="BR83" s="168"/>
      <c r="BS83" s="168"/>
      <c r="BT83" s="168"/>
      <c r="BU83" s="168"/>
      <c r="BV83" s="168"/>
      <c r="BW83" s="168"/>
      <c r="BX83" s="168"/>
      <c r="BY83" s="168"/>
      <c r="BZ83" s="168"/>
      <c r="CA83" s="168"/>
      <c r="CB83" s="168"/>
      <c r="CC83" s="168"/>
      <c r="CD83" s="168"/>
      <c r="CE83" s="168"/>
      <c r="CF83" s="168"/>
      <c r="CG83" s="168"/>
      <c r="CH83" s="168"/>
      <c r="CI83" s="168"/>
      <c r="CJ83" s="168"/>
      <c r="CK83" s="168"/>
      <c r="CL83" s="168"/>
      <c r="CM83" s="168"/>
      <c r="CN83" s="168"/>
      <c r="CO83" s="168"/>
      <c r="CP83" s="168"/>
      <c r="CQ83" s="168"/>
      <c r="CR83" s="168"/>
      <c r="CS83" s="168"/>
      <c r="CT83" s="1137"/>
      <c r="CU83" s="114"/>
      <c r="CV83" s="7"/>
      <c r="CW83" s="7"/>
      <c r="CX83" s="7"/>
      <c r="CY83" s="7"/>
      <c r="CZ83" s="7"/>
      <c r="DA83" s="7"/>
      <c r="DB83" s="7"/>
      <c r="DC83" s="7"/>
      <c r="DD83" s="7"/>
      <c r="DE83" s="7"/>
      <c r="DF83" s="7"/>
      <c r="DG83" s="7"/>
      <c r="DH83" s="7"/>
      <c r="DI83" s="7"/>
      <c r="DJ83" s="7"/>
      <c r="DK83" s="7"/>
      <c r="DL83" s="7"/>
      <c r="DM83" s="7"/>
      <c r="DN83" s="7"/>
      <c r="DO83" s="7"/>
      <c r="DP83" s="7"/>
      <c r="DQ83" s="7"/>
      <c r="DR83" s="7"/>
      <c r="DS83" s="7"/>
      <c r="DT83" s="7"/>
      <c r="DU83" s="7"/>
      <c r="DV83" s="224"/>
      <c r="DW83" s="224"/>
      <c r="DY83" s="7"/>
      <c r="DZ83" s="7"/>
    </row>
    <row r="84" spans="1:130" s="830" customFormat="1" ht="12.75">
      <c r="A84" s="485" t="s">
        <v>604</v>
      </c>
      <c r="B84" s="550"/>
      <c r="C84" s="550"/>
      <c r="D84" s="550"/>
      <c r="E84" s="550"/>
      <c r="F84" s="550"/>
      <c r="G84" s="550"/>
      <c r="H84" s="550"/>
      <c r="I84" s="550"/>
      <c r="J84" s="550"/>
      <c r="K84" s="550"/>
      <c r="L84" s="550"/>
      <c r="M84" s="550"/>
      <c r="N84" s="550"/>
      <c r="O84" s="550"/>
      <c r="P84" s="550"/>
      <c r="Q84" s="550"/>
      <c r="R84" s="550"/>
      <c r="S84" s="550"/>
      <c r="T84" s="550"/>
      <c r="U84" s="550"/>
      <c r="V84" s="550"/>
      <c r="W84" s="550"/>
      <c r="X84" s="550"/>
      <c r="Y84" s="550"/>
      <c r="Z84" s="550"/>
      <c r="AA84" s="550"/>
      <c r="AB84" s="550"/>
      <c r="AC84" s="550"/>
      <c r="AD84" s="550"/>
      <c r="AE84" s="550"/>
      <c r="AF84" s="550"/>
      <c r="AG84" s="550"/>
      <c r="AH84" s="550"/>
      <c r="AI84" s="550"/>
      <c r="AJ84" s="550"/>
      <c r="AK84" s="550"/>
      <c r="AL84" s="550"/>
      <c r="AM84" s="550"/>
      <c r="AN84" s="550"/>
      <c r="AO84" s="550"/>
      <c r="AP84" s="550"/>
      <c r="AQ84" s="821">
        <f>+AQ80+AQ75</f>
        <v>72.099999999999994</v>
      </c>
      <c r="AR84" s="821">
        <f>+AR80+AR75</f>
        <v>86.4</v>
      </c>
      <c r="AS84" s="821">
        <f>+AS80+AS75</f>
        <v>89.2</v>
      </c>
      <c r="AT84" s="821">
        <f>+AT80+AT75</f>
        <v>78.599999999999994</v>
      </c>
      <c r="AU84" s="821">
        <v>81.459999999999994</v>
      </c>
      <c r="AV84" s="821">
        <v>91.7</v>
      </c>
      <c r="AW84" s="821">
        <v>81.599999999999994</v>
      </c>
      <c r="AX84" s="821">
        <v>82.4</v>
      </c>
      <c r="AY84" s="821">
        <v>74.8</v>
      </c>
      <c r="AZ84" s="821">
        <v>83.3</v>
      </c>
      <c r="BA84" s="821">
        <v>82.504000000000005</v>
      </c>
      <c r="BB84" s="821">
        <v>88.364000000000004</v>
      </c>
      <c r="BC84" s="821">
        <v>83.674999999999997</v>
      </c>
      <c r="BD84" s="821">
        <v>88.835999999999999</v>
      </c>
      <c r="BE84" s="821">
        <v>81.784000000000006</v>
      </c>
      <c r="BF84" s="821">
        <v>87.043000000000006</v>
      </c>
      <c r="BG84" s="821">
        <v>73.102999999999994</v>
      </c>
      <c r="BH84" s="821">
        <v>79.070999999999998</v>
      </c>
      <c r="BI84" s="821">
        <v>72.816525900000002</v>
      </c>
      <c r="BJ84" s="821">
        <v>74.148829770000404</v>
      </c>
      <c r="BK84" s="821">
        <v>73.444759129999994</v>
      </c>
      <c r="BL84" s="822">
        <v>85.586083529999996</v>
      </c>
      <c r="BM84" s="822">
        <v>88.962999999999994</v>
      </c>
      <c r="BN84" s="822">
        <v>80.925856140000008</v>
      </c>
      <c r="BO84" s="822">
        <v>113.254</v>
      </c>
      <c r="BP84" s="822">
        <v>85.94845269999999</v>
      </c>
      <c r="BQ84" s="822">
        <v>18.027157809999999</v>
      </c>
      <c r="BR84" s="822">
        <v>29.6</v>
      </c>
      <c r="BS84" s="822">
        <v>56.5</v>
      </c>
      <c r="BT84" s="822">
        <v>42.533850000000001</v>
      </c>
      <c r="BU84" s="822">
        <v>31.144860000000001</v>
      </c>
      <c r="BV84" s="822">
        <v>41.837409999999998</v>
      </c>
      <c r="BW84" s="822">
        <v>50.391120000000001</v>
      </c>
      <c r="BX84" s="822">
        <v>57.1</v>
      </c>
      <c r="BY84" s="822">
        <v>8.1900999999999904</v>
      </c>
      <c r="BZ84" s="822">
        <v>13.912000000000001</v>
      </c>
      <c r="CA84" s="822">
        <v>60.107999999999997</v>
      </c>
      <c r="CB84" s="822">
        <v>43.161999999999999</v>
      </c>
      <c r="CC84" s="822">
        <v>31.216999999999999</v>
      </c>
      <c r="CD84" s="822">
        <v>15.473000000000001</v>
      </c>
      <c r="CE84" s="822">
        <v>23.452999999999999</v>
      </c>
      <c r="CF84" s="822">
        <v>19.734999999999999</v>
      </c>
      <c r="CG84" s="822">
        <v>22.731105110000005</v>
      </c>
      <c r="CH84" s="822">
        <v>23.151</v>
      </c>
      <c r="CI84" s="822">
        <v>32.103332520000002</v>
      </c>
      <c r="CJ84" s="822">
        <v>38.98153675999999</v>
      </c>
      <c r="CK84" s="822">
        <v>32.989641509999984</v>
      </c>
      <c r="CL84" s="823">
        <f t="shared" ref="CL84" si="577">+(CL85*3)*(AVERAGE(CL160,CK160)/1000)</f>
        <v>31.647379451082433</v>
      </c>
      <c r="CM84" s="823">
        <f t="shared" ref="CM84" si="578">+(CM85*3)*(AVERAGE(CM160,CL160)/1000)</f>
        <v>34.051338833721729</v>
      </c>
      <c r="CN84" s="823">
        <f t="shared" ref="CN84" si="579">+(CN85*3)*(AVERAGE(CN160,CM160)/1000)</f>
        <v>32.695091964061803</v>
      </c>
      <c r="CO84" s="823">
        <f t="shared" ref="CO84" si="580">+(CO85*3)*(AVERAGE(CO160,CN160)/1000)</f>
        <v>32.064323786719953</v>
      </c>
      <c r="CP84" s="823">
        <f t="shared" ref="CP84" si="581">+(CP85*3)*(AVERAGE(CP160,CO160)/1000)</f>
        <v>34.458710610664482</v>
      </c>
      <c r="CQ84" s="823"/>
      <c r="CR84" s="823"/>
      <c r="CS84" s="823">
        <v>29.005695792816031</v>
      </c>
      <c r="CT84" s="1133">
        <f>+CI84/CS84-1</f>
        <v>0.10679408448981853</v>
      </c>
      <c r="CU84" s="824"/>
      <c r="CV84" s="825"/>
      <c r="CW84" s="825"/>
      <c r="CX84" s="825"/>
      <c r="CY84" s="825"/>
      <c r="CZ84" s="825"/>
      <c r="DA84" s="825"/>
      <c r="DB84" s="825"/>
      <c r="DC84" s="825"/>
      <c r="DD84" s="825"/>
      <c r="DE84" s="52">
        <f>+SUM(AQ84:AT84)</f>
        <v>326.29999999999995</v>
      </c>
      <c r="DF84" s="52">
        <f>+SUM(AU84:AX84)</f>
        <v>337.15999999999997</v>
      </c>
      <c r="DG84" s="52">
        <f>+SUM(AY84:BB84)</f>
        <v>328.96799999999996</v>
      </c>
      <c r="DH84" s="52">
        <f>+SUM(BC84:BF84)</f>
        <v>341.33800000000002</v>
      </c>
      <c r="DI84" s="52">
        <f>+SUM(BG84:BJ84)</f>
        <v>299.13935567000038</v>
      </c>
      <c r="DJ84" s="52">
        <f>+SUM(BK84:BN84)</f>
        <v>328.91969879999999</v>
      </c>
      <c r="DK84" s="52">
        <f>+SUM(BO84:BR84)</f>
        <v>246.82961050999998</v>
      </c>
      <c r="DL84" s="52">
        <f>+SUM(BS84:BV84)</f>
        <v>172.01612</v>
      </c>
      <c r="DM84" s="52">
        <f>+SUM(BW84:BZ84)</f>
        <v>129.59321999999997</v>
      </c>
      <c r="DN84" s="52">
        <f>+SUM(CA84:CD84)</f>
        <v>149.96</v>
      </c>
      <c r="DO84" s="52">
        <f>+SUM(CE84:CH84)</f>
        <v>89.07010511</v>
      </c>
      <c r="DP84" s="52">
        <f>+SUM(CI84:CL84)</f>
        <v>135.72189024108241</v>
      </c>
      <c r="DQ84" s="52">
        <f>+SUM(CM84:CP84)</f>
        <v>133.26946519516798</v>
      </c>
      <c r="DR84" s="823">
        <f>+(DR85*12)*(AVERAGE(DR160,DQ160)/1000)</f>
        <v>139.94934798430802</v>
      </c>
      <c r="DS84" s="823">
        <f t="shared" ref="DS84:DU84" si="582">+(DS85*12)*(AVERAGE(DS160,DR160)/1000)</f>
        <v>146.87212574872657</v>
      </c>
      <c r="DT84" s="823">
        <f t="shared" si="582"/>
        <v>155.16945792695509</v>
      </c>
      <c r="DU84" s="823">
        <f t="shared" si="582"/>
        <v>164.28755917201931</v>
      </c>
      <c r="DV84" s="827"/>
      <c r="DW84" s="827"/>
      <c r="DY84" s="823">
        <v>101.82648043854051</v>
      </c>
      <c r="DZ84" s="823">
        <v>110.03832286480258</v>
      </c>
    </row>
    <row r="85" spans="1:130">
      <c r="A85" s="466" t="s">
        <v>605</v>
      </c>
      <c r="B85" s="14"/>
      <c r="C85" s="14"/>
      <c r="D85" s="14"/>
      <c r="E85" s="14"/>
      <c r="F85" s="14"/>
      <c r="G85" s="14"/>
      <c r="H85" s="14"/>
      <c r="I85" s="14"/>
      <c r="J85" s="14"/>
      <c r="K85" s="14"/>
      <c r="L85" s="14"/>
      <c r="M85" s="14"/>
      <c r="N85" s="447">
        <v>-0.12354176594130002</v>
      </c>
      <c r="O85" s="447">
        <v>0.1682413113354293</v>
      </c>
      <c r="P85" s="447">
        <v>6.2987131891686698E-2</v>
      </c>
      <c r="Q85" s="447">
        <v>7.2975381269877099E-2</v>
      </c>
      <c r="R85" s="447">
        <v>5.0562030728990841E-2</v>
      </c>
      <c r="S85" s="447">
        <v>4.5261917845979681E-2</v>
      </c>
      <c r="T85" s="447">
        <v>6.1888921139961091E-2</v>
      </c>
      <c r="U85" s="447">
        <v>8.1054741639379022E-2</v>
      </c>
      <c r="V85" s="447">
        <v>6.9347490748767393E-2</v>
      </c>
      <c r="W85" s="447">
        <v>5.4093650163644869E-2</v>
      </c>
      <c r="X85" s="447">
        <v>6.6333679618223562E-2</v>
      </c>
      <c r="Y85" s="447">
        <v>7.3268066447929464E-2</v>
      </c>
      <c r="Z85" s="447">
        <v>5.7178615772432939E-2</v>
      </c>
      <c r="AA85" s="447">
        <v>5.1118633875352003E-2</v>
      </c>
      <c r="AB85" s="447">
        <v>6.9005517919380435E-2</v>
      </c>
      <c r="AC85" s="447">
        <v>7.6621796432759792E-2</v>
      </c>
      <c r="AD85" s="447">
        <v>6.2058860737410258E-2</v>
      </c>
      <c r="AE85" s="447">
        <v>6.0861464383211474E-2</v>
      </c>
      <c r="AF85" s="447">
        <v>7.8145849421191418E-2</v>
      </c>
      <c r="AG85" s="447">
        <v>8.8437018697024042E-2</v>
      </c>
      <c r="AH85" s="447">
        <v>7.8910219280921942E-2</v>
      </c>
      <c r="AI85" s="447">
        <v>6.8045691506655126E-2</v>
      </c>
      <c r="AJ85" s="447">
        <v>8.3674861158180111E-2</v>
      </c>
      <c r="AK85" s="447">
        <v>9.0851175962180494E-2</v>
      </c>
      <c r="AL85" s="447">
        <v>7.6171472324212217E-2</v>
      </c>
      <c r="AM85" s="447">
        <v>6.8393842429897142E-2</v>
      </c>
      <c r="AN85" s="447">
        <v>8.1875660673137909E-2</v>
      </c>
      <c r="AO85" s="447">
        <v>8.7797288561870857E-2</v>
      </c>
      <c r="AP85" s="447">
        <v>7.0416370864608738E-2</v>
      </c>
      <c r="AQ85" s="14">
        <f t="shared" ref="AQ85:CK85" si="583">+AQ84/AVERAGE(AQ160,AP160)*1000/3</f>
        <v>2.804943781496046E-2</v>
      </c>
      <c r="AR85" s="14">
        <f t="shared" si="583"/>
        <v>3.825259998140499E-2</v>
      </c>
      <c r="AS85" s="14">
        <f t="shared" si="583"/>
        <v>4.0531821114715962E-2</v>
      </c>
      <c r="AT85" s="14">
        <f t="shared" si="583"/>
        <v>2.9001950990023659E-2</v>
      </c>
      <c r="AU85" s="14">
        <f t="shared" si="583"/>
        <v>2.8027453554800446E-2</v>
      </c>
      <c r="AV85" s="14">
        <f t="shared" si="583"/>
        <v>3.576458401342595E-2</v>
      </c>
      <c r="AW85" s="14">
        <f t="shared" si="583"/>
        <v>3.2582225198278407E-2</v>
      </c>
      <c r="AX85" s="14">
        <f t="shared" si="583"/>
        <v>2.818303719767579E-2</v>
      </c>
      <c r="AY85" s="14">
        <f t="shared" si="583"/>
        <v>2.505970944808E-2</v>
      </c>
      <c r="AZ85" s="14">
        <f t="shared" si="583"/>
        <v>3.2153050062260345E-2</v>
      </c>
      <c r="BA85" s="14">
        <f t="shared" si="583"/>
        <v>3.3055559895974189E-2</v>
      </c>
      <c r="BB85" s="14">
        <f t="shared" si="583"/>
        <v>3.0516598520274441E-2</v>
      </c>
      <c r="BC85" s="14">
        <f t="shared" si="583"/>
        <v>2.7547869258322796E-2</v>
      </c>
      <c r="BD85" s="14">
        <f t="shared" si="583"/>
        <v>3.4768355770969386E-2</v>
      </c>
      <c r="BE85" s="14">
        <f t="shared" si="583"/>
        <v>3.4648672946166699E-2</v>
      </c>
      <c r="BF85" s="14">
        <f t="shared" si="583"/>
        <v>3.1973445640510058E-2</v>
      </c>
      <c r="BG85" s="14">
        <f t="shared" si="583"/>
        <v>2.5864109292431062E-2</v>
      </c>
      <c r="BH85" s="14">
        <f t="shared" si="583"/>
        <v>3.2006429516747238E-2</v>
      </c>
      <c r="BI85" s="14">
        <f t="shared" si="583"/>
        <v>2.9884734055726735E-2</v>
      </c>
      <c r="BJ85" s="14">
        <f t="shared" si="583"/>
        <v>2.5314897982594547E-2</v>
      </c>
      <c r="BK85" s="14">
        <f t="shared" si="583"/>
        <v>2.366778849914054E-2</v>
      </c>
      <c r="BL85" s="14">
        <f t="shared" si="583"/>
        <v>3.2266772092547066E-2</v>
      </c>
      <c r="BM85" s="14">
        <f t="shared" si="583"/>
        <v>3.5670347614512488E-2</v>
      </c>
      <c r="BN85" s="14">
        <f t="shared" si="583"/>
        <v>2.7623033613654202E-2</v>
      </c>
      <c r="BO85" s="14">
        <f t="shared" si="583"/>
        <v>3.8187837888000738E-2</v>
      </c>
      <c r="BP85" s="14">
        <f t="shared" si="583"/>
        <v>4.5966504538266416E-2</v>
      </c>
      <c r="BQ85" s="14">
        <f t="shared" si="583"/>
        <v>1.1956651904239368E-2</v>
      </c>
      <c r="BR85" s="14">
        <f t="shared" si="583"/>
        <v>1.2867059807946031E-2</v>
      </c>
      <c r="BS85" s="14">
        <f t="shared" si="583"/>
        <v>2.4377249314811753E-2</v>
      </c>
      <c r="BT85" s="14">
        <f t="shared" si="583"/>
        <v>2.2244143594313589E-2</v>
      </c>
      <c r="BU85" s="14">
        <f t="shared" si="583"/>
        <v>1.5619338779188599E-2</v>
      </c>
      <c r="BV85" s="14">
        <f t="shared" si="583"/>
        <v>1.8078000338767438E-2</v>
      </c>
      <c r="BW85" s="14">
        <f t="shared" si="583"/>
        <v>2.1144749355947099E-2</v>
      </c>
      <c r="BX85" s="14">
        <f t="shared" si="583"/>
        <v>2.6799056823387176E-2</v>
      </c>
      <c r="BY85" s="14">
        <f t="shared" si="583"/>
        <v>4.1462268783595876E-3</v>
      </c>
      <c r="BZ85" s="14">
        <f t="shared" si="583"/>
        <v>7.1338321682911619E-3</v>
      </c>
      <c r="CA85" s="14">
        <f t="shared" si="583"/>
        <v>3.1983500625750262E-2</v>
      </c>
      <c r="CB85" s="14">
        <f t="shared" si="583"/>
        <v>2.6437657092647868E-2</v>
      </c>
      <c r="CC85" s="14">
        <f t="shared" si="583"/>
        <v>2.016119526947846E-2</v>
      </c>
      <c r="CD85" s="14">
        <f t="shared" si="583"/>
        <v>9.276203716776333E-3</v>
      </c>
      <c r="CE85" s="14">
        <f t="shared" si="583"/>
        <v>1.3991287138163439E-2</v>
      </c>
      <c r="CF85" s="14">
        <f t="shared" si="583"/>
        <v>1.3147183306893415E-2</v>
      </c>
      <c r="CG85" s="14">
        <f t="shared" si="583"/>
        <v>1.5108623873338563E-2</v>
      </c>
      <c r="CH85" s="14">
        <f t="shared" si="583"/>
        <v>1.3483822559299169E-2</v>
      </c>
      <c r="CI85" s="14">
        <f t="shared" si="583"/>
        <v>1.8356462811141658E-2</v>
      </c>
      <c r="CJ85" s="704">
        <f t="shared" si="583"/>
        <v>2.4306257753609391E-2</v>
      </c>
      <c r="CK85" s="704">
        <f t="shared" si="583"/>
        <v>2.1101196774825196E-2</v>
      </c>
      <c r="CL85" s="191">
        <v>1.7999999999999999E-2</v>
      </c>
      <c r="CM85" s="191">
        <f t="shared" ref="CM85" si="584">+CL85</f>
        <v>1.7999999999999999E-2</v>
      </c>
      <c r="CN85" s="191">
        <f t="shared" ref="CN85" si="585">+CM85</f>
        <v>1.7999999999999999E-2</v>
      </c>
      <c r="CO85" s="191">
        <f t="shared" ref="CO85" si="586">+CN85</f>
        <v>1.7999999999999999E-2</v>
      </c>
      <c r="CP85" s="191">
        <f t="shared" ref="CP85" si="587">+CO85</f>
        <v>1.7999999999999999E-2</v>
      </c>
      <c r="CQ85" s="191"/>
      <c r="CR85" s="191"/>
      <c r="CS85" s="191">
        <v>1.8356462811141658E-2</v>
      </c>
      <c r="CT85" s="1133"/>
      <c r="CU85" s="114"/>
      <c r="CV85" s="7"/>
      <c r="CW85" s="7"/>
      <c r="CX85" s="7"/>
      <c r="CY85" s="7"/>
      <c r="CZ85" s="7"/>
      <c r="DA85" s="7"/>
      <c r="DB85" s="7"/>
      <c r="DC85" s="108">
        <f>+(DC75+DC80)/AVERAGE(DC160-DC146,DB160-DB146)*1000/12</f>
        <v>6.1869687283666375E-2</v>
      </c>
      <c r="DD85" s="108">
        <f>+(DD75+DD80)/AVERAGE(DD160-DD146,DC160-DC146)*1000/12</f>
        <v>6.010477632910937E-2</v>
      </c>
      <c r="DE85" s="108">
        <f>+(DE75+DE80)/AVERAGE(DE160-DE146,DD160-DD146)*1000/12</f>
        <v>5.0395486289004449E-2</v>
      </c>
      <c r="DF85" s="7">
        <f>+DF84/AVERAGE(DF160-DF146,DE160-DE146)*1000/12</f>
        <v>4.494617821476618E-2</v>
      </c>
      <c r="DG85" s="7">
        <f>+DG84/AVERAGE(DG160-DG146,DF160-DF146)*1000/12</f>
        <v>4.4704033163586454E-2</v>
      </c>
      <c r="DH85" s="7">
        <f>+DH84/AVERAGE(DH160-DH146,DG160-DG146)*1000/12</f>
        <v>5.3390144100720627E-2</v>
      </c>
      <c r="DI85" s="7">
        <f>+DI84/AVERAGE(DI160-DI146,DH160-DH146)*1000/12</f>
        <v>5.4553549561439742E-2</v>
      </c>
      <c r="DJ85" s="14">
        <f t="shared" ref="DJ85:DQ85" si="588">+DJ84/AVERAGE(DJ160,DI160)*1000/12</f>
        <v>2.37390820989077E-2</v>
      </c>
      <c r="DK85" s="14">
        <f t="shared" si="588"/>
        <v>1.9616680185857594E-2</v>
      </c>
      <c r="DL85" s="14">
        <f t="shared" si="588"/>
        <v>1.5597127177505186E-2</v>
      </c>
      <c r="DM85" s="14">
        <f t="shared" si="588"/>
        <v>1.3531948032094947E-2</v>
      </c>
      <c r="DN85" s="14">
        <f t="shared" si="588"/>
        <v>1.8844191110960317E-2</v>
      </c>
      <c r="DO85" s="14">
        <f t="shared" si="588"/>
        <v>1.1721947655985719E-2</v>
      </c>
      <c r="DP85" s="14">
        <f t="shared" si="588"/>
        <v>1.7079927177272514E-2</v>
      </c>
      <c r="DQ85" s="14">
        <f t="shared" si="588"/>
        <v>1.5911542002587712E-2</v>
      </c>
      <c r="DR85" s="214">
        <f t="shared" ref="DR85:DU85" si="589">+DQ85</f>
        <v>1.5911542002587712E-2</v>
      </c>
      <c r="DS85" s="214">
        <f t="shared" si="589"/>
        <v>1.5911542002587712E-2</v>
      </c>
      <c r="DT85" s="214">
        <f t="shared" si="589"/>
        <v>1.5911542002587712E-2</v>
      </c>
      <c r="DU85" s="214">
        <f t="shared" si="589"/>
        <v>1.5911542002587712E-2</v>
      </c>
      <c r="DV85" s="8"/>
      <c r="DW85" s="8"/>
      <c r="DY85" s="214">
        <v>1.1649291536207293E-2</v>
      </c>
      <c r="DZ85" s="214">
        <v>1.1649291536207293E-2</v>
      </c>
    </row>
    <row r="86" spans="1:130" s="1930" customFormat="1" ht="12.75" thickBot="1">
      <c r="A86" s="1926" t="s">
        <v>606</v>
      </c>
      <c r="B86" s="1937"/>
      <c r="C86" s="1937"/>
      <c r="D86" s="1937"/>
      <c r="E86" s="1937"/>
      <c r="F86" s="1937"/>
      <c r="G86" s="1937"/>
      <c r="H86" s="1937"/>
      <c r="I86" s="1937"/>
      <c r="J86" s="1937"/>
      <c r="K86" s="1937"/>
      <c r="L86" s="1937"/>
      <c r="M86" s="1937"/>
      <c r="N86" s="1938"/>
      <c r="O86" s="1938"/>
      <c r="P86" s="1938"/>
      <c r="Q86" s="1938"/>
      <c r="R86" s="1938"/>
      <c r="S86" s="1938"/>
      <c r="T86" s="1938"/>
      <c r="U86" s="1938"/>
      <c r="V86" s="1938"/>
      <c r="W86" s="1938"/>
      <c r="X86" s="1938"/>
      <c r="Y86" s="1938"/>
      <c r="Z86" s="1938"/>
      <c r="AA86" s="1938"/>
      <c r="AB86" s="1938"/>
      <c r="AC86" s="1938"/>
      <c r="AD86" s="1938"/>
      <c r="AE86" s="1938"/>
      <c r="AF86" s="1938"/>
      <c r="AG86" s="1938"/>
      <c r="AH86" s="1938"/>
      <c r="AI86" s="1938"/>
      <c r="AJ86" s="1938"/>
      <c r="AK86" s="1938"/>
      <c r="AL86" s="1938"/>
      <c r="AM86" s="1938"/>
      <c r="AN86" s="1938"/>
      <c r="AO86" s="1938"/>
      <c r="AP86" s="1938"/>
      <c r="AQ86" s="1937">
        <f>+AQ85*3/AQ96</f>
        <v>3.3261949283167542</v>
      </c>
      <c r="AR86" s="1937">
        <f t="shared" ref="AR86:CD86" si="590">+AR85*3/AR96</f>
        <v>4.3414057892830735</v>
      </c>
      <c r="AS86" s="1937">
        <f t="shared" si="590"/>
        <v>4.6000816395003827</v>
      </c>
      <c r="AT86" s="1937">
        <f t="shared" si="590"/>
        <v>3.1992894339259017</v>
      </c>
      <c r="AU86" s="1937">
        <f t="shared" si="590"/>
        <v>2.8619199711881014</v>
      </c>
      <c r="AV86" s="1937">
        <f t="shared" si="590"/>
        <v>3.3958264675154375</v>
      </c>
      <c r="AW86" s="1937">
        <f t="shared" si="590"/>
        <v>2.8863183432367192</v>
      </c>
      <c r="AX86" s="1937">
        <f t="shared" si="590"/>
        <v>2.4966133140615754</v>
      </c>
      <c r="AY86" s="1937">
        <f t="shared" si="590"/>
        <v>2.2199312237273974</v>
      </c>
      <c r="AZ86" s="1937">
        <f t="shared" si="590"/>
        <v>2.8482995750276192</v>
      </c>
      <c r="BA86" s="1937">
        <f t="shared" si="590"/>
        <v>2.9282490159312879</v>
      </c>
      <c r="BB86" s="1937">
        <f t="shared" si="590"/>
        <v>2.7567905464106159</v>
      </c>
      <c r="BC86" s="1937">
        <f t="shared" si="590"/>
        <v>2.7095423787273627</v>
      </c>
      <c r="BD86" s="1937">
        <f t="shared" si="590"/>
        <v>3.9390785898856024</v>
      </c>
      <c r="BE86" s="1937">
        <f t="shared" si="590"/>
        <v>4.6480086646052525</v>
      </c>
      <c r="BF86" s="1937">
        <f t="shared" si="590"/>
        <v>5.2235711067062667</v>
      </c>
      <c r="BG86" s="1937">
        <f t="shared" si="590"/>
        <v>4.6623234448877682</v>
      </c>
      <c r="BH86" s="1937">
        <f t="shared" si="590"/>
        <v>6.0510187373507858</v>
      </c>
      <c r="BI86" s="1937">
        <f t="shared" si="590"/>
        <v>5.6498987379184982</v>
      </c>
      <c r="BJ86" s="1937">
        <f t="shared" si="590"/>
        <v>4.785942210350326</v>
      </c>
      <c r="BK86" s="1937">
        <f t="shared" si="590"/>
        <v>4.4745457035443001</v>
      </c>
      <c r="BL86" s="1937">
        <f t="shared" si="590"/>
        <v>6.1002381544516719</v>
      </c>
      <c r="BM86" s="1937">
        <f t="shared" si="590"/>
        <v>7.1756541498126474</v>
      </c>
      <c r="BN86" s="1937">
        <f t="shared" si="590"/>
        <v>6.6869170537668055</v>
      </c>
      <c r="BO86" s="1937">
        <f t="shared" si="590"/>
        <v>10.902293421439628</v>
      </c>
      <c r="BP86" s="1937">
        <f t="shared" si="590"/>
        <v>17.606073973049764</v>
      </c>
      <c r="BQ86" s="1937">
        <f t="shared" si="590"/>
        <v>6.9186363685729111</v>
      </c>
      <c r="BR86" s="1937">
        <f t="shared" si="590"/>
        <v>7.7778987790716396</v>
      </c>
      <c r="BS86" s="1937">
        <f t="shared" si="590"/>
        <v>13.842877540098694</v>
      </c>
      <c r="BT86" s="1937">
        <f t="shared" si="590"/>
        <v>8.0674629377148133</v>
      </c>
      <c r="BU86" s="1937">
        <f t="shared" si="590"/>
        <v>3.8257276226075239</v>
      </c>
      <c r="BV86" s="1937">
        <f t="shared" si="590"/>
        <v>2.9047846218670665</v>
      </c>
      <c r="BW86" s="1937">
        <f t="shared" si="590"/>
        <v>2.5282827115429169</v>
      </c>
      <c r="BX86" s="1937">
        <f t="shared" si="590"/>
        <v>2.692408789982589</v>
      </c>
      <c r="BY86" s="1937">
        <f t="shared" si="590"/>
        <v>0.38400605624371026</v>
      </c>
      <c r="BZ86" s="1937">
        <f t="shared" si="590"/>
        <v>0.65382985706087815</v>
      </c>
      <c r="CA86" s="1937">
        <f t="shared" si="590"/>
        <v>2.9313512217725757</v>
      </c>
      <c r="CB86" s="1937">
        <f t="shared" si="590"/>
        <v>2.4230636704270951</v>
      </c>
      <c r="CC86" s="1937">
        <f t="shared" si="590"/>
        <v>1.8992416706539044</v>
      </c>
      <c r="CD86" s="1937">
        <f t="shared" si="590"/>
        <v>0.94352556579878621</v>
      </c>
      <c r="CE86" s="1937">
        <f t="shared" ref="CE86" si="591">+CE85*3/CE96</f>
        <v>1.5408059414227453</v>
      </c>
      <c r="CF86" s="1937">
        <f t="shared" ref="CF86:CG86" si="592">+CF85*3/CF96</f>
        <v>1.5462811310492419</v>
      </c>
      <c r="CG86" s="1937">
        <f t="shared" si="592"/>
        <v>1.7883514697028224</v>
      </c>
      <c r="CH86" s="1937">
        <f t="shared" ref="CH86:CL86" si="593">+CH85*3/CH96</f>
        <v>1.4950495507652832</v>
      </c>
      <c r="CI86" s="1937">
        <f t="shared" ref="CI86" si="594">+CI85*3/CI96</f>
        <v>1.7020880791051705</v>
      </c>
      <c r="CJ86" s="1937">
        <f t="shared" si="593"/>
        <v>2.0837022877475824</v>
      </c>
      <c r="CK86" s="1937">
        <f t="shared" si="593"/>
        <v>1.7802872606574691</v>
      </c>
      <c r="CL86" s="1937">
        <f t="shared" si="593"/>
        <v>1.5186423326503433</v>
      </c>
      <c r="CM86" s="1937">
        <f t="shared" ref="CM86:CP86" si="595">+CM85*3/CM96</f>
        <v>1.5683709606996359</v>
      </c>
      <c r="CN86" s="1937">
        <f t="shared" si="595"/>
        <v>1.6788636806012063</v>
      </c>
      <c r="CO86" s="1937">
        <f t="shared" si="595"/>
        <v>1.773093116170561</v>
      </c>
      <c r="CP86" s="1937">
        <f t="shared" si="595"/>
        <v>1.8423157201092513</v>
      </c>
      <c r="CQ86" s="1933"/>
      <c r="CR86" s="1933"/>
      <c r="CS86" s="1937">
        <v>1.5736442829768555</v>
      </c>
      <c r="CT86" s="1931"/>
      <c r="CU86" s="1927"/>
      <c r="CV86" s="1939"/>
      <c r="CW86" s="1939"/>
      <c r="CX86" s="1939"/>
      <c r="CY86" s="1939"/>
      <c r="CZ86" s="1939"/>
      <c r="DA86" s="1939"/>
      <c r="DB86" s="1939"/>
      <c r="DC86" s="1936"/>
      <c r="DD86" s="1936"/>
      <c r="DE86" s="1937">
        <f t="shared" ref="DE86:DN86" si="596">+DE85*12/DE$96</f>
        <v>5.517753973248662</v>
      </c>
      <c r="DF86" s="1937">
        <f t="shared" si="596"/>
        <v>3.9929975093629033</v>
      </c>
      <c r="DG86" s="1937">
        <f t="shared" si="596"/>
        <v>3.7838010789140362</v>
      </c>
      <c r="DH86" s="1937">
        <f t="shared" si="596"/>
        <v>6.3136903592869915</v>
      </c>
      <c r="DI86" s="1937">
        <f t="shared" si="596"/>
        <v>9.9470859599206385</v>
      </c>
      <c r="DJ86" s="1937">
        <f t="shared" si="596"/>
        <v>4.7183268768015312</v>
      </c>
      <c r="DK86" s="1937">
        <f t="shared" si="596"/>
        <v>8.166527744329267</v>
      </c>
      <c r="DL86" s="1937">
        <f t="shared" si="596"/>
        <v>4.1248600800013717</v>
      </c>
      <c r="DM86" s="1937">
        <f t="shared" si="596"/>
        <v>1.292346807681173</v>
      </c>
      <c r="DN86" s="1937">
        <f t="shared" si="596"/>
        <v>1.7005474211808518</v>
      </c>
      <c r="DO86" s="1937">
        <f>+DO85*12/DO$96</f>
        <v>1.2860651142567188</v>
      </c>
      <c r="DP86" s="1937">
        <f>+DP85*12/DP$96</f>
        <v>1.4054340077298526</v>
      </c>
      <c r="DQ86" s="1937">
        <f>+DQ85*12/DQ$96</f>
        <v>1.4410453134419061</v>
      </c>
      <c r="DR86" s="1937">
        <f t="shared" ref="DR86:DU86" si="597">+DR85*12/DR$96</f>
        <v>1.6603348176613266</v>
      </c>
      <c r="DS86" s="1937">
        <f t="shared" si="597"/>
        <v>1.7358045821004777</v>
      </c>
      <c r="DT86" s="1937">
        <f t="shared" si="597"/>
        <v>1.9093850403105255</v>
      </c>
      <c r="DU86" s="1937">
        <f t="shared" si="597"/>
        <v>2.1215389336783619</v>
      </c>
      <c r="DV86" s="1928"/>
      <c r="DW86" s="1928"/>
      <c r="DY86" s="1937">
        <v>1.4714894572051318</v>
      </c>
      <c r="DZ86" s="1937">
        <v>1.5532388714943057</v>
      </c>
    </row>
    <row r="87" spans="1:130" ht="15.75" thickBot="1">
      <c r="B87" s="457"/>
      <c r="C87" s="457"/>
      <c r="D87" s="457"/>
      <c r="E87" s="457"/>
      <c r="F87" s="457"/>
      <c r="G87" s="457"/>
      <c r="H87" s="457"/>
      <c r="I87" s="457"/>
      <c r="J87" s="457"/>
      <c r="K87" s="457"/>
      <c r="L87" s="457"/>
      <c r="M87" s="457"/>
      <c r="N87" s="457"/>
      <c r="O87" s="457"/>
      <c r="P87" s="457"/>
      <c r="Q87" s="457"/>
      <c r="R87" s="457"/>
      <c r="S87" s="457"/>
      <c r="T87" s="457"/>
      <c r="U87" s="457"/>
      <c r="V87" s="457"/>
      <c r="W87" s="457"/>
      <c r="X87" s="457"/>
      <c r="Y87" s="457"/>
      <c r="Z87" s="457"/>
      <c r="AA87" s="457"/>
      <c r="AB87" s="457"/>
      <c r="AC87" s="457"/>
      <c r="AD87" s="457"/>
      <c r="AE87" s="457"/>
      <c r="AF87" s="457"/>
      <c r="AG87" s="457"/>
      <c r="AH87" s="457"/>
      <c r="AI87" s="457"/>
      <c r="AJ87" s="457"/>
      <c r="AK87" s="458"/>
      <c r="AL87" s="458"/>
      <c r="AM87" s="458"/>
      <c r="AN87" s="459"/>
      <c r="AO87" s="459"/>
      <c r="AP87" s="459"/>
      <c r="AQ87" s="459"/>
      <c r="AR87" s="459"/>
      <c r="AS87" s="459"/>
      <c r="AT87" s="459"/>
      <c r="AU87" s="459"/>
      <c r="AV87" s="459"/>
      <c r="AW87" s="459"/>
      <c r="AX87" s="459"/>
      <c r="AY87" s="459"/>
      <c r="AZ87" s="459"/>
      <c r="BA87" s="459"/>
      <c r="BB87" s="459"/>
      <c r="BC87" s="459"/>
      <c r="BD87" s="459"/>
      <c r="BE87" s="459"/>
      <c r="BF87" s="459"/>
      <c r="BG87" s="459"/>
      <c r="BH87" s="459"/>
      <c r="BI87" s="459"/>
      <c r="BJ87" s="459"/>
      <c r="BK87" s="459"/>
      <c r="BL87" s="459"/>
      <c r="BM87" s="459"/>
      <c r="BN87" s="606" t="s">
        <v>607</v>
      </c>
      <c r="BO87" s="607"/>
      <c r="BP87" s="607"/>
      <c r="BQ87" s="607"/>
      <c r="BR87" s="607"/>
      <c r="BS87" s="607"/>
      <c r="BT87" s="607"/>
      <c r="BU87" s="607"/>
      <c r="BV87" s="607"/>
      <c r="BW87" s="607"/>
      <c r="BX87" s="607"/>
      <c r="BY87" s="607"/>
      <c r="BZ87" s="607"/>
      <c r="CA87" s="607"/>
      <c r="CB87" s="607"/>
      <c r="CC87" s="607"/>
      <c r="CD87" s="607"/>
      <c r="CE87" s="607"/>
      <c r="CF87" s="607"/>
      <c r="CG87" s="607"/>
      <c r="CH87" s="607"/>
      <c r="CI87" s="607"/>
      <c r="CJ87" s="607"/>
      <c r="CK87" s="607"/>
      <c r="CL87" s="386"/>
      <c r="CM87" s="386"/>
      <c r="CN87" s="386"/>
      <c r="CO87" s="386"/>
      <c r="CP87" s="386"/>
      <c r="CQ87" s="386"/>
      <c r="CR87" s="225" t="s">
        <v>608</v>
      </c>
      <c r="CS87" s="386"/>
      <c r="CT87" s="1136"/>
      <c r="CU87" s="223"/>
      <c r="CV87" s="222"/>
      <c r="CW87" s="222"/>
      <c r="CX87" s="222"/>
      <c r="CY87" s="222"/>
      <c r="CZ87" s="222"/>
      <c r="DA87" s="222"/>
      <c r="DB87" s="222"/>
      <c r="DC87" s="222"/>
      <c r="DD87" s="222"/>
      <c r="DE87" s="457"/>
      <c r="DF87" s="457"/>
      <c r="DG87" s="457"/>
      <c r="DH87" s="457"/>
      <c r="DI87" s="457"/>
      <c r="DJ87" s="457"/>
      <c r="DK87" s="457"/>
      <c r="DL87" s="457"/>
      <c r="DM87" s="457"/>
      <c r="DN87" s="457"/>
      <c r="DO87" s="457"/>
      <c r="DP87" s="457"/>
      <c r="DQ87" s="457"/>
      <c r="DR87" s="457"/>
      <c r="DS87" s="457"/>
      <c r="DT87" s="457"/>
      <c r="DU87" s="457"/>
      <c r="DV87" s="221"/>
      <c r="DW87" s="221"/>
      <c r="DY87" s="457"/>
      <c r="DZ87" s="457"/>
    </row>
    <row r="88" spans="1:130" ht="15.75" thickBot="1">
      <c r="A88" s="456"/>
      <c r="B88" s="457"/>
      <c r="C88" s="457"/>
      <c r="D88" s="457"/>
      <c r="E88" s="457"/>
      <c r="F88" s="457"/>
      <c r="G88" s="457"/>
      <c r="H88" s="457"/>
      <c r="I88" s="457"/>
      <c r="J88" s="457"/>
      <c r="K88" s="457"/>
      <c r="L88" s="457"/>
      <c r="M88" s="457"/>
      <c r="N88" s="457"/>
      <c r="O88" s="457"/>
      <c r="P88" s="457"/>
      <c r="Q88" s="457"/>
      <c r="R88" s="457"/>
      <c r="S88" s="457"/>
      <c r="T88" s="457"/>
      <c r="U88" s="457"/>
      <c r="V88" s="457"/>
      <c r="W88" s="457"/>
      <c r="X88" s="457"/>
      <c r="Y88" s="457"/>
      <c r="Z88" s="457"/>
      <c r="AA88" s="457"/>
      <c r="AB88" s="457"/>
      <c r="AC88" s="457"/>
      <c r="AD88" s="457"/>
      <c r="AE88" s="457"/>
      <c r="AF88" s="457"/>
      <c r="AG88" s="457"/>
      <c r="AH88" s="457"/>
      <c r="AI88" s="457"/>
      <c r="AJ88" s="457"/>
      <c r="AK88" s="458"/>
      <c r="AL88" s="458"/>
      <c r="AM88" s="458"/>
      <c r="AN88" s="459"/>
      <c r="AO88" s="459"/>
      <c r="AP88" s="459"/>
      <c r="AQ88" s="459"/>
      <c r="AR88" s="459"/>
      <c r="AS88" s="459"/>
      <c r="AT88" s="459"/>
      <c r="AU88" s="459"/>
      <c r="AV88" s="459"/>
      <c r="AW88" s="459"/>
      <c r="AX88" s="459"/>
      <c r="AY88" s="459"/>
      <c r="AZ88" s="460"/>
      <c r="BA88" s="460"/>
      <c r="BB88" s="459"/>
      <c r="BC88" s="460"/>
      <c r="BD88" s="459"/>
      <c r="BE88" s="459"/>
      <c r="BF88" s="459"/>
      <c r="BG88" s="459"/>
      <c r="BH88" s="459"/>
      <c r="BI88" s="459"/>
      <c r="BJ88" s="459"/>
      <c r="BK88" s="459"/>
      <c r="BL88" s="459"/>
      <c r="BM88" s="459"/>
      <c r="CL88" s="386"/>
      <c r="CM88" s="386"/>
      <c r="CN88" s="386"/>
      <c r="CO88" s="386"/>
      <c r="CP88" s="386"/>
      <c r="CQ88" s="386"/>
      <c r="CR88" s="220" t="s">
        <v>609</v>
      </c>
      <c r="CS88" s="386"/>
      <c r="CT88" s="1133"/>
      <c r="CU88" s="223"/>
      <c r="CV88" s="222"/>
      <c r="CW88" s="222"/>
      <c r="CX88" s="222"/>
      <c r="CY88" s="222"/>
      <c r="CZ88" s="222"/>
      <c r="DA88" s="222"/>
      <c r="DB88" s="222"/>
      <c r="DC88" s="222"/>
      <c r="DD88" s="222"/>
      <c r="DE88" s="457"/>
      <c r="DF88" s="457"/>
      <c r="DG88" s="457"/>
      <c r="DH88" s="457"/>
      <c r="DI88" s="457"/>
      <c r="DJ88" s="457"/>
      <c r="DK88" s="457"/>
      <c r="DL88" s="457"/>
      <c r="DM88" s="457"/>
      <c r="DN88" s="457"/>
      <c r="DO88" s="457"/>
      <c r="DP88" s="457"/>
      <c r="DQ88" s="457"/>
      <c r="DR88" s="457"/>
      <c r="DS88" s="457"/>
      <c r="DT88" s="457"/>
      <c r="DU88" s="457"/>
      <c r="DV88" s="221"/>
      <c r="DW88" s="221"/>
      <c r="DY88" s="457"/>
      <c r="DZ88" s="457"/>
    </row>
    <row r="89" spans="1:130" s="830" customFormat="1" ht="12.75">
      <c r="A89" s="485" t="s">
        <v>610</v>
      </c>
      <c r="B89" s="485"/>
      <c r="C89" s="536"/>
      <c r="D89" s="536"/>
      <c r="E89" s="536"/>
      <c r="F89" s="536"/>
      <c r="G89" s="536"/>
      <c r="H89" s="536"/>
      <c r="I89" s="536"/>
      <c r="J89" s="536"/>
      <c r="K89" s="536"/>
      <c r="L89" s="536"/>
      <c r="M89" s="536"/>
      <c r="N89" s="536"/>
      <c r="O89" s="536"/>
      <c r="P89" s="536"/>
      <c r="Q89" s="536"/>
      <c r="R89" s="831"/>
      <c r="S89" s="832"/>
      <c r="T89" s="833"/>
      <c r="U89" s="833"/>
      <c r="V89" s="833"/>
      <c r="W89" s="833"/>
      <c r="X89" s="833"/>
      <c r="Y89" s="833"/>
      <c r="Z89" s="833"/>
      <c r="AA89" s="833"/>
      <c r="AB89" s="833"/>
      <c r="AC89" s="833"/>
      <c r="AD89" s="833"/>
      <c r="AE89" s="833"/>
      <c r="AF89" s="833"/>
      <c r="AG89" s="833">
        <v>2.4</v>
      </c>
      <c r="AH89" s="834">
        <v>3</v>
      </c>
      <c r="AI89" s="834">
        <v>4.82</v>
      </c>
      <c r="AJ89" s="834">
        <v>7.0140000000000002</v>
      </c>
      <c r="AK89" s="834">
        <v>10.5</v>
      </c>
      <c r="AL89" s="834">
        <v>12.4</v>
      </c>
      <c r="AM89" s="834">
        <v>10.8</v>
      </c>
      <c r="AN89" s="834">
        <v>10.8</v>
      </c>
      <c r="AO89" s="834">
        <v>13.3</v>
      </c>
      <c r="AP89" s="834">
        <v>19.399999999999999</v>
      </c>
      <c r="AQ89" s="821">
        <v>24.3</v>
      </c>
      <c r="AR89" s="821">
        <v>30</v>
      </c>
      <c r="AS89" s="821">
        <v>35.9</v>
      </c>
      <c r="AT89" s="821">
        <v>35.1</v>
      </c>
      <c r="AU89" s="821">
        <v>43.545999999999999</v>
      </c>
      <c r="AV89" s="821">
        <v>48.226999999999997</v>
      </c>
      <c r="AW89" s="821">
        <v>51.134999999999998</v>
      </c>
      <c r="AX89" s="821">
        <v>51.118000000000002</v>
      </c>
      <c r="AY89" s="821">
        <v>55.715000000000003</v>
      </c>
      <c r="AZ89" s="821">
        <v>61.9</v>
      </c>
      <c r="BA89" s="821">
        <v>63.887999999999998</v>
      </c>
      <c r="BB89" s="821">
        <v>66.102999999999994</v>
      </c>
      <c r="BC89" s="821">
        <v>64.971999999999994</v>
      </c>
      <c r="BD89" s="821">
        <v>84.025000000000006</v>
      </c>
      <c r="BE89" s="821">
        <v>126.327</v>
      </c>
      <c r="BF89" s="821">
        <v>112.732</v>
      </c>
      <c r="BG89" s="821">
        <v>126.47</v>
      </c>
      <c r="BH89" s="821">
        <v>130.73099999999999</v>
      </c>
      <c r="BI89" s="821">
        <v>131.35918132</v>
      </c>
      <c r="BJ89" s="821">
        <v>139.68934218999999</v>
      </c>
      <c r="BK89" s="821">
        <v>144.70308934000002</v>
      </c>
      <c r="BL89" s="821">
        <v>161.81607167000001</v>
      </c>
      <c r="BM89" s="821">
        <v>175.38300000000001</v>
      </c>
      <c r="BN89" s="822">
        <v>193.87918033742986</v>
      </c>
      <c r="BO89" s="822">
        <v>194.893</v>
      </c>
      <c r="BP89" s="822">
        <v>176.12</v>
      </c>
      <c r="BQ89" s="822">
        <v>114.44647106000001</v>
      </c>
      <c r="BR89" s="822">
        <v>122</v>
      </c>
      <c r="BS89" s="822">
        <v>156.6</v>
      </c>
      <c r="BT89" s="822">
        <v>185.44173000000001</v>
      </c>
      <c r="BU89" s="822">
        <v>219.52226999999999</v>
      </c>
      <c r="BV89" s="822">
        <v>259.77893999999998</v>
      </c>
      <c r="BW89" s="822">
        <v>315.01600000000002</v>
      </c>
      <c r="BX89" s="822">
        <v>363.2</v>
      </c>
      <c r="BY89" s="822">
        <v>358.06070999999997</v>
      </c>
      <c r="BZ89" s="822">
        <v>401.63799999999998</v>
      </c>
      <c r="CA89" s="822">
        <v>408.661</v>
      </c>
      <c r="CB89" s="822">
        <v>444.25900000000001</v>
      </c>
      <c r="CC89" s="822">
        <v>402.08</v>
      </c>
      <c r="CD89" s="822">
        <v>423.48399999999998</v>
      </c>
      <c r="CE89" s="822">
        <v>405.09899999999999</v>
      </c>
      <c r="CF89" s="822">
        <v>405.69499999999999</v>
      </c>
      <c r="CG89" s="822">
        <v>402.89882072999995</v>
      </c>
      <c r="CH89" s="822">
        <v>418.99599999999998</v>
      </c>
      <c r="CI89" s="822">
        <v>470.78506351999999</v>
      </c>
      <c r="CJ89" s="822">
        <v>480.32437418000006</v>
      </c>
      <c r="CK89" s="822">
        <v>457.25387766999995</v>
      </c>
      <c r="CL89" s="823">
        <f>+CL90*AVERAGE(CK240:CL240)/1000*3</f>
        <v>429.06863437529682</v>
      </c>
      <c r="CM89" s="823">
        <f t="shared" ref="CM89:CP89" si="598">+CM90*AVERAGE(CL240:CM240)/1000*3</f>
        <v>470.11485746351548</v>
      </c>
      <c r="CN89" s="823">
        <f t="shared" si="598"/>
        <v>477.84178497855271</v>
      </c>
      <c r="CO89" s="823">
        <f t="shared" si="598"/>
        <v>482.10795715011812</v>
      </c>
      <c r="CP89" s="823">
        <f t="shared" si="598"/>
        <v>480.40061973136091</v>
      </c>
      <c r="CQ89" s="823"/>
      <c r="CR89" s="823"/>
      <c r="CS89" s="823">
        <v>441.41051329089237</v>
      </c>
      <c r="CT89" s="1133">
        <f>+CI89/CS89-1</f>
        <v>6.6547010876810697E-2</v>
      </c>
      <c r="CU89" s="835"/>
      <c r="CV89" s="836"/>
      <c r="CW89" s="836"/>
      <c r="CX89" s="836"/>
      <c r="CY89" s="836"/>
      <c r="CZ89" s="836"/>
      <c r="DA89" s="836">
        <f>SUM(AA89:AD89)</f>
        <v>0</v>
      </c>
      <c r="DB89" s="836">
        <f>SUM(AE89:AH89)</f>
        <v>5.4</v>
      </c>
      <c r="DC89" s="836">
        <f>+SUM(AI89:AL89)</f>
        <v>34.734000000000002</v>
      </c>
      <c r="DD89" s="836">
        <f>+SUM(AM89:AP89)</f>
        <v>54.300000000000004</v>
      </c>
      <c r="DE89" s="837">
        <f>+SUM(AQ89:AT89)</f>
        <v>125.29999999999998</v>
      </c>
      <c r="DF89" s="837">
        <f>+SUM(AU89:AX89)</f>
        <v>194.02599999999998</v>
      </c>
      <c r="DG89" s="837">
        <f>+SUM(AY89:BB89)</f>
        <v>247.60599999999999</v>
      </c>
      <c r="DH89" s="837">
        <f>+SUM(BC89:BF89)</f>
        <v>388.05600000000004</v>
      </c>
      <c r="DI89" s="837">
        <f>+SUM(BG89:BJ89)</f>
        <v>528.24952351000002</v>
      </c>
      <c r="DJ89" s="837">
        <f>+SUM(BK89:BN89)</f>
        <v>675.78134134742993</v>
      </c>
      <c r="DK89" s="52">
        <f>+SUM(BO89:BR89)</f>
        <v>607.45947106000006</v>
      </c>
      <c r="DL89" s="52">
        <f>+SUM(BS89:BV89)</f>
        <v>821.34294</v>
      </c>
      <c r="DM89" s="52">
        <f>+SUM(BW89:BZ89)</f>
        <v>1437.91471</v>
      </c>
      <c r="DN89" s="52">
        <f>+SUM(CA89:CD89)</f>
        <v>1678.4839999999999</v>
      </c>
      <c r="DO89" s="52">
        <f>+SUM(CE89:CH89)</f>
        <v>1632.6888207299999</v>
      </c>
      <c r="DP89" s="52">
        <f>+SUM(CI89:CL89)</f>
        <v>1837.4319497452968</v>
      </c>
      <c r="DQ89" s="52">
        <f>+SUM(CM89:CP89)</f>
        <v>1910.4652193235472</v>
      </c>
      <c r="DR89" s="834">
        <f>+DR90*AVERAGE(DQ240:DR240)/1000*12</f>
        <v>1966.1098373620971</v>
      </c>
      <c r="DS89" s="834">
        <f>+DS90*AVERAGE(DR240:DS240)/1000*12</f>
        <v>1966.1098373620971</v>
      </c>
      <c r="DT89" s="834">
        <f>+DT90*AVERAGE(DS240:DT240)/1000*12</f>
        <v>1966.1098373620971</v>
      </c>
      <c r="DU89" s="834">
        <f>+DU90*AVERAGE(DT240:DU240)/1000*12</f>
        <v>1966.1098373620971</v>
      </c>
      <c r="DV89" s="84"/>
      <c r="DW89" s="84"/>
      <c r="DY89" s="834">
        <v>1621.1897516741865</v>
      </c>
      <c r="DZ89" s="834">
        <v>1621.1897516741865</v>
      </c>
    </row>
    <row r="90" spans="1:130">
      <c r="A90" s="466" t="s">
        <v>605</v>
      </c>
      <c r="B90" s="355"/>
      <c r="C90" s="461"/>
      <c r="D90" s="461"/>
      <c r="E90" s="461"/>
      <c r="F90" s="461"/>
      <c r="G90" s="461"/>
      <c r="H90" s="461"/>
      <c r="I90" s="461"/>
      <c r="J90" s="461"/>
      <c r="K90" s="461"/>
      <c r="L90" s="461"/>
      <c r="M90" s="461"/>
      <c r="N90" s="461"/>
      <c r="O90" s="461"/>
      <c r="P90" s="461"/>
      <c r="Q90" s="461"/>
      <c r="R90" s="462"/>
      <c r="S90" s="463"/>
      <c r="T90" s="464"/>
      <c r="U90" s="464"/>
      <c r="V90" s="464"/>
      <c r="W90" s="464"/>
      <c r="X90" s="464"/>
      <c r="Y90" s="464"/>
      <c r="Z90" s="464"/>
      <c r="AA90" s="464"/>
      <c r="AB90" s="464"/>
      <c r="AC90" s="464"/>
      <c r="AD90" s="464"/>
      <c r="AE90" s="464"/>
      <c r="AF90" s="464"/>
      <c r="AG90" s="464"/>
      <c r="AH90" s="14">
        <v>0.10970525853872595</v>
      </c>
      <c r="AI90" s="14">
        <v>0.35251956410443941</v>
      </c>
      <c r="AJ90" s="14">
        <v>0.23351977626847784</v>
      </c>
      <c r="AK90" s="14">
        <v>0.15335071308081583</v>
      </c>
      <c r="AL90" s="14">
        <v>0.15276580017247754</v>
      </c>
      <c r="AM90" s="14">
        <v>0.13135889561224801</v>
      </c>
      <c r="AN90" s="14">
        <v>0.12871700137059772</v>
      </c>
      <c r="AO90" s="14">
        <v>0.12492603063975279</v>
      </c>
      <c r="AP90" s="14">
        <v>0.13232520624656821</v>
      </c>
      <c r="AQ90" s="14">
        <f t="shared" ref="AQ90:CK90" si="599">+AQ89/AVERAGE(AP240:AQ240)*1000/3</f>
        <v>4.2270169002397918E-2</v>
      </c>
      <c r="AR90" s="14">
        <f t="shared" si="599"/>
        <v>4.3894784202267167E-2</v>
      </c>
      <c r="AS90" s="14">
        <f t="shared" si="599"/>
        <v>4.4933160359440248E-2</v>
      </c>
      <c r="AT90" s="14">
        <f t="shared" si="599"/>
        <v>3.7562905827868788E-2</v>
      </c>
      <c r="AU90" s="14">
        <f t="shared" si="599"/>
        <v>4.2306483493369511E-2</v>
      </c>
      <c r="AV90" s="14">
        <f t="shared" si="599"/>
        <v>4.3577479080740826E-2</v>
      </c>
      <c r="AW90" s="14">
        <f t="shared" si="599"/>
        <v>4.2725830264777311E-2</v>
      </c>
      <c r="AX90" s="14">
        <f t="shared" si="599"/>
        <v>3.9465740204593709E-2</v>
      </c>
      <c r="AY90" s="14">
        <f t="shared" si="599"/>
        <v>4.1146109120825482E-2</v>
      </c>
      <c r="AZ90" s="14">
        <f t="shared" si="599"/>
        <v>4.4554234523701552E-2</v>
      </c>
      <c r="BA90" s="14">
        <f t="shared" si="599"/>
        <v>4.3873862644895921E-2</v>
      </c>
      <c r="BB90" s="14">
        <f t="shared" si="599"/>
        <v>4.3139949826795414E-2</v>
      </c>
      <c r="BC90" s="14">
        <f t="shared" si="599"/>
        <v>3.9259725879230357E-2</v>
      </c>
      <c r="BD90" s="14">
        <f t="shared" si="599"/>
        <v>3.9829825559347741E-2</v>
      </c>
      <c r="BE90" s="14">
        <f t="shared" si="599"/>
        <v>4.8943775979076308E-2</v>
      </c>
      <c r="BF90" s="14">
        <f t="shared" si="599"/>
        <v>3.8358647478702122E-2</v>
      </c>
      <c r="BG90" s="14">
        <f t="shared" si="599"/>
        <v>3.9353027147676606E-2</v>
      </c>
      <c r="BH90" s="14">
        <f t="shared" si="599"/>
        <v>3.9140481558068922E-2</v>
      </c>
      <c r="BI90" s="14">
        <f t="shared" si="599"/>
        <v>3.70246678672402E-2</v>
      </c>
      <c r="BJ90" s="14">
        <f t="shared" si="599"/>
        <v>3.4913546062278818E-2</v>
      </c>
      <c r="BK90" s="14">
        <f t="shared" si="599"/>
        <v>3.311070321133916E-2</v>
      </c>
      <c r="BL90" s="14">
        <f t="shared" si="599"/>
        <v>3.5330718238023077E-2</v>
      </c>
      <c r="BM90" s="14">
        <f t="shared" si="599"/>
        <v>3.4693902191185559E-2</v>
      </c>
      <c r="BN90" s="14">
        <f t="shared" si="599"/>
        <v>3.3561557200464484E-2</v>
      </c>
      <c r="BO90" s="14">
        <f t="shared" si="599"/>
        <v>3.1243000754046291E-2</v>
      </c>
      <c r="BP90" s="14">
        <f t="shared" si="599"/>
        <v>2.9749884601604725E-2</v>
      </c>
      <c r="BQ90" s="14">
        <f t="shared" si="599"/>
        <v>1.9689686365527283E-2</v>
      </c>
      <c r="BR90" s="14">
        <f t="shared" si="599"/>
        <v>1.8635152308435755E-2</v>
      </c>
      <c r="BS90" s="14">
        <f t="shared" si="599"/>
        <v>2.2911863332373356E-2</v>
      </c>
      <c r="BT90" s="14">
        <f t="shared" si="599"/>
        <v>2.6150549270635776E-2</v>
      </c>
      <c r="BU90" s="14">
        <f t="shared" si="599"/>
        <v>2.7304177544474086E-2</v>
      </c>
      <c r="BV90" s="14">
        <f t="shared" si="599"/>
        <v>2.6534605953671599E-2</v>
      </c>
      <c r="BW90" s="14">
        <f t="shared" si="599"/>
        <v>2.7369653973483107E-2</v>
      </c>
      <c r="BX90" s="14">
        <f t="shared" si="599"/>
        <v>2.8582408920229854E-2</v>
      </c>
      <c r="BY90" s="14">
        <f t="shared" si="599"/>
        <v>2.5803186917148627E-2</v>
      </c>
      <c r="BZ90" s="14">
        <f t="shared" si="599"/>
        <v>2.6393243811136616E-2</v>
      </c>
      <c r="CA90" s="14">
        <f t="shared" si="599"/>
        <v>2.5371580590161286E-2</v>
      </c>
      <c r="CB90" s="14">
        <f t="shared" si="599"/>
        <v>2.7498289709116702E-2</v>
      </c>
      <c r="CC90" s="14">
        <f t="shared" si="599"/>
        <v>2.5438540882546799E-2</v>
      </c>
      <c r="CD90" s="14">
        <f t="shared" si="599"/>
        <v>2.6870862480358068E-2</v>
      </c>
      <c r="CE90" s="14">
        <f t="shared" si="599"/>
        <v>2.5795237586281893E-2</v>
      </c>
      <c r="CF90" s="14">
        <f t="shared" si="599"/>
        <v>2.6445051479749838E-2</v>
      </c>
      <c r="CG90" s="14">
        <f t="shared" si="599"/>
        <v>2.6232625525357101E-2</v>
      </c>
      <c r="CH90" s="14">
        <f t="shared" si="599"/>
        <v>2.6593194128486587E-2</v>
      </c>
      <c r="CI90" s="14">
        <f t="shared" si="599"/>
        <v>2.8981361333172528E-2</v>
      </c>
      <c r="CJ90" s="14">
        <f t="shared" si="599"/>
        <v>2.864311273118357E-2</v>
      </c>
      <c r="CK90" s="14">
        <f t="shared" si="599"/>
        <v>2.6583464374615302E-2</v>
      </c>
      <c r="CL90" s="191">
        <v>2.5000000000000001E-2</v>
      </c>
      <c r="CM90" s="191">
        <f t="shared" ref="CM90" si="600">+AVERAGE(CI90:CL90)</f>
        <v>2.7301984609742848E-2</v>
      </c>
      <c r="CN90" s="191">
        <f t="shared" ref="CN90" si="601">+AVERAGE(CJ90:CM90)</f>
        <v>2.6882140428885426E-2</v>
      </c>
      <c r="CO90" s="191">
        <f t="shared" ref="CO90" si="602">+AVERAGE(CK90:CN90)</f>
        <v>2.6441897353310893E-2</v>
      </c>
      <c r="CP90" s="191">
        <f t="shared" ref="CP90" si="603">+AVERAGE(CL90:CO90)</f>
        <v>2.640650559798479E-2</v>
      </c>
      <c r="CQ90" s="191"/>
      <c r="CR90" s="191"/>
      <c r="CS90" s="191">
        <v>2.7063058116691512E-2</v>
      </c>
      <c r="CT90" s="1133"/>
      <c r="CU90" s="210"/>
      <c r="CV90" s="198"/>
      <c r="CW90" s="198"/>
      <c r="CX90" s="198"/>
      <c r="CY90" s="198"/>
      <c r="CZ90" s="198"/>
      <c r="DA90" s="198"/>
      <c r="DB90" s="114">
        <f>+DB89/AVERAGE(DA237:DB237)*1000</f>
        <v>0.19746946536970672</v>
      </c>
      <c r="DC90" s="114">
        <f>+DC89/AVERAGE(DB237:DC237)*1000</f>
        <v>0.61575826338229167</v>
      </c>
      <c r="DD90" s="114">
        <f>+DD89/AVERAGE(DC237:DD237)*1000</f>
        <v>0.42653805065041167</v>
      </c>
      <c r="DE90" s="14">
        <f t="shared" ref="DE90:DQ90" si="604">+DE89/AVERAGE(DD240:DE240)*1000/12</f>
        <v>3.089204794800866E-2</v>
      </c>
      <c r="DF90" s="14">
        <f t="shared" si="604"/>
        <v>4.0767074703007528E-2</v>
      </c>
      <c r="DG90" s="14">
        <f t="shared" si="604"/>
        <v>4.1909340580291506E-2</v>
      </c>
      <c r="DH90" s="14">
        <f t="shared" si="604"/>
        <v>4.0407433078390904E-2</v>
      </c>
      <c r="DI90" s="14">
        <f t="shared" si="604"/>
        <v>3.4818883474429539E-2</v>
      </c>
      <c r="DJ90" s="14">
        <f t="shared" si="604"/>
        <v>3.1854207912685166E-2</v>
      </c>
      <c r="DK90" s="14">
        <f t="shared" si="604"/>
        <v>2.2831874523040165E-2</v>
      </c>
      <c r="DL90" s="14">
        <f t="shared" si="604"/>
        <v>2.2627797326521041E-2</v>
      </c>
      <c r="DM90" s="14">
        <f t="shared" si="604"/>
        <v>2.6394383639533687E-2</v>
      </c>
      <c r="DN90" s="14">
        <f t="shared" si="604"/>
        <v>2.5965571906879967E-2</v>
      </c>
      <c r="DO90" s="14">
        <f t="shared" si="604"/>
        <v>2.5200086224611212E-2</v>
      </c>
      <c r="DP90" s="14">
        <f t="shared" si="604"/>
        <v>2.747702041485257E-2</v>
      </c>
      <c r="DQ90" s="14">
        <f t="shared" si="604"/>
        <v>2.6952040031831177E-2</v>
      </c>
      <c r="DR90" s="455">
        <f>+DQ90</f>
        <v>2.6952040031831177E-2</v>
      </c>
      <c r="DS90" s="455">
        <f t="shared" ref="DS90:DU90" si="605">+DR90</f>
        <v>2.6952040031831177E-2</v>
      </c>
      <c r="DT90" s="455">
        <f t="shared" si="605"/>
        <v>2.6952040031831177E-2</v>
      </c>
      <c r="DU90" s="455">
        <f t="shared" si="605"/>
        <v>2.6952040031831177E-2</v>
      </c>
      <c r="DV90" s="17"/>
      <c r="DW90" s="17"/>
      <c r="DY90" s="455">
        <v>2.3976221525543778E-2</v>
      </c>
      <c r="DZ90" s="455">
        <v>2.3976221525543778E-2</v>
      </c>
    </row>
    <row r="91" spans="1:130" s="1930" customFormat="1" ht="12">
      <c r="A91" s="1926" t="s">
        <v>606</v>
      </c>
      <c r="B91" s="1937"/>
      <c r="C91" s="1937"/>
      <c r="D91" s="1937"/>
      <c r="E91" s="1937"/>
      <c r="F91" s="1937"/>
      <c r="G91" s="1937"/>
      <c r="H91" s="1937"/>
      <c r="I91" s="1937"/>
      <c r="J91" s="1937"/>
      <c r="K91" s="1937"/>
      <c r="L91" s="1937"/>
      <c r="M91" s="1937"/>
      <c r="N91" s="1938"/>
      <c r="O91" s="1938"/>
      <c r="P91" s="1938"/>
      <c r="Q91" s="1938"/>
      <c r="R91" s="1938"/>
      <c r="S91" s="1938"/>
      <c r="T91" s="1938"/>
      <c r="U91" s="1938"/>
      <c r="V91" s="1938"/>
      <c r="W91" s="1938"/>
      <c r="X91" s="1938"/>
      <c r="Y91" s="1938"/>
      <c r="Z91" s="1938"/>
      <c r="AA91" s="1938"/>
      <c r="AB91" s="1938"/>
      <c r="AC91" s="1938"/>
      <c r="AD91" s="1938"/>
      <c r="AE91" s="1938"/>
      <c r="AF91" s="1938"/>
      <c r="AG91" s="1938"/>
      <c r="AH91" s="1938"/>
      <c r="AI91" s="1938"/>
      <c r="AJ91" s="1938"/>
      <c r="AK91" s="1938"/>
      <c r="AL91" s="1938"/>
      <c r="AM91" s="1938"/>
      <c r="AN91" s="1938"/>
      <c r="AO91" s="1938"/>
      <c r="AP91" s="1938"/>
      <c r="AQ91" s="1937">
        <f t="shared" ref="AQ91:BU91" si="606">+AQ90/AQ$96</f>
        <v>1.6708453918920516</v>
      </c>
      <c r="AR91" s="1937">
        <f t="shared" si="606"/>
        <v>1.6605849044482348</v>
      </c>
      <c r="AS91" s="1937">
        <f t="shared" si="606"/>
        <v>1.6998677441540859</v>
      </c>
      <c r="AT91" s="1937">
        <f t="shared" si="606"/>
        <v>1.3812244075578799</v>
      </c>
      <c r="AU91" s="1937">
        <f t="shared" si="606"/>
        <v>1.4399901366194119</v>
      </c>
      <c r="AV91" s="1937">
        <f t="shared" si="606"/>
        <v>1.3792187712330912</v>
      </c>
      <c r="AW91" s="1937">
        <f t="shared" si="606"/>
        <v>1.2616321411729055</v>
      </c>
      <c r="AX91" s="1937">
        <f t="shared" si="606"/>
        <v>1.1653663839586639</v>
      </c>
      <c r="AY91" s="1937">
        <f t="shared" si="606"/>
        <v>1.2149852543377282</v>
      </c>
      <c r="AZ91" s="1937">
        <f t="shared" si="606"/>
        <v>1.3156222816996286</v>
      </c>
      <c r="BA91" s="1937">
        <f t="shared" si="606"/>
        <v>1.2955318814679211</v>
      </c>
      <c r="BB91" s="1937">
        <f t="shared" si="606"/>
        <v>1.2990504798683611</v>
      </c>
      <c r="BC91" s="1937">
        <f t="shared" si="606"/>
        <v>1.2871641728982433</v>
      </c>
      <c r="BD91" s="1937">
        <f t="shared" si="606"/>
        <v>1.5041724926847244</v>
      </c>
      <c r="BE91" s="1937">
        <f t="shared" si="606"/>
        <v>2.1885503396017096</v>
      </c>
      <c r="BF91" s="1937">
        <f t="shared" si="606"/>
        <v>2.0889117896447353</v>
      </c>
      <c r="BG91" s="1937">
        <f t="shared" si="606"/>
        <v>2.3646222006391238</v>
      </c>
      <c r="BH91" s="1937">
        <f t="shared" si="606"/>
        <v>2.4665855253955815</v>
      </c>
      <c r="BI91" s="1937">
        <f t="shared" si="606"/>
        <v>2.3332495209192632</v>
      </c>
      <c r="BJ91" s="1937">
        <f t="shared" si="606"/>
        <v>2.2002091933816668</v>
      </c>
      <c r="BK91" s="1937">
        <f t="shared" si="606"/>
        <v>2.086596230442177</v>
      </c>
      <c r="BL91" s="1937">
        <f t="shared" si="606"/>
        <v>2.2264988763218718</v>
      </c>
      <c r="BM91" s="1937">
        <f t="shared" si="606"/>
        <v>2.3264089071197129</v>
      </c>
      <c r="BN91" s="1937">
        <f t="shared" si="606"/>
        <v>2.7081668187212005</v>
      </c>
      <c r="BO91" s="1937">
        <f t="shared" si="606"/>
        <v>2.9732010715546067</v>
      </c>
      <c r="BP91" s="1937">
        <f t="shared" si="606"/>
        <v>3.7982633531880379</v>
      </c>
      <c r="BQ91" s="1937">
        <f t="shared" si="606"/>
        <v>3.7977682845599623</v>
      </c>
      <c r="BR91" s="1937">
        <f>+BR90/BR$96</f>
        <v>3.7548678706456209</v>
      </c>
      <c r="BS91" s="1937">
        <f>+BS90/BS$96</f>
        <v>4.3369142300072117</v>
      </c>
      <c r="BT91" s="1937">
        <f t="shared" si="606"/>
        <v>3.1614101954108724</v>
      </c>
      <c r="BU91" s="1937">
        <f t="shared" si="606"/>
        <v>2.2292524184539784</v>
      </c>
      <c r="BV91" s="1937">
        <f t="shared" ref="BV91:CD91" si="607">+BV90/BV$96</f>
        <v>1.421199134807678</v>
      </c>
      <c r="BW91" s="1937">
        <f t="shared" si="607"/>
        <v>1.0908653459258084</v>
      </c>
      <c r="BX91" s="1937">
        <f t="shared" si="607"/>
        <v>0.95719200769963375</v>
      </c>
      <c r="BY91" s="1937">
        <f>+BY90/BY$96</f>
        <v>0.79659413544471969</v>
      </c>
      <c r="BZ91" s="1937">
        <f t="shared" si="607"/>
        <v>0.80633103505068993</v>
      </c>
      <c r="CA91" s="1937">
        <f t="shared" si="607"/>
        <v>0.7751185486910307</v>
      </c>
      <c r="CB91" s="1937">
        <f t="shared" si="607"/>
        <v>0.84009091727936958</v>
      </c>
      <c r="CC91" s="1937">
        <f t="shared" si="607"/>
        <v>0.7987941891835999</v>
      </c>
      <c r="CD91" s="1937">
        <f t="shared" si="607"/>
        <v>0.91105321743595113</v>
      </c>
      <c r="CE91" s="1937">
        <f t="shared" ref="CE91:CH91" si="608">+CE90/CE$96</f>
        <v>0.94690967173283314</v>
      </c>
      <c r="CF91" s="1937">
        <f t="shared" si="608"/>
        <v>1.0367615926604985</v>
      </c>
      <c r="CG91" s="1937">
        <f t="shared" ref="CG91" si="609">+CG90/CG$96</f>
        <v>1.0350193550766604</v>
      </c>
      <c r="CH91" s="1937">
        <f t="shared" si="608"/>
        <v>0.98286033159018116</v>
      </c>
      <c r="CI91" s="1937">
        <f t="shared" ref="CI91:CJ91" si="610">+CI90/CI$96</f>
        <v>0.8957577166680829</v>
      </c>
      <c r="CJ91" s="1937">
        <f t="shared" si="610"/>
        <v>0.81849593537033738</v>
      </c>
      <c r="CK91" s="1937">
        <f t="shared" ref="CK91" si="611">+CK90/CK$96</f>
        <v>0.74760693236653863</v>
      </c>
      <c r="CL91" s="1937">
        <f t="shared" ref="CL91:CP91" si="612">+CL90/CL$96</f>
        <v>0.7030751540047887</v>
      </c>
      <c r="CM91" s="1937">
        <f t="shared" si="612"/>
        <v>0.79295629317387162</v>
      </c>
      <c r="CN91" s="1937">
        <f t="shared" si="612"/>
        <v>0.83576757820142744</v>
      </c>
      <c r="CO91" s="1937">
        <f t="shared" si="612"/>
        <v>0.86822122547489122</v>
      </c>
      <c r="CP91" s="1937">
        <f t="shared" si="612"/>
        <v>0.90090963659852463</v>
      </c>
      <c r="CQ91" s="1933"/>
      <c r="CR91" s="1933"/>
      <c r="CS91" s="1937">
        <v>0.77334482725711473</v>
      </c>
      <c r="CT91" s="1931"/>
      <c r="CU91" s="1927"/>
      <c r="CV91" s="1939"/>
      <c r="CW91" s="1939"/>
      <c r="CX91" s="1939"/>
      <c r="CY91" s="1939"/>
      <c r="CZ91" s="1939"/>
      <c r="DA91" s="1939"/>
      <c r="DB91" s="1939"/>
      <c r="DC91" s="1936"/>
      <c r="DD91" s="1936"/>
      <c r="DE91" s="1937">
        <f t="shared" ref="DE91:DR91" si="613">+DE90/DE$96</f>
        <v>0.28186175135044395</v>
      </c>
      <c r="DF91" s="1937">
        <f t="shared" si="613"/>
        <v>0.30181065854530836</v>
      </c>
      <c r="DG91" s="1937">
        <f t="shared" si="613"/>
        <v>0.29560458882237001</v>
      </c>
      <c r="DH91" s="1937">
        <f t="shared" si="613"/>
        <v>0.39820086798118648</v>
      </c>
      <c r="DI91" s="1937">
        <f t="shared" si="613"/>
        <v>0.52906185716132259</v>
      </c>
      <c r="DJ91" s="1937">
        <f t="shared" si="613"/>
        <v>0.52760592816041685</v>
      </c>
      <c r="DK91" s="1937">
        <f t="shared" si="613"/>
        <v>0.79208584641943336</v>
      </c>
      <c r="DL91" s="1937">
        <f t="shared" si="613"/>
        <v>0.49868423860101468</v>
      </c>
      <c r="DM91" s="1937">
        <f t="shared" si="613"/>
        <v>0.21006274285343168</v>
      </c>
      <c r="DN91" s="1937">
        <f t="shared" si="613"/>
        <v>0.19526656820364705</v>
      </c>
      <c r="DO91" s="1937">
        <f t="shared" ref="DO91:DP91" si="614">+DO90/DO$96</f>
        <v>0.2304007883393025</v>
      </c>
      <c r="DP91" s="1937">
        <f t="shared" si="614"/>
        <v>0.18841385427327476</v>
      </c>
      <c r="DQ91" s="1937">
        <f t="shared" ref="DQ91" si="615">+DQ90/DQ$96</f>
        <v>0.20341162288174472</v>
      </c>
      <c r="DR91" s="1937">
        <f t="shared" si="613"/>
        <v>0.23436556549418414</v>
      </c>
      <c r="DS91" s="1937">
        <f t="shared" ref="DS91:DU91" si="616">+DS90/DS$96</f>
        <v>0.24501854574391979</v>
      </c>
      <c r="DT91" s="1937">
        <f t="shared" si="616"/>
        <v>0.26952040031831176</v>
      </c>
      <c r="DU91" s="1937">
        <f t="shared" si="616"/>
        <v>0.29946711146479088</v>
      </c>
      <c r="DV91" s="1928"/>
      <c r="DW91" s="1928"/>
      <c r="DY91" s="1937">
        <v>0.25238127921625031</v>
      </c>
      <c r="DZ91" s="1937">
        <v>0.26640246139493085</v>
      </c>
    </row>
    <row r="92" spans="1:130">
      <c r="A92" s="355"/>
      <c r="B92" s="355"/>
      <c r="C92" s="461"/>
      <c r="D92" s="461"/>
      <c r="E92" s="461"/>
      <c r="F92" s="461"/>
      <c r="G92" s="461"/>
      <c r="H92" s="461"/>
      <c r="I92" s="461"/>
      <c r="J92" s="461"/>
      <c r="K92" s="461"/>
      <c r="L92" s="461"/>
      <c r="M92" s="461"/>
      <c r="N92" s="461"/>
      <c r="O92" s="461"/>
      <c r="P92" s="461"/>
      <c r="Q92" s="461"/>
      <c r="R92" s="462"/>
      <c r="S92" s="463"/>
      <c r="T92" s="464"/>
      <c r="U92" s="464"/>
      <c r="V92" s="464"/>
      <c r="W92" s="464"/>
      <c r="X92" s="464"/>
      <c r="Y92" s="464"/>
      <c r="Z92" s="464"/>
      <c r="AA92" s="464"/>
      <c r="AB92" s="464"/>
      <c r="AC92" s="464"/>
      <c r="AD92" s="464"/>
      <c r="AE92" s="464"/>
      <c r="AF92" s="464"/>
      <c r="AG92" s="464"/>
      <c r="AH92" s="465"/>
      <c r="AI92" s="465"/>
      <c r="AJ92" s="465"/>
      <c r="AK92" s="465"/>
      <c r="AL92" s="452"/>
      <c r="AM92" s="452"/>
      <c r="AN92" s="452"/>
      <c r="AO92" s="452"/>
      <c r="AP92" s="14"/>
      <c r="AQ92" s="14"/>
      <c r="AR92" s="14"/>
      <c r="AS92" s="14"/>
      <c r="AT92" s="452"/>
      <c r="AU92" s="452"/>
      <c r="AV92" s="452"/>
      <c r="AW92" s="452"/>
      <c r="AX92" s="452"/>
      <c r="AY92" s="452"/>
      <c r="AZ92" s="452"/>
      <c r="BA92" s="452"/>
      <c r="BB92" s="452"/>
      <c r="BC92" s="452"/>
      <c r="BD92" s="452"/>
      <c r="BE92" s="452"/>
      <c r="BF92" s="452"/>
      <c r="BG92" s="452"/>
      <c r="BH92" s="452"/>
      <c r="BI92" s="452"/>
      <c r="BJ92" s="452"/>
      <c r="BK92" s="452"/>
      <c r="BL92" s="452"/>
      <c r="BM92" s="452"/>
      <c r="BN92" s="560"/>
      <c r="BO92" s="560"/>
      <c r="BP92" s="560"/>
      <c r="BQ92" s="560"/>
      <c r="BR92" s="560"/>
      <c r="BS92" s="560"/>
      <c r="BT92" s="560"/>
      <c r="BU92" s="560"/>
      <c r="BV92" s="560"/>
      <c r="BW92" s="560"/>
      <c r="BX92" s="560"/>
      <c r="BY92" s="560"/>
      <c r="BZ92" s="560"/>
      <c r="CA92" s="560"/>
      <c r="CB92" s="560"/>
      <c r="CC92" s="560"/>
      <c r="CD92" s="560"/>
      <c r="CE92" s="560"/>
      <c r="CF92" s="560"/>
      <c r="CG92" s="560"/>
      <c r="CH92" s="560"/>
      <c r="CI92" s="560"/>
      <c r="CJ92" s="560"/>
      <c r="CK92" s="560"/>
      <c r="CL92" s="560"/>
      <c r="CM92" s="560"/>
      <c r="CN92" s="560"/>
      <c r="CO92" s="560"/>
      <c r="CP92" s="560"/>
      <c r="CQ92" s="560"/>
      <c r="CR92" s="560"/>
      <c r="CS92" s="560"/>
      <c r="CT92" s="1133"/>
      <c r="CU92" s="210"/>
      <c r="CV92" s="198"/>
      <c r="CW92" s="198"/>
      <c r="CX92" s="198"/>
      <c r="CY92" s="198"/>
      <c r="CZ92" s="198"/>
      <c r="DA92" s="198"/>
      <c r="DB92" s="198"/>
      <c r="DC92" s="198"/>
      <c r="DD92" s="198"/>
      <c r="DE92" s="579"/>
      <c r="DF92" s="579"/>
      <c r="DG92" s="579"/>
      <c r="DH92" s="579"/>
      <c r="DI92" s="579"/>
      <c r="DJ92" s="579"/>
      <c r="DK92" s="579"/>
      <c r="DL92" s="579"/>
      <c r="DM92" s="579"/>
      <c r="DN92" s="579"/>
      <c r="DO92" s="579"/>
      <c r="DP92" s="579"/>
      <c r="DQ92" s="579"/>
      <c r="DR92" s="579"/>
      <c r="DS92" s="579"/>
      <c r="DT92" s="579"/>
      <c r="DU92" s="579"/>
      <c r="DV92" s="17"/>
      <c r="DW92" s="17"/>
      <c r="DY92" s="579"/>
      <c r="DZ92" s="579"/>
    </row>
    <row r="93" spans="1:130" s="830" customFormat="1" ht="12.75">
      <c r="A93" s="485" t="s">
        <v>611</v>
      </c>
      <c r="B93" s="485"/>
      <c r="C93" s="536">
        <v>0</v>
      </c>
      <c r="D93" s="536">
        <v>0</v>
      </c>
      <c r="E93" s="536">
        <v>0</v>
      </c>
      <c r="F93" s="536">
        <v>0</v>
      </c>
      <c r="G93" s="536">
        <v>0</v>
      </c>
      <c r="H93" s="536">
        <v>0</v>
      </c>
      <c r="I93" s="536">
        <v>0</v>
      </c>
      <c r="J93" s="536">
        <v>0</v>
      </c>
      <c r="K93" s="536">
        <v>0</v>
      </c>
      <c r="L93" s="536">
        <v>0</v>
      </c>
      <c r="M93" s="536">
        <v>0</v>
      </c>
      <c r="N93" s="536">
        <v>5.4</v>
      </c>
      <c r="O93" s="538">
        <v>9.3999999999999986</v>
      </c>
      <c r="P93" s="538">
        <v>12.4</v>
      </c>
      <c r="Q93" s="536">
        <v>13.6</v>
      </c>
      <c r="R93" s="536">
        <v>14.3</v>
      </c>
      <c r="S93" s="536">
        <v>14.1</v>
      </c>
      <c r="T93" s="536">
        <v>15.9</v>
      </c>
      <c r="U93" s="536">
        <v>15.6</v>
      </c>
      <c r="V93" s="536">
        <v>15.5</v>
      </c>
      <c r="W93" s="536">
        <v>14.597</v>
      </c>
      <c r="X93" s="536">
        <v>14.6</v>
      </c>
      <c r="Y93" s="536">
        <v>20.2</v>
      </c>
      <c r="Z93" s="536">
        <v>21.9</v>
      </c>
      <c r="AA93" s="536">
        <v>19.8</v>
      </c>
      <c r="AB93" s="536">
        <v>18.600000000000001</v>
      </c>
      <c r="AC93" s="536">
        <v>20.3</v>
      </c>
      <c r="AD93" s="536">
        <v>21.9</v>
      </c>
      <c r="AE93" s="536">
        <v>21.7</v>
      </c>
      <c r="AF93" s="536">
        <v>21.5</v>
      </c>
      <c r="AG93" s="536">
        <v>20.2</v>
      </c>
      <c r="AH93" s="838">
        <v>22.1</v>
      </c>
      <c r="AI93" s="838">
        <v>20.399999999999999</v>
      </c>
      <c r="AJ93" s="838">
        <v>20.8</v>
      </c>
      <c r="AK93" s="838">
        <v>20.399999999999999</v>
      </c>
      <c r="AL93" s="838">
        <v>23.6</v>
      </c>
      <c r="AM93" s="838">
        <v>20.100000000000001</v>
      </c>
      <c r="AN93" s="838">
        <v>20.100000000000001</v>
      </c>
      <c r="AO93" s="838">
        <v>22</v>
      </c>
      <c r="AP93" s="838">
        <v>22.9</v>
      </c>
      <c r="AQ93" s="839">
        <v>23.6</v>
      </c>
      <c r="AR93" s="839">
        <v>24.1</v>
      </c>
      <c r="AS93" s="839">
        <v>25.9</v>
      </c>
      <c r="AT93" s="839">
        <v>26.3</v>
      </c>
      <c r="AU93" s="839">
        <v>26.457999999999998</v>
      </c>
      <c r="AV93" s="839">
        <v>28.614999999999998</v>
      </c>
      <c r="AW93" s="839">
        <v>28.846</v>
      </c>
      <c r="AX93" s="839">
        <v>34.097000000000001</v>
      </c>
      <c r="AY93" s="839">
        <v>29.856000000000002</v>
      </c>
      <c r="AZ93" s="839">
        <v>27.4</v>
      </c>
      <c r="BA93" s="839">
        <v>28.614000000000001</v>
      </c>
      <c r="BB93" s="839">
        <v>28.925000000000001</v>
      </c>
      <c r="BC93" s="840">
        <v>25.562999999999999</v>
      </c>
      <c r="BD93" s="839">
        <v>22.486999999999998</v>
      </c>
      <c r="BE93" s="839">
        <v>19.952999999999999</v>
      </c>
      <c r="BF93" s="839">
        <v>24.803999999999998</v>
      </c>
      <c r="BG93" s="839">
        <v>23.11</v>
      </c>
      <c r="BH93" s="839">
        <v>23.038</v>
      </c>
      <c r="BI93" s="839">
        <v>20.790579399999999</v>
      </c>
      <c r="BJ93" s="839">
        <v>19.661757130000002</v>
      </c>
      <c r="BK93" s="839">
        <v>18.030759720000002</v>
      </c>
      <c r="BL93" s="839">
        <v>19.472621230000001</v>
      </c>
      <c r="BM93" s="839">
        <v>22.318999999999999</v>
      </c>
      <c r="BN93" s="841">
        <v>26.003011489999999</v>
      </c>
      <c r="BO93" s="893"/>
      <c r="BP93" s="842"/>
      <c r="BQ93" s="842"/>
      <c r="BR93" s="842"/>
      <c r="BS93" s="842"/>
      <c r="BT93" s="842"/>
      <c r="BU93" s="842"/>
      <c r="BV93" s="842"/>
      <c r="BW93" s="822">
        <v>1.3360000000000001</v>
      </c>
      <c r="BX93" s="822">
        <v>2.9039999999999999</v>
      </c>
      <c r="BY93" s="822">
        <v>1.637</v>
      </c>
      <c r="BZ93" s="822">
        <v>11.925000000000001</v>
      </c>
      <c r="CA93" s="822">
        <v>0.16800000000000001</v>
      </c>
      <c r="CB93" s="822">
        <v>0.97099999999999997</v>
      </c>
      <c r="CC93" s="822">
        <v>1.33</v>
      </c>
      <c r="CD93" s="822">
        <v>4.91</v>
      </c>
      <c r="CE93" s="822">
        <v>0.74199999999999999</v>
      </c>
      <c r="CF93" s="822">
        <v>0.59099999999999997</v>
      </c>
      <c r="CG93" s="822">
        <v>1.17978125</v>
      </c>
      <c r="CH93" s="822">
        <v>1.923</v>
      </c>
      <c r="CI93" s="822">
        <v>0.65664036999999997</v>
      </c>
      <c r="CJ93" s="822">
        <v>0.20610427000000001</v>
      </c>
      <c r="CK93" s="822">
        <v>5.6893200000000005E-2</v>
      </c>
      <c r="CL93" s="842">
        <f t="shared" ref="CL93" si="617">+AVERAGE(CH93:CK93)</f>
        <v>0.71065946000000002</v>
      </c>
      <c r="CM93" s="842">
        <f t="shared" ref="CM93" si="618">+AVERAGE(CI93:CL93)</f>
        <v>0.40757432500000002</v>
      </c>
      <c r="CN93" s="842">
        <f t="shared" ref="CN93" si="619">+AVERAGE(CJ93:CM93)</f>
        <v>0.34530781374999997</v>
      </c>
      <c r="CO93" s="842">
        <f t="shared" ref="CO93" si="620">+AVERAGE(CK93:CN93)</f>
        <v>0.38010869968749994</v>
      </c>
      <c r="CP93" s="842">
        <f t="shared" ref="CP93" si="621">+AVERAGE(CL93:CO93)</f>
        <v>0.46091257460937496</v>
      </c>
      <c r="CQ93" s="842"/>
      <c r="CR93" s="842"/>
      <c r="CS93" s="842">
        <v>1.0876054049999999</v>
      </c>
      <c r="CT93" s="1133"/>
      <c r="CU93" s="835">
        <f>SUM(C93:F93)</f>
        <v>0</v>
      </c>
      <c r="CV93" s="836">
        <f>SUM(G93:J93)</f>
        <v>0</v>
      </c>
      <c r="CW93" s="836">
        <f>SUM(K93:N93)</f>
        <v>5.4</v>
      </c>
      <c r="CX93" s="836">
        <f>SUM(O93:R93)</f>
        <v>49.7</v>
      </c>
      <c r="CY93" s="836">
        <f>SUM(S93:V93)</f>
        <v>61.1</v>
      </c>
      <c r="CZ93" s="836">
        <f>SUM(W93:Z93)</f>
        <v>71.296999999999997</v>
      </c>
      <c r="DA93" s="836">
        <f>SUM(AA93:AD93)</f>
        <v>80.599999999999994</v>
      </c>
      <c r="DB93" s="836">
        <f>SUM(AE93:AH93)</f>
        <v>85.5</v>
      </c>
      <c r="DC93" s="836">
        <f>+SUM(AI93:AL93)</f>
        <v>85.2</v>
      </c>
      <c r="DD93" s="836">
        <f>+SUM(AM93:AP93)</f>
        <v>85.1</v>
      </c>
      <c r="DE93" s="837">
        <f>+SUM(AQ93:AT93)</f>
        <v>99.899999999999991</v>
      </c>
      <c r="DF93" s="837">
        <f>+SUM(AU93:AX93)</f>
        <v>118.01599999999999</v>
      </c>
      <c r="DG93" s="837">
        <f>+SUM(AY93:BB93)</f>
        <v>114.795</v>
      </c>
      <c r="DH93" s="837">
        <f>+SUM(BC93:BF93)</f>
        <v>92.807000000000002</v>
      </c>
      <c r="DI93" s="837">
        <f>+SUM(BG93:BJ93)</f>
        <v>86.600336529999993</v>
      </c>
      <c r="DJ93" s="837">
        <f>+SUM(BK93:BN93)</f>
        <v>85.825392440000002</v>
      </c>
      <c r="DK93" s="52">
        <f>+SUM(BO93:BR93)</f>
        <v>0</v>
      </c>
      <c r="DL93" s="52">
        <f>+SUM(BS93:BV93)</f>
        <v>0</v>
      </c>
      <c r="DM93" s="52">
        <f>+SUM(BW93:BZ93)</f>
        <v>17.802</v>
      </c>
      <c r="DN93" s="52">
        <f>+SUM(CA93:CD93)</f>
        <v>7.3790000000000004</v>
      </c>
      <c r="DO93" s="52">
        <f>+SUM(CE93:CH93)</f>
        <v>4.4357812499999998</v>
      </c>
      <c r="DP93" s="52">
        <f>+SUM(CI93:CL93)</f>
        <v>1.6302973000000001</v>
      </c>
      <c r="DQ93" s="52">
        <f>+SUM(CM93:CP93)</f>
        <v>1.5939034130468748</v>
      </c>
      <c r="DR93" s="843">
        <f>+DQ93*1.04</f>
        <v>1.6576595495687498</v>
      </c>
      <c r="DS93" s="843">
        <f t="shared" ref="DS93:DU93" si="622">+DR93*1.04</f>
        <v>1.7239659315514999</v>
      </c>
      <c r="DT93" s="843">
        <f t="shared" si="622"/>
        <v>1.79292456881356</v>
      </c>
      <c r="DU93" s="843">
        <f t="shared" si="622"/>
        <v>1.8646415515661026</v>
      </c>
      <c r="DV93" s="84"/>
      <c r="DW93" s="84"/>
      <c r="DY93" s="843">
        <v>5.4707250000000007</v>
      </c>
      <c r="DZ93" s="843">
        <v>5.6895540000000011</v>
      </c>
    </row>
    <row r="94" spans="1:130">
      <c r="A94" s="419" t="s">
        <v>169</v>
      </c>
      <c r="B94" s="14"/>
      <c r="C94" s="14"/>
      <c r="D94" s="14"/>
      <c r="E94" s="14"/>
      <c r="F94" s="14"/>
      <c r="G94" s="14"/>
      <c r="H94" s="14"/>
      <c r="I94" s="14"/>
      <c r="J94" s="14"/>
      <c r="K94" s="14"/>
      <c r="L94" s="14"/>
      <c r="M94" s="14"/>
      <c r="N94" s="14"/>
      <c r="O94" s="14"/>
      <c r="P94" s="14"/>
      <c r="Q94" s="14"/>
      <c r="R94" s="14">
        <v>1.6481481481481479</v>
      </c>
      <c r="S94" s="14">
        <v>0.50000000000000022</v>
      </c>
      <c r="T94" s="14">
        <v>0.282258064516129</v>
      </c>
      <c r="U94" s="14">
        <v>0.14705882352941169</v>
      </c>
      <c r="V94" s="14">
        <v>8.3916083916083961E-2</v>
      </c>
      <c r="W94" s="14">
        <v>3.5248226950354677E-2</v>
      </c>
      <c r="X94" s="14">
        <v>-8.1761006289308269E-2</v>
      </c>
      <c r="Y94" s="14">
        <v>0.29487179487179493</v>
      </c>
      <c r="Z94" s="14">
        <v>0.41290322580645156</v>
      </c>
      <c r="AA94" s="14">
        <v>0.35644310474755092</v>
      </c>
      <c r="AB94" s="14">
        <v>0.27397260273972623</v>
      </c>
      <c r="AC94" s="14">
        <v>4.9504950495049549E-3</v>
      </c>
      <c r="AD94" s="14">
        <v>0</v>
      </c>
      <c r="AE94" s="14">
        <v>9.59595959595958E-2</v>
      </c>
      <c r="AF94" s="14">
        <v>0.15591397849462352</v>
      </c>
      <c r="AG94" s="14">
        <v>-4.9261083743843415E-3</v>
      </c>
      <c r="AH94" s="14">
        <v>9.1324200913243114E-3</v>
      </c>
      <c r="AI94" s="14">
        <v>-5.9907834101382562E-2</v>
      </c>
      <c r="AJ94" s="14">
        <v>-3.2558139534883734E-2</v>
      </c>
      <c r="AK94" s="14">
        <v>9.9009900990099098E-3</v>
      </c>
      <c r="AL94" s="14">
        <v>6.7873303167420795E-2</v>
      </c>
      <c r="AM94" s="14">
        <v>-1.4705882352941013E-2</v>
      </c>
      <c r="AN94" s="14">
        <v>-3.3653846153846145E-2</v>
      </c>
      <c r="AO94" s="14">
        <v>7.8431372549019773E-2</v>
      </c>
      <c r="AP94" s="14">
        <v>-2.9661016949152685E-2</v>
      </c>
      <c r="AQ94" s="14">
        <f t="shared" ref="AQ94:BG94" si="623">AQ93/AM93-1</f>
        <v>0.17412935323383083</v>
      </c>
      <c r="AR94" s="14">
        <f t="shared" si="623"/>
        <v>0.19900497512437809</v>
      </c>
      <c r="AS94" s="14">
        <f t="shared" si="623"/>
        <v>0.17727272727272725</v>
      </c>
      <c r="AT94" s="14">
        <f t="shared" si="623"/>
        <v>0.14847161572052414</v>
      </c>
      <c r="AU94" s="14">
        <f t="shared" si="623"/>
        <v>0.12110169491525413</v>
      </c>
      <c r="AV94" s="14">
        <f t="shared" si="623"/>
        <v>0.18734439834024874</v>
      </c>
      <c r="AW94" s="14">
        <f t="shared" si="623"/>
        <v>0.11374517374517379</v>
      </c>
      <c r="AX94" s="14">
        <f t="shared" si="623"/>
        <v>0.29646387832699617</v>
      </c>
      <c r="AY94" s="14">
        <f t="shared" si="623"/>
        <v>0.12842996447199351</v>
      </c>
      <c r="AZ94" s="14">
        <f t="shared" si="623"/>
        <v>-4.246024812161453E-2</v>
      </c>
      <c r="BA94" s="14">
        <f t="shared" si="623"/>
        <v>-8.0427095611176336E-3</v>
      </c>
      <c r="BB94" s="14">
        <f t="shared" si="623"/>
        <v>-0.15168489896471826</v>
      </c>
      <c r="BC94" s="12">
        <f t="shared" si="623"/>
        <v>-0.14379019292604511</v>
      </c>
      <c r="BD94" s="14">
        <f t="shared" si="623"/>
        <v>-0.17930656934306566</v>
      </c>
      <c r="BE94" s="14">
        <f t="shared" si="623"/>
        <v>-0.30268400083875036</v>
      </c>
      <c r="BF94" s="14">
        <f t="shared" si="623"/>
        <v>-0.1424719101123596</v>
      </c>
      <c r="BG94" s="14">
        <f t="shared" si="623"/>
        <v>-9.5959003246880226E-2</v>
      </c>
      <c r="BH94" s="14">
        <f t="shared" ref="BH94:BN94" si="624">BH93/BD93-1</f>
        <v>2.4503046204473744E-2</v>
      </c>
      <c r="BI94" s="14">
        <f t="shared" si="624"/>
        <v>4.197761740089212E-2</v>
      </c>
      <c r="BJ94" s="14">
        <f t="shared" si="624"/>
        <v>-0.20731506490888552</v>
      </c>
      <c r="BK94" s="14">
        <f t="shared" si="624"/>
        <v>-0.2197853864128082</v>
      </c>
      <c r="BL94" s="14">
        <f t="shared" si="624"/>
        <v>-0.15476077654310261</v>
      </c>
      <c r="BM94" s="14">
        <f t="shared" si="624"/>
        <v>7.3515055573679655E-2</v>
      </c>
      <c r="BN94" s="14">
        <f t="shared" si="624"/>
        <v>0.32251717474042452</v>
      </c>
      <c r="BO94" s="894"/>
      <c r="BP94" s="168"/>
      <c r="BQ94" s="168"/>
      <c r="BR94" s="168"/>
      <c r="BS94" s="168"/>
      <c r="BT94" s="168"/>
      <c r="BU94" s="168"/>
      <c r="BV94" s="168"/>
      <c r="BW94" s="168"/>
      <c r="BX94" s="168"/>
      <c r="BY94" s="168"/>
      <c r="BZ94" s="168"/>
      <c r="CA94" s="168"/>
      <c r="CB94" s="168"/>
      <c r="CC94" s="168"/>
      <c r="CD94" s="168"/>
      <c r="CE94" s="168"/>
      <c r="CF94" s="168"/>
      <c r="CG94" s="168"/>
      <c r="CH94" s="168"/>
      <c r="CI94" s="168"/>
      <c r="CJ94" s="168"/>
      <c r="CK94" s="168"/>
      <c r="CL94" s="168"/>
      <c r="CM94" s="168"/>
      <c r="CN94" s="168"/>
      <c r="CO94" s="168"/>
      <c r="CP94" s="168"/>
      <c r="CQ94" s="168"/>
      <c r="CR94" s="168"/>
      <c r="CS94" s="168"/>
      <c r="CT94" s="1133"/>
      <c r="CU94" s="114"/>
      <c r="CV94" s="7"/>
      <c r="CW94" s="7"/>
      <c r="CX94" s="7">
        <f t="shared" ref="CX94:DL94" si="625">+CX93/CW93-1</f>
        <v>8.2037037037037042</v>
      </c>
      <c r="CY94" s="7">
        <f t="shared" si="625"/>
        <v>0.22937625754527158</v>
      </c>
      <c r="CZ94" s="7">
        <f t="shared" si="625"/>
        <v>0.16689034369885425</v>
      </c>
      <c r="DA94" s="7">
        <f t="shared" si="625"/>
        <v>0.130482348485911</v>
      </c>
      <c r="DB94" s="7">
        <f t="shared" si="625"/>
        <v>6.0794044665012592E-2</v>
      </c>
      <c r="DC94" s="7">
        <f t="shared" si="625"/>
        <v>-3.5087719298245723E-3</v>
      </c>
      <c r="DD94" s="7">
        <f t="shared" si="625"/>
        <v>-1.1737089201878659E-3</v>
      </c>
      <c r="DE94" s="14">
        <f t="shared" si="625"/>
        <v>0.17391304347826075</v>
      </c>
      <c r="DF94" s="14">
        <f t="shared" si="625"/>
        <v>0.18134134134134139</v>
      </c>
      <c r="DG94" s="14">
        <f t="shared" si="625"/>
        <v>-2.7292909436008594E-2</v>
      </c>
      <c r="DH94" s="14">
        <f t="shared" si="625"/>
        <v>-0.19154144344265867</v>
      </c>
      <c r="DI94" s="14">
        <f t="shared" si="625"/>
        <v>-6.6877104852004821E-2</v>
      </c>
      <c r="DJ94" s="14">
        <f t="shared" si="625"/>
        <v>-8.9485112997399474E-3</v>
      </c>
      <c r="DK94" s="14">
        <f t="shared" si="625"/>
        <v>-1</v>
      </c>
      <c r="DL94" s="14" t="e">
        <f t="shared" si="625"/>
        <v>#DIV/0!</v>
      </c>
      <c r="DM94" s="14" t="e">
        <f t="shared" ref="DM94:DR94" si="626">+DM93/DL93-1</f>
        <v>#DIV/0!</v>
      </c>
      <c r="DN94" s="14">
        <f t="shared" si="626"/>
        <v>-0.58549601168408039</v>
      </c>
      <c r="DO94" s="14">
        <f t="shared" si="626"/>
        <v>-0.39886417536251528</v>
      </c>
      <c r="DP94" s="14">
        <f t="shared" si="626"/>
        <v>-0.63246670470957056</v>
      </c>
      <c r="DQ94" s="14">
        <f t="shared" si="626"/>
        <v>-2.2323466372130563E-2</v>
      </c>
      <c r="DR94" s="14">
        <f t="shared" si="626"/>
        <v>4.0000000000000036E-2</v>
      </c>
      <c r="DS94" s="14">
        <f t="shared" ref="DS94" si="627">+DS93/DR93-1</f>
        <v>4.0000000000000036E-2</v>
      </c>
      <c r="DT94" s="14">
        <f t="shared" ref="DT94" si="628">+DT93/DS93-1</f>
        <v>4.0000000000000036E-2</v>
      </c>
      <c r="DU94" s="14">
        <f t="shared" ref="DU94" si="629">+DU93/DT93-1</f>
        <v>4.0000000000000036E-2</v>
      </c>
      <c r="DV94" s="8"/>
      <c r="DW94" s="8"/>
      <c r="DY94" s="14">
        <v>4.0000000000000036E-2</v>
      </c>
      <c r="DZ94" s="14">
        <v>4.0000000000000036E-2</v>
      </c>
    </row>
    <row r="95" spans="1:130">
      <c r="A95" s="419"/>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2"/>
      <c r="BD95" s="14"/>
      <c r="BE95" s="14"/>
      <c r="BF95" s="14"/>
      <c r="BG95" s="14"/>
      <c r="BH95" s="14"/>
      <c r="BI95" s="14"/>
      <c r="BJ95" s="14"/>
      <c r="BK95" s="14"/>
      <c r="BL95" s="14"/>
      <c r="BM95" s="14"/>
      <c r="BN95" s="14"/>
      <c r="BO95" s="192"/>
      <c r="BP95" s="168"/>
      <c r="BQ95" s="168"/>
      <c r="BR95" s="168"/>
      <c r="BS95" s="168"/>
      <c r="BT95" s="168"/>
      <c r="BU95" s="168"/>
      <c r="BV95" s="168"/>
      <c r="BW95" s="168"/>
      <c r="BX95" s="168"/>
      <c r="BY95" s="168"/>
      <c r="BZ95" s="168"/>
      <c r="CA95" s="168"/>
      <c r="CB95" s="168"/>
      <c r="CC95" s="168"/>
      <c r="CD95" s="168"/>
      <c r="CE95" s="168"/>
      <c r="CF95" s="168"/>
      <c r="CG95" s="168"/>
      <c r="CH95" s="168"/>
      <c r="CI95" s="168"/>
      <c r="CJ95" s="168"/>
      <c r="CK95" s="168"/>
      <c r="CL95" s="168"/>
      <c r="CM95" s="168"/>
      <c r="CN95" s="168"/>
      <c r="CO95" s="168"/>
      <c r="CP95" s="168"/>
      <c r="CQ95" s="168"/>
      <c r="CR95" s="168"/>
      <c r="CS95" s="168"/>
      <c r="CT95" s="1133"/>
      <c r="CU95" s="114"/>
      <c r="CV95" s="7"/>
      <c r="CW95" s="7"/>
      <c r="CX95" s="7"/>
      <c r="CY95" s="7"/>
      <c r="CZ95" s="7"/>
      <c r="DA95" s="7"/>
      <c r="DB95" s="7"/>
      <c r="DC95" s="7"/>
      <c r="DD95" s="7"/>
      <c r="DE95" s="14"/>
      <c r="DF95" s="14"/>
      <c r="DG95" s="14"/>
      <c r="DH95" s="14"/>
      <c r="DI95" s="14"/>
      <c r="DJ95" s="14"/>
      <c r="DK95" s="14"/>
      <c r="DL95" s="14"/>
      <c r="DM95" s="14"/>
      <c r="DN95" s="14"/>
      <c r="DO95" s="14"/>
      <c r="DP95" s="14"/>
      <c r="DQ95" s="14"/>
      <c r="DR95" s="14"/>
      <c r="DS95" s="14"/>
      <c r="DT95" s="14"/>
      <c r="DU95" s="14"/>
      <c r="DV95" s="8"/>
      <c r="DW95" s="8"/>
      <c r="DY95" s="14"/>
      <c r="DZ95" s="14"/>
    </row>
    <row r="96" spans="1:130" s="1074" customFormat="1" ht="12.75">
      <c r="A96" s="1068" t="s">
        <v>612</v>
      </c>
      <c r="B96" s="1069"/>
      <c r="C96" s="1069"/>
      <c r="D96" s="1069"/>
      <c r="E96" s="1069"/>
      <c r="F96" s="1069"/>
      <c r="G96" s="1069"/>
      <c r="H96" s="1069"/>
      <c r="I96" s="1069"/>
      <c r="J96" s="1069"/>
      <c r="K96" s="1069"/>
      <c r="L96" s="1069"/>
      <c r="M96" s="1069"/>
      <c r="N96" s="1069"/>
      <c r="O96" s="1069"/>
      <c r="P96" s="1069"/>
      <c r="Q96" s="1069"/>
      <c r="R96" s="1069"/>
      <c r="S96" s="1069"/>
      <c r="T96" s="1069"/>
      <c r="U96" s="1069"/>
      <c r="V96" s="1069"/>
      <c r="W96" s="1069"/>
      <c r="X96" s="1069"/>
      <c r="Y96" s="1069"/>
      <c r="Z96" s="1069"/>
      <c r="AA96" s="1069"/>
      <c r="AB96" s="1069"/>
      <c r="AC96" s="1069"/>
      <c r="AD96" s="1069"/>
      <c r="AE96" s="1069"/>
      <c r="AF96" s="1069"/>
      <c r="AG96" s="1069"/>
      <c r="AH96" s="1069"/>
      <c r="AI96" s="1069"/>
      <c r="AJ96" s="1069"/>
      <c r="AK96" s="1069"/>
      <c r="AL96" s="1069"/>
      <c r="AM96" s="1069"/>
      <c r="AN96" s="1069"/>
      <c r="AO96" s="1069"/>
      <c r="AP96" s="1069"/>
      <c r="AQ96" s="1069">
        <f>+MACRO!BD6</f>
        <v>2.5298671682920659E-2</v>
      </c>
      <c r="AR96" s="1069">
        <f>+MACRO!BE6</f>
        <v>2.6433327247938676E-2</v>
      </c>
      <c r="AS96" s="1069">
        <f>+MACRO!BF6</f>
        <v>2.6433327247938676E-2</v>
      </c>
      <c r="AT96" s="1069">
        <f>+MACRO!BG6</f>
        <v>2.7195367836196249E-2</v>
      </c>
      <c r="AU96" s="1069">
        <f>+MACRO!BH6</f>
        <v>2.9379703664283552E-2</v>
      </c>
      <c r="AV96" s="1069">
        <f>+MACRO!BI6</f>
        <v>3.1595770003753909E-2</v>
      </c>
      <c r="AW96" s="1069">
        <f>+MACRO!BJ6</f>
        <v>3.386552139124821E-2</v>
      </c>
      <c r="AX96" s="1069">
        <f>+MACRO!BK6</f>
        <v>3.386552139124821E-2</v>
      </c>
      <c r="AY96" s="1069">
        <f>+MACRO!BL6</f>
        <v>3.386552139124821E-2</v>
      </c>
      <c r="AZ96" s="1069">
        <f>+MACRO!BM6</f>
        <v>3.386552139124821E-2</v>
      </c>
      <c r="BA96" s="1069">
        <f>+MACRO!BN6</f>
        <v>3.386552139124821E-2</v>
      </c>
      <c r="BB96" s="1069">
        <f>+MACRO!BO6</f>
        <v>3.3208832524481258E-2</v>
      </c>
      <c r="BC96" s="1069">
        <f>+MACRO!BP6</f>
        <v>3.0500946736911727E-2</v>
      </c>
      <c r="BD96" s="1069">
        <f>+MACRO!BQ6</f>
        <v>2.6479559859692303E-2</v>
      </c>
      <c r="BE96" s="1069">
        <f>+MACRO!BR6</f>
        <v>2.2363559609957839E-2</v>
      </c>
      <c r="BF96" s="1069">
        <f>+MACRO!BS6</f>
        <v>1.8362980987926658E-2</v>
      </c>
      <c r="BG96" s="1069">
        <f>+MACRO!BT6</f>
        <v>1.6642416339083699E-2</v>
      </c>
      <c r="BH96" s="1069">
        <f>+MACRO!BU6</f>
        <v>1.586828478278357E-2</v>
      </c>
      <c r="BI96" s="1069">
        <f>+MACRO!BV6</f>
        <v>1.586828478278357E-2</v>
      </c>
      <c r="BJ96" s="1069">
        <f>+MACRO!BW6</f>
        <v>1.586828478278357E-2</v>
      </c>
      <c r="BK96" s="1069">
        <f>+MACRO!BX6</f>
        <v>1.586828478278357E-2</v>
      </c>
      <c r="BL96" s="1069">
        <f>+MACRO!BY6</f>
        <v>1.586828478278357E-2</v>
      </c>
      <c r="BM96" s="1069">
        <f>+MACRO!BZ6</f>
        <v>1.4913071423088509E-2</v>
      </c>
      <c r="BN96" s="1069">
        <f>+MACRO!CA6</f>
        <v>1.2392721514959071E-2</v>
      </c>
      <c r="BO96" s="1069">
        <f>+MACRO!CB6</f>
        <v>1.0508203112448822E-2</v>
      </c>
      <c r="BP96" s="1069">
        <f>+MACRO!CC6</f>
        <v>7.8324965478326902E-3</v>
      </c>
      <c r="BQ96" s="1069">
        <f>+MACRO!CD6</f>
        <v>5.1845412595541429E-3</v>
      </c>
      <c r="BR96" s="1069">
        <f>+MACRO!CE6</f>
        <v>4.9629315732038215E-3</v>
      </c>
      <c r="BS96" s="1069">
        <f>+MACRO!CF6</f>
        <v>5.2829874231419272E-3</v>
      </c>
      <c r="BT96" s="1069">
        <f>+MACRO!CG6</f>
        <v>8.2717988664033903E-3</v>
      </c>
      <c r="BU96" s="1069">
        <f>+MACRO!CH6</f>
        <v>1.2248131848348498E-2</v>
      </c>
      <c r="BV96" s="1069">
        <f>+MACRO!CI6</f>
        <v>1.8670575645447718E-2</v>
      </c>
      <c r="BW96" s="1069">
        <f>+MACRO!CJ6</f>
        <v>2.5089855568062536E-2</v>
      </c>
      <c r="BX96" s="1069">
        <f>+MACRO!CK6</f>
        <v>2.9860684889043698E-2</v>
      </c>
      <c r="BY96" s="1069">
        <f>+MACRO!CL6</f>
        <v>3.2391886619581145E-2</v>
      </c>
      <c r="BZ96" s="1069">
        <f>+MACRO!CM6</f>
        <v>3.2732516378310317E-2</v>
      </c>
      <c r="CA96" s="1069">
        <f>+MACRO!CN6</f>
        <v>3.2732516378310317E-2</v>
      </c>
      <c r="CB96" s="1069">
        <f>+MACRO!CO6</f>
        <v>3.2732516378310317E-2</v>
      </c>
      <c r="CC96" s="1069">
        <f>+MACRO!CP6</f>
        <v>3.1846176683566041E-2</v>
      </c>
      <c r="CD96" s="1069">
        <f>+MACRO!CQ6</f>
        <v>2.9494284160460849E-2</v>
      </c>
      <c r="CE96" s="1069">
        <f>+MACRO!CR6</f>
        <v>2.7241497638393453E-2</v>
      </c>
      <c r="CF96" s="1069">
        <f>+MACRO!CS6</f>
        <v>2.5507360290891512E-2</v>
      </c>
      <c r="CG96" s="1069">
        <f>+MACRO!CT6</f>
        <v>2.5345057941852822E-2</v>
      </c>
      <c r="CH96" s="1069">
        <f>+MACRO!CU6</f>
        <v>2.70569411275976E-2</v>
      </c>
      <c r="CI96" s="1069">
        <f>+MACRO!CV6</f>
        <v>3.2354018049627786E-2</v>
      </c>
      <c r="CJ96" s="1069">
        <f>+MACRO!CW6</f>
        <v>3.4994813649531054E-2</v>
      </c>
      <c r="CK96" s="1069">
        <f>+MACRO!CX6</f>
        <v>3.5558076341622114E-2</v>
      </c>
      <c r="CL96" s="1069">
        <f>+MACRO!CY6</f>
        <v>3.5558076341622114E-2</v>
      </c>
      <c r="CM96" s="1069">
        <f>+MACRO!CZ6</f>
        <v>3.4430629840220384E-2</v>
      </c>
      <c r="CN96" s="1069">
        <f>+MACRO!DA6</f>
        <v>3.2164612662692438E-2</v>
      </c>
      <c r="CO96" s="1069">
        <f>+MACRO!DB6</f>
        <v>3.0455253312711816E-2</v>
      </c>
      <c r="CP96" s="1069">
        <f>+MACRO!DC6</f>
        <v>2.9310936996617354E-2</v>
      </c>
      <c r="CQ96" s="1069"/>
      <c r="CR96" s="1070"/>
      <c r="CS96" s="1069">
        <v>3.4994813649531054E-2</v>
      </c>
      <c r="CT96" s="1136"/>
      <c r="CU96" s="1071"/>
      <c r="CV96" s="1072"/>
      <c r="CW96" s="1072"/>
      <c r="CX96" s="1072"/>
      <c r="CY96" s="1072"/>
      <c r="CZ96" s="1072"/>
      <c r="DA96" s="1072"/>
      <c r="DB96" s="1072"/>
      <c r="DC96" s="1072"/>
      <c r="DD96" s="1072"/>
      <c r="DE96" s="1069">
        <f>+MACRO!DW6</f>
        <v>0.1096</v>
      </c>
      <c r="DF96" s="1069">
        <f>+MACRO!DX6</f>
        <v>0.135075</v>
      </c>
      <c r="DG96" s="1069">
        <f>+MACRO!DY6</f>
        <v>0.14177499999999998</v>
      </c>
      <c r="DH96" s="1069">
        <f>+MACRO!DZ6</f>
        <v>0.10147500000000001</v>
      </c>
      <c r="DI96" s="1069">
        <f>+MACRO!EA6</f>
        <v>6.5812499999999996E-2</v>
      </c>
      <c r="DJ96" s="1069">
        <f>+MACRO!EB6</f>
        <v>6.0374999999999998E-2</v>
      </c>
      <c r="DK96" s="1069">
        <f>+MACRO!EC6</f>
        <v>2.8825E-2</v>
      </c>
      <c r="DL96" s="1069">
        <f>+MACRO!ED6</f>
        <v>4.5374999999999999E-2</v>
      </c>
      <c r="DM96" s="1069">
        <f>+MACRO!EE6</f>
        <v>0.12564999999999998</v>
      </c>
      <c r="DN96" s="1069">
        <f>+MACRO!EF6</f>
        <v>0.13297500000000001</v>
      </c>
      <c r="DO96" s="1069">
        <f>+MACRO!EG6</f>
        <v>0.109375</v>
      </c>
      <c r="DP96" s="1069">
        <f>+MACRO!EH6</f>
        <v>0.14583333333333334</v>
      </c>
      <c r="DQ96" s="1069">
        <f>+MACRO!EI6</f>
        <v>0.13250000000000001</v>
      </c>
      <c r="DR96" s="1069">
        <f>+MACRO!EJ6</f>
        <v>0.115</v>
      </c>
      <c r="DS96" s="1069">
        <f>+MACRO!EK6</f>
        <v>0.11</v>
      </c>
      <c r="DT96" s="1069">
        <f>+MACRO!EL6</f>
        <v>0.1</v>
      </c>
      <c r="DU96" s="1069">
        <f>+MACRO!EM6</f>
        <v>0.09</v>
      </c>
      <c r="DV96" s="1073"/>
      <c r="DW96" s="1073"/>
      <c r="DY96" s="1069">
        <v>9.5000000000000001E-2</v>
      </c>
      <c r="DZ96" s="1069">
        <v>0.09</v>
      </c>
    </row>
    <row r="97" spans="1:130">
      <c r="A97" s="419"/>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2"/>
      <c r="BD97" s="14"/>
      <c r="BE97" s="14"/>
      <c r="BF97" s="14"/>
      <c r="BG97" s="14"/>
      <c r="BH97" s="14"/>
      <c r="BI97" s="14"/>
      <c r="BJ97" s="14"/>
      <c r="BK97" s="14"/>
      <c r="BL97" s="14"/>
      <c r="BM97" s="14"/>
      <c r="BN97" s="14"/>
      <c r="BO97" s="192"/>
      <c r="BP97" s="168"/>
      <c r="BQ97" s="168"/>
      <c r="BR97" s="168"/>
      <c r="BS97" s="168"/>
      <c r="BT97" s="168"/>
      <c r="BU97" s="168"/>
      <c r="BV97" s="168"/>
      <c r="BW97" s="168"/>
      <c r="BX97" s="168"/>
      <c r="BY97" s="168"/>
      <c r="BZ97" s="168"/>
      <c r="CA97" s="168"/>
      <c r="CB97" s="168"/>
      <c r="CC97" s="168"/>
      <c r="CD97" s="168"/>
      <c r="CE97" s="168"/>
      <c r="CF97" s="168"/>
      <c r="CG97" s="168"/>
      <c r="CH97" s="168"/>
      <c r="CI97" s="168"/>
      <c r="CJ97" s="168"/>
      <c r="CK97" s="168"/>
      <c r="CL97" s="168"/>
      <c r="CM97" s="168"/>
      <c r="CN97" s="168"/>
      <c r="CO97" s="168"/>
      <c r="CP97" s="168"/>
      <c r="CQ97" s="168"/>
      <c r="CR97" s="168"/>
      <c r="CS97" s="168"/>
      <c r="CT97" s="1133"/>
      <c r="CU97" s="114"/>
      <c r="CV97" s="7"/>
      <c r="CW97" s="7"/>
      <c r="CX97" s="7"/>
      <c r="CY97" s="7"/>
      <c r="CZ97" s="7"/>
      <c r="DA97" s="7"/>
      <c r="DB97" s="7"/>
      <c r="DC97" s="7"/>
      <c r="DD97" s="7"/>
      <c r="DE97" s="14"/>
      <c r="DF97" s="14"/>
      <c r="DG97" s="14"/>
      <c r="DH97" s="14"/>
      <c r="DI97" s="14"/>
      <c r="DJ97" s="14"/>
      <c r="DK97" s="14"/>
      <c r="DL97" s="14"/>
      <c r="DM97" s="14"/>
      <c r="DN97" s="14"/>
      <c r="DO97" s="14"/>
      <c r="DP97" s="14"/>
      <c r="DQ97" s="14"/>
      <c r="DR97" s="14"/>
      <c r="DS97" s="14"/>
      <c r="DT97" s="14"/>
      <c r="DU97" s="14"/>
      <c r="DV97" s="8"/>
      <c r="DW97" s="8"/>
      <c r="DY97" s="14"/>
      <c r="DZ97" s="14"/>
    </row>
    <row r="98" spans="1:130">
      <c r="A98" s="355"/>
      <c r="B98" s="355"/>
      <c r="C98" s="441"/>
      <c r="D98" s="441"/>
      <c r="E98" s="441"/>
      <c r="F98" s="441"/>
      <c r="G98" s="441"/>
      <c r="H98" s="441"/>
      <c r="I98" s="441"/>
      <c r="J98" s="441"/>
      <c r="K98" s="441"/>
      <c r="L98" s="441"/>
      <c r="M98" s="441"/>
      <c r="N98" s="441"/>
      <c r="O98" s="441"/>
      <c r="P98" s="441"/>
      <c r="Q98" s="441"/>
      <c r="R98" s="441"/>
      <c r="S98" s="441"/>
      <c r="T98" s="441"/>
      <c r="U98" s="441"/>
      <c r="V98" s="441"/>
      <c r="W98" s="441"/>
      <c r="X98" s="441"/>
      <c r="Y98" s="441"/>
      <c r="Z98" s="441"/>
      <c r="AA98" s="441"/>
      <c r="AB98" s="441"/>
      <c r="AC98" s="441"/>
      <c r="AD98" s="468"/>
      <c r="AE98" s="441"/>
      <c r="AF98" s="441"/>
      <c r="AG98" s="441"/>
      <c r="AH98" s="441"/>
      <c r="AI98" s="441"/>
      <c r="AJ98" s="441"/>
      <c r="AK98" s="441"/>
      <c r="AL98" s="441"/>
      <c r="AM98" s="441"/>
      <c r="AN98" s="441"/>
      <c r="AO98" s="441"/>
      <c r="AP98" s="441"/>
      <c r="AQ98" s="441"/>
      <c r="AR98" s="441"/>
      <c r="AS98" s="441"/>
      <c r="AT98" s="441"/>
      <c r="AU98" s="441"/>
      <c r="AV98" s="441"/>
      <c r="AW98" s="441"/>
      <c r="AX98" s="441"/>
      <c r="AY98" s="441"/>
      <c r="AZ98" s="444"/>
      <c r="BA98" s="444"/>
      <c r="BB98" s="441"/>
      <c r="BC98" s="444"/>
      <c r="BD98" s="441"/>
      <c r="BE98" s="441"/>
      <c r="BF98" s="441"/>
      <c r="BG98" s="441"/>
      <c r="BH98" s="441"/>
      <c r="BI98" s="441"/>
      <c r="BJ98" s="441"/>
      <c r="BK98" s="441"/>
      <c r="BL98" s="441"/>
      <c r="BM98" s="174"/>
      <c r="BN98" s="174"/>
      <c r="BO98" s="174"/>
      <c r="BP98" s="174"/>
      <c r="BQ98" s="174"/>
      <c r="BR98" s="174"/>
      <c r="BS98" s="174"/>
      <c r="BT98" s="174"/>
      <c r="BU98" s="174"/>
      <c r="BV98" s="174"/>
      <c r="BW98" s="174"/>
      <c r="BX98" s="174"/>
      <c r="BY98" s="174"/>
      <c r="BZ98" s="174"/>
      <c r="CA98" s="174"/>
      <c r="CB98" s="174"/>
      <c r="CC98" s="174"/>
      <c r="CD98" s="174"/>
      <c r="CE98" s="174"/>
      <c r="CF98" s="174"/>
      <c r="CG98" s="174"/>
      <c r="CH98" s="174"/>
      <c r="CI98" s="174"/>
      <c r="CJ98" s="174"/>
      <c r="CK98" s="174"/>
      <c r="CL98" s="174"/>
      <c r="CM98" s="174"/>
      <c r="CN98" s="174"/>
      <c r="CO98" s="174"/>
      <c r="CP98" s="174"/>
      <c r="CQ98" s="174"/>
      <c r="CR98" s="174"/>
      <c r="CS98" s="174"/>
      <c r="CT98" s="1133"/>
      <c r="CU98" s="6"/>
      <c r="CV98" s="6"/>
      <c r="CW98" s="6"/>
      <c r="CX98" s="6"/>
      <c r="CY98" s="6"/>
      <c r="CZ98" s="6"/>
      <c r="DA98" s="6"/>
      <c r="DB98" s="6"/>
      <c r="DC98" s="6"/>
      <c r="DD98" s="6"/>
      <c r="DE98" s="6"/>
      <c r="DF98" s="6"/>
      <c r="DG98" s="6"/>
      <c r="DH98" s="6"/>
      <c r="DI98" s="6"/>
      <c r="DJ98" s="6"/>
      <c r="DK98" s="6"/>
      <c r="DL98" s="6"/>
      <c r="DM98" s="6"/>
      <c r="DN98" s="6"/>
      <c r="DO98" s="6"/>
      <c r="DP98" s="6"/>
      <c r="DQ98" s="6"/>
      <c r="DR98" s="6"/>
      <c r="DS98" s="6"/>
      <c r="DT98" s="6"/>
      <c r="DU98" s="6"/>
      <c r="DV98" s="6"/>
      <c r="DW98" s="6"/>
      <c r="DY98" s="6"/>
      <c r="DZ98" s="6"/>
    </row>
    <row r="99" spans="1:130" s="794" customFormat="1" ht="12.75">
      <c r="A99" s="850" t="s">
        <v>613</v>
      </c>
      <c r="B99" s="850"/>
      <c r="C99" s="851">
        <v>0</v>
      </c>
      <c r="D99" s="851">
        <v>0</v>
      </c>
      <c r="E99" s="851">
        <v>0</v>
      </c>
      <c r="F99" s="851">
        <v>0</v>
      </c>
      <c r="G99" s="851">
        <v>0</v>
      </c>
      <c r="H99" s="851">
        <v>0</v>
      </c>
      <c r="I99" s="851">
        <v>0</v>
      </c>
      <c r="J99" s="851">
        <v>0</v>
      </c>
      <c r="K99" s="852">
        <v>-0.2</v>
      </c>
      <c r="L99" s="852">
        <v>-1</v>
      </c>
      <c r="M99" s="852">
        <v>-2.5</v>
      </c>
      <c r="N99" s="851">
        <v>-5.3</v>
      </c>
      <c r="O99" s="851">
        <v>-8.6</v>
      </c>
      <c r="P99" s="852">
        <v>-14</v>
      </c>
      <c r="Q99" s="851">
        <v>-14.600000000000001</v>
      </c>
      <c r="R99" s="851">
        <v>-14</v>
      </c>
      <c r="S99" s="851">
        <v>-14.7</v>
      </c>
      <c r="T99" s="851">
        <v>-16.100000000000001</v>
      </c>
      <c r="U99" s="851">
        <v>-16.5</v>
      </c>
      <c r="V99" s="851">
        <v>-18</v>
      </c>
      <c r="W99" s="851">
        <v>-22.200000000000003</v>
      </c>
      <c r="X99" s="851">
        <v>-32</v>
      </c>
      <c r="Y99" s="851">
        <v>-28.5</v>
      </c>
      <c r="Z99" s="851">
        <v>-29.700000000000003</v>
      </c>
      <c r="AA99" s="851">
        <v>-23.599999999999998</v>
      </c>
      <c r="AB99" s="851">
        <v>-28.6</v>
      </c>
      <c r="AC99" s="851">
        <v>-18.7</v>
      </c>
      <c r="AD99" s="851">
        <v>-17.299999999999997</v>
      </c>
      <c r="AE99" s="851">
        <v>-18.8</v>
      </c>
      <c r="AF99" s="851">
        <v>-28.9</v>
      </c>
      <c r="AG99" s="851">
        <v>-24.4</v>
      </c>
      <c r="AH99" s="851">
        <v>-37.299999999999997</v>
      </c>
      <c r="AI99" s="851">
        <v>-20.2</v>
      </c>
      <c r="AJ99" s="851">
        <v>-33.4</v>
      </c>
      <c r="AK99" s="851">
        <v>-29</v>
      </c>
      <c r="AL99" s="851">
        <v>-43.5</v>
      </c>
      <c r="AM99" s="851">
        <v>-28.799999999999997</v>
      </c>
      <c r="AN99" s="851">
        <v>-37.099999999999994</v>
      </c>
      <c r="AO99" s="851">
        <v>-33.1</v>
      </c>
      <c r="AP99" s="851">
        <v>-43.4</v>
      </c>
      <c r="AQ99" s="851">
        <f t="shared" ref="AQ99:BD99" si="630">AQ114+AQ121+AQ117</f>
        <v>-29.1</v>
      </c>
      <c r="AR99" s="851">
        <f t="shared" si="630"/>
        <v>-54.1</v>
      </c>
      <c r="AS99" s="851">
        <f t="shared" si="630"/>
        <v>-51.9</v>
      </c>
      <c r="AT99" s="851">
        <f t="shared" si="630"/>
        <v>-53.400000000000006</v>
      </c>
      <c r="AU99" s="851">
        <f t="shared" si="630"/>
        <v>-45.771999999999998</v>
      </c>
      <c r="AV99" s="851">
        <f t="shared" si="630"/>
        <v>-74.085000000000008</v>
      </c>
      <c r="AW99" s="851">
        <f t="shared" si="630"/>
        <v>-76.350000000000009</v>
      </c>
      <c r="AX99" s="851">
        <f t="shared" si="630"/>
        <v>-84.995999999999995</v>
      </c>
      <c r="AY99" s="851">
        <f t="shared" si="630"/>
        <v>-50.225999999999999</v>
      </c>
      <c r="AZ99" s="853">
        <f t="shared" si="630"/>
        <v>-77.5</v>
      </c>
      <c r="BA99" s="853">
        <f t="shared" si="630"/>
        <v>-68.811999999999998</v>
      </c>
      <c r="BB99" s="851">
        <f t="shared" si="630"/>
        <v>-65.692000000000007</v>
      </c>
      <c r="BC99" s="851">
        <f t="shared" si="630"/>
        <v>-46.366</v>
      </c>
      <c r="BD99" s="851">
        <f t="shared" si="630"/>
        <v>-59.277000000000001</v>
      </c>
      <c r="BE99" s="851">
        <f t="shared" ref="BE99:BW99" si="631">BE114+BE121+BE117</f>
        <v>-71.408000000000001</v>
      </c>
      <c r="BF99" s="851">
        <f t="shared" si="631"/>
        <v>-78.783999999999992</v>
      </c>
      <c r="BG99" s="851">
        <f t="shared" si="631"/>
        <v>-57.423000000000002</v>
      </c>
      <c r="BH99" s="851">
        <f t="shared" si="631"/>
        <v>-79.119</v>
      </c>
      <c r="BI99" s="851">
        <f t="shared" si="631"/>
        <v>-68.260352049999895</v>
      </c>
      <c r="BJ99" s="851">
        <f t="shared" si="631"/>
        <v>-75.87</v>
      </c>
      <c r="BK99" s="851">
        <f t="shared" si="631"/>
        <v>-72.515700909999993</v>
      </c>
      <c r="BL99" s="851">
        <f t="shared" si="631"/>
        <v>-98.454999999999998</v>
      </c>
      <c r="BM99" s="851">
        <f t="shared" si="631"/>
        <v>-101.371</v>
      </c>
      <c r="BN99" s="851">
        <f t="shared" si="631"/>
        <v>-108.7067541</v>
      </c>
      <c r="BO99" s="851">
        <f>BO114+BO121+BO117</f>
        <v>-199.32399999999998</v>
      </c>
      <c r="BP99" s="851">
        <f>BP114+BP121+BP117</f>
        <v>-133.86555584999999</v>
      </c>
      <c r="BQ99" s="851">
        <f>BQ114+BQ121+BQ117</f>
        <v>-91.399251179999993</v>
      </c>
      <c r="BR99" s="851">
        <f t="shared" si="631"/>
        <v>11.900000000000002</v>
      </c>
      <c r="BS99" s="851">
        <f t="shared" si="631"/>
        <v>-52.1</v>
      </c>
      <c r="BT99" s="851">
        <f t="shared" si="631"/>
        <v>-77.413789999999992</v>
      </c>
      <c r="BU99" s="851">
        <f>BU114+BU121+BU117</f>
        <v>-74.593360000000004</v>
      </c>
      <c r="BV99" s="851">
        <f t="shared" si="631"/>
        <v>-135.49697</v>
      </c>
      <c r="BW99" s="851">
        <f t="shared" si="631"/>
        <v>-167.45400000000001</v>
      </c>
      <c r="BX99" s="851">
        <f>BX114+BX121+BX117</f>
        <v>-281.52100000000002</v>
      </c>
      <c r="BY99" s="851">
        <f>BY114+BY121+BY117</f>
        <v>-236.88774999999998</v>
      </c>
      <c r="BZ99" s="851">
        <f>BZ114+BZ121+BZ117</f>
        <v>-305.88000000000005</v>
      </c>
      <c r="CA99" s="851">
        <f t="shared" ref="CA99:CD99" si="632">CA114+CA121+CA117</f>
        <v>-346.81200000000001</v>
      </c>
      <c r="CB99" s="851">
        <f t="shared" si="632"/>
        <v>-396.108</v>
      </c>
      <c r="CC99" s="851">
        <f t="shared" si="632"/>
        <v>-329.56099999999998</v>
      </c>
      <c r="CD99" s="851">
        <f t="shared" si="632"/>
        <v>-270.79599999999999</v>
      </c>
      <c r="CE99" s="851">
        <f t="shared" ref="CE99:CJ99" si="633">CE114+CE121+CE117</f>
        <v>-264.53899999999999</v>
      </c>
      <c r="CF99" s="851">
        <f t="shared" si="633"/>
        <v>-253.54599999999999</v>
      </c>
      <c r="CG99" s="851">
        <f t="shared" si="633"/>
        <v>-224.79595858000008</v>
      </c>
      <c r="CH99" s="851">
        <f t="shared" si="633"/>
        <v>-214.399</v>
      </c>
      <c r="CI99" s="851">
        <f t="shared" si="633"/>
        <v>-177.14062803000002</v>
      </c>
      <c r="CJ99" s="851">
        <f t="shared" si="633"/>
        <v>-255.73479269000001</v>
      </c>
      <c r="CK99" s="851">
        <f t="shared" ref="CK99:CL99" si="634">CK114+CK121+CK117</f>
        <v>-263.13144123000001</v>
      </c>
      <c r="CL99" s="854">
        <f t="shared" si="634"/>
        <v>-214.31469854770396</v>
      </c>
      <c r="CM99" s="854">
        <f t="shared" ref="CM99:CP99" si="635">CM114+CM121+CM117</f>
        <v>-259.62626866214589</v>
      </c>
      <c r="CN99" s="854">
        <f t="shared" si="635"/>
        <v>-386.23961370677722</v>
      </c>
      <c r="CO99" s="854">
        <f t="shared" si="635"/>
        <v>-321.96318277390725</v>
      </c>
      <c r="CP99" s="854">
        <f t="shared" si="635"/>
        <v>-251.00488157666669</v>
      </c>
      <c r="CQ99" s="854"/>
      <c r="CR99" s="854"/>
      <c r="CS99" s="854">
        <v>-255.1959505728681</v>
      </c>
      <c r="CT99" s="1133">
        <f>+CI99/CS99-1</f>
        <v>-0.30586426770349684</v>
      </c>
      <c r="CU99" s="850">
        <f>SUM(C99:F99)</f>
        <v>0</v>
      </c>
      <c r="CV99" s="850">
        <f>SUM(G99:J99)</f>
        <v>0</v>
      </c>
      <c r="CW99" s="850">
        <f>SUM(K99:N99)</f>
        <v>-9</v>
      </c>
      <c r="CX99" s="850">
        <f>SUM(O99:R99)</f>
        <v>-51.2</v>
      </c>
      <c r="CY99" s="850">
        <f>SUM(S99:V99)</f>
        <v>-65.3</v>
      </c>
      <c r="CZ99" s="850">
        <f>SUM(W99:Z99)</f>
        <v>-112.4</v>
      </c>
      <c r="DA99" s="850">
        <f>SUM(AA99:AD99)</f>
        <v>-88.2</v>
      </c>
      <c r="DB99" s="850">
        <f>SUM(AE99:AH99)</f>
        <v>-109.39999999999999</v>
      </c>
      <c r="DC99" s="850">
        <f>+SUM(AI99:AL99)</f>
        <v>-126.1</v>
      </c>
      <c r="DD99" s="850">
        <f>+SUM(AM99:AP99)</f>
        <v>-142.4</v>
      </c>
      <c r="DE99" s="851">
        <f t="shared" ref="DE99:DK99" si="636">DE114+DE121+DE117</f>
        <v>-188.5</v>
      </c>
      <c r="DF99" s="851">
        <f t="shared" si="636"/>
        <v>-281.20300000000003</v>
      </c>
      <c r="DG99" s="851">
        <f t="shared" si="636"/>
        <v>-262.23</v>
      </c>
      <c r="DH99" s="851">
        <f t="shared" si="636"/>
        <v>-255.83499999999998</v>
      </c>
      <c r="DI99" s="851">
        <f t="shared" si="636"/>
        <v>-280.67235204999986</v>
      </c>
      <c r="DJ99" s="851">
        <f t="shared" si="636"/>
        <v>-381.04845501</v>
      </c>
      <c r="DK99" s="851">
        <f t="shared" si="636"/>
        <v>-412.68880702999996</v>
      </c>
      <c r="DL99" s="851">
        <f t="shared" ref="DL99:DR99" si="637">DL114+DL121+DL117</f>
        <v>-339.60411999999997</v>
      </c>
      <c r="DM99" s="851">
        <f t="shared" si="637"/>
        <v>-991.74275</v>
      </c>
      <c r="DN99" s="851">
        <f t="shared" si="637"/>
        <v>-1343.277</v>
      </c>
      <c r="DO99" s="851">
        <f t="shared" ref="DO99:DP99" si="638">DO114+DO121+DO117</f>
        <v>-957.27995858000008</v>
      </c>
      <c r="DP99" s="851">
        <f t="shared" si="638"/>
        <v>-910.32156049770401</v>
      </c>
      <c r="DQ99" s="851">
        <f t="shared" ref="DQ99" si="639">DQ114+DQ121+DQ117</f>
        <v>-1218.8339467194969</v>
      </c>
      <c r="DR99" s="854">
        <f t="shared" si="637"/>
        <v>-1052.0850341828673</v>
      </c>
      <c r="DS99" s="854">
        <f t="shared" ref="DS99:DU99" si="640">DS114+DS121+DS117</f>
        <v>-1014.1954281480772</v>
      </c>
      <c r="DT99" s="854">
        <f t="shared" si="640"/>
        <v>-984.9111401415397</v>
      </c>
      <c r="DU99" s="854">
        <f t="shared" si="640"/>
        <v>-957.84674154102447</v>
      </c>
      <c r="DV99" s="850"/>
      <c r="DW99" s="850"/>
      <c r="DY99" s="854">
        <v>-929.23735572612406</v>
      </c>
      <c r="DZ99" s="854">
        <v>-934.20301449127624</v>
      </c>
    </row>
    <row r="100" spans="1:130">
      <c r="A100" s="469" t="s">
        <v>614</v>
      </c>
      <c r="B100" s="469"/>
      <c r="C100" s="26"/>
      <c r="D100" s="26"/>
      <c r="E100" s="26"/>
      <c r="F100" s="26"/>
      <c r="G100" s="26"/>
      <c r="H100" s="26"/>
      <c r="I100" s="26"/>
      <c r="J100" s="26"/>
      <c r="K100" s="447">
        <v>-8.5303006408494987E-4</v>
      </c>
      <c r="L100" s="447">
        <v>-2.8256882003171507E-3</v>
      </c>
      <c r="M100" s="447">
        <v>-7.9982180226188578E-3</v>
      </c>
      <c r="N100" s="447">
        <v>-1.0948574903123809E-2</v>
      </c>
      <c r="O100" s="447">
        <v>-3.1458865950681161E-2</v>
      </c>
      <c r="P100" s="447">
        <v>-3.3653207066500421E-2</v>
      </c>
      <c r="Q100" s="447">
        <v>-4.0492979055489167E-2</v>
      </c>
      <c r="R100" s="447">
        <v>-2.58801370620932E-2</v>
      </c>
      <c r="S100" s="447">
        <v>-4.6657994204569279E-2</v>
      </c>
      <c r="T100" s="447">
        <v>-3.6267989300015062E-2</v>
      </c>
      <c r="U100" s="447">
        <v>-4.3586816506413002E-2</v>
      </c>
      <c r="V100" s="447">
        <v>-3.5149601576434639E-2</v>
      </c>
      <c r="W100" s="447">
        <v>-7.8377631605770076E-2</v>
      </c>
      <c r="X100" s="447">
        <v>-7.0135560531892752E-2</v>
      </c>
      <c r="Y100" s="447">
        <v>-7.2769518879959749E-2</v>
      </c>
      <c r="Z100" s="447">
        <v>-5.2273436524218189E-2</v>
      </c>
      <c r="AA100" s="447">
        <v>-7.28631952569814E-2</v>
      </c>
      <c r="AB100" s="447">
        <v>-5.8729238182433897E-2</v>
      </c>
      <c r="AC100" s="447">
        <v>-4.3426429845392155E-2</v>
      </c>
      <c r="AD100" s="447">
        <v>-2.8245564665217753E-2</v>
      </c>
      <c r="AE100" s="447">
        <v>-5.0734471571477605E-2</v>
      </c>
      <c r="AF100" s="447">
        <v>-5.2473470084319254E-2</v>
      </c>
      <c r="AG100" s="447">
        <v>-5.0514012091815136E-2</v>
      </c>
      <c r="AH100" s="447">
        <v>-5.3240362174764244E-2</v>
      </c>
      <c r="AI100" s="447">
        <v>-4.7926573239670103E-2</v>
      </c>
      <c r="AJ100" s="447">
        <v>-5.5414134773606405E-2</v>
      </c>
      <c r="AK100" s="447">
        <v>-5.1330819536206725E-2</v>
      </c>
      <c r="AL100" s="447">
        <v>-5.3225868492301209E-2</v>
      </c>
      <c r="AM100" s="447">
        <v>-5.9729877359730184E-2</v>
      </c>
      <c r="AN100" s="447">
        <v>-5.6323490316375464E-2</v>
      </c>
      <c r="AO100" s="447">
        <v>-5.2384609607859511E-2</v>
      </c>
      <c r="AP100" s="447">
        <v>-4.8298916439799305E-2</v>
      </c>
      <c r="AQ100" s="447">
        <f t="shared" ref="AQ100:CD100" si="641">AQ99*1000/AQ9</f>
        <v>-7.2911710883568667E-2</v>
      </c>
      <c r="AR100" s="447">
        <f t="shared" si="641"/>
        <v>-9.5463123019074031E-2</v>
      </c>
      <c r="AS100" s="447">
        <f t="shared" si="641"/>
        <v>-9.8345024908236697E-2</v>
      </c>
      <c r="AT100" s="447">
        <f t="shared" si="641"/>
        <v>-6.60738507578401E-2</v>
      </c>
      <c r="AU100" s="447">
        <f t="shared" si="641"/>
        <v>-9.4923875653580236E-2</v>
      </c>
      <c r="AV100" s="447">
        <f t="shared" si="641"/>
        <v>-0.10941305217888302</v>
      </c>
      <c r="AW100" s="447">
        <f t="shared" si="641"/>
        <v>-0.12281123951091885</v>
      </c>
      <c r="AX100" s="447">
        <f t="shared" si="641"/>
        <v>-9.6575574169319445E-2</v>
      </c>
      <c r="AY100" s="447">
        <f t="shared" si="641"/>
        <v>-0.10015454740410086</v>
      </c>
      <c r="AZ100" s="470">
        <f t="shared" si="641"/>
        <v>-0.10667800924155862</v>
      </c>
      <c r="BA100" s="470">
        <f t="shared" si="641"/>
        <v>-0.11029209469726821</v>
      </c>
      <c r="BB100" s="447">
        <f t="shared" si="641"/>
        <v>-7.2282964259446039E-2</v>
      </c>
      <c r="BC100" s="447">
        <f t="shared" si="641"/>
        <v>-8.3636811854346862E-2</v>
      </c>
      <c r="BD100" s="447">
        <f t="shared" si="641"/>
        <v>-7.8692828757841241E-2</v>
      </c>
      <c r="BE100" s="447">
        <f t="shared" si="641"/>
        <v>-0.10330298954610143</v>
      </c>
      <c r="BF100" s="447">
        <f t="shared" si="641"/>
        <v>-7.9843877976939509E-2</v>
      </c>
      <c r="BG100" s="447">
        <f t="shared" si="641"/>
        <v>-9.5690112053916088E-2</v>
      </c>
      <c r="BH100" s="447">
        <f t="shared" si="641"/>
        <v>-9.7752589197999978E-2</v>
      </c>
      <c r="BI100" s="447">
        <f t="shared" si="641"/>
        <v>-8.8180981609380912E-2</v>
      </c>
      <c r="BJ100" s="447">
        <f t="shared" si="641"/>
        <v>-6.705417374130769E-2</v>
      </c>
      <c r="BK100" s="447">
        <f t="shared" si="641"/>
        <v>-0.10486858053348222</v>
      </c>
      <c r="BL100" s="447">
        <f t="shared" si="641"/>
        <v>-0.10882858994916246</v>
      </c>
      <c r="BM100" s="447">
        <f t="shared" si="641"/>
        <v>-0.11817911215092471</v>
      </c>
      <c r="BN100" s="447">
        <f t="shared" si="641"/>
        <v>-8.7181112227975852E-2</v>
      </c>
      <c r="BO100" s="447">
        <f t="shared" si="641"/>
        <v>-0.30834819429803656</v>
      </c>
      <c r="BP100" s="447">
        <f t="shared" si="641"/>
        <v>-0.50317726698563259</v>
      </c>
      <c r="BQ100" s="447">
        <f t="shared" si="641"/>
        <v>-0.13566992460620991</v>
      </c>
      <c r="BR100" s="447">
        <f t="shared" si="641"/>
        <v>1.0164487389466303E-2</v>
      </c>
      <c r="BS100" s="447">
        <f t="shared" si="641"/>
        <v>-0.1063643652852574</v>
      </c>
      <c r="BT100" s="447">
        <f t="shared" si="641"/>
        <v>-9.0192777069166938E-2</v>
      </c>
      <c r="BU100" s="447">
        <f t="shared" si="641"/>
        <v>-8.7356823174513668E-2</v>
      </c>
      <c r="BV100" s="447">
        <f t="shared" si="641"/>
        <v>-0.10397232229739786</v>
      </c>
      <c r="BW100" s="447">
        <f t="shared" si="641"/>
        <v>-0.21614554688823936</v>
      </c>
      <c r="BX100" s="447">
        <f t="shared" si="641"/>
        <v>-0.25236248409131429</v>
      </c>
      <c r="BY100" s="447">
        <f>BY99*1000/BY9</f>
        <v>-0.26384597081491673</v>
      </c>
      <c r="BZ100" s="447">
        <f>BZ99*1000/BZ9</f>
        <v>-0.25086147477258675</v>
      </c>
      <c r="CA100" s="447">
        <f t="shared" si="641"/>
        <v>-0.50570438247480476</v>
      </c>
      <c r="CB100" s="447">
        <f t="shared" si="641"/>
        <v>-0.43428183965077316</v>
      </c>
      <c r="CC100" s="447">
        <f t="shared" si="641"/>
        <v>-0.43110521820048897</v>
      </c>
      <c r="CD100" s="447">
        <f t="shared" si="641"/>
        <v>-0.24830574494765412</v>
      </c>
      <c r="CE100" s="447">
        <f t="shared" ref="CE100:CH100" si="642">CE99*1000/CE9</f>
        <v>-0.37585342622072676</v>
      </c>
      <c r="CF100" s="447">
        <f t="shared" si="642"/>
        <v>-0.27075052112430387</v>
      </c>
      <c r="CG100" s="447">
        <f t="shared" si="642"/>
        <v>-0.25040008174536577</v>
      </c>
      <c r="CH100" s="447">
        <f t="shared" si="642"/>
        <v>-0.1766294840665962</v>
      </c>
      <c r="CI100" s="447">
        <f t="shared" ref="CI100:CL100" si="643">CI99*1000/CI9</f>
        <v>-0.23183269404628407</v>
      </c>
      <c r="CJ100" s="447">
        <f t="shared" si="643"/>
        <v>-0.24500238153601925</v>
      </c>
      <c r="CK100" s="447">
        <f t="shared" si="643"/>
        <v>-0.30317715446225746</v>
      </c>
      <c r="CL100" s="561">
        <f t="shared" si="643"/>
        <v>-0.16490761295662043</v>
      </c>
      <c r="CM100" s="561">
        <f t="shared" ref="CM100:CP100" si="644">CM99*1000/CM9</f>
        <v>-0.28782015994797</v>
      </c>
      <c r="CN100" s="561">
        <f t="shared" si="644"/>
        <v>-0.316103796376834</v>
      </c>
      <c r="CO100" s="561">
        <f t="shared" si="644"/>
        <v>-0.29522877377618334</v>
      </c>
      <c r="CP100" s="561">
        <f t="shared" si="644"/>
        <v>-0.15697855762535173</v>
      </c>
      <c r="CQ100" s="561"/>
      <c r="CR100" s="561"/>
      <c r="CS100" s="561">
        <v>-0.24380377362376712</v>
      </c>
      <c r="CT100" s="1133"/>
      <c r="CU100" s="108" t="e">
        <f t="shared" ref="CU100:DD100" si="645">CU99*1000/CU10</f>
        <v>#DIV/0!</v>
      </c>
      <c r="CV100" s="108">
        <f t="shared" si="645"/>
        <v>0</v>
      </c>
      <c r="CW100" s="108">
        <f t="shared" si="645"/>
        <v>-6.4981700651293474E-3</v>
      </c>
      <c r="CX100" s="108">
        <f t="shared" si="645"/>
        <v>-3.218319294964854E-2</v>
      </c>
      <c r="CY100" s="108">
        <f t="shared" si="645"/>
        <v>-3.9584685505726531E-2</v>
      </c>
      <c r="CZ100" s="108">
        <f t="shared" si="645"/>
        <v>-6.6144219331689097E-2</v>
      </c>
      <c r="DA100" s="108">
        <f t="shared" si="645"/>
        <v>-4.7573478827354951E-2</v>
      </c>
      <c r="DB100" s="108">
        <f t="shared" si="645"/>
        <v>-5.1972933085579445E-2</v>
      </c>
      <c r="DC100" s="108">
        <f t="shared" si="645"/>
        <v>-5.2400907148770187E-2</v>
      </c>
      <c r="DD100" s="108">
        <f t="shared" si="645"/>
        <v>-5.3307346790222324E-2</v>
      </c>
      <c r="DE100" s="108">
        <f t="shared" ref="DE100:DR100" si="646">DE99*1000/DE9</f>
        <v>-8.1894414724104497E-2</v>
      </c>
      <c r="DF100" s="108">
        <f t="shared" si="646"/>
        <v>-0.10567195300341591</v>
      </c>
      <c r="DG100" s="108">
        <f t="shared" si="646"/>
        <v>-9.4986974504500721E-2</v>
      </c>
      <c r="DH100" s="108">
        <f t="shared" si="646"/>
        <v>-8.5689139808694997E-2</v>
      </c>
      <c r="DI100" s="108">
        <f t="shared" si="646"/>
        <v>-8.4666343101383934E-2</v>
      </c>
      <c r="DJ100" s="108">
        <f t="shared" si="646"/>
        <v>-0.102962354659924</v>
      </c>
      <c r="DK100" s="108">
        <f t="shared" si="646"/>
        <v>-0.14969324049859534</v>
      </c>
      <c r="DL100" s="108">
        <f t="shared" si="646"/>
        <v>-9.6884822150584013E-2</v>
      </c>
      <c r="DM100" s="108">
        <f t="shared" si="646"/>
        <v>-0.24747696234318606</v>
      </c>
      <c r="DN100" s="108">
        <f t="shared" si="646"/>
        <v>-0.38902529489872001</v>
      </c>
      <c r="DO100" s="108">
        <f t="shared" ref="DO100:DP100" si="647">DO99*1000/DO9</f>
        <v>-0.25514717795473557</v>
      </c>
      <c r="DP100" s="108">
        <f t="shared" si="647"/>
        <v>-0.22898801739046726</v>
      </c>
      <c r="DQ100" s="108">
        <f t="shared" ref="DQ100" si="648">DQ99*1000/DQ9</f>
        <v>-0.25321422402767346</v>
      </c>
      <c r="DR100" s="108">
        <f t="shared" si="646"/>
        <v>-0.19058417955844634</v>
      </c>
      <c r="DS100" s="108">
        <f t="shared" ref="DS100:DU100" si="649">DS99*1000/DS9</f>
        <v>-0.16117498331423985</v>
      </c>
      <c r="DT100" s="108">
        <f t="shared" si="649"/>
        <v>-0.13781943313537279</v>
      </c>
      <c r="DU100" s="108">
        <f t="shared" si="649"/>
        <v>-0.11841206251876212</v>
      </c>
      <c r="DV100" s="17"/>
      <c r="DW100" s="17"/>
      <c r="DY100" s="108">
        <v>-0.21254637627219072</v>
      </c>
      <c r="DZ100" s="108">
        <v>-0.1881124756476405</v>
      </c>
    </row>
    <row r="101" spans="1:130">
      <c r="A101" s="440" t="s">
        <v>169</v>
      </c>
      <c r="B101" s="440"/>
      <c r="C101" s="419"/>
      <c r="D101" s="419"/>
      <c r="E101" s="419">
        <v>0.01</v>
      </c>
      <c r="F101" s="419"/>
      <c r="G101" s="419"/>
      <c r="H101" s="419"/>
      <c r="I101" s="419"/>
      <c r="J101" s="419"/>
      <c r="K101" s="419"/>
      <c r="L101" s="419"/>
      <c r="M101" s="419"/>
      <c r="N101" s="419"/>
      <c r="O101" s="419">
        <v>41.999999999999993</v>
      </c>
      <c r="P101" s="419">
        <v>13</v>
      </c>
      <c r="Q101" s="419">
        <v>4.8400000000000007</v>
      </c>
      <c r="R101" s="419">
        <v>1.6415094339622645</v>
      </c>
      <c r="S101" s="419">
        <v>0.70930232558139528</v>
      </c>
      <c r="T101" s="419">
        <v>0.15000000000000013</v>
      </c>
      <c r="U101" s="419">
        <v>0.13013698630136972</v>
      </c>
      <c r="V101" s="419">
        <v>0.28571428571428581</v>
      </c>
      <c r="W101" s="419">
        <v>0.51020408163265341</v>
      </c>
      <c r="X101" s="419">
        <v>0.98757763975155255</v>
      </c>
      <c r="Y101" s="419">
        <v>0.72727272727272729</v>
      </c>
      <c r="Z101" s="419">
        <v>0.65000000000000013</v>
      </c>
      <c r="AA101" s="419">
        <v>6.3063063063062863E-2</v>
      </c>
      <c r="AB101" s="419">
        <v>-0.10624999999999996</v>
      </c>
      <c r="AC101" s="419">
        <v>-0.34385964912280709</v>
      </c>
      <c r="AD101" s="419">
        <v>-0.41750841750841761</v>
      </c>
      <c r="AE101" s="419">
        <v>-0.20338983050847448</v>
      </c>
      <c r="AF101" s="419">
        <v>1.0489510489510412E-2</v>
      </c>
      <c r="AG101" s="419">
        <v>0.30481283422459882</v>
      </c>
      <c r="AH101" s="419">
        <v>1.15606936416185</v>
      </c>
      <c r="AI101" s="419">
        <v>7.4468085106382809E-2</v>
      </c>
      <c r="AJ101" s="419">
        <v>0.15570934256055358</v>
      </c>
      <c r="AK101" s="419">
        <v>0.18852459016393452</v>
      </c>
      <c r="AL101" s="419">
        <v>0.16621983914209126</v>
      </c>
      <c r="AM101" s="419">
        <v>0.42574257425742568</v>
      </c>
      <c r="AN101" s="419">
        <v>0.11077844311377238</v>
      </c>
      <c r="AO101" s="419">
        <v>0.14137931034482754</v>
      </c>
      <c r="AP101" s="419">
        <v>-2.2988505747126853E-3</v>
      </c>
      <c r="AQ101" s="419">
        <f t="shared" ref="AQ101:BD101" si="650">AQ99/AM99-1</f>
        <v>1.0416666666666741E-2</v>
      </c>
      <c r="AR101" s="419">
        <f t="shared" si="650"/>
        <v>0.45822102425876032</v>
      </c>
      <c r="AS101" s="419">
        <f t="shared" si="650"/>
        <v>0.5679758308157099</v>
      </c>
      <c r="AT101" s="419">
        <f t="shared" si="650"/>
        <v>0.23041474654377891</v>
      </c>
      <c r="AU101" s="419">
        <f t="shared" si="650"/>
        <v>0.57292096219931254</v>
      </c>
      <c r="AV101" s="419">
        <f t="shared" si="650"/>
        <v>0.36940850277264325</v>
      </c>
      <c r="AW101" s="419">
        <f t="shared" si="650"/>
        <v>0.47109826589595394</v>
      </c>
      <c r="AX101" s="419">
        <f t="shared" si="650"/>
        <v>0.59168539325842673</v>
      </c>
      <c r="AY101" s="419">
        <f t="shared" si="650"/>
        <v>9.7308398147339048E-2</v>
      </c>
      <c r="AZ101" s="419">
        <f t="shared" si="650"/>
        <v>4.6095700884119406E-2</v>
      </c>
      <c r="BA101" s="419">
        <f t="shared" si="650"/>
        <v>-9.8729535036018445E-2</v>
      </c>
      <c r="BB101" s="419">
        <f t="shared" si="650"/>
        <v>-0.2271165701915383</v>
      </c>
      <c r="BC101" s="419">
        <f t="shared" si="650"/>
        <v>-7.6852626129892854E-2</v>
      </c>
      <c r="BD101" s="419">
        <f t="shared" si="650"/>
        <v>-0.23513548387096772</v>
      </c>
      <c r="BE101" s="419">
        <f>BE99/BA99-1</f>
        <v>3.7725978027088436E-2</v>
      </c>
      <c r="BF101" s="419">
        <f>BF99/BB99-1</f>
        <v>0.19929367350666727</v>
      </c>
      <c r="BG101" s="419">
        <f>BG99/BC99-1</f>
        <v>0.23847215632144247</v>
      </c>
      <c r="BH101" s="419">
        <f>BH99/BD99-1</f>
        <v>0.33473353914671788</v>
      </c>
      <c r="BI101" s="419">
        <f t="shared" ref="BI101:BQ101" si="651">BI99/BE99-1</f>
        <v>-4.4079766272688059E-2</v>
      </c>
      <c r="BJ101" s="419">
        <f t="shared" si="651"/>
        <v>-3.6987205523964062E-2</v>
      </c>
      <c r="BK101" s="419">
        <f t="shared" si="651"/>
        <v>0.26283372359507506</v>
      </c>
      <c r="BL101" s="419">
        <f t="shared" si="651"/>
        <v>0.24439135985035199</v>
      </c>
      <c r="BM101" s="419">
        <f t="shared" si="651"/>
        <v>0.48506412515638564</v>
      </c>
      <c r="BN101" s="419">
        <f t="shared" si="651"/>
        <v>0.43280287465401335</v>
      </c>
      <c r="BO101" s="419">
        <f t="shared" si="651"/>
        <v>1.7487012812216092</v>
      </c>
      <c r="BP101" s="419">
        <f t="shared" si="651"/>
        <v>0.35966234167893951</v>
      </c>
      <c r="BQ101" s="419">
        <f t="shared" si="651"/>
        <v>-9.8368851249371114E-2</v>
      </c>
      <c r="BR101" s="419">
        <f t="shared" ref="BR101:BW101" si="652">BR99/BN99-1</f>
        <v>-1.1094688191044055</v>
      </c>
      <c r="BS101" s="419">
        <f t="shared" si="652"/>
        <v>-0.73861652385061505</v>
      </c>
      <c r="BT101" s="419">
        <f t="shared" si="652"/>
        <v>-0.42170493740193893</v>
      </c>
      <c r="BU101" s="419">
        <f t="shared" si="652"/>
        <v>-0.1838734011824974</v>
      </c>
      <c r="BV101" s="419">
        <f t="shared" si="652"/>
        <v>-12.386299999999999</v>
      </c>
      <c r="BW101" s="419">
        <f t="shared" si="652"/>
        <v>2.2140882917466413</v>
      </c>
      <c r="BX101" s="419">
        <f t="shared" ref="BX101:CD101" si="653">BX99/BT99-1</f>
        <v>2.6365743105976343</v>
      </c>
      <c r="BY101" s="419">
        <f t="shared" si="653"/>
        <v>2.1757216728137729</v>
      </c>
      <c r="BZ101" s="419">
        <f t="shared" si="653"/>
        <v>1.2574674548072924</v>
      </c>
      <c r="CA101" s="419">
        <f t="shared" si="653"/>
        <v>1.071088179440324</v>
      </c>
      <c r="CB101" s="419">
        <f t="shared" si="653"/>
        <v>0.40702825011278021</v>
      </c>
      <c r="CC101" s="419">
        <f t="shared" si="653"/>
        <v>0.39121166037500887</v>
      </c>
      <c r="CD101" s="419">
        <f t="shared" si="653"/>
        <v>-0.11469857460442023</v>
      </c>
      <c r="CE101" s="419">
        <f t="shared" ref="CE101" si="654">CE99/CA99-1</f>
        <v>-0.23722650888665908</v>
      </c>
      <c r="CF101" s="419">
        <f t="shared" ref="CF101" si="655">CF99/CB99-1</f>
        <v>-0.35990689407939247</v>
      </c>
      <c r="CG101" s="419">
        <f t="shared" ref="CG101" si="656">CG99/CC99-1</f>
        <v>-0.31789271612842507</v>
      </c>
      <c r="CH101" s="419">
        <f t="shared" ref="CH101" si="657">CH99/CD99-1</f>
        <v>-0.20826378528486389</v>
      </c>
      <c r="CI101" s="419">
        <f t="shared" ref="CI101" si="658">CI99/CE99-1</f>
        <v>-0.33037991362332197</v>
      </c>
      <c r="CJ101" s="419">
        <f t="shared" ref="CJ101" si="659">CJ99/CF99-1</f>
        <v>8.6327241999479831E-3</v>
      </c>
      <c r="CK101" s="419">
        <f t="shared" ref="CK101" si="660">CK99/CG99-1</f>
        <v>0.17053457229462232</v>
      </c>
      <c r="CL101" s="562">
        <f t="shared" ref="CL101" si="661">CL99/CH99-1</f>
        <v>-3.9319890622646625E-4</v>
      </c>
      <c r="CM101" s="562">
        <f t="shared" ref="CM101" si="662">CM99/CI99-1</f>
        <v>0.46565060511231993</v>
      </c>
      <c r="CN101" s="562">
        <f t="shared" ref="CN101" si="663">CN99/CJ99-1</f>
        <v>0.51031312417068841</v>
      </c>
      <c r="CO101" s="562">
        <f t="shared" ref="CO101" si="664">CO99/CK99-1</f>
        <v>0.22358309318301162</v>
      </c>
      <c r="CP101" s="562">
        <f t="shared" ref="CP101" si="665">CP99/CL99-1</f>
        <v>0.17119769795348838</v>
      </c>
      <c r="CQ101" s="562"/>
      <c r="CR101" s="562"/>
      <c r="CS101" s="562">
        <v>6.5074999127106015E-3</v>
      </c>
      <c r="CT101" s="1133"/>
      <c r="CU101" s="207"/>
      <c r="CV101" s="209"/>
      <c r="CW101" s="209"/>
      <c r="CX101" s="108"/>
      <c r="CY101" s="108">
        <f t="shared" ref="CY101:DL101" si="666">CY99/CX99-1</f>
        <v>0.27539062499999978</v>
      </c>
      <c r="CZ101" s="108">
        <f t="shared" si="666"/>
        <v>0.72128637059724365</v>
      </c>
      <c r="DA101" s="108">
        <f t="shared" si="666"/>
        <v>-0.21530249110320288</v>
      </c>
      <c r="DB101" s="108">
        <f t="shared" si="666"/>
        <v>0.24036281179138319</v>
      </c>
      <c r="DC101" s="108">
        <f t="shared" si="666"/>
        <v>0.15265082266910435</v>
      </c>
      <c r="DD101" s="108">
        <f t="shared" si="666"/>
        <v>0.12926249008723256</v>
      </c>
      <c r="DE101" s="108">
        <f t="shared" si="666"/>
        <v>0.3237359550561798</v>
      </c>
      <c r="DF101" s="108">
        <f t="shared" si="666"/>
        <v>0.49179310344827609</v>
      </c>
      <c r="DG101" s="108">
        <f t="shared" si="666"/>
        <v>-6.7470830681038318E-2</v>
      </c>
      <c r="DH101" s="108">
        <f t="shared" si="666"/>
        <v>-2.4386988521527098E-2</v>
      </c>
      <c r="DI101" s="108">
        <f t="shared" si="666"/>
        <v>9.7083479781890247E-2</v>
      </c>
      <c r="DJ101" s="108">
        <f t="shared" si="666"/>
        <v>0.35762732676326747</v>
      </c>
      <c r="DK101" s="108">
        <f t="shared" si="666"/>
        <v>8.3034983094655512E-2</v>
      </c>
      <c r="DL101" s="108">
        <f t="shared" si="666"/>
        <v>-0.17709394048258542</v>
      </c>
      <c r="DM101" s="108">
        <f t="shared" ref="DM101:DR101" si="667">DM99/DL99-1</f>
        <v>1.9202906902307313</v>
      </c>
      <c r="DN101" s="108">
        <f t="shared" si="667"/>
        <v>0.35446112411711606</v>
      </c>
      <c r="DO101" s="108">
        <f t="shared" si="667"/>
        <v>-0.28735476109544045</v>
      </c>
      <c r="DP101" s="108">
        <f t="shared" si="667"/>
        <v>-4.905398641370573E-2</v>
      </c>
      <c r="DQ101" s="108">
        <f t="shared" si="667"/>
        <v>0.3389048437489699</v>
      </c>
      <c r="DR101" s="108">
        <f t="shared" si="667"/>
        <v>-0.13681019714411136</v>
      </c>
      <c r="DS101" s="108">
        <f t="shared" ref="DS101" si="668">DS99/DR99-1</f>
        <v>-3.6013824742044842E-2</v>
      </c>
      <c r="DT101" s="108">
        <f t="shared" ref="DT101" si="669">DT99/DS99-1</f>
        <v>-2.8874403486525924E-2</v>
      </c>
      <c r="DU101" s="108">
        <f t="shared" ref="DU101" si="670">DU99/DT99-1</f>
        <v>-2.7479025769396648E-2</v>
      </c>
      <c r="DV101" s="206"/>
      <c r="DW101" s="206"/>
      <c r="DY101" s="108">
        <v>-6.893004086587462E-2</v>
      </c>
      <c r="DZ101" s="108">
        <v>5.3438001976060523E-3</v>
      </c>
    </row>
    <row r="102" spans="1:130">
      <c r="A102" s="440" t="s">
        <v>170</v>
      </c>
      <c r="B102" s="440"/>
      <c r="C102" s="419"/>
      <c r="D102" s="419"/>
      <c r="E102" s="419"/>
      <c r="F102" s="419"/>
      <c r="G102" s="419"/>
      <c r="H102" s="419"/>
      <c r="I102" s="419"/>
      <c r="J102" s="419"/>
      <c r="K102" s="419"/>
      <c r="L102" s="419">
        <v>2.3125306120931182</v>
      </c>
      <c r="M102" s="419">
        <v>1.8305380691759092</v>
      </c>
      <c r="N102" s="419">
        <v>0.36887677632209814</v>
      </c>
      <c r="O102" s="419">
        <v>1.8733297464773635</v>
      </c>
      <c r="P102" s="419">
        <v>6.9752708799464713E-2</v>
      </c>
      <c r="Q102" s="419">
        <v>0.20324279868700224</v>
      </c>
      <c r="R102" s="419">
        <v>-0.36087347323523411</v>
      </c>
      <c r="S102" s="419">
        <v>0.80284957891160236</v>
      </c>
      <c r="T102" s="419">
        <v>-0.22268434555930205</v>
      </c>
      <c r="U102" s="419">
        <v>0.20179853770925482</v>
      </c>
      <c r="V102" s="419">
        <v>-0.19357263517368795</v>
      </c>
      <c r="W102" s="419">
        <v>1.2298298726184376</v>
      </c>
      <c r="X102" s="419">
        <v>-0.10515846045634469</v>
      </c>
      <c r="Y102" s="419">
        <v>3.7555247695914007E-2</v>
      </c>
      <c r="Z102" s="419">
        <v>-0.28165752187467119</v>
      </c>
      <c r="AA102" s="419">
        <v>0.39388569227171466</v>
      </c>
      <c r="AB102" s="419">
        <v>-0.19397937497385909</v>
      </c>
      <c r="AC102" s="419">
        <v>-0.26056541529630917</v>
      </c>
      <c r="AD102" s="419">
        <v>-0.34957663418848128</v>
      </c>
      <c r="AE102" s="419">
        <v>0.79619250571942768</v>
      </c>
      <c r="AF102" s="419">
        <v>3.427646842426757E-2</v>
      </c>
      <c r="AG102" s="419">
        <v>-3.7341879417455703E-2</v>
      </c>
      <c r="AH102" s="419">
        <v>5.3972154854649901E-2</v>
      </c>
      <c r="AI102" s="419">
        <v>-9.9807527936255469E-2</v>
      </c>
      <c r="AJ102" s="419">
        <v>0.15622985387443999</v>
      </c>
      <c r="AK102" s="419">
        <v>-7.3687250628057255E-2</v>
      </c>
      <c r="AL102" s="419">
        <v>3.6918345999868318E-2</v>
      </c>
      <c r="AM102" s="419">
        <v>0.12219638780285447</v>
      </c>
      <c r="AN102" s="419">
        <v>-5.7029868366200609E-2</v>
      </c>
      <c r="AO102" s="419">
        <v>-6.9933178615011471E-2</v>
      </c>
      <c r="AP102" s="419">
        <v>-7.7994151309800142E-2</v>
      </c>
      <c r="AQ102" s="419">
        <f t="shared" ref="AQ102:BD102" si="671">AQ100/AP100-1</f>
        <v>0.50959309769293104</v>
      </c>
      <c r="AR102" s="419">
        <f t="shared" si="671"/>
        <v>0.30929753070144361</v>
      </c>
      <c r="AS102" s="419">
        <f t="shared" si="671"/>
        <v>3.0188640367305508E-2</v>
      </c>
      <c r="AT102" s="419">
        <f t="shared" si="671"/>
        <v>-0.32814241676696942</v>
      </c>
      <c r="AU102" s="419">
        <f t="shared" si="671"/>
        <v>0.43663301843077296</v>
      </c>
      <c r="AV102" s="419">
        <f t="shared" si="671"/>
        <v>0.15263995939420205</v>
      </c>
      <c r="AW102" s="419">
        <f t="shared" si="671"/>
        <v>0.12245510992720221</v>
      </c>
      <c r="AX102" s="419">
        <f t="shared" si="671"/>
        <v>-0.21362593070536395</v>
      </c>
      <c r="AY102" s="419">
        <f t="shared" si="671"/>
        <v>3.7058782881338459E-2</v>
      </c>
      <c r="AZ102" s="419">
        <f t="shared" si="671"/>
        <v>6.513395553710688E-2</v>
      </c>
      <c r="BA102" s="419">
        <f t="shared" si="671"/>
        <v>3.3878448626895041E-2</v>
      </c>
      <c r="BB102" s="419">
        <f t="shared" si="671"/>
        <v>-0.3446224368314913</v>
      </c>
      <c r="BC102" s="419">
        <f t="shared" si="671"/>
        <v>0.1570750136110679</v>
      </c>
      <c r="BD102" s="419">
        <f t="shared" si="671"/>
        <v>-5.9112524579673642E-2</v>
      </c>
      <c r="BE102" s="419">
        <f>BE100/BD100-1</f>
        <v>0.3127370203451727</v>
      </c>
      <c r="BF102" s="419">
        <f>BF100/BE100-1</f>
        <v>-0.22709034532531824</v>
      </c>
      <c r="BG102" s="419">
        <f>BG100/BF100-1</f>
        <v>0.1984652358888841</v>
      </c>
      <c r="BH102" s="419">
        <f>BH100/BG100-1</f>
        <v>2.1553712288703286E-2</v>
      </c>
      <c r="BI102" s="419">
        <f t="shared" ref="BI102:BQ102" si="672">BI100/BH100-1</f>
        <v>-9.7916665605977671E-2</v>
      </c>
      <c r="BJ102" s="419">
        <f t="shared" si="672"/>
        <v>-0.23958463018317888</v>
      </c>
      <c r="BK102" s="419">
        <f t="shared" si="672"/>
        <v>0.56393815153193882</v>
      </c>
      <c r="BL102" s="419">
        <f t="shared" si="672"/>
        <v>3.7761638381439644E-2</v>
      </c>
      <c r="BM102" s="419">
        <f t="shared" si="672"/>
        <v>8.5919722070553206E-2</v>
      </c>
      <c r="BN102" s="419">
        <f t="shared" si="672"/>
        <v>-0.26229677443643162</v>
      </c>
      <c r="BO102" s="419">
        <f t="shared" si="672"/>
        <v>2.536869241719649</v>
      </c>
      <c r="BP102" s="419">
        <f t="shared" si="672"/>
        <v>0.63184761996459859</v>
      </c>
      <c r="BQ102" s="419">
        <f t="shared" si="672"/>
        <v>-0.73037350153165059</v>
      </c>
      <c r="BR102" s="419">
        <f t="shared" ref="BR102:BW102" si="673">BR100/BQ100-1</f>
        <v>-1.0749207123020768</v>
      </c>
      <c r="BS102" s="419">
        <f t="shared" si="673"/>
        <v>-11.464311795544681</v>
      </c>
      <c r="BT102" s="419">
        <f t="shared" si="673"/>
        <v>-0.15203953102827306</v>
      </c>
      <c r="BU102" s="419">
        <f t="shared" si="673"/>
        <v>-3.1443248415318648E-2</v>
      </c>
      <c r="BV102" s="419">
        <f t="shared" si="673"/>
        <v>0.19020264839177159</v>
      </c>
      <c r="BW102" s="419">
        <f t="shared" si="673"/>
        <v>1.0788758211054104</v>
      </c>
      <c r="BX102" s="419">
        <f t="shared" ref="BX102:CD102" si="674">BX100/BW100-1</f>
        <v>0.16755810019903539</v>
      </c>
      <c r="BY102" s="419">
        <f t="shared" si="674"/>
        <v>4.5503937579910891E-2</v>
      </c>
      <c r="BZ102" s="419">
        <f t="shared" si="674"/>
        <v>-4.9212409809503477E-2</v>
      </c>
      <c r="CA102" s="419">
        <f t="shared" si="674"/>
        <v>1.0158710417103327</v>
      </c>
      <c r="CB102" s="419">
        <f t="shared" si="674"/>
        <v>-0.14123378261921626</v>
      </c>
      <c r="CC102" s="419">
        <f t="shared" si="674"/>
        <v>-7.3146541260824538E-3</v>
      </c>
      <c r="CD102" s="419">
        <f t="shared" si="674"/>
        <v>-0.42402519277282902</v>
      </c>
      <c r="CE102" s="419">
        <f t="shared" ref="CE102" si="675">CE100/CD100-1</f>
        <v>0.51367188987093826</v>
      </c>
      <c r="CF102" s="419">
        <f t="shared" ref="CF102" si="676">CF100/CE100-1</f>
        <v>-0.27963801249133569</v>
      </c>
      <c r="CG102" s="419">
        <f t="shared" ref="CG102" si="677">CG100/CF100-1</f>
        <v>-7.5163066332917805E-2</v>
      </c>
      <c r="CH102" s="419">
        <f t="shared" ref="CH102" si="678">CH100/CG100-1</f>
        <v>-0.29461091691570451</v>
      </c>
      <c r="CI102" s="419">
        <f t="shared" ref="CI102" si="679">CI100/CH100-1</f>
        <v>0.31253677873437091</v>
      </c>
      <c r="CJ102" s="419">
        <f t="shared" ref="CJ102" si="680">CJ100/CI100-1</f>
        <v>5.6806860412474514E-2</v>
      </c>
      <c r="CK102" s="419">
        <f t="shared" ref="CK102" si="681">CK100/CJ100-1</f>
        <v>0.23744574465569257</v>
      </c>
      <c r="CL102" s="562">
        <f t="shared" ref="CL102" si="682">CL100/CK100-1</f>
        <v>-0.45606847175172038</v>
      </c>
      <c r="CM102" s="562">
        <f t="shared" ref="CM102" si="683">CM100/CL100-1</f>
        <v>0.74534186013402648</v>
      </c>
      <c r="CN102" s="562">
        <f t="shared" ref="CN102" si="684">CN100/CM100-1</f>
        <v>9.8268434129064941E-2</v>
      </c>
      <c r="CO102" s="562">
        <f t="shared" ref="CO102" si="685">CO100/CN100-1</f>
        <v>-6.6038506465025515E-2</v>
      </c>
      <c r="CP102" s="562">
        <f t="shared" ref="CP102" si="686">CP100/CO100-1</f>
        <v>-0.4682816460689595</v>
      </c>
      <c r="CQ102" s="562"/>
      <c r="CR102" s="562"/>
      <c r="CS102" s="562">
        <v>5.1877971692046554E-2</v>
      </c>
      <c r="CT102" s="1133"/>
      <c r="CU102" s="207"/>
      <c r="CV102" s="207"/>
      <c r="CW102" s="207"/>
      <c r="CX102" s="207"/>
      <c r="CY102" s="207"/>
      <c r="CZ102" s="207"/>
      <c r="DA102" s="206"/>
      <c r="DB102" s="206"/>
      <c r="DC102" s="206"/>
      <c r="DD102" s="206"/>
      <c r="DE102" s="206"/>
      <c r="DF102" s="206"/>
      <c r="DG102" s="206"/>
      <c r="DH102" s="206"/>
      <c r="DI102" s="206"/>
      <c r="DJ102" s="206"/>
      <c r="DK102" s="206"/>
      <c r="DL102" s="206"/>
      <c r="DM102" s="206"/>
      <c r="DN102" s="206"/>
      <c r="DO102" s="206"/>
      <c r="DP102" s="206"/>
      <c r="DQ102" s="206"/>
      <c r="DR102" s="206"/>
      <c r="DS102" s="206"/>
      <c r="DT102" s="206"/>
      <c r="DU102" s="206"/>
      <c r="DV102" s="206"/>
      <c r="DW102" s="206"/>
      <c r="DY102" s="206"/>
      <c r="DZ102" s="206"/>
    </row>
    <row r="103" spans="1:130">
      <c r="A103" s="440"/>
      <c r="B103" s="440"/>
      <c r="C103" s="419"/>
      <c r="D103" s="419"/>
      <c r="E103" s="419"/>
      <c r="F103" s="419"/>
      <c r="G103" s="419"/>
      <c r="H103" s="419"/>
      <c r="I103" s="419"/>
      <c r="J103" s="419"/>
      <c r="K103" s="419"/>
      <c r="L103" s="419"/>
      <c r="M103" s="419"/>
      <c r="N103" s="419"/>
      <c r="O103" s="419"/>
      <c r="P103" s="419"/>
      <c r="Q103" s="419"/>
      <c r="R103" s="419"/>
      <c r="S103" s="419"/>
      <c r="T103" s="419"/>
      <c r="U103" s="419"/>
      <c r="V103" s="419"/>
      <c r="W103" s="419"/>
      <c r="X103" s="419"/>
      <c r="Y103" s="419"/>
      <c r="Z103" s="419"/>
      <c r="AA103" s="419"/>
      <c r="AB103" s="419"/>
      <c r="AC103" s="419"/>
      <c r="AD103" s="419"/>
      <c r="AE103" s="419"/>
      <c r="AF103" s="419"/>
      <c r="AG103" s="419"/>
      <c r="AH103" s="419"/>
      <c r="AI103" s="419"/>
      <c r="AJ103" s="419"/>
      <c r="AK103" s="419"/>
      <c r="AL103" s="419"/>
      <c r="AM103" s="419"/>
      <c r="AN103" s="419"/>
      <c r="AO103" s="419"/>
      <c r="AP103" s="419"/>
      <c r="AQ103" s="419"/>
      <c r="AR103" s="419"/>
      <c r="AS103" s="419"/>
      <c r="AT103" s="419"/>
      <c r="AU103" s="419"/>
      <c r="AV103" s="419"/>
      <c r="AW103" s="419"/>
      <c r="AX103" s="419"/>
      <c r="AY103" s="419"/>
      <c r="AZ103" s="419"/>
      <c r="BA103" s="419"/>
      <c r="BB103" s="419"/>
      <c r="BC103" s="471"/>
      <c r="BD103" s="471"/>
      <c r="BE103" s="471"/>
      <c r="BF103" s="471"/>
      <c r="BG103" s="471"/>
      <c r="BH103" s="471"/>
      <c r="BI103" s="471"/>
      <c r="BJ103" s="471"/>
      <c r="BK103" s="471"/>
      <c r="BL103" s="471"/>
      <c r="BM103" s="471"/>
      <c r="BN103" s="562"/>
      <c r="BO103" s="562"/>
      <c r="BP103" s="562"/>
      <c r="BQ103" s="562"/>
      <c r="BR103" s="562"/>
      <c r="BS103" s="562"/>
      <c r="BT103" s="562"/>
      <c r="BU103" s="562"/>
      <c r="BV103" s="562"/>
      <c r="BW103" s="562"/>
      <c r="BX103" s="562"/>
      <c r="BY103" s="562"/>
      <c r="BZ103" s="562"/>
      <c r="CA103" s="562"/>
      <c r="CB103" s="562"/>
      <c r="CC103" s="562"/>
      <c r="CD103" s="562"/>
      <c r="CE103" s="562"/>
      <c r="CF103" s="562"/>
      <c r="CG103" s="562"/>
      <c r="CH103" s="562"/>
      <c r="CI103" s="562"/>
      <c r="CJ103" s="562"/>
      <c r="CK103" s="562"/>
      <c r="CL103" s="562"/>
      <c r="CM103" s="562"/>
      <c r="CN103" s="562"/>
      <c r="CO103" s="562"/>
      <c r="CP103" s="562"/>
      <c r="CQ103" s="562"/>
      <c r="CR103" s="562"/>
      <c r="CS103" s="562"/>
      <c r="CT103" s="1136"/>
      <c r="CU103" s="207"/>
      <c r="CV103" s="207"/>
      <c r="CW103" s="207"/>
      <c r="CX103" s="207"/>
      <c r="CY103" s="207"/>
      <c r="CZ103" s="207"/>
      <c r="DA103" s="206"/>
      <c r="DB103" s="206"/>
      <c r="DC103" s="206"/>
      <c r="DD103" s="206"/>
      <c r="DE103" s="206"/>
      <c r="DF103" s="206"/>
      <c r="DG103" s="206"/>
      <c r="DH103" s="206"/>
      <c r="DI103" s="206"/>
      <c r="DJ103" s="206"/>
      <c r="DK103" s="206"/>
      <c r="DL103" s="206"/>
      <c r="DM103" s="206"/>
      <c r="DN103" s="206"/>
      <c r="DO103" s="206"/>
      <c r="DP103" s="206"/>
      <c r="DQ103" s="206"/>
      <c r="DR103" s="206"/>
      <c r="DS103" s="206"/>
      <c r="DT103" s="206"/>
      <c r="DU103" s="206"/>
      <c r="DV103" s="206"/>
      <c r="DW103" s="206"/>
      <c r="DY103" s="206"/>
      <c r="DZ103" s="206"/>
    </row>
    <row r="104" spans="1:130" s="735" customFormat="1">
      <c r="A104" s="1934" t="s">
        <v>615</v>
      </c>
      <c r="B104" s="1925"/>
      <c r="C104" s="1934"/>
      <c r="D104" s="1934"/>
      <c r="E104" s="1934"/>
      <c r="F104" s="1934"/>
      <c r="G104" s="1934"/>
      <c r="H104" s="1934"/>
      <c r="I104" s="1934"/>
      <c r="J104" s="1934"/>
      <c r="K104" s="1934"/>
      <c r="L104" s="1934"/>
      <c r="M104" s="1934"/>
      <c r="N104" s="1934"/>
      <c r="O104" s="1934"/>
      <c r="P104" s="1934"/>
      <c r="Q104" s="1934"/>
      <c r="R104" s="1934"/>
      <c r="S104" s="1934"/>
      <c r="T104" s="1934"/>
      <c r="U104" s="1934"/>
      <c r="V104" s="1934"/>
      <c r="W104" s="1934"/>
      <c r="X104" s="1934"/>
      <c r="Y104" s="1934"/>
      <c r="Z104" s="1934"/>
      <c r="AA104" s="1934"/>
      <c r="AB104" s="1934"/>
      <c r="AC104" s="1934"/>
      <c r="AD104" s="1934"/>
      <c r="AE104" s="1934"/>
      <c r="AF104" s="1934"/>
      <c r="AG104" s="1934"/>
      <c r="AH104" s="1934"/>
      <c r="AI104" s="1934"/>
      <c r="AJ104" s="1934"/>
      <c r="AK104" s="1934"/>
      <c r="AL104" s="1934"/>
      <c r="AM104" s="1934"/>
      <c r="AN104" s="1929">
        <v>-26.200000000000003</v>
      </c>
      <c r="AO104" s="1929">
        <v>-22.3</v>
      </c>
      <c r="AP104" s="1929">
        <v>-32.1</v>
      </c>
      <c r="AQ104" s="1929">
        <f t="shared" ref="AQ104:BM104" si="687">+AQ212/1000</f>
        <v>-15</v>
      </c>
      <c r="AR104" s="1929">
        <f t="shared" si="687"/>
        <v>-38</v>
      </c>
      <c r="AS104" s="1929">
        <f t="shared" si="687"/>
        <v>-29.900000000000002</v>
      </c>
      <c r="AT104" s="1929">
        <f t="shared" si="687"/>
        <v>-34.200000000000003</v>
      </c>
      <c r="AU104" s="1929">
        <f t="shared" si="687"/>
        <v>-24.8</v>
      </c>
      <c r="AV104" s="1929">
        <f t="shared" si="687"/>
        <v>-45.1</v>
      </c>
      <c r="AW104" s="1929">
        <f t="shared" si="687"/>
        <v>-41.7</v>
      </c>
      <c r="AX104" s="1929">
        <f t="shared" si="687"/>
        <v>-53.2</v>
      </c>
      <c r="AY104" s="1929">
        <f t="shared" si="687"/>
        <v>-33.814999999999998</v>
      </c>
      <c r="AZ104" s="1922">
        <f t="shared" si="687"/>
        <v>-56.344999999999999</v>
      </c>
      <c r="BA104" s="1922">
        <f t="shared" si="687"/>
        <v>-47.546999999999997</v>
      </c>
      <c r="BB104" s="1929">
        <f t="shared" si="687"/>
        <v>-53.01</v>
      </c>
      <c r="BC104" s="1929">
        <f t="shared" si="687"/>
        <v>-37.878999999999998</v>
      </c>
      <c r="BD104" s="1929">
        <f t="shared" si="687"/>
        <v>-49.72</v>
      </c>
      <c r="BE104" s="1929">
        <f t="shared" si="687"/>
        <v>-43.881999999999998</v>
      </c>
      <c r="BF104" s="1929">
        <f t="shared" si="687"/>
        <v>-59.258000000000003</v>
      </c>
      <c r="BG104" s="1929">
        <f t="shared" si="687"/>
        <v>-58.725000000000001</v>
      </c>
      <c r="BH104" s="1929">
        <f t="shared" si="687"/>
        <v>-55.554000000000002</v>
      </c>
      <c r="BI104" s="1929">
        <f t="shared" si="687"/>
        <v>-39.110999999999997</v>
      </c>
      <c r="BJ104" s="1929">
        <f t="shared" si="687"/>
        <v>-53.231999999999999</v>
      </c>
      <c r="BK104" s="1929">
        <f t="shared" si="687"/>
        <v>-50.765999999999998</v>
      </c>
      <c r="BL104" s="1929">
        <f t="shared" si="687"/>
        <v>-59.084000000000003</v>
      </c>
      <c r="BM104" s="1929">
        <f t="shared" si="687"/>
        <v>-65.358999999999995</v>
      </c>
      <c r="BN104" s="1929">
        <f>+BN212/1000</f>
        <v>67.963999999999999</v>
      </c>
      <c r="BO104" s="1929">
        <f>+BO212/1000</f>
        <v>-89.992000000000004</v>
      </c>
      <c r="BP104" s="1929">
        <f>+BP212/1000</f>
        <v>-76.887</v>
      </c>
      <c r="BQ104" s="1929">
        <f t="shared" ref="BQ104:BV104" si="688">+BQ212/1000</f>
        <v>-46.134</v>
      </c>
      <c r="BR104" s="1929">
        <f t="shared" si="688"/>
        <v>-3.78</v>
      </c>
      <c r="BS104" s="1929">
        <f t="shared" si="688"/>
        <v>-23.504999999999999</v>
      </c>
      <c r="BT104" s="1929">
        <f t="shared" si="688"/>
        <v>-60.406999999999996</v>
      </c>
      <c r="BU104" s="1929">
        <f>+BU212/1000</f>
        <v>-34.198</v>
      </c>
      <c r="BV104" s="1929">
        <f t="shared" si="688"/>
        <v>-41.548999999999999</v>
      </c>
      <c r="BW104" s="1929">
        <f t="shared" ref="BW104:CD104" si="689">+BW212/1000</f>
        <v>-39.412999999999997</v>
      </c>
      <c r="BX104" s="1929">
        <f t="shared" si="689"/>
        <v>-66.28</v>
      </c>
      <c r="BY104" s="1929">
        <f>+BY212/1000</f>
        <v>-60.835000000000001</v>
      </c>
      <c r="BZ104" s="1929">
        <f t="shared" si="689"/>
        <v>-53.146000000000001</v>
      </c>
      <c r="CA104" s="1929">
        <f t="shared" si="689"/>
        <v>-42.805</v>
      </c>
      <c r="CB104" s="1929">
        <f t="shared" si="689"/>
        <v>-51.256999999999998</v>
      </c>
      <c r="CC104" s="1929">
        <f t="shared" si="689"/>
        <v>-40.402999999999999</v>
      </c>
      <c r="CD104" s="1929">
        <f t="shared" si="689"/>
        <v>-28.788</v>
      </c>
      <c r="CE104" s="1929">
        <f t="shared" ref="CE104:CH104" si="690">+CE212/1000</f>
        <v>-23.858000000000001</v>
      </c>
      <c r="CF104" s="1929">
        <f t="shared" si="690"/>
        <v>-22.652999999999999</v>
      </c>
      <c r="CG104" s="1929">
        <f t="shared" si="690"/>
        <v>-24.998999999999999</v>
      </c>
      <c r="CH104" s="1929">
        <f t="shared" si="690"/>
        <v>-25.780999999999999</v>
      </c>
      <c r="CI104" s="1929">
        <f t="shared" ref="CI104:CL104" si="691">+CI212/1000</f>
        <v>-15.62</v>
      </c>
      <c r="CJ104" s="1929">
        <f t="shared" si="691"/>
        <v>-33.424999999999997</v>
      </c>
      <c r="CK104" s="1929">
        <f t="shared" si="691"/>
        <v>-27.215</v>
      </c>
      <c r="CL104" s="1929">
        <f t="shared" si="691"/>
        <v>-41.343163505200003</v>
      </c>
      <c r="CM104" s="1929">
        <f t="shared" ref="CM104:CP104" si="692">+CM212/1000</f>
        <v>-38.864672504033372</v>
      </c>
      <c r="CN104" s="1929">
        <f t="shared" si="692"/>
        <v>-62.517519033828187</v>
      </c>
      <c r="CO104" s="1929">
        <f t="shared" si="692"/>
        <v>-43.893630899968002</v>
      </c>
      <c r="CP104" s="1929">
        <f t="shared" si="692"/>
        <v>-48.297650294316469</v>
      </c>
      <c r="CQ104" s="1929"/>
      <c r="CR104" s="1932"/>
      <c r="CS104" s="1929">
        <v>-43.617444901382626</v>
      </c>
      <c r="CT104" s="1138"/>
      <c r="CU104" s="1923"/>
      <c r="CV104" s="1923"/>
      <c r="CW104" s="1923"/>
      <c r="CX104" s="1923"/>
      <c r="CY104" s="1923"/>
      <c r="CZ104" s="1923"/>
      <c r="DA104" s="1924"/>
      <c r="DB104" s="1924"/>
      <c r="DC104" s="1924"/>
      <c r="DD104" s="1924"/>
      <c r="DE104" s="1924"/>
      <c r="DF104" s="1924"/>
      <c r="DG104" s="1924"/>
      <c r="DH104" s="1924"/>
      <c r="DI104" s="1924"/>
      <c r="DJ104" s="1924"/>
      <c r="DK104" s="1924"/>
      <c r="DL104" s="1924"/>
      <c r="DM104" s="1924"/>
      <c r="DN104" s="1924"/>
      <c r="DO104" s="1924"/>
      <c r="DP104" s="1924"/>
      <c r="DQ104" s="1924"/>
      <c r="DR104" s="1924"/>
      <c r="DS104" s="1924"/>
      <c r="DT104" s="1924"/>
      <c r="DU104" s="1924"/>
      <c r="DV104" s="1924"/>
      <c r="DW104" s="1924"/>
      <c r="DY104" s="1924"/>
      <c r="DZ104" s="1924"/>
    </row>
    <row r="105" spans="1:130">
      <c r="A105" s="419" t="s">
        <v>616</v>
      </c>
      <c r="B105" s="440"/>
      <c r="C105" s="419"/>
      <c r="D105" s="419"/>
      <c r="E105" s="419"/>
      <c r="F105" s="419"/>
      <c r="G105" s="419"/>
      <c r="H105" s="419"/>
      <c r="I105" s="419"/>
      <c r="J105" s="419"/>
      <c r="K105" s="419"/>
      <c r="L105" s="419"/>
      <c r="M105" s="419"/>
      <c r="N105" s="419"/>
      <c r="O105" s="419"/>
      <c r="P105" s="419"/>
      <c r="Q105" s="419"/>
      <c r="R105" s="419"/>
      <c r="S105" s="419"/>
      <c r="T105" s="419"/>
      <c r="U105" s="419"/>
      <c r="V105" s="419"/>
      <c r="W105" s="419"/>
      <c r="X105" s="419"/>
      <c r="Y105" s="419"/>
      <c r="Z105" s="419"/>
      <c r="AA105" s="419"/>
      <c r="AB105" s="419"/>
      <c r="AC105" s="419"/>
      <c r="AD105" s="419"/>
      <c r="AE105" s="419"/>
      <c r="AF105" s="419"/>
      <c r="AG105" s="419"/>
      <c r="AH105" s="419"/>
      <c r="AI105" s="419"/>
      <c r="AJ105" s="419"/>
      <c r="AK105" s="419"/>
      <c r="AL105" s="419"/>
      <c r="AM105" s="419"/>
      <c r="AN105" s="472">
        <v>-26.200000000000003</v>
      </c>
      <c r="AO105" s="472">
        <v>-22.3</v>
      </c>
      <c r="AP105" s="472">
        <v>-32.1</v>
      </c>
      <c r="AQ105" s="472">
        <f>+AQ106+AQ110</f>
        <v>-15</v>
      </c>
      <c r="AR105" s="472">
        <f>+AR106+AR110</f>
        <v>-38</v>
      </c>
      <c r="AS105" s="472">
        <f>+AS106+AS110</f>
        <v>-29.900000000000002</v>
      </c>
      <c r="AT105" s="472">
        <f>+AT106+AT110</f>
        <v>-34.200000000000003</v>
      </c>
      <c r="AU105" s="472">
        <f t="shared" ref="AU105:BD105" si="693">+AU114</f>
        <v>-24.8</v>
      </c>
      <c r="AV105" s="472">
        <f t="shared" si="693"/>
        <v>-45.1</v>
      </c>
      <c r="AW105" s="472">
        <f t="shared" si="693"/>
        <v>-41.7</v>
      </c>
      <c r="AX105" s="472">
        <f t="shared" si="693"/>
        <v>-53.2</v>
      </c>
      <c r="AY105" s="472">
        <f t="shared" si="693"/>
        <v>-18.600000000000001</v>
      </c>
      <c r="AZ105" s="472">
        <f t="shared" si="693"/>
        <v>-41.9</v>
      </c>
      <c r="BA105" s="472">
        <f t="shared" si="693"/>
        <v>-31.811</v>
      </c>
      <c r="BB105" s="472">
        <f t="shared" si="693"/>
        <v>-33.963000000000001</v>
      </c>
      <c r="BC105" s="472">
        <f t="shared" si="693"/>
        <v>-18.731999999999999</v>
      </c>
      <c r="BD105" s="472">
        <f t="shared" si="693"/>
        <v>-30.931000000000001</v>
      </c>
      <c r="BE105" s="472">
        <f t="shared" ref="BE105:BN105" si="694">+BE114</f>
        <v>-25.959</v>
      </c>
      <c r="BF105" s="472">
        <f t="shared" si="694"/>
        <v>-33.716999999999999</v>
      </c>
      <c r="BG105" s="472">
        <f t="shared" si="694"/>
        <v>-19.981000000000002</v>
      </c>
      <c r="BH105" s="472">
        <f t="shared" si="694"/>
        <v>-34.423000000000002</v>
      </c>
      <c r="BI105" s="472">
        <f t="shared" si="694"/>
        <v>-15.701438030000006</v>
      </c>
      <c r="BJ105" s="472">
        <f t="shared" si="694"/>
        <v>-28.512</v>
      </c>
      <c r="BK105" s="472">
        <f t="shared" si="694"/>
        <v>-28.692713040000005</v>
      </c>
      <c r="BL105" s="472">
        <f t="shared" si="694"/>
        <v>-38.774999999999999</v>
      </c>
      <c r="BM105" s="472">
        <f t="shared" si="694"/>
        <v>-44.033999999999999</v>
      </c>
      <c r="BN105" s="472">
        <f t="shared" si="694"/>
        <v>-54.262427019999997</v>
      </c>
      <c r="BO105" s="472">
        <f>+BO114</f>
        <v>-67.444999999999993</v>
      </c>
      <c r="BP105" s="472">
        <f>+BP114</f>
        <v>-56.705672989999997</v>
      </c>
      <c r="BQ105" s="472">
        <f t="shared" ref="BQ105:BV105" si="695">+BQ114</f>
        <v>-13.810881690000002</v>
      </c>
      <c r="BR105" s="472">
        <f t="shared" si="695"/>
        <v>30.8</v>
      </c>
      <c r="BS105" s="472">
        <f t="shared" si="695"/>
        <v>4.5</v>
      </c>
      <c r="BT105" s="472">
        <f t="shared" si="695"/>
        <v>-28.665899999999997</v>
      </c>
      <c r="BU105" s="472">
        <f>+BU114</f>
        <v>6.6399999999966893E-3</v>
      </c>
      <c r="BV105" s="472">
        <f t="shared" si="695"/>
        <v>-17.052810000000001</v>
      </c>
      <c r="BW105" s="472">
        <f t="shared" ref="BW105:CD105" si="696">+BW114</f>
        <v>-19.042999999999999</v>
      </c>
      <c r="BX105" s="472">
        <f t="shared" si="696"/>
        <v>-45.819000000000003</v>
      </c>
      <c r="BY105" s="472">
        <f>+BY114</f>
        <v>-6.8651200000000001</v>
      </c>
      <c r="BZ105" s="472">
        <f t="shared" si="696"/>
        <v>0.42899999999999999</v>
      </c>
      <c r="CA105" s="472">
        <f t="shared" si="696"/>
        <v>-35.817</v>
      </c>
      <c r="CB105" s="472">
        <f t="shared" si="696"/>
        <v>-41.692</v>
      </c>
      <c r="CC105" s="472">
        <f t="shared" si="696"/>
        <v>-27.416</v>
      </c>
      <c r="CD105" s="472">
        <f t="shared" si="696"/>
        <v>-0.54200000000000004</v>
      </c>
      <c r="CE105" s="472">
        <f t="shared" ref="CE105:CH105" si="697">+CE114</f>
        <v>-4.2670000000000003</v>
      </c>
      <c r="CF105" s="472">
        <f t="shared" si="697"/>
        <v>3.1779999999999999</v>
      </c>
      <c r="CG105" s="472">
        <f t="shared" si="697"/>
        <v>-9.4772553000000013</v>
      </c>
      <c r="CH105" s="472">
        <f t="shared" si="697"/>
        <v>-9.6989999999999998</v>
      </c>
      <c r="CI105" s="472">
        <f t="shared" ref="CI105:CL105" si="698">+CI114</f>
        <v>-8.609234159999998</v>
      </c>
      <c r="CJ105" s="472">
        <f t="shared" si="698"/>
        <v>-21.548383690000001</v>
      </c>
      <c r="CK105" s="472">
        <f t="shared" si="698"/>
        <v>-15.541962280000007</v>
      </c>
      <c r="CL105" s="472">
        <f t="shared" si="698"/>
        <v>-18.902572481179778</v>
      </c>
      <c r="CM105" s="472">
        <f t="shared" ref="CM105:CP105" si="699">+CM114</f>
        <v>-27.470994179896792</v>
      </c>
      <c r="CN105" s="472">
        <f t="shared" si="699"/>
        <v>-43.035512581740001</v>
      </c>
      <c r="CO105" s="472">
        <f t="shared" si="699"/>
        <v>-25.128477768591573</v>
      </c>
      <c r="CP105" s="472">
        <f t="shared" si="699"/>
        <v>-9.5875865875487296</v>
      </c>
      <c r="CQ105" s="472"/>
      <c r="CR105" s="563"/>
      <c r="CS105" s="472">
        <v>-21.253265346642358</v>
      </c>
      <c r="CT105" s="1133"/>
      <c r="CU105" s="207"/>
      <c r="CV105" s="207"/>
      <c r="CW105" s="207"/>
      <c r="CX105" s="207"/>
      <c r="CY105" s="207"/>
      <c r="CZ105" s="207"/>
      <c r="DA105" s="206"/>
      <c r="DB105" s="206"/>
      <c r="DC105" s="206"/>
      <c r="DD105" s="206"/>
      <c r="DE105" s="206"/>
      <c r="DF105" s="206"/>
      <c r="DG105" s="206"/>
      <c r="DH105" s="206"/>
      <c r="DI105" s="206"/>
      <c r="DJ105" s="206"/>
      <c r="DK105" s="206"/>
      <c r="DL105" s="206"/>
      <c r="DM105" s="206"/>
      <c r="DN105" s="206"/>
      <c r="DO105" s="206"/>
      <c r="DP105" s="206"/>
      <c r="DQ105" s="206"/>
      <c r="DR105" s="206"/>
      <c r="DS105" s="206"/>
      <c r="DT105" s="206"/>
      <c r="DU105" s="206"/>
      <c r="DV105" s="206"/>
      <c r="DW105" s="206"/>
      <c r="DY105" s="206"/>
      <c r="DZ105" s="206"/>
    </row>
    <row r="106" spans="1:130" hidden="1">
      <c r="A106" s="355" t="s">
        <v>601</v>
      </c>
      <c r="B106" s="355"/>
      <c r="C106" s="461">
        <v>-6.3</v>
      </c>
      <c r="D106" s="461">
        <v>0</v>
      </c>
      <c r="E106" s="461">
        <v>-7.3</v>
      </c>
      <c r="F106" s="461">
        <v>-9.9</v>
      </c>
      <c r="G106" s="461">
        <v>-6.1</v>
      </c>
      <c r="H106" s="461">
        <v>-9.4</v>
      </c>
      <c r="I106" s="461">
        <v>-8.3000000000000007</v>
      </c>
      <c r="J106" s="461">
        <v>-15.1</v>
      </c>
      <c r="K106" s="461">
        <v>-8.1</v>
      </c>
      <c r="L106" s="461">
        <v>-11.1</v>
      </c>
      <c r="M106" s="461">
        <v>-8.8000000000000007</v>
      </c>
      <c r="N106" s="461">
        <v>-15</v>
      </c>
      <c r="O106" s="461">
        <v>-7.5</v>
      </c>
      <c r="P106" s="461">
        <v>-13.2</v>
      </c>
      <c r="Q106" s="461">
        <v>-9.1</v>
      </c>
      <c r="R106" s="461">
        <v>-18.899999999999999</v>
      </c>
      <c r="S106" s="473">
        <v>-7.4</v>
      </c>
      <c r="T106" s="473">
        <v>-13.9</v>
      </c>
      <c r="U106" s="473">
        <v>-9.9</v>
      </c>
      <c r="V106" s="473">
        <v>-14.7</v>
      </c>
      <c r="W106" s="473">
        <v>-6.6</v>
      </c>
      <c r="X106" s="473">
        <v>-14.5</v>
      </c>
      <c r="Y106" s="473">
        <v>-10.8</v>
      </c>
      <c r="Z106" s="473">
        <v>-11.4</v>
      </c>
      <c r="AA106" s="473">
        <v>-5.7</v>
      </c>
      <c r="AB106" s="473">
        <v>-10.9</v>
      </c>
      <c r="AC106" s="473">
        <v>-3.3</v>
      </c>
      <c r="AD106" s="473">
        <v>-3.9</v>
      </c>
      <c r="AE106" s="473">
        <v>-3.7</v>
      </c>
      <c r="AF106" s="473">
        <v>-7.5</v>
      </c>
      <c r="AG106" s="473">
        <v>-6.2</v>
      </c>
      <c r="AH106" s="474">
        <v>-10.9</v>
      </c>
      <c r="AI106" s="474">
        <v>-4.7</v>
      </c>
      <c r="AJ106" s="474">
        <v>-9.4</v>
      </c>
      <c r="AK106" s="474">
        <v>-6.7</v>
      </c>
      <c r="AL106" s="474">
        <v>-11.1</v>
      </c>
      <c r="AM106" s="474">
        <v>-4.9000000000000004</v>
      </c>
      <c r="AN106" s="474">
        <v>-8.4</v>
      </c>
      <c r="AO106" s="474">
        <v>-7.4</v>
      </c>
      <c r="AP106" s="474">
        <v>-10</v>
      </c>
      <c r="AQ106" s="474">
        <v>-5.6</v>
      </c>
      <c r="AR106" s="474">
        <v>-15.6</v>
      </c>
      <c r="AS106" s="474">
        <v>-12.8</v>
      </c>
      <c r="AT106" s="474">
        <v>-12.6</v>
      </c>
      <c r="AU106" s="475"/>
      <c r="AV106" s="475"/>
      <c r="AW106" s="475"/>
      <c r="AX106" s="475"/>
      <c r="AY106" s="475"/>
      <c r="AZ106" s="475"/>
      <c r="BA106" s="475"/>
      <c r="BB106" s="475"/>
      <c r="BC106" s="475"/>
      <c r="BD106" s="475"/>
      <c r="BE106" s="475"/>
      <c r="BF106" s="475"/>
      <c r="BG106" s="475"/>
      <c r="BH106" s="475"/>
      <c r="BI106" s="475"/>
      <c r="BJ106" s="475"/>
      <c r="BK106" s="475"/>
      <c r="BL106" s="475"/>
      <c r="BM106" s="190"/>
      <c r="BN106" s="190"/>
      <c r="BO106" s="190"/>
      <c r="BP106" s="190"/>
      <c r="BQ106" s="190"/>
      <c r="BR106" s="190"/>
      <c r="BS106" s="190"/>
      <c r="BT106" s="190"/>
      <c r="BU106" s="190"/>
      <c r="BV106" s="190"/>
      <c r="BW106" s="190"/>
      <c r="BX106" s="190"/>
      <c r="BY106" s="190"/>
      <c r="BZ106" s="190"/>
      <c r="CA106" s="190"/>
      <c r="CB106" s="190"/>
      <c r="CC106" s="190"/>
      <c r="CD106" s="190"/>
      <c r="CE106" s="190"/>
      <c r="CF106" s="190"/>
      <c r="CG106" s="190"/>
      <c r="CH106" s="190"/>
      <c r="CI106" s="190"/>
      <c r="CJ106" s="190"/>
      <c r="CK106" s="190"/>
      <c r="CL106" s="190"/>
      <c r="CM106" s="190"/>
      <c r="CN106" s="190"/>
      <c r="CO106" s="190"/>
      <c r="CP106" s="190"/>
      <c r="CQ106" s="190"/>
      <c r="CR106" s="190"/>
      <c r="CS106" s="190"/>
      <c r="CT106" s="1133"/>
      <c r="CU106" s="198">
        <f>SUM(C106:F106)</f>
        <v>-23.5</v>
      </c>
      <c r="CV106" s="198">
        <f>SUM(G106:J106)</f>
        <v>-38.9</v>
      </c>
      <c r="CW106" s="198">
        <f>SUM(K106:N106)</f>
        <v>-43</v>
      </c>
      <c r="CX106" s="198">
        <f>SUM(O106:R106)</f>
        <v>-48.699999999999996</v>
      </c>
      <c r="CY106" s="198">
        <f>SUM(S106:V106)</f>
        <v>-45.900000000000006</v>
      </c>
      <c r="CZ106" s="198">
        <f>SUM(W106:Z106)</f>
        <v>-43.300000000000004</v>
      </c>
      <c r="DA106" s="198">
        <f>SUM(AA106:AD106)</f>
        <v>-23.8</v>
      </c>
      <c r="DB106" s="198">
        <f>SUM(AE106:AH106)</f>
        <v>-28.299999999999997</v>
      </c>
      <c r="DC106" s="198">
        <f>+SUM(AI106:AL106)</f>
        <v>-31.9</v>
      </c>
      <c r="DD106" s="198">
        <f>+SUM(AM106:AP106)</f>
        <v>-30.700000000000003</v>
      </c>
      <c r="DE106" s="215"/>
      <c r="DF106" s="215"/>
      <c r="DG106" s="215"/>
      <c r="DH106" s="215"/>
      <c r="DI106" s="198"/>
      <c r="DJ106" s="198"/>
      <c r="DK106" s="198"/>
      <c r="DL106" s="198"/>
      <c r="DM106" s="198"/>
      <c r="DN106" s="198"/>
      <c r="DO106" s="198"/>
      <c r="DP106" s="198"/>
      <c r="DQ106" s="198"/>
      <c r="DR106" s="198"/>
      <c r="DS106" s="198"/>
      <c r="DT106" s="198"/>
      <c r="DU106" s="198"/>
      <c r="DV106" s="17"/>
      <c r="DW106" s="17"/>
      <c r="DY106" s="198"/>
      <c r="DZ106" s="198"/>
    </row>
    <row r="107" spans="1:130" hidden="1">
      <c r="A107" s="419" t="s">
        <v>169</v>
      </c>
      <c r="B107" s="419"/>
      <c r="C107" s="419"/>
      <c r="D107" s="419"/>
      <c r="E107" s="419">
        <v>0.01</v>
      </c>
      <c r="F107" s="419"/>
      <c r="G107" s="419"/>
      <c r="H107" s="419"/>
      <c r="I107" s="419">
        <v>0.13698630136986312</v>
      </c>
      <c r="J107" s="419">
        <v>0.52525252525252508</v>
      </c>
      <c r="K107" s="419">
        <v>0.32786885245901631</v>
      </c>
      <c r="L107" s="419">
        <v>0.18085106382978711</v>
      </c>
      <c r="M107" s="419">
        <v>6.024096385542177E-2</v>
      </c>
      <c r="N107" s="419">
        <v>-6.6225165562913135E-3</v>
      </c>
      <c r="O107" s="419">
        <v>-7.407407407407407E-2</v>
      </c>
      <c r="P107" s="419">
        <v>0.18918918918918926</v>
      </c>
      <c r="Q107" s="419">
        <v>3.409090909090895E-2</v>
      </c>
      <c r="R107" s="419">
        <v>0.26</v>
      </c>
      <c r="S107" s="419">
        <v>-1.3333333333333308E-2</v>
      </c>
      <c r="T107" s="419">
        <v>5.3030303030303205E-2</v>
      </c>
      <c r="U107" s="419">
        <v>8.7912087912088044E-2</v>
      </c>
      <c r="V107" s="419">
        <v>-0.22222222222222221</v>
      </c>
      <c r="W107" s="419">
        <v>-0.10810810810810823</v>
      </c>
      <c r="X107" s="419">
        <v>4.3165467625899234E-2</v>
      </c>
      <c r="Y107" s="419">
        <v>9.090909090909105E-2</v>
      </c>
      <c r="Z107" s="419">
        <v>-0.22448979591836726</v>
      </c>
      <c r="AA107" s="419">
        <v>-0.13636363636363624</v>
      </c>
      <c r="AB107" s="419">
        <v>-0.24827586206896546</v>
      </c>
      <c r="AC107" s="419">
        <v>-0.69444444444444442</v>
      </c>
      <c r="AD107" s="419">
        <v>-0.65789473684210531</v>
      </c>
      <c r="AE107" s="419">
        <v>-0.35087719298245612</v>
      </c>
      <c r="AF107" s="419">
        <v>-0.31192660550458717</v>
      </c>
      <c r="AG107" s="419">
        <v>0.8787878787878789</v>
      </c>
      <c r="AH107" s="419">
        <v>1.7948717948717952</v>
      </c>
      <c r="AI107" s="419">
        <v>0.27027027027027017</v>
      </c>
      <c r="AJ107" s="419">
        <v>0.25333333333333341</v>
      </c>
      <c r="AK107" s="419">
        <v>8.0645161290322509E-2</v>
      </c>
      <c r="AL107" s="419">
        <v>1.8348623853210899E-2</v>
      </c>
      <c r="AM107" s="419">
        <v>4.2553191489361764E-2</v>
      </c>
      <c r="AN107" s="419">
        <v>-0.1063829787234043</v>
      </c>
      <c r="AO107" s="419">
        <v>0.10447761194029859</v>
      </c>
      <c r="AP107" s="419">
        <v>-9.9099099099099086E-2</v>
      </c>
      <c r="AQ107" s="419">
        <f>AQ106/AM106-1</f>
        <v>0.14285714285714279</v>
      </c>
      <c r="AR107" s="419">
        <f>AR106/AN106-1</f>
        <v>0.85714285714285698</v>
      </c>
      <c r="AS107" s="419">
        <f>AS106/AO106-1</f>
        <v>0.72972972972972983</v>
      </c>
      <c r="AT107" s="419">
        <f>AT106/AP106-1</f>
        <v>0.26</v>
      </c>
      <c r="AU107" s="419"/>
      <c r="AV107" s="419"/>
      <c r="AW107" s="419"/>
      <c r="AX107" s="419"/>
      <c r="AY107" s="419"/>
      <c r="AZ107" s="419"/>
      <c r="BA107" s="419"/>
      <c r="BB107" s="419"/>
      <c r="BC107" s="419"/>
      <c r="BD107" s="419"/>
      <c r="BE107" s="419"/>
      <c r="BF107" s="419"/>
      <c r="BG107" s="419"/>
      <c r="BH107" s="419"/>
      <c r="BI107" s="419"/>
      <c r="BJ107" s="419"/>
      <c r="BK107" s="419"/>
      <c r="BL107" s="419"/>
      <c r="BM107" s="231"/>
      <c r="BN107" s="231"/>
      <c r="BO107" s="231"/>
      <c r="BP107" s="231"/>
      <c r="BQ107" s="231"/>
      <c r="BR107" s="231"/>
      <c r="BS107" s="231"/>
      <c r="BT107" s="231"/>
      <c r="BU107" s="231"/>
      <c r="BV107" s="231"/>
      <c r="BW107" s="231"/>
      <c r="BX107" s="231"/>
      <c r="BY107" s="231"/>
      <c r="BZ107" s="231"/>
      <c r="CA107" s="231"/>
      <c r="CB107" s="231"/>
      <c r="CC107" s="231"/>
      <c r="CD107" s="231"/>
      <c r="CE107" s="231"/>
      <c r="CF107" s="231"/>
      <c r="CG107" s="231"/>
      <c r="CH107" s="231"/>
      <c r="CI107" s="231"/>
      <c r="CJ107" s="231"/>
      <c r="CK107" s="231"/>
      <c r="CL107" s="231"/>
      <c r="CM107" s="231"/>
      <c r="CN107" s="231"/>
      <c r="CO107" s="231"/>
      <c r="CP107" s="231"/>
      <c r="CQ107" s="231"/>
      <c r="CR107" s="231"/>
      <c r="CS107" s="231"/>
      <c r="CT107" s="1133"/>
      <c r="CU107" s="207"/>
      <c r="CV107" s="207">
        <f t="shared" ref="CV107:DD107" si="700">CV106/CU106-1</f>
        <v>0.65531914893617005</v>
      </c>
      <c r="CW107" s="207">
        <f t="shared" si="700"/>
        <v>0.1053984575835476</v>
      </c>
      <c r="CX107" s="207">
        <f t="shared" si="700"/>
        <v>0.1325581395348836</v>
      </c>
      <c r="CY107" s="207">
        <f t="shared" si="700"/>
        <v>-5.749486652977398E-2</v>
      </c>
      <c r="CZ107" s="207">
        <f t="shared" si="700"/>
        <v>-5.6644880174291923E-2</v>
      </c>
      <c r="DA107" s="207">
        <f t="shared" si="700"/>
        <v>-0.45034642032332572</v>
      </c>
      <c r="DB107" s="207">
        <f t="shared" si="700"/>
        <v>0.18907563025210061</v>
      </c>
      <c r="DC107" s="207">
        <f t="shared" si="700"/>
        <v>0.12720848056537104</v>
      </c>
      <c r="DD107" s="207">
        <f t="shared" si="700"/>
        <v>-3.7617554858934033E-2</v>
      </c>
      <c r="DE107" s="207"/>
      <c r="DF107" s="207"/>
      <c r="DG107" s="207"/>
      <c r="DH107" s="207"/>
      <c r="DI107" s="207"/>
      <c r="DJ107" s="207"/>
      <c r="DK107" s="207"/>
      <c r="DL107" s="207"/>
      <c r="DM107" s="207"/>
      <c r="DN107" s="207"/>
      <c r="DO107" s="207"/>
      <c r="DP107" s="207"/>
      <c r="DQ107" s="207"/>
      <c r="DR107" s="207"/>
      <c r="DS107" s="207"/>
      <c r="DT107" s="207"/>
      <c r="DU107" s="207"/>
      <c r="DV107" s="206"/>
      <c r="DW107" s="206"/>
      <c r="DY107" s="207"/>
      <c r="DZ107" s="207"/>
    </row>
    <row r="108" spans="1:130" hidden="1">
      <c r="A108" s="419" t="s">
        <v>617</v>
      </c>
      <c r="B108" s="419"/>
      <c r="C108" s="419"/>
      <c r="D108" s="419"/>
      <c r="E108" s="419" t="e">
        <v>#DIV/0!</v>
      </c>
      <c r="F108" s="419" t="e">
        <v>#DIV/0!</v>
      </c>
      <c r="G108" s="419" t="e">
        <v>#DIV/0!</v>
      </c>
      <c r="H108" s="419" t="e">
        <v>#DIV/0!</v>
      </c>
      <c r="I108" s="419" t="e">
        <v>#DIV/0!</v>
      </c>
      <c r="J108" s="419">
        <v>-4.9670449286124109E-2</v>
      </c>
      <c r="K108" s="419">
        <v>-4.5056796128045244E-2</v>
      </c>
      <c r="L108" s="419">
        <v>-4.188499907793071E-2</v>
      </c>
      <c r="M108" s="419">
        <v>-3.7134466859603844E-2</v>
      </c>
      <c r="N108" s="419">
        <v>-4.175836140718809E-2</v>
      </c>
      <c r="O108" s="419">
        <v>-3.4229480764654284E-2</v>
      </c>
      <c r="P108" s="419">
        <v>-3.9306669653973558E-2</v>
      </c>
      <c r="Q108" s="419">
        <v>-3.1571751273385872E-2</v>
      </c>
      <c r="R108" s="419">
        <v>-4.6000776687822764E-2</v>
      </c>
      <c r="S108" s="419">
        <v>-3.0060386848743244E-2</v>
      </c>
      <c r="T108" s="419">
        <v>-4.1535166900985271E-2</v>
      </c>
      <c r="U108" s="419">
        <v>-3.4083461432063936E-2</v>
      </c>
      <c r="V108" s="419">
        <v>-3.5325466050856152E-2</v>
      </c>
      <c r="W108" s="419">
        <v>-2.7307835218696619E-2</v>
      </c>
      <c r="X108" s="419">
        <v>-3.9564388982993012E-2</v>
      </c>
      <c r="Y108" s="419">
        <v>-3.5107028391977053E-2</v>
      </c>
      <c r="Z108" s="419">
        <v>-2.5828234622695498E-2</v>
      </c>
      <c r="AA108" s="419">
        <v>-2.2614845027013435E-2</v>
      </c>
      <c r="AB108" s="419">
        <v>-2.913799741675881E-2</v>
      </c>
      <c r="AC108" s="419">
        <v>-9.9276998710722698E-3</v>
      </c>
      <c r="AD108" s="419">
        <v>-8.2970418538395839E-3</v>
      </c>
      <c r="AE108" s="419">
        <v>-1.2875363516109869E-2</v>
      </c>
      <c r="AF108" s="419">
        <v>-1.7481304107916769E-2</v>
      </c>
      <c r="AG108" s="419">
        <v>-1.6279923847382818E-2</v>
      </c>
      <c r="AH108" s="419">
        <v>-1.988804514998686E-2</v>
      </c>
      <c r="AI108" s="419">
        <v>-1.4417755005993368E-2</v>
      </c>
      <c r="AJ108" s="419">
        <v>-2.0561356350143528E-2</v>
      </c>
      <c r="AK108" s="419">
        <v>-1.5226968838481545E-2</v>
      </c>
      <c r="AL108" s="419">
        <v>-1.7447872186030389E-2</v>
      </c>
      <c r="AM108" s="419">
        <v>-1.3240274435403638E-2</v>
      </c>
      <c r="AN108" s="419">
        <v>-1.6673878548376059E-2</v>
      </c>
      <c r="AO108" s="419">
        <v>-1.5189985508617455E-2</v>
      </c>
      <c r="AP108" s="419">
        <v>-1.4393604012848119E-2</v>
      </c>
      <c r="AQ108" s="419">
        <f>+AQ106/AQ48*1000</f>
        <v>-1.3465642407306262E-2</v>
      </c>
      <c r="AR108" s="419">
        <f>+AR106/AR48*1000</f>
        <v>-2.6595714774648414E-2</v>
      </c>
      <c r="AS108" s="419">
        <f>+AS106/AS48*1000</f>
        <v>-2.3275532682366141E-2</v>
      </c>
      <c r="AT108" s="419">
        <f>+AT106/AT48*1000</f>
        <v>-1.4740552394781857E-2</v>
      </c>
      <c r="AU108" s="476"/>
      <c r="AV108" s="476"/>
      <c r="AW108" s="476"/>
      <c r="AX108" s="476"/>
      <c r="AY108" s="476"/>
      <c r="AZ108" s="476"/>
      <c r="BA108" s="476"/>
      <c r="BB108" s="476"/>
      <c r="BC108" s="476"/>
      <c r="BD108" s="476"/>
      <c r="BE108" s="476"/>
      <c r="BF108" s="476"/>
      <c r="BG108" s="476"/>
      <c r="BH108" s="476"/>
      <c r="BI108" s="476"/>
      <c r="BJ108" s="476"/>
      <c r="BK108" s="476"/>
      <c r="BL108" s="476"/>
      <c r="BM108" s="232"/>
      <c r="BN108" s="232"/>
      <c r="BO108" s="232"/>
      <c r="BP108" s="232"/>
      <c r="BQ108" s="232"/>
      <c r="BR108" s="232"/>
      <c r="BS108" s="232"/>
      <c r="BT108" s="232"/>
      <c r="BU108" s="232"/>
      <c r="BV108" s="232"/>
      <c r="BW108" s="232"/>
      <c r="BX108" s="232"/>
      <c r="BY108" s="232"/>
      <c r="BZ108" s="232"/>
      <c r="CA108" s="232"/>
      <c r="CB108" s="232"/>
      <c r="CC108" s="232"/>
      <c r="CD108" s="232"/>
      <c r="CE108" s="232"/>
      <c r="CF108" s="232"/>
      <c r="CG108" s="232"/>
      <c r="CH108" s="232"/>
      <c r="CI108" s="232"/>
      <c r="CJ108" s="232"/>
      <c r="CK108" s="232"/>
      <c r="CL108" s="232"/>
      <c r="CM108" s="232"/>
      <c r="CN108" s="232"/>
      <c r="CO108" s="232"/>
      <c r="CP108" s="232"/>
      <c r="CQ108" s="232"/>
      <c r="CR108" s="232"/>
      <c r="CS108" s="232"/>
      <c r="CT108" s="1133"/>
      <c r="CU108" s="207"/>
      <c r="CV108" s="207">
        <f>+CV106/CV9*1000</f>
        <v>-0.12795897200200185</v>
      </c>
      <c r="CW108" s="207">
        <f t="shared" ref="CW108:DD108" si="701">+CW106/CW48*1000</f>
        <v>-3.8293542327969617E-2</v>
      </c>
      <c r="CX108" s="207">
        <f t="shared" si="701"/>
        <v>-3.8834944736203011E-2</v>
      </c>
      <c r="CY108" s="207">
        <f t="shared" si="701"/>
        <v>-3.5652668349394942E-2</v>
      </c>
      <c r="CZ108" s="207">
        <f t="shared" si="701"/>
        <v>-3.1904196963290596E-2</v>
      </c>
      <c r="DA108" s="207">
        <f t="shared" si="701"/>
        <v>-1.6659910042745158E-2</v>
      </c>
      <c r="DB108" s="207">
        <f t="shared" si="701"/>
        <v>-1.7200453993780566E-2</v>
      </c>
      <c r="DC108" s="207">
        <f t="shared" si="701"/>
        <v>-1.715658170516551E-2</v>
      </c>
      <c r="DD108" s="207">
        <f t="shared" si="701"/>
        <v>-1.493349676942184E-2</v>
      </c>
      <c r="DE108" s="207"/>
      <c r="DF108" s="207"/>
      <c r="DG108" s="207"/>
      <c r="DH108" s="207"/>
      <c r="DI108" s="207"/>
      <c r="DJ108" s="219"/>
      <c r="DK108" s="219"/>
      <c r="DL108" s="219"/>
      <c r="DM108" s="219"/>
      <c r="DN108" s="219"/>
      <c r="DO108" s="219"/>
      <c r="DP108" s="219"/>
      <c r="DQ108" s="219"/>
      <c r="DR108" s="219"/>
      <c r="DS108" s="219"/>
      <c r="DT108" s="219"/>
      <c r="DU108" s="219"/>
      <c r="DV108" s="206"/>
      <c r="DW108" s="206"/>
      <c r="DY108" s="219"/>
      <c r="DZ108" s="219"/>
    </row>
    <row r="109" spans="1:130" hidden="1">
      <c r="A109" s="345"/>
      <c r="B109" s="345"/>
      <c r="C109" s="441"/>
      <c r="D109" s="441"/>
      <c r="E109" s="441"/>
      <c r="F109" s="441"/>
      <c r="G109" s="441"/>
      <c r="H109" s="441"/>
      <c r="I109" s="441"/>
      <c r="J109" s="441"/>
      <c r="K109" s="441"/>
      <c r="L109" s="441"/>
      <c r="M109" s="441"/>
      <c r="N109" s="441"/>
      <c r="O109" s="441"/>
      <c r="P109" s="441"/>
      <c r="Q109" s="441"/>
      <c r="R109" s="441"/>
      <c r="S109" s="441"/>
      <c r="T109" s="477"/>
      <c r="U109" s="441"/>
      <c r="V109" s="441"/>
      <c r="W109" s="441"/>
      <c r="X109" s="441"/>
      <c r="Y109" s="441"/>
      <c r="Z109" s="441"/>
      <c r="AA109" s="441"/>
      <c r="AB109" s="441"/>
      <c r="AC109" s="441"/>
      <c r="AD109" s="441"/>
      <c r="AE109" s="441"/>
      <c r="AF109" s="441"/>
      <c r="AG109" s="443"/>
      <c r="AH109" s="443"/>
      <c r="AI109" s="443"/>
      <c r="AJ109" s="443"/>
      <c r="AK109" s="443"/>
      <c r="AL109" s="443"/>
      <c r="AM109" s="443"/>
      <c r="AN109" s="443"/>
      <c r="AO109" s="447"/>
      <c r="AP109" s="447"/>
      <c r="AQ109" s="447"/>
      <c r="AR109" s="447"/>
      <c r="AS109" s="447"/>
      <c r="AT109" s="447"/>
      <c r="AU109" s="443"/>
      <c r="AV109" s="443"/>
      <c r="AW109" s="443"/>
      <c r="AX109" s="443"/>
      <c r="AY109" s="443"/>
      <c r="AZ109" s="478"/>
      <c r="BA109" s="478"/>
      <c r="BB109" s="443"/>
      <c r="BC109" s="478"/>
      <c r="BD109" s="443"/>
      <c r="BE109" s="443"/>
      <c r="BF109" s="443"/>
      <c r="BG109" s="443"/>
      <c r="BH109" s="443"/>
      <c r="BI109" s="443"/>
      <c r="BJ109" s="443"/>
      <c r="BK109" s="443"/>
      <c r="BL109" s="443"/>
      <c r="BM109" s="379"/>
      <c r="BN109" s="379"/>
      <c r="BO109" s="379"/>
      <c r="BP109" s="379"/>
      <c r="BQ109" s="379"/>
      <c r="BR109" s="379"/>
      <c r="BS109" s="379"/>
      <c r="BT109" s="379"/>
      <c r="BU109" s="379"/>
      <c r="BV109" s="379"/>
      <c r="BW109" s="379"/>
      <c r="BX109" s="379"/>
      <c r="BY109" s="379"/>
      <c r="BZ109" s="379"/>
      <c r="CA109" s="379"/>
      <c r="CB109" s="379"/>
      <c r="CC109" s="379"/>
      <c r="CD109" s="379"/>
      <c r="CE109" s="379"/>
      <c r="CF109" s="379"/>
      <c r="CG109" s="379"/>
      <c r="CH109" s="379"/>
      <c r="CI109" s="379"/>
      <c r="CJ109" s="379"/>
      <c r="CK109" s="379"/>
      <c r="CL109" s="379"/>
      <c r="CM109" s="379"/>
      <c r="CN109" s="379"/>
      <c r="CO109" s="379"/>
      <c r="CP109" s="379"/>
      <c r="CQ109" s="379"/>
      <c r="CR109" s="379"/>
      <c r="CS109" s="379"/>
      <c r="CT109" s="1133"/>
      <c r="CU109" s="6"/>
      <c r="CV109" s="6"/>
      <c r="CW109" s="6"/>
      <c r="CX109" s="6"/>
      <c r="CY109" s="6"/>
      <c r="CZ109" s="6"/>
      <c r="DA109" s="6"/>
      <c r="DB109" s="6"/>
      <c r="DC109" s="6"/>
      <c r="DD109" s="6"/>
      <c r="DE109" s="6"/>
      <c r="DF109" s="6"/>
      <c r="DG109" s="6"/>
      <c r="DH109" s="6"/>
      <c r="DI109" s="6"/>
      <c r="DJ109" s="6"/>
      <c r="DK109" s="6"/>
      <c r="DL109" s="6"/>
      <c r="DM109" s="6"/>
      <c r="DN109" s="6"/>
      <c r="DO109" s="6"/>
      <c r="DP109" s="6"/>
      <c r="DQ109" s="6"/>
      <c r="DR109" s="6"/>
      <c r="DS109" s="6"/>
      <c r="DT109" s="6"/>
      <c r="DU109" s="6"/>
      <c r="DV109" s="6"/>
      <c r="DW109" s="6"/>
      <c r="DY109" s="6"/>
      <c r="DZ109" s="6"/>
    </row>
    <row r="110" spans="1:130" hidden="1">
      <c r="A110" s="479" t="s">
        <v>618</v>
      </c>
      <c r="B110" s="355"/>
      <c r="C110" s="26">
        <v>0</v>
      </c>
      <c r="D110" s="26">
        <v>0</v>
      </c>
      <c r="E110" s="26">
        <v>0</v>
      </c>
      <c r="F110" s="26">
        <v>0</v>
      </c>
      <c r="G110" s="26">
        <v>0</v>
      </c>
      <c r="H110" s="26">
        <v>0</v>
      </c>
      <c r="I110" s="26">
        <v>0</v>
      </c>
      <c r="J110" s="26">
        <v>0</v>
      </c>
      <c r="K110" s="26">
        <v>0</v>
      </c>
      <c r="L110" s="26">
        <v>0</v>
      </c>
      <c r="M110" s="26">
        <v>0</v>
      </c>
      <c r="N110" s="26">
        <v>-2.4</v>
      </c>
      <c r="O110" s="26">
        <v>-3.6</v>
      </c>
      <c r="P110" s="26"/>
      <c r="Q110" s="26">
        <v>-6.3</v>
      </c>
      <c r="R110" s="26">
        <v>-7.5</v>
      </c>
      <c r="S110" s="26">
        <v>-8.6</v>
      </c>
      <c r="T110" s="26">
        <v>-9.9</v>
      </c>
      <c r="U110" s="26">
        <v>-11.4</v>
      </c>
      <c r="V110" s="26">
        <v>-13</v>
      </c>
      <c r="W110" s="26">
        <v>-10.4</v>
      </c>
      <c r="X110" s="26">
        <v>-11.4</v>
      </c>
      <c r="Y110" s="26">
        <v>-12.1</v>
      </c>
      <c r="Z110" s="26">
        <v>-13</v>
      </c>
      <c r="AA110" s="26">
        <v>-13.2</v>
      </c>
      <c r="AB110" s="26">
        <v>-12.1</v>
      </c>
      <c r="AC110" s="26">
        <v>-10</v>
      </c>
      <c r="AD110" s="26">
        <v>-8.6999999999999993</v>
      </c>
      <c r="AE110" s="26">
        <v>-9.4</v>
      </c>
      <c r="AF110" s="26">
        <v>-14.3</v>
      </c>
      <c r="AG110" s="26">
        <v>-10.4</v>
      </c>
      <c r="AH110" s="26">
        <v>-19.899999999999999</v>
      </c>
      <c r="AI110" s="26">
        <v>-8.6999999999999993</v>
      </c>
      <c r="AJ110" s="26">
        <v>-17.100000000000001</v>
      </c>
      <c r="AK110" s="26">
        <v>-12.6</v>
      </c>
      <c r="AL110" s="26">
        <v>-21.6</v>
      </c>
      <c r="AM110" s="26">
        <v>-11.1</v>
      </c>
      <c r="AN110" s="26">
        <v>-17.8</v>
      </c>
      <c r="AO110" s="26">
        <v>-14.9</v>
      </c>
      <c r="AP110" s="26">
        <v>-22.1</v>
      </c>
      <c r="AQ110" s="26">
        <v>-9.4</v>
      </c>
      <c r="AR110" s="26">
        <v>-22.4</v>
      </c>
      <c r="AS110" s="26">
        <v>-17.100000000000001</v>
      </c>
      <c r="AT110" s="26">
        <v>-21.6</v>
      </c>
      <c r="AU110" s="26"/>
      <c r="AV110" s="26"/>
      <c r="AW110" s="26"/>
      <c r="AX110" s="26"/>
      <c r="AY110" s="26"/>
      <c r="AZ110" s="16"/>
      <c r="BA110" s="16"/>
      <c r="BB110" s="26"/>
      <c r="BC110" s="16"/>
      <c r="BD110" s="26"/>
      <c r="BE110" s="26"/>
      <c r="BF110" s="26"/>
      <c r="BG110" s="26"/>
      <c r="BH110" s="26"/>
      <c r="BI110" s="26"/>
      <c r="BJ110" s="26"/>
      <c r="BK110" s="26"/>
      <c r="BL110" s="26"/>
      <c r="BM110" s="182"/>
      <c r="BN110" s="182"/>
      <c r="BO110" s="182"/>
      <c r="BP110" s="182"/>
      <c r="BQ110" s="182"/>
      <c r="BR110" s="182"/>
      <c r="BS110" s="182"/>
      <c r="BT110" s="182"/>
      <c r="BU110" s="182"/>
      <c r="BV110" s="182"/>
      <c r="BW110" s="182"/>
      <c r="BX110" s="182"/>
      <c r="BY110" s="182"/>
      <c r="BZ110" s="182"/>
      <c r="CA110" s="182"/>
      <c r="CB110" s="182"/>
      <c r="CC110" s="182"/>
      <c r="CD110" s="182"/>
      <c r="CE110" s="182"/>
      <c r="CF110" s="182"/>
      <c r="CG110" s="182"/>
      <c r="CH110" s="182"/>
      <c r="CI110" s="182"/>
      <c r="CJ110" s="182"/>
      <c r="CK110" s="182"/>
      <c r="CL110" s="182"/>
      <c r="CM110" s="182"/>
      <c r="CN110" s="182"/>
      <c r="CO110" s="182"/>
      <c r="CP110" s="182"/>
      <c r="CQ110" s="182"/>
      <c r="CR110" s="182"/>
      <c r="CS110" s="182"/>
      <c r="CT110" s="1136"/>
      <c r="CU110" s="210">
        <f>SUM(C110:F110)</f>
        <v>0</v>
      </c>
      <c r="CV110" s="198">
        <f>SUM(G110:J110)</f>
        <v>0</v>
      </c>
      <c r="CW110" s="198">
        <f>SUM(K110:N110)</f>
        <v>-2.4</v>
      </c>
      <c r="CX110" s="198">
        <f>SUM(O110:R110)</f>
        <v>-17.399999999999999</v>
      </c>
      <c r="CY110" s="198">
        <f>SUM(S110:V110)</f>
        <v>-42.9</v>
      </c>
      <c r="CZ110" s="198">
        <f>SUM(W110:Z110)</f>
        <v>-46.9</v>
      </c>
      <c r="DA110" s="198">
        <f>SUM(AA110:AD110)</f>
        <v>-44</v>
      </c>
      <c r="DB110" s="198">
        <f>SUM(AE110:AH110)</f>
        <v>-54</v>
      </c>
      <c r="DC110" s="198">
        <f>+SUM(AI110:AL110)</f>
        <v>-60</v>
      </c>
      <c r="DD110" s="198">
        <f>+SUM(AM110:AP110)</f>
        <v>-65.900000000000006</v>
      </c>
      <c r="DE110" s="215"/>
      <c r="DF110" s="215"/>
      <c r="DG110" s="215"/>
      <c r="DH110" s="215"/>
      <c r="DI110" s="27"/>
      <c r="DJ110" s="27"/>
      <c r="DK110" s="27"/>
      <c r="DL110" s="27"/>
      <c r="DM110" s="27"/>
      <c r="DN110" s="27"/>
      <c r="DO110" s="27"/>
      <c r="DP110" s="27"/>
      <c r="DQ110" s="27"/>
      <c r="DR110" s="27"/>
      <c r="DS110" s="27"/>
      <c r="DT110" s="27"/>
      <c r="DU110" s="27"/>
      <c r="DV110" s="17"/>
      <c r="DW110" s="17"/>
      <c r="DY110" s="27"/>
      <c r="DZ110" s="27"/>
    </row>
    <row r="111" spans="1:130" hidden="1">
      <c r="A111" s="419" t="s">
        <v>619</v>
      </c>
      <c r="B111" s="355"/>
      <c r="C111" s="26"/>
      <c r="D111" s="26"/>
      <c r="E111" s="26"/>
      <c r="F111" s="26"/>
      <c r="G111" s="26"/>
      <c r="H111" s="26"/>
      <c r="I111" s="26"/>
      <c r="J111" s="26"/>
      <c r="K111" s="26"/>
      <c r="L111" s="26"/>
      <c r="M111" s="26"/>
      <c r="N111" s="419">
        <v>-2.8828735430740215E-2</v>
      </c>
      <c r="O111" s="419">
        <v>-6.6342957263857222E-2</v>
      </c>
      <c r="P111" s="419">
        <v>0</v>
      </c>
      <c r="Q111" s="419">
        <v>-8.7108033207905125E-2</v>
      </c>
      <c r="R111" s="419">
        <v>-5.7651164273718018E-2</v>
      </c>
      <c r="S111" s="419">
        <v>-0.12484140786268605</v>
      </c>
      <c r="T111" s="419">
        <v>-9.0608343595185867E-2</v>
      </c>
      <c r="U111" s="419">
        <v>-0.12941107878709945</v>
      </c>
      <c r="V111" s="419">
        <v>-0.13546400569232256</v>
      </c>
      <c r="W111" s="419">
        <v>-0.25026950897748013</v>
      </c>
      <c r="X111" s="419">
        <v>-0.12699390880400313</v>
      </c>
      <c r="Y111" s="419">
        <v>-0.1440188324262329</v>
      </c>
      <c r="Z111" s="419">
        <v>-0.10253274251022568</v>
      </c>
      <c r="AA111" s="419">
        <v>-0.18372161876784257</v>
      </c>
      <c r="AB111" s="419">
        <v>-0.1071758026302855</v>
      </c>
      <c r="AC111" s="419">
        <v>-0.10182256278022843</v>
      </c>
      <c r="AD111" s="419">
        <v>-6.1078992724034477E-2</v>
      </c>
      <c r="AE111" s="419">
        <v>-0.11299950486374558</v>
      </c>
      <c r="AF111" s="419">
        <v>-0.11747818465527894</v>
      </c>
      <c r="AG111" s="419">
        <v>-0.10176411179152557</v>
      </c>
      <c r="AH111" s="419">
        <v>-0.13046755540159319</v>
      </c>
      <c r="AI111" s="419">
        <v>-9.1107941208085741E-2</v>
      </c>
      <c r="AJ111" s="419">
        <v>-0.1174724699319786</v>
      </c>
      <c r="AK111" s="419">
        <v>-0.10083714840454827</v>
      </c>
      <c r="AL111" s="419">
        <v>-0.11927701672085829</v>
      </c>
      <c r="AM111" s="419">
        <v>-9.9029519189358692E-2</v>
      </c>
      <c r="AN111" s="419">
        <v>-0.1149032280917901</v>
      </c>
      <c r="AO111" s="419">
        <v>-0.10297031167530815</v>
      </c>
      <c r="AP111" s="419">
        <v>-0.1084301480731355</v>
      </c>
      <c r="AQ111" s="419">
        <f>+AQ110/AQ40*1000</f>
        <v>-8.1882720406692533E-2</v>
      </c>
      <c r="AR111" s="419">
        <f>+AR110/AR40*1000</f>
        <v>-0.13416744517131463</v>
      </c>
      <c r="AS111" s="419">
        <f>+AS110/AS40*1000</f>
        <v>-0.1126824724075703</v>
      </c>
      <c r="AT111" s="419">
        <f>+AT110/AT40*1000</f>
        <v>-9.8270349298545723E-2</v>
      </c>
      <c r="AU111" s="480"/>
      <c r="AV111" s="480"/>
      <c r="AW111" s="480"/>
      <c r="AX111" s="480"/>
      <c r="AY111" s="480"/>
      <c r="AZ111" s="480"/>
      <c r="BA111" s="480"/>
      <c r="BB111" s="480"/>
      <c r="BC111" s="480"/>
      <c r="BD111" s="480"/>
      <c r="BE111" s="480"/>
      <c r="BF111" s="480"/>
      <c r="BG111" s="480"/>
      <c r="BH111" s="480"/>
      <c r="BI111" s="480"/>
      <c r="BJ111" s="480"/>
      <c r="BK111" s="480"/>
      <c r="BL111" s="480"/>
      <c r="BM111" s="564"/>
      <c r="BN111" s="564"/>
      <c r="BO111" s="564"/>
      <c r="BP111" s="564"/>
      <c r="BQ111" s="564"/>
      <c r="BR111" s="564"/>
      <c r="BS111" s="564"/>
      <c r="BT111" s="564"/>
      <c r="BU111" s="564"/>
      <c r="BV111" s="564"/>
      <c r="BW111" s="564"/>
      <c r="BX111" s="564"/>
      <c r="BY111" s="564"/>
      <c r="BZ111" s="564"/>
      <c r="CA111" s="564"/>
      <c r="CB111" s="564"/>
      <c r="CC111" s="564"/>
      <c r="CD111" s="564"/>
      <c r="CE111" s="564"/>
      <c r="CF111" s="564"/>
      <c r="CG111" s="564"/>
      <c r="CH111" s="564"/>
      <c r="CI111" s="564"/>
      <c r="CJ111" s="564"/>
      <c r="CK111" s="564"/>
      <c r="CL111" s="564"/>
      <c r="CM111" s="564"/>
      <c r="CN111" s="564"/>
      <c r="CO111" s="564"/>
      <c r="CP111" s="564"/>
      <c r="CQ111" s="564"/>
      <c r="CR111" s="564"/>
      <c r="CS111" s="564"/>
      <c r="CT111" s="1133"/>
      <c r="CU111" s="17"/>
      <c r="CV111" s="17"/>
      <c r="CW111" s="7">
        <f t="shared" ref="CW111:DD111" si="702">+CW110/CW40*1000</f>
        <v>-9.1533275383362429E-3</v>
      </c>
      <c r="CX111" s="7">
        <f t="shared" si="702"/>
        <v>-5.1652390549519499E-2</v>
      </c>
      <c r="CY111" s="7">
        <f t="shared" si="702"/>
        <v>-0.1184406619282506</v>
      </c>
      <c r="CZ111" s="7">
        <f t="shared" si="702"/>
        <v>-0.13708285876066037</v>
      </c>
      <c r="DA111" s="7">
        <f t="shared" si="702"/>
        <v>-0.10343327764474218</v>
      </c>
      <c r="DB111" s="7">
        <f t="shared" si="702"/>
        <v>-0.11748416697961436</v>
      </c>
      <c r="DC111" s="7">
        <f t="shared" si="702"/>
        <v>-0.10966873445277622</v>
      </c>
      <c r="DD111" s="7">
        <f t="shared" si="702"/>
        <v>-0.10706385664273922</v>
      </c>
      <c r="DE111" s="7"/>
      <c r="DF111" s="7"/>
      <c r="DG111" s="7"/>
      <c r="DH111" s="7"/>
      <c r="DI111" s="7"/>
      <c r="DJ111" s="218"/>
      <c r="DK111" s="218"/>
      <c r="DL111" s="218"/>
      <c r="DM111" s="218"/>
      <c r="DN111" s="218"/>
      <c r="DO111" s="218"/>
      <c r="DP111" s="218"/>
      <c r="DQ111" s="218"/>
      <c r="DR111" s="218"/>
      <c r="DS111" s="218"/>
      <c r="DT111" s="218"/>
      <c r="DU111" s="218"/>
      <c r="DV111" s="17"/>
      <c r="DW111" s="17"/>
      <c r="DY111" s="218"/>
      <c r="DZ111" s="218"/>
    </row>
    <row r="112" spans="1:130" hidden="1">
      <c r="A112" s="466"/>
      <c r="B112" s="466"/>
      <c r="C112" s="481"/>
      <c r="D112" s="481"/>
      <c r="E112" s="481"/>
      <c r="F112" s="481"/>
      <c r="G112" s="481"/>
      <c r="H112" s="481"/>
      <c r="I112" s="481"/>
      <c r="J112" s="481"/>
      <c r="K112" s="481"/>
      <c r="L112" s="481"/>
      <c r="M112" s="481"/>
      <c r="N112" s="482"/>
      <c r="O112" s="482"/>
      <c r="P112" s="482"/>
      <c r="Q112" s="482"/>
      <c r="R112" s="482"/>
      <c r="S112" s="482"/>
      <c r="T112" s="482"/>
      <c r="U112" s="482"/>
      <c r="V112" s="482"/>
      <c r="W112" s="482"/>
      <c r="X112" s="482"/>
      <c r="Y112" s="482"/>
      <c r="Z112" s="482"/>
      <c r="AA112" s="482"/>
      <c r="AB112" s="482"/>
      <c r="AC112" s="482"/>
      <c r="AD112" s="482"/>
      <c r="AE112" s="482"/>
      <c r="AF112" s="482"/>
      <c r="AG112" s="482"/>
      <c r="AH112" s="482"/>
      <c r="AI112" s="482"/>
      <c r="AJ112" s="482"/>
      <c r="AK112" s="482"/>
      <c r="AL112" s="482"/>
      <c r="AM112" s="482"/>
      <c r="AN112" s="482"/>
      <c r="AO112" s="482"/>
      <c r="AP112" s="482">
        <v>1.0846868647722788E-2</v>
      </c>
      <c r="AQ112" s="482">
        <f>+AQ111-AM111</f>
        <v>1.7146798782666159E-2</v>
      </c>
      <c r="AR112" s="482">
        <f>+AR111-AN111</f>
        <v>-1.9264217079524526E-2</v>
      </c>
      <c r="AS112" s="482">
        <f>+AS111-AO111</f>
        <v>-9.7121607322621512E-3</v>
      </c>
      <c r="AT112" s="482">
        <f>+AT111-AP111</f>
        <v>1.0159798774589779E-2</v>
      </c>
      <c r="AU112" s="482"/>
      <c r="AV112" s="482"/>
      <c r="AW112" s="482"/>
      <c r="AX112" s="482"/>
      <c r="AY112" s="482"/>
      <c r="AZ112" s="483"/>
      <c r="BA112" s="483"/>
      <c r="BB112" s="482"/>
      <c r="BC112" s="483"/>
      <c r="BD112" s="482"/>
      <c r="BE112" s="482"/>
      <c r="BF112" s="482"/>
      <c r="BG112" s="482"/>
      <c r="BH112" s="482"/>
      <c r="BI112" s="482"/>
      <c r="BJ112" s="482"/>
      <c r="BK112" s="482"/>
      <c r="BL112" s="482"/>
      <c r="BM112" s="565"/>
      <c r="BN112" s="565"/>
      <c r="BO112" s="565"/>
      <c r="BP112" s="565"/>
      <c r="BQ112" s="565"/>
      <c r="BR112" s="565"/>
      <c r="BS112" s="565"/>
      <c r="BT112" s="565"/>
      <c r="BU112" s="565"/>
      <c r="BV112" s="565"/>
      <c r="BW112" s="565"/>
      <c r="BX112" s="565"/>
      <c r="BY112" s="565"/>
      <c r="BZ112" s="565"/>
      <c r="CA112" s="565"/>
      <c r="CB112" s="565"/>
      <c r="CC112" s="565"/>
      <c r="CD112" s="565"/>
      <c r="CE112" s="565"/>
      <c r="CF112" s="565"/>
      <c r="CG112" s="565"/>
      <c r="CH112" s="565"/>
      <c r="CI112" s="565"/>
      <c r="CJ112" s="565"/>
      <c r="CK112" s="565"/>
      <c r="CL112" s="565"/>
      <c r="CM112" s="565"/>
      <c r="CN112" s="565"/>
      <c r="CO112" s="565"/>
      <c r="CP112" s="565"/>
      <c r="CQ112" s="565"/>
      <c r="CR112" s="565"/>
      <c r="CS112" s="565"/>
      <c r="CT112" s="1133"/>
      <c r="CU112" s="216"/>
      <c r="CV112" s="216"/>
      <c r="CW112" s="217"/>
      <c r="CX112" s="217"/>
      <c r="CY112" s="217"/>
      <c r="CZ112" s="217"/>
      <c r="DA112" s="217"/>
      <c r="DB112" s="217"/>
      <c r="DC112" s="217"/>
      <c r="DD112" s="217"/>
      <c r="DE112" s="217"/>
      <c r="DF112" s="217"/>
      <c r="DG112" s="217"/>
      <c r="DH112" s="217"/>
      <c r="DI112" s="217"/>
      <c r="DJ112" s="217"/>
      <c r="DK112" s="217"/>
      <c r="DL112" s="217"/>
      <c r="DM112" s="217"/>
      <c r="DN112" s="217"/>
      <c r="DO112" s="217"/>
      <c r="DP112" s="217"/>
      <c r="DQ112" s="217"/>
      <c r="DR112" s="217"/>
      <c r="DS112" s="217"/>
      <c r="DT112" s="217"/>
      <c r="DU112" s="217"/>
      <c r="DV112" s="216"/>
      <c r="DW112" s="216"/>
      <c r="DY112" s="217"/>
      <c r="DZ112" s="217"/>
    </row>
    <row r="113" spans="1:130">
      <c r="A113" s="466"/>
      <c r="B113" s="466"/>
      <c r="C113" s="481"/>
      <c r="D113" s="481"/>
      <c r="E113" s="481"/>
      <c r="F113" s="481"/>
      <c r="G113" s="481"/>
      <c r="H113" s="481"/>
      <c r="I113" s="481"/>
      <c r="J113" s="481"/>
      <c r="K113" s="481"/>
      <c r="L113" s="481"/>
      <c r="M113" s="481"/>
      <c r="N113" s="482"/>
      <c r="O113" s="482"/>
      <c r="P113" s="482"/>
      <c r="Q113" s="482"/>
      <c r="R113" s="482"/>
      <c r="S113" s="482"/>
      <c r="T113" s="482"/>
      <c r="U113" s="482"/>
      <c r="V113" s="482"/>
      <c r="W113" s="482"/>
      <c r="X113" s="482"/>
      <c r="Y113" s="482"/>
      <c r="Z113" s="482"/>
      <c r="AA113" s="482"/>
      <c r="AB113" s="482"/>
      <c r="AC113" s="482"/>
      <c r="AD113" s="482"/>
      <c r="AE113" s="482"/>
      <c r="AF113" s="482"/>
      <c r="AG113" s="482"/>
      <c r="AH113" s="482"/>
      <c r="AI113" s="482"/>
      <c r="AJ113" s="482"/>
      <c r="AK113" s="482"/>
      <c r="AL113" s="482"/>
      <c r="AM113" s="482"/>
      <c r="AN113" s="482"/>
      <c r="AO113" s="482"/>
      <c r="AP113" s="482"/>
      <c r="AQ113" s="482"/>
      <c r="AR113" s="482"/>
      <c r="AS113" s="482"/>
      <c r="AT113" s="482"/>
      <c r="AU113" s="482"/>
      <c r="AV113" s="482"/>
      <c r="AW113" s="482"/>
      <c r="AX113" s="482"/>
      <c r="AY113" s="482"/>
      <c r="AZ113" s="483"/>
      <c r="BA113" s="483"/>
      <c r="BB113" s="482"/>
      <c r="BC113" s="483"/>
      <c r="BD113" s="482"/>
      <c r="BE113" s="482"/>
      <c r="BF113" s="482"/>
      <c r="BG113" s="482"/>
      <c r="BH113" s="482"/>
      <c r="BI113" s="482"/>
      <c r="BJ113" s="482"/>
      <c r="BK113" s="482"/>
      <c r="BL113" s="14"/>
      <c r="BM113" s="168"/>
      <c r="BN113" s="565"/>
      <c r="BO113" s="565"/>
      <c r="BP113" s="565"/>
      <c r="BQ113" s="565"/>
      <c r="BR113" s="565"/>
      <c r="BS113" s="565"/>
      <c r="BT113" s="565"/>
      <c r="BU113" s="565"/>
      <c r="BV113" s="565"/>
      <c r="BW113" s="565"/>
      <c r="BX113" s="565"/>
      <c r="BY113" s="565"/>
      <c r="BZ113" s="565"/>
      <c r="CA113" s="565"/>
      <c r="CB113" s="565"/>
      <c r="CC113" s="565"/>
      <c r="CD113" s="565"/>
      <c r="CE113" s="565"/>
      <c r="CF113" s="565"/>
      <c r="CG113" s="565"/>
      <c r="CH113" s="565"/>
      <c r="CI113" s="565"/>
      <c r="CJ113" s="565"/>
      <c r="CK113" s="565"/>
      <c r="CL113" s="565"/>
      <c r="CM113" s="565"/>
      <c r="CN113" s="565"/>
      <c r="CO113" s="565"/>
      <c r="CP113" s="565"/>
      <c r="CQ113" s="565"/>
      <c r="CR113" s="565"/>
      <c r="CS113" s="565"/>
      <c r="CT113" s="1133"/>
      <c r="CU113" s="216"/>
      <c r="CV113" s="216"/>
      <c r="CW113" s="217"/>
      <c r="CX113" s="217"/>
      <c r="CY113" s="217"/>
      <c r="CZ113" s="217"/>
      <c r="DA113" s="217"/>
      <c r="DB113" s="217"/>
      <c r="DC113" s="217"/>
      <c r="DD113" s="217"/>
      <c r="DE113" s="217"/>
      <c r="DF113" s="217"/>
      <c r="DG113" s="217"/>
      <c r="DH113" s="217"/>
      <c r="DI113" s="217"/>
      <c r="DJ113" s="217"/>
      <c r="DK113" s="217"/>
      <c r="DL113" s="217"/>
      <c r="DM113" s="217"/>
      <c r="DN113" s="217"/>
      <c r="DO113" s="217"/>
      <c r="DP113" s="217"/>
      <c r="DQ113" s="217"/>
      <c r="DR113" s="217"/>
      <c r="DS113" s="217"/>
      <c r="DT113" s="217"/>
      <c r="DU113" s="217"/>
      <c r="DV113" s="216"/>
      <c r="DW113" s="216"/>
      <c r="DY113" s="217"/>
      <c r="DZ113" s="217"/>
    </row>
    <row r="114" spans="1:130" s="686" customFormat="1" ht="12.75">
      <c r="A114" s="820" t="s">
        <v>620</v>
      </c>
      <c r="B114" s="345"/>
      <c r="C114" s="441"/>
      <c r="D114" s="441"/>
      <c r="E114" s="441"/>
      <c r="F114" s="441"/>
      <c r="G114" s="441"/>
      <c r="H114" s="441"/>
      <c r="I114" s="441"/>
      <c r="J114" s="441"/>
      <c r="K114" s="441"/>
      <c r="L114" s="441"/>
      <c r="M114" s="441"/>
      <c r="N114" s="443"/>
      <c r="O114" s="443"/>
      <c r="P114" s="443"/>
      <c r="Q114" s="443"/>
      <c r="R114" s="443"/>
      <c r="S114" s="443"/>
      <c r="T114" s="443"/>
      <c r="U114" s="443"/>
      <c r="V114" s="443"/>
      <c r="W114" s="443"/>
      <c r="X114" s="443"/>
      <c r="Y114" s="443"/>
      <c r="Z114" s="443"/>
      <c r="AA114" s="443"/>
      <c r="AB114" s="443"/>
      <c r="AC114" s="443"/>
      <c r="AD114" s="443"/>
      <c r="AE114" s="443"/>
      <c r="AF114" s="443"/>
      <c r="AG114" s="443"/>
      <c r="AH114" s="443"/>
      <c r="AI114" s="443"/>
      <c r="AJ114" s="443"/>
      <c r="AK114" s="443"/>
      <c r="AL114" s="443"/>
      <c r="AM114" s="443"/>
      <c r="AN114" s="443"/>
      <c r="AO114" s="443"/>
      <c r="AP114" s="443"/>
      <c r="AQ114" s="857">
        <f>+AQ110+AQ106</f>
        <v>-15</v>
      </c>
      <c r="AR114" s="857">
        <f>+AR110+AR106</f>
        <v>-38</v>
      </c>
      <c r="AS114" s="857">
        <f>+AS110+AS106</f>
        <v>-29.900000000000002</v>
      </c>
      <c r="AT114" s="857">
        <f>+AT110+AT106</f>
        <v>-34.200000000000003</v>
      </c>
      <c r="AU114" s="857">
        <v>-24.8</v>
      </c>
      <c r="AV114" s="857">
        <v>-45.1</v>
      </c>
      <c r="AW114" s="857">
        <v>-41.7</v>
      </c>
      <c r="AX114" s="857">
        <v>-53.2</v>
      </c>
      <c r="AY114" s="857">
        <v>-18.600000000000001</v>
      </c>
      <c r="AZ114" s="857">
        <v>-41.9</v>
      </c>
      <c r="BA114" s="857">
        <v>-31.811</v>
      </c>
      <c r="BB114" s="857">
        <v>-33.963000000000001</v>
      </c>
      <c r="BC114" s="856">
        <v>-18.731999999999999</v>
      </c>
      <c r="BD114" s="857">
        <v>-30.931000000000001</v>
      </c>
      <c r="BE114" s="857">
        <v>-25.959</v>
      </c>
      <c r="BF114" s="857">
        <v>-33.716999999999999</v>
      </c>
      <c r="BG114" s="857">
        <v>-19.981000000000002</v>
      </c>
      <c r="BH114" s="857">
        <v>-34.423000000000002</v>
      </c>
      <c r="BI114" s="857">
        <v>-15.701438030000006</v>
      </c>
      <c r="BJ114" s="857">
        <v>-28.512</v>
      </c>
      <c r="BK114" s="857">
        <v>-28.692713040000005</v>
      </c>
      <c r="BL114" s="857">
        <v>-38.774999999999999</v>
      </c>
      <c r="BM114" s="858">
        <v>-44.033999999999999</v>
      </c>
      <c r="BN114" s="858">
        <v>-54.262427019999997</v>
      </c>
      <c r="BO114" s="858">
        <v>-67.444999999999993</v>
      </c>
      <c r="BP114" s="858">
        <v>-56.705672989999997</v>
      </c>
      <c r="BQ114" s="858">
        <v>-13.810881690000002</v>
      </c>
      <c r="BR114" s="858">
        <v>30.8</v>
      </c>
      <c r="BS114" s="858">
        <v>4.5</v>
      </c>
      <c r="BT114" s="858">
        <v>-28.665899999999997</v>
      </c>
      <c r="BU114" s="858">
        <v>6.6399999999966893E-3</v>
      </c>
      <c r="BV114" s="858">
        <v>-17.052810000000001</v>
      </c>
      <c r="BW114" s="858">
        <v>-19.042999999999999</v>
      </c>
      <c r="BX114" s="858">
        <v>-45.819000000000003</v>
      </c>
      <c r="BY114" s="858">
        <v>-6.8651200000000001</v>
      </c>
      <c r="BZ114" s="858">
        <v>0.42899999999999999</v>
      </c>
      <c r="CA114" s="858">
        <v>-35.817</v>
      </c>
      <c r="CB114" s="858">
        <v>-41.692</v>
      </c>
      <c r="CC114" s="858">
        <v>-27.416</v>
      </c>
      <c r="CD114" s="858">
        <v>-0.54200000000000004</v>
      </c>
      <c r="CE114" s="858">
        <v>-4.2670000000000003</v>
      </c>
      <c r="CF114" s="858">
        <v>3.1779999999999999</v>
      </c>
      <c r="CG114" s="858">
        <v>-9.4772553000000013</v>
      </c>
      <c r="CH114" s="858">
        <v>-9.6989999999999998</v>
      </c>
      <c r="CI114" s="858">
        <v>-8.609234159999998</v>
      </c>
      <c r="CJ114" s="858">
        <v>-21.548383690000001</v>
      </c>
      <c r="CK114" s="858">
        <v>-15.541962280000007</v>
      </c>
      <c r="CL114" s="859">
        <f>+CL217/1000</f>
        <v>-18.902572481179778</v>
      </c>
      <c r="CM114" s="859">
        <f t="shared" ref="CM114:CO114" si="703">+CM217/1000</f>
        <v>-27.470994179896792</v>
      </c>
      <c r="CN114" s="859">
        <f t="shared" si="703"/>
        <v>-43.035512581740001</v>
      </c>
      <c r="CO114" s="859">
        <f t="shared" si="703"/>
        <v>-25.128477768591573</v>
      </c>
      <c r="CP114" s="859">
        <f>+CP217/1000</f>
        <v>-9.5875865875487296</v>
      </c>
      <c r="CQ114" s="859"/>
      <c r="CR114" s="859"/>
      <c r="CS114" s="859">
        <v>-21.253265346642358</v>
      </c>
      <c r="CT114" s="1133">
        <f>+CI114/CS114-1</f>
        <v>-0.59492181462082461</v>
      </c>
      <c r="CU114" s="848"/>
      <c r="CV114" s="848"/>
      <c r="CW114" s="849"/>
      <c r="CX114" s="849"/>
      <c r="CY114" s="849"/>
      <c r="CZ114" s="849"/>
      <c r="DA114" s="849"/>
      <c r="DB114" s="849"/>
      <c r="DC114" s="849"/>
      <c r="DD114" s="849"/>
      <c r="DE114" s="1055">
        <f>+SUM(AQ114:AT114)</f>
        <v>-117.10000000000001</v>
      </c>
      <c r="DF114" s="1055">
        <f>+SUM(AU114:AX114)</f>
        <v>-164.8</v>
      </c>
      <c r="DG114" s="1055">
        <f>+SUM(AY114:BB114)</f>
        <v>-126.274</v>
      </c>
      <c r="DH114" s="1055">
        <f>+SUM(BC114:BF114)</f>
        <v>-109.339</v>
      </c>
      <c r="DI114" s="1055">
        <f>+SUM(BG114:BJ114)</f>
        <v>-98.617438030000017</v>
      </c>
      <c r="DJ114" s="1055">
        <f>+SUM(BK114:BN114)</f>
        <v>-165.76414005999999</v>
      </c>
      <c r="DK114" s="1055">
        <f>+SUM(BO114:BR114)</f>
        <v>-107.16155468000001</v>
      </c>
      <c r="DL114" s="1055">
        <f>+SUM(BS114:BV114)</f>
        <v>-41.212069999999997</v>
      </c>
      <c r="DM114" s="1055">
        <f>+SUM(BW114:BZ114)</f>
        <v>-71.298119999999997</v>
      </c>
      <c r="DN114" s="1055">
        <f>+SUM(CA114:CD114)</f>
        <v>-105.467</v>
      </c>
      <c r="DO114" s="1055">
        <f>+SUM(CE114:CH114)</f>
        <v>-20.2652553</v>
      </c>
      <c r="DP114" s="1055">
        <f>+SUM(CI114:CL114)</f>
        <v>-64.60215261117979</v>
      </c>
      <c r="DQ114" s="1055">
        <f>+SUM(CM114:CP114)</f>
        <v>-105.22257111777709</v>
      </c>
      <c r="DR114" s="859">
        <f>+DR217/1000</f>
        <v>1.3511863554832526</v>
      </c>
      <c r="DS114" s="859">
        <f t="shared" ref="DS114:DU114" si="704">+DS217/1000</f>
        <v>7.7135800194923938</v>
      </c>
      <c r="DT114" s="859">
        <f t="shared" si="704"/>
        <v>9.1400100596679845</v>
      </c>
      <c r="DU114" s="859">
        <f t="shared" si="704"/>
        <v>8.6688003209600861</v>
      </c>
      <c r="DV114" s="848"/>
      <c r="DW114" s="848"/>
      <c r="DY114" s="859">
        <v>-67.543120407324523</v>
      </c>
      <c r="DZ114" s="859">
        <v>-89.168416498490245</v>
      </c>
    </row>
    <row r="115" spans="1:130">
      <c r="A115" s="419" t="s">
        <v>621</v>
      </c>
      <c r="B115" s="355"/>
      <c r="C115" s="26"/>
      <c r="D115" s="26"/>
      <c r="E115" s="26"/>
      <c r="F115" s="26"/>
      <c r="G115" s="26"/>
      <c r="H115" s="26"/>
      <c r="I115" s="26"/>
      <c r="J115" s="26"/>
      <c r="K115" s="26"/>
      <c r="L115" s="26"/>
      <c r="M115" s="26"/>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f t="shared" ref="AQ115:BV115" si="705">+AQ114/AQ166*1000</f>
        <v>-1.6277790257416977E-2</v>
      </c>
      <c r="AR115" s="14">
        <f t="shared" si="705"/>
        <v>-4.0010444831914016E-2</v>
      </c>
      <c r="AS115" s="14">
        <f t="shared" si="705"/>
        <v>-3.3286983898673982E-2</v>
      </c>
      <c r="AT115" s="14">
        <f t="shared" si="705"/>
        <v>-2.7617014988286996E-2</v>
      </c>
      <c r="AU115" s="14">
        <f t="shared" si="705"/>
        <v>-2.3754083930458005E-2</v>
      </c>
      <c r="AV115" s="14">
        <f t="shared" si="705"/>
        <v>-4.1657182642398184E-2</v>
      </c>
      <c r="AW115" s="14">
        <f t="shared" si="705"/>
        <v>-4.1089370859654681E-2</v>
      </c>
      <c r="AX115" s="14">
        <f t="shared" si="705"/>
        <v>-4.0690421612426794E-2</v>
      </c>
      <c r="AY115" s="14">
        <f t="shared" si="705"/>
        <v>-1.7804546285598324E-2</v>
      </c>
      <c r="AZ115" s="14">
        <f t="shared" si="705"/>
        <v>-3.8389263466706243E-2</v>
      </c>
      <c r="BA115" s="14">
        <f t="shared" si="705"/>
        <v>-3.2232765739704024E-2</v>
      </c>
      <c r="BB115" s="14">
        <f t="shared" si="705"/>
        <v>-2.6207211593737678E-2</v>
      </c>
      <c r="BC115" s="12">
        <f t="shared" si="705"/>
        <v>-1.7641175550980662E-2</v>
      </c>
      <c r="BD115" s="12">
        <f t="shared" si="705"/>
        <v>-3.0339084462143579E-2</v>
      </c>
      <c r="BE115" s="14">
        <f t="shared" si="705"/>
        <v>-2.7870445515873143E-2</v>
      </c>
      <c r="BF115" s="14">
        <f t="shared" si="705"/>
        <v>-2.7738767819762367E-2</v>
      </c>
      <c r="BG115" s="14">
        <f t="shared" si="705"/>
        <v>-1.9764931531529216E-2</v>
      </c>
      <c r="BH115" s="14">
        <f t="shared" si="705"/>
        <v>-3.340790560364866E-2</v>
      </c>
      <c r="BI115" s="14">
        <f t="shared" si="705"/>
        <v>-1.6138978685960068E-2</v>
      </c>
      <c r="BJ115" s="14">
        <f t="shared" si="705"/>
        <v>-2.1868640010531331E-2</v>
      </c>
      <c r="BK115" s="14">
        <f t="shared" si="705"/>
        <v>-2.5978897553088316E-2</v>
      </c>
      <c r="BL115" s="14">
        <f t="shared" si="705"/>
        <v>-3.6035249272921545E-2</v>
      </c>
      <c r="BM115" s="14">
        <f t="shared" si="705"/>
        <v>-4.3147507031805671E-2</v>
      </c>
      <c r="BN115" s="14">
        <f t="shared" si="705"/>
        <v>-4.0525794346024081E-2</v>
      </c>
      <c r="BO115" s="168">
        <f t="shared" si="705"/>
        <v>-5.7698737139907322E-2</v>
      </c>
      <c r="BP115" s="168">
        <f t="shared" si="705"/>
        <v>-7.1815635890852117E-2</v>
      </c>
      <c r="BQ115" s="168">
        <f t="shared" si="705"/>
        <v>-1.6082765278816122E-2</v>
      </c>
      <c r="BR115" s="168">
        <f t="shared" si="705"/>
        <v>2.6103464641670623E-2</v>
      </c>
      <c r="BS115" s="168">
        <f t="shared" si="705"/>
        <v>5.3208533702876447E-3</v>
      </c>
      <c r="BT115" s="168">
        <f t="shared" si="705"/>
        <v>-3.2148732988285959E-2</v>
      </c>
      <c r="BU115" s="168">
        <f t="shared" si="705"/>
        <v>7.5071595011319409E-6</v>
      </c>
      <c r="BV115" s="168">
        <f t="shared" si="705"/>
        <v>-1.5254024878300991E-2</v>
      </c>
      <c r="BW115" s="168">
        <f t="shared" ref="BW115:CD115" si="706">+BW114/BW166*1000</f>
        <v>-1.9915039761057171E-2</v>
      </c>
      <c r="BX115" s="168">
        <f t="shared" si="706"/>
        <v>-4.5461310409696511E-2</v>
      </c>
      <c r="BY115" s="168">
        <f t="shared" si="706"/>
        <v>-7.693821515426599E-3</v>
      </c>
      <c r="BZ115" s="168">
        <f t="shared" si="706"/>
        <v>4.3659989436114441E-4</v>
      </c>
      <c r="CA115" s="168">
        <f t="shared" si="706"/>
        <v>-4.3512805280287489E-2</v>
      </c>
      <c r="CB115" s="168">
        <f t="shared" si="706"/>
        <v>-5.2739234767517025E-2</v>
      </c>
      <c r="CC115" s="168">
        <f t="shared" si="706"/>
        <v>-3.9040561400311001E-2</v>
      </c>
      <c r="CD115" s="168">
        <f t="shared" si="706"/>
        <v>-6.7833859608941558E-4</v>
      </c>
      <c r="CE115" s="168">
        <f t="shared" ref="CE115:CH115" si="707">+CE114/CE166*1000</f>
        <v>-6.3860802308387671E-3</v>
      </c>
      <c r="CF115" s="168">
        <f t="shared" si="707"/>
        <v>4.8476618877711592E-3</v>
      </c>
      <c r="CG115" s="168">
        <f t="shared" si="707"/>
        <v>-1.4784474545679445E-2</v>
      </c>
      <c r="CH115" s="168">
        <f t="shared" si="707"/>
        <v>-1.2565654811182969E-2</v>
      </c>
      <c r="CI115" s="168">
        <f t="shared" ref="CI115:CL115" si="708">+CI114/CI166*1000</f>
        <v>-1.2434973055077028E-2</v>
      </c>
      <c r="CJ115" s="168">
        <f t="shared" si="708"/>
        <v>-2.8681091185384457E-2</v>
      </c>
      <c r="CK115" s="168">
        <f t="shared" si="708"/>
        <v>-2.2564196887289042E-2</v>
      </c>
      <c r="CL115" s="168">
        <f t="shared" si="708"/>
        <v>-2.2675419081183576E-2</v>
      </c>
      <c r="CM115" s="168">
        <f t="shared" ref="CM115:CP115" si="709">+CM114/CM166*1000</f>
        <v>-3.6739306122059952E-2</v>
      </c>
      <c r="CN115" s="168">
        <f t="shared" si="709"/>
        <v>-5.3037640451008568E-2</v>
      </c>
      <c r="CO115" s="168">
        <f t="shared" si="709"/>
        <v>-3.3779751876300869E-2</v>
      </c>
      <c r="CP115" s="168">
        <f t="shared" si="709"/>
        <v>-1.0649272839091159E-2</v>
      </c>
      <c r="CQ115" s="168"/>
      <c r="CR115" s="168"/>
      <c r="CS115" s="168">
        <v>-3.0875556478050181E-2</v>
      </c>
      <c r="CT115" s="1136"/>
      <c r="CU115" s="17"/>
      <c r="CV115" s="17"/>
      <c r="CW115" s="7"/>
      <c r="CX115" s="7"/>
      <c r="CY115" s="7"/>
      <c r="CZ115" s="7"/>
      <c r="DA115" s="7"/>
      <c r="DB115" s="7"/>
      <c r="DC115" s="7"/>
      <c r="DD115" s="7"/>
      <c r="DE115" s="7"/>
      <c r="DF115" s="7">
        <f t="shared" ref="DF115:DL115" si="710">+DF114/AVERAGE(DE166:DF166)*1000</f>
        <v>-0.12946814360908165</v>
      </c>
      <c r="DG115" s="7">
        <f t="shared" si="710"/>
        <v>-9.7007959670796437E-2</v>
      </c>
      <c r="DH115" s="7">
        <f t="shared" si="710"/>
        <v>-8.7072060821282202E-2</v>
      </c>
      <c r="DI115" s="7">
        <f t="shared" si="710"/>
        <v>-7.8289436839191734E-2</v>
      </c>
      <c r="DJ115" s="7">
        <f t="shared" si="710"/>
        <v>-0.12544845551883632</v>
      </c>
      <c r="DK115" s="7">
        <f t="shared" si="710"/>
        <v>-8.5086661364150121E-2</v>
      </c>
      <c r="DL115" s="7">
        <f t="shared" si="710"/>
        <v>-3.5870238249627255E-2</v>
      </c>
      <c r="DM115" s="7">
        <f t="shared" ref="DM115:DR115" si="711">+DM114/AVERAGE(DL166:DM166)*1000</f>
        <v>-6.7886323115997738E-2</v>
      </c>
      <c r="DN115" s="7">
        <f t="shared" si="711"/>
        <v>-0.11839555815995025</v>
      </c>
      <c r="DO115" s="7">
        <f t="shared" si="711"/>
        <v>-2.5801201573697634E-2</v>
      </c>
      <c r="DP115" s="7">
        <f t="shared" si="711"/>
        <v>-8.0477006924925626E-2</v>
      </c>
      <c r="DQ115" s="7">
        <f t="shared" si="711"/>
        <v>-0.12136961675814686</v>
      </c>
      <c r="DR115" s="7">
        <f t="shared" si="711"/>
        <v>1.4570977283307502E-3</v>
      </c>
      <c r="DS115" s="7">
        <f t="shared" ref="DS115" si="712">+DS114/AVERAGE(DR166:DS166)*1000</f>
        <v>7.8473595947801886E-3</v>
      </c>
      <c r="DT115" s="7">
        <f t="shared" ref="DT115" si="713">+DT114/AVERAGE(DS166:DT166)*1000</f>
        <v>8.772196941477484E-3</v>
      </c>
      <c r="DU115" s="7">
        <f t="shared" ref="DU115" si="714">+DU114/AVERAGE(DT166:DU166)*1000</f>
        <v>7.8490091207912335E-3</v>
      </c>
      <c r="DV115" s="17"/>
      <c r="DW115" s="17"/>
      <c r="DY115" s="7">
        <v>-7.6476799617762756E-2</v>
      </c>
      <c r="DZ115" s="7">
        <v>-9.3483697959441669E-2</v>
      </c>
    </row>
    <row r="116" spans="1:130">
      <c r="A116" s="466"/>
      <c r="B116" s="466"/>
      <c r="C116" s="481"/>
      <c r="D116" s="481"/>
      <c r="E116" s="481"/>
      <c r="F116" s="481"/>
      <c r="G116" s="481"/>
      <c r="H116" s="481"/>
      <c r="I116" s="481"/>
      <c r="J116" s="481"/>
      <c r="K116" s="481"/>
      <c r="L116" s="481"/>
      <c r="M116" s="481"/>
      <c r="N116" s="482"/>
      <c r="O116" s="482"/>
      <c r="P116" s="482"/>
      <c r="Q116" s="482"/>
      <c r="R116" s="482"/>
      <c r="S116" s="482"/>
      <c r="T116" s="482"/>
      <c r="U116" s="482"/>
      <c r="V116" s="482"/>
      <c r="W116" s="482"/>
      <c r="X116" s="482"/>
      <c r="Y116" s="482"/>
      <c r="Z116" s="482"/>
      <c r="AA116" s="482"/>
      <c r="AB116" s="482"/>
      <c r="AC116" s="482"/>
      <c r="AD116" s="482"/>
      <c r="AE116" s="482"/>
      <c r="AF116" s="482"/>
      <c r="AG116" s="482"/>
      <c r="AH116" s="482"/>
      <c r="AI116" s="482"/>
      <c r="AJ116" s="482"/>
      <c r="AK116" s="482"/>
      <c r="AL116" s="482"/>
      <c r="AM116" s="482"/>
      <c r="AN116" s="482"/>
      <c r="AO116" s="482"/>
      <c r="AP116" s="482"/>
      <c r="AQ116" s="482"/>
      <c r="AR116" s="482"/>
      <c r="AS116" s="482"/>
      <c r="AT116" s="482"/>
      <c r="AU116" s="482"/>
      <c r="AV116" s="482"/>
      <c r="AW116" s="482"/>
      <c r="AX116" s="482"/>
      <c r="AY116" s="482"/>
      <c r="AZ116" s="482"/>
      <c r="BA116" s="482"/>
      <c r="BB116" s="14"/>
      <c r="BC116" s="12"/>
      <c r="BD116" s="14"/>
      <c r="BE116" s="14"/>
      <c r="BF116" s="14"/>
      <c r="BG116" s="14"/>
      <c r="BH116" s="14"/>
      <c r="BI116" s="14"/>
      <c r="BJ116" s="14"/>
      <c r="BK116" s="14"/>
      <c r="BL116" s="14"/>
      <c r="BM116" s="168"/>
      <c r="BN116" s="565"/>
      <c r="BO116" s="565"/>
      <c r="BP116" s="565"/>
      <c r="BQ116" s="565"/>
      <c r="BR116" s="565"/>
      <c r="BS116" s="565"/>
      <c r="BT116" s="565"/>
      <c r="BU116" s="565"/>
      <c r="BV116" s="565"/>
      <c r="BW116" s="565"/>
      <c r="BX116" s="565"/>
      <c r="BY116" s="565"/>
      <c r="BZ116" s="565"/>
      <c r="CA116" s="565"/>
      <c r="CB116" s="565"/>
      <c r="CC116" s="565"/>
      <c r="CD116" s="565"/>
      <c r="CE116" s="565"/>
      <c r="CF116" s="565"/>
      <c r="CG116" s="565"/>
      <c r="CH116" s="565"/>
      <c r="CI116" s="565"/>
      <c r="CJ116" s="565"/>
      <c r="CK116" s="565"/>
      <c r="CL116" s="565"/>
      <c r="CM116" s="565"/>
      <c r="CN116" s="565"/>
      <c r="CO116" s="565"/>
      <c r="CP116" s="565"/>
      <c r="CQ116" s="565"/>
      <c r="CR116" s="565"/>
      <c r="CS116" s="565"/>
      <c r="CT116" s="1133"/>
      <c r="CU116" s="216"/>
      <c r="CV116" s="216"/>
      <c r="CW116" s="217"/>
      <c r="CX116" s="217"/>
      <c r="CY116" s="217"/>
      <c r="CZ116" s="217"/>
      <c r="DA116" s="217"/>
      <c r="DB116" s="217"/>
      <c r="DC116" s="217"/>
      <c r="DD116" s="217"/>
      <c r="DE116" s="217"/>
      <c r="DF116" s="217"/>
      <c r="DG116" s="217"/>
      <c r="DH116" s="217"/>
      <c r="DI116" s="217"/>
      <c r="DJ116" s="217"/>
      <c r="DK116" s="217"/>
      <c r="DL116" s="217"/>
      <c r="DM116" s="217"/>
      <c r="DN116" s="217"/>
      <c r="DO116" s="217"/>
      <c r="DP116" s="217"/>
      <c r="DQ116" s="217"/>
      <c r="DR116" s="565"/>
      <c r="DS116" s="565"/>
      <c r="DT116" s="565"/>
      <c r="DU116" s="565"/>
      <c r="DV116" s="216"/>
      <c r="DW116" s="216"/>
      <c r="DY116" s="565"/>
      <c r="DZ116" s="565"/>
    </row>
    <row r="117" spans="1:130" s="686" customFormat="1" ht="12.75">
      <c r="A117" s="820" t="s">
        <v>622</v>
      </c>
      <c r="B117" s="345"/>
      <c r="C117" s="441"/>
      <c r="D117" s="441"/>
      <c r="E117" s="441"/>
      <c r="F117" s="441"/>
      <c r="G117" s="441"/>
      <c r="H117" s="441"/>
      <c r="I117" s="441"/>
      <c r="J117" s="441"/>
      <c r="K117" s="441"/>
      <c r="L117" s="441"/>
      <c r="M117" s="441"/>
      <c r="N117" s="441"/>
      <c r="O117" s="441"/>
      <c r="P117" s="441"/>
      <c r="Q117" s="441"/>
      <c r="R117" s="855"/>
      <c r="S117" s="345"/>
      <c r="T117" s="829"/>
      <c r="U117" s="829"/>
      <c r="V117" s="829"/>
      <c r="W117" s="829"/>
      <c r="X117" s="829"/>
      <c r="Y117" s="829"/>
      <c r="Z117" s="829"/>
      <c r="AA117" s="829"/>
      <c r="AB117" s="829"/>
      <c r="AC117" s="829"/>
      <c r="AD117" s="829"/>
      <c r="AE117" s="829"/>
      <c r="AF117" s="829"/>
      <c r="AG117" s="829">
        <v>-1.3</v>
      </c>
      <c r="AH117" s="829">
        <v>-1.1000000000000001</v>
      </c>
      <c r="AI117" s="829">
        <v>-2.0670000000000002</v>
      </c>
      <c r="AJ117" s="829">
        <v>-2.6589999999999998</v>
      </c>
      <c r="AK117" s="829">
        <v>-4.3</v>
      </c>
      <c r="AL117" s="829">
        <v>-6.5</v>
      </c>
      <c r="AM117" s="829">
        <v>-7.4</v>
      </c>
      <c r="AN117" s="829">
        <v>-5.8</v>
      </c>
      <c r="AO117" s="829">
        <v>-4.9000000000000004</v>
      </c>
      <c r="AP117" s="829">
        <v>-5.6</v>
      </c>
      <c r="AQ117" s="828">
        <v>-8.3000000000000007</v>
      </c>
      <c r="AR117" s="828">
        <v>-11.6</v>
      </c>
      <c r="AS117" s="828">
        <v>-14.4</v>
      </c>
      <c r="AT117" s="828">
        <v>-12.8</v>
      </c>
      <c r="AU117" s="828">
        <v>-13.813000000000001</v>
      </c>
      <c r="AV117" s="828">
        <v>-18.701000000000001</v>
      </c>
      <c r="AW117" s="828">
        <v>-22.792000000000002</v>
      </c>
      <c r="AX117" s="828">
        <v>-21.413</v>
      </c>
      <c r="AY117" s="828">
        <v>-22.38</v>
      </c>
      <c r="AZ117" s="828">
        <v>-24.6</v>
      </c>
      <c r="BA117" s="828">
        <v>-30.27</v>
      </c>
      <c r="BB117" s="828">
        <v>-26.282</v>
      </c>
      <c r="BC117" s="856">
        <v>-23.57</v>
      </c>
      <c r="BD117" s="857">
        <v>-23.751999999999999</v>
      </c>
      <c r="BE117" s="857">
        <v>-46.582999999999998</v>
      </c>
      <c r="BF117" s="857">
        <v>-45.207000000000001</v>
      </c>
      <c r="BG117" s="857">
        <v>-37.875</v>
      </c>
      <c r="BH117" s="857">
        <v>-43.771999999999998</v>
      </c>
      <c r="BI117" s="857">
        <v>-52.105681199999999</v>
      </c>
      <c r="BJ117" s="857">
        <v>-47.572000000000003</v>
      </c>
      <c r="BK117" s="857">
        <v>-43.813767219999995</v>
      </c>
      <c r="BL117" s="857">
        <v>-58.359000000000002</v>
      </c>
      <c r="BM117" s="858">
        <v>-56.113999999999997</v>
      </c>
      <c r="BN117" s="858">
        <v>-54.23392552</v>
      </c>
      <c r="BO117" s="858">
        <v>-131.87899999999999</v>
      </c>
      <c r="BP117" s="858">
        <v>-77.159882859999996</v>
      </c>
      <c r="BQ117" s="858">
        <v>-77.588369489999991</v>
      </c>
      <c r="BR117" s="858">
        <v>-18.899999999999999</v>
      </c>
      <c r="BS117" s="858">
        <v>-56.6</v>
      </c>
      <c r="BT117" s="858">
        <v>-48.747889999999998</v>
      </c>
      <c r="BU117" s="858">
        <v>-74.599999999999994</v>
      </c>
      <c r="BV117" s="858">
        <v>-118.44416</v>
      </c>
      <c r="BW117" s="858">
        <v>-148.411</v>
      </c>
      <c r="BX117" s="858">
        <v>-235.702</v>
      </c>
      <c r="BY117" s="858">
        <v>-230.02262999999999</v>
      </c>
      <c r="BZ117" s="858">
        <v>-306.30900000000003</v>
      </c>
      <c r="CA117" s="858">
        <v>-310.995</v>
      </c>
      <c r="CB117" s="858">
        <v>-354.416</v>
      </c>
      <c r="CC117" s="858">
        <v>-302.14499999999998</v>
      </c>
      <c r="CD117" s="858">
        <v>-270.25400000000002</v>
      </c>
      <c r="CE117" s="858">
        <v>-260.27199999999999</v>
      </c>
      <c r="CF117" s="858">
        <v>-256.72399999999999</v>
      </c>
      <c r="CG117" s="858">
        <v>-215.31870328000008</v>
      </c>
      <c r="CH117" s="858">
        <v>-204.7</v>
      </c>
      <c r="CI117" s="858">
        <v>-168.53139387000002</v>
      </c>
      <c r="CJ117" s="858">
        <v>-234.186409</v>
      </c>
      <c r="CK117" s="858">
        <v>-247.58947895</v>
      </c>
      <c r="CL117" s="859">
        <f>+(CL266+CL270)/1000</f>
        <v>-195.41212606652417</v>
      </c>
      <c r="CM117" s="859">
        <f t="shared" ref="CM117:CP117" si="715">+(CM266+CM270)/1000</f>
        <v>-232.1552744822491</v>
      </c>
      <c r="CN117" s="859">
        <f t="shared" si="715"/>
        <v>-343.2041011250372</v>
      </c>
      <c r="CO117" s="859">
        <f t="shared" si="715"/>
        <v>-296.8347050053157</v>
      </c>
      <c r="CP117" s="859">
        <f t="shared" si="715"/>
        <v>-241.41729498911795</v>
      </c>
      <c r="CQ117" s="859"/>
      <c r="CR117" s="859"/>
      <c r="CS117" s="859">
        <v>-233.94268522622573</v>
      </c>
      <c r="CT117" s="1133">
        <f>+CI117/CS117-1</f>
        <v>-0.27960391791250971</v>
      </c>
      <c r="CU117" s="229"/>
      <c r="CV117" s="195"/>
      <c r="CW117" s="195"/>
      <c r="CX117" s="195"/>
      <c r="CY117" s="195"/>
      <c r="CZ117" s="195"/>
      <c r="DA117" s="195">
        <f>SUM(AA117:AD117)</f>
        <v>0</v>
      </c>
      <c r="DB117" s="195">
        <f>SUM(AE117:AH117)</f>
        <v>-2.4000000000000004</v>
      </c>
      <c r="DC117" s="195">
        <f>+SUM(AI117:AL117)</f>
        <v>-15.526</v>
      </c>
      <c r="DD117" s="195">
        <f>+SUM(AM117:AP117)</f>
        <v>-23.700000000000003</v>
      </c>
      <c r="DE117" s="48">
        <f>+SUM(AQ117:AT117)</f>
        <v>-47.099999999999994</v>
      </c>
      <c r="DF117" s="48">
        <f>+SUM(AU117:AX117)</f>
        <v>-76.719000000000008</v>
      </c>
      <c r="DG117" s="48">
        <f>+SUM(AY117:BB117)</f>
        <v>-103.532</v>
      </c>
      <c r="DH117" s="48">
        <f>+SUM(BC117:BF117)</f>
        <v>-139.11199999999999</v>
      </c>
      <c r="DI117" s="48">
        <f>+SUM(BG117:BJ117)</f>
        <v>-181.32468119999999</v>
      </c>
      <c r="DJ117" s="48">
        <f>+SUM(BK117:BN117)</f>
        <v>-212.52069274000002</v>
      </c>
      <c r="DK117" s="48">
        <f>+SUM(BO117:BR117)</f>
        <v>-305.52725234999997</v>
      </c>
      <c r="DL117" s="48">
        <f>+SUM(BS117:BV117)</f>
        <v>-298.39204999999998</v>
      </c>
      <c r="DM117" s="48">
        <f>+SUM(BW117:BZ117)</f>
        <v>-920.44462999999996</v>
      </c>
      <c r="DN117" s="48">
        <f>+SUM(CA117:CD117)</f>
        <v>-1237.81</v>
      </c>
      <c r="DO117" s="48">
        <f>+SUM(CE117:CH117)</f>
        <v>-937.01470328000005</v>
      </c>
      <c r="DP117" s="48">
        <f>+SUM(CI117:CL117)</f>
        <v>-845.71940788652421</v>
      </c>
      <c r="DQ117" s="48">
        <f>+SUM(CM117:CP117)</f>
        <v>-1113.6113756017198</v>
      </c>
      <c r="DR117" s="859">
        <f>+(DR266+DR270)/1000</f>
        <v>-1053.4362205383504</v>
      </c>
      <c r="DS117" s="859">
        <f t="shared" ref="DS117:DU117" si="716">+(DS266+DS270)/1000</f>
        <v>-1021.9090081675696</v>
      </c>
      <c r="DT117" s="859">
        <f t="shared" si="716"/>
        <v>-994.05115020120763</v>
      </c>
      <c r="DU117" s="859">
        <f t="shared" si="716"/>
        <v>-966.5155418619845</v>
      </c>
      <c r="DV117" s="6"/>
      <c r="DW117" s="6"/>
      <c r="DY117" s="859">
        <v>-861.69423531879954</v>
      </c>
      <c r="DZ117" s="859">
        <v>-845.03459799278596</v>
      </c>
    </row>
    <row r="118" spans="1:130">
      <c r="A118" s="418" t="s">
        <v>623</v>
      </c>
      <c r="B118" s="355"/>
      <c r="C118" s="26"/>
      <c r="D118" s="26"/>
      <c r="E118" s="26"/>
      <c r="F118" s="26"/>
      <c r="G118" s="26"/>
      <c r="H118" s="26"/>
      <c r="I118" s="26"/>
      <c r="J118" s="26"/>
      <c r="K118" s="26"/>
      <c r="L118" s="26"/>
      <c r="M118" s="26"/>
      <c r="N118" s="14"/>
      <c r="O118" s="14"/>
      <c r="P118" s="14"/>
      <c r="Q118" s="14"/>
      <c r="R118" s="14"/>
      <c r="S118" s="14"/>
      <c r="T118" s="14"/>
      <c r="U118" s="14"/>
      <c r="V118" s="14"/>
      <c r="W118" s="14"/>
      <c r="X118" s="14"/>
      <c r="Y118" s="14"/>
      <c r="Z118" s="14"/>
      <c r="AA118" s="14"/>
      <c r="AB118" s="14"/>
      <c r="AC118" s="14"/>
      <c r="AD118" s="14"/>
      <c r="AE118" s="14"/>
      <c r="AF118" s="14"/>
      <c r="AG118" s="14" t="e">
        <v>#DIV/0!</v>
      </c>
      <c r="AH118" s="14">
        <v>-4.0225261464199524E-2</v>
      </c>
      <c r="AI118" s="14">
        <v>-0.15117384626636438</v>
      </c>
      <c r="AJ118" s="14">
        <v>-8.8527100812358497E-2</v>
      </c>
      <c r="AK118" s="14">
        <v>-6.2800768214048383E-2</v>
      </c>
      <c r="AL118" s="14">
        <v>-8.0078846864605147E-2</v>
      </c>
      <c r="AM118" s="14">
        <v>-9.0005169215799569E-2</v>
      </c>
      <c r="AN118" s="14">
        <v>-6.9125797032358022E-2</v>
      </c>
      <c r="AO118" s="14">
        <v>-4.6025379709382599E-2</v>
      </c>
      <c r="AP118" s="14">
        <v>-3.8196966751586708E-2</v>
      </c>
      <c r="AQ118" s="14">
        <f t="shared" ref="AQ118:CL118" si="717">+AQ117/AVERAGE(AP237:AQ237)*1000</f>
        <v>-4.4899206690522754E-2</v>
      </c>
      <c r="AR118" s="14">
        <f t="shared" si="717"/>
        <v>-5.3116714822768751E-2</v>
      </c>
      <c r="AS118" s="14">
        <f t="shared" si="717"/>
        <v>-5.6641735125152665E-2</v>
      </c>
      <c r="AT118" s="14">
        <f t="shared" si="717"/>
        <v>-4.278475258379795E-2</v>
      </c>
      <c r="AU118" s="14">
        <f t="shared" si="717"/>
        <v>-4.175786304219016E-2</v>
      </c>
      <c r="AV118" s="14">
        <f t="shared" si="717"/>
        <v>-5.2941268059579806E-2</v>
      </c>
      <c r="AW118" s="14">
        <f t="shared" si="717"/>
        <v>-5.9947553781046249E-2</v>
      </c>
      <c r="AX118" s="14">
        <f t="shared" si="717"/>
        <v>-5.1942538884738168E-2</v>
      </c>
      <c r="AY118" s="14">
        <f t="shared" si="717"/>
        <v>-5.1900706851449881E-2</v>
      </c>
      <c r="AZ118" s="14">
        <f t="shared" si="717"/>
        <v>-5.5845122859270298E-2</v>
      </c>
      <c r="BA118" s="14">
        <f t="shared" si="717"/>
        <v>-6.5669155022160905E-2</v>
      </c>
      <c r="BB118" s="14">
        <f t="shared" si="717"/>
        <v>-5.3989207088728244E-2</v>
      </c>
      <c r="BC118" s="12">
        <f t="shared" si="717"/>
        <v>-4.4548775900945602E-2</v>
      </c>
      <c r="BD118" s="12">
        <f t="shared" si="717"/>
        <v>-3.498134362704633E-2</v>
      </c>
      <c r="BE118" s="14">
        <f t="shared" si="717"/>
        <v>-5.7953612133844944E-2</v>
      </c>
      <c r="BF118" s="14">
        <f t="shared" si="717"/>
        <v>-5.232307759101542E-2</v>
      </c>
      <c r="BG118" s="14">
        <f t="shared" si="717"/>
        <v>-4.165523685368798E-2</v>
      </c>
      <c r="BH118" s="14">
        <f t="shared" si="717"/>
        <v>-4.719293504949746E-2</v>
      </c>
      <c r="BI118" s="14">
        <f t="shared" si="717"/>
        <v>-5.3126718764911145E-2</v>
      </c>
      <c r="BJ118" s="14">
        <f t="shared" si="717"/>
        <v>-4.2866926182237607E-2</v>
      </c>
      <c r="BK118" s="14">
        <f t="shared" si="717"/>
        <v>-3.5979502068777619E-2</v>
      </c>
      <c r="BL118" s="14">
        <f t="shared" si="717"/>
        <v>-4.5720675645234014E-2</v>
      </c>
      <c r="BM118" s="14">
        <f t="shared" si="717"/>
        <v>-3.9670788171897724E-2</v>
      </c>
      <c r="BN118" s="14">
        <f t="shared" si="717"/>
        <v>-3.3048968035220068E-2</v>
      </c>
      <c r="BO118" s="168">
        <f t="shared" si="717"/>
        <v>-7.5178062209212013E-2</v>
      </c>
      <c r="BP118" s="168">
        <f t="shared" si="717"/>
        <v>-4.8104425568247788E-2</v>
      </c>
      <c r="BQ118" s="168">
        <f t="shared" si="717"/>
        <v>-4.9885154609384773E-2</v>
      </c>
      <c r="BR118" s="168">
        <f t="shared" si="717"/>
        <v>-1.0398460972108597E-2</v>
      </c>
      <c r="BS118" s="168">
        <f t="shared" si="717"/>
        <v>-2.8845420567155697E-2</v>
      </c>
      <c r="BT118" s="168">
        <f t="shared" si="717"/>
        <v>-2.3450713846574218E-2</v>
      </c>
      <c r="BU118" s="168">
        <f t="shared" si="717"/>
        <v>-3.136804407840918E-2</v>
      </c>
      <c r="BV118" s="168">
        <f t="shared" si="717"/>
        <v>-4.0861934360319638E-2</v>
      </c>
      <c r="BW118" s="168">
        <f t="shared" si="717"/>
        <v>-4.3712314177527169E-2</v>
      </c>
      <c r="BX118" s="168">
        <f t="shared" si="717"/>
        <v>-6.4077743014545413E-2</v>
      </c>
      <c r="BY118" s="168">
        <f t="shared" si="717"/>
        <v>-5.8767430972626648E-2</v>
      </c>
      <c r="BZ118" s="168">
        <f t="shared" si="717"/>
        <v>-7.2567539666661102E-2</v>
      </c>
      <c r="CA118" s="168">
        <f t="shared" si="717"/>
        <v>-7.0356585804685845E-2</v>
      </c>
      <c r="CB118" s="168">
        <f t="shared" si="717"/>
        <v>-8.1196680571123211E-2</v>
      </c>
      <c r="CC118" s="168">
        <f t="shared" si="717"/>
        <v>-7.186637556517067E-2</v>
      </c>
      <c r="CD118" s="168">
        <f t="shared" si="717"/>
        <v>-6.4356380236394575E-2</v>
      </c>
      <c r="CE118" s="168">
        <f t="shared" si="717"/>
        <v>-6.1405412751050825E-2</v>
      </c>
      <c r="CF118" s="168">
        <f t="shared" si="717"/>
        <v>-6.1378420858741241E-2</v>
      </c>
      <c r="CG118" s="168">
        <f t="shared" si="717"/>
        <v>-5.0737736395348947E-2</v>
      </c>
      <c r="CH118" s="168">
        <f t="shared" si="717"/>
        <v>-4.6247531373881365E-2</v>
      </c>
      <c r="CI118" s="168">
        <f t="shared" si="717"/>
        <v>-3.7372712006693419E-2</v>
      </c>
      <c r="CJ118" s="168">
        <f t="shared" si="717"/>
        <v>-5.244731610739535E-2</v>
      </c>
      <c r="CK118" s="168">
        <f t="shared" si="717"/>
        <v>-5.5278217295226792E-2</v>
      </c>
      <c r="CL118" s="168">
        <f t="shared" si="717"/>
        <v>-4.3359418697847395E-2</v>
      </c>
      <c r="CM118" s="168">
        <f t="shared" ref="CM118" si="718">+CM117/AVERAGE(CL237:CM237)*1000</f>
        <v>-5.0561836586973753E-2</v>
      </c>
      <c r="CN118" s="168">
        <f t="shared" ref="CN118" si="719">+CN117/AVERAGE(CM237:CN237)*1000</f>
        <v>-7.2204737046249814E-2</v>
      </c>
      <c r="CO118" s="168">
        <f t="shared" ref="CO118" si="720">+CO117/AVERAGE(CN237:CO237)*1000</f>
        <v>-6.1259475673641609E-2</v>
      </c>
      <c r="CP118" s="168">
        <f t="shared" ref="CP118" si="721">+CP117/AVERAGE(CO237:CP237)*1000</f>
        <v>-4.998373233221283E-2</v>
      </c>
      <c r="CQ118" s="168"/>
      <c r="CR118" s="168"/>
      <c r="CS118" s="168">
        <v>-5.3254755423173893E-2</v>
      </c>
      <c r="CT118" s="1136"/>
      <c r="CU118" s="216"/>
      <c r="CV118" s="216"/>
      <c r="CW118" s="217"/>
      <c r="CX118" s="217"/>
      <c r="CY118" s="217"/>
      <c r="CZ118" s="217"/>
      <c r="DA118" s="217"/>
      <c r="DB118" s="217">
        <f>+DB117/AVERAGE(DA237:DB237)*1000</f>
        <v>-8.7764206830980782E-2</v>
      </c>
      <c r="DC118" s="217">
        <f>+DC117/AVERAGE(DB237:DC237)*1000</f>
        <v>-0.27524220640506303</v>
      </c>
      <c r="DD118" s="217">
        <f>+DD117/AVERAGE(DC237:DD237)*1000</f>
        <v>-0.18616854144410233</v>
      </c>
      <c r="DE118" s="7"/>
      <c r="DF118" s="7">
        <f t="shared" ref="DF118:DU118" si="722">+DF117/AVERAGE(DE240:DF240)*1000</f>
        <v>-0.19343443893952578</v>
      </c>
      <c r="DG118" s="7">
        <f t="shared" si="722"/>
        <v>-0.21028365301125534</v>
      </c>
      <c r="DH118" s="7">
        <f t="shared" si="722"/>
        <v>-0.17382518493416768</v>
      </c>
      <c r="DI118" s="7">
        <f t="shared" si="722"/>
        <v>-0.14342137943728098</v>
      </c>
      <c r="DJ118" s="7">
        <f t="shared" si="722"/>
        <v>-0.12021068800964319</v>
      </c>
      <c r="DK118" s="7">
        <f t="shared" si="722"/>
        <v>-0.13780198129469118</v>
      </c>
      <c r="DL118" s="7">
        <f t="shared" si="722"/>
        <v>-9.8647536892374821E-2</v>
      </c>
      <c r="DM118" s="7">
        <f t="shared" si="722"/>
        <v>-0.2027483425620033</v>
      </c>
      <c r="DN118" s="7">
        <f t="shared" si="722"/>
        <v>-0.22978195487395833</v>
      </c>
      <c r="DO118" s="7">
        <f t="shared" si="722"/>
        <v>-0.17355065594797295</v>
      </c>
      <c r="DP118" s="7">
        <f t="shared" si="722"/>
        <v>-0.15176300448431582</v>
      </c>
      <c r="DQ118" s="7">
        <f t="shared" si="722"/>
        <v>-0.18852433263818821</v>
      </c>
      <c r="DR118" s="7">
        <f t="shared" si="722"/>
        <v>-0.17328994330260239</v>
      </c>
      <c r="DS118" s="7">
        <f t="shared" si="722"/>
        <v>-0.16810372629420134</v>
      </c>
      <c r="DT118" s="7">
        <f t="shared" si="722"/>
        <v>-0.16352111698819535</v>
      </c>
      <c r="DU118" s="7">
        <f t="shared" si="722"/>
        <v>-0.15899151764950153</v>
      </c>
      <c r="DV118" s="216"/>
      <c r="DW118" s="216"/>
      <c r="DY118" s="7">
        <v>-0.15292599908395943</v>
      </c>
      <c r="DZ118" s="7">
        <v>-0.14996939153335362</v>
      </c>
    </row>
    <row r="119" spans="1:130">
      <c r="A119" s="466"/>
      <c r="B119" s="466"/>
      <c r="C119" s="481"/>
      <c r="D119" s="481"/>
      <c r="E119" s="481"/>
      <c r="F119" s="481"/>
      <c r="G119" s="481"/>
      <c r="H119" s="481"/>
      <c r="I119" s="481"/>
      <c r="J119" s="481"/>
      <c r="K119" s="481"/>
      <c r="L119" s="481"/>
      <c r="M119" s="481"/>
      <c r="N119" s="482"/>
      <c r="O119" s="482"/>
      <c r="P119" s="482"/>
      <c r="Q119" s="482"/>
      <c r="R119" s="482"/>
      <c r="S119" s="482"/>
      <c r="T119" s="482"/>
      <c r="U119" s="482"/>
      <c r="V119" s="482"/>
      <c r="W119" s="482"/>
      <c r="X119" s="482"/>
      <c r="Y119" s="482"/>
      <c r="Z119" s="482"/>
      <c r="AA119" s="482"/>
      <c r="AB119" s="482"/>
      <c r="AC119" s="482"/>
      <c r="AD119" s="482"/>
      <c r="AE119" s="482"/>
      <c r="AF119" s="482"/>
      <c r="AG119" s="482"/>
      <c r="AH119" s="482"/>
      <c r="AI119" s="482"/>
      <c r="AJ119" s="482"/>
      <c r="AK119" s="482"/>
      <c r="AL119" s="482"/>
      <c r="AM119" s="482"/>
      <c r="AN119" s="482"/>
      <c r="AO119" s="482"/>
      <c r="AP119" s="482"/>
      <c r="AQ119" s="482"/>
      <c r="AR119" s="482"/>
      <c r="AS119" s="482"/>
      <c r="AT119" s="482"/>
      <c r="AU119" s="482"/>
      <c r="AV119" s="482"/>
      <c r="AW119" s="482"/>
      <c r="AX119" s="482"/>
      <c r="AY119" s="482"/>
      <c r="AZ119" s="482"/>
      <c r="BA119" s="482"/>
      <c r="BB119" s="14"/>
      <c r="BC119" s="12"/>
      <c r="BD119" s="14"/>
      <c r="BE119" s="482"/>
      <c r="BF119" s="482"/>
      <c r="BG119" s="482"/>
      <c r="BH119" s="482"/>
      <c r="BI119" s="482"/>
      <c r="BJ119" s="482"/>
      <c r="BK119" s="482"/>
      <c r="BL119" s="14"/>
      <c r="BM119" s="168"/>
      <c r="BN119" s="565"/>
      <c r="BO119" s="565"/>
      <c r="BP119" s="565"/>
      <c r="BQ119" s="565"/>
      <c r="BR119" s="565"/>
      <c r="BS119" s="565"/>
      <c r="BT119" s="565"/>
      <c r="BU119" s="565"/>
      <c r="BV119" s="565"/>
      <c r="BW119" s="565"/>
      <c r="BX119" s="565"/>
      <c r="BY119" s="565"/>
      <c r="BZ119" s="565"/>
      <c r="CA119" s="565"/>
      <c r="CB119" s="565"/>
      <c r="CC119" s="565"/>
      <c r="CD119" s="565"/>
      <c r="CE119" s="565"/>
      <c r="CF119" s="565"/>
      <c r="CG119" s="565"/>
      <c r="CH119" s="565"/>
      <c r="CI119" s="565"/>
      <c r="CJ119" s="565"/>
      <c r="CK119" s="565"/>
      <c r="CL119" s="565"/>
      <c r="CM119" s="565"/>
      <c r="CN119" s="565"/>
      <c r="CO119" s="565"/>
      <c r="CP119" s="565"/>
      <c r="CQ119" s="565"/>
      <c r="CR119" s="565"/>
      <c r="CS119" s="565"/>
      <c r="CT119" s="1133"/>
      <c r="CU119" s="216"/>
      <c r="CV119" s="216"/>
      <c r="CW119" s="217"/>
      <c r="CX119" s="217"/>
      <c r="CY119" s="217"/>
      <c r="CZ119" s="217"/>
      <c r="DA119" s="217"/>
      <c r="DB119" s="217"/>
      <c r="DC119" s="217"/>
      <c r="DD119" s="217"/>
      <c r="DE119" s="217"/>
      <c r="DF119" s="217"/>
      <c r="DG119" s="217"/>
      <c r="DH119" s="217"/>
      <c r="DI119" s="217"/>
      <c r="DJ119" s="217"/>
      <c r="DK119" s="217"/>
      <c r="DL119" s="217"/>
      <c r="DM119" s="217"/>
      <c r="DN119" s="217"/>
      <c r="DO119" s="217"/>
      <c r="DP119" s="217"/>
      <c r="DQ119" s="217"/>
      <c r="DR119" s="217"/>
      <c r="DS119" s="217"/>
      <c r="DT119" s="217"/>
      <c r="DU119" s="217"/>
      <c r="DV119" s="216"/>
      <c r="DW119" s="216"/>
      <c r="DY119" s="217"/>
      <c r="DZ119" s="217"/>
    </row>
    <row r="120" spans="1:130">
      <c r="A120" s="355"/>
      <c r="B120" s="355"/>
      <c r="C120" s="26"/>
      <c r="D120" s="26"/>
      <c r="E120" s="26"/>
      <c r="F120" s="26"/>
      <c r="G120" s="26"/>
      <c r="H120" s="26"/>
      <c r="I120" s="26"/>
      <c r="J120" s="26"/>
      <c r="K120" s="26"/>
      <c r="L120" s="26"/>
      <c r="M120" s="26"/>
      <c r="N120" s="26"/>
      <c r="O120" s="26"/>
      <c r="P120" s="26"/>
      <c r="Q120" s="26"/>
      <c r="R120" s="467"/>
      <c r="S120" s="467"/>
      <c r="T120" s="467"/>
      <c r="U120" s="467"/>
      <c r="V120" s="467"/>
      <c r="W120" s="467"/>
      <c r="X120" s="467"/>
      <c r="Y120" s="467"/>
      <c r="Z120" s="467"/>
      <c r="AA120" s="467"/>
      <c r="AB120" s="467"/>
      <c r="AC120" s="467"/>
      <c r="AD120" s="467"/>
      <c r="AE120" s="467"/>
      <c r="AF120" s="467"/>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16"/>
      <c r="BD120" s="26"/>
      <c r="BE120" s="26"/>
      <c r="BF120" s="26"/>
      <c r="BG120" s="26"/>
      <c r="BH120" s="26"/>
      <c r="BI120" s="26"/>
      <c r="BJ120" s="26"/>
      <c r="BK120" s="26"/>
      <c r="BL120" s="26"/>
      <c r="BM120" s="182"/>
      <c r="BN120" s="182"/>
      <c r="BO120" s="182"/>
      <c r="BP120" s="182"/>
      <c r="BQ120" s="182"/>
      <c r="BR120" s="182"/>
      <c r="BS120" s="182"/>
      <c r="BT120" s="182"/>
      <c r="BU120" s="182"/>
      <c r="BV120" s="182"/>
      <c r="BW120" s="182"/>
      <c r="BX120" s="182"/>
      <c r="BY120" s="182"/>
      <c r="BZ120" s="182"/>
      <c r="CA120" s="182"/>
      <c r="CB120" s="182"/>
      <c r="CC120" s="182"/>
      <c r="CD120" s="182"/>
      <c r="CE120" s="182"/>
      <c r="CF120" s="182"/>
      <c r="CG120" s="182"/>
      <c r="CH120" s="182"/>
      <c r="CI120" s="182"/>
      <c r="CJ120" s="182"/>
      <c r="CK120" s="182"/>
      <c r="CL120" s="182"/>
      <c r="CM120" s="182"/>
      <c r="CN120" s="182"/>
      <c r="CO120" s="182"/>
      <c r="CP120" s="182"/>
      <c r="CQ120" s="182"/>
      <c r="CR120" s="182"/>
      <c r="CS120" s="182"/>
      <c r="CT120" s="1133"/>
      <c r="CU120" s="17"/>
      <c r="CV120" s="17"/>
      <c r="CW120" s="17"/>
      <c r="CX120" s="17"/>
      <c r="CY120" s="17"/>
      <c r="CZ120" s="17"/>
      <c r="DA120" s="17"/>
      <c r="DB120" s="17"/>
      <c r="DC120" s="17"/>
      <c r="DD120" s="17"/>
      <c r="DE120" s="17"/>
      <c r="DF120" s="17"/>
      <c r="DG120" s="17"/>
      <c r="DH120" s="17"/>
      <c r="DI120" s="17"/>
      <c r="DJ120" s="17"/>
      <c r="DK120" s="17"/>
      <c r="DL120" s="17"/>
      <c r="DM120" s="17"/>
      <c r="DN120" s="17"/>
      <c r="DO120" s="17"/>
      <c r="DP120" s="17"/>
      <c r="DQ120" s="17"/>
      <c r="DR120" s="17"/>
      <c r="DS120" s="17"/>
      <c r="DT120" s="17"/>
      <c r="DU120" s="17"/>
      <c r="DV120" s="17"/>
      <c r="DW120" s="17"/>
      <c r="DY120" s="17"/>
      <c r="DZ120" s="17"/>
    </row>
    <row r="121" spans="1:130" s="686" customFormat="1" ht="12.75">
      <c r="A121" s="438" t="s">
        <v>624</v>
      </c>
      <c r="B121" s="345"/>
      <c r="C121" s="441">
        <v>0</v>
      </c>
      <c r="D121" s="441">
        <v>0</v>
      </c>
      <c r="E121" s="441">
        <v>0</v>
      </c>
      <c r="F121" s="441">
        <v>0</v>
      </c>
      <c r="G121" s="441">
        <v>0</v>
      </c>
      <c r="H121" s="441">
        <v>0</v>
      </c>
      <c r="I121" s="441">
        <v>0</v>
      </c>
      <c r="J121" s="441">
        <v>0</v>
      </c>
      <c r="K121" s="441">
        <v>0</v>
      </c>
      <c r="L121" s="441">
        <v>0</v>
      </c>
      <c r="M121" s="441">
        <v>0</v>
      </c>
      <c r="N121" s="441">
        <v>-2.9</v>
      </c>
      <c r="O121" s="441">
        <v>-5</v>
      </c>
      <c r="P121" s="441"/>
      <c r="Q121" s="441">
        <v>-8.3000000000000007</v>
      </c>
      <c r="R121" s="441">
        <v>-6.5</v>
      </c>
      <c r="S121" s="441">
        <v>-6.1</v>
      </c>
      <c r="T121" s="441">
        <v>-6.2</v>
      </c>
      <c r="U121" s="441">
        <v>-5.0999999999999996</v>
      </c>
      <c r="V121" s="441">
        <v>-5</v>
      </c>
      <c r="W121" s="441">
        <v>-5.2</v>
      </c>
      <c r="X121" s="441">
        <v>-6.1</v>
      </c>
      <c r="Y121" s="441">
        <v>-5.6</v>
      </c>
      <c r="Z121" s="441">
        <v>-5.3</v>
      </c>
      <c r="AA121" s="441">
        <v>-4.7</v>
      </c>
      <c r="AB121" s="441">
        <v>-5.6</v>
      </c>
      <c r="AC121" s="441">
        <v>-5.4</v>
      </c>
      <c r="AD121" s="441">
        <v>-4.7</v>
      </c>
      <c r="AE121" s="441">
        <v>-5.7</v>
      </c>
      <c r="AF121" s="441">
        <v>-7.1</v>
      </c>
      <c r="AG121" s="441">
        <v>-6.5</v>
      </c>
      <c r="AH121" s="441">
        <v>-5.4</v>
      </c>
      <c r="AI121" s="441">
        <v>-4.7329999999999997</v>
      </c>
      <c r="AJ121" s="441">
        <v>-4.2410000000000005</v>
      </c>
      <c r="AK121" s="441">
        <v>-5.4</v>
      </c>
      <c r="AL121" s="441">
        <v>-4.3</v>
      </c>
      <c r="AM121" s="441">
        <v>-5.4</v>
      </c>
      <c r="AN121" s="441">
        <v>-5.0999999999999996</v>
      </c>
      <c r="AO121" s="441">
        <v>-5.9</v>
      </c>
      <c r="AP121" s="441">
        <v>-5.7</v>
      </c>
      <c r="AQ121" s="860">
        <v>-5.8</v>
      </c>
      <c r="AR121" s="860">
        <v>-4.5</v>
      </c>
      <c r="AS121" s="860">
        <v>-7.6</v>
      </c>
      <c r="AT121" s="860">
        <v>-6.4</v>
      </c>
      <c r="AU121" s="860">
        <v>-7.1589999999999998</v>
      </c>
      <c r="AV121" s="860">
        <v>-10.284000000000001</v>
      </c>
      <c r="AW121" s="860">
        <v>-11.858000000000001</v>
      </c>
      <c r="AX121" s="860">
        <v>-10.382999999999999</v>
      </c>
      <c r="AY121" s="860">
        <v>-9.2460000000000004</v>
      </c>
      <c r="AZ121" s="860">
        <v>-11</v>
      </c>
      <c r="BA121" s="860">
        <v>-6.7309999999999999</v>
      </c>
      <c r="BB121" s="860">
        <v>-5.4470000000000001</v>
      </c>
      <c r="BC121" s="861">
        <v>-4.0640000000000001</v>
      </c>
      <c r="BD121" s="860">
        <v>-4.5940000000000003</v>
      </c>
      <c r="BE121" s="860">
        <v>1.1339999999999999</v>
      </c>
      <c r="BF121" s="860">
        <v>0.14000000000000001</v>
      </c>
      <c r="BG121" s="860">
        <v>0.433</v>
      </c>
      <c r="BH121" s="860">
        <v>-0.92400000000000004</v>
      </c>
      <c r="BI121" s="860">
        <v>-0.45323281999988968</v>
      </c>
      <c r="BJ121" s="860">
        <v>0.214</v>
      </c>
      <c r="BK121" s="860">
        <v>-9.2206500000002051E-3</v>
      </c>
      <c r="BL121" s="860">
        <v>-1.321</v>
      </c>
      <c r="BM121" s="862">
        <v>-1.2230000000000001</v>
      </c>
      <c r="BN121" s="862">
        <v>-0.21040155999999979</v>
      </c>
      <c r="BO121" s="892"/>
      <c r="BP121" s="862"/>
      <c r="BQ121" s="862"/>
      <c r="BR121" s="862"/>
      <c r="BS121" s="862"/>
      <c r="BT121" s="862"/>
      <c r="BU121" s="862"/>
      <c r="BV121" s="862"/>
      <c r="BW121" s="862"/>
      <c r="BX121" s="862"/>
      <c r="BY121" s="862"/>
      <c r="BZ121" s="862"/>
      <c r="CA121" s="862"/>
      <c r="CB121" s="862"/>
      <c r="CC121" s="862"/>
      <c r="CD121" s="862"/>
      <c r="CE121" s="862"/>
      <c r="CF121" s="862"/>
      <c r="CG121" s="862"/>
      <c r="CH121" s="862"/>
      <c r="CI121" s="862"/>
      <c r="CJ121" s="862"/>
      <c r="CK121" s="862"/>
      <c r="CL121" s="863"/>
      <c r="CM121" s="863"/>
      <c r="CN121" s="863"/>
      <c r="CO121" s="863"/>
      <c r="CP121" s="863"/>
      <c r="CQ121" s="863"/>
      <c r="CR121" s="863"/>
      <c r="CS121" s="863"/>
      <c r="CT121" s="1133"/>
      <c r="CU121" s="229">
        <f>SUM(C121:F121)</f>
        <v>0</v>
      </c>
      <c r="CV121" s="195">
        <f>SUM(G121:J121)</f>
        <v>0</v>
      </c>
      <c r="CW121" s="195">
        <f>SUM(K121:N121)</f>
        <v>-2.9</v>
      </c>
      <c r="CX121" s="195">
        <f>SUM(O121:R121)</f>
        <v>-19.8</v>
      </c>
      <c r="CY121" s="195">
        <f>SUM(S121:V121)</f>
        <v>-22.4</v>
      </c>
      <c r="CZ121" s="195">
        <f>SUM(W121:Z121)</f>
        <v>-22.2</v>
      </c>
      <c r="DA121" s="195">
        <f>SUM(AA121:AD121)</f>
        <v>-20.400000000000002</v>
      </c>
      <c r="DB121" s="195">
        <f>SUM(AE121:AH121)</f>
        <v>-24.700000000000003</v>
      </c>
      <c r="DC121" s="195">
        <f>+SUM(AI121:AL121)</f>
        <v>-18.673999999999999</v>
      </c>
      <c r="DD121" s="195">
        <f>+SUM(AM121:AP121)</f>
        <v>-22.099999999999998</v>
      </c>
      <c r="DE121" s="826">
        <f>+SUM(AQ121:AT121)</f>
        <v>-24.299999999999997</v>
      </c>
      <c r="DF121" s="826">
        <f>+SUM(AU121:AX121)</f>
        <v>-39.683999999999997</v>
      </c>
      <c r="DG121" s="826">
        <f>+SUM(AY121:BB121)</f>
        <v>-32.424000000000007</v>
      </c>
      <c r="DH121" s="826">
        <f>+SUM(BC121:BF121)</f>
        <v>-7.3840000000000012</v>
      </c>
      <c r="DI121" s="31">
        <f>+SUM(BG121:BJ121)</f>
        <v>-0.73023281999988976</v>
      </c>
      <c r="DJ121" s="31">
        <f>+SUM(BK121:BN121)</f>
        <v>-2.7636222099999999</v>
      </c>
      <c r="DK121" s="895"/>
      <c r="DL121" s="48"/>
      <c r="DM121" s="48"/>
      <c r="DN121" s="48"/>
      <c r="DO121" s="48"/>
      <c r="DP121" s="48"/>
      <c r="DQ121" s="48"/>
      <c r="DR121" s="31"/>
      <c r="DS121" s="31"/>
      <c r="DT121" s="31"/>
      <c r="DU121" s="31"/>
      <c r="DV121" s="6"/>
      <c r="DW121" s="6"/>
      <c r="DY121" s="31"/>
      <c r="DZ121" s="31"/>
    </row>
    <row r="122" spans="1:130">
      <c r="A122" s="418" t="s">
        <v>625</v>
      </c>
      <c r="B122" s="447"/>
      <c r="C122" s="447"/>
      <c r="D122" s="447"/>
      <c r="E122" s="447"/>
      <c r="F122" s="447"/>
      <c r="G122" s="447"/>
      <c r="H122" s="447"/>
      <c r="I122" s="447"/>
      <c r="J122" s="447"/>
      <c r="K122" s="447"/>
      <c r="L122" s="447"/>
      <c r="M122" s="447"/>
      <c r="N122" s="447"/>
      <c r="O122" s="447">
        <v>-6.8574876908095953E-5</v>
      </c>
      <c r="P122" s="447">
        <v>0</v>
      </c>
      <c r="Q122" s="447">
        <v>-1.1113640319751483E-4</v>
      </c>
      <c r="R122" s="447">
        <v>-9.426027436990632E-5</v>
      </c>
      <c r="S122" s="447">
        <v>-8.4921551976166281E-5</v>
      </c>
      <c r="T122" s="447">
        <v>-8.5143783130544646E-5</v>
      </c>
      <c r="U122" s="447">
        <v>-7.4394993654544652E-5</v>
      </c>
      <c r="V122" s="447">
        <v>-7.5101010859606168E-5</v>
      </c>
      <c r="W122" s="447">
        <v>-7.4854609316519846E-5</v>
      </c>
      <c r="X122" s="447">
        <v>-8.803198014229431E-5</v>
      </c>
      <c r="Y122" s="447">
        <v>-7.8766737931810504E-5</v>
      </c>
      <c r="Z122" s="447">
        <v>-7.3390938296222444E-5</v>
      </c>
      <c r="AA122" s="447">
        <v>-6.2189877605028115E-5</v>
      </c>
      <c r="AB122" s="447">
        <v>-7.1203336384904892E-5</v>
      </c>
      <c r="AC122" s="447">
        <v>-6.5917968750000004E-5</v>
      </c>
      <c r="AD122" s="447">
        <v>-5.920663114268798E-5</v>
      </c>
      <c r="AE122" s="447">
        <v>-6.8989724162137956E-5</v>
      </c>
      <c r="AF122" s="447">
        <v>-8.2797868246434439E-5</v>
      </c>
      <c r="AG122" s="447">
        <v>-7.8203955917031617E-5</v>
      </c>
      <c r="AH122" s="447">
        <v>-6.7822155237377547E-5</v>
      </c>
      <c r="AI122" s="447">
        <v>-5.6394919333698729E-5</v>
      </c>
      <c r="AJ122" s="447">
        <v>-4.9799790984135939E-5</v>
      </c>
      <c r="AK122" s="447">
        <v>-6.0107525684836209E-5</v>
      </c>
      <c r="AL122" s="447">
        <v>-4.7351091828082499E-5</v>
      </c>
      <c r="AM122" s="447">
        <v>-5.4633198773788211E-5</v>
      </c>
      <c r="AN122" s="447">
        <v>-5.0393763030740192E-5</v>
      </c>
      <c r="AO122" s="447">
        <v>-5.593371380899111E-5</v>
      </c>
      <c r="AP122" s="447">
        <v>-5.3662210506495951E-5</v>
      </c>
      <c r="AQ122" s="447">
        <f t="shared" ref="AQ122:BN122" si="723">+AQ121/AVERAGE(AP233:AQ233)*1000</f>
        <v>-4.4279379578152298E-2</v>
      </c>
      <c r="AR122" s="447">
        <f t="shared" si="723"/>
        <v>-2.8424491649486561E-2</v>
      </c>
      <c r="AS122" s="447">
        <f t="shared" si="723"/>
        <v>-4.4516855847229628E-2</v>
      </c>
      <c r="AT122" s="447">
        <f t="shared" si="723"/>
        <v>-3.6627069934851229E-2</v>
      </c>
      <c r="AU122" s="447">
        <f t="shared" si="723"/>
        <v>-4.0817606476994124E-2</v>
      </c>
      <c r="AV122" s="447">
        <f t="shared" si="723"/>
        <v>-5.4314988908841247E-2</v>
      </c>
      <c r="AW122" s="447">
        <f t="shared" si="723"/>
        <v>-6.0639222705190489E-2</v>
      </c>
      <c r="AX122" s="447">
        <f t="shared" si="723"/>
        <v>-5.5571105542863965E-2</v>
      </c>
      <c r="AY122" s="447">
        <f t="shared" si="723"/>
        <v>-5.148181437343697E-2</v>
      </c>
      <c r="AZ122" s="447">
        <f t="shared" si="723"/>
        <v>-6.1179020918755635E-2</v>
      </c>
      <c r="BA122" s="447">
        <f t="shared" si="723"/>
        <v>-3.8803328634965654E-2</v>
      </c>
      <c r="BB122" s="447">
        <f t="shared" si="723"/>
        <v>-3.4941416836926156E-2</v>
      </c>
      <c r="BC122" s="447">
        <f t="shared" si="723"/>
        <v>-2.847174543569337E-2</v>
      </c>
      <c r="BD122" s="447">
        <f t="shared" si="723"/>
        <v>-3.5841063529338336E-2</v>
      </c>
      <c r="BE122" s="447">
        <f t="shared" si="723"/>
        <v>1.1088458322944014E-2</v>
      </c>
      <c r="BF122" s="447">
        <f t="shared" si="723"/>
        <v>1.7401118146134591E-3</v>
      </c>
      <c r="BG122" s="447">
        <f t="shared" si="723"/>
        <v>6.4173247018092993E-3</v>
      </c>
      <c r="BH122" s="447">
        <f t="shared" si="723"/>
        <v>-1.5231062135810304E-2</v>
      </c>
      <c r="BI122" s="447">
        <f t="shared" si="723"/>
        <v>-7.976852961621473E-3</v>
      </c>
      <c r="BJ122" s="447">
        <f t="shared" si="723"/>
        <v>4.0296385564855524E-3</v>
      </c>
      <c r="BK122" s="447">
        <f t="shared" si="723"/>
        <v>-1.7740773999098012E-4</v>
      </c>
      <c r="BL122" s="447">
        <f t="shared" si="723"/>
        <v>-2.449592409324242E-2</v>
      </c>
      <c r="BM122" s="447">
        <f t="shared" si="723"/>
        <v>-2.2552961625752134E-2</v>
      </c>
      <c r="BN122" s="447">
        <f t="shared" si="723"/>
        <v>-3.8411975180687495E-3</v>
      </c>
      <c r="BO122" s="1054"/>
      <c r="BP122" s="447"/>
      <c r="BQ122" s="447"/>
      <c r="BR122" s="447"/>
      <c r="BS122" s="447"/>
      <c r="BT122" s="447"/>
      <c r="BU122" s="447"/>
      <c r="BV122" s="447"/>
      <c r="BW122" s="447"/>
      <c r="BX122" s="447"/>
      <c r="BY122" s="447"/>
      <c r="BZ122" s="447"/>
      <c r="CA122" s="447"/>
      <c r="CB122" s="447"/>
      <c r="CC122" s="447"/>
      <c r="CD122" s="447"/>
      <c r="CE122" s="447"/>
      <c r="CF122" s="447"/>
      <c r="CG122" s="447"/>
      <c r="CH122" s="447"/>
      <c r="CI122" s="447"/>
      <c r="CJ122" s="447"/>
      <c r="CK122" s="447"/>
      <c r="CL122" s="566"/>
      <c r="CM122" s="566"/>
      <c r="CN122" s="566"/>
      <c r="CO122" s="566"/>
      <c r="CP122" s="566"/>
      <c r="CQ122" s="566"/>
      <c r="CR122" s="566"/>
      <c r="CS122" s="566"/>
      <c r="CT122" s="1133"/>
      <c r="CU122" s="108"/>
      <c r="CV122" s="108"/>
      <c r="CW122" s="108">
        <f t="shared" ref="CW122:DJ122" si="724">+CW121/CW233</f>
        <v>-3.6313548710242925E-4</v>
      </c>
      <c r="CX122" s="108">
        <f t="shared" si="724"/>
        <v>-2.8713129731140698E-4</v>
      </c>
      <c r="CY122" s="108">
        <f t="shared" si="724"/>
        <v>-3.364525286510356E-4</v>
      </c>
      <c r="CZ122" s="108">
        <f t="shared" si="724"/>
        <v>-3.074111000332336E-4</v>
      </c>
      <c r="DA122" s="108">
        <f t="shared" si="724"/>
        <v>-2.5698197347039044E-4</v>
      </c>
      <c r="DB122" s="108">
        <f t="shared" si="724"/>
        <v>-3.1022356191911583E-4</v>
      </c>
      <c r="DC122" s="108">
        <f t="shared" si="724"/>
        <v>-2.0563588111572386E-4</v>
      </c>
      <c r="DD122" s="108">
        <f t="shared" si="724"/>
        <v>-2.0805874599887024E-4</v>
      </c>
      <c r="DE122" s="108">
        <f t="shared" si="724"/>
        <v>-1.4387211367673179E-4</v>
      </c>
      <c r="DF122" s="108">
        <f t="shared" si="724"/>
        <v>-2.2122447590206616E-4</v>
      </c>
      <c r="DG122" s="108">
        <f t="shared" si="724"/>
        <v>-2.2417190384336179E-4</v>
      </c>
      <c r="DH122" s="108">
        <f t="shared" si="724"/>
        <v>-1.0271362040473398E-4</v>
      </c>
      <c r="DI122" s="108">
        <f t="shared" si="724"/>
        <v>-1.4360809848765752E-5</v>
      </c>
      <c r="DJ122" s="108">
        <f t="shared" si="724"/>
        <v>-4.9483684534348734E-5</v>
      </c>
      <c r="DK122" s="896"/>
      <c r="DL122" s="108"/>
      <c r="DM122" s="108"/>
      <c r="DN122" s="108"/>
      <c r="DO122" s="108"/>
      <c r="DP122" s="108"/>
      <c r="DQ122" s="108"/>
      <c r="DR122" s="213"/>
      <c r="DS122" s="213"/>
      <c r="DT122" s="213"/>
      <c r="DU122" s="213"/>
      <c r="DV122" s="108"/>
      <c r="DW122" s="108"/>
      <c r="DY122" s="213"/>
      <c r="DZ122" s="213"/>
    </row>
    <row r="123" spans="1:130">
      <c r="A123" s="355"/>
      <c r="B123" s="355"/>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16"/>
      <c r="BA123" s="16"/>
      <c r="BB123" s="26"/>
      <c r="BC123" s="16"/>
      <c r="BD123" s="26"/>
      <c r="BE123" s="26"/>
      <c r="BF123" s="26"/>
      <c r="BG123" s="26"/>
      <c r="BH123" s="26"/>
      <c r="BI123" s="26"/>
      <c r="BJ123" s="26"/>
      <c r="BK123" s="26"/>
      <c r="BL123" s="26"/>
      <c r="BM123" s="182"/>
      <c r="BN123" s="182"/>
      <c r="BO123" s="182"/>
      <c r="BP123" s="182"/>
      <c r="BQ123" s="182"/>
      <c r="BR123" s="182"/>
      <c r="BS123" s="182"/>
      <c r="BT123" s="182"/>
      <c r="BU123" s="182"/>
      <c r="BV123" s="182"/>
      <c r="BW123" s="182"/>
      <c r="BX123" s="182"/>
      <c r="BY123" s="182"/>
      <c r="BZ123" s="182"/>
      <c r="CA123" s="182"/>
      <c r="CB123" s="182"/>
      <c r="CC123" s="182"/>
      <c r="CD123" s="182"/>
      <c r="CE123" s="182"/>
      <c r="CF123" s="182"/>
      <c r="CG123" s="182"/>
      <c r="CH123" s="182"/>
      <c r="CI123" s="182"/>
      <c r="CJ123" s="182"/>
      <c r="CK123" s="182"/>
      <c r="CL123" s="182"/>
      <c r="CM123" s="182"/>
      <c r="CN123" s="182"/>
      <c r="CO123" s="182"/>
      <c r="CP123" s="182"/>
      <c r="CQ123" s="182"/>
      <c r="CR123" s="182"/>
      <c r="CS123" s="182"/>
      <c r="CT123" s="1133"/>
      <c r="CU123" s="17"/>
      <c r="CV123" s="17"/>
      <c r="CW123" s="17"/>
      <c r="CX123" s="17"/>
      <c r="CY123" s="17"/>
      <c r="CZ123" s="17"/>
      <c r="DA123" s="17"/>
      <c r="DB123" s="17"/>
      <c r="DC123" s="17"/>
      <c r="DD123" s="17"/>
      <c r="DE123" s="17"/>
      <c r="DF123" s="17"/>
      <c r="DG123" s="17"/>
      <c r="DH123" s="17"/>
      <c r="DI123" s="17"/>
      <c r="DJ123" s="17"/>
      <c r="DK123" s="17"/>
      <c r="DL123" s="17"/>
      <c r="DM123" s="17"/>
      <c r="DN123" s="17"/>
      <c r="DO123" s="17"/>
      <c r="DP123" s="17"/>
      <c r="DQ123" s="17"/>
      <c r="DR123" s="17"/>
      <c r="DS123" s="17"/>
      <c r="DT123" s="17"/>
      <c r="DU123" s="17"/>
      <c r="DV123" s="17"/>
      <c r="DW123" s="17"/>
      <c r="DY123" s="17"/>
      <c r="DZ123" s="17"/>
    </row>
    <row r="124" spans="1:130" s="1062" customFormat="1">
      <c r="A124" s="1056" t="s">
        <v>626</v>
      </c>
      <c r="B124" s="1056"/>
      <c r="C124" s="1057"/>
      <c r="D124" s="1057"/>
      <c r="E124" s="1057"/>
      <c r="F124" s="1057"/>
      <c r="G124" s="1057"/>
      <c r="H124" s="1057"/>
      <c r="I124" s="1057">
        <v>0</v>
      </c>
      <c r="J124" s="1057">
        <v>-3.3</v>
      </c>
      <c r="K124" s="1057">
        <v>-2.9</v>
      </c>
      <c r="L124" s="1057">
        <v>-4.2</v>
      </c>
      <c r="M124" s="1057">
        <v>-4.2</v>
      </c>
      <c r="N124" s="1057">
        <v>-4.7</v>
      </c>
      <c r="O124" s="1057">
        <v>-5.0999999999999996</v>
      </c>
      <c r="P124" s="1057">
        <v>-7</v>
      </c>
      <c r="Q124" s="1057">
        <v>-7.1</v>
      </c>
      <c r="R124" s="1057">
        <v>-9.9</v>
      </c>
      <c r="S124" s="1057">
        <v>-7.8</v>
      </c>
      <c r="T124" s="1057">
        <v>-10.5</v>
      </c>
      <c r="U124" s="1057">
        <v>-9.1</v>
      </c>
      <c r="V124" s="1057">
        <v>-10.6</v>
      </c>
      <c r="W124" s="1057">
        <v>-7.8</v>
      </c>
      <c r="X124" s="1057">
        <v>-9.6</v>
      </c>
      <c r="Y124" s="1057">
        <v>-9.6999999999999993</v>
      </c>
      <c r="Z124" s="1057">
        <v>-11.4</v>
      </c>
      <c r="AA124" s="1057">
        <v>-9.6</v>
      </c>
      <c r="AB124" s="1057">
        <v>-11.9</v>
      </c>
      <c r="AC124" s="1057">
        <v>-12.4</v>
      </c>
      <c r="AD124" s="1057">
        <v>-18.5</v>
      </c>
      <c r="AE124" s="1057">
        <v>-17.600000000000001</v>
      </c>
      <c r="AF124" s="1057">
        <v>-20.2</v>
      </c>
      <c r="AG124" s="1057">
        <v>-21.2</v>
      </c>
      <c r="AH124" s="1057">
        <v>-27.5</v>
      </c>
      <c r="AI124" s="1057">
        <v>-24.8</v>
      </c>
      <c r="AJ124" s="1057">
        <v>-29.2</v>
      </c>
      <c r="AK124" s="1057">
        <v>-25.4</v>
      </c>
      <c r="AL124" s="1057">
        <v>-28.4</v>
      </c>
      <c r="AM124" s="1057">
        <v>-27.5</v>
      </c>
      <c r="AN124" s="1057">
        <v>-30.7</v>
      </c>
      <c r="AO124" s="1057">
        <v>-31.3</v>
      </c>
      <c r="AP124" s="1057">
        <v>-33.9</v>
      </c>
      <c r="AQ124" s="1058">
        <v>-29.5</v>
      </c>
      <c r="AR124" s="1058">
        <v>-34</v>
      </c>
      <c r="AS124" s="1058">
        <v>-37.4</v>
      </c>
      <c r="AT124" s="1058">
        <v>-44.5</v>
      </c>
      <c r="AU124" s="1058">
        <v>-37.621000000000002</v>
      </c>
      <c r="AV124" s="1058">
        <v>-40.433</v>
      </c>
      <c r="AW124" s="1058">
        <v>-37.365000000000002</v>
      </c>
      <c r="AX124" s="1058">
        <v>-44.218000000000004</v>
      </c>
      <c r="AY124" s="1058">
        <v>-41.366999999999997</v>
      </c>
      <c r="AZ124" s="1058">
        <v>-40.799999999999997</v>
      </c>
      <c r="BA124" s="1058">
        <v>-40.857999999999997</v>
      </c>
      <c r="BB124" s="1058">
        <v>-54.844999999999999</v>
      </c>
      <c r="BC124" s="1059">
        <v>-48.784999999999997</v>
      </c>
      <c r="BD124" s="1058">
        <v>-57.082999999999998</v>
      </c>
      <c r="BE124" s="1058">
        <v>-58.835000000000001</v>
      </c>
      <c r="BF124" s="1058">
        <v>-70.069000000000003</v>
      </c>
      <c r="BG124" s="1058">
        <v>-62.473999999999997</v>
      </c>
      <c r="BH124" s="1058">
        <v>-72.41</v>
      </c>
      <c r="BI124" s="1058">
        <v>-70.086577829999996</v>
      </c>
      <c r="BJ124" s="1058">
        <v>-78.915414560000002</v>
      </c>
      <c r="BK124" s="1058">
        <v>-65.936682390000001</v>
      </c>
      <c r="BL124" s="1058">
        <v>-77.347705379999994</v>
      </c>
      <c r="BM124" s="1058">
        <v>-82.031000000000006</v>
      </c>
      <c r="BN124" s="1058">
        <v>-92.679189000000051</v>
      </c>
      <c r="BO124" s="1058">
        <v>-88.152000000000001</v>
      </c>
      <c r="BP124" s="1058">
        <v>-75.412135699999993</v>
      </c>
      <c r="BQ124" s="1058">
        <v>-92.231391420000008</v>
      </c>
      <c r="BR124" s="1058">
        <v>-104</v>
      </c>
      <c r="BS124" s="1058">
        <v>-91.6</v>
      </c>
      <c r="BT124" s="1058">
        <v>-99.028710000000004</v>
      </c>
      <c r="BU124" s="1058">
        <v>-101.99759</v>
      </c>
      <c r="BV124" s="1058">
        <v>-114.56748999999996</v>
      </c>
      <c r="BW124" s="1058">
        <v>-114.078</v>
      </c>
      <c r="BX124" s="1058">
        <v>-129.73400000000001</v>
      </c>
      <c r="BY124" s="1058">
        <v>-111.97499999999999</v>
      </c>
      <c r="BZ124" s="1058">
        <v>-156.244</v>
      </c>
      <c r="CA124" s="1058">
        <v>-132.44606774000005</v>
      </c>
      <c r="CB124" s="1058">
        <v>-145.9741314</v>
      </c>
      <c r="CC124" s="1058">
        <v>-140.11871334</v>
      </c>
      <c r="CD124" s="1058">
        <v>-169.87856538</v>
      </c>
      <c r="CE124" s="1058">
        <v>-151.35300000000001</v>
      </c>
      <c r="CF124" s="1058">
        <v>-137.714</v>
      </c>
      <c r="CG124" s="1058">
        <v>-143.70274618000002</v>
      </c>
      <c r="CH124" s="1058">
        <v>-168.28899999999999</v>
      </c>
      <c r="CI124" s="1058">
        <v>-135.93886928000006</v>
      </c>
      <c r="CJ124" s="1058">
        <v>-145.32538815000001</v>
      </c>
      <c r="CK124" s="1058">
        <v>-147.358</v>
      </c>
      <c r="CL124" s="1060">
        <f t="shared" ref="CL124" si="725">+CH124*(1+CL126)</f>
        <v>-171.65477999999999</v>
      </c>
      <c r="CM124" s="1060">
        <f t="shared" ref="CM124" si="726">+CI124*(1+CM126)</f>
        <v>-138.65764666560005</v>
      </c>
      <c r="CN124" s="1060">
        <f t="shared" ref="CN124" si="727">+CJ124*(1+CN126)</f>
        <v>-148.23189591300002</v>
      </c>
      <c r="CO124" s="1060">
        <f t="shared" ref="CO124" si="728">+CK124*(1+CO126)</f>
        <v>-150.30516</v>
      </c>
      <c r="CP124" s="1060">
        <f t="shared" ref="CP124" si="729">+CL124*(1+CP126)</f>
        <v>-175.08787559999999</v>
      </c>
      <c r="CQ124" s="1060"/>
      <c r="CR124" s="1060"/>
      <c r="CS124" s="1060">
        <v>-130.82829999999998</v>
      </c>
      <c r="CT124" s="1133">
        <f>+CI124/CS124-1</f>
        <v>3.9063178838218304E-2</v>
      </c>
      <c r="CU124" s="1056">
        <f>SUM(C124:F124)</f>
        <v>0</v>
      </c>
      <c r="CV124" s="1056">
        <f>SUM(G124:J124)</f>
        <v>-3.3</v>
      </c>
      <c r="CW124" s="1056">
        <f>SUM(K124:N124)</f>
        <v>-16</v>
      </c>
      <c r="CX124" s="1056">
        <f>SUM(O124:R124)</f>
        <v>-29.1</v>
      </c>
      <c r="CY124" s="1056">
        <f>SUM(S124:V124)</f>
        <v>-38</v>
      </c>
      <c r="CZ124" s="1056">
        <f>SUM(W124:Z124)</f>
        <v>-38.5</v>
      </c>
      <c r="DA124" s="1056">
        <f>SUM(AA124:AD124)</f>
        <v>-52.4</v>
      </c>
      <c r="DB124" s="1056">
        <f>SUM(AE124:AH124)</f>
        <v>-86.5</v>
      </c>
      <c r="DC124" s="1056">
        <f>+SUM(AI124:AL124)</f>
        <v>-107.80000000000001</v>
      </c>
      <c r="DD124" s="1056">
        <f>+SUM(AM124:AP124)</f>
        <v>-123.4</v>
      </c>
      <c r="DE124" s="1057">
        <f>+SUM(AQ124:AT124)</f>
        <v>-145.4</v>
      </c>
      <c r="DF124" s="1057">
        <f>+SUM(AU124:AX124)</f>
        <v>-159.637</v>
      </c>
      <c r="DG124" s="1057">
        <f>+SUM(AY124:BB124)</f>
        <v>-177.87</v>
      </c>
      <c r="DH124" s="1057">
        <f>+SUM(BC124:BF124)</f>
        <v>-234.77199999999999</v>
      </c>
      <c r="DI124" s="1056">
        <f>+SUM(BG124:BJ124)</f>
        <v>-283.88599238999996</v>
      </c>
      <c r="DJ124" s="1056">
        <f>+SUM(BK124:BN124)</f>
        <v>-317.99457677000004</v>
      </c>
      <c r="DK124" s="1056">
        <f>+SUM(BO124:BR124)</f>
        <v>-359.79552712000003</v>
      </c>
      <c r="DL124" s="1056">
        <f>+SUM(BS124:BV124)</f>
        <v>-407.19378999999998</v>
      </c>
      <c r="DM124" s="1056">
        <f>+SUM(BW124:BZ124)</f>
        <v>-512.03100000000006</v>
      </c>
      <c r="DN124" s="1056">
        <f>+SUM(CA124:CD124)</f>
        <v>-588.41747785999996</v>
      </c>
      <c r="DO124" s="1056">
        <f>+SUM(CE124:CH124)</f>
        <v>-601.05874618000007</v>
      </c>
      <c r="DP124" s="1056">
        <f>+SUM(CI124:CL124)</f>
        <v>-600.27703743000006</v>
      </c>
      <c r="DQ124" s="1056">
        <f>+SUM(CM124:CP124)</f>
        <v>-612.28257817860003</v>
      </c>
      <c r="DR124" s="1061">
        <f t="shared" ref="DR124:DU124" si="730">+DQ124*(1+DR126)</f>
        <v>-630.65105552395801</v>
      </c>
      <c r="DS124" s="1061">
        <f t="shared" si="730"/>
        <v>-649.57058718967676</v>
      </c>
      <c r="DT124" s="1061">
        <f t="shared" si="730"/>
        <v>-669.05770480536705</v>
      </c>
      <c r="DU124" s="1061">
        <f t="shared" si="730"/>
        <v>-689.1294359495281</v>
      </c>
      <c r="DV124" s="1056"/>
      <c r="DW124" s="1056"/>
      <c r="DY124" s="1061">
        <v>-645.59465175961611</v>
      </c>
      <c r="DZ124" s="1061">
        <v>-671.41843783000081</v>
      </c>
    </row>
    <row r="125" spans="1:130">
      <c r="A125" s="469" t="s">
        <v>627</v>
      </c>
      <c r="B125" s="355"/>
      <c r="C125" s="26"/>
      <c r="D125" s="26"/>
      <c r="E125" s="26"/>
      <c r="F125" s="26"/>
      <c r="G125" s="26"/>
      <c r="H125" s="26"/>
      <c r="I125" s="26"/>
      <c r="J125" s="14">
        <v>-8.0520540994969188E-3</v>
      </c>
      <c r="K125" s="14">
        <v>-1.2368935929231774E-2</v>
      </c>
      <c r="L125" s="14">
        <v>-1.1867890441332034E-2</v>
      </c>
      <c r="M125" s="14">
        <v>-1.3437006277999682E-2</v>
      </c>
      <c r="N125" s="14">
        <v>-9.7091135933362067E-3</v>
      </c>
      <c r="O125" s="14">
        <v>-1.8655839110287665E-2</v>
      </c>
      <c r="P125" s="14">
        <v>-1.6826603533250214E-2</v>
      </c>
      <c r="Q125" s="14">
        <v>-1.9691791184518703E-2</v>
      </c>
      <c r="R125" s="14">
        <v>-1.8300954065337337E-2</v>
      </c>
      <c r="S125" s="14">
        <v>-2.4757303047322474E-2</v>
      </c>
      <c r="T125" s="14">
        <v>-2.3653036500009817E-2</v>
      </c>
      <c r="U125" s="14">
        <v>-2.4038789709597472E-2</v>
      </c>
      <c r="V125" s="14">
        <v>-2.0699209817233728E-2</v>
      </c>
      <c r="W125" s="14">
        <v>-2.7538086780405695E-2</v>
      </c>
      <c r="X125" s="14">
        <v>-2.1040668159567823E-2</v>
      </c>
      <c r="Y125" s="14">
        <v>-2.4767169583705596E-2</v>
      </c>
      <c r="Z125" s="14">
        <v>-2.0064551393134254E-2</v>
      </c>
      <c r="AA125" s="14">
        <v>-2.9639265867246679E-2</v>
      </c>
      <c r="AB125" s="14">
        <v>-2.4436291411572147E-2</v>
      </c>
      <c r="AC125" s="14">
        <v>-2.8796135298548811E-2</v>
      </c>
      <c r="AD125" s="14">
        <v>-3.0204794584192403E-2</v>
      </c>
      <c r="AE125" s="14">
        <v>-4.749610104563861E-2</v>
      </c>
      <c r="AF125" s="14">
        <v>-3.6676958328832145E-2</v>
      </c>
      <c r="AG125" s="14">
        <v>-4.3889223620757416E-2</v>
      </c>
      <c r="AH125" s="14">
        <v>-3.9252277742788659E-2</v>
      </c>
      <c r="AI125" s="14">
        <v>-5.8840545363555381E-2</v>
      </c>
      <c r="AJ125" s="14">
        <v>-4.8445890281116975E-2</v>
      </c>
      <c r="AK125" s="14">
        <v>-4.495871780067761E-2</v>
      </c>
      <c r="AL125" s="14">
        <v>-3.4749762417962168E-2</v>
      </c>
      <c r="AM125" s="14">
        <v>-5.7033737062242372E-2</v>
      </c>
      <c r="AN125" s="14">
        <v>-4.6607308698456251E-2</v>
      </c>
      <c r="AO125" s="14">
        <v>-4.9535899719818817E-2</v>
      </c>
      <c r="AP125" s="14">
        <v>-3.7726572979474571E-2</v>
      </c>
      <c r="AQ125" s="7">
        <f t="shared" ref="AQ125" si="731">AQ124/AQ64</f>
        <v>-0.24583333333333338</v>
      </c>
      <c r="AR125" s="7">
        <f t="shared" ref="AR125" si="732">AR124/AR64</f>
        <v>-0.24199288256227758</v>
      </c>
      <c r="AS125" s="7">
        <f t="shared" ref="AS125" si="733">AS124/AS64</f>
        <v>-0.24768211920529801</v>
      </c>
      <c r="AT125" s="7">
        <f t="shared" ref="AT125" si="734">AT124/AT64</f>
        <v>-0.31785714285714284</v>
      </c>
      <c r="AU125" s="7">
        <f t="shared" ref="AU125" si="735">AU124/AU64</f>
        <v>-0.2483824539164422</v>
      </c>
      <c r="AV125" s="7">
        <f t="shared" ref="AV125" si="736">AV124/AV64</f>
        <v>-0.23989866027459031</v>
      </c>
      <c r="AW125" s="7">
        <f t="shared" ref="AW125" si="737">AW124/AW64</f>
        <v>-0.23124624801183311</v>
      </c>
      <c r="AX125" s="7">
        <f t="shared" ref="AX125" si="738">AX124/AX64</f>
        <v>-0.26380693851982223</v>
      </c>
      <c r="AY125" s="7">
        <f t="shared" ref="AY125" si="739">AY124/AY64</f>
        <v>-0.25794563855061076</v>
      </c>
      <c r="AZ125" s="7">
        <f t="shared" ref="AZ125" si="740">AZ124/AZ64</f>
        <v>-0.23638470451911933</v>
      </c>
      <c r="BA125" s="7">
        <f t="shared" ref="BA125" si="741">BA124/BA64</f>
        <v>-0.23346628115607462</v>
      </c>
      <c r="BB125" s="7">
        <f t="shared" ref="BB125" si="742">BB124/BB64</f>
        <v>-0.29905884662362592</v>
      </c>
      <c r="BC125" s="7">
        <f t="shared" ref="BC125" si="743">BC124/BC64</f>
        <v>-0.28003558923138744</v>
      </c>
      <c r="BD125" s="7">
        <f t="shared" ref="BD125" si="744">BD124/BD64</f>
        <v>-0.29221184757458479</v>
      </c>
      <c r="BE125" s="7">
        <f t="shared" ref="BE125" si="745">BE124/BE64</f>
        <v>-0.25797583134558716</v>
      </c>
      <c r="BF125" s="7">
        <f t="shared" ref="BF125" si="746">BF124/BF64</f>
        <v>-0.31200156737718132</v>
      </c>
      <c r="BG125" s="7">
        <f t="shared" ref="BG125" si="747">BG124/BG64</f>
        <v>-0.28055127692729126</v>
      </c>
      <c r="BH125" s="7">
        <f t="shared" ref="BH125" si="748">BH124/BH64</f>
        <v>-0.31098608486514345</v>
      </c>
      <c r="BI125" s="7">
        <f t="shared" ref="BI125" si="749">BI124/BI64</f>
        <v>-0.3115425821487029</v>
      </c>
      <c r="BJ125" s="7">
        <f t="shared" ref="BJ125" si="750">BJ124/BJ64</f>
        <v>-0.33796761681063631</v>
      </c>
      <c r="BK125" s="7">
        <f t="shared" ref="BK125" si="751">BK124/BK64</f>
        <v>-0.27918143347239782</v>
      </c>
      <c r="BL125" s="7">
        <f t="shared" ref="BL125" si="752">BL124/BL64</f>
        <v>-0.28982771026428544</v>
      </c>
      <c r="BM125" s="7">
        <f t="shared" ref="BM125" si="753">BM124/BM64</f>
        <v>-0.2861563148622957</v>
      </c>
      <c r="BN125" s="7">
        <f t="shared" ref="BN125" si="754">BN124/BN64</f>
        <v>-0.30810076268316777</v>
      </c>
      <c r="BO125" s="7">
        <f t="shared" ref="BO125" si="755">BO124/BO64</f>
        <v>-0.28607125819819762</v>
      </c>
      <c r="BP125" s="7">
        <f t="shared" ref="BP125" si="756">BP124/BP64</f>
        <v>-0.28775739667653633</v>
      </c>
      <c r="BQ125" s="7">
        <f t="shared" ref="BQ125" si="757">BQ124/BQ64</f>
        <v>-0.69622454073866424</v>
      </c>
      <c r="BR125" s="7">
        <f t="shared" ref="BR125" si="758">BR124/BR64</f>
        <v>-0.68601583113456466</v>
      </c>
      <c r="BS125" s="7">
        <f t="shared" ref="BS125" si="759">BS124/BS64</f>
        <v>-0.42984514312529326</v>
      </c>
      <c r="BT125" s="7">
        <f t="shared" ref="BT125" si="760">BT124/BT64</f>
        <v>-0.434382972070956</v>
      </c>
      <c r="BU125" s="7">
        <f t="shared" ref="BU125" si="761">BU124/BU64</f>
        <v>-0.40690452713125974</v>
      </c>
      <c r="BV125" s="7">
        <f t="shared" ref="BV125" si="762">BV124/BV64</f>
        <v>-0.37984509128898342</v>
      </c>
      <c r="BW125" s="7">
        <f t="shared" ref="BW125" si="763">BW124/BW64</f>
        <v>-0.31105695997787225</v>
      </c>
      <c r="BX125" s="7">
        <f t="shared" ref="BX125" si="764">BX124/BX64</f>
        <v>-0.30655192294968858</v>
      </c>
      <c r="BY125" s="7">
        <f t="shared" ref="BY125" si="765">BY124/BY64</f>
        <v>-0.30437268361786712</v>
      </c>
      <c r="BZ125" s="7">
        <f t="shared" ref="BZ125" si="766">BZ124/BZ64</f>
        <v>-0.36550441546289258</v>
      </c>
      <c r="CA125" s="7">
        <f t="shared" ref="CA125" si="767">CA124/CA64</f>
        <v>-0.28243893687211724</v>
      </c>
      <c r="CB125" s="7">
        <f t="shared" ref="CB125" si="768">CB124/CB64</f>
        <v>-0.29888722870153484</v>
      </c>
      <c r="CC125" s="7">
        <f t="shared" ref="CC125:CD125" si="769">CC124/CC64</f>
        <v>-0.32238842349877023</v>
      </c>
      <c r="CD125" s="7">
        <f t="shared" si="769"/>
        <v>-0.38272402629616531</v>
      </c>
      <c r="CE125" s="7">
        <f t="shared" ref="CE125:CF125" si="770">CE124/CE64</f>
        <v>-0.35256257949097825</v>
      </c>
      <c r="CF125" s="7">
        <f t="shared" si="770"/>
        <v>-0.32325636529654639</v>
      </c>
      <c r="CG125" s="7">
        <f t="shared" ref="CG125" si="771">CG124/CG64</f>
        <v>-0.33669043555679462</v>
      </c>
      <c r="CH125" s="7">
        <f t="shared" ref="CH125:CL125" si="772">CH124/CH64</f>
        <v>-0.37896953183056725</v>
      </c>
      <c r="CI125" s="7">
        <f t="shared" si="772"/>
        <v>-0.26996367643531882</v>
      </c>
      <c r="CJ125" s="7">
        <f t="shared" si="772"/>
        <v>-0.27973441209296335</v>
      </c>
      <c r="CK125" s="7">
        <f t="shared" si="772"/>
        <v>-0.30054635133733559</v>
      </c>
      <c r="CL125" s="7">
        <f t="shared" si="772"/>
        <v>-0.37200879346102383</v>
      </c>
      <c r="CM125" s="7">
        <f t="shared" ref="CM125:CP125" si="773">CM124/CM64</f>
        <v>-0.2748015349561439</v>
      </c>
      <c r="CN125" s="7">
        <f t="shared" si="773"/>
        <v>-0.2901488842945083</v>
      </c>
      <c r="CO125" s="7">
        <f t="shared" si="773"/>
        <v>-0.29210856470062063</v>
      </c>
      <c r="CP125" s="7">
        <f t="shared" si="773"/>
        <v>-0.33976518098537917</v>
      </c>
      <c r="CQ125" s="567"/>
      <c r="CR125" s="567"/>
      <c r="CS125" s="7">
        <v>-0.27747028969822485</v>
      </c>
      <c r="CT125" s="1133"/>
      <c r="CU125" s="210"/>
      <c r="CV125" s="7">
        <f t="shared" ref="CV125:DD125" si="774">CV124/CV10*1000</f>
        <v>-8.0520540994969188E-3</v>
      </c>
      <c r="CW125" s="7">
        <f t="shared" si="774"/>
        <v>-1.1552302338007728E-2</v>
      </c>
      <c r="CX125" s="7">
        <f t="shared" si="774"/>
        <v>-1.8291619430366651E-2</v>
      </c>
      <c r="CY125" s="7">
        <f t="shared" si="774"/>
        <v>-2.3035498456624937E-2</v>
      </c>
      <c r="CZ125" s="7">
        <f t="shared" si="774"/>
        <v>-2.2656160536210234E-2</v>
      </c>
      <c r="DA125" s="7">
        <f t="shared" si="774"/>
        <v>-2.8263608736433101E-2</v>
      </c>
      <c r="DB125" s="7">
        <f t="shared" si="774"/>
        <v>-4.1093772503680279E-2</v>
      </c>
      <c r="DC125" s="7">
        <f t="shared" si="774"/>
        <v>-4.4796334580788473E-2</v>
      </c>
      <c r="DD125" s="7">
        <f t="shared" si="774"/>
        <v>-4.6194709226920184E-2</v>
      </c>
      <c r="DE125" s="7">
        <f t="shared" ref="DE125:DO125" si="775">DE124/DE64</f>
        <v>-0.26364460562103359</v>
      </c>
      <c r="DF125" s="7">
        <f t="shared" si="775"/>
        <v>-0.24589727080323232</v>
      </c>
      <c r="DG125" s="7">
        <f t="shared" si="775"/>
        <v>-0.2572721658043679</v>
      </c>
      <c r="DH125" s="7">
        <f t="shared" si="775"/>
        <v>-0.28554088355523771</v>
      </c>
      <c r="DI125" s="7">
        <f t="shared" si="775"/>
        <v>-0.31060103063631128</v>
      </c>
      <c r="DJ125" s="7">
        <f t="shared" si="775"/>
        <v>-0.29159731233245983</v>
      </c>
      <c r="DK125" s="7">
        <f t="shared" si="775"/>
        <v>-0.42116367267479654</v>
      </c>
      <c r="DL125" s="7">
        <f t="shared" si="775"/>
        <v>-0.40991601767844144</v>
      </c>
      <c r="DM125" s="7">
        <f t="shared" si="775"/>
        <v>-0.32298479326373747</v>
      </c>
      <c r="DN125" s="7">
        <f t="shared" si="775"/>
        <v>-0.32051972214096891</v>
      </c>
      <c r="DO125" s="7">
        <f t="shared" si="775"/>
        <v>-0.34819869607482362</v>
      </c>
      <c r="DP125" s="7">
        <f t="shared" ref="DP125:DQ125" si="776">DP124/DP64</f>
        <v>-0.3039709637605566</v>
      </c>
      <c r="DQ125" s="7">
        <f t="shared" si="776"/>
        <v>-0.29935658348067223</v>
      </c>
      <c r="DR125" s="7">
        <f t="shared" ref="DR125:DU125" si="777">DR124/DR64</f>
        <v>-0.29921052111489094</v>
      </c>
      <c r="DS125" s="7">
        <f t="shared" si="777"/>
        <v>-0.30716828201443058</v>
      </c>
      <c r="DT125" s="7">
        <f t="shared" si="777"/>
        <v>-0.31513657356891928</v>
      </c>
      <c r="DU125" s="7">
        <f t="shared" si="777"/>
        <v>-0.32319172017348285</v>
      </c>
      <c r="DV125" s="17"/>
      <c r="DW125" s="17"/>
      <c r="DY125" s="7">
        <v>-0.37350276153545325</v>
      </c>
      <c r="DZ125" s="7">
        <v>-0.38655744336866771</v>
      </c>
    </row>
    <row r="126" spans="1:130">
      <c r="A126" s="440" t="s">
        <v>169</v>
      </c>
      <c r="B126" s="440"/>
      <c r="C126" s="419"/>
      <c r="D126" s="419"/>
      <c r="E126" s="419">
        <v>0.01</v>
      </c>
      <c r="F126" s="419"/>
      <c r="G126" s="419"/>
      <c r="H126" s="419"/>
      <c r="I126" s="419"/>
      <c r="J126" s="419"/>
      <c r="K126" s="419"/>
      <c r="L126" s="419"/>
      <c r="M126" s="419"/>
      <c r="N126" s="419"/>
      <c r="O126" s="419">
        <v>0.75862068965517238</v>
      </c>
      <c r="P126" s="419">
        <v>0.66666666666666652</v>
      </c>
      <c r="Q126" s="419">
        <v>0.69047619047619024</v>
      </c>
      <c r="R126" s="419">
        <v>1.1063829787234041</v>
      </c>
      <c r="S126" s="419">
        <v>0.52941176470588247</v>
      </c>
      <c r="T126" s="419">
        <v>0.5</v>
      </c>
      <c r="U126" s="419">
        <v>0.28169014084507049</v>
      </c>
      <c r="V126" s="419">
        <v>7.0707070707070718E-2</v>
      </c>
      <c r="W126" s="419">
        <v>0</v>
      </c>
      <c r="X126" s="419">
        <v>-8.5714285714285743E-2</v>
      </c>
      <c r="Y126" s="419">
        <v>6.5934065934065922E-2</v>
      </c>
      <c r="Z126" s="419">
        <v>7.547169811320753E-2</v>
      </c>
      <c r="AA126" s="419">
        <v>0.23076923076923084</v>
      </c>
      <c r="AB126" s="419">
        <v>0.23958333333333348</v>
      </c>
      <c r="AC126" s="419">
        <v>0.27835051546391765</v>
      </c>
      <c r="AD126" s="419">
        <v>0.62280701754385959</v>
      </c>
      <c r="AE126" s="419">
        <v>0.83333333333333348</v>
      </c>
      <c r="AF126" s="419">
        <v>0.69747899159663862</v>
      </c>
      <c r="AG126" s="419">
        <v>0.70967741935483852</v>
      </c>
      <c r="AH126" s="419">
        <v>0.4864864864864864</v>
      </c>
      <c r="AI126" s="419">
        <v>0.40909090909090895</v>
      </c>
      <c r="AJ126" s="419">
        <v>0.4455445544554455</v>
      </c>
      <c r="AK126" s="419">
        <v>0.19811320754716988</v>
      </c>
      <c r="AL126" s="419">
        <v>3.2727272727272716E-2</v>
      </c>
      <c r="AM126" s="419">
        <v>0.1088709677419355</v>
      </c>
      <c r="AN126" s="419">
        <v>5.1369863013698724E-2</v>
      </c>
      <c r="AO126" s="419">
        <v>0.23228346456692917</v>
      </c>
      <c r="AP126" s="419">
        <v>0.19366197183098599</v>
      </c>
      <c r="AQ126" s="419">
        <f t="shared" ref="AQ126:BD126" si="778">AQ124/AM124-1</f>
        <v>7.2727272727272751E-2</v>
      </c>
      <c r="AR126" s="419">
        <f t="shared" si="778"/>
        <v>0.10749185667752448</v>
      </c>
      <c r="AS126" s="419">
        <f t="shared" si="778"/>
        <v>0.194888178913738</v>
      </c>
      <c r="AT126" s="419">
        <f t="shared" si="778"/>
        <v>0.31268436578171088</v>
      </c>
      <c r="AU126" s="419">
        <f t="shared" si="778"/>
        <v>0.27528813559322041</v>
      </c>
      <c r="AV126" s="419">
        <f t="shared" si="778"/>
        <v>0.18920588235294122</v>
      </c>
      <c r="AW126" s="419">
        <f t="shared" si="778"/>
        <v>-9.3582887700527362E-4</v>
      </c>
      <c r="AX126" s="419">
        <f t="shared" si="778"/>
        <v>-6.3370786516853128E-3</v>
      </c>
      <c r="AY126" s="419">
        <f t="shared" si="778"/>
        <v>9.9572047526647278E-2</v>
      </c>
      <c r="AZ126" s="419">
        <f t="shared" si="778"/>
        <v>9.0767442435633061E-3</v>
      </c>
      <c r="BA126" s="419">
        <f t="shared" si="778"/>
        <v>9.3483206209018954E-2</v>
      </c>
      <c r="BB126" s="419">
        <f t="shared" si="778"/>
        <v>0.2403319914966755</v>
      </c>
      <c r="BC126" s="419">
        <f t="shared" si="778"/>
        <v>0.17932168153358963</v>
      </c>
      <c r="BD126" s="419">
        <f t="shared" si="778"/>
        <v>0.39909313725490203</v>
      </c>
      <c r="BE126" s="419">
        <f t="shared" ref="BE126:BW126" si="779">BE124/BA124-1</f>
        <v>0.43998727299427287</v>
      </c>
      <c r="BF126" s="419">
        <f t="shared" si="779"/>
        <v>0.27758227732701246</v>
      </c>
      <c r="BG126" s="419">
        <f t="shared" si="779"/>
        <v>0.28059854463462131</v>
      </c>
      <c r="BH126" s="419">
        <f t="shared" si="779"/>
        <v>0.26850375768617618</v>
      </c>
      <c r="BI126" s="419">
        <f t="shared" si="779"/>
        <v>0.19123953140137662</v>
      </c>
      <c r="BJ126" s="419">
        <f t="shared" si="779"/>
        <v>0.12625290156845392</v>
      </c>
      <c r="BK126" s="419">
        <f t="shared" si="779"/>
        <v>5.5425975445785536E-2</v>
      </c>
      <c r="BL126" s="419">
        <f t="shared" si="779"/>
        <v>6.8190931915481201E-2</v>
      </c>
      <c r="BM126" s="419">
        <f t="shared" si="779"/>
        <v>0.17042381779535676</v>
      </c>
      <c r="BN126" s="231">
        <f t="shared" si="779"/>
        <v>0.17441173586606884</v>
      </c>
      <c r="BO126" s="231">
        <f t="shared" si="779"/>
        <v>0.3369189471590579</v>
      </c>
      <c r="BP126" s="231">
        <f t="shared" si="779"/>
        <v>-2.502426763005805E-2</v>
      </c>
      <c r="BQ126" s="231">
        <f t="shared" si="779"/>
        <v>0.12434800770440435</v>
      </c>
      <c r="BR126" s="231">
        <f t="shared" si="779"/>
        <v>0.122150518602401</v>
      </c>
      <c r="BS126" s="231">
        <f t="shared" si="779"/>
        <v>3.9114257192122581E-2</v>
      </c>
      <c r="BT126" s="231">
        <f t="shared" si="779"/>
        <v>0.31316676130152366</v>
      </c>
      <c r="BU126" s="231">
        <f t="shared" si="779"/>
        <v>0.10588801089996602</v>
      </c>
      <c r="BV126" s="231">
        <f t="shared" si="779"/>
        <v>0.1016104807692304</v>
      </c>
      <c r="BW126" s="231">
        <f t="shared" si="779"/>
        <v>0.24539301310043671</v>
      </c>
      <c r="BX126" s="231">
        <f t="shared" ref="BX126:CK126" si="780">BX124/BT124-1</f>
        <v>0.31006452573198229</v>
      </c>
      <c r="BY126" s="231">
        <f t="shared" si="780"/>
        <v>9.7820056336625161E-2</v>
      </c>
      <c r="BZ126" s="231">
        <f t="shared" si="780"/>
        <v>0.36377256759312826</v>
      </c>
      <c r="CA126" s="231">
        <f t="shared" si="780"/>
        <v>0.16101323427830128</v>
      </c>
      <c r="CB126" s="231">
        <f t="shared" si="780"/>
        <v>0.12518022569257092</v>
      </c>
      <c r="CC126" s="231">
        <f t="shared" si="780"/>
        <v>0.25133925733422635</v>
      </c>
      <c r="CD126" s="231">
        <f t="shared" si="780"/>
        <v>8.7264569391464653E-2</v>
      </c>
      <c r="CE126" s="231">
        <f t="shared" si="780"/>
        <v>0.14275193354260596</v>
      </c>
      <c r="CF126" s="231">
        <f t="shared" si="780"/>
        <v>-5.6586268544838947E-2</v>
      </c>
      <c r="CG126" s="231">
        <f t="shared" si="780"/>
        <v>2.5578545181922374E-2</v>
      </c>
      <c r="CH126" s="231">
        <f t="shared" si="780"/>
        <v>-9.357068541545055E-3</v>
      </c>
      <c r="CI126" s="231">
        <f t="shared" si="780"/>
        <v>-0.10184225433258642</v>
      </c>
      <c r="CJ126" s="231">
        <f t="shared" si="780"/>
        <v>5.5269530694047164E-2</v>
      </c>
      <c r="CK126" s="231">
        <f t="shared" si="780"/>
        <v>2.5436214109794797E-2</v>
      </c>
      <c r="CL126" s="567">
        <v>0.02</v>
      </c>
      <c r="CM126" s="567">
        <v>0.02</v>
      </c>
      <c r="CN126" s="567">
        <v>0.02</v>
      </c>
      <c r="CO126" s="567">
        <v>0.02</v>
      </c>
      <c r="CP126" s="567">
        <v>0.02</v>
      </c>
      <c r="CQ126" s="231"/>
      <c r="CR126" s="231"/>
      <c r="CS126" s="567">
        <v>-0.05</v>
      </c>
      <c r="CT126" s="1133"/>
      <c r="CU126" s="207"/>
      <c r="CV126" s="209"/>
      <c r="CW126" s="209"/>
      <c r="CX126" s="108"/>
      <c r="CY126" s="108">
        <f t="shared" ref="CY126:DL126" si="781">CY124/CX124-1</f>
        <v>0.30584192439862545</v>
      </c>
      <c r="CZ126" s="108">
        <f t="shared" si="781"/>
        <v>1.3157894736842035E-2</v>
      </c>
      <c r="DA126" s="108">
        <f t="shared" si="781"/>
        <v>0.36103896103896105</v>
      </c>
      <c r="DB126" s="108">
        <f t="shared" si="781"/>
        <v>0.6507633587786259</v>
      </c>
      <c r="DC126" s="108">
        <f t="shared" si="781"/>
        <v>0.24624277456647414</v>
      </c>
      <c r="DD126" s="108">
        <f t="shared" si="781"/>
        <v>0.144712430426716</v>
      </c>
      <c r="DE126" s="108">
        <f t="shared" si="781"/>
        <v>0.17828200972447328</v>
      </c>
      <c r="DF126" s="108">
        <f t="shared" si="781"/>
        <v>9.7916093535075577E-2</v>
      </c>
      <c r="DG126" s="108">
        <f t="shared" si="781"/>
        <v>0.11421537613460542</v>
      </c>
      <c r="DH126" s="108">
        <f t="shared" si="781"/>
        <v>0.31990779782987566</v>
      </c>
      <c r="DI126" s="108">
        <f t="shared" si="781"/>
        <v>0.20919867952737103</v>
      </c>
      <c r="DJ126" s="108">
        <f t="shared" si="781"/>
        <v>0.12014888122109957</v>
      </c>
      <c r="DK126" s="108">
        <f t="shared" si="781"/>
        <v>0.1314517712049974</v>
      </c>
      <c r="DL126" s="108">
        <f t="shared" si="781"/>
        <v>0.13173666515368199</v>
      </c>
      <c r="DM126" s="108">
        <f t="shared" ref="DM126:DQ126" si="782">DM124/DL124-1</f>
        <v>0.25746269362310281</v>
      </c>
      <c r="DN126" s="108">
        <f t="shared" si="782"/>
        <v>0.14918330698727211</v>
      </c>
      <c r="DO126" s="108">
        <f t="shared" si="782"/>
        <v>2.148350243771624E-2</v>
      </c>
      <c r="DP126" s="108">
        <f t="shared" si="782"/>
        <v>-1.300552990815107E-3</v>
      </c>
      <c r="DQ126" s="108">
        <f t="shared" si="782"/>
        <v>2.0000000000000018E-2</v>
      </c>
      <c r="DR126" s="567">
        <v>0.03</v>
      </c>
      <c r="DS126" s="567">
        <v>0.03</v>
      </c>
      <c r="DT126" s="567">
        <v>0.03</v>
      </c>
      <c r="DU126" s="567">
        <v>0.03</v>
      </c>
      <c r="DV126" s="206"/>
      <c r="DW126" s="206"/>
      <c r="DY126" s="567">
        <v>0.04</v>
      </c>
      <c r="DZ126" s="567">
        <v>0.04</v>
      </c>
    </row>
    <row r="127" spans="1:130">
      <c r="A127" s="440" t="s">
        <v>170</v>
      </c>
      <c r="B127" s="440"/>
      <c r="C127" s="419"/>
      <c r="D127" s="419"/>
      <c r="E127" s="419"/>
      <c r="F127" s="419"/>
      <c r="G127" s="419"/>
      <c r="H127" s="419"/>
      <c r="I127" s="419"/>
      <c r="J127" s="419"/>
      <c r="K127" s="419">
        <v>-0.12121212121212122</v>
      </c>
      <c r="L127" s="419">
        <v>0.44827586206896552</v>
      </c>
      <c r="M127" s="419">
        <v>0</v>
      </c>
      <c r="N127" s="419">
        <v>0.11904761904761907</v>
      </c>
      <c r="O127" s="419">
        <v>8.5106382978723305E-2</v>
      </c>
      <c r="P127" s="419">
        <v>0.37254901960784315</v>
      </c>
      <c r="Q127" s="419">
        <v>1.4285714285714235E-2</v>
      </c>
      <c r="R127" s="419">
        <v>0.39436619718309873</v>
      </c>
      <c r="S127" s="419">
        <v>-0.21212121212121215</v>
      </c>
      <c r="T127" s="419">
        <v>0.34615384615384626</v>
      </c>
      <c r="U127" s="419">
        <v>-0.13333333333333341</v>
      </c>
      <c r="V127" s="419">
        <v>0.16483516483516492</v>
      </c>
      <c r="W127" s="419">
        <v>-0.26415094339622636</v>
      </c>
      <c r="X127" s="419">
        <v>0.23076923076923084</v>
      </c>
      <c r="Y127" s="419">
        <v>1.0416666666666741E-2</v>
      </c>
      <c r="Z127" s="419">
        <v>0.17525773195876293</v>
      </c>
      <c r="AA127" s="419">
        <v>-0.15789473684210531</v>
      </c>
      <c r="AB127" s="419">
        <v>0.23958333333333348</v>
      </c>
      <c r="AC127" s="419">
        <v>4.2016806722689148E-2</v>
      </c>
      <c r="AD127" s="419">
        <v>0.49193548387096775</v>
      </c>
      <c r="AE127" s="419">
        <v>-4.8648648648648596E-2</v>
      </c>
      <c r="AF127" s="419">
        <v>0.14772727272727249</v>
      </c>
      <c r="AG127" s="419">
        <v>4.9504950495049549E-2</v>
      </c>
      <c r="AH127" s="419">
        <v>0.29716981132075482</v>
      </c>
      <c r="AI127" s="419">
        <v>-9.8181818181818148E-2</v>
      </c>
      <c r="AJ127" s="419">
        <v>0.17741935483870952</v>
      </c>
      <c r="AK127" s="419">
        <v>-0.13013698630136994</v>
      </c>
      <c r="AL127" s="419">
        <v>0.11811023622047245</v>
      </c>
      <c r="AM127" s="419">
        <v>-3.169014084507038E-2</v>
      </c>
      <c r="AN127" s="419">
        <v>0.11636363636363645</v>
      </c>
      <c r="AO127" s="419">
        <v>1.9543973941368087E-2</v>
      </c>
      <c r="AP127" s="419">
        <v>8.3067092651757157E-2</v>
      </c>
      <c r="AQ127" s="419">
        <f t="shared" ref="AQ127:BD127" si="783">AQ124/AP124-1</f>
        <v>-0.12979351032448372</v>
      </c>
      <c r="AR127" s="419">
        <f t="shared" si="783"/>
        <v>0.15254237288135597</v>
      </c>
      <c r="AS127" s="419">
        <f t="shared" si="783"/>
        <v>9.9999999999999867E-2</v>
      </c>
      <c r="AT127" s="419">
        <f t="shared" si="783"/>
        <v>0.18983957219251346</v>
      </c>
      <c r="AU127" s="419">
        <f t="shared" si="783"/>
        <v>-0.15458426966292127</v>
      </c>
      <c r="AV127" s="419">
        <f t="shared" si="783"/>
        <v>7.4745487892400542E-2</v>
      </c>
      <c r="AW127" s="419">
        <f t="shared" si="783"/>
        <v>-7.5878614003413003E-2</v>
      </c>
      <c r="AX127" s="419">
        <f t="shared" si="783"/>
        <v>0.18340693162050048</v>
      </c>
      <c r="AY127" s="419">
        <f t="shared" si="783"/>
        <v>-6.4476005246732249E-2</v>
      </c>
      <c r="AZ127" s="419">
        <f t="shared" si="783"/>
        <v>-1.3706577706867784E-2</v>
      </c>
      <c r="BA127" s="419">
        <f t="shared" si="783"/>
        <v>1.4215686274510198E-3</v>
      </c>
      <c r="BB127" s="419">
        <f t="shared" si="783"/>
        <v>0.34233197904939061</v>
      </c>
      <c r="BC127" s="419">
        <f t="shared" si="783"/>
        <v>-0.11049320813200847</v>
      </c>
      <c r="BD127" s="419">
        <f t="shared" si="783"/>
        <v>0.17009326637286049</v>
      </c>
      <c r="BE127" s="419">
        <f t="shared" ref="BE127:BW127" si="784">BE124/BD124-1</f>
        <v>3.0692150027153531E-2</v>
      </c>
      <c r="BF127" s="419">
        <f t="shared" si="784"/>
        <v>0.19094076655052272</v>
      </c>
      <c r="BG127" s="419">
        <f t="shared" si="784"/>
        <v>-0.10839315531832916</v>
      </c>
      <c r="BH127" s="419">
        <f t="shared" si="784"/>
        <v>0.15904216153920037</v>
      </c>
      <c r="BI127" s="419">
        <f t="shared" si="784"/>
        <v>-3.2087034525618008E-2</v>
      </c>
      <c r="BJ127" s="419">
        <f t="shared" si="784"/>
        <v>0.1259704354721809</v>
      </c>
      <c r="BK127" s="419">
        <f t="shared" si="784"/>
        <v>-0.16446384071304809</v>
      </c>
      <c r="BL127" s="419">
        <f t="shared" si="784"/>
        <v>0.17306031447725068</v>
      </c>
      <c r="BM127" s="419">
        <f t="shared" si="784"/>
        <v>6.0548591545043884E-2</v>
      </c>
      <c r="BN127" s="231">
        <f t="shared" si="784"/>
        <v>0.12980689007814172</v>
      </c>
      <c r="BO127" s="231">
        <f t="shared" si="784"/>
        <v>-4.8847956578472518E-2</v>
      </c>
      <c r="BP127" s="231">
        <f t="shared" si="784"/>
        <v>-0.14452155708322001</v>
      </c>
      <c r="BQ127" s="231">
        <f t="shared" si="784"/>
        <v>0.223031154917948</v>
      </c>
      <c r="BR127" s="231">
        <f t="shared" si="784"/>
        <v>0.1275987318288252</v>
      </c>
      <c r="BS127" s="231">
        <f t="shared" si="784"/>
        <v>-0.11923076923076925</v>
      </c>
      <c r="BT127" s="231">
        <f t="shared" si="784"/>
        <v>8.109945414847175E-2</v>
      </c>
      <c r="BU127" s="231">
        <f t="shared" si="784"/>
        <v>2.9979992670812416E-2</v>
      </c>
      <c r="BV127" s="231">
        <f t="shared" si="784"/>
        <v>0.12323722550699445</v>
      </c>
      <c r="BW127" s="231">
        <f t="shared" si="784"/>
        <v>-4.2725034824447894E-3</v>
      </c>
      <c r="BX127" s="231">
        <f t="shared" ref="BX127:CD127" si="785">BX124/BW124-1</f>
        <v>0.13723943266887573</v>
      </c>
      <c r="BY127" s="231">
        <f t="shared" si="785"/>
        <v>-0.13688778577705163</v>
      </c>
      <c r="BZ127" s="231">
        <f t="shared" si="785"/>
        <v>0.39534717570886357</v>
      </c>
      <c r="CA127" s="231">
        <f t="shared" si="785"/>
        <v>-0.15231261526842599</v>
      </c>
      <c r="CB127" s="231">
        <f t="shared" si="785"/>
        <v>0.10214016837824436</v>
      </c>
      <c r="CC127" s="231">
        <f t="shared" si="785"/>
        <v>-4.0112710408633401E-2</v>
      </c>
      <c r="CD127" s="231">
        <f t="shared" si="785"/>
        <v>0.21239027486490913</v>
      </c>
      <c r="CE127" s="231">
        <f t="shared" ref="CE127:CG127" si="786">CE124/CD124-1</f>
        <v>-0.10905181203149616</v>
      </c>
      <c r="CF127" s="231">
        <f t="shared" si="786"/>
        <v>-9.0113839831387654E-2</v>
      </c>
      <c r="CG127" s="231">
        <f t="shared" si="786"/>
        <v>4.3486836341984247E-2</v>
      </c>
      <c r="CH127" s="231">
        <f t="shared" ref="CH127" si="787">CH124/CG124-1</f>
        <v>0.17109105061362961</v>
      </c>
      <c r="CI127" s="231">
        <f t="shared" ref="CI127:CJ127" si="788">CI124/CH124-1</f>
        <v>-0.19222962118736175</v>
      </c>
      <c r="CJ127" s="231">
        <f t="shared" si="788"/>
        <v>6.9049558229486774E-2</v>
      </c>
      <c r="CK127" s="231">
        <f t="shared" ref="CK127" si="789">CK124/CJ124-1</f>
        <v>1.3986625983768208E-2</v>
      </c>
      <c r="CL127" s="231">
        <f t="shared" ref="CL127" si="790">CL124/CK124-1</f>
        <v>0.16488266670285956</v>
      </c>
      <c r="CM127" s="231">
        <f t="shared" ref="CM127" si="791">CM124/CL124-1</f>
        <v>-0.19222962118736187</v>
      </c>
      <c r="CN127" s="231">
        <f t="shared" ref="CN127" si="792">CN124/CM124-1</f>
        <v>6.9049558229486774E-2</v>
      </c>
      <c r="CO127" s="231">
        <f t="shared" ref="CO127" si="793">CO124/CN124-1</f>
        <v>1.3986625983768208E-2</v>
      </c>
      <c r="CP127" s="231">
        <f t="shared" ref="CP127" si="794">CP124/CO124-1</f>
        <v>0.16488266670285956</v>
      </c>
      <c r="CQ127" s="231"/>
      <c r="CR127" s="231"/>
      <c r="CS127" s="231">
        <v>-3.7594613719153291E-2</v>
      </c>
      <c r="CT127" s="1133"/>
      <c r="CU127" s="207"/>
      <c r="CV127" s="207"/>
      <c r="CW127" s="207"/>
      <c r="CX127" s="207"/>
      <c r="CY127" s="207"/>
      <c r="CZ127" s="207"/>
      <c r="DA127" s="206"/>
      <c r="DB127" s="206"/>
      <c r="DC127" s="206"/>
      <c r="DD127" s="206"/>
      <c r="DE127" s="206"/>
      <c r="DF127" s="208"/>
      <c r="DG127" s="206"/>
      <c r="DH127" s="206"/>
      <c r="DI127" s="206"/>
      <c r="DJ127" s="206"/>
      <c r="DK127" s="206"/>
      <c r="DL127" s="206"/>
      <c r="DM127" s="206"/>
      <c r="DN127" s="206"/>
      <c r="DO127" s="206"/>
      <c r="DP127" s="206"/>
      <c r="DQ127" s="206"/>
      <c r="DR127" s="206"/>
      <c r="DS127" s="206"/>
      <c r="DT127" s="206"/>
      <c r="DU127" s="206"/>
      <c r="DV127" s="206"/>
      <c r="DW127" s="206"/>
      <c r="DY127" s="206"/>
      <c r="DZ127" s="206"/>
    </row>
    <row r="128" spans="1:130">
      <c r="A128" s="440"/>
      <c r="B128" s="440"/>
      <c r="C128" s="419"/>
      <c r="D128" s="419"/>
      <c r="E128" s="419"/>
      <c r="F128" s="419"/>
      <c r="G128" s="419"/>
      <c r="H128" s="419"/>
      <c r="I128" s="419"/>
      <c r="J128" s="419"/>
      <c r="K128" s="419"/>
      <c r="L128" s="419"/>
      <c r="M128" s="419"/>
      <c r="N128" s="419"/>
      <c r="O128" s="419"/>
      <c r="P128" s="419"/>
      <c r="Q128" s="419"/>
      <c r="R128" s="419"/>
      <c r="S128" s="419"/>
      <c r="T128" s="419"/>
      <c r="U128" s="419"/>
      <c r="V128" s="419"/>
      <c r="W128" s="419"/>
      <c r="X128" s="419"/>
      <c r="Y128" s="419"/>
      <c r="Z128" s="419"/>
      <c r="AA128" s="419"/>
      <c r="AB128" s="419"/>
      <c r="AC128" s="419"/>
      <c r="AD128" s="419"/>
      <c r="AE128" s="419"/>
      <c r="AF128" s="419"/>
      <c r="AG128" s="419"/>
      <c r="AH128" s="419"/>
      <c r="AI128" s="419"/>
      <c r="AJ128" s="419"/>
      <c r="AK128" s="419"/>
      <c r="AL128" s="419"/>
      <c r="AM128" s="419"/>
      <c r="AN128" s="419"/>
      <c r="AO128" s="419"/>
      <c r="AP128" s="419"/>
      <c r="AQ128" s="419"/>
      <c r="AR128" s="419"/>
      <c r="AS128" s="419"/>
      <c r="AT128" s="419"/>
      <c r="AU128" s="419"/>
      <c r="AV128" s="419"/>
      <c r="AW128" s="419"/>
      <c r="AX128" s="419"/>
      <c r="AY128" s="419"/>
      <c r="AZ128" s="419"/>
      <c r="BA128" s="419"/>
      <c r="BB128" s="419"/>
      <c r="BC128" s="419"/>
      <c r="BD128" s="419"/>
      <c r="BE128" s="419"/>
      <c r="BF128" s="419"/>
      <c r="BG128" s="419"/>
      <c r="BH128" s="419"/>
      <c r="BI128" s="419"/>
      <c r="BJ128" s="419"/>
      <c r="BK128" s="419"/>
      <c r="BL128" s="419"/>
      <c r="BM128" s="231"/>
      <c r="BN128" s="231"/>
      <c r="BO128" s="231"/>
      <c r="BP128" s="231"/>
      <c r="BQ128" s="231"/>
      <c r="BR128" s="231"/>
      <c r="BS128" s="231"/>
      <c r="BT128" s="231"/>
      <c r="BU128" s="231"/>
      <c r="BV128" s="231"/>
      <c r="BW128" s="231"/>
      <c r="BX128" s="231"/>
      <c r="BY128" s="231"/>
      <c r="BZ128" s="231"/>
      <c r="CA128" s="231"/>
      <c r="CB128" s="231"/>
      <c r="CC128" s="231"/>
      <c r="CD128" s="231"/>
      <c r="CE128" s="231"/>
      <c r="CF128" s="231"/>
      <c r="CG128" s="231"/>
      <c r="CH128" s="231"/>
      <c r="CI128" s="231"/>
      <c r="CJ128" s="231"/>
      <c r="CK128" s="231"/>
      <c r="CL128" s="231"/>
      <c r="CM128" s="231"/>
      <c r="CN128" s="231"/>
      <c r="CO128" s="231"/>
      <c r="CP128" s="231"/>
      <c r="CQ128" s="231"/>
      <c r="CR128" s="231"/>
      <c r="CS128" s="231"/>
      <c r="CT128" s="1133"/>
      <c r="CU128" s="207"/>
      <c r="CV128" s="207"/>
      <c r="CW128" s="207"/>
      <c r="CX128" s="207"/>
      <c r="CY128" s="207"/>
      <c r="CZ128" s="207"/>
      <c r="DA128" s="206"/>
      <c r="DB128" s="206"/>
      <c r="DC128" s="206"/>
      <c r="DD128" s="206"/>
      <c r="DE128" s="206"/>
      <c r="DF128" s="206"/>
      <c r="DG128" s="206"/>
      <c r="DH128" s="206"/>
      <c r="DI128" s="206"/>
      <c r="DJ128" s="206"/>
      <c r="DK128" s="206"/>
      <c r="DL128" s="206"/>
      <c r="DM128" s="206"/>
      <c r="DN128" s="206"/>
      <c r="DO128" s="206"/>
      <c r="DP128" s="206"/>
      <c r="DQ128" s="206"/>
      <c r="DR128" s="206"/>
      <c r="DS128" s="206"/>
      <c r="DT128" s="206"/>
      <c r="DU128" s="206"/>
      <c r="DV128" s="206"/>
      <c r="DW128" s="206"/>
      <c r="DY128" s="206"/>
      <c r="DZ128" s="206"/>
    </row>
    <row r="129" spans="1:130">
      <c r="A129" s="440"/>
      <c r="B129" s="440"/>
      <c r="C129" s="419"/>
      <c r="D129" s="419"/>
      <c r="E129" s="419"/>
      <c r="F129" s="419"/>
      <c r="G129" s="419"/>
      <c r="H129" s="419"/>
      <c r="I129" s="419"/>
      <c r="J129" s="419"/>
      <c r="K129" s="419"/>
      <c r="L129" s="419"/>
      <c r="M129" s="419"/>
      <c r="N129" s="419"/>
      <c r="O129" s="419"/>
      <c r="P129" s="419"/>
      <c r="Q129" s="419"/>
      <c r="R129" s="419"/>
      <c r="S129" s="419"/>
      <c r="T129" s="419"/>
      <c r="U129" s="419"/>
      <c r="V129" s="419"/>
      <c r="W129" s="419"/>
      <c r="X129" s="419"/>
      <c r="Y129" s="419"/>
      <c r="Z129" s="419"/>
      <c r="AA129" s="419"/>
      <c r="AB129" s="419"/>
      <c r="AC129" s="419"/>
      <c r="AD129" s="419"/>
      <c r="AE129" s="419"/>
      <c r="AF129" s="419"/>
      <c r="AG129" s="419"/>
      <c r="AH129" s="419"/>
      <c r="AI129" s="419"/>
      <c r="AJ129" s="419"/>
      <c r="AK129" s="419"/>
      <c r="AL129" s="419"/>
      <c r="AM129" s="419"/>
      <c r="AN129" s="419"/>
      <c r="AO129" s="419"/>
      <c r="AP129" s="419"/>
      <c r="AQ129" s="419"/>
      <c r="AR129" s="419"/>
      <c r="AS129" s="484"/>
      <c r="AT129" s="419"/>
      <c r="AU129" s="419"/>
      <c r="AV129" s="419"/>
      <c r="AW129" s="419"/>
      <c r="AX129" s="419"/>
      <c r="AY129" s="419"/>
      <c r="AZ129" s="419"/>
      <c r="BA129" s="419"/>
      <c r="BB129" s="419"/>
      <c r="BC129" s="419"/>
      <c r="BD129" s="419"/>
      <c r="BE129" s="419"/>
      <c r="BF129" s="419"/>
      <c r="BG129" s="419"/>
      <c r="BH129" s="419"/>
      <c r="BI129" s="419"/>
      <c r="BJ129" s="419"/>
      <c r="BK129" s="419"/>
      <c r="BL129" s="419"/>
      <c r="BM129" s="231"/>
      <c r="BN129" s="231"/>
      <c r="BO129" s="231"/>
      <c r="BP129" s="231"/>
      <c r="BQ129" s="231"/>
      <c r="BR129" s="231"/>
      <c r="BS129" s="231"/>
      <c r="BT129" s="231"/>
      <c r="BU129" s="231"/>
      <c r="BV129" s="231"/>
      <c r="BW129" s="231"/>
      <c r="BX129" s="231"/>
      <c r="BY129" s="256">
        <f>+BY130-23.8</f>
        <v>-4.7749400000000328</v>
      </c>
      <c r="BZ129" s="256">
        <f>23.8*2</f>
        <v>47.6</v>
      </c>
      <c r="CA129" s="256">
        <f>+BZ130-BZ129</f>
        <v>-82.24900000000008</v>
      </c>
      <c r="CB129" s="256"/>
      <c r="CC129" s="256"/>
      <c r="CD129" s="256"/>
      <c r="CE129" s="256"/>
      <c r="CF129" s="256"/>
      <c r="CG129" s="256"/>
      <c r="CH129" s="256"/>
      <c r="CI129" s="256"/>
      <c r="CJ129" s="256"/>
      <c r="CK129" s="256"/>
      <c r="CL129" s="231"/>
      <c r="CM129" s="231"/>
      <c r="CN129" s="231"/>
      <c r="CO129" s="231"/>
      <c r="CP129" s="231"/>
      <c r="CQ129" s="231"/>
      <c r="CR129" s="231"/>
      <c r="CS129" s="231"/>
      <c r="CT129" s="1133"/>
      <c r="CU129" s="207"/>
      <c r="CV129" s="207"/>
      <c r="CW129" s="207"/>
      <c r="CX129" s="207"/>
      <c r="CY129" s="207"/>
      <c r="CZ129" s="207"/>
      <c r="DA129" s="206"/>
      <c r="DB129" s="206"/>
      <c r="DC129" s="206"/>
      <c r="DD129" s="206"/>
      <c r="DE129" s="206"/>
      <c r="DF129" s="206"/>
      <c r="DG129" s="206"/>
      <c r="DH129" s="206"/>
      <c r="DI129" s="206"/>
      <c r="DJ129" s="206"/>
      <c r="DK129" s="206"/>
      <c r="DL129" s="206"/>
      <c r="DM129" s="1560">
        <f>+DJ130*0.95</f>
        <v>371.90923076705838</v>
      </c>
      <c r="DN129" s="1560">
        <f>+DJ130</f>
        <v>391.48340080742986</v>
      </c>
      <c r="DO129" s="1560">
        <f>+DK130</f>
        <v>81.804747419999984</v>
      </c>
      <c r="DP129" s="1560">
        <f>+DL130</f>
        <v>246.56115000000005</v>
      </c>
      <c r="DQ129" s="1560">
        <f>+DM130</f>
        <v>81.536179999999831</v>
      </c>
      <c r="DR129" s="206"/>
      <c r="DS129" s="206"/>
      <c r="DT129" s="206"/>
      <c r="DU129" s="206"/>
      <c r="DV129" s="206"/>
      <c r="DW129" s="206"/>
      <c r="DY129" s="206"/>
      <c r="DZ129" s="206"/>
    </row>
    <row r="130" spans="1:130" s="2093" customFormat="1">
      <c r="A130" s="2090" t="s">
        <v>628</v>
      </c>
      <c r="B130" s="2090"/>
      <c r="C130" s="2091" t="e">
        <v>#REF!</v>
      </c>
      <c r="D130" s="2091" t="e">
        <v>#REF!</v>
      </c>
      <c r="E130" s="2091" t="e">
        <v>#REF!</v>
      </c>
      <c r="F130" s="2091" t="e">
        <v>#REF!</v>
      </c>
      <c r="G130" s="2091" t="e">
        <v>#REF!</v>
      </c>
      <c r="H130" s="2091" t="e">
        <v>#REF!</v>
      </c>
      <c r="I130" s="2091" t="e">
        <v>#REF!</v>
      </c>
      <c r="J130" s="2091" t="e">
        <v>#REF!</v>
      </c>
      <c r="K130" s="2091" t="e">
        <v>#REF!</v>
      </c>
      <c r="L130" s="2091" t="e">
        <v>#REF!</v>
      </c>
      <c r="M130" s="2091" t="e">
        <v>#REF!</v>
      </c>
      <c r="N130" s="2091" t="e">
        <v>#REF!</v>
      </c>
      <c r="O130" s="2091" t="e">
        <v>#REF!</v>
      </c>
      <c r="P130" s="2091" t="e">
        <v>#REF!</v>
      </c>
      <c r="Q130" s="2091" t="e">
        <v>#REF!</v>
      </c>
      <c r="R130" s="2091" t="e">
        <v>#REF!</v>
      </c>
      <c r="S130" s="2091" t="e">
        <v>#REF!</v>
      </c>
      <c r="T130" s="2091" t="e">
        <v>#REF!</v>
      </c>
      <c r="U130" s="2091" t="e">
        <v>#REF!</v>
      </c>
      <c r="V130" s="2091" t="e">
        <v>#REF!</v>
      </c>
      <c r="W130" s="2091">
        <v>20.116999999999994</v>
      </c>
      <c r="X130" s="2091">
        <v>9.1390000000000047</v>
      </c>
      <c r="Y130" s="2091">
        <v>19.140000000000004</v>
      </c>
      <c r="Z130" s="2091">
        <v>19.234000000000002</v>
      </c>
      <c r="AA130" s="2091">
        <v>26.345000000000006</v>
      </c>
      <c r="AB130" s="2091">
        <v>24.701000000000008</v>
      </c>
      <c r="AC130" s="2091">
        <v>36.512999999999998</v>
      </c>
      <c r="AD130" s="2091">
        <v>33.5</v>
      </c>
      <c r="AE130" s="2091">
        <v>38.500000000000007</v>
      </c>
      <c r="AF130" s="2091">
        <v>32.100000000000009</v>
      </c>
      <c r="AG130" s="2091">
        <v>34</v>
      </c>
      <c r="AH130" s="2091">
        <v>20.5</v>
      </c>
      <c r="AI130" s="2091">
        <v>40.919999999999987</v>
      </c>
      <c r="AJ130" s="2091">
        <v>32.314000000000007</v>
      </c>
      <c r="AK130" s="2091">
        <v>42.999999999999993</v>
      </c>
      <c r="AL130" s="2091">
        <v>32.70000000000001</v>
      </c>
      <c r="AM130" s="2091">
        <v>47.599999999999994</v>
      </c>
      <c r="AN130" s="2091">
        <v>41.099999999999994</v>
      </c>
      <c r="AO130" s="2091">
        <v>44.999999999999986</v>
      </c>
      <c r="AP130" s="2091">
        <v>40.099999999999973</v>
      </c>
      <c r="AQ130" s="2091">
        <f t="shared" ref="AQ130:BV130" si="795">+AQ64+AQ99+AQ124</f>
        <v>61.399999999999977</v>
      </c>
      <c r="AR130" s="2091">
        <f t="shared" si="795"/>
        <v>52.400000000000006</v>
      </c>
      <c r="AS130" s="2091">
        <f t="shared" si="795"/>
        <v>61.699999999999996</v>
      </c>
      <c r="AT130" s="2091">
        <f t="shared" si="795"/>
        <v>42.099999999999994</v>
      </c>
      <c r="AU130" s="2091">
        <f t="shared" si="795"/>
        <v>68.070999999999998</v>
      </c>
      <c r="AV130" s="2091">
        <f t="shared" si="795"/>
        <v>54.023999999999994</v>
      </c>
      <c r="AW130" s="2091">
        <f t="shared" si="795"/>
        <v>47.865999999999978</v>
      </c>
      <c r="AX130" s="2091">
        <f t="shared" si="795"/>
        <v>38.40100000000001</v>
      </c>
      <c r="AY130" s="2091">
        <f t="shared" si="795"/>
        <v>68.77800000000002</v>
      </c>
      <c r="AZ130" s="2091">
        <f t="shared" si="795"/>
        <v>54.3</v>
      </c>
      <c r="BA130" s="2091">
        <f t="shared" si="795"/>
        <v>65.336000000000013</v>
      </c>
      <c r="BB130" s="2091">
        <f t="shared" si="795"/>
        <v>62.85499999999999</v>
      </c>
      <c r="BC130" s="2091">
        <f t="shared" si="795"/>
        <v>79.058999999999983</v>
      </c>
      <c r="BD130" s="2091">
        <f t="shared" si="795"/>
        <v>78.988000000000028</v>
      </c>
      <c r="BE130" s="2091">
        <f t="shared" si="795"/>
        <v>97.820999999999998</v>
      </c>
      <c r="BF130" s="2091">
        <f t="shared" si="795"/>
        <v>75.726000000000013</v>
      </c>
      <c r="BG130" s="2091">
        <f t="shared" si="795"/>
        <v>102.786</v>
      </c>
      <c r="BH130" s="2091">
        <f t="shared" si="795"/>
        <v>81.310999999999979</v>
      </c>
      <c r="BI130" s="2091">
        <f t="shared" si="795"/>
        <v>86.619356740000129</v>
      </c>
      <c r="BJ130" s="2091">
        <f t="shared" si="795"/>
        <v>78.714514530000386</v>
      </c>
      <c r="BK130" s="2091">
        <f t="shared" si="795"/>
        <v>97.72622489000004</v>
      </c>
      <c r="BL130" s="2091">
        <f t="shared" si="795"/>
        <v>91.072071050000019</v>
      </c>
      <c r="BM130" s="2091">
        <f t="shared" si="795"/>
        <v>103.26300000000003</v>
      </c>
      <c r="BN130" s="2091">
        <f t="shared" si="795"/>
        <v>99.42210486742978</v>
      </c>
      <c r="BO130" s="2091">
        <f t="shared" si="795"/>
        <v>20.671000000000006</v>
      </c>
      <c r="BP130" s="2091">
        <f t="shared" si="795"/>
        <v>52.79076114999998</v>
      </c>
      <c r="BQ130" s="2091">
        <f>+BQ64+BQ99+BQ124</f>
        <v>-51.157013730000003</v>
      </c>
      <c r="BR130" s="2091">
        <f t="shared" si="795"/>
        <v>59.5</v>
      </c>
      <c r="BS130" s="2091">
        <f>+BS64+BS99+BS124</f>
        <v>69.400000000000006</v>
      </c>
      <c r="BT130" s="2091">
        <f>+BT64+BT99+BT124</f>
        <v>51.533080000000027</v>
      </c>
      <c r="BU130" s="2091">
        <f t="shared" si="795"/>
        <v>74.076179999999965</v>
      </c>
      <c r="BV130" s="2091">
        <f t="shared" si="795"/>
        <v>51.551889999999986</v>
      </c>
      <c r="BW130" s="2091">
        <f>+BW64+BW99+BW124</f>
        <v>85.211120000000022</v>
      </c>
      <c r="BX130" s="2091">
        <f>+BX64+BX99+BX124</f>
        <v>11.948999999999984</v>
      </c>
      <c r="BY130" s="2091">
        <f t="shared" ref="BY130:CD130" si="796">+BY64+BY99+BY124</f>
        <v>19.025059999999968</v>
      </c>
      <c r="BZ130" s="2091">
        <f>+BZ64+BZ99+BZ124</f>
        <v>-34.649000000000086</v>
      </c>
      <c r="CA130" s="2091">
        <f t="shared" si="796"/>
        <v>-10.321067740000046</v>
      </c>
      <c r="CB130" s="2091">
        <f t="shared" ref="CB130" si="797">+CB64+CB99+CB124</f>
        <v>-53.690131400000013</v>
      </c>
      <c r="CC130" s="2091">
        <f>+CC64+CC99+CC124</f>
        <v>-35.052713340000025</v>
      </c>
      <c r="CD130" s="2091">
        <f t="shared" si="796"/>
        <v>3.1924346199999718</v>
      </c>
      <c r="CE130" s="2091">
        <f t="shared" ref="CE130:CH130" si="798">+CE64+CE99+CE124</f>
        <v>13.401999999999987</v>
      </c>
      <c r="CF130" s="2091">
        <f t="shared" si="798"/>
        <v>34.761000000000024</v>
      </c>
      <c r="CG130" s="2091">
        <f t="shared" si="798"/>
        <v>58.311002329999866</v>
      </c>
      <c r="CH130" s="2091">
        <f t="shared" si="798"/>
        <v>61.382000000000005</v>
      </c>
      <c r="CI130" s="2091">
        <f>+CI64+CI99+CI124</f>
        <v>190.46553909999989</v>
      </c>
      <c r="CJ130" s="2091">
        <f>+CJ64+CJ99+CJ124</f>
        <v>118.45183437000006</v>
      </c>
      <c r="CK130" s="2091">
        <f t="shared" ref="CK130:CL130" si="799">+CK64+CK99+CK124</f>
        <v>79.810971149999943</v>
      </c>
      <c r="CL130" s="2091">
        <f t="shared" si="799"/>
        <v>75.457194738675298</v>
      </c>
      <c r="CM130" s="2091">
        <f t="shared" ref="CM130:CP130" si="800">+CM64+CM99+CM124</f>
        <v>106.28985529449125</v>
      </c>
      <c r="CN130" s="2091">
        <f t="shared" si="800"/>
        <v>-23.589324863412742</v>
      </c>
      <c r="CO130" s="2091">
        <f t="shared" si="800"/>
        <v>42.284046862618368</v>
      </c>
      <c r="CP130" s="2091">
        <f t="shared" si="800"/>
        <v>89.227485739968159</v>
      </c>
      <c r="CQ130" s="2091"/>
      <c r="CR130" s="2091"/>
      <c r="CS130" s="2091">
        <v>85.479563915840288</v>
      </c>
      <c r="CT130" s="2092">
        <f>+CI130/CS130-1</f>
        <v>1.2281997049905931</v>
      </c>
      <c r="CU130" s="2090" t="e">
        <f>SUM(C130:F130)</f>
        <v>#REF!</v>
      </c>
      <c r="CV130" s="2090" t="e">
        <f>SUM(G130:J130)</f>
        <v>#REF!</v>
      </c>
      <c r="CW130" s="2090" t="e">
        <f>SUM(K130:N130)</f>
        <v>#REF!</v>
      </c>
      <c r="CX130" s="2090" t="e">
        <f>SUM(O130:R130)</f>
        <v>#REF!</v>
      </c>
      <c r="CY130" s="2090" t="e">
        <f>SUM(S130:V130)</f>
        <v>#REF!</v>
      </c>
      <c r="CZ130" s="2090">
        <f>SUM(W130:Z130)</f>
        <v>67.63</v>
      </c>
      <c r="DA130" s="2090">
        <f>SUM(AA130:AD130)</f>
        <v>121.05900000000001</v>
      </c>
      <c r="DB130" s="2090">
        <f>SUM(AE130:AH130)</f>
        <v>125.10000000000002</v>
      </c>
      <c r="DC130" s="2090">
        <f>+SUM(AI130:AL130)</f>
        <v>148.934</v>
      </c>
      <c r="DD130" s="2090">
        <f>+SUM(AM130:AP130)</f>
        <v>173.79999999999995</v>
      </c>
      <c r="DE130" s="2091">
        <f>+SUM(AQ130:AT130)</f>
        <v>217.59999999999997</v>
      </c>
      <c r="DF130" s="2091">
        <f>+SUM(AU130:AX130)</f>
        <v>208.36199999999999</v>
      </c>
      <c r="DG130" s="2091">
        <f>+SUM(AY130:BB130)</f>
        <v>251.26900000000003</v>
      </c>
      <c r="DH130" s="2091">
        <f>+SUM(BC130:BF130)</f>
        <v>331.59400000000005</v>
      </c>
      <c r="DI130" s="2091">
        <f>+SUM(BG130:BJ130)</f>
        <v>349.43087127000047</v>
      </c>
      <c r="DJ130" s="2091">
        <f>+SUM(BK130:BN130)</f>
        <v>391.48340080742986</v>
      </c>
      <c r="DK130" s="2091">
        <f>+SUM(BO130:BR130)</f>
        <v>81.804747419999984</v>
      </c>
      <c r="DL130" s="2091">
        <f t="shared" ref="DL130:DR130" si="801">+DL64+DL99+DL124</f>
        <v>246.56115000000005</v>
      </c>
      <c r="DM130" s="2091">
        <f t="shared" si="801"/>
        <v>81.536179999999831</v>
      </c>
      <c r="DN130" s="2091">
        <f t="shared" si="801"/>
        <v>-95.871477860000141</v>
      </c>
      <c r="DO130" s="2091">
        <f t="shared" ref="DO130:DP130" si="802">+DO64+DO99+DO124</f>
        <v>167.85600232999968</v>
      </c>
      <c r="DP130" s="2091">
        <f t="shared" si="802"/>
        <v>464.18553935867521</v>
      </c>
      <c r="DQ130" s="2091">
        <f t="shared" ref="DQ130" si="803">+DQ64+DQ99+DQ124</f>
        <v>214.21206303366512</v>
      </c>
      <c r="DR130" s="2091">
        <f t="shared" si="801"/>
        <v>424.98075518914845</v>
      </c>
      <c r="DS130" s="2091">
        <f t="shared" ref="DS130:DU130" si="804">+DS64+DS99+DS124</f>
        <v>450.93991370462152</v>
      </c>
      <c r="DT130" s="2091">
        <f t="shared" si="804"/>
        <v>469.10337491095868</v>
      </c>
      <c r="DU130" s="2091">
        <f t="shared" si="804"/>
        <v>485.28586059512975</v>
      </c>
      <c r="DV130" s="2090"/>
      <c r="DW130" s="2090"/>
      <c r="DY130" s="2091">
        <v>153.65494962698676</v>
      </c>
      <c r="DZ130" s="2091">
        <v>131.29617621771195</v>
      </c>
    </row>
    <row r="131" spans="1:130" s="2095" customFormat="1">
      <c r="A131" s="2094" t="s">
        <v>629</v>
      </c>
      <c r="B131" s="2094"/>
      <c r="C131" s="2094"/>
      <c r="D131" s="2094"/>
      <c r="E131" s="2094"/>
      <c r="F131" s="2094"/>
      <c r="G131" s="2094"/>
      <c r="H131" s="2094"/>
      <c r="I131" s="2094"/>
      <c r="J131" s="2094" t="e">
        <v>#REF!</v>
      </c>
      <c r="K131" s="2094" t="e">
        <v>#REF!</v>
      </c>
      <c r="L131" s="2094" t="e">
        <v>#REF!</v>
      </c>
      <c r="M131" s="2094" t="e">
        <v>#REF!</v>
      </c>
      <c r="N131" s="2094" t="e">
        <v>#REF!</v>
      </c>
      <c r="O131" s="2094" t="e">
        <v>#REF!</v>
      </c>
      <c r="P131" s="2094" t="e">
        <v>#REF!</v>
      </c>
      <c r="Q131" s="2094" t="e">
        <v>#REF!</v>
      </c>
      <c r="R131" s="2094" t="e">
        <v>#REF!</v>
      </c>
      <c r="S131" s="2094" t="e">
        <v>#REF!</v>
      </c>
      <c r="T131" s="2094" t="e">
        <v>#REF!</v>
      </c>
      <c r="U131" s="2094" t="e">
        <v>#REF!</v>
      </c>
      <c r="V131" s="2094" t="e">
        <v>#REF!</v>
      </c>
      <c r="W131" s="2094">
        <v>0.35614764981853581</v>
      </c>
      <c r="X131" s="2094">
        <v>0.15573770491803285</v>
      </c>
      <c r="Y131" s="2094">
        <v>0.29185282322623934</v>
      </c>
      <c r="Z131" s="2094">
        <v>0.28745647203001001</v>
      </c>
      <c r="AA131" s="2094">
        <v>0.40252715855093285</v>
      </c>
      <c r="AB131" s="2094">
        <v>0.34293131932971449</v>
      </c>
      <c r="AC131" s="2094">
        <v>0.48597819866104103</v>
      </c>
      <c r="AD131" s="2094">
        <v>0.44054022066462395</v>
      </c>
      <c r="AE131" s="2094">
        <v>0.47495682210708123</v>
      </c>
      <c r="AF131" s="2094">
        <v>0.36996058363875262</v>
      </c>
      <c r="AG131" s="2094">
        <v>0.40072602126205126</v>
      </c>
      <c r="AH131" s="2094">
        <v>0.22968158289824545</v>
      </c>
      <c r="AI131" s="2094">
        <v>0.45427800659435802</v>
      </c>
      <c r="AJ131" s="2094">
        <v>0.32222166824550041</v>
      </c>
      <c r="AK131" s="2094">
        <v>0.42240515530756978</v>
      </c>
      <c r="AL131" s="2094">
        <v>0.30169391445547483</v>
      </c>
      <c r="AM131" s="2094">
        <v>0.44435316741659037</v>
      </c>
      <c r="AN131" s="2094">
        <v>0.36307741234463198</v>
      </c>
      <c r="AO131" s="2094">
        <v>0.39295475780888417</v>
      </c>
      <c r="AP131" s="2094">
        <v>0.32939591581921812</v>
      </c>
      <c r="AQ131" s="2094">
        <f>+AQ130/FAT!AQ34*1000</f>
        <v>0.4947702622121225</v>
      </c>
      <c r="AR131" s="2094">
        <f>+AR130/FAT!AR34*1000</f>
        <v>0.36381309449420268</v>
      </c>
      <c r="AS131" s="2094">
        <f>+AS130/FAT!AS34*1000</f>
        <v>0.39371586094236555</v>
      </c>
      <c r="AT131" s="2094">
        <f>+AT130/FAT!AT34*1000</f>
        <v>0.28332615484009899</v>
      </c>
      <c r="AU131" s="2094">
        <f>+AU130/FAT!AU34*1000</f>
        <v>0.41748031302897232</v>
      </c>
      <c r="AV131" s="2094">
        <f>+AV130/FAT!AV34*1000</f>
        <v>0.29655002058460267</v>
      </c>
      <c r="AW131" s="2094">
        <f>+AW130/FAT!AW34*1000</f>
        <v>0.27790292614955864</v>
      </c>
      <c r="AX131" s="2094">
        <f>+AX130/FAT!AX34*1000</f>
        <v>0.21710321745373962</v>
      </c>
      <c r="AY131" s="2094">
        <f>+AY130/FAT!AY34*1000</f>
        <v>0.40169138131420806</v>
      </c>
      <c r="AZ131" s="2094">
        <f>+AZ130/FAT!AZ34*1000</f>
        <v>0.29689652909914049</v>
      </c>
      <c r="BA131" s="2094">
        <f>+BA130/FAT!BA34*1000</f>
        <v>0.35238470209426631</v>
      </c>
      <c r="BB131" s="2094">
        <f>+BB130/FAT!BB34*1000</f>
        <v>0.33029774353908076</v>
      </c>
      <c r="BC131" s="2094">
        <f>+BC130/FAT!BC34*1000</f>
        <v>0.43766054030115137</v>
      </c>
      <c r="BD131" s="2094">
        <f>+BD130/FAT!BD34*1000</f>
        <v>0.39360959955350927</v>
      </c>
      <c r="BE131" s="2094">
        <f>+BE130/FAT!BE34*1000</f>
        <v>0.41839785456738476</v>
      </c>
      <c r="BF131" s="2094">
        <f>+BF130/FAT!BF34*1000</f>
        <v>0.33051235831474751</v>
      </c>
      <c r="BG131" s="2094">
        <f>+BG130/FAT!BG34*1000</f>
        <v>0.44793564188158597</v>
      </c>
      <c r="BH131" s="2094">
        <f>+BH130/FAT!BH34*1000</f>
        <v>0.33870269009355752</v>
      </c>
      <c r="BI131" s="2094">
        <f>+BI130/FAT!BI34*1000</f>
        <v>0.3736379142205184</v>
      </c>
      <c r="BJ131" s="2094">
        <f>+BJ130/FAT!BJ34*1000</f>
        <v>0.32832051241089799</v>
      </c>
      <c r="BK131" s="2094">
        <f>+BK130/FAT!BK34*1000</f>
        <v>0.40419482541980328</v>
      </c>
      <c r="BL131" s="2094">
        <f>+BL130/FAT!BL34*1000</f>
        <v>0.3340500717089096</v>
      </c>
      <c r="BM131" s="2094">
        <f>+BM130/FAT!BM34*1000</f>
        <v>0.35143671021777834</v>
      </c>
      <c r="BN131" s="2094">
        <f>+BN130/FAT!BN34*1000</f>
        <v>0.32543740934599591</v>
      </c>
      <c r="BO131" s="2094">
        <f>+BO130/FAT!BO34*1000</f>
        <v>6.5919172398837961E-2</v>
      </c>
      <c r="BP131" s="2094">
        <f>+BP130/FAT!BP34*1000</f>
        <v>0.196343069699111</v>
      </c>
      <c r="BQ131" s="2094">
        <f>+BQ130/FAT!BQ34*1000</f>
        <v>-0.36845488922660291</v>
      </c>
      <c r="BR131" s="2094">
        <f>+BR130/FAT!BR34*1000</f>
        <v>0.38308995853614569</v>
      </c>
      <c r="BS131" s="2094">
        <f>+BS130/FAT!BS34*1000</f>
        <v>0.31984956930918951</v>
      </c>
      <c r="BT131" s="2094">
        <f>+BT130/FAT!BT34*1000</f>
        <v>0.22253780714254881</v>
      </c>
      <c r="BU131" s="2094">
        <f>+BU130/FAT!BU34*1000</f>
        <v>0.28894813580650219</v>
      </c>
      <c r="BV131" s="2094">
        <f>+BV130/FAT!BV34*1000</f>
        <v>0.16580553869680953</v>
      </c>
      <c r="BW131" s="2094">
        <f>+BW130/FAT!BW34*1000</f>
        <v>0.22227499550030133</v>
      </c>
      <c r="BX131" s="2094">
        <f>+BX130/FAT!BX34*1000</f>
        <v>2.6518446843263939E-2</v>
      </c>
      <c r="BY131" s="2094">
        <f>+BY130/FAT!BY34*1000</f>
        <v>4.7312955875367664E-2</v>
      </c>
      <c r="BZ131" s="2094">
        <f>+BZ130/FAT!BZ34*1000</f>
        <v>-7.5441996167915193E-2</v>
      </c>
      <c r="CA131" s="2094">
        <f>+CA130/FAT!CA34*1000</f>
        <v>-2.0754500344867203E-2</v>
      </c>
      <c r="CB131" s="2094">
        <f>+CB130/FAT!CB34*1000</f>
        <v>-0.10349326283446325</v>
      </c>
      <c r="CC131" s="2094">
        <f>+CC130/FAT!CC34*1000</f>
        <v>-7.6037903945855717E-2</v>
      </c>
      <c r="CD131" s="2094">
        <f>+CD130/FAT!CD34*1000</f>
        <v>6.8736252360333296E-3</v>
      </c>
      <c r="CE131" s="2094">
        <f>+CE130/FAT!CE34*1000</f>
        <v>2.9985255720400103E-2</v>
      </c>
      <c r="CF131" s="2094">
        <f>+CF130/FAT!CF34*1000</f>
        <v>7.8918332319260487E-2</v>
      </c>
      <c r="CG131" s="2094">
        <f>+CG130/FAT!CG34*1000</f>
        <v>0.13418493392121142</v>
      </c>
      <c r="CH131" s="2094">
        <f>+CH130/FAT!CH34*1000</f>
        <v>0.13873582287235728</v>
      </c>
      <c r="CI131" s="2094">
        <f>+CI130/FAT!CI34*1000</f>
        <v>0.38037117183505859</v>
      </c>
      <c r="CJ131" s="2094">
        <f>+CJ130/FAT!CJ34*1000</f>
        <v>0.2287169733943237</v>
      </c>
      <c r="CK131" s="2094">
        <f>+CK130/FAT!CK34*1000</f>
        <v>0.16478872808022735</v>
      </c>
      <c r="CL131" s="2094">
        <f>+CL130/FAT!CL34*1000</f>
        <v>0.16554831288497435</v>
      </c>
      <c r="CM131" s="2094">
        <f>+CM130/FAT!CM34*1000</f>
        <v>0.21325240836594359</v>
      </c>
      <c r="CN131" s="2094">
        <f>+CN130/FAT!CN34*1000</f>
        <v>-4.6743534940061511E-2</v>
      </c>
      <c r="CO131" s="2094">
        <f>+CO130/FAT!CO34*1000</f>
        <v>8.3190502105215752E-2</v>
      </c>
      <c r="CP131" s="2094">
        <f>+CP130/FAT!CP34*1000</f>
        <v>0.17528641234226064</v>
      </c>
      <c r="CQ131" s="2094"/>
      <c r="CR131" s="2094"/>
      <c r="CS131" s="2094">
        <v>0.1823083496114174</v>
      </c>
      <c r="CT131" s="2092"/>
      <c r="CU131" s="2094"/>
      <c r="CV131" s="2094"/>
      <c r="CW131" s="2094" t="e">
        <f>+CW130/FAT!CX34*1000</f>
        <v>#REF!</v>
      </c>
      <c r="CX131" s="2094" t="e">
        <f>+CX130/FAT!CY34*1000</f>
        <v>#REF!</v>
      </c>
      <c r="CY131" s="2094" t="e">
        <f>+CY130/FAT!CZ34*1000</f>
        <v>#REF!</v>
      </c>
      <c r="CZ131" s="2094">
        <f>+CZ130/FAT!DA34*1000</f>
        <v>0.27307709390734841</v>
      </c>
      <c r="DA131" s="2094">
        <f>+DA130/FAT!DB34*1000</f>
        <v>0.41939138206988302</v>
      </c>
      <c r="DB131" s="2094">
        <f>+DB130/FAT!DC34*1000</f>
        <v>0.36586863824336269</v>
      </c>
      <c r="DC131" s="2094">
        <f>+DC130/FAT!DD34*1000</f>
        <v>0.37182559892946659</v>
      </c>
      <c r="DD131" s="2094">
        <f>+DD130/FAT!DE34*1000</f>
        <v>0.38065951780207447</v>
      </c>
      <c r="DE131" s="2094">
        <f>+DE130/FAT!DF34*1000</f>
        <v>0.3794695796537339</v>
      </c>
      <c r="DF131" s="2094">
        <f>+DF130/FAT!DG34*1000</f>
        <v>0.30008381988230648</v>
      </c>
      <c r="DG131" s="2094">
        <f>+DG130/FAT!DH34*1000</f>
        <v>0.34428805928020811</v>
      </c>
      <c r="DH131" s="2094">
        <f>+DH130/FAT!DI34*1000</f>
        <v>0.39277591941551615</v>
      </c>
      <c r="DI131" s="2094">
        <f>+DI130/FAT!DJ34*1000</f>
        <v>0.37129731260386739</v>
      </c>
      <c r="DJ131" s="2094">
        <f>+DJ130/FAT!DK34*1000</f>
        <v>0.35150214125277429</v>
      </c>
      <c r="DK131" s="2094">
        <f>+DK130/FAT!DL34*1000</f>
        <v>9.3319538608433159E-2</v>
      </c>
      <c r="DL131" s="2094">
        <f>+DL130/FAT!DM34*1000</f>
        <v>0.2427189695375937</v>
      </c>
      <c r="DM131" s="2094">
        <f>+DM130/FAT!DN34*1000</f>
        <v>4.8094237032999733E-2</v>
      </c>
      <c r="DN131" s="2094">
        <f>+DN130/FAT!DO34*1000</f>
        <v>-4.9379878156629788E-2</v>
      </c>
      <c r="DO131" s="2094">
        <f>+DO130/FAT!DP34*1000</f>
        <v>9.5134028670109366E-2</v>
      </c>
      <c r="DP131" s="2094">
        <f>+DP130/FAT!DQ34*1000</f>
        <v>0.23697956638041262</v>
      </c>
      <c r="DQ131" s="2094">
        <f>+DQ130/FAT!DR34*1000</f>
        <v>0.1060248421945973</v>
      </c>
      <c r="DR131" s="2094">
        <f>+DR130/FAT!DS34*1000</f>
        <v>0.19651055373570381</v>
      </c>
      <c r="DS131" s="2094">
        <f>+DS130/FAT!DT34*1000</f>
        <v>0.20782489817455843</v>
      </c>
      <c r="DT131" s="2094">
        <f>+DT130/FAT!DU34*1000</f>
        <v>0.21534394839038695</v>
      </c>
      <c r="DU131" s="2094">
        <f>+DU130/FAT!DV34*1000</f>
        <v>0.22181246325169293</v>
      </c>
      <c r="DV131" s="2094"/>
      <c r="DW131" s="2094"/>
      <c r="DY131" s="2094">
        <v>8.6638181835666017E-2</v>
      </c>
      <c r="DZ131" s="2094">
        <v>7.3671877379378969E-2</v>
      </c>
    </row>
    <row r="132" spans="1:130" s="2095" customFormat="1">
      <c r="A132" s="2096" t="s">
        <v>92</v>
      </c>
      <c r="B132" s="2096"/>
      <c r="C132" s="2096"/>
      <c r="D132" s="2096"/>
      <c r="E132" s="2096"/>
      <c r="F132" s="2096"/>
      <c r="G132" s="2096" t="e">
        <v>#REF!</v>
      </c>
      <c r="H132" s="2096" t="e">
        <v>#REF!</v>
      </c>
      <c r="I132" s="2096" t="e">
        <v>#REF!</v>
      </c>
      <c r="J132" s="2096" t="e">
        <v>#REF!</v>
      </c>
      <c r="K132" s="2096" t="e">
        <v>#REF!</v>
      </c>
      <c r="L132" s="2096" t="e">
        <v>#REF!</v>
      </c>
      <c r="M132" s="2096" t="e">
        <v>#REF!</v>
      </c>
      <c r="N132" s="2096" t="e">
        <v>#REF!</v>
      </c>
      <c r="O132" s="2096" t="e">
        <v>#REF!</v>
      </c>
      <c r="P132" s="2096" t="e">
        <v>#REF!</v>
      </c>
      <c r="Q132" s="2096" t="e">
        <v>#REF!</v>
      </c>
      <c r="R132" s="2096" t="e">
        <v>#REF!</v>
      </c>
      <c r="S132" s="2096" t="e">
        <v>#REF!</v>
      </c>
      <c r="T132" s="2096" t="e">
        <v>#REF!</v>
      </c>
      <c r="U132" s="2096" t="e">
        <v>#REF!</v>
      </c>
      <c r="V132" s="2096" t="e">
        <v>#REF!</v>
      </c>
      <c r="W132" s="2096" t="e">
        <v>#REF!</v>
      </c>
      <c r="X132" s="2096" t="e">
        <v>#REF!</v>
      </c>
      <c r="Y132" s="2096" t="e">
        <v>#REF!</v>
      </c>
      <c r="Z132" s="2096" t="e">
        <v>#REF!</v>
      </c>
      <c r="AA132" s="2096">
        <v>0.30958890490629876</v>
      </c>
      <c r="AB132" s="2096">
        <v>1.7028121238647551</v>
      </c>
      <c r="AC132" s="2096">
        <v>0.90768025078369852</v>
      </c>
      <c r="AD132" s="2096">
        <v>0.7417073931579492</v>
      </c>
      <c r="AE132" s="2096">
        <v>0.46137787056367419</v>
      </c>
      <c r="AF132" s="2096">
        <v>0.29954252864256503</v>
      </c>
      <c r="AG132" s="2096">
        <v>-6.8824802125270423E-2</v>
      </c>
      <c r="AH132" s="2096">
        <v>-0.38805970149253732</v>
      </c>
      <c r="AI132" s="2096">
        <v>6.2857142857142279E-2</v>
      </c>
      <c r="AJ132" s="2096">
        <v>6.6666666666665986E-3</v>
      </c>
      <c r="AK132" s="2096">
        <v>0.2647058823529409</v>
      </c>
      <c r="AL132" s="2096">
        <v>0.59512195121951272</v>
      </c>
      <c r="AM132" s="2096">
        <v>0.16324535679374419</v>
      </c>
      <c r="AN132" s="2096">
        <v>0.2718945348765236</v>
      </c>
      <c r="AO132" s="2096">
        <v>4.6511627906976605E-2</v>
      </c>
      <c r="AP132" s="2096">
        <v>0.22629969418960116</v>
      </c>
      <c r="AQ132" s="2096">
        <f t="shared" ref="AQ132:BG132" si="805">AQ130/AM130-1</f>
        <v>0.28991596638655426</v>
      </c>
      <c r="AR132" s="2096">
        <f t="shared" si="805"/>
        <v>0.27493917274939195</v>
      </c>
      <c r="AS132" s="2096">
        <f t="shared" si="805"/>
        <v>0.37111111111111139</v>
      </c>
      <c r="AT132" s="2096">
        <f t="shared" si="805"/>
        <v>4.9875311720698923E-2</v>
      </c>
      <c r="AU132" s="2096">
        <f t="shared" si="805"/>
        <v>0.10864820846905565</v>
      </c>
      <c r="AV132" s="2096">
        <f t="shared" si="805"/>
        <v>3.099236641221359E-2</v>
      </c>
      <c r="AW132" s="2096">
        <f t="shared" si="805"/>
        <v>-0.2242139384116697</v>
      </c>
      <c r="AX132" s="2096">
        <f t="shared" si="805"/>
        <v>-8.7862232779096994E-2</v>
      </c>
      <c r="AY132" s="2096">
        <f t="shared" si="805"/>
        <v>1.0386214393794946E-2</v>
      </c>
      <c r="AZ132" s="2096">
        <f t="shared" si="805"/>
        <v>5.1088405153265626E-3</v>
      </c>
      <c r="BA132" s="2096">
        <f t="shared" si="805"/>
        <v>0.3649772280950998</v>
      </c>
      <c r="BB132" s="2096">
        <f t="shared" si="805"/>
        <v>0.6368063331684064</v>
      </c>
      <c r="BC132" s="2096">
        <f t="shared" si="805"/>
        <v>0.14948093867224932</v>
      </c>
      <c r="BD132" s="2096">
        <f t="shared" si="805"/>
        <v>0.45465930018416256</v>
      </c>
      <c r="BE132" s="2096">
        <f t="shared" si="805"/>
        <v>0.49719909391453387</v>
      </c>
      <c r="BF132" s="2096">
        <f t="shared" si="805"/>
        <v>0.20477288998488619</v>
      </c>
      <c r="BG132" s="2096">
        <f t="shared" si="805"/>
        <v>0.30011763366599653</v>
      </c>
      <c r="BH132" s="2096">
        <f t="shared" ref="BH132:BV132" si="806">BH130/BD130-1</f>
        <v>2.9409530561603558E-2</v>
      </c>
      <c r="BI132" s="2096">
        <f t="shared" si="806"/>
        <v>-0.11451164126312208</v>
      </c>
      <c r="BJ132" s="2096">
        <f t="shared" si="806"/>
        <v>3.9464840741626039E-2</v>
      </c>
      <c r="BK132" s="2096">
        <f t="shared" si="806"/>
        <v>-4.9226306209016468E-2</v>
      </c>
      <c r="BL132" s="2096">
        <f t="shared" si="806"/>
        <v>0.12004613213464399</v>
      </c>
      <c r="BM132" s="2096">
        <f t="shared" si="806"/>
        <v>0.19214692750441542</v>
      </c>
      <c r="BN132" s="2096">
        <f t="shared" si="806"/>
        <v>0.26307207077466166</v>
      </c>
      <c r="BO132" s="2096">
        <f t="shared" si="806"/>
        <v>-0.78848052277403391</v>
      </c>
      <c r="BP132" s="2096">
        <f t="shared" si="806"/>
        <v>-0.4203408296159532</v>
      </c>
      <c r="BQ132" s="2096">
        <f t="shared" si="806"/>
        <v>-1.4954050698701373</v>
      </c>
      <c r="BR132" s="2096">
        <f t="shared" si="806"/>
        <v>-0.40154153767577372</v>
      </c>
      <c r="BS132" s="2096">
        <f t="shared" si="806"/>
        <v>2.3573605534323439</v>
      </c>
      <c r="BT132" s="2096">
        <f t="shared" si="806"/>
        <v>-2.3823887411404621E-2</v>
      </c>
      <c r="BU132" s="2096">
        <f t="shared" si="806"/>
        <v>-2.4480161095986626</v>
      </c>
      <c r="BV132" s="2096">
        <f t="shared" si="806"/>
        <v>-0.13358168067226917</v>
      </c>
      <c r="BW132" s="2096">
        <f t="shared" ref="BW132:CD132" si="807">BW130/BS130-1</f>
        <v>0.22782593659942396</v>
      </c>
      <c r="BX132" s="2096">
        <f t="shared" si="807"/>
        <v>-0.76812951991225875</v>
      </c>
      <c r="BY132" s="2096">
        <f t="shared" si="807"/>
        <v>-0.74316899170556616</v>
      </c>
      <c r="BZ132" s="2096">
        <f t="shared" si="807"/>
        <v>-1.6721189077645864</v>
      </c>
      <c r="CA132" s="2096">
        <f t="shared" si="807"/>
        <v>-1.1211234841180358</v>
      </c>
      <c r="CB132" s="2096">
        <f t="shared" si="807"/>
        <v>-5.4932740312996975</v>
      </c>
      <c r="CC132" s="2096">
        <f t="shared" si="807"/>
        <v>-2.8424495554810383</v>
      </c>
      <c r="CD132" s="2096">
        <f t="shared" si="807"/>
        <v>-1.0921364143265309</v>
      </c>
      <c r="CE132" s="2096">
        <f t="shared" ref="CE132" si="808">CE130/CA130-1</f>
        <v>-2.2985090629780061</v>
      </c>
      <c r="CF132" s="2096">
        <f t="shared" ref="CF132" si="809">CF130/CB130-1</f>
        <v>-1.6474374171488808</v>
      </c>
      <c r="CG132" s="2096">
        <f t="shared" ref="CG132" si="810">CG130/CC130-1</f>
        <v>-2.6635232132931317</v>
      </c>
      <c r="CH132" s="2096">
        <f t="shared" ref="CH132" si="811">CH130/CD130-1</f>
        <v>18.22733189755991</v>
      </c>
      <c r="CI132" s="2096">
        <f t="shared" ref="CI132:CJ132" si="812">CI130/CE130-1</f>
        <v>13.211725048500229</v>
      </c>
      <c r="CJ132" s="2096">
        <f t="shared" si="812"/>
        <v>2.4076072141192708</v>
      </c>
      <c r="CK132" s="2096">
        <f t="shared" ref="CK132" si="813">CK130/CG130-1</f>
        <v>0.36871204336919394</v>
      </c>
      <c r="CL132" s="2096">
        <f t="shared" ref="CL132" si="814">CL130/CH130-1</f>
        <v>0.22930492226834076</v>
      </c>
      <c r="CM132" s="2096">
        <f t="shared" ref="CM132" si="815">CM130/CI130-1</f>
        <v>-0.44194705353661901</v>
      </c>
      <c r="CN132" s="2096">
        <f t="shared" ref="CN132" si="816">CN130/CJ130-1</f>
        <v>-1.1991469780850192</v>
      </c>
      <c r="CO132" s="2096">
        <f t="shared" ref="CO132" si="817">CO130/CK130-1</f>
        <v>-0.47019756490435338</v>
      </c>
      <c r="CP132" s="2096">
        <f t="shared" ref="CP132" si="818">CP130/CL130-1</f>
        <v>0.18249142509183347</v>
      </c>
      <c r="CQ132" s="2096"/>
      <c r="CR132" s="2096"/>
      <c r="CS132" s="2096">
        <v>1.459065156809074</v>
      </c>
      <c r="CT132" s="2092"/>
      <c r="CU132" s="2096"/>
      <c r="CV132" s="2096" t="e">
        <f t="shared" ref="CV132:DL132" si="819">CV130/CU130-1</f>
        <v>#REF!</v>
      </c>
      <c r="CW132" s="2096" t="e">
        <f t="shared" si="819"/>
        <v>#REF!</v>
      </c>
      <c r="CX132" s="2096" t="e">
        <f t="shared" si="819"/>
        <v>#REF!</v>
      </c>
      <c r="CY132" s="2096" t="e">
        <f t="shared" si="819"/>
        <v>#REF!</v>
      </c>
      <c r="CZ132" s="2096" t="e">
        <f t="shared" si="819"/>
        <v>#REF!</v>
      </c>
      <c r="DA132" s="2096">
        <f t="shared" si="819"/>
        <v>0.79001922223865173</v>
      </c>
      <c r="DB132" s="2096">
        <f t="shared" si="819"/>
        <v>3.3380417812802099E-2</v>
      </c>
      <c r="DC132" s="2096">
        <f t="shared" si="819"/>
        <v>0.1905195843325338</v>
      </c>
      <c r="DD132" s="2096">
        <f t="shared" si="819"/>
        <v>0.16695986141512309</v>
      </c>
      <c r="DE132" s="2096">
        <f t="shared" si="819"/>
        <v>0.25201380897583436</v>
      </c>
      <c r="DF132" s="2096">
        <f t="shared" si="819"/>
        <v>-4.2454044117646972E-2</v>
      </c>
      <c r="DG132" s="2096">
        <f t="shared" si="819"/>
        <v>0.20592526468357963</v>
      </c>
      <c r="DH132" s="2096">
        <f t="shared" si="819"/>
        <v>0.31967731793416609</v>
      </c>
      <c r="DI132" s="2096">
        <f t="shared" si="819"/>
        <v>5.3791296796686261E-2</v>
      </c>
      <c r="DJ132" s="2096">
        <f t="shared" si="819"/>
        <v>0.12034577650391975</v>
      </c>
      <c r="DK132" s="2096">
        <f t="shared" si="819"/>
        <v>-0.79103903958308663</v>
      </c>
      <c r="DL132" s="2096">
        <f t="shared" si="819"/>
        <v>2.0140200633358316</v>
      </c>
      <c r="DM132" s="2096">
        <f t="shared" ref="DM132:DR132" si="820">DM130/DL130-1</f>
        <v>-0.6693064580531044</v>
      </c>
      <c r="DN132" s="2096">
        <f t="shared" si="820"/>
        <v>-2.1758151762812572</v>
      </c>
      <c r="DO132" s="2096">
        <f t="shared" si="820"/>
        <v>-2.7508440057127066</v>
      </c>
      <c r="DP132" s="2096">
        <f t="shared" si="820"/>
        <v>1.7653794497387163</v>
      </c>
      <c r="DQ132" s="2096">
        <f t="shared" si="820"/>
        <v>-0.53852060249523648</v>
      </c>
      <c r="DR132" s="2096">
        <f t="shared" si="820"/>
        <v>0.9839254109716471</v>
      </c>
      <c r="DS132" s="2096">
        <f t="shared" ref="DS132" si="821">DS130/DR130-1</f>
        <v>6.108313893865458E-2</v>
      </c>
      <c r="DT132" s="2096">
        <f t="shared" ref="DT132" si="822">DT130/DS130-1</f>
        <v>4.0279116251028313E-2</v>
      </c>
      <c r="DU132" s="2096">
        <f t="shared" ref="DU132" si="823">DU130/DT130-1</f>
        <v>3.4496630273109119E-2</v>
      </c>
      <c r="DV132" s="2096"/>
      <c r="DW132" s="2096"/>
      <c r="DY132" s="2096">
        <v>1.5405414248361837</v>
      </c>
      <c r="DZ132" s="2096">
        <v>-0.14551287455140915</v>
      </c>
    </row>
    <row r="133" spans="1:130" s="2095" customFormat="1">
      <c r="A133" s="2096" t="s">
        <v>630</v>
      </c>
      <c r="B133" s="2097"/>
      <c r="C133" s="2097" t="e">
        <v>#REF!</v>
      </c>
      <c r="D133" s="2097"/>
      <c r="E133" s="2097" t="e">
        <v>#REF!</v>
      </c>
      <c r="F133" s="2097" t="e">
        <v>#REF!</v>
      </c>
      <c r="G133" s="2097" t="e">
        <v>#REF!</v>
      </c>
      <c r="H133" s="2097" t="e">
        <v>#REF!</v>
      </c>
      <c r="I133" s="2097" t="e">
        <v>#REF!</v>
      </c>
      <c r="J133" s="2097" t="e">
        <v>#REF!</v>
      </c>
      <c r="K133" s="2097" t="e">
        <v>#REF!</v>
      </c>
      <c r="L133" s="2097" t="e">
        <v>#REF!</v>
      </c>
      <c r="M133" s="2097" t="e">
        <v>#REF!</v>
      </c>
      <c r="N133" s="2097" t="e">
        <v>#REF!</v>
      </c>
      <c r="O133" s="2097" t="e">
        <v>#REF!</v>
      </c>
      <c r="P133" s="2097" t="e">
        <v>#REF!</v>
      </c>
      <c r="Q133" s="2097" t="e">
        <v>#REF!</v>
      </c>
      <c r="R133" s="2097" t="e">
        <v>#REF!</v>
      </c>
      <c r="S133" s="2097" t="e">
        <v>#REF!</v>
      </c>
      <c r="T133" s="2097" t="e">
        <v>#REF!</v>
      </c>
      <c r="U133" s="2097" t="e">
        <v>#REF!</v>
      </c>
      <c r="V133" s="2097" t="e">
        <v>#REF!</v>
      </c>
      <c r="W133" s="2097">
        <v>0.5102470450971438</v>
      </c>
      <c r="X133" s="2097">
        <v>9.6332837913333177E-2</v>
      </c>
      <c r="Y133" s="2097">
        <v>0.27582827744231964</v>
      </c>
      <c r="Z133" s="2097">
        <v>0.12154186413902053</v>
      </c>
      <c r="AA133" s="2097">
        <v>0.36240456702661816</v>
      </c>
      <c r="AB133" s="2097">
        <v>0.16236344275441392</v>
      </c>
      <c r="AC133" s="2097">
        <v>0.36185521034636542</v>
      </c>
      <c r="AD133" s="2097">
        <v>0.18718743888469813</v>
      </c>
      <c r="AE133" s="2097">
        <v>0.45134289164253649</v>
      </c>
      <c r="AF133" s="2097">
        <v>0.17871061129050222</v>
      </c>
      <c r="AG133" s="2097">
        <v>0.32361535459676577</v>
      </c>
      <c r="AH133" s="2097">
        <v>9.0866780434830791E-2</v>
      </c>
      <c r="AI133" s="2097">
        <v>0.49035350509286979</v>
      </c>
      <c r="AJ133" s="2097">
        <v>0.16970658207771613</v>
      </c>
      <c r="AK133" s="2097">
        <v>0.29040907156895185</v>
      </c>
      <c r="AL133" s="2097">
        <v>0.1118958649858334</v>
      </c>
      <c r="AM133" s="2097">
        <v>0.52920052920052907</v>
      </c>
      <c r="AN133" s="2097">
        <v>0.20412217531661284</v>
      </c>
      <c r="AO133" s="2097">
        <v>0.29097586840131384</v>
      </c>
      <c r="AP133" s="2097">
        <v>0.10264680284646488</v>
      </c>
      <c r="AQ133" s="2097">
        <f>AQ130*1000/FAT!AQ148</f>
        <v>0.46500877154982401</v>
      </c>
      <c r="AR133" s="2097">
        <f>AR130*1000/FAT!AR148</f>
        <v>0.21705272227192898</v>
      </c>
      <c r="AS133" s="2097">
        <f>AS130*1000/FAT!AS148</f>
        <v>0.31331884381791958</v>
      </c>
      <c r="AT133" s="2097">
        <f>AT130*1000/FAT!AT148</f>
        <v>9.4654543393688548E-2</v>
      </c>
      <c r="AU133" s="2097">
        <f>AU130*1000/FAT!AU148</f>
        <v>0.35461312763081743</v>
      </c>
      <c r="AV133" s="2097">
        <f>AV130*1000/FAT!AV148</f>
        <v>0.17012294432747632</v>
      </c>
      <c r="AW133" s="2097">
        <f>AW130*1000/FAT!AW148</f>
        <v>0.21284088736321141</v>
      </c>
      <c r="AX133" s="2097">
        <f>AX130*1000/FAT!AX148</f>
        <v>8.2827662160709706E-2</v>
      </c>
      <c r="AY133" s="2097">
        <f>AY130*1000/FAT!AY148</f>
        <v>0.38443007338926499</v>
      </c>
      <c r="AZ133" s="2097">
        <f>AZ130*1000/FAT!AZ148</f>
        <v>0.15542217299088934</v>
      </c>
      <c r="BA133" s="2097">
        <f>BA130*1000/FAT!BA148</f>
        <v>0.30892456086432313</v>
      </c>
      <c r="BB133" s="2097">
        <f>BB130*1000/FAT!BB148</f>
        <v>0.11487142186166449</v>
      </c>
      <c r="BC133" s="2098">
        <f>BC130*1000/FAT!BC148</f>
        <v>0.4316625716625716</v>
      </c>
      <c r="BD133" s="2097">
        <f>BD130*1000/FAT!BD148</f>
        <v>0.21096207981453891</v>
      </c>
      <c r="BE133" s="2097">
        <f>BE130*1000/FAT!BE148</f>
        <v>0.33883621928873525</v>
      </c>
      <c r="BF133" s="2097">
        <f>BF130*1000/FAT!BF148</f>
        <v>0.13284657191075497</v>
      </c>
      <c r="BG133" s="2097">
        <f>BG130*1000/FAT!BG148</f>
        <v>0.4214216307302493</v>
      </c>
      <c r="BH133" s="2097">
        <f>BH130*1000/FAT!BH148</f>
        <v>0.18986586653252513</v>
      </c>
      <c r="BI133" s="2097">
        <f>BI130*1000/FAT!BI148</f>
        <v>0.2549326952783445</v>
      </c>
      <c r="BJ133" s="2097">
        <f>BJ130*1000/FAT!BJ148</f>
        <v>0.1083529085475549</v>
      </c>
      <c r="BK133" s="2097">
        <f>BK130*1000/FAT!BK148</f>
        <v>0.23814986229030413</v>
      </c>
      <c r="BL133" s="2097">
        <f>BL130*1000/FAT!BL148</f>
        <v>0.16905144573102371</v>
      </c>
      <c r="BM133" s="2097">
        <f>BM130*1000/FAT!BM148</f>
        <v>0.22586303814800321</v>
      </c>
      <c r="BN133" s="2097">
        <f>BN130*1000/FAT!BN148</f>
        <v>0.10669244837719712</v>
      </c>
      <c r="BO133" s="2097">
        <f>BO130*1000/FAT!BO148</f>
        <v>9.6632743218037276E-2</v>
      </c>
      <c r="BP133" s="2097">
        <f>BP130*1000/FAT!BP148</f>
        <v>8.7507830089064709E-2</v>
      </c>
      <c r="BQ133" s="2097">
        <f>BQ130*1000/FAT!BQ148</f>
        <v>-0.71379555637723435</v>
      </c>
      <c r="BR133" s="2097">
        <f>BR130*1000/FAT!BR148</f>
        <v>8.1767946690047263E-2</v>
      </c>
      <c r="BS133" s="2097">
        <f>BS130*1000/FAT!BS148</f>
        <v>2.4684332207006934</v>
      </c>
      <c r="BT133" s="2097">
        <f>BT130*1000/FAT!BT148</f>
        <v>0.10901257811078727</v>
      </c>
      <c r="BU133" s="2097">
        <f>BU130*1000/FAT!BU148</f>
        <v>0.17050983479159548</v>
      </c>
      <c r="BV133" s="2097">
        <f>BV130*1000/FAT!BV148</f>
        <v>6.8193324198867603E-2</v>
      </c>
      <c r="BW133" s="2097">
        <f>BW130*1000/FAT!BW148</f>
        <v>0.22490740936252884</v>
      </c>
      <c r="BX133" s="2097">
        <f>BX130*1000/FAT!BX148</f>
        <v>1.7426191351218891E-2</v>
      </c>
      <c r="BY133" s="2097">
        <f>BY130*1000/FAT!BY148</f>
        <v>4.2074736881680175E-2</v>
      </c>
      <c r="BZ133" s="2097">
        <f>BZ130*1000/FAT!BZ148</f>
        <v>-3.9172968627934339E-2</v>
      </c>
      <c r="CA133" s="2097">
        <f>CA130*1000/FAT!CA148</f>
        <v>-4.4888064315506293E-2</v>
      </c>
      <c r="CB133" s="2097">
        <f>CB130*1000/FAT!CB148</f>
        <v>-0.11373148378022278</v>
      </c>
      <c r="CC133" s="2097">
        <f>CC130*1000/FAT!CC148</f>
        <v>-9.8440279992473692E-2</v>
      </c>
      <c r="CD133" s="2097">
        <f>CD130*1000/FAT!CD148</f>
        <v>3.6226907299204318E-3</v>
      </c>
      <c r="CE133" s="2097">
        <f>CE130*1000/FAT!CE148</f>
        <v>3.6020490988157981E-2</v>
      </c>
      <c r="CF133" s="2097">
        <f>CF130*1000/FAT!CF148</f>
        <v>5.3150319641964337E-2</v>
      </c>
      <c r="CG133" s="2097">
        <f>CG130*1000/FAT!CG148</f>
        <v>0.10244810450546028</v>
      </c>
      <c r="CH133" s="2097">
        <f>CH130*1000/FAT!CH148</f>
        <v>7.1214434549361216E-2</v>
      </c>
      <c r="CI133" s="2097">
        <f>CI130*1000/FAT!CI148</f>
        <v>0.32954967082326175</v>
      </c>
      <c r="CJ133" s="2097">
        <f>CJ130*1000/FAT!CJ148</f>
        <v>0.13445553940297905</v>
      </c>
      <c r="CK133" s="2097">
        <f>CK130*1000/FAT!CK148</f>
        <v>0.13620898062104794</v>
      </c>
      <c r="CL133" s="2097">
        <f>CL130*1000/FAT!CL148</f>
        <v>7.9140131123477286E-2</v>
      </c>
      <c r="CM133" s="2097">
        <f>CM130*1000/FAT!CM148</f>
        <v>0.19745627808596689</v>
      </c>
      <c r="CN133" s="2097">
        <f>CN130*1000/FAT!CN148</f>
        <v>-2.8893741587467707E-2</v>
      </c>
      <c r="CO133" s="2097">
        <f>CO130*1000/FAT!CO148</f>
        <v>6.9749516366273953E-2</v>
      </c>
      <c r="CP133" s="2097">
        <f>CP130*1000/FAT!CP148</f>
        <v>8.4146336798240268E-2</v>
      </c>
      <c r="CQ133" s="2097"/>
      <c r="CR133" s="2097"/>
      <c r="CS133" s="2097">
        <v>0.10168531560308187</v>
      </c>
      <c r="CT133" s="2092"/>
      <c r="CU133" s="2097" t="e">
        <f>CU130*1000/FAT!CV148</f>
        <v>#REF!</v>
      </c>
      <c r="CV133" s="2097" t="e">
        <f>CV130*1000/FAT!CW148</f>
        <v>#REF!</v>
      </c>
      <c r="CW133" s="2097" t="e">
        <f>CW130*1000/FAT!CX148</f>
        <v>#REF!</v>
      </c>
      <c r="CX133" s="2097" t="e">
        <f>CX130*1000/FAT!CY148</f>
        <v>#REF!</v>
      </c>
      <c r="CY133" s="2097" t="e">
        <f>CY130*1000/FAT!CZ148</f>
        <v>#REF!</v>
      </c>
      <c r="CZ133" s="2097">
        <f>CZ130*1000/FAT!DA148</f>
        <v>0.18685623977719817</v>
      </c>
      <c r="DA133" s="2097">
        <f>DA130*1000/FAT!DB148</f>
        <v>0.23986376037994928</v>
      </c>
      <c r="DB133" s="2097">
        <f>DB130*1000/FAT!DC148</f>
        <v>0.21004417475809667</v>
      </c>
      <c r="DC133" s="2097">
        <f>DC130*1000/FAT!DD148</f>
        <v>0.20854313575033184</v>
      </c>
      <c r="DD133" s="2097">
        <f>DD130*1000/FAT!DE148</f>
        <v>0.20774340223449658</v>
      </c>
      <c r="DE133" s="2097">
        <f>DE130*1000/FAT!DF148</f>
        <v>0.21435133637404688</v>
      </c>
      <c r="DF133" s="2097">
        <f>DF130*1000/FAT!DG148</f>
        <v>0.17392003054067054</v>
      </c>
      <c r="DG133" s="2097">
        <f>DG130*1000/FAT!DH148</f>
        <v>0.19524349004469477</v>
      </c>
      <c r="DH133" s="2097">
        <f>DH130*1000/FAT!DI148</f>
        <v>0.23412843829410768</v>
      </c>
      <c r="DI133" s="2097">
        <f>DI130*1000/FAT!DJ148</f>
        <v>0.20100767727450902</v>
      </c>
      <c r="DJ133" s="2097">
        <f>DJ130*1000/FAT!DK148</f>
        <v>0.16743440305176779</v>
      </c>
      <c r="DK133" s="2097">
        <f>DK130*1000/FAT!DL148</f>
        <v>5.0605465704105103E-2</v>
      </c>
      <c r="DL133" s="2097">
        <f>DL130*1000/FAT!DM148</f>
        <v>0.1457865868744993</v>
      </c>
      <c r="DM133" s="2097">
        <f>DM130*1000/FAT!DN148</f>
        <v>3.3955723060905711E-2</v>
      </c>
      <c r="DN133" s="2097">
        <f>DN130*1000/FAT!DO148</f>
        <v>-4.943559001320573E-2</v>
      </c>
      <c r="DO133" s="2097">
        <f>DO130*1000/FAT!DP148</f>
        <v>6.831226208261712E-2</v>
      </c>
      <c r="DP133" s="2097">
        <f>DP130*1000/FAT!DQ148</f>
        <v>0.15481422344503545</v>
      </c>
      <c r="DQ133" s="2097">
        <f>DQ130*1000/FAT!DR148</f>
        <v>7.0900067324528276E-2</v>
      </c>
      <c r="DR133" s="2097">
        <f>DR130*1000/FAT!DS148</f>
        <v>0.11459173284130188</v>
      </c>
      <c r="DS133" s="2097">
        <f>DS130*1000/FAT!DT148</f>
        <v>0.11099945350135282</v>
      </c>
      <c r="DT133" s="2097">
        <f>DT130*1000/FAT!DU148</f>
        <v>0.10584247875428933</v>
      </c>
      <c r="DU133" s="2097">
        <f>DU130*1000/FAT!DV148</f>
        <v>0.10058229590088041</v>
      </c>
      <c r="DV133" s="2097"/>
      <c r="DW133" s="2097"/>
      <c r="DY133" s="2097">
        <v>5.2273490008454056E-2</v>
      </c>
      <c r="DZ133" s="2097">
        <v>4.0343164258522794E-2</v>
      </c>
    </row>
    <row r="134" spans="1:130">
      <c r="A134" s="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c r="AA134" s="108"/>
      <c r="AB134" s="108"/>
      <c r="AC134" s="108"/>
      <c r="AD134" s="108"/>
      <c r="AE134" s="108"/>
      <c r="AF134" s="108"/>
      <c r="AG134" s="108"/>
      <c r="AH134" s="108"/>
      <c r="AI134" s="108"/>
      <c r="AJ134" s="108"/>
      <c r="AK134" s="108"/>
      <c r="AL134" s="108"/>
      <c r="AM134" s="108"/>
      <c r="AN134" s="108"/>
      <c r="AO134" s="108"/>
      <c r="AP134" s="108"/>
      <c r="AQ134" s="108"/>
      <c r="AR134" s="108"/>
      <c r="AS134" s="108"/>
      <c r="AT134" s="108"/>
      <c r="AU134" s="108"/>
      <c r="AV134" s="108"/>
      <c r="AW134" s="108"/>
      <c r="AX134" s="108"/>
      <c r="AY134" s="108"/>
      <c r="AZ134" s="108"/>
      <c r="BA134" s="108"/>
      <c r="BB134" s="108"/>
      <c r="BC134" s="205"/>
      <c r="BD134" s="108"/>
      <c r="BE134" s="108"/>
      <c r="BF134" s="108"/>
      <c r="BG134" s="108"/>
      <c r="BH134" s="108"/>
      <c r="BI134" s="108"/>
      <c r="BJ134" s="108"/>
      <c r="BK134" s="108"/>
      <c r="BL134" s="108"/>
      <c r="BM134" s="568"/>
      <c r="BN134" s="568"/>
      <c r="BO134" s="568"/>
      <c r="BP134" s="568"/>
      <c r="BQ134" s="568"/>
      <c r="BR134" s="568"/>
      <c r="BS134" s="568"/>
      <c r="BT134" s="568"/>
      <c r="BU134" s="568"/>
      <c r="BV134" s="568"/>
      <c r="BW134" s="568"/>
      <c r="BX134" s="568"/>
      <c r="BY134" s="568"/>
      <c r="BZ134" s="568"/>
      <c r="CA134" s="568"/>
      <c r="CB134" s="568"/>
      <c r="CC134" s="568"/>
      <c r="CD134" s="568"/>
      <c r="CE134" s="568"/>
      <c r="CF134" s="568"/>
      <c r="CG134" s="568"/>
      <c r="CH134" s="568"/>
      <c r="CI134" s="568"/>
      <c r="CJ134" s="568"/>
      <c r="CK134" s="568"/>
      <c r="CL134" s="568"/>
      <c r="CM134" s="568"/>
      <c r="CN134" s="568"/>
      <c r="CO134" s="568"/>
      <c r="CP134" s="568"/>
      <c r="CQ134" s="568"/>
      <c r="CR134" s="568"/>
      <c r="CS134" s="568"/>
      <c r="CT134" s="1133"/>
      <c r="CU134" s="108"/>
      <c r="CV134" s="108"/>
      <c r="CW134" s="108"/>
      <c r="CX134" s="108"/>
      <c r="CY134" s="108"/>
      <c r="CZ134" s="108"/>
      <c r="DA134" s="108"/>
      <c r="DB134" s="108"/>
      <c r="DC134" s="108"/>
      <c r="DD134" s="108"/>
      <c r="DE134" s="108"/>
      <c r="DF134" s="108"/>
      <c r="DG134" s="108"/>
      <c r="DH134" s="108"/>
      <c r="DI134" s="108"/>
      <c r="DJ134" s="108"/>
      <c r="DK134" s="108"/>
      <c r="DL134" s="108"/>
      <c r="DM134" s="108"/>
      <c r="DN134" s="108"/>
      <c r="DO134" s="108"/>
      <c r="DP134" s="108"/>
      <c r="DQ134" s="108"/>
      <c r="DR134" s="108"/>
      <c r="DS134" s="108"/>
      <c r="DT134" s="108"/>
      <c r="DU134" s="108"/>
      <c r="DV134" s="108"/>
      <c r="DW134" s="108"/>
      <c r="DY134" s="108"/>
      <c r="DZ134" s="108"/>
    </row>
    <row r="135" spans="1:130">
      <c r="A135" s="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c r="AA135" s="108"/>
      <c r="AB135" s="108"/>
      <c r="AC135" s="108"/>
      <c r="AD135" s="108"/>
      <c r="AE135" s="108"/>
      <c r="AF135" s="108"/>
      <c r="AG135" s="108"/>
      <c r="AH135" s="108"/>
      <c r="AI135" s="108"/>
      <c r="AJ135" s="108"/>
      <c r="AK135" s="108"/>
      <c r="AL135" s="108"/>
      <c r="AM135" s="108"/>
      <c r="AN135" s="108"/>
      <c r="AO135" s="108"/>
      <c r="AP135" s="108"/>
      <c r="AQ135" s="108"/>
      <c r="AR135" s="108"/>
      <c r="AS135" s="108"/>
      <c r="AT135" s="108"/>
      <c r="AU135" s="108"/>
      <c r="AV135" s="108"/>
      <c r="AW135" s="108"/>
      <c r="AX135" s="108"/>
      <c r="AY135" s="108"/>
      <c r="AZ135" s="205"/>
      <c r="BA135" s="205"/>
      <c r="BB135" s="108"/>
      <c r="BC135" s="205"/>
      <c r="BD135" s="108"/>
      <c r="BE135" s="108"/>
      <c r="BF135" s="108"/>
      <c r="BG135" s="108"/>
      <c r="BH135" s="108"/>
      <c r="BI135" s="108"/>
      <c r="BJ135" s="108"/>
      <c r="BK135" s="108"/>
      <c r="BL135" s="108"/>
      <c r="BM135" s="568"/>
      <c r="BN135" s="568"/>
      <c r="BO135" s="568"/>
      <c r="BP135" s="568"/>
      <c r="BQ135" s="568"/>
      <c r="BR135" s="568"/>
      <c r="BS135" s="568"/>
      <c r="BT135" s="568"/>
      <c r="BU135" s="568"/>
      <c r="BV135" s="568"/>
      <c r="BW135" s="568">
        <f>+BW130/BK130-1</f>
        <v>-0.12806291150698734</v>
      </c>
      <c r="BX135" s="568">
        <f>+BX130/BL130-1</f>
        <v>-0.86879621971658261</v>
      </c>
      <c r="BY135" s="568">
        <f>+BY130/BM130-1</f>
        <v>-0.81576111482331559</v>
      </c>
      <c r="BZ135" s="568">
        <f>+BZ130/BN130-1</f>
        <v>-1.3485039875810449</v>
      </c>
      <c r="CA135" s="568"/>
      <c r="CB135" s="568"/>
      <c r="CC135" s="568"/>
      <c r="CD135" s="568"/>
      <c r="CE135" s="568"/>
      <c r="CF135" s="568"/>
      <c r="CG135" s="568"/>
      <c r="CH135" s="568"/>
      <c r="CI135" s="182">
        <f>95*4</f>
        <v>380</v>
      </c>
      <c r="CJ135" s="182"/>
      <c r="CK135" s="182"/>
      <c r="CL135" s="568"/>
      <c r="CM135" s="568"/>
      <c r="CN135" s="568"/>
      <c r="CO135" s="568"/>
      <c r="CP135" s="568"/>
      <c r="CQ135" s="568"/>
      <c r="CR135" s="568"/>
      <c r="CS135" s="568"/>
      <c r="CT135" s="1133"/>
      <c r="CU135" s="108"/>
      <c r="CV135" s="108"/>
      <c r="CW135" s="108"/>
      <c r="CX135" s="108"/>
      <c r="CY135" s="108"/>
      <c r="CZ135" s="108"/>
      <c r="DA135" s="108"/>
      <c r="DB135" s="108"/>
      <c r="DC135" s="108"/>
      <c r="DD135" s="108"/>
      <c r="DE135" s="108"/>
      <c r="DF135" s="108"/>
      <c r="DG135" s="108"/>
      <c r="DH135" s="108"/>
      <c r="DI135" s="108"/>
      <c r="DJ135" s="108"/>
      <c r="DK135" s="108"/>
      <c r="DL135" s="108"/>
      <c r="DM135" s="108"/>
      <c r="DN135" s="108"/>
      <c r="DO135" s="108"/>
      <c r="DP135" s="108"/>
      <c r="DQ135" s="108"/>
      <c r="DR135" s="108"/>
      <c r="DS135" s="108"/>
      <c r="DT135" s="108"/>
      <c r="DU135" s="108"/>
      <c r="DV135" s="108"/>
      <c r="DW135" s="108"/>
      <c r="DY135" s="108"/>
      <c r="DZ135" s="108"/>
    </row>
    <row r="136" spans="1:130">
      <c r="A136" s="6"/>
      <c r="B136" s="6"/>
      <c r="C136" s="196">
        <v>0.1</v>
      </c>
      <c r="D136" s="196">
        <v>0</v>
      </c>
      <c r="E136" s="196">
        <v>1.2</v>
      </c>
      <c r="F136" s="196">
        <v>0.9</v>
      </c>
      <c r="G136" s="196">
        <v>0.4</v>
      </c>
      <c r="H136" s="196">
        <v>0.8</v>
      </c>
      <c r="I136" s="196">
        <v>0.7</v>
      </c>
      <c r="J136" s="196">
        <v>0</v>
      </c>
      <c r="K136" s="196">
        <v>0</v>
      </c>
      <c r="L136" s="196">
        <v>0</v>
      </c>
      <c r="M136" s="196">
        <v>0</v>
      </c>
      <c r="N136" s="196">
        <v>0</v>
      </c>
      <c r="O136" s="196">
        <v>0</v>
      </c>
      <c r="P136" s="196">
        <v>0</v>
      </c>
      <c r="Q136" s="196">
        <v>0</v>
      </c>
      <c r="R136" s="196">
        <v>0</v>
      </c>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2"/>
      <c r="BA136" s="32"/>
      <c r="BB136" s="31"/>
      <c r="BC136" s="32"/>
      <c r="BD136" s="31"/>
      <c r="BE136" s="31"/>
      <c r="BF136" s="31"/>
      <c r="BG136" s="31"/>
      <c r="BH136" s="31"/>
      <c r="BI136" s="31"/>
      <c r="BJ136" s="31"/>
      <c r="BK136" s="31"/>
      <c r="BL136" s="174"/>
      <c r="BM136" s="174"/>
      <c r="BN136" s="174"/>
      <c r="BO136" s="174"/>
      <c r="BP136" s="174"/>
      <c r="BQ136" s="174"/>
      <c r="BR136" s="174"/>
      <c r="BS136" s="174"/>
      <c r="BT136" s="174"/>
      <c r="BU136" s="174"/>
      <c r="BV136" s="174"/>
      <c r="BW136" s="174"/>
      <c r="BX136" s="174"/>
      <c r="BY136" s="174"/>
      <c r="BZ136" s="174"/>
      <c r="CA136" s="174"/>
      <c r="CB136" s="174"/>
      <c r="CC136" s="174"/>
      <c r="CD136" s="174"/>
      <c r="CE136" s="174"/>
      <c r="CF136" s="174"/>
      <c r="CG136" s="174"/>
      <c r="CH136" s="174"/>
      <c r="CI136" s="174">
        <f>+CI130-95</f>
        <v>95.465539099999887</v>
      </c>
      <c r="CJ136" s="174">
        <f>+CJ130-50</f>
        <v>68.451834370000057</v>
      </c>
      <c r="CK136" s="174"/>
      <c r="CL136" s="174"/>
      <c r="CM136" s="174"/>
      <c r="CN136" s="174"/>
      <c r="CO136" s="174"/>
      <c r="CP136" s="174"/>
      <c r="CQ136" s="174"/>
      <c r="CR136" s="174"/>
      <c r="CS136" s="174"/>
      <c r="CT136" s="1133"/>
      <c r="CU136" s="195">
        <f>SUM(C136:F136)</f>
        <v>2.2000000000000002</v>
      </c>
      <c r="CV136" s="195">
        <f>SUM(G136:J136)</f>
        <v>1.9000000000000001</v>
      </c>
      <c r="CW136" s="195">
        <f>SUM(K136:N136)</f>
        <v>0</v>
      </c>
      <c r="CX136" s="195">
        <f>SUM(O136:R136)</f>
        <v>0</v>
      </c>
      <c r="CY136" s="6"/>
      <c r="CZ136" s="6"/>
      <c r="DA136" s="6"/>
      <c r="DB136" s="6"/>
      <c r="DC136" s="6"/>
      <c r="DD136" s="6"/>
      <c r="DE136" s="6"/>
      <c r="DF136" s="6"/>
      <c r="DG136" s="6"/>
      <c r="DH136" s="6"/>
      <c r="DI136" s="6"/>
      <c r="DJ136" s="6"/>
      <c r="DK136" s="6"/>
      <c r="DL136" s="6"/>
      <c r="DM136" s="6"/>
      <c r="DN136" s="6"/>
      <c r="DO136" s="6"/>
      <c r="DP136" s="6"/>
      <c r="DQ136" s="6"/>
      <c r="DR136" s="6"/>
      <c r="DS136" s="6"/>
      <c r="DT136" s="6"/>
      <c r="DU136" s="6"/>
      <c r="DV136" s="6"/>
      <c r="DW136" s="6"/>
      <c r="DY136" s="6"/>
      <c r="DZ136" s="6"/>
    </row>
    <row r="137" spans="1:130">
      <c r="A137" s="199" t="s">
        <v>631</v>
      </c>
      <c r="B137" s="199"/>
      <c r="C137" s="204"/>
      <c r="D137" s="204"/>
      <c r="E137" s="204"/>
      <c r="F137" s="204"/>
      <c r="G137" s="204"/>
      <c r="H137" s="204"/>
      <c r="I137" s="204"/>
      <c r="J137" s="204"/>
      <c r="K137" s="204"/>
      <c r="L137" s="204"/>
      <c r="M137" s="204"/>
      <c r="N137" s="204"/>
      <c r="O137" s="203"/>
      <c r="P137" s="203"/>
      <c r="Q137" s="203"/>
      <c r="R137" s="203"/>
      <c r="S137" s="203"/>
      <c r="T137" s="203"/>
      <c r="U137" s="203"/>
      <c r="V137" s="203"/>
      <c r="W137" s="203"/>
      <c r="X137" s="201"/>
      <c r="Y137" s="201"/>
      <c r="Z137" s="201"/>
      <c r="AA137" s="201"/>
      <c r="AB137" s="201"/>
      <c r="AC137" s="201"/>
      <c r="AD137" s="201"/>
      <c r="AE137" s="201"/>
      <c r="AF137" s="201"/>
      <c r="AG137" s="201"/>
      <c r="AH137" s="201"/>
      <c r="AI137" s="201"/>
      <c r="AJ137" s="201"/>
      <c r="AK137" s="201"/>
      <c r="AL137" s="201"/>
      <c r="AM137" s="201"/>
      <c r="AN137" s="201"/>
      <c r="AO137" s="201"/>
      <c r="AP137" s="201"/>
      <c r="AQ137" s="201"/>
      <c r="AR137" s="201"/>
      <c r="AS137" s="201"/>
      <c r="AT137" s="201"/>
      <c r="AU137" s="201"/>
      <c r="AV137" s="201"/>
      <c r="AW137" s="201"/>
      <c r="AX137" s="201"/>
      <c r="AY137" s="201"/>
      <c r="AZ137" s="202"/>
      <c r="BA137" s="202"/>
      <c r="BB137" s="201"/>
      <c r="BC137" s="202"/>
      <c r="BD137" s="201"/>
      <c r="BE137" s="201"/>
      <c r="BF137" s="201"/>
      <c r="BG137" s="201"/>
      <c r="BH137" s="201"/>
      <c r="BI137" s="201"/>
      <c r="BJ137" s="201"/>
      <c r="BK137" s="201"/>
      <c r="BL137" s="201"/>
      <c r="BM137" s="201"/>
      <c r="BN137" s="201"/>
      <c r="BO137" s="201"/>
      <c r="BP137" s="201"/>
      <c r="BQ137" s="201"/>
      <c r="BR137" s="201"/>
      <c r="BS137" s="201"/>
      <c r="BT137" s="201"/>
      <c r="BU137" s="201"/>
      <c r="BV137" s="201"/>
      <c r="BW137" s="201"/>
      <c r="BX137" s="201"/>
      <c r="BY137" s="201"/>
      <c r="BZ137" s="201"/>
      <c r="CA137" s="201"/>
      <c r="CB137" s="201"/>
      <c r="CC137" s="201"/>
      <c r="CD137" s="201"/>
      <c r="CE137" s="201"/>
      <c r="CF137" s="201"/>
      <c r="CG137" s="201"/>
      <c r="CH137" s="201"/>
      <c r="CI137" s="201"/>
      <c r="CJ137" s="201"/>
      <c r="CK137" s="201"/>
      <c r="CL137" s="201"/>
      <c r="CM137" s="201"/>
      <c r="CN137" s="201"/>
      <c r="CO137" s="201"/>
      <c r="CP137" s="201"/>
      <c r="CQ137" s="201"/>
      <c r="CR137" s="201"/>
      <c r="CS137" s="201"/>
      <c r="CT137" s="1133"/>
      <c r="CU137" s="200"/>
      <c r="CV137" s="200"/>
      <c r="CW137" s="200"/>
      <c r="CX137" s="200"/>
      <c r="CY137" s="199"/>
      <c r="CZ137" s="199"/>
      <c r="DA137" s="199"/>
      <c r="DB137" s="199"/>
      <c r="DC137" s="199"/>
      <c r="DD137" s="199"/>
      <c r="DE137" s="199"/>
      <c r="DF137" s="199"/>
      <c r="DG137" s="199"/>
      <c r="DH137" s="199"/>
      <c r="DI137" s="199"/>
      <c r="DJ137" s="199"/>
      <c r="DK137" s="199"/>
      <c r="DL137" s="199"/>
      <c r="DM137" s="199"/>
      <c r="DN137" s="199"/>
      <c r="DO137" s="199"/>
      <c r="DP137" s="199"/>
      <c r="DQ137" s="199"/>
      <c r="DR137" s="199"/>
      <c r="DS137" s="199"/>
      <c r="DT137" s="199"/>
      <c r="DU137" s="199"/>
      <c r="DV137" s="199"/>
      <c r="DW137" s="199"/>
      <c r="DY137" s="199"/>
      <c r="DZ137" s="199"/>
    </row>
    <row r="138" spans="1:130" s="877" customFormat="1" ht="24.75" customHeight="1">
      <c r="A138" s="870" t="s">
        <v>632</v>
      </c>
      <c r="B138" s="871"/>
      <c r="C138" s="872"/>
      <c r="D138" s="872"/>
      <c r="E138" s="872"/>
      <c r="F138" s="872"/>
      <c r="G138" s="872"/>
      <c r="H138" s="872"/>
      <c r="I138" s="872"/>
      <c r="J138" s="872"/>
      <c r="K138" s="872"/>
      <c r="L138" s="872"/>
      <c r="M138" s="872"/>
      <c r="N138" s="872"/>
      <c r="O138" s="873"/>
      <c r="P138" s="873"/>
      <c r="Q138" s="873"/>
      <c r="R138" s="873"/>
      <c r="S138" s="873"/>
      <c r="T138" s="873"/>
      <c r="U138" s="873"/>
      <c r="V138" s="873"/>
      <c r="W138" s="873"/>
      <c r="X138" s="874"/>
      <c r="Y138" s="874"/>
      <c r="Z138" s="874"/>
      <c r="AA138" s="874"/>
      <c r="AB138" s="874"/>
      <c r="AC138" s="874"/>
      <c r="AD138" s="874"/>
      <c r="AE138" s="874"/>
      <c r="AF138" s="874"/>
      <c r="AG138" s="874"/>
      <c r="AH138" s="874"/>
      <c r="AI138" s="874"/>
      <c r="AJ138" s="875"/>
      <c r="AK138" s="874"/>
      <c r="AL138" s="874"/>
      <c r="AM138" s="874"/>
      <c r="AN138" s="874"/>
      <c r="AO138" s="874"/>
      <c r="AP138" s="874"/>
      <c r="AQ138" s="874"/>
      <c r="AR138" s="874"/>
      <c r="AS138" s="874"/>
      <c r="AT138" s="874"/>
      <c r="AU138" s="874"/>
      <c r="AV138" s="874"/>
      <c r="AW138" s="874"/>
      <c r="AX138" s="874"/>
      <c r="AY138" s="874"/>
      <c r="AZ138" s="874"/>
      <c r="BA138" s="874"/>
      <c r="BB138" s="874"/>
      <c r="BC138" s="874"/>
      <c r="BD138" s="874"/>
      <c r="BE138" s="874"/>
      <c r="BF138" s="874"/>
      <c r="BG138" s="874"/>
      <c r="BH138" s="874"/>
      <c r="BI138" s="874"/>
      <c r="BJ138" s="874"/>
      <c r="BK138" s="874"/>
      <c r="BL138" s="874"/>
      <c r="BM138" s="874"/>
      <c r="BN138" s="874"/>
      <c r="BO138" s="874"/>
      <c r="BP138" s="874"/>
      <c r="BQ138" s="874"/>
      <c r="BR138" s="874"/>
      <c r="BS138" s="874"/>
      <c r="BT138" s="874"/>
      <c r="BU138" s="874"/>
      <c r="BV138" s="874"/>
      <c r="BW138" s="874"/>
      <c r="BX138" s="874"/>
      <c r="BY138" s="874"/>
      <c r="BZ138" s="874"/>
      <c r="CA138" s="874"/>
      <c r="CB138" s="874"/>
      <c r="CC138" s="874"/>
      <c r="CD138" s="874"/>
      <c r="CE138" s="874"/>
      <c r="CF138" s="874"/>
      <c r="CG138" s="874"/>
      <c r="CH138" s="874"/>
      <c r="CI138" s="874"/>
      <c r="CJ138" s="874"/>
      <c r="CK138" s="874"/>
      <c r="CL138" s="874"/>
      <c r="CM138" s="874"/>
      <c r="CN138" s="874"/>
      <c r="CO138" s="874"/>
      <c r="CP138" s="874"/>
      <c r="CQ138" s="874"/>
      <c r="CR138" s="874"/>
      <c r="CS138" s="874"/>
      <c r="CT138" s="1133"/>
      <c r="CU138" s="876"/>
      <c r="CV138" s="876"/>
      <c r="CW138" s="876"/>
      <c r="CX138" s="876"/>
      <c r="CY138" s="871"/>
      <c r="CZ138" s="871"/>
      <c r="DA138" s="871"/>
      <c r="DB138" s="871"/>
      <c r="DC138" s="871"/>
      <c r="DD138" s="871"/>
      <c r="DE138" s="871"/>
      <c r="DF138" s="871"/>
      <c r="DG138" s="871"/>
      <c r="DH138" s="871"/>
      <c r="DI138" s="871"/>
      <c r="DJ138" s="871"/>
      <c r="DK138" s="871"/>
      <c r="DL138" s="871"/>
      <c r="DM138" s="871"/>
      <c r="DN138" s="871"/>
      <c r="DO138" s="871"/>
      <c r="DP138" s="871"/>
      <c r="DQ138" s="871"/>
      <c r="DR138" s="871"/>
      <c r="DS138" s="871"/>
      <c r="DT138" s="871"/>
      <c r="DU138" s="871"/>
      <c r="DV138" s="871"/>
      <c r="DW138" s="871"/>
      <c r="DY138" s="871"/>
      <c r="DZ138" s="871"/>
    </row>
    <row r="139" spans="1:130" s="302" customFormat="1" hidden="1">
      <c r="A139" s="485" t="s">
        <v>633</v>
      </c>
      <c r="B139" s="485"/>
      <c r="C139" s="486"/>
      <c r="D139" s="486"/>
      <c r="E139" s="486"/>
      <c r="F139" s="486"/>
      <c r="G139" s="486"/>
      <c r="H139" s="486"/>
      <c r="I139" s="486"/>
      <c r="J139" s="486"/>
      <c r="K139" s="486"/>
      <c r="L139" s="486"/>
      <c r="M139" s="486"/>
      <c r="N139" s="486"/>
      <c r="O139" s="491">
        <v>257384.91434587043</v>
      </c>
      <c r="P139" s="491">
        <v>277536.42198880628</v>
      </c>
      <c r="Q139" s="491">
        <v>259254.7881507558</v>
      </c>
      <c r="R139" s="491">
        <v>339330.40355644608</v>
      </c>
      <c r="S139" s="491">
        <v>283370.19848573551</v>
      </c>
      <c r="T139" s="491">
        <v>276872.05522250413</v>
      </c>
      <c r="U139" s="491">
        <v>257069.32122660521</v>
      </c>
      <c r="V139" s="491">
        <v>347397.87963759055</v>
      </c>
      <c r="W139" s="491">
        <v>290688.27306853823</v>
      </c>
      <c r="X139" s="491">
        <v>303818.50630077871</v>
      </c>
      <c r="Y139" s="491">
        <v>263249.70475611376</v>
      </c>
      <c r="Z139" s="491">
        <v>355227.68209562253</v>
      </c>
      <c r="AA139" s="491">
        <v>281587.53415689903</v>
      </c>
      <c r="AB139" s="491">
        <v>287655.93096054293</v>
      </c>
      <c r="AC139" s="491">
        <v>265491.54527077981</v>
      </c>
      <c r="AD139" s="491">
        <v>387091.17294247961</v>
      </c>
      <c r="AE139" s="491">
        <v>328512.13494956971</v>
      </c>
      <c r="AF139" s="491">
        <v>349753.53708971222</v>
      </c>
      <c r="AG139" s="491">
        <v>286500</v>
      </c>
      <c r="AH139" s="492">
        <v>458619</v>
      </c>
      <c r="AI139" s="493">
        <v>386583</v>
      </c>
      <c r="AJ139" s="493">
        <v>393871</v>
      </c>
      <c r="AK139" s="494">
        <v>309438.36000000004</v>
      </c>
      <c r="AL139" s="494">
        <v>592202.1</v>
      </c>
      <c r="AM139" s="494">
        <v>0</v>
      </c>
      <c r="AN139" s="494">
        <v>0</v>
      </c>
      <c r="AO139" s="494">
        <v>0</v>
      </c>
      <c r="AP139" s="494">
        <v>0</v>
      </c>
      <c r="AQ139" s="494">
        <f t="shared" ref="AQ139:BN139" si="824">+AQ140*AQ229</f>
        <v>0</v>
      </c>
      <c r="AR139" s="494">
        <f t="shared" si="824"/>
        <v>0</v>
      </c>
      <c r="AS139" s="494">
        <f t="shared" si="824"/>
        <v>0</v>
      </c>
      <c r="AT139" s="494">
        <f t="shared" si="824"/>
        <v>0</v>
      </c>
      <c r="AU139" s="494">
        <f t="shared" si="824"/>
        <v>539945.6</v>
      </c>
      <c r="AV139" s="494">
        <f t="shared" si="824"/>
        <v>554023.04</v>
      </c>
      <c r="AW139" s="494">
        <f t="shared" si="824"/>
        <v>514535.04000000004</v>
      </c>
      <c r="AX139" s="494">
        <f t="shared" si="824"/>
        <v>732929.28</v>
      </c>
      <c r="AY139" s="494">
        <f t="shared" si="824"/>
        <v>540615.68000000005</v>
      </c>
      <c r="AZ139" s="494">
        <f t="shared" si="824"/>
        <v>564764.16000000003</v>
      </c>
      <c r="BA139" s="494">
        <f t="shared" si="824"/>
        <v>500161.28000000003</v>
      </c>
      <c r="BB139" s="494">
        <f t="shared" si="824"/>
        <v>735296.64</v>
      </c>
      <c r="BC139" s="494">
        <f t="shared" si="824"/>
        <v>560677.76</v>
      </c>
      <c r="BD139" s="494">
        <f t="shared" si="824"/>
        <v>529490.56000000006</v>
      </c>
      <c r="BE139" s="494">
        <f t="shared" si="824"/>
        <v>477604.48</v>
      </c>
      <c r="BF139" s="494">
        <f t="shared" si="824"/>
        <v>617290.74604</v>
      </c>
      <c r="BG139" s="494">
        <f t="shared" si="824"/>
        <v>0</v>
      </c>
      <c r="BH139" s="494">
        <f t="shared" si="824"/>
        <v>0</v>
      </c>
      <c r="BI139" s="494">
        <f t="shared" si="824"/>
        <v>0</v>
      </c>
      <c r="BJ139" s="494">
        <f t="shared" si="824"/>
        <v>0</v>
      </c>
      <c r="BK139" s="494">
        <f t="shared" si="824"/>
        <v>0</v>
      </c>
      <c r="BL139" s="494">
        <f t="shared" si="824"/>
        <v>0</v>
      </c>
      <c r="BM139" s="494">
        <f t="shared" si="824"/>
        <v>0</v>
      </c>
      <c r="BN139" s="176">
        <f t="shared" si="824"/>
        <v>0</v>
      </c>
      <c r="BO139" s="176"/>
      <c r="BP139" s="176"/>
      <c r="BQ139" s="176"/>
      <c r="BR139" s="176"/>
      <c r="BS139" s="176"/>
      <c r="BT139" s="176"/>
      <c r="BU139" s="176"/>
      <c r="BV139" s="176"/>
      <c r="BW139" s="176"/>
      <c r="BX139" s="176"/>
      <c r="BY139" s="176"/>
      <c r="BZ139" s="176"/>
      <c r="CA139" s="176"/>
      <c r="CB139" s="176"/>
      <c r="CC139" s="176"/>
      <c r="CD139" s="176"/>
      <c r="CE139" s="176"/>
      <c r="CF139" s="176"/>
      <c r="CG139" s="176"/>
      <c r="CH139" s="176"/>
      <c r="CI139" s="176"/>
      <c r="CJ139" s="176"/>
      <c r="CK139" s="176"/>
      <c r="CL139" s="176"/>
      <c r="CM139" s="176"/>
      <c r="CN139" s="176"/>
      <c r="CO139" s="176"/>
      <c r="CP139" s="176"/>
      <c r="CQ139" s="176"/>
      <c r="CR139" s="176"/>
      <c r="CS139" s="176"/>
      <c r="CT139" s="1133"/>
      <c r="CU139" s="490"/>
      <c r="CV139" s="490"/>
      <c r="CW139" s="490"/>
      <c r="CX139" s="490"/>
      <c r="CY139" s="495">
        <f>+R139</f>
        <v>339330.40355644608</v>
      </c>
      <c r="CZ139" s="495">
        <f>+Z139</f>
        <v>355227.68209562253</v>
      </c>
      <c r="DA139" s="495">
        <f>+AD139</f>
        <v>387091.17294247961</v>
      </c>
      <c r="DB139" s="495">
        <f>+AH139</f>
        <v>458619</v>
      </c>
      <c r="DC139" s="495">
        <f>+AL139</f>
        <v>592202.1</v>
      </c>
      <c r="DD139" s="495">
        <f>+AP139</f>
        <v>0</v>
      </c>
      <c r="DE139" s="489">
        <f>+AT139</f>
        <v>0</v>
      </c>
      <c r="DF139" s="489">
        <f>+AX139</f>
        <v>732929.28</v>
      </c>
      <c r="DG139" s="489">
        <f>+BB139</f>
        <v>735296.64</v>
      </c>
      <c r="DH139" s="489">
        <f>+BF139</f>
        <v>617290.74604</v>
      </c>
      <c r="DI139" s="489">
        <f>+BJ139</f>
        <v>0</v>
      </c>
      <c r="DJ139" s="489">
        <f>+BN139</f>
        <v>0</v>
      </c>
      <c r="DK139" s="489"/>
      <c r="DL139" s="489"/>
      <c r="DM139" s="489"/>
      <c r="DN139" s="489"/>
      <c r="DO139" s="489"/>
      <c r="DP139" s="489"/>
      <c r="DQ139" s="489"/>
      <c r="DR139" s="489"/>
      <c r="DS139" s="489"/>
      <c r="DT139" s="489"/>
      <c r="DU139" s="489"/>
      <c r="DV139" s="485"/>
      <c r="DW139" s="485"/>
      <c r="DY139" s="489"/>
      <c r="DZ139" s="489"/>
    </row>
    <row r="140" spans="1:130" s="302" customFormat="1" hidden="1">
      <c r="A140" s="12" t="s">
        <v>634</v>
      </c>
      <c r="B140" s="12"/>
      <c r="C140" s="12"/>
      <c r="D140" s="12"/>
      <c r="E140" s="12"/>
      <c r="F140" s="12"/>
      <c r="G140" s="12"/>
      <c r="H140" s="12"/>
      <c r="I140" s="12"/>
      <c r="J140" s="12"/>
      <c r="K140" s="12"/>
      <c r="L140" s="12"/>
      <c r="M140" s="12">
        <v>0</v>
      </c>
      <c r="N140" s="12">
        <v>0</v>
      </c>
      <c r="O140" s="12">
        <v>0.536372778727781</v>
      </c>
      <c r="P140" s="12">
        <v>0.53311797935194094</v>
      </c>
      <c r="Q140" s="12">
        <v>0.53964757168438915</v>
      </c>
      <c r="R140" s="12">
        <v>0.51375477267130976</v>
      </c>
      <c r="S140" s="12">
        <v>0.51004483338235518</v>
      </c>
      <c r="T140" s="12">
        <v>0.47935659527676872</v>
      </c>
      <c r="U140" s="12">
        <v>0.49288920312795792</v>
      </c>
      <c r="V140" s="12">
        <v>0.53625597138343861</v>
      </c>
      <c r="W140" s="12">
        <v>0.56297296007231257</v>
      </c>
      <c r="X140" s="12">
        <v>0.54284130327718005</v>
      </c>
      <c r="Y140" s="12">
        <v>0.51413447537935408</v>
      </c>
      <c r="Z140" s="12">
        <v>0.51763973813378972</v>
      </c>
      <c r="AA140" s="12">
        <v>0.49783607483588721</v>
      </c>
      <c r="AB140" s="12">
        <v>0.47384466148856952</v>
      </c>
      <c r="AC140" s="12">
        <v>0.47136569958894858</v>
      </c>
      <c r="AD140" s="12">
        <v>0.5186901173845947</v>
      </c>
      <c r="AE140" s="12">
        <v>0.51193638034543865</v>
      </c>
      <c r="AF140" s="12">
        <v>0.50764329197679481</v>
      </c>
      <c r="AG140" s="12">
        <v>0.45954260673739183</v>
      </c>
      <c r="AH140" s="12">
        <v>0.55363560311307536</v>
      </c>
      <c r="AI140" s="12">
        <v>0.55234033433347618</v>
      </c>
      <c r="AJ140" s="12">
        <v>0.52924427651186357</v>
      </c>
      <c r="AK140" s="449">
        <v>0.54</v>
      </c>
      <c r="AL140" s="449">
        <v>0.7</v>
      </c>
      <c r="AM140" s="449">
        <v>0.65</v>
      </c>
      <c r="AN140" s="449">
        <v>0.6</v>
      </c>
      <c r="AO140" s="449">
        <v>0.53</v>
      </c>
      <c r="AP140" s="449">
        <v>0.64</v>
      </c>
      <c r="AQ140" s="449">
        <f t="shared" ref="AQ140:BF140" si="825">1-AQ143</f>
        <v>0.64</v>
      </c>
      <c r="AR140" s="449">
        <f t="shared" si="825"/>
        <v>0.64</v>
      </c>
      <c r="AS140" s="449">
        <f t="shared" si="825"/>
        <v>0.64</v>
      </c>
      <c r="AT140" s="449">
        <f t="shared" si="825"/>
        <v>0.64</v>
      </c>
      <c r="AU140" s="449">
        <f t="shared" si="825"/>
        <v>0.64</v>
      </c>
      <c r="AV140" s="449">
        <f t="shared" si="825"/>
        <v>0.64</v>
      </c>
      <c r="AW140" s="449">
        <f t="shared" si="825"/>
        <v>0.64</v>
      </c>
      <c r="AX140" s="449">
        <f t="shared" si="825"/>
        <v>0.64</v>
      </c>
      <c r="AY140" s="449">
        <f t="shared" si="825"/>
        <v>0.64</v>
      </c>
      <c r="AZ140" s="449">
        <f t="shared" si="825"/>
        <v>0.64</v>
      </c>
      <c r="BA140" s="449">
        <f t="shared" si="825"/>
        <v>0.64</v>
      </c>
      <c r="BB140" s="449">
        <f t="shared" si="825"/>
        <v>0.64</v>
      </c>
      <c r="BC140" s="449">
        <f t="shared" si="825"/>
        <v>0.64</v>
      </c>
      <c r="BD140" s="449">
        <f t="shared" si="825"/>
        <v>0.64</v>
      </c>
      <c r="BE140" s="449">
        <f t="shared" si="825"/>
        <v>0.64</v>
      </c>
      <c r="BF140" s="449">
        <f t="shared" si="825"/>
        <v>0.64</v>
      </c>
      <c r="BG140" s="449">
        <f t="shared" ref="BG140:BN140" si="826">1-BG143</f>
        <v>0.64</v>
      </c>
      <c r="BH140" s="449">
        <f t="shared" si="826"/>
        <v>0.64</v>
      </c>
      <c r="BI140" s="449">
        <f t="shared" si="826"/>
        <v>0.64</v>
      </c>
      <c r="BJ140" s="449">
        <f t="shared" si="826"/>
        <v>0.64</v>
      </c>
      <c r="BK140" s="449">
        <f t="shared" si="826"/>
        <v>0.64</v>
      </c>
      <c r="BL140" s="449">
        <f t="shared" si="826"/>
        <v>0.64</v>
      </c>
      <c r="BM140" s="170">
        <f t="shared" si="826"/>
        <v>0.64</v>
      </c>
      <c r="BN140" s="170">
        <f t="shared" si="826"/>
        <v>0.64</v>
      </c>
      <c r="BO140" s="170"/>
      <c r="BP140" s="170"/>
      <c r="BQ140" s="170"/>
      <c r="BR140" s="170"/>
      <c r="BS140" s="170"/>
      <c r="BT140" s="170"/>
      <c r="BU140" s="170"/>
      <c r="BV140" s="170"/>
      <c r="BW140" s="170"/>
      <c r="BX140" s="170"/>
      <c r="BY140" s="170"/>
      <c r="BZ140" s="170"/>
      <c r="CA140" s="170"/>
      <c r="CB140" s="170"/>
      <c r="CC140" s="170"/>
      <c r="CD140" s="170"/>
      <c r="CE140" s="170"/>
      <c r="CF140" s="170"/>
      <c r="CG140" s="170"/>
      <c r="CH140" s="170"/>
      <c r="CI140" s="170"/>
      <c r="CJ140" s="170"/>
      <c r="CK140" s="170"/>
      <c r="CL140" s="170"/>
      <c r="CM140" s="170"/>
      <c r="CN140" s="170"/>
      <c r="CO140" s="170"/>
      <c r="CP140" s="170"/>
      <c r="CQ140" s="170"/>
      <c r="CR140" s="170"/>
      <c r="CS140" s="170"/>
      <c r="CT140" s="1133"/>
      <c r="CU140" s="12"/>
      <c r="CV140" s="12"/>
      <c r="CW140" s="12"/>
      <c r="CX140" s="12"/>
      <c r="CY140" s="12">
        <f t="shared" ref="CY140:DJ140" si="827">+CY139/CY$229</f>
        <v>0.60230107661912013</v>
      </c>
      <c r="CZ140" s="12">
        <f t="shared" si="827"/>
        <v>0.57504214072480508</v>
      </c>
      <c r="DA140" s="12">
        <f t="shared" si="827"/>
        <v>0.57874657310595534</v>
      </c>
      <c r="DB140" s="12">
        <f t="shared" si="827"/>
        <v>0.62798626867551877</v>
      </c>
      <c r="DC140" s="12">
        <f t="shared" si="827"/>
        <v>0.7</v>
      </c>
      <c r="DD140" s="12" t="e">
        <f t="shared" si="827"/>
        <v>#DIV/0!</v>
      </c>
      <c r="DE140" s="12">
        <f t="shared" si="827"/>
        <v>0</v>
      </c>
      <c r="DF140" s="12">
        <f t="shared" si="827"/>
        <v>0.64</v>
      </c>
      <c r="DG140" s="12">
        <f t="shared" si="827"/>
        <v>0.64</v>
      </c>
      <c r="DH140" s="12">
        <f t="shared" si="827"/>
        <v>0.64</v>
      </c>
      <c r="DI140" s="12" t="e">
        <f t="shared" si="827"/>
        <v>#DIV/0!</v>
      </c>
      <c r="DJ140" s="12" t="e">
        <f t="shared" si="827"/>
        <v>#DIV/0!</v>
      </c>
      <c r="DK140" s="12"/>
      <c r="DL140" s="449"/>
      <c r="DM140" s="449"/>
      <c r="DN140" s="449"/>
      <c r="DO140" s="449"/>
      <c r="DP140" s="449"/>
      <c r="DQ140" s="449"/>
      <c r="DR140" s="449"/>
      <c r="DS140" s="449"/>
      <c r="DT140" s="449"/>
      <c r="DU140" s="449"/>
      <c r="DV140" s="12"/>
      <c r="DW140" s="12"/>
      <c r="DY140" s="449"/>
      <c r="DZ140" s="449"/>
    </row>
    <row r="141" spans="1:130" s="302" customFormat="1" hidden="1">
      <c r="A141" s="485"/>
      <c r="B141" s="485"/>
      <c r="C141" s="486"/>
      <c r="D141" s="486"/>
      <c r="E141" s="486"/>
      <c r="F141" s="486"/>
      <c r="G141" s="486"/>
      <c r="H141" s="486"/>
      <c r="I141" s="486"/>
      <c r="J141" s="486"/>
      <c r="K141" s="486"/>
      <c r="L141" s="486"/>
      <c r="M141" s="486"/>
      <c r="N141" s="486"/>
      <c r="O141" s="491"/>
      <c r="P141" s="491"/>
      <c r="Q141" s="491"/>
      <c r="R141" s="491"/>
      <c r="S141" s="491"/>
      <c r="T141" s="491"/>
      <c r="U141" s="491"/>
      <c r="V141" s="491"/>
      <c r="W141" s="491"/>
      <c r="X141" s="491"/>
      <c r="Y141" s="491"/>
      <c r="Z141" s="491"/>
      <c r="AA141" s="491"/>
      <c r="AB141" s="491"/>
      <c r="AC141" s="491"/>
      <c r="AD141" s="491"/>
      <c r="AE141" s="489"/>
      <c r="AF141" s="489"/>
      <c r="AG141" s="489"/>
      <c r="AH141" s="489"/>
      <c r="AI141" s="488"/>
      <c r="AJ141" s="488"/>
      <c r="AK141" s="488"/>
      <c r="AL141" s="488"/>
      <c r="AM141" s="488"/>
      <c r="AN141" s="488"/>
      <c r="AO141" s="488"/>
      <c r="AP141" s="488"/>
      <c r="AQ141" s="488"/>
      <c r="AR141" s="488"/>
      <c r="AS141" s="488"/>
      <c r="AT141" s="488"/>
      <c r="AU141" s="488"/>
      <c r="AV141" s="488"/>
      <c r="AW141" s="488"/>
      <c r="AX141" s="488"/>
      <c r="AY141" s="488"/>
      <c r="AZ141" s="488"/>
      <c r="BA141" s="488"/>
      <c r="BB141" s="488"/>
      <c r="BC141" s="488"/>
      <c r="BD141" s="488"/>
      <c r="BE141" s="488"/>
      <c r="BF141" s="488"/>
      <c r="BG141" s="488"/>
      <c r="BH141" s="488"/>
      <c r="BI141" s="488"/>
      <c r="BJ141" s="488"/>
      <c r="BK141" s="488"/>
      <c r="BL141" s="488"/>
      <c r="BM141" s="184"/>
      <c r="BN141" s="184"/>
      <c r="BO141" s="184"/>
      <c r="BP141" s="184"/>
      <c r="BQ141" s="184"/>
      <c r="BR141" s="184"/>
      <c r="BS141" s="184"/>
      <c r="BT141" s="184"/>
      <c r="BU141" s="184"/>
      <c r="BV141" s="184"/>
      <c r="BW141" s="184"/>
      <c r="BX141" s="184"/>
      <c r="BY141" s="184"/>
      <c r="BZ141" s="184"/>
      <c r="CA141" s="184"/>
      <c r="CB141" s="184"/>
      <c r="CC141" s="184"/>
      <c r="CD141" s="184"/>
      <c r="CE141" s="184"/>
      <c r="CF141" s="184"/>
      <c r="CG141" s="184"/>
      <c r="CH141" s="184"/>
      <c r="CI141" s="184"/>
      <c r="CJ141" s="184"/>
      <c r="CK141" s="184"/>
      <c r="CL141" s="184"/>
      <c r="CM141" s="184"/>
      <c r="CN141" s="184"/>
      <c r="CO141" s="184"/>
      <c r="CP141" s="184"/>
      <c r="CQ141" s="184"/>
      <c r="CR141" s="184"/>
      <c r="CS141" s="184"/>
      <c r="CT141" s="1133"/>
      <c r="CU141" s="490"/>
      <c r="CV141" s="490"/>
      <c r="CW141" s="490"/>
      <c r="CX141" s="490"/>
      <c r="CY141" s="485"/>
      <c r="CZ141" s="485"/>
      <c r="DA141" s="485"/>
      <c r="DB141" s="485"/>
      <c r="DC141" s="485"/>
      <c r="DD141" s="485"/>
      <c r="DE141" s="346"/>
      <c r="DF141" s="485"/>
      <c r="DG141" s="485"/>
      <c r="DH141" s="485"/>
      <c r="DI141" s="485"/>
      <c r="DJ141" s="485"/>
      <c r="DK141" s="485"/>
      <c r="DL141" s="485"/>
      <c r="DM141" s="485"/>
      <c r="DN141" s="485"/>
      <c r="DO141" s="485"/>
      <c r="DP141" s="485"/>
      <c r="DQ141" s="485"/>
      <c r="DR141" s="485"/>
      <c r="DS141" s="485"/>
      <c r="DT141" s="485"/>
      <c r="DU141" s="485"/>
      <c r="DV141" s="485"/>
      <c r="DW141" s="485"/>
      <c r="DY141" s="485"/>
      <c r="DZ141" s="485"/>
    </row>
    <row r="142" spans="1:130" s="302" customFormat="1" hidden="1">
      <c r="A142" s="485" t="s">
        <v>635</v>
      </c>
      <c r="B142" s="485"/>
      <c r="C142" s="486"/>
      <c r="D142" s="486"/>
      <c r="E142" s="486"/>
      <c r="F142" s="486"/>
      <c r="G142" s="486"/>
      <c r="H142" s="486"/>
      <c r="I142" s="486"/>
      <c r="J142" s="486"/>
      <c r="K142" s="486"/>
      <c r="L142" s="486"/>
      <c r="M142" s="486"/>
      <c r="N142" s="486"/>
      <c r="O142" s="491">
        <v>169729.08565412959</v>
      </c>
      <c r="P142" s="491">
        <v>173846.57801119375</v>
      </c>
      <c r="Q142" s="491">
        <v>159634.2118492442</v>
      </c>
      <c r="R142" s="491">
        <v>220903.59644355395</v>
      </c>
      <c r="S142" s="491">
        <v>203014.88065426456</v>
      </c>
      <c r="T142" s="491">
        <v>213559.1731574958</v>
      </c>
      <c r="U142" s="491">
        <v>194008.36593339476</v>
      </c>
      <c r="V142" s="491">
        <v>203170.33774240944</v>
      </c>
      <c r="W142" s="491">
        <v>158905.77151127631</v>
      </c>
      <c r="X142" s="491">
        <v>172085.45265476132</v>
      </c>
      <c r="Y142" s="491">
        <v>170980.30503278124</v>
      </c>
      <c r="Z142" s="491">
        <v>222631.8060386969</v>
      </c>
      <c r="AA142" s="491">
        <v>196854.70062671043</v>
      </c>
      <c r="AB142" s="491">
        <v>214688.60152052433</v>
      </c>
      <c r="AC142" s="491">
        <v>205260.47118082456</v>
      </c>
      <c r="AD142" s="491">
        <v>243998.80471452436</v>
      </c>
      <c r="AE142" s="491">
        <v>209565.25602899992</v>
      </c>
      <c r="AF142" s="491">
        <v>220000.09755093596</v>
      </c>
      <c r="AG142" s="491">
        <v>234400</v>
      </c>
      <c r="AH142" s="492">
        <v>233591</v>
      </c>
      <c r="AI142" s="493">
        <v>220455</v>
      </c>
      <c r="AJ142" s="493">
        <v>245194</v>
      </c>
      <c r="AK142" s="494">
        <v>263595.64</v>
      </c>
      <c r="AL142" s="494">
        <v>253800.9</v>
      </c>
      <c r="AM142" s="494">
        <v>0</v>
      </c>
      <c r="AN142" s="494">
        <v>0</v>
      </c>
      <c r="AO142" s="494">
        <v>0</v>
      </c>
      <c r="AP142" s="494">
        <v>0</v>
      </c>
      <c r="AQ142" s="494">
        <f t="shared" ref="AQ142:BN142" si="828">+AQ143*AQ229</f>
        <v>0</v>
      </c>
      <c r="AR142" s="494">
        <f t="shared" si="828"/>
        <v>0</v>
      </c>
      <c r="AS142" s="494">
        <f t="shared" si="828"/>
        <v>0</v>
      </c>
      <c r="AT142" s="494">
        <f t="shared" si="828"/>
        <v>0</v>
      </c>
      <c r="AU142" s="494">
        <f t="shared" si="828"/>
        <v>303719.39999999997</v>
      </c>
      <c r="AV142" s="494">
        <f t="shared" si="828"/>
        <v>311637.95999999996</v>
      </c>
      <c r="AW142" s="494">
        <f t="shared" si="828"/>
        <v>289425.95999999996</v>
      </c>
      <c r="AX142" s="494">
        <f t="shared" si="828"/>
        <v>412272.72</v>
      </c>
      <c r="AY142" s="494">
        <f t="shared" si="828"/>
        <v>304096.32</v>
      </c>
      <c r="AZ142" s="494">
        <f t="shared" si="828"/>
        <v>317679.83999999997</v>
      </c>
      <c r="BA142" s="494">
        <f t="shared" si="828"/>
        <v>281340.71999999997</v>
      </c>
      <c r="BB142" s="494">
        <f t="shared" si="828"/>
        <v>413604.36</v>
      </c>
      <c r="BC142" s="494">
        <f t="shared" si="828"/>
        <v>315381.24</v>
      </c>
      <c r="BD142" s="494">
        <f t="shared" si="828"/>
        <v>297838.44</v>
      </c>
      <c r="BE142" s="494">
        <f t="shared" si="828"/>
        <v>268652.52</v>
      </c>
      <c r="BF142" s="494">
        <f t="shared" si="828"/>
        <v>347226.04464749998</v>
      </c>
      <c r="BG142" s="494">
        <f t="shared" si="828"/>
        <v>0</v>
      </c>
      <c r="BH142" s="494">
        <f t="shared" si="828"/>
        <v>0</v>
      </c>
      <c r="BI142" s="494">
        <f t="shared" si="828"/>
        <v>0</v>
      </c>
      <c r="BJ142" s="494">
        <f t="shared" si="828"/>
        <v>0</v>
      </c>
      <c r="BK142" s="494">
        <f t="shared" si="828"/>
        <v>0</v>
      </c>
      <c r="BL142" s="494">
        <f t="shared" si="828"/>
        <v>0</v>
      </c>
      <c r="BM142" s="494">
        <f t="shared" si="828"/>
        <v>0</v>
      </c>
      <c r="BN142" s="176">
        <f t="shared" si="828"/>
        <v>0</v>
      </c>
      <c r="BO142" s="176"/>
      <c r="BP142" s="176"/>
      <c r="BQ142" s="176"/>
      <c r="BR142" s="176"/>
      <c r="BS142" s="176"/>
      <c r="BT142" s="176"/>
      <c r="BU142" s="176"/>
      <c r="BV142" s="176"/>
      <c r="BW142" s="176"/>
      <c r="BX142" s="176"/>
      <c r="BY142" s="176"/>
      <c r="BZ142" s="176"/>
      <c r="CA142" s="176"/>
      <c r="CB142" s="176"/>
      <c r="CC142" s="176"/>
      <c r="CD142" s="176"/>
      <c r="CE142" s="176"/>
      <c r="CF142" s="176"/>
      <c r="CG142" s="176"/>
      <c r="CH142" s="176"/>
      <c r="CI142" s="176"/>
      <c r="CJ142" s="176"/>
      <c r="CK142" s="176"/>
      <c r="CL142" s="176"/>
      <c r="CM142" s="176"/>
      <c r="CN142" s="176"/>
      <c r="CO142" s="176"/>
      <c r="CP142" s="176"/>
      <c r="CQ142" s="176"/>
      <c r="CR142" s="176"/>
      <c r="CS142" s="176"/>
      <c r="CT142" s="1133"/>
      <c r="CU142" s="490"/>
      <c r="CV142" s="490"/>
      <c r="CW142" s="490"/>
      <c r="CX142" s="490"/>
      <c r="CY142" s="495">
        <f>+R142</f>
        <v>220903.59644355395</v>
      </c>
      <c r="CZ142" s="495">
        <f>+Z142</f>
        <v>222631.8060386969</v>
      </c>
      <c r="DA142" s="495">
        <f>+AD142</f>
        <v>243998.80471452436</v>
      </c>
      <c r="DB142" s="495">
        <f>+AH142</f>
        <v>233591</v>
      </c>
      <c r="DC142" s="495">
        <f>+AL142</f>
        <v>253800.9</v>
      </c>
      <c r="DD142" s="495">
        <f>+AP142</f>
        <v>0</v>
      </c>
      <c r="DE142" s="489">
        <f>+AT142</f>
        <v>0</v>
      </c>
      <c r="DF142" s="489">
        <f>+AX142</f>
        <v>412272.72</v>
      </c>
      <c r="DG142" s="489">
        <f>+BB142</f>
        <v>413604.36</v>
      </c>
      <c r="DH142" s="489">
        <f>+BF142</f>
        <v>347226.04464749998</v>
      </c>
      <c r="DI142" s="489">
        <f>+BJ142</f>
        <v>0</v>
      </c>
      <c r="DJ142" s="489">
        <f>+BN142</f>
        <v>0</v>
      </c>
      <c r="DK142" s="489"/>
      <c r="DL142" s="489"/>
      <c r="DM142" s="489"/>
      <c r="DN142" s="489"/>
      <c r="DO142" s="489"/>
      <c r="DP142" s="489"/>
      <c r="DQ142" s="489"/>
      <c r="DR142" s="489"/>
      <c r="DS142" s="489"/>
      <c r="DT142" s="489"/>
      <c r="DU142" s="489"/>
      <c r="DV142" s="485"/>
      <c r="DW142" s="485"/>
      <c r="DY142" s="489"/>
      <c r="DZ142" s="489"/>
    </row>
    <row r="143" spans="1:130" s="302" customFormat="1" hidden="1">
      <c r="A143" s="12" t="s">
        <v>636</v>
      </c>
      <c r="B143" s="12"/>
      <c r="C143" s="12"/>
      <c r="D143" s="12"/>
      <c r="E143" s="12"/>
      <c r="F143" s="12"/>
      <c r="G143" s="12"/>
      <c r="H143" s="12"/>
      <c r="I143" s="12"/>
      <c r="J143" s="12"/>
      <c r="K143" s="12"/>
      <c r="L143" s="12"/>
      <c r="M143" s="12"/>
      <c r="N143" s="12"/>
      <c r="O143" s="12">
        <v>0.35370395166554047</v>
      </c>
      <c r="P143" s="12">
        <v>0.41178014749810804</v>
      </c>
      <c r="Q143" s="12">
        <v>0.41762494499374531</v>
      </c>
      <c r="R143" s="12">
        <v>0.37695637247862945</v>
      </c>
      <c r="S143" s="12">
        <v>0.44865662748597124</v>
      </c>
      <c r="T143" s="12">
        <v>0.45692932963932009</v>
      </c>
      <c r="U143" s="12">
        <v>0.47473111785400141</v>
      </c>
      <c r="V143" s="12">
        <v>0.36062112877830532</v>
      </c>
      <c r="W143" s="12">
        <v>0.38790335115640873</v>
      </c>
      <c r="X143" s="12">
        <v>0.38054322694049519</v>
      </c>
      <c r="Y143" s="12">
        <v>0.41553124871263125</v>
      </c>
      <c r="Z143" s="12">
        <v>0.36039609746252788</v>
      </c>
      <c r="AA143" s="12">
        <v>0.42241503754481641</v>
      </c>
      <c r="AB143" s="12">
        <v>0.42827567799723976</v>
      </c>
      <c r="AC143" s="12">
        <v>0.44699677303483798</v>
      </c>
      <c r="AD143" s="12">
        <v>0.36480674823206061</v>
      </c>
      <c r="AE143" s="12">
        <v>0.3971227627897192</v>
      </c>
      <c r="AF143" s="12">
        <v>0.38949720810461175</v>
      </c>
      <c r="AG143" s="12">
        <v>0.47556442842998814</v>
      </c>
      <c r="AH143" s="12">
        <v>0.31985578549118787</v>
      </c>
      <c r="AI143" s="12">
        <v>0.38461404258659943</v>
      </c>
      <c r="AJ143" s="12">
        <v>0.40237492348617498</v>
      </c>
      <c r="AK143" s="449">
        <v>0.46</v>
      </c>
      <c r="AL143" s="449">
        <v>0.3</v>
      </c>
      <c r="AM143" s="449">
        <v>0.35</v>
      </c>
      <c r="AN143" s="449">
        <v>0.4</v>
      </c>
      <c r="AO143" s="449">
        <v>0.47</v>
      </c>
      <c r="AP143" s="449">
        <v>0.36</v>
      </c>
      <c r="AQ143" s="449">
        <v>0.36</v>
      </c>
      <c r="AR143" s="449">
        <v>0.36</v>
      </c>
      <c r="AS143" s="449">
        <v>0.36</v>
      </c>
      <c r="AT143" s="449">
        <v>0.36</v>
      </c>
      <c r="AU143" s="449">
        <v>0.36</v>
      </c>
      <c r="AV143" s="449">
        <v>0.36</v>
      </c>
      <c r="AW143" s="449">
        <v>0.36</v>
      </c>
      <c r="AX143" s="449">
        <v>0.36</v>
      </c>
      <c r="AY143" s="449">
        <v>0.36</v>
      </c>
      <c r="AZ143" s="449">
        <v>0.36</v>
      </c>
      <c r="BA143" s="449">
        <v>0.36</v>
      </c>
      <c r="BB143" s="449">
        <v>0.36</v>
      </c>
      <c r="BC143" s="449">
        <v>0.36</v>
      </c>
      <c r="BD143" s="449">
        <v>0.36</v>
      </c>
      <c r="BE143" s="449">
        <v>0.36</v>
      </c>
      <c r="BF143" s="449">
        <v>0.36</v>
      </c>
      <c r="BG143" s="449">
        <v>0.36</v>
      </c>
      <c r="BH143" s="449">
        <v>0.36</v>
      </c>
      <c r="BI143" s="449">
        <v>0.36</v>
      </c>
      <c r="BJ143" s="449">
        <v>0.36</v>
      </c>
      <c r="BK143" s="449">
        <v>0.36</v>
      </c>
      <c r="BL143" s="449">
        <v>0.36</v>
      </c>
      <c r="BM143" s="170">
        <v>0.36</v>
      </c>
      <c r="BN143" s="170">
        <v>0.36</v>
      </c>
      <c r="BO143" s="170"/>
      <c r="BP143" s="170"/>
      <c r="BQ143" s="170"/>
      <c r="BR143" s="170"/>
      <c r="BS143" s="170"/>
      <c r="BT143" s="170"/>
      <c r="BU143" s="170"/>
      <c r="BV143" s="170"/>
      <c r="BW143" s="170"/>
      <c r="BX143" s="170"/>
      <c r="BY143" s="170"/>
      <c r="BZ143" s="170"/>
      <c r="CA143" s="170"/>
      <c r="CB143" s="170"/>
      <c r="CC143" s="170"/>
      <c r="CD143" s="170"/>
      <c r="CE143" s="170"/>
      <c r="CF143" s="170"/>
      <c r="CG143" s="170"/>
      <c r="CH143" s="170"/>
      <c r="CI143" s="170"/>
      <c r="CJ143" s="170"/>
      <c r="CK143" s="170"/>
      <c r="CL143" s="170"/>
      <c r="CM143" s="170"/>
      <c r="CN143" s="170"/>
      <c r="CO143" s="170"/>
      <c r="CP143" s="170"/>
      <c r="CQ143" s="170"/>
      <c r="CR143" s="170"/>
      <c r="CS143" s="170"/>
      <c r="CT143" s="1133"/>
      <c r="CU143" s="12"/>
      <c r="CV143" s="12"/>
      <c r="CW143" s="12"/>
      <c r="CX143" s="12"/>
      <c r="CY143" s="12">
        <f t="shared" ref="CY143:DJ143" si="829">+CY142/CY$229</f>
        <v>0.39209712001198804</v>
      </c>
      <c r="CZ143" s="12">
        <f t="shared" si="829"/>
        <v>0.36039609746252788</v>
      </c>
      <c r="DA143" s="12">
        <f t="shared" si="829"/>
        <v>0.36480674823206061</v>
      </c>
      <c r="DB143" s="12">
        <f t="shared" si="829"/>
        <v>0.31985578549118787</v>
      </c>
      <c r="DC143" s="12">
        <f t="shared" si="829"/>
        <v>0.3</v>
      </c>
      <c r="DD143" s="12" t="e">
        <f t="shared" si="829"/>
        <v>#DIV/0!</v>
      </c>
      <c r="DE143" s="12">
        <f t="shared" si="829"/>
        <v>0</v>
      </c>
      <c r="DF143" s="12">
        <f t="shared" si="829"/>
        <v>0.36</v>
      </c>
      <c r="DG143" s="12">
        <f t="shared" si="829"/>
        <v>0.36</v>
      </c>
      <c r="DH143" s="12">
        <f t="shared" si="829"/>
        <v>0.36</v>
      </c>
      <c r="DI143" s="12" t="e">
        <f t="shared" si="829"/>
        <v>#DIV/0!</v>
      </c>
      <c r="DJ143" s="12" t="e">
        <f t="shared" si="829"/>
        <v>#DIV/0!</v>
      </c>
      <c r="DK143" s="12"/>
      <c r="DL143" s="496"/>
      <c r="DM143" s="496"/>
      <c r="DN143" s="496"/>
      <c r="DO143" s="496"/>
      <c r="DP143" s="496"/>
      <c r="DQ143" s="496"/>
      <c r="DR143" s="496"/>
      <c r="DS143" s="496"/>
      <c r="DT143" s="496"/>
      <c r="DU143" s="496"/>
      <c r="DV143" s="12"/>
      <c r="DW143" s="12"/>
      <c r="DY143" s="496"/>
      <c r="DZ143" s="496"/>
    </row>
    <row r="144" spans="1:130" s="302" customFormat="1" hidden="1">
      <c r="A144" s="345"/>
      <c r="B144" s="345"/>
      <c r="C144" s="497"/>
      <c r="D144" s="497"/>
      <c r="E144" s="497"/>
      <c r="F144" s="497"/>
      <c r="G144" s="497"/>
      <c r="H144" s="497"/>
      <c r="I144" s="497"/>
      <c r="J144" s="497"/>
      <c r="K144" s="497"/>
      <c r="L144" s="497"/>
      <c r="M144" s="497"/>
      <c r="N144" s="497"/>
      <c r="O144" s="497"/>
      <c r="P144" s="497"/>
      <c r="Q144" s="497"/>
      <c r="R144" s="498"/>
      <c r="S144" s="498"/>
      <c r="T144" s="444"/>
      <c r="U144" s="444"/>
      <c r="V144" s="444"/>
      <c r="W144" s="444"/>
      <c r="X144" s="444"/>
      <c r="Y144" s="444"/>
      <c r="Z144" s="444"/>
      <c r="AA144" s="444"/>
      <c r="AB144" s="444"/>
      <c r="AC144" s="444"/>
      <c r="AD144" s="444"/>
      <c r="AE144" s="444"/>
      <c r="AF144" s="444"/>
      <c r="AG144" s="444"/>
      <c r="AH144" s="444"/>
      <c r="AI144" s="444"/>
      <c r="AJ144" s="444"/>
      <c r="AK144" s="444"/>
      <c r="AL144" s="444"/>
      <c r="AM144" s="444"/>
      <c r="AN144" s="444"/>
      <c r="AO144" s="444"/>
      <c r="AP144" s="444"/>
      <c r="AQ144" s="444"/>
      <c r="AR144" s="444"/>
      <c r="AS144" s="444"/>
      <c r="AT144" s="444"/>
      <c r="AU144" s="444"/>
      <c r="AV144" s="444"/>
      <c r="AW144" s="444"/>
      <c r="AX144" s="444"/>
      <c r="AY144" s="444"/>
      <c r="AZ144" s="444"/>
      <c r="BA144" s="444"/>
      <c r="BB144" s="444"/>
      <c r="BC144" s="444"/>
      <c r="BD144" s="444"/>
      <c r="BE144" s="444"/>
      <c r="BF144" s="444"/>
      <c r="BG144" s="444"/>
      <c r="BH144" s="444"/>
      <c r="BI144" s="444"/>
      <c r="BJ144" s="444"/>
      <c r="BK144" s="444"/>
      <c r="BL144" s="444"/>
      <c r="BM144" s="181"/>
      <c r="BN144" s="181"/>
      <c r="BO144" s="181"/>
      <c r="BP144" s="181"/>
      <c r="BQ144" s="181"/>
      <c r="BR144" s="181"/>
      <c r="BS144" s="181"/>
      <c r="BT144" s="181"/>
      <c r="BU144" s="181"/>
      <c r="BV144" s="181"/>
      <c r="BW144" s="181"/>
      <c r="BX144" s="181"/>
      <c r="BY144" s="181"/>
      <c r="BZ144" s="181"/>
      <c r="CA144" s="181"/>
      <c r="CB144" s="181"/>
      <c r="CC144" s="181"/>
      <c r="CD144" s="181"/>
      <c r="CE144" s="181"/>
      <c r="CF144" s="181"/>
      <c r="CG144" s="181"/>
      <c r="CH144" s="181"/>
      <c r="CI144" s="181"/>
      <c r="CJ144" s="181"/>
      <c r="CK144" s="181"/>
      <c r="CL144" s="181"/>
      <c r="CM144" s="181"/>
      <c r="CN144" s="181"/>
      <c r="CO144" s="181"/>
      <c r="CP144" s="181"/>
      <c r="CQ144" s="181"/>
      <c r="CR144" s="181"/>
      <c r="CS144" s="181"/>
      <c r="CT144" s="1133"/>
      <c r="CU144" s="499"/>
      <c r="CV144" s="499"/>
      <c r="CW144" s="499"/>
      <c r="CX144" s="499"/>
      <c r="CY144" s="345"/>
      <c r="CZ144" s="345"/>
      <c r="DA144" s="345"/>
      <c r="DB144" s="345"/>
      <c r="DC144" s="345"/>
      <c r="DD144" s="345"/>
      <c r="DE144" s="500"/>
      <c r="DF144" s="500"/>
      <c r="DG144" s="345"/>
      <c r="DH144" s="345"/>
      <c r="DI144" s="345"/>
      <c r="DJ144" s="345"/>
      <c r="DK144" s="345"/>
      <c r="DL144" s="345"/>
      <c r="DM144" s="345"/>
      <c r="DN144" s="345"/>
      <c r="DO144" s="345"/>
      <c r="DP144" s="345"/>
      <c r="DQ144" s="345"/>
      <c r="DR144" s="345"/>
      <c r="DS144" s="345"/>
      <c r="DT144" s="345"/>
      <c r="DU144" s="345"/>
      <c r="DV144" s="345"/>
      <c r="DW144" s="345"/>
      <c r="DY144" s="345"/>
      <c r="DZ144" s="345"/>
    </row>
    <row r="145" spans="1:130" s="302" customFormat="1" hidden="1">
      <c r="A145" s="345"/>
      <c r="B145" s="345"/>
      <c r="C145" s="497"/>
      <c r="D145" s="497"/>
      <c r="E145" s="497"/>
      <c r="F145" s="497"/>
      <c r="G145" s="497"/>
      <c r="H145" s="497"/>
      <c r="I145" s="497"/>
      <c r="J145" s="497"/>
      <c r="K145" s="497"/>
      <c r="L145" s="497"/>
      <c r="M145" s="497"/>
      <c r="N145" s="497"/>
      <c r="O145" s="497"/>
      <c r="P145" s="497"/>
      <c r="Q145" s="497"/>
      <c r="R145" s="498"/>
      <c r="S145" s="498"/>
      <c r="T145" s="444"/>
      <c r="U145" s="444"/>
      <c r="V145" s="444"/>
      <c r="W145" s="444"/>
      <c r="X145" s="444"/>
      <c r="Y145" s="444"/>
      <c r="Z145" s="444"/>
      <c r="AA145" s="444"/>
      <c r="AB145" s="444"/>
      <c r="AC145" s="444"/>
      <c r="AD145" s="444"/>
      <c r="AE145" s="444"/>
      <c r="AF145" s="444"/>
      <c r="AG145" s="444"/>
      <c r="AH145" s="444"/>
      <c r="AI145" s="444"/>
      <c r="AJ145" s="444"/>
      <c r="AK145" s="444"/>
      <c r="AL145" s="444"/>
      <c r="AM145" s="444"/>
      <c r="AN145" s="444"/>
      <c r="AO145" s="444"/>
      <c r="AP145" s="444"/>
      <c r="AQ145" s="444"/>
      <c r="AR145" s="444"/>
      <c r="AS145" s="444"/>
      <c r="AT145" s="444"/>
      <c r="AU145" s="444"/>
      <c r="AV145" s="444"/>
      <c r="AW145" s="444"/>
      <c r="AX145" s="444"/>
      <c r="AY145" s="444"/>
      <c r="AZ145" s="444"/>
      <c r="BA145" s="444"/>
      <c r="BB145" s="444"/>
      <c r="BC145" s="444"/>
      <c r="BD145" s="444"/>
      <c r="BE145" s="444"/>
      <c r="BF145" s="444"/>
      <c r="BG145" s="444"/>
      <c r="BH145" s="444"/>
      <c r="BI145" s="444"/>
      <c r="BJ145" s="444"/>
      <c r="BK145" s="444"/>
      <c r="BL145" s="444"/>
      <c r="BM145" s="181"/>
      <c r="BN145" s="181"/>
      <c r="BO145" s="181"/>
      <c r="BP145" s="181"/>
      <c r="BQ145" s="181"/>
      <c r="BR145" s="181"/>
      <c r="BS145" s="181"/>
      <c r="BT145" s="181"/>
      <c r="BU145" s="181"/>
      <c r="BV145" s="181"/>
      <c r="BW145" s="181"/>
      <c r="BX145" s="181"/>
      <c r="BY145" s="181"/>
      <c r="BZ145" s="181"/>
      <c r="CA145" s="181"/>
      <c r="CB145" s="181"/>
      <c r="CC145" s="181"/>
      <c r="CD145" s="181"/>
      <c r="CE145" s="181"/>
      <c r="CF145" s="181"/>
      <c r="CG145" s="181"/>
      <c r="CH145" s="181"/>
      <c r="CI145" s="181"/>
      <c r="CJ145" s="181"/>
      <c r="CK145" s="181"/>
      <c r="CL145" s="181"/>
      <c r="CM145" s="181"/>
      <c r="CN145" s="181"/>
      <c r="CO145" s="181"/>
      <c r="CP145" s="181"/>
      <c r="CQ145" s="181"/>
      <c r="CR145" s="181"/>
      <c r="CS145" s="181"/>
      <c r="CT145" s="1133"/>
      <c r="CU145" s="499"/>
      <c r="CV145" s="499"/>
      <c r="CW145" s="499"/>
      <c r="CX145" s="499"/>
      <c r="CY145" s="345"/>
      <c r="CZ145" s="345"/>
      <c r="DA145" s="345"/>
      <c r="DB145" s="345"/>
      <c r="DC145" s="345"/>
      <c r="DD145" s="345"/>
      <c r="DE145" s="345"/>
      <c r="DF145" s="345"/>
      <c r="DG145" s="345"/>
      <c r="DH145" s="345"/>
      <c r="DI145" s="345"/>
      <c r="DJ145" s="345"/>
      <c r="DK145" s="345"/>
      <c r="DL145" s="345"/>
      <c r="DM145" s="345"/>
      <c r="DN145" s="345"/>
      <c r="DO145" s="345"/>
      <c r="DP145" s="345"/>
      <c r="DQ145" s="345"/>
      <c r="DR145" s="345"/>
      <c r="DS145" s="345"/>
      <c r="DT145" s="345"/>
      <c r="DU145" s="345"/>
      <c r="DV145" s="345"/>
      <c r="DW145" s="345"/>
      <c r="DY145" s="345"/>
      <c r="DZ145" s="345"/>
    </row>
    <row r="146" spans="1:130" s="302" customFormat="1" hidden="1">
      <c r="A146" s="501" t="s">
        <v>637</v>
      </c>
      <c r="B146" s="355"/>
      <c r="C146" s="502"/>
      <c r="D146" s="502"/>
      <c r="E146" s="502"/>
      <c r="F146" s="502"/>
      <c r="G146" s="502"/>
      <c r="H146" s="498">
        <v>51457</v>
      </c>
      <c r="I146" s="498">
        <v>38430</v>
      </c>
      <c r="J146" s="498">
        <v>47964</v>
      </c>
      <c r="K146" s="498">
        <v>-37700</v>
      </c>
      <c r="L146" s="498">
        <v>43093</v>
      </c>
      <c r="M146" s="498">
        <v>57515</v>
      </c>
      <c r="N146" s="498">
        <v>74694</v>
      </c>
      <c r="O146" s="503">
        <v>206500.7698666667</v>
      </c>
      <c r="P146" s="503">
        <v>246115.94926666669</v>
      </c>
      <c r="Q146" s="503">
        <v>238567.51664444449</v>
      </c>
      <c r="R146" s="503">
        <v>302496.45177777775</v>
      </c>
      <c r="S146" s="503">
        <v>230809.90888888889</v>
      </c>
      <c r="T146" s="503">
        <v>251721.4105777778</v>
      </c>
      <c r="U146" s="503">
        <v>240225.03473333336</v>
      </c>
      <c r="V146" s="503">
        <v>305960.38762222225</v>
      </c>
      <c r="W146" s="503">
        <v>229323.28335555553</v>
      </c>
      <c r="X146" s="503">
        <v>269335.58255555562</v>
      </c>
      <c r="Y146" s="503">
        <v>256411.28875555555</v>
      </c>
      <c r="Z146" s="503">
        <v>324688.46497777785</v>
      </c>
      <c r="AA146" s="503">
        <v>240738.7826888889</v>
      </c>
      <c r="AB146" s="503">
        <v>276354.01322222227</v>
      </c>
      <c r="AC146" s="503">
        <v>272472.66671111115</v>
      </c>
      <c r="AD146" s="503">
        <v>346376.32578512363</v>
      </c>
      <c r="AE146" s="503">
        <v>267432.45295604505</v>
      </c>
      <c r="AF146" s="503">
        <v>315803.46634370566</v>
      </c>
      <c r="AG146" s="503">
        <v>312231.21638883848</v>
      </c>
      <c r="AH146" s="503">
        <v>402362.90579872159</v>
      </c>
      <c r="AI146" s="503">
        <v>306424.65304121061</v>
      </c>
      <c r="AJ146" s="503">
        <v>341518.35312049877</v>
      </c>
      <c r="AK146" s="503">
        <v>352905.10708641802</v>
      </c>
      <c r="AL146" s="503">
        <v>465732.13775752584</v>
      </c>
      <c r="AM146" s="503">
        <v>350839.83039696241</v>
      </c>
      <c r="AN146" s="503">
        <v>379227.99066815258</v>
      </c>
      <c r="AO146" s="503">
        <v>390452.46426252497</v>
      </c>
      <c r="AP146" s="503">
        <v>510040.63181467756</v>
      </c>
      <c r="AQ146" s="503">
        <f t="shared" ref="AQ146:BD146" si="830">+AQ147+AQ148</f>
        <v>196152.90608804536</v>
      </c>
      <c r="AR146" s="503">
        <f t="shared" si="830"/>
        <v>319730.04717783263</v>
      </c>
      <c r="AS146" s="503">
        <f t="shared" si="830"/>
        <v>337380.5382571501</v>
      </c>
      <c r="AT146" s="503">
        <f t="shared" si="830"/>
        <v>466992.33209491451</v>
      </c>
      <c r="AU146" s="503">
        <f t="shared" si="830"/>
        <v>360882.02977777785</v>
      </c>
      <c r="AV146" s="503">
        <f t="shared" si="830"/>
        <v>402930.29673333332</v>
      </c>
      <c r="AW146" s="503">
        <f t="shared" si="830"/>
        <v>402724.95448888896</v>
      </c>
      <c r="AX146" s="503">
        <f t="shared" si="830"/>
        <v>521932.59522222227</v>
      </c>
      <c r="AY146" s="503">
        <f t="shared" si="830"/>
        <v>391365.07704444439</v>
      </c>
      <c r="AZ146" s="503">
        <f t="shared" si="830"/>
        <v>442663.80475555558</v>
      </c>
      <c r="BA146" s="503">
        <f t="shared" si="830"/>
        <v>422594.38888888888</v>
      </c>
      <c r="BB146" s="503">
        <f t="shared" si="830"/>
        <v>545703.8844222948</v>
      </c>
      <c r="BC146" s="503">
        <f t="shared" si="830"/>
        <v>426462.84984532429</v>
      </c>
      <c r="BD146" s="503">
        <f t="shared" si="830"/>
        <v>474181.53773590032</v>
      </c>
      <c r="BE146" s="503">
        <f t="shared" ref="BE146:BN146" si="831">+BE147+BE148</f>
        <v>471474.2490666667</v>
      </c>
      <c r="BF146" s="503">
        <f t="shared" si="831"/>
        <v>606295.76942222228</v>
      </c>
      <c r="BG146" s="503">
        <f t="shared" si="831"/>
        <v>467918.60588888894</v>
      </c>
      <c r="BH146" s="503">
        <f t="shared" si="831"/>
        <v>513275.44612444448</v>
      </c>
      <c r="BI146" s="503">
        <f t="shared" si="831"/>
        <v>529516.16533333331</v>
      </c>
      <c r="BJ146" s="503">
        <f t="shared" si="831"/>
        <v>708109.82330000005</v>
      </c>
      <c r="BK146" s="503">
        <f t="shared" si="831"/>
        <v>550162.50089111109</v>
      </c>
      <c r="BL146" s="503">
        <f t="shared" si="831"/>
        <v>583097.25693333335</v>
      </c>
      <c r="BM146" s="503">
        <f t="shared" si="831"/>
        <v>591882.64155555563</v>
      </c>
      <c r="BN146" s="503">
        <f t="shared" si="831"/>
        <v>790080.97848888906</v>
      </c>
      <c r="BO146" s="503">
        <f>+BO147+BO148</f>
        <v>559005.60795555555</v>
      </c>
      <c r="BP146" s="503">
        <f>+BP147+BP148</f>
        <v>281593.36111111112</v>
      </c>
      <c r="BQ146" s="503">
        <f t="shared" ref="BQ146:BV146" si="832">+BQ147+BQ148</f>
        <v>411790.5801777778</v>
      </c>
      <c r="BR146" s="503">
        <f t="shared" si="832"/>
        <v>737073.64262222219</v>
      </c>
      <c r="BS146" s="503">
        <f t="shared" si="832"/>
        <v>480224.59720000002</v>
      </c>
      <c r="BT146" s="503">
        <f t="shared" si="832"/>
        <v>555614.02862222225</v>
      </c>
      <c r="BU146" s="503">
        <f t="shared" si="832"/>
        <v>599218.53732385382</v>
      </c>
      <c r="BV146" s="503">
        <f t="shared" si="832"/>
        <v>842705.31531929038</v>
      </c>
      <c r="BW146" s="503">
        <f t="shared" ref="BW146:CD146" si="833">+BW147+BW148</f>
        <v>667698.96463050263</v>
      </c>
      <c r="BX146" s="503">
        <f t="shared" si="833"/>
        <v>775564.94261878531</v>
      </c>
      <c r="BY146" s="503">
        <f t="shared" si="833"/>
        <v>720023.63288533385</v>
      </c>
      <c r="BZ146" s="503">
        <f t="shared" si="833"/>
        <v>866079.81939990481</v>
      </c>
      <c r="CA146" s="503">
        <f t="shared" si="833"/>
        <v>632963.53169231559</v>
      </c>
      <c r="CB146" s="503">
        <f t="shared" si="833"/>
        <v>667955.56323891343</v>
      </c>
      <c r="CC146" s="503">
        <f t="shared" si="833"/>
        <v>608848.84944601543</v>
      </c>
      <c r="CD146" s="503">
        <f t="shared" si="833"/>
        <v>758136.16351565521</v>
      </c>
      <c r="CE146" s="503">
        <f t="shared" ref="CE146:CH146" si="834">+CE147+CE148</f>
        <v>601269.76943794859</v>
      </c>
      <c r="CF146" s="503">
        <f t="shared" si="834"/>
        <v>658248.74822875927</v>
      </c>
      <c r="CG146" s="503">
        <f t="shared" si="834"/>
        <v>674735.27746522368</v>
      </c>
      <c r="CH146" s="503">
        <f t="shared" si="834"/>
        <v>849998.26865286287</v>
      </c>
      <c r="CI146" s="503">
        <f t="shared" ref="CI146:CL146" si="835">+CI147+CI148</f>
        <v>661265.20102989255</v>
      </c>
      <c r="CJ146" s="503">
        <f t="shared" si="835"/>
        <v>731554.39854072349</v>
      </c>
      <c r="CK146" s="503">
        <f t="shared" si="835"/>
        <v>679592.69690032606</v>
      </c>
      <c r="CL146" s="503">
        <f t="shared" si="835"/>
        <v>888449.93652599212</v>
      </c>
      <c r="CM146" s="503">
        <f t="shared" ref="CM146:CP146" si="836">+CM147+CM148</f>
        <v>751947.60131391673</v>
      </c>
      <c r="CN146" s="503">
        <f t="shared" si="836"/>
        <v>861855.62553503644</v>
      </c>
      <c r="CO146" s="503">
        <f t="shared" si="836"/>
        <v>843841.5178101717</v>
      </c>
      <c r="CP146" s="503">
        <f t="shared" si="836"/>
        <v>1105030.7960211674</v>
      </c>
      <c r="CQ146" s="503"/>
      <c r="CR146" s="570"/>
      <c r="CS146" s="503">
        <v>736004.09623712255</v>
      </c>
      <c r="CT146" s="1133"/>
      <c r="CU146" s="475"/>
      <c r="CV146" s="475"/>
      <c r="CW146" s="504"/>
      <c r="CX146" s="504"/>
      <c r="CY146" s="505">
        <f>+V146</f>
        <v>305960.38762222225</v>
      </c>
      <c r="CZ146" s="505">
        <f>+Z146</f>
        <v>324688.46497777785</v>
      </c>
      <c r="DA146" s="505">
        <f>+AD146</f>
        <v>346376.32578512363</v>
      </c>
      <c r="DB146" s="505">
        <f>+AH146</f>
        <v>402362.90579872159</v>
      </c>
      <c r="DC146" s="505">
        <f>+AL146</f>
        <v>465732.13775752584</v>
      </c>
      <c r="DD146" s="505">
        <f>+AP146</f>
        <v>510040.63181467756</v>
      </c>
      <c r="DE146" s="505">
        <f>+AT146</f>
        <v>466992.33209491451</v>
      </c>
      <c r="DF146" s="505">
        <f>+AX146</f>
        <v>521932.59522222227</v>
      </c>
      <c r="DG146" s="505">
        <f>+DG147+DG148</f>
        <v>545703.8844222948</v>
      </c>
      <c r="DH146" s="505">
        <f>+DH147+DH148</f>
        <v>606295.76942222228</v>
      </c>
      <c r="DI146" s="505">
        <f>+DI147+DI148</f>
        <v>708109.82330000005</v>
      </c>
      <c r="DJ146" s="505">
        <f>+DJ147+DJ148</f>
        <v>790080.97848888906</v>
      </c>
      <c r="DK146" s="505">
        <f t="shared" ref="DK146:DL146" si="837">+DK147+DK148</f>
        <v>559005.60795555555</v>
      </c>
      <c r="DL146" s="505">
        <f t="shared" si="837"/>
        <v>281593.36111111112</v>
      </c>
      <c r="DM146" s="505">
        <f t="shared" ref="DM146:DR146" si="838">+DM147+DM148</f>
        <v>411790.5801777778</v>
      </c>
      <c r="DN146" s="505">
        <f t="shared" si="838"/>
        <v>737073.64262222219</v>
      </c>
      <c r="DO146" s="505">
        <f t="shared" si="838"/>
        <v>480224.59720000002</v>
      </c>
      <c r="DP146" s="505">
        <f t="shared" si="838"/>
        <v>555614.02862222225</v>
      </c>
      <c r="DQ146" s="505">
        <f t="shared" ref="DQ146" si="839">+DQ147+DQ148</f>
        <v>599218.53732385382</v>
      </c>
      <c r="DR146" s="505">
        <f t="shared" si="838"/>
        <v>842705.31531929038</v>
      </c>
      <c r="DS146" s="505">
        <f t="shared" ref="DS146:DU146" si="840">+DS147+DS148</f>
        <v>667698.96463050263</v>
      </c>
      <c r="DT146" s="505">
        <f t="shared" si="840"/>
        <v>775564.94261878531</v>
      </c>
      <c r="DU146" s="505">
        <f t="shared" si="840"/>
        <v>720023.63288533385</v>
      </c>
      <c r="DV146" s="355"/>
      <c r="DW146" s="355"/>
      <c r="DY146" s="505">
        <v>555614.02862222225</v>
      </c>
      <c r="DZ146" s="505">
        <v>599218.53732385382</v>
      </c>
    </row>
    <row r="147" spans="1:130" s="302" customFormat="1" hidden="1">
      <c r="A147" s="506" t="s">
        <v>638</v>
      </c>
      <c r="B147" s="355"/>
      <c r="C147" s="502"/>
      <c r="D147" s="502"/>
      <c r="E147" s="502"/>
      <c r="F147" s="502"/>
      <c r="G147" s="357">
        <v>0</v>
      </c>
      <c r="H147" s="357">
        <v>0</v>
      </c>
      <c r="I147" s="357">
        <v>0</v>
      </c>
      <c r="J147" s="357">
        <v>0</v>
      </c>
      <c r="K147" s="357">
        <v>9577.8720000000012</v>
      </c>
      <c r="L147" s="357">
        <v>28951.778800000004</v>
      </c>
      <c r="M147" s="357">
        <v>37238.505511111114</v>
      </c>
      <c r="N147" s="357">
        <v>57684.086733333344</v>
      </c>
      <c r="O147" s="357">
        <v>159283.75373333337</v>
      </c>
      <c r="P147" s="357">
        <v>181545.36413333335</v>
      </c>
      <c r="Q147" s="357">
        <v>179863.52433333336</v>
      </c>
      <c r="R147" s="357">
        <v>223049.04351111111</v>
      </c>
      <c r="S147" s="357">
        <v>177915.86826666669</v>
      </c>
      <c r="T147" s="357">
        <v>186756.50982222226</v>
      </c>
      <c r="U147" s="357">
        <v>181150.28315555557</v>
      </c>
      <c r="V147" s="357">
        <v>225526.9079777778</v>
      </c>
      <c r="W147" s="357">
        <v>177109.03004444443</v>
      </c>
      <c r="X147" s="357">
        <v>198810.72931111115</v>
      </c>
      <c r="Y147" s="357">
        <v>193577.13644444445</v>
      </c>
      <c r="Z147" s="357">
        <v>239385.12711111119</v>
      </c>
      <c r="AA147" s="357">
        <v>186122.06986666669</v>
      </c>
      <c r="AB147" s="357">
        <v>204249.50802222226</v>
      </c>
      <c r="AC147" s="357">
        <v>205065.81720000002</v>
      </c>
      <c r="AD147" s="357">
        <v>255425.66723927364</v>
      </c>
      <c r="AE147" s="357">
        <v>205898.869378748</v>
      </c>
      <c r="AF147" s="357">
        <v>233145.49430662233</v>
      </c>
      <c r="AG147" s="357">
        <v>234992.83694486288</v>
      </c>
      <c r="AH147" s="357">
        <v>296465.5567315775</v>
      </c>
      <c r="AI147" s="357">
        <v>236292.12961505164</v>
      </c>
      <c r="AJ147" s="357">
        <v>252999.83703962856</v>
      </c>
      <c r="AK147" s="357">
        <v>264522.02856111602</v>
      </c>
      <c r="AL147" s="357">
        <v>342855.36905221676</v>
      </c>
      <c r="AM147" s="357">
        <v>270909.95408695698</v>
      </c>
      <c r="AN147" s="357">
        <v>281442.67912019778</v>
      </c>
      <c r="AO147" s="357">
        <v>292650.54024226521</v>
      </c>
      <c r="AP147" s="357">
        <v>375703.13600507553</v>
      </c>
      <c r="AQ147" s="357">
        <f t="shared" ref="AQ147:CD147" si="841">AQ49*(1/5+2/5+3/5)/3+AP49*(2/5*1/3+3/5*2/3)/3+AO49*(1/3*1/5)/3</f>
        <v>125109.65760000004</v>
      </c>
      <c r="AR147" s="357">
        <f t="shared" si="841"/>
        <v>232062.5346666667</v>
      </c>
      <c r="AS147" s="357">
        <f t="shared" si="841"/>
        <v>250816.80004444448</v>
      </c>
      <c r="AT147" s="357">
        <f t="shared" si="841"/>
        <v>340482.57057777781</v>
      </c>
      <c r="AU147" s="357">
        <f t="shared" si="841"/>
        <v>277944.90055555559</v>
      </c>
      <c r="AV147" s="357">
        <f t="shared" si="841"/>
        <v>298529.90842222224</v>
      </c>
      <c r="AW147" s="357">
        <f t="shared" si="841"/>
        <v>302640.75031111116</v>
      </c>
      <c r="AX147" s="357">
        <f t="shared" si="841"/>
        <v>384508.46097777784</v>
      </c>
      <c r="AY147" s="357">
        <f t="shared" si="841"/>
        <v>302290.00784444442</v>
      </c>
      <c r="AZ147" s="357">
        <f t="shared" si="841"/>
        <v>327526.27559999999</v>
      </c>
      <c r="BA147" s="357">
        <f t="shared" si="841"/>
        <v>318821.07795555552</v>
      </c>
      <c r="BB147" s="357">
        <f t="shared" si="841"/>
        <v>401891.26377953746</v>
      </c>
      <c r="BC147" s="357">
        <f t="shared" si="841"/>
        <v>328027.47344275739</v>
      </c>
      <c r="BD147" s="357">
        <f t="shared" si="841"/>
        <v>351482.14760256698</v>
      </c>
      <c r="BE147" s="357">
        <f t="shared" si="841"/>
        <v>354426.33973333339</v>
      </c>
      <c r="BF147" s="357">
        <f t="shared" si="841"/>
        <v>446845.39133333339</v>
      </c>
      <c r="BG147" s="357">
        <f t="shared" si="841"/>
        <v>360320.7864888889</v>
      </c>
      <c r="BH147" s="357">
        <f t="shared" si="841"/>
        <v>380725.77604000003</v>
      </c>
      <c r="BI147" s="357">
        <f t="shared" si="841"/>
        <v>396867.70692444447</v>
      </c>
      <c r="BJ147" s="357">
        <f t="shared" si="841"/>
        <v>520878.70960888889</v>
      </c>
      <c r="BK147" s="357">
        <f t="shared" si="841"/>
        <v>423559.37209111114</v>
      </c>
      <c r="BL147" s="357">
        <f t="shared" si="841"/>
        <v>433547.97680000006</v>
      </c>
      <c r="BM147" s="357">
        <f t="shared" si="841"/>
        <v>443974.49773333338</v>
      </c>
      <c r="BN147" s="357">
        <f t="shared" si="841"/>
        <v>581165.29022222233</v>
      </c>
      <c r="BO147" s="357">
        <f t="shared" si="841"/>
        <v>434621.89626666665</v>
      </c>
      <c r="BP147" s="357">
        <f t="shared" si="841"/>
        <v>224540.15328888892</v>
      </c>
      <c r="BQ147" s="357">
        <f t="shared" si="841"/>
        <v>298788.44862222223</v>
      </c>
      <c r="BR147" s="357">
        <f t="shared" si="841"/>
        <v>535754.12995555555</v>
      </c>
      <c r="BS147" s="357">
        <f t="shared" si="841"/>
        <v>378147.95586666669</v>
      </c>
      <c r="BT147" s="357">
        <f t="shared" si="841"/>
        <v>409262.96933333337</v>
      </c>
      <c r="BU147" s="357">
        <f t="shared" si="841"/>
        <v>448059.83915924921</v>
      </c>
      <c r="BV147" s="357">
        <f t="shared" si="841"/>
        <v>618317.55696898862</v>
      </c>
      <c r="BW147" s="357">
        <f t="shared" si="841"/>
        <v>513327.86812873377</v>
      </c>
      <c r="BX147" s="357">
        <f t="shared" si="841"/>
        <v>573315.29343745601</v>
      </c>
      <c r="BY147" s="357">
        <f t="shared" si="841"/>
        <v>544595.32263272908</v>
      </c>
      <c r="BZ147" s="357">
        <f t="shared" si="841"/>
        <v>640404.52145260479</v>
      </c>
      <c r="CA147" s="357">
        <f t="shared" si="841"/>
        <v>489760.37472461845</v>
      </c>
      <c r="CB147" s="357">
        <f t="shared" si="841"/>
        <v>496336.16604864231</v>
      </c>
      <c r="CC147" s="357">
        <f t="shared" si="841"/>
        <v>460734.67147959623</v>
      </c>
      <c r="CD147" s="357">
        <f t="shared" si="841"/>
        <v>559317.27279707009</v>
      </c>
      <c r="CE147" s="357">
        <f t="shared" ref="CE147" si="842">CE49*(1/5+2/5+3/5)/3+CD49*(2/5*1/3+3/5*2/3)/3+CC49*(1/3*1/5)/3</f>
        <v>461623.22618465789</v>
      </c>
      <c r="CF147" s="357">
        <f t="shared" ref="CF147" si="843">CF49*(1/5+2/5+3/5)/3+CE49*(2/5*1/3+3/5*2/3)/3+CD49*(1/3*1/5)/3</f>
        <v>488570.97994915082</v>
      </c>
      <c r="CG147" s="357">
        <f t="shared" ref="CG147" si="844">CG49*(1/5+2/5+3/5)/3+CF49*(2/5*1/3+3/5*2/3)/3+CE49*(1/3*1/5)/3</f>
        <v>505912.79630442441</v>
      </c>
      <c r="CH147" s="357">
        <f t="shared" ref="CH147" si="845">CH49*(1/5+2/5+3/5)/3+CG49*(2/5*1/3+3/5*2/3)/3+CF49*(1/3*1/5)/3</f>
        <v>627473.6021928119</v>
      </c>
      <c r="CI147" s="357">
        <f t="shared" ref="CI147" si="846">CI49*(1/5+2/5+3/5)/3+CH49*(2/5*1/3+3/5*2/3)/3+CG49*(1/3*1/5)/3</f>
        <v>508627.68573794083</v>
      </c>
      <c r="CJ147" s="357">
        <f t="shared" ref="CJ147" si="847">CJ49*(1/5+2/5+3/5)/3+CI49*(2/5*1/3+3/5*2/3)/3+CH49*(1/3*1/5)/3</f>
        <v>542422.16449195181</v>
      </c>
      <c r="CK147" s="357">
        <f t="shared" ref="CK147" si="848">CK49*(1/5+2/5+3/5)/3+CJ49*(2/5*1/3+3/5*2/3)/3+CI49*(1/3*1/5)/3</f>
        <v>513690.06797677086</v>
      </c>
      <c r="CL147" s="357">
        <f t="shared" ref="CL147" si="849">CL49*(1/5+2/5+3/5)/3+CK49*(2/5*1/3+3/5*2/3)/3+CJ49*(1/3*1/5)/3</f>
        <v>653644.69442031928</v>
      </c>
      <c r="CM147" s="357">
        <f t="shared" ref="CM147" si="850">CM49*(1/5+2/5+3/5)/3+CL49*(2/5*1/3+3/5*2/3)/3+CK49*(1/3*1/5)/3</f>
        <v>574067.56519227382</v>
      </c>
      <c r="CN147" s="357">
        <f t="shared" ref="CN147" si="851">CN49*(1/5+2/5+3/5)/3+CM49*(2/5*1/3+3/5*2/3)/3+CL49*(1/3*1/5)/3</f>
        <v>638353.04713527684</v>
      </c>
      <c r="CO147" s="357">
        <f t="shared" ref="CO147" si="852">CO49*(1/5+2/5+3/5)/3+CN49*(2/5*1/3+3/5*2/3)/3+CM49*(1/3*1/5)/3</f>
        <v>635257.49756798206</v>
      </c>
      <c r="CP147" s="357">
        <f t="shared" ref="CP147" si="853">CP49*(1/5+2/5+3/5)/3+CO49*(2/5*1/3+3/5*2/3)/3+CN49*(1/3*1/5)/3</f>
        <v>813364.29119808879</v>
      </c>
      <c r="CQ147" s="357"/>
      <c r="CR147" s="399"/>
      <c r="CS147" s="357">
        <v>545502.72443561268</v>
      </c>
      <c r="CT147" s="1133"/>
      <c r="CU147" s="475"/>
      <c r="CV147" s="475"/>
      <c r="CW147" s="504"/>
      <c r="CX147" s="504"/>
      <c r="CY147" s="504">
        <f>+V147</f>
        <v>225526.9079777778</v>
      </c>
      <c r="CZ147" s="504">
        <f>+Z147</f>
        <v>239385.12711111119</v>
      </c>
      <c r="DA147" s="504">
        <f>+AD147</f>
        <v>255425.66723927364</v>
      </c>
      <c r="DB147" s="504">
        <f>+AH147</f>
        <v>296465.5567315775</v>
      </c>
      <c r="DC147" s="504">
        <f>+AL147</f>
        <v>342855.36905221676</v>
      </c>
      <c r="DD147" s="504">
        <f>+AP147</f>
        <v>375703.13600507553</v>
      </c>
      <c r="DE147" s="357">
        <f>+AT147</f>
        <v>340482.57057777781</v>
      </c>
      <c r="DF147" s="357">
        <f>+AX147</f>
        <v>384508.46097777784</v>
      </c>
      <c r="DG147" s="357">
        <f>+BB147</f>
        <v>401891.26377953746</v>
      </c>
      <c r="DH147" s="357">
        <f>+BF147</f>
        <v>446845.39133333339</v>
      </c>
      <c r="DI147" s="357">
        <f>+BJ147</f>
        <v>520878.70960888889</v>
      </c>
      <c r="DJ147" s="357">
        <f t="shared" ref="DJ147:DU148" si="854">+BN147</f>
        <v>581165.29022222233</v>
      </c>
      <c r="DK147" s="357">
        <f t="shared" si="854"/>
        <v>434621.89626666665</v>
      </c>
      <c r="DL147" s="357">
        <f t="shared" si="854"/>
        <v>224540.15328888892</v>
      </c>
      <c r="DM147" s="357">
        <f t="shared" si="854"/>
        <v>298788.44862222223</v>
      </c>
      <c r="DN147" s="357">
        <f t="shared" si="854"/>
        <v>535754.12995555555</v>
      </c>
      <c r="DO147" s="357">
        <f t="shared" si="854"/>
        <v>378147.95586666669</v>
      </c>
      <c r="DP147" s="357">
        <f t="shared" si="854"/>
        <v>409262.96933333337</v>
      </c>
      <c r="DQ147" s="357">
        <f t="shared" si="854"/>
        <v>448059.83915924921</v>
      </c>
      <c r="DR147" s="357">
        <f t="shared" si="854"/>
        <v>618317.55696898862</v>
      </c>
      <c r="DS147" s="357">
        <f t="shared" si="854"/>
        <v>513327.86812873377</v>
      </c>
      <c r="DT147" s="357">
        <f t="shared" si="854"/>
        <v>573315.29343745601</v>
      </c>
      <c r="DU147" s="357">
        <f t="shared" si="854"/>
        <v>544595.32263272908</v>
      </c>
      <c r="DV147" s="355"/>
      <c r="DW147" s="355"/>
      <c r="DY147" s="357">
        <v>409262.96933333337</v>
      </c>
      <c r="DZ147" s="357">
        <v>448059.83915924921</v>
      </c>
    </row>
    <row r="148" spans="1:130" s="302" customFormat="1" hidden="1">
      <c r="A148" s="506" t="s">
        <v>639</v>
      </c>
      <c r="B148" s="355"/>
      <c r="C148" s="502"/>
      <c r="D148" s="502"/>
      <c r="E148" s="502"/>
      <c r="F148" s="502"/>
      <c r="G148" s="357">
        <v>0</v>
      </c>
      <c r="H148" s="357">
        <v>0</v>
      </c>
      <c r="I148" s="357">
        <v>0</v>
      </c>
      <c r="J148" s="357">
        <v>0</v>
      </c>
      <c r="K148" s="357">
        <v>4256.8319999999994</v>
      </c>
      <c r="L148" s="357">
        <v>11507.635911111111</v>
      </c>
      <c r="M148" s="357">
        <v>12807.883533333335</v>
      </c>
      <c r="N148" s="357">
        <v>21374.471955555553</v>
      </c>
      <c r="O148" s="357">
        <v>47217.016133333338</v>
      </c>
      <c r="P148" s="357">
        <v>64570.585133333348</v>
      </c>
      <c r="Q148" s="357">
        <v>58703.992311111113</v>
      </c>
      <c r="R148" s="357">
        <v>79447.408266666665</v>
      </c>
      <c r="S148" s="357">
        <v>52894.040622222223</v>
      </c>
      <c r="T148" s="357">
        <v>64964.900755555551</v>
      </c>
      <c r="U148" s="357">
        <v>59074.751577777781</v>
      </c>
      <c r="V148" s="357">
        <v>80433.479644444436</v>
      </c>
      <c r="W148" s="357">
        <v>52214.253311111104</v>
      </c>
      <c r="X148" s="357">
        <v>70524.853244444443</v>
      </c>
      <c r="Y148" s="357">
        <v>62834.152311111109</v>
      </c>
      <c r="Z148" s="357">
        <v>85303.337866666669</v>
      </c>
      <c r="AA148" s="357">
        <v>54616.712822222224</v>
      </c>
      <c r="AB148" s="357">
        <v>72104.5052</v>
      </c>
      <c r="AC148" s="357">
        <v>67406.849511111111</v>
      </c>
      <c r="AD148" s="357">
        <v>90950.65854584999</v>
      </c>
      <c r="AE148" s="357">
        <v>61533.583577297024</v>
      </c>
      <c r="AF148" s="357">
        <v>82657.972037083353</v>
      </c>
      <c r="AG148" s="357">
        <v>77238.379443975631</v>
      </c>
      <c r="AH148" s="357">
        <v>105897.34906714413</v>
      </c>
      <c r="AI148" s="357">
        <v>70132.523426158994</v>
      </c>
      <c r="AJ148" s="357">
        <v>88518.51608087022</v>
      </c>
      <c r="AK148" s="357">
        <v>88383.078525301986</v>
      </c>
      <c r="AL148" s="357">
        <v>122876.76870530908</v>
      </c>
      <c r="AM148" s="357">
        <v>79929.876310005435</v>
      </c>
      <c r="AN148" s="357">
        <v>97785.311547954785</v>
      </c>
      <c r="AO148" s="357">
        <v>97801.924020259728</v>
      </c>
      <c r="AP148" s="357">
        <v>134337.49580960203</v>
      </c>
      <c r="AQ148" s="357">
        <f>AQ49*(2/5*1/3+3/5*2/3)/3+AP48*(1/3*1/5)/3</f>
        <v>71043.248488045327</v>
      </c>
      <c r="AR148" s="357">
        <f>AR49*(2/5*1/3+3/5*2/3)/3+AQ48*(1/3*1/5)/3</f>
        <v>87667.512511165914</v>
      </c>
      <c r="AS148" s="357">
        <f>AS49*(2/5*1/3+3/5*2/3)/3+AR48*(1/3*1/5)/3</f>
        <v>86563.738212705633</v>
      </c>
      <c r="AT148" s="357">
        <f>AT49*(2/5*1/3+3/5*2/3)/3+AS48*(1/3*1/5)/3</f>
        <v>126509.76151713672</v>
      </c>
      <c r="AU148" s="357">
        <f t="shared" ref="AU148:CD148" si="855">AU49*(2/5*1/3+3/5*2/3)/3+AT49*(1/3*1/5)/3</f>
        <v>82937.129222222226</v>
      </c>
      <c r="AV148" s="357">
        <f t="shared" si="855"/>
        <v>104400.38831111109</v>
      </c>
      <c r="AW148" s="357">
        <f t="shared" si="855"/>
        <v>100084.20417777778</v>
      </c>
      <c r="AX148" s="357">
        <f t="shared" si="855"/>
        <v>137424.13424444443</v>
      </c>
      <c r="AY148" s="357">
        <f t="shared" si="855"/>
        <v>89075.069199999998</v>
      </c>
      <c r="AZ148" s="357">
        <f t="shared" si="855"/>
        <v>115137.52915555556</v>
      </c>
      <c r="BA148" s="357">
        <f t="shared" si="855"/>
        <v>103773.31093333334</v>
      </c>
      <c r="BB148" s="357">
        <f t="shared" si="855"/>
        <v>143812.62064275733</v>
      </c>
      <c r="BC148" s="357">
        <f t="shared" si="855"/>
        <v>98435.376402566879</v>
      </c>
      <c r="BD148" s="357">
        <f t="shared" si="855"/>
        <v>122699.39013333335</v>
      </c>
      <c r="BE148" s="357">
        <f t="shared" si="855"/>
        <v>117047.90933333334</v>
      </c>
      <c r="BF148" s="357">
        <f t="shared" si="855"/>
        <v>159450.37808888889</v>
      </c>
      <c r="BG148" s="357">
        <f t="shared" si="855"/>
        <v>107597.81940000001</v>
      </c>
      <c r="BH148" s="357">
        <f t="shared" si="855"/>
        <v>132549.67008444446</v>
      </c>
      <c r="BI148" s="357">
        <f t="shared" si="855"/>
        <v>132648.45840888887</v>
      </c>
      <c r="BJ148" s="357">
        <f t="shared" si="855"/>
        <v>187231.11369111112</v>
      </c>
      <c r="BK148" s="357">
        <f t="shared" si="855"/>
        <v>126603.12880000001</v>
      </c>
      <c r="BL148" s="357">
        <f t="shared" si="855"/>
        <v>149549.28013333335</v>
      </c>
      <c r="BM148" s="357">
        <f t="shared" si="855"/>
        <v>147908.14382222222</v>
      </c>
      <c r="BN148" s="357">
        <f t="shared" si="855"/>
        <v>208915.68826666666</v>
      </c>
      <c r="BO148" s="357">
        <f t="shared" si="855"/>
        <v>124383.71168888888</v>
      </c>
      <c r="BP148" s="357">
        <f t="shared" si="855"/>
        <v>57053.207822222226</v>
      </c>
      <c r="BQ148" s="357">
        <f t="shared" si="855"/>
        <v>113002.13155555556</v>
      </c>
      <c r="BR148" s="357">
        <f t="shared" si="855"/>
        <v>201319.51266666665</v>
      </c>
      <c r="BS148" s="357">
        <f t="shared" si="855"/>
        <v>102076.64133333333</v>
      </c>
      <c r="BT148" s="357">
        <f t="shared" si="855"/>
        <v>146351.05928888888</v>
      </c>
      <c r="BU148" s="357">
        <f t="shared" si="855"/>
        <v>151158.6981646046</v>
      </c>
      <c r="BV148" s="357">
        <f t="shared" si="855"/>
        <v>224387.75835030177</v>
      </c>
      <c r="BW148" s="357">
        <f t="shared" si="855"/>
        <v>154371.09650176886</v>
      </c>
      <c r="BX148" s="357">
        <f t="shared" si="855"/>
        <v>202249.6491813293</v>
      </c>
      <c r="BY148" s="357">
        <f t="shared" si="855"/>
        <v>175428.31025260472</v>
      </c>
      <c r="BZ148" s="357">
        <f t="shared" si="855"/>
        <v>225675.29794729999</v>
      </c>
      <c r="CA148" s="357">
        <f t="shared" si="855"/>
        <v>143203.15696769708</v>
      </c>
      <c r="CB148" s="357">
        <f t="shared" si="855"/>
        <v>171619.39719027109</v>
      </c>
      <c r="CC148" s="357">
        <f t="shared" si="855"/>
        <v>148114.17796641923</v>
      </c>
      <c r="CD148" s="357">
        <f t="shared" si="855"/>
        <v>198818.89071858508</v>
      </c>
      <c r="CE148" s="357">
        <f t="shared" ref="CE148" si="856">CE49*(2/5*1/3+3/5*2/3)/3+CD49*(1/3*1/5)/3</f>
        <v>139646.54325329073</v>
      </c>
      <c r="CF148" s="357">
        <f t="shared" ref="CF148" si="857">CF49*(2/5*1/3+3/5*2/3)/3+CE49*(1/3*1/5)/3</f>
        <v>169677.76827960851</v>
      </c>
      <c r="CG148" s="357">
        <f t="shared" ref="CG148" si="858">CG49*(2/5*1/3+3/5*2/3)/3+CF49*(1/3*1/5)/3</f>
        <v>168822.48116079927</v>
      </c>
      <c r="CH148" s="357">
        <f t="shared" ref="CH148" si="859">CH49*(2/5*1/3+3/5*2/3)/3+CG49*(1/3*1/5)/3</f>
        <v>222524.66646005094</v>
      </c>
      <c r="CI148" s="357">
        <f t="shared" ref="CI148" si="860">CI49*(2/5*1/3+3/5*2/3)/3+CH49*(1/3*1/5)/3</f>
        <v>152637.51529195174</v>
      </c>
      <c r="CJ148" s="357">
        <f t="shared" ref="CJ148" si="861">CJ49*(2/5*1/3+3/5*2/3)/3+CI49*(1/3*1/5)/3</f>
        <v>189132.23404877167</v>
      </c>
      <c r="CK148" s="357">
        <f t="shared" ref="CK148" si="862">CK49*(2/5*1/3+3/5*2/3)/3+CJ49*(1/3*1/5)/3</f>
        <v>165902.62892355517</v>
      </c>
      <c r="CL148" s="357">
        <f t="shared" ref="CL148" si="863">CL49*(2/5*1/3+3/5*2/3)/3+CK49*(1/3*1/5)/3</f>
        <v>234805.24210567283</v>
      </c>
      <c r="CM148" s="357">
        <f t="shared" ref="CM148" si="864">CM49*(2/5*1/3+3/5*2/3)/3+CL49*(1/3*1/5)/3</f>
        <v>177880.03612164289</v>
      </c>
      <c r="CN148" s="357">
        <f t="shared" ref="CN148" si="865">CN49*(2/5*1/3+3/5*2/3)/3+CM49*(1/3*1/5)/3</f>
        <v>223502.57839975957</v>
      </c>
      <c r="CO148" s="357">
        <f t="shared" ref="CO148" si="866">CO49*(2/5*1/3+3/5*2/3)/3+CN49*(1/3*1/5)/3</f>
        <v>208584.02024218958</v>
      </c>
      <c r="CP148" s="357">
        <f t="shared" ref="CP148" si="867">CP49*(2/5*1/3+3/5*2/3)/3+CO49*(1/3*1/5)/3</f>
        <v>291666.50482307863</v>
      </c>
      <c r="CQ148" s="357"/>
      <c r="CR148" s="399"/>
      <c r="CS148" s="357">
        <v>190501.37180150984</v>
      </c>
      <c r="CT148" s="1133"/>
      <c r="CU148" s="475"/>
      <c r="CV148" s="475"/>
      <c r="CW148" s="504"/>
      <c r="CX148" s="504"/>
      <c r="CY148" s="504">
        <f>+V148</f>
        <v>80433.479644444436</v>
      </c>
      <c r="CZ148" s="504">
        <f>+Z148</f>
        <v>85303.337866666669</v>
      </c>
      <c r="DA148" s="504">
        <f>+AD148</f>
        <v>90950.65854584999</v>
      </c>
      <c r="DB148" s="504">
        <f>+AH148</f>
        <v>105897.34906714413</v>
      </c>
      <c r="DC148" s="504">
        <f>+AL148</f>
        <v>122876.76870530908</v>
      </c>
      <c r="DD148" s="504">
        <f>+AP148</f>
        <v>134337.49580960203</v>
      </c>
      <c r="DE148" s="357">
        <f>+AT148</f>
        <v>126509.76151713672</v>
      </c>
      <c r="DF148" s="357">
        <f>+AX148</f>
        <v>137424.13424444443</v>
      </c>
      <c r="DG148" s="357">
        <f>+BB148</f>
        <v>143812.62064275733</v>
      </c>
      <c r="DH148" s="357">
        <f>+BF148</f>
        <v>159450.37808888889</v>
      </c>
      <c r="DI148" s="357">
        <f>+BJ148</f>
        <v>187231.11369111112</v>
      </c>
      <c r="DJ148" s="357">
        <f t="shared" si="854"/>
        <v>208915.68826666666</v>
      </c>
      <c r="DK148" s="357">
        <f t="shared" si="854"/>
        <v>124383.71168888888</v>
      </c>
      <c r="DL148" s="357">
        <f t="shared" si="854"/>
        <v>57053.207822222226</v>
      </c>
      <c r="DM148" s="357">
        <f t="shared" si="854"/>
        <v>113002.13155555556</v>
      </c>
      <c r="DN148" s="357">
        <f t="shared" si="854"/>
        <v>201319.51266666665</v>
      </c>
      <c r="DO148" s="357">
        <f t="shared" si="854"/>
        <v>102076.64133333333</v>
      </c>
      <c r="DP148" s="357">
        <f t="shared" si="854"/>
        <v>146351.05928888888</v>
      </c>
      <c r="DQ148" s="357">
        <f t="shared" si="854"/>
        <v>151158.6981646046</v>
      </c>
      <c r="DR148" s="357">
        <f t="shared" si="854"/>
        <v>224387.75835030177</v>
      </c>
      <c r="DS148" s="357">
        <f t="shared" si="854"/>
        <v>154371.09650176886</v>
      </c>
      <c r="DT148" s="357">
        <f t="shared" si="854"/>
        <v>202249.6491813293</v>
      </c>
      <c r="DU148" s="357">
        <f t="shared" si="854"/>
        <v>175428.31025260472</v>
      </c>
      <c r="DV148" s="355"/>
      <c r="DW148" s="355"/>
      <c r="DY148" s="357">
        <v>146351.05928888888</v>
      </c>
      <c r="DZ148" s="357">
        <v>151158.6981646046</v>
      </c>
    </row>
    <row r="149" spans="1:130" s="302" customFormat="1" hidden="1">
      <c r="A149" s="501"/>
      <c r="B149" s="355"/>
      <c r="C149" s="502"/>
      <c r="D149" s="502"/>
      <c r="E149" s="502"/>
      <c r="F149" s="502"/>
      <c r="G149" s="502"/>
      <c r="H149" s="498"/>
      <c r="I149" s="498"/>
      <c r="J149" s="498"/>
      <c r="K149" s="498"/>
      <c r="L149" s="498"/>
      <c r="M149" s="498"/>
      <c r="N149" s="498"/>
      <c r="O149" s="357"/>
      <c r="P149" s="357"/>
      <c r="Q149" s="357"/>
      <c r="R149" s="357"/>
      <c r="S149" s="357"/>
      <c r="T149" s="357"/>
      <c r="U149" s="357"/>
      <c r="V149" s="357"/>
      <c r="W149" s="357"/>
      <c r="X149" s="357"/>
      <c r="Y149" s="357"/>
      <c r="Z149" s="357"/>
      <c r="AA149" s="357"/>
      <c r="AB149" s="357"/>
      <c r="AC149" s="357"/>
      <c r="AD149" s="357"/>
      <c r="AE149" s="357"/>
      <c r="AF149" s="357"/>
      <c r="AG149" s="357"/>
      <c r="AH149" s="357"/>
      <c r="AI149" s="357"/>
      <c r="AJ149" s="357"/>
      <c r="AK149" s="357"/>
      <c r="AL149" s="357"/>
      <c r="AM149" s="357"/>
      <c r="AN149" s="357"/>
      <c r="AO149" s="357"/>
      <c r="AP149" s="357"/>
      <c r="AQ149" s="357"/>
      <c r="AR149" s="357"/>
      <c r="AS149" s="357"/>
      <c r="AT149" s="357"/>
      <c r="AU149" s="357"/>
      <c r="AV149" s="357"/>
      <c r="AW149" s="357"/>
      <c r="AX149" s="357"/>
      <c r="AY149" s="357"/>
      <c r="AZ149" s="357"/>
      <c r="BA149" s="357"/>
      <c r="BB149" s="507"/>
      <c r="BC149" s="507"/>
      <c r="BD149" s="507"/>
      <c r="BE149" s="507"/>
      <c r="BF149" s="507"/>
      <c r="BG149" s="507"/>
      <c r="BH149" s="507"/>
      <c r="BI149" s="507"/>
      <c r="BJ149" s="507"/>
      <c r="BK149" s="507"/>
      <c r="BL149" s="507"/>
      <c r="BM149" s="507"/>
      <c r="BN149" s="399"/>
      <c r="BO149" s="399"/>
      <c r="BP149" s="399"/>
      <c r="BQ149" s="399"/>
      <c r="BR149" s="399"/>
      <c r="BS149" s="399"/>
      <c r="BT149" s="399"/>
      <c r="BU149" s="399"/>
      <c r="BV149" s="399"/>
      <c r="BW149" s="399"/>
      <c r="BX149" s="399"/>
      <c r="BY149" s="399"/>
      <c r="BZ149" s="399"/>
      <c r="CA149" s="399"/>
      <c r="CB149" s="399"/>
      <c r="CC149" s="399"/>
      <c r="CD149" s="399"/>
      <c r="CE149" s="399"/>
      <c r="CF149" s="399"/>
      <c r="CG149" s="399"/>
      <c r="CH149" s="399"/>
      <c r="CI149" s="399"/>
      <c r="CJ149" s="399"/>
      <c r="CK149" s="399"/>
      <c r="CL149" s="399"/>
      <c r="CM149" s="399"/>
      <c r="CN149" s="399"/>
      <c r="CO149" s="399"/>
      <c r="CP149" s="399"/>
      <c r="CQ149" s="399"/>
      <c r="CR149" s="399"/>
      <c r="CS149" s="399"/>
      <c r="CT149" s="1133"/>
      <c r="CU149" s="475"/>
      <c r="CV149" s="475"/>
      <c r="CW149" s="504"/>
      <c r="CX149" s="504"/>
      <c r="CY149" s="504"/>
      <c r="CZ149" s="504"/>
      <c r="DA149" s="504"/>
      <c r="DB149" s="504"/>
      <c r="DC149" s="12"/>
      <c r="DD149" s="12"/>
      <c r="DE149" s="12"/>
      <c r="DF149" s="12"/>
      <c r="DG149" s="12"/>
      <c r="DH149" s="12"/>
      <c r="DI149" s="12"/>
      <c r="DJ149" s="12"/>
      <c r="DK149" s="12"/>
      <c r="DL149" s="12"/>
      <c r="DM149" s="12"/>
      <c r="DN149" s="12"/>
      <c r="DO149" s="12"/>
      <c r="DP149" s="12"/>
      <c r="DQ149" s="12"/>
      <c r="DR149" s="12"/>
      <c r="DS149" s="12"/>
      <c r="DT149" s="12"/>
      <c r="DU149" s="12"/>
      <c r="DV149" s="355"/>
      <c r="DW149" s="355"/>
      <c r="DY149" s="12"/>
      <c r="DZ149" s="12"/>
    </row>
    <row r="150" spans="1:130" s="302" customFormat="1" hidden="1">
      <c r="A150" s="501" t="s">
        <v>640</v>
      </c>
      <c r="B150" s="355"/>
      <c r="C150" s="502"/>
      <c r="D150" s="502"/>
      <c r="E150" s="502"/>
      <c r="F150" s="502"/>
      <c r="G150" s="502"/>
      <c r="H150" s="498"/>
      <c r="I150" s="498"/>
      <c r="J150" s="498"/>
      <c r="K150" s="498"/>
      <c r="L150" s="498"/>
      <c r="M150" s="498"/>
      <c r="N150" s="498"/>
      <c r="O150" s="505">
        <v>63324.069680555556</v>
      </c>
      <c r="P150" s="505">
        <v>67462.923722222215</v>
      </c>
      <c r="Q150" s="505">
        <v>63545.386722222232</v>
      </c>
      <c r="R150" s="505">
        <v>92097.578138888901</v>
      </c>
      <c r="S150" s="505">
        <v>76164.331305555563</v>
      </c>
      <c r="T150" s="505">
        <v>87601.156986111091</v>
      </c>
      <c r="U150" s="505">
        <v>80555.331027777764</v>
      </c>
      <c r="V150" s="505">
        <v>83287.654680555555</v>
      </c>
      <c r="W150" s="505">
        <v>56721.000708333326</v>
      </c>
      <c r="X150" s="505">
        <v>67245.361875000002</v>
      </c>
      <c r="Y150" s="505">
        <v>69810.784027777772</v>
      </c>
      <c r="Z150" s="505">
        <v>94435.792111111121</v>
      </c>
      <c r="AA150" s="505">
        <v>78372.098902777769</v>
      </c>
      <c r="AB150" s="505">
        <v>89858.726374999998</v>
      </c>
      <c r="AC150" s="505">
        <v>86707.58998611111</v>
      </c>
      <c r="AD150" s="505">
        <v>108903.66546891505</v>
      </c>
      <c r="AE150" s="505">
        <v>89891.657073625523</v>
      </c>
      <c r="AF150" s="505">
        <v>99137.134673287917</v>
      </c>
      <c r="AG150" s="505">
        <v>92486.929613916203</v>
      </c>
      <c r="AH150" s="505">
        <v>116065.95912538645</v>
      </c>
      <c r="AI150" s="505">
        <v>99016.645865890445</v>
      </c>
      <c r="AJ150" s="505">
        <v>115119.48929419428</v>
      </c>
      <c r="AK150" s="505">
        <v>111187.8487696089</v>
      </c>
      <c r="AL150" s="505">
        <v>138790.87647114301</v>
      </c>
      <c r="AM150" s="505">
        <v>117400.87650297307</v>
      </c>
      <c r="AN150" s="505">
        <v>127698.71478569812</v>
      </c>
      <c r="AO150" s="505">
        <v>125595.5716534963</v>
      </c>
      <c r="AP150" s="505">
        <v>156174.49445947484</v>
      </c>
      <c r="AQ150" s="505">
        <f t="shared" ref="AQ150:BD150" si="868">+AQ151+AQ152+AQ153</f>
        <v>113163.96953916407</v>
      </c>
      <c r="AR150" s="505">
        <f t="shared" si="868"/>
        <v>117225.28761302819</v>
      </c>
      <c r="AS150" s="505">
        <f t="shared" si="868"/>
        <v>114400.76375379946</v>
      </c>
      <c r="AT150" s="505">
        <f t="shared" si="868"/>
        <v>140761.79200645094</v>
      </c>
      <c r="AU150" s="505">
        <f t="shared" si="868"/>
        <v>104021.99436111109</v>
      </c>
      <c r="AV150" s="505">
        <f t="shared" si="868"/>
        <v>113404.83647222222</v>
      </c>
      <c r="AW150" s="505">
        <f t="shared" si="868"/>
        <v>110124.37956944444</v>
      </c>
      <c r="AX150" s="505">
        <f t="shared" si="868"/>
        <v>132292.50809722222</v>
      </c>
      <c r="AY150" s="505">
        <f t="shared" si="868"/>
        <v>103358.09545833334</v>
      </c>
      <c r="AZ150" s="505">
        <f t="shared" si="868"/>
        <v>108579.05756944444</v>
      </c>
      <c r="BA150" s="505">
        <f t="shared" si="868"/>
        <v>101858.0796388889</v>
      </c>
      <c r="BB150" s="505">
        <f t="shared" si="868"/>
        <v>125699.73066251249</v>
      </c>
      <c r="BC150" s="505">
        <f t="shared" si="868"/>
        <v>102643.06167484769</v>
      </c>
      <c r="BD150" s="505">
        <f t="shared" si="868"/>
        <v>104143.43754575716</v>
      </c>
      <c r="BE150" s="505">
        <f t="shared" ref="BE150:BN150" si="869">+BE151+BE152+BE153</f>
        <v>98574.869020516227</v>
      </c>
      <c r="BF150" s="505">
        <f t="shared" si="869"/>
        <v>123230.42501388889</v>
      </c>
      <c r="BG150" s="505">
        <f t="shared" si="869"/>
        <v>103823.77377777779</v>
      </c>
      <c r="BH150" s="505">
        <f t="shared" si="869"/>
        <v>107835.23736805556</v>
      </c>
      <c r="BI150" s="505">
        <f t="shared" si="869"/>
        <v>101208.70410833333</v>
      </c>
      <c r="BJ150" s="505">
        <f t="shared" si="869"/>
        <v>123718.76159027778</v>
      </c>
      <c r="BK150" s="505">
        <f t="shared" si="869"/>
        <v>105081.58770694444</v>
      </c>
      <c r="BL150" s="505">
        <f t="shared" si="869"/>
        <v>113604.95750277778</v>
      </c>
      <c r="BM150" s="505">
        <f t="shared" si="869"/>
        <v>108313.03851388888</v>
      </c>
      <c r="BN150" s="505">
        <f t="shared" si="869"/>
        <v>128598.33293055557</v>
      </c>
      <c r="BO150" s="505">
        <f>+BO151+BO152+BO153</f>
        <v>98000.829833333322</v>
      </c>
      <c r="BP150" s="505">
        <f>+BP151+BP152+BP153</f>
        <v>50308.225361111115</v>
      </c>
      <c r="BQ150" s="505">
        <f t="shared" ref="BQ150:BV150" si="870">+BQ151+BQ152+BQ153</f>
        <v>50168.746499999994</v>
      </c>
      <c r="BR150" s="505">
        <f t="shared" si="870"/>
        <v>75784.807472222223</v>
      </c>
      <c r="BS150" s="505">
        <f t="shared" si="870"/>
        <v>60565.867375000002</v>
      </c>
      <c r="BT150" s="505">
        <f t="shared" si="870"/>
        <v>71054.306138888889</v>
      </c>
      <c r="BU150" s="505">
        <f t="shared" si="870"/>
        <v>78564.770846854226</v>
      </c>
      <c r="BV150" s="505">
        <f t="shared" si="870"/>
        <v>102635.41949174862</v>
      </c>
      <c r="BW150" s="505">
        <f t="shared" ref="BW150:CD150" si="871">+BW151+BW152+BW153</f>
        <v>72995.116434862866</v>
      </c>
      <c r="BX150" s="505">
        <f t="shared" si="871"/>
        <v>64535.074530743965</v>
      </c>
      <c r="BY150" s="505">
        <f t="shared" si="871"/>
        <v>45869.939573606498</v>
      </c>
      <c r="BZ150" s="505">
        <f t="shared" si="871"/>
        <v>47389.555963004263</v>
      </c>
      <c r="CA150" s="505">
        <f t="shared" si="871"/>
        <v>32849.852252580495</v>
      </c>
      <c r="CB150" s="505">
        <f t="shared" si="871"/>
        <v>28316.048803805323</v>
      </c>
      <c r="CC150" s="505">
        <f t="shared" si="871"/>
        <v>31560.188742464481</v>
      </c>
      <c r="CD150" s="505">
        <f t="shared" si="871"/>
        <v>44845.216301915782</v>
      </c>
      <c r="CE150" s="505">
        <f t="shared" ref="CE150:CH150" si="872">+CE151+CE152+CE153</f>
        <v>44018.749421649161</v>
      </c>
      <c r="CF150" s="505">
        <f t="shared" si="872"/>
        <v>51287.427667747383</v>
      </c>
      <c r="CG150" s="505">
        <f t="shared" si="872"/>
        <v>50544.253453203906</v>
      </c>
      <c r="CH150" s="505">
        <f t="shared" si="872"/>
        <v>55628.401912495312</v>
      </c>
      <c r="CI150" s="505">
        <f t="shared" ref="CI150:CL150" si="873">+CI151+CI152+CI153</f>
        <v>48574.706739748719</v>
      </c>
      <c r="CJ150" s="505">
        <f t="shared" si="873"/>
        <v>55111.161086319415</v>
      </c>
      <c r="CK150" s="505">
        <f t="shared" si="873"/>
        <v>51847.495632388585</v>
      </c>
      <c r="CL150" s="505">
        <f t="shared" si="873"/>
        <v>62485.971346595768</v>
      </c>
      <c r="CM150" s="505">
        <f t="shared" ref="CM150:CP150" si="874">+CM151+CM152+CM153</f>
        <v>54285.642559761014</v>
      </c>
      <c r="CN150" s="505">
        <f t="shared" si="874"/>
        <v>58652.894840525238</v>
      </c>
      <c r="CO150" s="505">
        <f t="shared" si="874"/>
        <v>55258.113442819231</v>
      </c>
      <c r="CP150" s="505">
        <f t="shared" si="874"/>
        <v>67180.785381688067</v>
      </c>
      <c r="CQ150" s="505"/>
      <c r="CR150" s="571"/>
      <c r="CS150" s="505">
        <v>52787.595644871988</v>
      </c>
      <c r="CT150" s="1133"/>
      <c r="CU150" s="475"/>
      <c r="CV150" s="475"/>
      <c r="CW150" s="504"/>
      <c r="CX150" s="504"/>
      <c r="CY150" s="505">
        <f>+V150</f>
        <v>83287.654680555555</v>
      </c>
      <c r="CZ150" s="505">
        <f>+Z150</f>
        <v>94435.792111111121</v>
      </c>
      <c r="DA150" s="505">
        <f>+AD150</f>
        <v>108903.66546891505</v>
      </c>
      <c r="DB150" s="505">
        <f>+AH150</f>
        <v>116065.95912538645</v>
      </c>
      <c r="DC150" s="505">
        <f>+AL150</f>
        <v>138790.87647114301</v>
      </c>
      <c r="DD150" s="505">
        <f>+AP150</f>
        <v>156174.49445947484</v>
      </c>
      <c r="DE150" s="505">
        <f>+AT150</f>
        <v>140761.79200645094</v>
      </c>
      <c r="DF150" s="505">
        <f>+AX150</f>
        <v>132292.50809722222</v>
      </c>
      <c r="DG150" s="505">
        <f>+DG151+DG152+DG153</f>
        <v>125699.73066251249</v>
      </c>
      <c r="DH150" s="505">
        <f>+DH151+DH152+DH153</f>
        <v>123230.42501388889</v>
      </c>
      <c r="DI150" s="505">
        <f>+DI151+DI152+DI153</f>
        <v>123718.76159027778</v>
      </c>
      <c r="DJ150" s="505">
        <f>+DJ151+DJ152+DJ153</f>
        <v>128598.33293055557</v>
      </c>
      <c r="DK150" s="505">
        <f t="shared" ref="DK150:DL150" si="875">+DK151+DK152+DK153</f>
        <v>98000.829833333322</v>
      </c>
      <c r="DL150" s="505">
        <f t="shared" si="875"/>
        <v>50308.225361111115</v>
      </c>
      <c r="DM150" s="505">
        <f t="shared" ref="DM150:DR150" si="876">+DM151+DM152+DM153</f>
        <v>50168.746499999994</v>
      </c>
      <c r="DN150" s="505">
        <f t="shared" si="876"/>
        <v>75784.807472222223</v>
      </c>
      <c r="DO150" s="505">
        <f t="shared" si="876"/>
        <v>60565.867375000002</v>
      </c>
      <c r="DP150" s="505">
        <f t="shared" si="876"/>
        <v>71054.306138888889</v>
      </c>
      <c r="DQ150" s="505">
        <f t="shared" ref="DQ150" si="877">+DQ151+DQ152+DQ153</f>
        <v>78564.770846854226</v>
      </c>
      <c r="DR150" s="505">
        <f t="shared" si="876"/>
        <v>102635.41949174862</v>
      </c>
      <c r="DS150" s="505">
        <f t="shared" ref="DS150:DU150" si="878">+DS151+DS152+DS153</f>
        <v>72995.116434862866</v>
      </c>
      <c r="DT150" s="505">
        <f t="shared" si="878"/>
        <v>64535.074530743965</v>
      </c>
      <c r="DU150" s="505">
        <f t="shared" si="878"/>
        <v>45869.939573606498</v>
      </c>
      <c r="DV150" s="355"/>
      <c r="DW150" s="355"/>
      <c r="DY150" s="505">
        <v>71054.306138888889</v>
      </c>
      <c r="DZ150" s="505">
        <v>78564.770846854226</v>
      </c>
    </row>
    <row r="151" spans="1:130" s="302" customFormat="1" hidden="1">
      <c r="A151" s="506" t="s">
        <v>638</v>
      </c>
      <c r="B151" s="355"/>
      <c r="C151" s="502"/>
      <c r="D151" s="502"/>
      <c r="E151" s="502"/>
      <c r="F151" s="502"/>
      <c r="G151" s="502"/>
      <c r="H151" s="498"/>
      <c r="I151" s="498"/>
      <c r="J151" s="498"/>
      <c r="K151" s="498"/>
      <c r="L151" s="498"/>
      <c r="M151" s="498"/>
      <c r="N151" s="498"/>
      <c r="O151" s="357">
        <v>35594.611708333337</v>
      </c>
      <c r="P151" s="357">
        <v>40188.737972222225</v>
      </c>
      <c r="Q151" s="357">
        <v>35691.852250000004</v>
      </c>
      <c r="R151" s="357">
        <v>51227.021500000003</v>
      </c>
      <c r="S151" s="357">
        <v>42633.153972222222</v>
      </c>
      <c r="T151" s="357">
        <v>51385.542916666658</v>
      </c>
      <c r="U151" s="357">
        <v>45141.526291666662</v>
      </c>
      <c r="V151" s="357">
        <v>48099.966777777779</v>
      </c>
      <c r="W151" s="357">
        <v>33690.057958333331</v>
      </c>
      <c r="X151" s="357">
        <v>39522.851944444446</v>
      </c>
      <c r="Y151" s="357">
        <v>38175.320180555558</v>
      </c>
      <c r="Z151" s="357">
        <v>52750.677750000003</v>
      </c>
      <c r="AA151" s="357">
        <v>44392.531722222222</v>
      </c>
      <c r="AB151" s="357">
        <v>52460.174138888884</v>
      </c>
      <c r="AC151" s="357">
        <v>48408.889791666668</v>
      </c>
      <c r="AD151" s="357">
        <v>61428.059514172179</v>
      </c>
      <c r="AE151" s="357">
        <v>51081.62883686844</v>
      </c>
      <c r="AF151" s="357">
        <v>58019.985915325589</v>
      </c>
      <c r="AG151" s="357">
        <v>51986.097189890097</v>
      </c>
      <c r="AH151" s="357">
        <v>65587.060392837433</v>
      </c>
      <c r="AI151" s="357">
        <v>55984.682331534663</v>
      </c>
      <c r="AJ151" s="357">
        <v>66694.894286070514</v>
      </c>
      <c r="AK151" s="357">
        <v>62162.814543637141</v>
      </c>
      <c r="AL151" s="357">
        <v>78392.273798138893</v>
      </c>
      <c r="AM151" s="357">
        <v>66563.851177130375</v>
      </c>
      <c r="AN151" s="357">
        <v>74595.914722652655</v>
      </c>
      <c r="AO151" s="357">
        <v>70508.948912259541</v>
      </c>
      <c r="AP151" s="357">
        <v>87811.527881111309</v>
      </c>
      <c r="AQ151" s="357">
        <f>AQ41*(1/8+2/8+3/8)/3+AP40*(3/8)/3+AO40*(1/3*2/8+2/3*3/8)/3+AN40*(1/3*1/8)/3</f>
        <v>65291.463801740094</v>
      </c>
      <c r="AR151" s="357">
        <f>AR41*(1/8+2/8+3/8)/3+AQ40*(3/8)/3+AP40*(1/3*2/8+2/3*3/8)/3+AO40*(1/3*1/8)/3</f>
        <v>70397.31220053666</v>
      </c>
      <c r="AS151" s="357">
        <f>AS41*(1/8+2/8+3/8)/3+AR40*(3/8)/3+AQ40*(1/3*2/8+2/3*3/8)/3+AP40*(1/3*1/8)/3</f>
        <v>64988.84798743292</v>
      </c>
      <c r="AT151" s="357">
        <f>AT41*(1/8+2/8+3/8)/3+AS40*(3/8)/3+AR40*(1/3*2/8+2/3*3/8)/3+AQ40*(1/3*1/8)/3</f>
        <v>80441.9939145151</v>
      </c>
      <c r="AU151" s="357">
        <f t="shared" ref="AU151:CD151" si="879">AU41*(1/8+2/8+3/8)/3+AT41*(3/8)/3+AS41*(1/3*2/8+2/3*3/8)/3+AR41*(1/3*1/8)/3</f>
        <v>59098.016847222214</v>
      </c>
      <c r="AV151" s="357">
        <f t="shared" si="879"/>
        <v>66490.197555555555</v>
      </c>
      <c r="AW151" s="357">
        <f t="shared" si="879"/>
        <v>61754.140708333332</v>
      </c>
      <c r="AX151" s="357">
        <f t="shared" si="879"/>
        <v>74701.740583333332</v>
      </c>
      <c r="AY151" s="357">
        <f t="shared" si="879"/>
        <v>59387.696277777781</v>
      </c>
      <c r="AZ151" s="357">
        <f t="shared" si="879"/>
        <v>64287.485736111114</v>
      </c>
      <c r="BA151" s="357">
        <f t="shared" si="879"/>
        <v>57241.38494444445</v>
      </c>
      <c r="BB151" s="357">
        <f t="shared" si="879"/>
        <v>70942.526508181021</v>
      </c>
      <c r="BC151" s="357">
        <f t="shared" si="879"/>
        <v>58454.027240201627</v>
      </c>
      <c r="BD151" s="357">
        <f t="shared" si="879"/>
        <v>61655.106914129829</v>
      </c>
      <c r="BE151" s="357">
        <f t="shared" si="879"/>
        <v>55761.774520516228</v>
      </c>
      <c r="BF151" s="357">
        <f t="shared" si="879"/>
        <v>69258.57436111111</v>
      </c>
      <c r="BG151" s="357">
        <f t="shared" si="879"/>
        <v>58870.820763888893</v>
      </c>
      <c r="BH151" s="357">
        <f t="shared" si="879"/>
        <v>63460.079663888893</v>
      </c>
      <c r="BI151" s="357">
        <f t="shared" si="879"/>
        <v>57277.6294375</v>
      </c>
      <c r="BJ151" s="357">
        <f t="shared" si="879"/>
        <v>69808.938591666665</v>
      </c>
      <c r="BK151" s="357">
        <f t="shared" si="879"/>
        <v>59626.361829166657</v>
      </c>
      <c r="BL151" s="357">
        <f t="shared" si="879"/>
        <v>66364.278044444451</v>
      </c>
      <c r="BM151" s="357">
        <f t="shared" si="879"/>
        <v>61012.787833333336</v>
      </c>
      <c r="BN151" s="357">
        <f t="shared" si="879"/>
        <v>72810.672625000007</v>
      </c>
      <c r="BO151" s="357">
        <f t="shared" si="879"/>
        <v>56441.077805555557</v>
      </c>
      <c r="BP151" s="357">
        <f t="shared" si="879"/>
        <v>34068.771000000001</v>
      </c>
      <c r="BQ151" s="357">
        <f t="shared" si="879"/>
        <v>30697.091027777773</v>
      </c>
      <c r="BR151" s="357">
        <f t="shared" si="879"/>
        <v>40014.40658333333</v>
      </c>
      <c r="BS151" s="357">
        <f t="shared" si="879"/>
        <v>34094.433388888887</v>
      </c>
      <c r="BT151" s="357">
        <f t="shared" si="879"/>
        <v>42171.170624999999</v>
      </c>
      <c r="BU151" s="357">
        <f t="shared" si="879"/>
        <v>43086.314246636139</v>
      </c>
      <c r="BV151" s="357">
        <f t="shared" si="879"/>
        <v>56980.919414455275</v>
      </c>
      <c r="BW151" s="357">
        <f t="shared" si="879"/>
        <v>42331.394167487757</v>
      </c>
      <c r="BX151" s="357">
        <f t="shared" si="879"/>
        <v>40010.16663589963</v>
      </c>
      <c r="BY151" s="357">
        <f t="shared" si="879"/>
        <v>26712.127648692163</v>
      </c>
      <c r="BZ151" s="357">
        <f t="shared" si="879"/>
        <v>27767.885274580185</v>
      </c>
      <c r="CA151" s="357">
        <f t="shared" si="879"/>
        <v>19115.905283328881</v>
      </c>
      <c r="CB151" s="357">
        <f t="shared" si="879"/>
        <v>17417.558451415061</v>
      </c>
      <c r="CC151" s="357">
        <f t="shared" si="879"/>
        <v>17708.260732349874</v>
      </c>
      <c r="CD151" s="357">
        <f t="shared" si="879"/>
        <v>24457.463150609296</v>
      </c>
      <c r="CE151" s="357">
        <f t="shared" ref="CE151" si="880">CE41*(1/8+2/8+3/8)/3+CD41*(3/8)/3+CC41*(1/3*2/8+2/3*3/8)/3+CB41*(1/3*1/8)/3</f>
        <v>24563.307237054767</v>
      </c>
      <c r="CF151" s="357">
        <f t="shared" ref="CF151" si="881">CF41*(1/8+2/8+3/8)/3+CE41*(3/8)/3+CD41*(1/3*2/8+2/3*3/8)/3+CC41*(1/3*1/8)/3</f>
        <v>29419.982931921906</v>
      </c>
      <c r="CG151" s="357">
        <f t="shared" ref="CG151" si="882">CG41*(1/8+2/8+3/8)/3+CF41*(3/8)/3+CE41*(1/3*2/8+2/3*3/8)/3+CD41*(1/3*1/8)/3</f>
        <v>28379.762908108838</v>
      </c>
      <c r="CH151" s="357">
        <f t="shared" ref="CH151" si="883">CH41*(1/8+2/8+3/8)/3+CG41*(3/8)/3+CF41*(1/3*2/8+2/3*3/8)/3+CE41*(1/3*1/8)/3</f>
        <v>31724.251437059087</v>
      </c>
      <c r="CI151" s="357">
        <f t="shared" ref="CI151" si="884">CI41*(1/8+2/8+3/8)/3+CH41*(3/8)/3+CG41*(1/3*2/8+2/3*3/8)/3+CF41*(1/3*1/8)/3</f>
        <v>27850.497681409954</v>
      </c>
      <c r="CJ151" s="357">
        <f t="shared" ref="CJ151" si="885">CJ41*(1/8+2/8+3/8)/3+CI41*(3/8)/3+CH41*(1/3*2/8+2/3*3/8)/3+CG41*(1/3*1/8)/3</f>
        <v>31701.078424503845</v>
      </c>
      <c r="CK151" s="357">
        <f t="shared" ref="CK151" si="886">CK41*(1/8+2/8+3/8)/3+CJ41*(3/8)/3+CI41*(1/3*2/8+2/3*3/8)/3+CH41*(1/3*1/8)/3</f>
        <v>29156.665279415327</v>
      </c>
      <c r="CL151" s="357">
        <f t="shared" ref="CL151" si="887">CL41*(1/8+2/8+3/8)/3+CK41*(3/8)/3+CJ41*(1/3*2/8+2/3*3/8)/3+CI41*(1/3*1/8)/3</f>
        <v>35510.250337974416</v>
      </c>
      <c r="CM151" s="357">
        <f t="shared" ref="CM151" si="888">CM41*(1/8+2/8+3/8)/3+CL41*(3/8)/3+CK41*(1/3*2/8+2/3*3/8)/3+CJ41*(1/3*1/8)/3</f>
        <v>30746.024637648767</v>
      </c>
      <c r="CN151" s="357">
        <f t="shared" ref="CN151" si="889">CN41*(1/8+2/8+3/8)/3+CM41*(3/8)/3+CL41*(1/3*2/8+2/3*3/8)/3+CK41*(1/3*1/8)/3</f>
        <v>34110.879850674144</v>
      </c>
      <c r="CO151" s="357">
        <f t="shared" ref="CO151" si="890">CO41*(1/8+2/8+3/8)/3+CN41*(3/8)/3+CM41*(1/3*2/8+2/3*3/8)/3+CL41*(1/3*1/8)/3</f>
        <v>31230.654227748833</v>
      </c>
      <c r="CP151" s="357">
        <f t="shared" ref="CP151" si="891">CP41*(1/8+2/8+3/8)/3+CO41*(3/8)/3+CN41*(1/3*2/8+2/3*3/8)/3+CM41*(1/3*1/8)/3</f>
        <v>38005.435421329319</v>
      </c>
      <c r="CQ151" s="357"/>
      <c r="CR151" s="399"/>
      <c r="CS151" s="357">
        <v>30506.101911759451</v>
      </c>
      <c r="CT151" s="1133"/>
      <c r="CU151" s="475"/>
      <c r="CV151" s="475"/>
      <c r="CW151" s="504"/>
      <c r="CX151" s="504"/>
      <c r="CY151" s="504">
        <f>+V151</f>
        <v>48099.966777777779</v>
      </c>
      <c r="CZ151" s="504">
        <f>+Z151</f>
        <v>52750.677750000003</v>
      </c>
      <c r="DA151" s="504">
        <f>+AD151</f>
        <v>61428.059514172179</v>
      </c>
      <c r="DB151" s="504">
        <f>+AH151</f>
        <v>65587.060392837433</v>
      </c>
      <c r="DC151" s="504">
        <f>+AL151</f>
        <v>78392.273798138893</v>
      </c>
      <c r="DD151" s="504">
        <f>+AP151</f>
        <v>87811.527881111309</v>
      </c>
      <c r="DE151" s="357">
        <f>+AT151</f>
        <v>80441.9939145151</v>
      </c>
      <c r="DF151" s="357">
        <f>+AX151</f>
        <v>74701.740583333332</v>
      </c>
      <c r="DG151" s="357">
        <f>+BB151</f>
        <v>70942.526508181021</v>
      </c>
      <c r="DH151" s="357">
        <f>+BF151</f>
        <v>69258.57436111111</v>
      </c>
      <c r="DI151" s="357">
        <f>+BJ151</f>
        <v>69808.938591666665</v>
      </c>
      <c r="DJ151" s="357">
        <f t="shared" ref="DJ151:DU153" si="892">+BN151</f>
        <v>72810.672625000007</v>
      </c>
      <c r="DK151" s="357">
        <f t="shared" si="892"/>
        <v>56441.077805555557</v>
      </c>
      <c r="DL151" s="357">
        <f t="shared" si="892"/>
        <v>34068.771000000001</v>
      </c>
      <c r="DM151" s="357">
        <f t="shared" si="892"/>
        <v>30697.091027777773</v>
      </c>
      <c r="DN151" s="357">
        <f t="shared" si="892"/>
        <v>40014.40658333333</v>
      </c>
      <c r="DO151" s="357">
        <f t="shared" si="892"/>
        <v>34094.433388888887</v>
      </c>
      <c r="DP151" s="357">
        <f t="shared" si="892"/>
        <v>42171.170624999999</v>
      </c>
      <c r="DQ151" s="357">
        <f t="shared" si="892"/>
        <v>43086.314246636139</v>
      </c>
      <c r="DR151" s="357">
        <f t="shared" si="892"/>
        <v>56980.919414455275</v>
      </c>
      <c r="DS151" s="357">
        <f t="shared" si="892"/>
        <v>42331.394167487757</v>
      </c>
      <c r="DT151" s="357">
        <f t="shared" si="892"/>
        <v>40010.16663589963</v>
      </c>
      <c r="DU151" s="357">
        <f t="shared" si="892"/>
        <v>26712.127648692163</v>
      </c>
      <c r="DV151" s="355"/>
      <c r="DW151" s="355"/>
      <c r="DY151" s="357">
        <v>42171.170624999999</v>
      </c>
      <c r="DZ151" s="357">
        <v>43086.314246636139</v>
      </c>
    </row>
    <row r="152" spans="1:130" s="302" customFormat="1" hidden="1">
      <c r="A152" s="506" t="s">
        <v>641</v>
      </c>
      <c r="B152" s="355"/>
      <c r="C152" s="502"/>
      <c r="D152" s="502"/>
      <c r="E152" s="502"/>
      <c r="F152" s="502"/>
      <c r="G152" s="502"/>
      <c r="H152" s="498"/>
      <c r="I152" s="498"/>
      <c r="J152" s="498"/>
      <c r="K152" s="498"/>
      <c r="L152" s="498"/>
      <c r="M152" s="498"/>
      <c r="N152" s="498"/>
      <c r="O152" s="357">
        <v>20141.980472222222</v>
      </c>
      <c r="P152" s="357">
        <v>17610.856250000001</v>
      </c>
      <c r="Q152" s="357">
        <v>18703.827500000003</v>
      </c>
      <c r="R152" s="357">
        <v>25411.303972222224</v>
      </c>
      <c r="S152" s="357">
        <v>24070.177666666666</v>
      </c>
      <c r="T152" s="357">
        <v>23118.682291666664</v>
      </c>
      <c r="U152" s="357">
        <v>24108.353777777778</v>
      </c>
      <c r="V152" s="357">
        <v>23301.257458333333</v>
      </c>
      <c r="W152" s="357">
        <v>17080.830694444441</v>
      </c>
      <c r="X152" s="357">
        <v>17171.122680555556</v>
      </c>
      <c r="Y152" s="357">
        <v>21053.485999999997</v>
      </c>
      <c r="Z152" s="357">
        <v>26430.573722222223</v>
      </c>
      <c r="AA152" s="357">
        <v>24235.519638888891</v>
      </c>
      <c r="AB152" s="357">
        <v>23856.374791666669</v>
      </c>
      <c r="AC152" s="357">
        <v>25818.434944444441</v>
      </c>
      <c r="AD152" s="357">
        <v>30285.077534863871</v>
      </c>
      <c r="AE152" s="357">
        <v>27588.804070881284</v>
      </c>
      <c r="AF152" s="357">
        <v>26436.815088097945</v>
      </c>
      <c r="AG152" s="357">
        <v>27454.974720760463</v>
      </c>
      <c r="AH152" s="357">
        <v>32111.900539304126</v>
      </c>
      <c r="AI152" s="357">
        <v>30303.389089360157</v>
      </c>
      <c r="AJ152" s="357">
        <v>30924.327043350804</v>
      </c>
      <c r="AK152" s="357">
        <v>33119.511714916138</v>
      </c>
      <c r="AL152" s="357">
        <v>38541.90355266699</v>
      </c>
      <c r="AM152" s="357">
        <v>35867.672932568821</v>
      </c>
      <c r="AN152" s="357">
        <v>34333.473288315792</v>
      </c>
      <c r="AO152" s="357">
        <v>36857.064586701541</v>
      </c>
      <c r="AP152" s="357">
        <v>43706.789801740095</v>
      </c>
      <c r="AQ152" s="357">
        <f>+AQ41*(3/8)/3+AP40*(1/3*2/8+2/3*3/8)/3+AO40*(1/3*1/8)/3</f>
        <v>35448.51377662344</v>
      </c>
      <c r="AR152" s="357">
        <f>+AR41*(3/8)/3+AQ40*(1/3*2/8+2/3*3/8)/3+AP40*(1/3*1/8)/3</f>
        <v>31281.845865390067</v>
      </c>
      <c r="AS152" s="357">
        <f>+AS41*(3/8)/3+AR40*(1/3*2/8+2/3*3/8)/3+AQ40*(1/3*1/8)/3</f>
        <v>34411.653197250671</v>
      </c>
      <c r="AT152" s="357">
        <f>+AT41*(3/8)/3+AS40*(1/3*2/8+2/3*3/8)/3+AR40*(1/3*1/8)/3</f>
        <v>39844.228609462021</v>
      </c>
      <c r="AU152" s="357">
        <f t="shared" ref="AU152:CD152" si="893">+AU41*(3/8)/3+AT41*(1/3*2/8+2/3*3/8)/3+AS41*(1/3*1/8)/3</f>
        <v>31957.434555555552</v>
      </c>
      <c r="AV152" s="357">
        <f t="shared" si="893"/>
        <v>30232.924458333331</v>
      </c>
      <c r="AW152" s="357">
        <f t="shared" si="893"/>
        <v>32442.322583333331</v>
      </c>
      <c r="AX152" s="357">
        <f t="shared" si="893"/>
        <v>37057.625277777777</v>
      </c>
      <c r="AY152" s="357">
        <f t="shared" si="893"/>
        <v>31698.177736111113</v>
      </c>
      <c r="AZ152" s="357">
        <f t="shared" si="893"/>
        <v>28566.875444444446</v>
      </c>
      <c r="BA152" s="357">
        <f t="shared" si="893"/>
        <v>30061.95113888889</v>
      </c>
      <c r="BB152" s="357">
        <f t="shared" si="893"/>
        <v>34995.031240201628</v>
      </c>
      <c r="BC152" s="357">
        <f t="shared" si="893"/>
        <v>31491.670914129838</v>
      </c>
      <c r="BD152" s="357">
        <f t="shared" si="893"/>
        <v>27779.081520516229</v>
      </c>
      <c r="BE152" s="357">
        <f t="shared" si="893"/>
        <v>28700.595611111108</v>
      </c>
      <c r="BF152" s="357">
        <f t="shared" si="893"/>
        <v>34391.488263888888</v>
      </c>
      <c r="BG152" s="357">
        <f t="shared" si="893"/>
        <v>31820.028638888893</v>
      </c>
      <c r="BH152" s="357">
        <f t="shared" si="893"/>
        <v>28952.949887500003</v>
      </c>
      <c r="BI152" s="357">
        <f t="shared" si="893"/>
        <v>29584.547591666666</v>
      </c>
      <c r="BJ152" s="357">
        <f t="shared" si="893"/>
        <v>34458.722579166664</v>
      </c>
      <c r="BK152" s="357">
        <f t="shared" si="893"/>
        <v>32034.920044444447</v>
      </c>
      <c r="BL152" s="357">
        <f t="shared" si="893"/>
        <v>30584.984833333332</v>
      </c>
      <c r="BM152" s="357">
        <f t="shared" si="893"/>
        <v>31869.596124999996</v>
      </c>
      <c r="BN152" s="357">
        <f t="shared" si="893"/>
        <v>35901.192805555555</v>
      </c>
      <c r="BO152" s="357">
        <f t="shared" si="893"/>
        <v>30156.409999999996</v>
      </c>
      <c r="BP152" s="357">
        <f t="shared" si="893"/>
        <v>13359.522527777777</v>
      </c>
      <c r="BQ152" s="357">
        <f t="shared" si="893"/>
        <v>11548.716083333333</v>
      </c>
      <c r="BR152" s="357">
        <f t="shared" si="893"/>
        <v>22155.784638888887</v>
      </c>
      <c r="BS152" s="357">
        <f t="shared" si="893"/>
        <v>19583.940625000003</v>
      </c>
      <c r="BT152" s="357">
        <f t="shared" si="893"/>
        <v>18181.10836111111</v>
      </c>
      <c r="BU152" s="357">
        <f t="shared" si="893"/>
        <v>23154.630095540288</v>
      </c>
      <c r="BV152" s="357">
        <f t="shared" si="893"/>
        <v>29236.971164135284</v>
      </c>
      <c r="BW152" s="357">
        <f t="shared" si="893"/>
        <v>22964.74041483429</v>
      </c>
      <c r="BX152" s="357">
        <f t="shared" si="893"/>
        <v>16221.694963073489</v>
      </c>
      <c r="BY152" s="357">
        <f t="shared" si="893"/>
        <v>13548.429274580181</v>
      </c>
      <c r="BZ152" s="357">
        <f t="shared" si="893"/>
        <v>12719.110650334153</v>
      </c>
      <c r="CA152" s="357">
        <f t="shared" si="893"/>
        <v>10100.95735458729</v>
      </c>
      <c r="CB152" s="357">
        <f t="shared" si="893"/>
        <v>7291.2901630782098</v>
      </c>
      <c r="CC152" s="357">
        <f t="shared" si="893"/>
        <v>8815.6854739478804</v>
      </c>
      <c r="CD152" s="357">
        <f t="shared" si="893"/>
        <v>12857.131374497432</v>
      </c>
      <c r="CE152" s="357">
        <f t="shared" ref="CE152" si="894">+CE41*(3/8)/3+CD41*(1/3*2/8+2/3*3/8)/3+CC41*(1/3*1/8)/3</f>
        <v>13383.709708087719</v>
      </c>
      <c r="CF152" s="357">
        <f t="shared" ref="CF152" si="895">+CF41*(3/8)/3+CE41*(1/3*2/8+2/3*3/8)/3+CD41*(1/3*1/8)/3</f>
        <v>14089.869088423766</v>
      </c>
      <c r="CG152" s="357">
        <f t="shared" ref="CG152" si="896">+CG41*(3/8)/3+CF41*(1/3*2/8+2/3*3/8)/3+CE41*(1/3*1/8)/3</f>
        <v>14922.522557244249</v>
      </c>
      <c r="CH152" s="357">
        <f t="shared" ref="CH152" si="897">+CH41*(3/8)/3+CG41*(1/3*2/8+2/3*3/8)/3+CF41*(1/3*1/8)/3</f>
        <v>15642.83242775824</v>
      </c>
      <c r="CI152" s="357">
        <f t="shared" ref="CI152" si="898">+CI41*(3/8)/3+CH41*(1/3*2/8+2/3*3/8)/3+CG41*(1/3*1/8)/3</f>
        <v>14365.150674503846</v>
      </c>
      <c r="CJ152" s="357">
        <f t="shared" ref="CJ152" si="899">+CJ41*(3/8)/3+CI41*(1/3*2/8+2/3*3/8)/3+CH41*(1/3*1/8)/3</f>
        <v>15027.022258834921</v>
      </c>
      <c r="CK152" s="357">
        <f t="shared" ref="CK152" si="900">+CK41*(3/8)/3+CJ41*(1/3*2/8+2/3*3/8)/3+CI41*(1/3*1/8)/3</f>
        <v>15447.881913270854</v>
      </c>
      <c r="CL152" s="357">
        <f t="shared" ref="CL152" si="901">+CL41*(3/8)/3+CK41*(1/3*2/8+2/3*3/8)/3+CJ41*(1/3*1/8)/3</f>
        <v>17274.132652054188</v>
      </c>
      <c r="CM152" s="357">
        <f t="shared" ref="CM152" si="902">+CM41*(3/8)/3+CL41*(1/3*2/8+2/3*3/8)/3+CK41*(1/3*1/8)/3</f>
        <v>16437.534349364454</v>
      </c>
      <c r="CN152" s="357">
        <f t="shared" ref="CN152" si="903">+CN41*(3/8)/3+CM41*(1/3*2/8+2/3*3/8)/3+CL41*(1/3*1/8)/3</f>
        <v>15938.756323402637</v>
      </c>
      <c r="CO152" s="357">
        <f t="shared" ref="CO152" si="904">+CO41*(3/8)/3+CN41*(1/3*2/8+2/3*3/8)/3+CM41*(1/3*1/8)/3</f>
        <v>16249.207618621551</v>
      </c>
      <c r="CP152" s="357">
        <f t="shared" ref="CP152" si="905">+CP41*(3/8)/3+CO41*(1/3*2/8+2/3*3/8)/3+CN41*(1/3*1/8)/3</f>
        <v>18656.365497802733</v>
      </c>
      <c r="CQ152" s="357"/>
      <c r="CR152" s="399"/>
      <c r="CS152" s="357">
        <v>14429.534002462722</v>
      </c>
      <c r="CT152" s="1133"/>
      <c r="CU152" s="475"/>
      <c r="CV152" s="475"/>
      <c r="CW152" s="504"/>
      <c r="CX152" s="504"/>
      <c r="CY152" s="504">
        <f>+V152</f>
        <v>23301.257458333333</v>
      </c>
      <c r="CZ152" s="504">
        <f>+Z152</f>
        <v>26430.573722222223</v>
      </c>
      <c r="DA152" s="504">
        <f>+AD152</f>
        <v>30285.077534863871</v>
      </c>
      <c r="DB152" s="504">
        <f>+AH152</f>
        <v>32111.900539304126</v>
      </c>
      <c r="DC152" s="504">
        <f>+AL152</f>
        <v>38541.90355266699</v>
      </c>
      <c r="DD152" s="504">
        <f>+AP152</f>
        <v>43706.789801740095</v>
      </c>
      <c r="DE152" s="357">
        <f>+AT152</f>
        <v>39844.228609462021</v>
      </c>
      <c r="DF152" s="357">
        <f>+AX152</f>
        <v>37057.625277777777</v>
      </c>
      <c r="DG152" s="357">
        <f>+BB152</f>
        <v>34995.031240201628</v>
      </c>
      <c r="DH152" s="357">
        <f>+BF152</f>
        <v>34391.488263888888</v>
      </c>
      <c r="DI152" s="357">
        <f>+BJ152</f>
        <v>34458.722579166664</v>
      </c>
      <c r="DJ152" s="357">
        <f t="shared" si="892"/>
        <v>35901.192805555555</v>
      </c>
      <c r="DK152" s="357">
        <f t="shared" si="892"/>
        <v>30156.409999999996</v>
      </c>
      <c r="DL152" s="357">
        <f t="shared" si="892"/>
        <v>13359.522527777777</v>
      </c>
      <c r="DM152" s="357">
        <f t="shared" si="892"/>
        <v>11548.716083333333</v>
      </c>
      <c r="DN152" s="357">
        <f t="shared" si="892"/>
        <v>22155.784638888887</v>
      </c>
      <c r="DO152" s="357">
        <f t="shared" si="892"/>
        <v>19583.940625000003</v>
      </c>
      <c r="DP152" s="357">
        <f t="shared" si="892"/>
        <v>18181.10836111111</v>
      </c>
      <c r="DQ152" s="357">
        <f t="shared" si="892"/>
        <v>23154.630095540288</v>
      </c>
      <c r="DR152" s="357">
        <f t="shared" si="892"/>
        <v>29236.971164135284</v>
      </c>
      <c r="DS152" s="357">
        <f t="shared" si="892"/>
        <v>22964.74041483429</v>
      </c>
      <c r="DT152" s="357">
        <f t="shared" si="892"/>
        <v>16221.694963073489</v>
      </c>
      <c r="DU152" s="357">
        <f t="shared" si="892"/>
        <v>13548.429274580181</v>
      </c>
      <c r="DV152" s="355"/>
      <c r="DW152" s="355"/>
      <c r="DY152" s="357">
        <v>18181.10836111111</v>
      </c>
      <c r="DZ152" s="357">
        <v>23154.630095540288</v>
      </c>
    </row>
    <row r="153" spans="1:130" s="302" customFormat="1" hidden="1">
      <c r="A153" s="506" t="s">
        <v>642</v>
      </c>
      <c r="B153" s="355"/>
      <c r="C153" s="502"/>
      <c r="D153" s="502"/>
      <c r="E153" s="502"/>
      <c r="F153" s="502"/>
      <c r="G153" s="502"/>
      <c r="H153" s="498"/>
      <c r="I153" s="498"/>
      <c r="J153" s="498"/>
      <c r="K153" s="498"/>
      <c r="L153" s="498"/>
      <c r="M153" s="498"/>
      <c r="N153" s="498"/>
      <c r="O153" s="357">
        <v>7587.4775000000009</v>
      </c>
      <c r="P153" s="357">
        <v>9663.3294999999998</v>
      </c>
      <c r="Q153" s="357">
        <v>9149.7069722222241</v>
      </c>
      <c r="R153" s="357">
        <v>15459.252666666664</v>
      </c>
      <c r="S153" s="357">
        <v>9460.9996666666666</v>
      </c>
      <c r="T153" s="357">
        <v>13096.931777777776</v>
      </c>
      <c r="U153" s="357">
        <v>11305.450958333331</v>
      </c>
      <c r="V153" s="357">
        <v>11886.430444444444</v>
      </c>
      <c r="W153" s="357">
        <v>5950.1120555555553</v>
      </c>
      <c r="X153" s="357">
        <v>10551.387249999998</v>
      </c>
      <c r="Y153" s="357">
        <v>10581.977847222222</v>
      </c>
      <c r="Z153" s="357">
        <v>15254.54063888889</v>
      </c>
      <c r="AA153" s="357">
        <v>9744.0475416666668</v>
      </c>
      <c r="AB153" s="357">
        <v>13542.177444444442</v>
      </c>
      <c r="AC153" s="357">
        <v>12480.26525</v>
      </c>
      <c r="AD153" s="357">
        <v>17190.528419878996</v>
      </c>
      <c r="AE153" s="357">
        <v>11221.224165875796</v>
      </c>
      <c r="AF153" s="357">
        <v>14680.333669864389</v>
      </c>
      <c r="AG153" s="357">
        <v>13045.857703265639</v>
      </c>
      <c r="AH153" s="357">
        <v>18366.998193244886</v>
      </c>
      <c r="AI153" s="357">
        <v>12728.574444995627</v>
      </c>
      <c r="AJ153" s="357">
        <v>17500.267964772967</v>
      </c>
      <c r="AK153" s="357">
        <v>15905.522511055615</v>
      </c>
      <c r="AL153" s="357">
        <v>21856.699120337133</v>
      </c>
      <c r="AM153" s="357">
        <v>14969.352393273874</v>
      </c>
      <c r="AN153" s="357">
        <v>18769.326774729667</v>
      </c>
      <c r="AO153" s="357">
        <v>18229.558154535211</v>
      </c>
      <c r="AP153" s="357">
        <v>24656.176776623441</v>
      </c>
      <c r="AQ153" s="357">
        <f>AQ41*(1/3*2/8+2/3*3/8)/3+AP40*(1/3*1/8)/3</f>
        <v>12423.991960800542</v>
      </c>
      <c r="AR153" s="357">
        <f>AR41*(1/3*2/8+2/3*3/8)/3+AQ40*(1/3*1/8)/3</f>
        <v>15546.129547101469</v>
      </c>
      <c r="AS153" s="357">
        <f>AS41*(1/3*2/8+2/3*3/8)/3+AR40*(1/3*1/8)/3</f>
        <v>15000.26256911587</v>
      </c>
      <c r="AT153" s="357">
        <f>AT41*(1/3*2/8+2/3*3/8)/3+AS40*(1/3*1/8)/3</f>
        <v>20475.569482473824</v>
      </c>
      <c r="AU153" s="357">
        <f t="shared" ref="AU153:CD153" si="906">AU41*(1/3*2/8+2/3*3/8)/3+AT41*(1/3*1/8)/3</f>
        <v>12966.542958333332</v>
      </c>
      <c r="AV153" s="357">
        <f t="shared" si="906"/>
        <v>16681.714458333332</v>
      </c>
      <c r="AW153" s="357">
        <f t="shared" si="906"/>
        <v>15927.916277777776</v>
      </c>
      <c r="AX153" s="357">
        <f t="shared" si="906"/>
        <v>20533.142236111111</v>
      </c>
      <c r="AY153" s="357">
        <f t="shared" si="906"/>
        <v>12272.221444444445</v>
      </c>
      <c r="AZ153" s="357">
        <f t="shared" si="906"/>
        <v>15724.696388888888</v>
      </c>
      <c r="BA153" s="357">
        <f t="shared" si="906"/>
        <v>14554.743555555555</v>
      </c>
      <c r="BB153" s="357">
        <f t="shared" si="906"/>
        <v>19762.172914129838</v>
      </c>
      <c r="BC153" s="357">
        <f t="shared" si="906"/>
        <v>12697.363520516228</v>
      </c>
      <c r="BD153" s="357">
        <f t="shared" si="906"/>
        <v>14709.249111111109</v>
      </c>
      <c r="BE153" s="357">
        <f t="shared" si="906"/>
        <v>14112.498888888887</v>
      </c>
      <c r="BF153" s="357">
        <f t="shared" si="906"/>
        <v>19580.362388888891</v>
      </c>
      <c r="BG153" s="357">
        <f t="shared" si="906"/>
        <v>13132.924375000002</v>
      </c>
      <c r="BH153" s="357">
        <f t="shared" si="906"/>
        <v>15422.207816666665</v>
      </c>
      <c r="BI153" s="357">
        <f t="shared" si="906"/>
        <v>14346.527079166663</v>
      </c>
      <c r="BJ153" s="357">
        <f t="shared" si="906"/>
        <v>19451.100419444447</v>
      </c>
      <c r="BK153" s="357">
        <f t="shared" si="906"/>
        <v>13420.305833333332</v>
      </c>
      <c r="BL153" s="357">
        <f t="shared" si="906"/>
        <v>16655.694624999996</v>
      </c>
      <c r="BM153" s="357">
        <f t="shared" si="906"/>
        <v>15430.654555555555</v>
      </c>
      <c r="BN153" s="357">
        <f t="shared" si="906"/>
        <v>19886.467499999999</v>
      </c>
      <c r="BO153" s="357">
        <f t="shared" si="906"/>
        <v>11403.342027777777</v>
      </c>
      <c r="BP153" s="357">
        <f t="shared" si="906"/>
        <v>2879.9318333333331</v>
      </c>
      <c r="BQ153" s="357">
        <f t="shared" si="906"/>
        <v>7922.9393888888872</v>
      </c>
      <c r="BR153" s="357">
        <f t="shared" si="906"/>
        <v>13614.616249999999</v>
      </c>
      <c r="BS153" s="357">
        <f t="shared" si="906"/>
        <v>6887.493361111111</v>
      </c>
      <c r="BT153" s="357">
        <f t="shared" si="906"/>
        <v>10702.027152777777</v>
      </c>
      <c r="BU153" s="357">
        <f t="shared" si="906"/>
        <v>12323.826504677789</v>
      </c>
      <c r="BV153" s="357">
        <f t="shared" si="906"/>
        <v>16417.528913158054</v>
      </c>
      <c r="BW153" s="357">
        <f t="shared" si="906"/>
        <v>7698.98185254082</v>
      </c>
      <c r="BX153" s="357">
        <f t="shared" si="906"/>
        <v>8303.2129317708441</v>
      </c>
      <c r="BY153" s="357">
        <f t="shared" si="906"/>
        <v>5609.3826503341525</v>
      </c>
      <c r="BZ153" s="357">
        <f t="shared" si="906"/>
        <v>6902.5600380899259</v>
      </c>
      <c r="CA153" s="357">
        <f t="shared" si="906"/>
        <v>3632.9896146643237</v>
      </c>
      <c r="CB153" s="357">
        <f t="shared" si="906"/>
        <v>3607.20018931205</v>
      </c>
      <c r="CC153" s="357">
        <f t="shared" si="906"/>
        <v>5036.2425361667265</v>
      </c>
      <c r="CD153" s="357">
        <f t="shared" si="906"/>
        <v>7530.6217768090519</v>
      </c>
      <c r="CE153" s="357">
        <f t="shared" ref="CE153" si="907">CE41*(1/3*2/8+2/3*3/8)/3+CD41*(1/3*1/8)/3</f>
        <v>6071.7324765066733</v>
      </c>
      <c r="CF153" s="357">
        <f t="shared" ref="CF153" si="908">CF41*(1/3*2/8+2/3*3/8)/3+CE41*(1/3*1/8)/3</f>
        <v>7777.5756474017116</v>
      </c>
      <c r="CG153" s="357">
        <f t="shared" ref="CG153" si="909">CG41*(1/3*2/8+2/3*3/8)/3+CF41*(1/3*1/8)/3</f>
        <v>7241.9679878508177</v>
      </c>
      <c r="CH153" s="357">
        <f t="shared" ref="CH153" si="910">CH41*(1/3*2/8+2/3*3/8)/3+CG41*(1/3*1/8)/3</f>
        <v>8261.3180476779889</v>
      </c>
      <c r="CI153" s="357">
        <f t="shared" ref="CI153" si="911">CI41*(1/3*2/8+2/3*3/8)/3+CH41*(1/3*1/8)/3</f>
        <v>6359.0583838349194</v>
      </c>
      <c r="CJ153" s="357">
        <f t="shared" ref="CJ153" si="912">CJ41*(1/3*2/8+2/3*3/8)/3+CI41*(1/3*1/8)/3</f>
        <v>8383.0604029806491</v>
      </c>
      <c r="CK153" s="357">
        <f t="shared" ref="CK153" si="913">CK41*(1/3*2/8+2/3*3/8)/3+CJ41*(1/3*1/8)/3</f>
        <v>7242.9484397024034</v>
      </c>
      <c r="CL153" s="357">
        <f t="shared" ref="CL153" si="914">CL41*(1/3*2/8+2/3*3/8)/3+CK41*(1/3*1/8)/3</f>
        <v>9701.5883565671629</v>
      </c>
      <c r="CM153" s="357">
        <f t="shared" ref="CM153" si="915">CM41*(1/3*2/8+2/3*3/8)/3+CL41*(1/3*1/8)/3</f>
        <v>7102.0835727477897</v>
      </c>
      <c r="CN153" s="357">
        <f t="shared" ref="CN153" si="916">CN41*(1/3*2/8+2/3*3/8)/3+CM41*(1/3*1/8)/3</f>
        <v>8603.2586664484534</v>
      </c>
      <c r="CO153" s="357">
        <f t="shared" ref="CO153" si="917">CO41*(1/3*2/8+2/3*3/8)/3+CN41*(1/3*1/8)/3</f>
        <v>7778.2515964488493</v>
      </c>
      <c r="CP153" s="357">
        <f t="shared" ref="CP153" si="918">CP41*(1/3*2/8+2/3*3/8)/3+CO41*(1/3*1/8)/3</f>
        <v>10518.984462556016</v>
      </c>
      <c r="CQ153" s="357"/>
      <c r="CR153" s="399"/>
      <c r="CS153" s="357">
        <v>7851.959730649809</v>
      </c>
      <c r="CT153" s="1133"/>
      <c r="CU153" s="475"/>
      <c r="CV153" s="475"/>
      <c r="CW153" s="504"/>
      <c r="CX153" s="504"/>
      <c r="CY153" s="504">
        <f>+V153</f>
        <v>11886.430444444444</v>
      </c>
      <c r="CZ153" s="504">
        <f>+Z153</f>
        <v>15254.54063888889</v>
      </c>
      <c r="DA153" s="504">
        <f>+AD153</f>
        <v>17190.528419878996</v>
      </c>
      <c r="DB153" s="504">
        <f>+AH153</f>
        <v>18366.998193244886</v>
      </c>
      <c r="DC153" s="504">
        <f>+AL153</f>
        <v>21856.699120337133</v>
      </c>
      <c r="DD153" s="504">
        <f>+AP153</f>
        <v>24656.176776623441</v>
      </c>
      <c r="DE153" s="357">
        <f>+AT153</f>
        <v>20475.569482473824</v>
      </c>
      <c r="DF153" s="357">
        <f>+AX153</f>
        <v>20533.142236111111</v>
      </c>
      <c r="DG153" s="357">
        <f>+BB153</f>
        <v>19762.172914129838</v>
      </c>
      <c r="DH153" s="357">
        <f>+BF153</f>
        <v>19580.362388888891</v>
      </c>
      <c r="DI153" s="357">
        <f>+BJ153</f>
        <v>19451.100419444447</v>
      </c>
      <c r="DJ153" s="357">
        <f t="shared" si="892"/>
        <v>19886.467499999999</v>
      </c>
      <c r="DK153" s="357">
        <f t="shared" si="892"/>
        <v>11403.342027777777</v>
      </c>
      <c r="DL153" s="357">
        <f t="shared" si="892"/>
        <v>2879.9318333333331</v>
      </c>
      <c r="DM153" s="357">
        <f t="shared" si="892"/>
        <v>7922.9393888888872</v>
      </c>
      <c r="DN153" s="357">
        <f t="shared" si="892"/>
        <v>13614.616249999999</v>
      </c>
      <c r="DO153" s="357">
        <f t="shared" si="892"/>
        <v>6887.493361111111</v>
      </c>
      <c r="DP153" s="357">
        <f t="shared" si="892"/>
        <v>10702.027152777777</v>
      </c>
      <c r="DQ153" s="357">
        <f t="shared" si="892"/>
        <v>12323.826504677789</v>
      </c>
      <c r="DR153" s="357">
        <f t="shared" si="892"/>
        <v>16417.528913158054</v>
      </c>
      <c r="DS153" s="357">
        <f t="shared" si="892"/>
        <v>7698.98185254082</v>
      </c>
      <c r="DT153" s="357">
        <f t="shared" si="892"/>
        <v>8303.2129317708441</v>
      </c>
      <c r="DU153" s="357">
        <f t="shared" si="892"/>
        <v>5609.3826503341525</v>
      </c>
      <c r="DV153" s="355"/>
      <c r="DW153" s="355"/>
      <c r="DY153" s="357">
        <v>10702.027152777777</v>
      </c>
      <c r="DZ153" s="357">
        <v>12323.826504677789</v>
      </c>
    </row>
    <row r="154" spans="1:130" s="302" customFormat="1" hidden="1">
      <c r="A154" s="506"/>
      <c r="B154" s="355"/>
      <c r="C154" s="502"/>
      <c r="D154" s="502"/>
      <c r="E154" s="502"/>
      <c r="F154" s="502"/>
      <c r="G154" s="502"/>
      <c r="H154" s="498"/>
      <c r="I154" s="498"/>
      <c r="J154" s="498"/>
      <c r="K154" s="498"/>
      <c r="L154" s="498"/>
      <c r="M154" s="498"/>
      <c r="N154" s="498"/>
      <c r="O154" s="357"/>
      <c r="P154" s="357"/>
      <c r="Q154" s="357"/>
      <c r="R154" s="357"/>
      <c r="S154" s="357"/>
      <c r="T154" s="357"/>
      <c r="U154" s="357"/>
      <c r="V154" s="357"/>
      <c r="W154" s="357"/>
      <c r="X154" s="357"/>
      <c r="Y154" s="357"/>
      <c r="Z154" s="357"/>
      <c r="AA154" s="357"/>
      <c r="AB154" s="357"/>
      <c r="AC154" s="357"/>
      <c r="AD154" s="357"/>
      <c r="AE154" s="357"/>
      <c r="AF154" s="357"/>
      <c r="AG154" s="357"/>
      <c r="AH154" s="357"/>
      <c r="AI154" s="357"/>
      <c r="AJ154" s="357"/>
      <c r="AK154" s="357"/>
      <c r="AL154" s="357"/>
      <c r="AM154" s="357"/>
      <c r="AN154" s="357"/>
      <c r="AO154" s="357"/>
      <c r="AP154" s="357"/>
      <c r="AQ154" s="357"/>
      <c r="AR154" s="357"/>
      <c r="AS154" s="357"/>
      <c r="AT154" s="357"/>
      <c r="AU154" s="357"/>
      <c r="AV154" s="357"/>
      <c r="AW154" s="357"/>
      <c r="AX154" s="357"/>
      <c r="AY154" s="357"/>
      <c r="AZ154" s="357"/>
      <c r="BA154" s="357"/>
      <c r="BB154" s="357"/>
      <c r="BC154" s="357"/>
      <c r="BD154" s="357"/>
      <c r="BE154" s="357"/>
      <c r="BF154" s="357"/>
      <c r="BG154" s="357"/>
      <c r="BH154" s="357"/>
      <c r="BI154" s="357"/>
      <c r="BJ154" s="357"/>
      <c r="BK154" s="357"/>
      <c r="BL154" s="357"/>
      <c r="BM154" s="357"/>
      <c r="BN154" s="377"/>
      <c r="BO154" s="377"/>
      <c r="BP154" s="377"/>
      <c r="BQ154" s="377"/>
      <c r="BR154" s="377"/>
      <c r="BS154" s="377"/>
      <c r="BT154" s="377"/>
      <c r="BU154" s="377"/>
      <c r="BV154" s="377"/>
      <c r="BW154" s="377"/>
      <c r="BX154" s="377"/>
      <c r="BY154" s="377"/>
      <c r="BZ154" s="377"/>
      <c r="CA154" s="377"/>
      <c r="CB154" s="377"/>
      <c r="CC154" s="377"/>
      <c r="CD154" s="377"/>
      <c r="CE154" s="377"/>
      <c r="CF154" s="377"/>
      <c r="CG154" s="377"/>
      <c r="CH154" s="377"/>
      <c r="CI154" s="377"/>
      <c r="CJ154" s="377"/>
      <c r="CK154" s="377"/>
      <c r="CL154" s="377"/>
      <c r="CM154" s="377"/>
      <c r="CN154" s="377"/>
      <c r="CO154" s="377"/>
      <c r="CP154" s="377"/>
      <c r="CQ154" s="377"/>
      <c r="CR154" s="377"/>
      <c r="CS154" s="377"/>
      <c r="CT154" s="1133"/>
      <c r="CU154" s="475"/>
      <c r="CV154" s="475"/>
      <c r="CW154" s="504"/>
      <c r="CX154" s="504"/>
      <c r="CY154" s="504"/>
      <c r="CZ154" s="504"/>
      <c r="DA154" s="504"/>
      <c r="DB154" s="504"/>
      <c r="DC154" s="504"/>
      <c r="DD154" s="504"/>
      <c r="DE154" s="357"/>
      <c r="DF154" s="357"/>
      <c r="DG154" s="357"/>
      <c r="DH154" s="357"/>
      <c r="DI154" s="357"/>
      <c r="DJ154" s="357"/>
      <c r="DK154" s="357"/>
      <c r="DL154" s="357"/>
      <c r="DM154" s="357"/>
      <c r="DN154" s="357"/>
      <c r="DO154" s="357"/>
      <c r="DP154" s="357"/>
      <c r="DQ154" s="357"/>
      <c r="DR154" s="357"/>
      <c r="DS154" s="357"/>
      <c r="DT154" s="357"/>
      <c r="DU154" s="357"/>
      <c r="DV154" s="355"/>
      <c r="DW154" s="355"/>
      <c r="DY154" s="357"/>
      <c r="DZ154" s="357"/>
    </row>
    <row r="155" spans="1:130" s="302" customFormat="1" hidden="1">
      <c r="A155" s="501"/>
      <c r="B155" s="355"/>
      <c r="C155" s="502"/>
      <c r="D155" s="502"/>
      <c r="E155" s="502"/>
      <c r="F155" s="502"/>
      <c r="G155" s="502"/>
      <c r="H155" s="498"/>
      <c r="I155" s="498"/>
      <c r="J155" s="498"/>
      <c r="K155" s="498"/>
      <c r="L155" s="498"/>
      <c r="M155" s="498"/>
      <c r="N155" s="498"/>
      <c r="O155" s="498"/>
      <c r="P155" s="498"/>
      <c r="Q155" s="498"/>
      <c r="R155" s="498"/>
      <c r="S155" s="498"/>
      <c r="T155" s="357"/>
      <c r="U155" s="357"/>
      <c r="V155" s="357"/>
      <c r="W155" s="357"/>
      <c r="X155" s="357"/>
      <c r="Y155" s="357"/>
      <c r="Z155" s="357"/>
      <c r="AA155" s="357"/>
      <c r="AB155" s="357"/>
      <c r="AC155" s="357"/>
      <c r="AD155" s="357"/>
      <c r="AE155" s="357"/>
      <c r="AF155" s="357"/>
      <c r="AG155" s="357"/>
      <c r="AH155" s="357"/>
      <c r="AI155" s="357"/>
      <c r="AJ155" s="357"/>
      <c r="AK155" s="357"/>
      <c r="AL155" s="357"/>
      <c r="AM155" s="357"/>
      <c r="AN155" s="357"/>
      <c r="AO155" s="357"/>
      <c r="AP155" s="357"/>
      <c r="AQ155" s="357"/>
      <c r="AR155" s="357"/>
      <c r="AS155" s="357"/>
      <c r="AT155" s="357"/>
      <c r="AU155" s="357"/>
      <c r="AV155" s="357"/>
      <c r="AW155" s="357"/>
      <c r="AX155" s="357"/>
      <c r="AY155" s="357"/>
      <c r="AZ155" s="357"/>
      <c r="BA155" s="357"/>
      <c r="BB155" s="357"/>
      <c r="BC155" s="357"/>
      <c r="BD155" s="357"/>
      <c r="BE155" s="357"/>
      <c r="BF155" s="357"/>
      <c r="BG155" s="357"/>
      <c r="BH155" s="357"/>
      <c r="BI155" s="357"/>
      <c r="BJ155" s="357"/>
      <c r="BK155" s="357"/>
      <c r="BL155" s="357"/>
      <c r="BM155" s="357"/>
      <c r="BN155" s="377"/>
      <c r="BO155" s="377"/>
      <c r="BP155" s="377"/>
      <c r="BQ155" s="377"/>
      <c r="BR155" s="377"/>
      <c r="BS155" s="377"/>
      <c r="BT155" s="377"/>
      <c r="BU155" s="377"/>
      <c r="BV155" s="377"/>
      <c r="BW155" s="377"/>
      <c r="BX155" s="377"/>
      <c r="BY155" s="377"/>
      <c r="BZ155" s="377"/>
      <c r="CA155" s="377"/>
      <c r="CB155" s="377"/>
      <c r="CC155" s="377"/>
      <c r="CD155" s="377"/>
      <c r="CE155" s="377"/>
      <c r="CF155" s="377"/>
      <c r="CG155" s="377"/>
      <c r="CH155" s="377"/>
      <c r="CI155" s="377"/>
      <c r="CJ155" s="377"/>
      <c r="CK155" s="377"/>
      <c r="CL155" s="377"/>
      <c r="CM155" s="377"/>
      <c r="CN155" s="377"/>
      <c r="CO155" s="377"/>
      <c r="CP155" s="377"/>
      <c r="CQ155" s="377"/>
      <c r="CR155" s="377"/>
      <c r="CS155" s="377"/>
      <c r="CT155" s="1133"/>
      <c r="CU155" s="475"/>
      <c r="CV155" s="475"/>
      <c r="CW155" s="504"/>
      <c r="CX155" s="504"/>
      <c r="CY155" s="504"/>
      <c r="CZ155" s="504"/>
      <c r="DA155" s="504"/>
      <c r="DB155" s="504"/>
      <c r="DC155" s="504"/>
      <c r="DD155" s="504"/>
      <c r="DE155" s="355"/>
      <c r="DF155" s="355"/>
      <c r="DG155" s="355"/>
      <c r="DH155" s="355"/>
      <c r="DI155" s="355"/>
      <c r="DJ155" s="355"/>
      <c r="DK155" s="355"/>
      <c r="DL155" s="355"/>
      <c r="DM155" s="355"/>
      <c r="DN155" s="355"/>
      <c r="DO155" s="355"/>
      <c r="DP155" s="355"/>
      <c r="DQ155" s="355"/>
      <c r="DR155" s="355"/>
      <c r="DS155" s="355"/>
      <c r="DT155" s="355"/>
      <c r="DU155" s="355"/>
      <c r="DV155" s="355"/>
      <c r="DW155" s="355"/>
      <c r="DY155" s="355"/>
      <c r="DZ155" s="355"/>
    </row>
    <row r="156" spans="1:130" s="883" customFormat="1" ht="18" hidden="1" customHeight="1">
      <c r="A156" s="884" t="s">
        <v>643</v>
      </c>
      <c r="B156" s="885"/>
      <c r="C156" s="886"/>
      <c r="D156" s="886"/>
      <c r="E156" s="886"/>
      <c r="F156" s="886"/>
      <c r="G156" s="886"/>
      <c r="H156" s="887"/>
      <c r="I156" s="887"/>
      <c r="J156" s="887"/>
      <c r="K156" s="887"/>
      <c r="L156" s="887"/>
      <c r="M156" s="887"/>
      <c r="N156" s="887"/>
      <c r="O156" s="888">
        <v>269824.83954722225</v>
      </c>
      <c r="P156" s="888">
        <v>313578.87298888888</v>
      </c>
      <c r="Q156" s="888">
        <v>302112.90336666675</v>
      </c>
      <c r="R156" s="888">
        <v>394594.02991666668</v>
      </c>
      <c r="S156" s="888">
        <v>306974.24019444443</v>
      </c>
      <c r="T156" s="888">
        <v>339322.56756388891</v>
      </c>
      <c r="U156" s="888">
        <v>320780.36576111114</v>
      </c>
      <c r="V156" s="888">
        <v>389248.04230277782</v>
      </c>
      <c r="W156" s="888">
        <v>286044.28406388883</v>
      </c>
      <c r="X156" s="888">
        <v>336580.94443055562</v>
      </c>
      <c r="Y156" s="888">
        <v>326222.07278333331</v>
      </c>
      <c r="Z156" s="888">
        <v>419124.25708888896</v>
      </c>
      <c r="AA156" s="888">
        <v>319110.88159166666</v>
      </c>
      <c r="AB156" s="888">
        <v>366212.7395972223</v>
      </c>
      <c r="AC156" s="888">
        <v>359180.25669722224</v>
      </c>
      <c r="AD156" s="888">
        <v>455279.99125403864</v>
      </c>
      <c r="AE156" s="888">
        <v>357324.11002967058</v>
      </c>
      <c r="AF156" s="888">
        <v>414940.60101699358</v>
      </c>
      <c r="AG156" s="888">
        <v>404718.14600275469</v>
      </c>
      <c r="AH156" s="888">
        <v>518428.86492410803</v>
      </c>
      <c r="AI156" s="888">
        <v>405441.29890710104</v>
      </c>
      <c r="AJ156" s="888">
        <v>456637.84241469303</v>
      </c>
      <c r="AK156" s="888">
        <v>464092.95585602691</v>
      </c>
      <c r="AL156" s="888">
        <v>604523.01422866888</v>
      </c>
      <c r="AM156" s="888">
        <v>468240.7068999355</v>
      </c>
      <c r="AN156" s="888">
        <v>506926.70545385068</v>
      </c>
      <c r="AO156" s="888">
        <v>516048.03591602127</v>
      </c>
      <c r="AP156" s="888">
        <v>666215.12627415243</v>
      </c>
      <c r="AQ156" s="888">
        <f t="shared" ref="AQ156:BD156" si="919">+AQ150+AQ146</f>
        <v>309316.87562720943</v>
      </c>
      <c r="AR156" s="888">
        <f t="shared" si="919"/>
        <v>436955.33479086083</v>
      </c>
      <c r="AS156" s="888">
        <f t="shared" si="919"/>
        <v>451781.30201094958</v>
      </c>
      <c r="AT156" s="888">
        <f t="shared" si="919"/>
        <v>607754.12410136545</v>
      </c>
      <c r="AU156" s="888">
        <f t="shared" si="919"/>
        <v>464904.02413888893</v>
      </c>
      <c r="AV156" s="888">
        <f t="shared" si="919"/>
        <v>516335.13320555555</v>
      </c>
      <c r="AW156" s="888">
        <f t="shared" si="919"/>
        <v>512849.33405833342</v>
      </c>
      <c r="AX156" s="888">
        <f t="shared" si="919"/>
        <v>654225.10331944446</v>
      </c>
      <c r="AY156" s="888">
        <f t="shared" si="919"/>
        <v>494723.17250277771</v>
      </c>
      <c r="AZ156" s="888">
        <f t="shared" si="919"/>
        <v>551242.86232499999</v>
      </c>
      <c r="BA156" s="888">
        <f t="shared" si="919"/>
        <v>524452.46852777782</v>
      </c>
      <c r="BB156" s="888">
        <f t="shared" si="919"/>
        <v>671403.61508480727</v>
      </c>
      <c r="BC156" s="888">
        <f t="shared" si="919"/>
        <v>529105.91152017203</v>
      </c>
      <c r="BD156" s="888">
        <f t="shared" si="919"/>
        <v>578324.97528165742</v>
      </c>
      <c r="BE156" s="888">
        <f t="shared" ref="BE156:BN156" si="920">+BE150+BE146</f>
        <v>570049.11808718299</v>
      </c>
      <c r="BF156" s="888">
        <f t="shared" si="920"/>
        <v>729526.19443611114</v>
      </c>
      <c r="BG156" s="888">
        <f t="shared" si="920"/>
        <v>571742.37966666673</v>
      </c>
      <c r="BH156" s="888">
        <f t="shared" si="920"/>
        <v>621110.6834925001</v>
      </c>
      <c r="BI156" s="888">
        <f t="shared" si="920"/>
        <v>630724.86944166664</v>
      </c>
      <c r="BJ156" s="888">
        <f t="shared" si="920"/>
        <v>831828.58489027782</v>
      </c>
      <c r="BK156" s="888">
        <f t="shared" si="920"/>
        <v>655244.08859805553</v>
      </c>
      <c r="BL156" s="888">
        <f t="shared" si="920"/>
        <v>696702.21443611116</v>
      </c>
      <c r="BM156" s="888">
        <f t="shared" si="920"/>
        <v>700195.68006944447</v>
      </c>
      <c r="BN156" s="888">
        <f t="shared" si="920"/>
        <v>918679.31141944462</v>
      </c>
      <c r="BO156" s="888">
        <f t="shared" ref="BO156:BV156" si="921">+BO150+BO146</f>
        <v>657006.43778888881</v>
      </c>
      <c r="BP156" s="888">
        <f t="shared" si="921"/>
        <v>331901.58647222223</v>
      </c>
      <c r="BQ156" s="888">
        <f t="shared" si="921"/>
        <v>461959.3266777778</v>
      </c>
      <c r="BR156" s="888">
        <f t="shared" si="921"/>
        <v>812858.45009444444</v>
      </c>
      <c r="BS156" s="888">
        <f t="shared" si="921"/>
        <v>540790.46457499999</v>
      </c>
      <c r="BT156" s="888">
        <f t="shared" si="921"/>
        <v>626668.33476111118</v>
      </c>
      <c r="BU156" s="888">
        <f t="shared" si="921"/>
        <v>677783.30817070801</v>
      </c>
      <c r="BV156" s="888">
        <f t="shared" si="921"/>
        <v>945340.73481103894</v>
      </c>
      <c r="BW156" s="888">
        <f t="shared" ref="BW156:CD156" si="922">+BW150+BW146</f>
        <v>740694.08106536546</v>
      </c>
      <c r="BX156" s="888">
        <f t="shared" si="922"/>
        <v>840100.0171495293</v>
      </c>
      <c r="BY156" s="888">
        <f t="shared" si="922"/>
        <v>765893.57245894033</v>
      </c>
      <c r="BZ156" s="888">
        <f t="shared" si="922"/>
        <v>913469.37536290905</v>
      </c>
      <c r="CA156" s="888">
        <f t="shared" si="922"/>
        <v>665813.38394489605</v>
      </c>
      <c r="CB156" s="888">
        <f t="shared" si="922"/>
        <v>696271.6120427188</v>
      </c>
      <c r="CC156" s="888">
        <f t="shared" si="922"/>
        <v>640409.03818847996</v>
      </c>
      <c r="CD156" s="888">
        <f t="shared" si="922"/>
        <v>802981.37981757103</v>
      </c>
      <c r="CE156" s="888">
        <f t="shared" ref="CE156:CH156" si="923">+CE150+CE146</f>
        <v>645288.51885959774</v>
      </c>
      <c r="CF156" s="888">
        <f t="shared" si="923"/>
        <v>709536.17589650664</v>
      </c>
      <c r="CG156" s="888">
        <f t="shared" si="923"/>
        <v>725279.53091842763</v>
      </c>
      <c r="CH156" s="888">
        <f t="shared" si="923"/>
        <v>905626.67056535813</v>
      </c>
      <c r="CI156" s="888">
        <f t="shared" ref="CI156:CL156" si="924">+CI150+CI146</f>
        <v>709839.90776964126</v>
      </c>
      <c r="CJ156" s="888">
        <f t="shared" si="924"/>
        <v>786665.55962704285</v>
      </c>
      <c r="CK156" s="888">
        <f t="shared" si="924"/>
        <v>731440.19253271469</v>
      </c>
      <c r="CL156" s="888">
        <f t="shared" si="924"/>
        <v>950935.90787258791</v>
      </c>
      <c r="CM156" s="888">
        <f t="shared" ref="CM156:CP156" si="925">+CM150+CM146</f>
        <v>806233.2438736778</v>
      </c>
      <c r="CN156" s="888">
        <f t="shared" si="925"/>
        <v>920508.52037556167</v>
      </c>
      <c r="CO156" s="888">
        <f t="shared" si="925"/>
        <v>899099.63125299092</v>
      </c>
      <c r="CP156" s="888">
        <f t="shared" si="925"/>
        <v>1172211.5814028555</v>
      </c>
      <c r="CQ156" s="888"/>
      <c r="CR156" s="889"/>
      <c r="CS156" s="888">
        <v>788791.69188199448</v>
      </c>
      <c r="CT156" s="1133"/>
      <c r="CU156" s="890"/>
      <c r="CV156" s="890"/>
      <c r="CW156" s="891"/>
      <c r="CX156" s="891"/>
      <c r="CY156" s="197">
        <f>+V156</f>
        <v>389248.04230277782</v>
      </c>
      <c r="CZ156" s="197">
        <f>+Z156</f>
        <v>419124.25708888896</v>
      </c>
      <c r="DA156" s="197">
        <f>+AD156</f>
        <v>455279.99125403864</v>
      </c>
      <c r="DB156" s="197">
        <f>+AH156</f>
        <v>518428.86492410803</v>
      </c>
      <c r="DC156" s="197">
        <f>+AL156</f>
        <v>604523.01422866888</v>
      </c>
      <c r="DD156" s="197">
        <f>+AP156</f>
        <v>666215.12627415243</v>
      </c>
      <c r="DE156" s="888">
        <f>+AT156</f>
        <v>607754.12410136545</v>
      </c>
      <c r="DF156" s="888">
        <f>+AX156</f>
        <v>654225.10331944446</v>
      </c>
      <c r="DG156" s="888">
        <f>+BB156</f>
        <v>671403.61508480727</v>
      </c>
      <c r="DH156" s="888">
        <f>+BF156</f>
        <v>729526.19443611114</v>
      </c>
      <c r="DI156" s="888">
        <f>+BJ156</f>
        <v>831828.58489027782</v>
      </c>
      <c r="DJ156" s="888">
        <f t="shared" ref="DJ156:DU156" si="926">+BN156</f>
        <v>918679.31141944462</v>
      </c>
      <c r="DK156" s="888">
        <f t="shared" si="926"/>
        <v>657006.43778888881</v>
      </c>
      <c r="DL156" s="888">
        <f t="shared" si="926"/>
        <v>331901.58647222223</v>
      </c>
      <c r="DM156" s="888">
        <f t="shared" si="926"/>
        <v>461959.3266777778</v>
      </c>
      <c r="DN156" s="888">
        <f t="shared" si="926"/>
        <v>812858.45009444444</v>
      </c>
      <c r="DO156" s="888">
        <f t="shared" si="926"/>
        <v>540790.46457499999</v>
      </c>
      <c r="DP156" s="888">
        <f t="shared" si="926"/>
        <v>626668.33476111118</v>
      </c>
      <c r="DQ156" s="888">
        <f t="shared" si="926"/>
        <v>677783.30817070801</v>
      </c>
      <c r="DR156" s="888">
        <f t="shared" si="926"/>
        <v>945340.73481103894</v>
      </c>
      <c r="DS156" s="888">
        <f t="shared" si="926"/>
        <v>740694.08106536546</v>
      </c>
      <c r="DT156" s="888">
        <f t="shared" si="926"/>
        <v>840100.0171495293</v>
      </c>
      <c r="DU156" s="888">
        <f t="shared" si="926"/>
        <v>765893.57245894033</v>
      </c>
      <c r="DV156" s="885"/>
      <c r="DW156" s="885"/>
      <c r="DY156" s="888">
        <v>626668.33476111118</v>
      </c>
      <c r="DZ156" s="888">
        <v>677783.30817070801</v>
      </c>
    </row>
    <row r="157" spans="1:130" s="302" customFormat="1" hidden="1">
      <c r="A157" s="508" t="s">
        <v>644</v>
      </c>
      <c r="B157" s="355"/>
      <c r="C157" s="502"/>
      <c r="D157" s="502"/>
      <c r="E157" s="502"/>
      <c r="F157" s="502"/>
      <c r="G157" s="502"/>
      <c r="H157" s="498"/>
      <c r="I157" s="498"/>
      <c r="J157" s="498"/>
      <c r="K157" s="498"/>
      <c r="L157" s="498"/>
      <c r="M157" s="498"/>
      <c r="N157" s="498"/>
      <c r="O157" s="498"/>
      <c r="P157" s="357">
        <v>43754.03344166663</v>
      </c>
      <c r="Q157" s="357">
        <v>-11465.969622222125</v>
      </c>
      <c r="R157" s="357">
        <v>92481.126549999928</v>
      </c>
      <c r="S157" s="357">
        <v>-87619.789722222253</v>
      </c>
      <c r="T157" s="357">
        <v>32348.32736944448</v>
      </c>
      <c r="U157" s="357">
        <v>-18542.201802777767</v>
      </c>
      <c r="V157" s="357">
        <v>68467.676541666675</v>
      </c>
      <c r="W157" s="357">
        <v>-103203.75823888899</v>
      </c>
      <c r="X157" s="357">
        <v>50536.660366666794</v>
      </c>
      <c r="Y157" s="357">
        <v>-10358.871647222317</v>
      </c>
      <c r="Z157" s="357">
        <v>92902.184305555653</v>
      </c>
      <c r="AA157" s="357">
        <v>-100013.3754972223</v>
      </c>
      <c r="AB157" s="357">
        <v>47101.858005555638</v>
      </c>
      <c r="AC157" s="357">
        <v>-7032.4829000000609</v>
      </c>
      <c r="AD157" s="357">
        <v>96099.734556816402</v>
      </c>
      <c r="AE157" s="357">
        <v>-97955.881224368059</v>
      </c>
      <c r="AF157" s="357">
        <v>57616.490987322992</v>
      </c>
      <c r="AG157" s="357">
        <v>-10222.455014238891</v>
      </c>
      <c r="AH157" s="357">
        <v>113710.71892135334</v>
      </c>
      <c r="AI157" s="357">
        <v>-112987.56601700699</v>
      </c>
      <c r="AJ157" s="357">
        <v>51196.543507591996</v>
      </c>
      <c r="AK157" s="357">
        <v>7455.1134413338732</v>
      </c>
      <c r="AL157" s="357">
        <v>140430.05837264197</v>
      </c>
      <c r="AM157" s="357">
        <v>-136282.30732873338</v>
      </c>
      <c r="AN157" s="357">
        <v>38685.998553915182</v>
      </c>
      <c r="AO157" s="357">
        <v>9121.3304621705902</v>
      </c>
      <c r="AP157" s="357">
        <v>150167.09035813116</v>
      </c>
      <c r="AQ157" s="357">
        <f t="shared" ref="AQ157:BD157" si="927">+AQ156-AP156</f>
        <v>-356898.25064694299</v>
      </c>
      <c r="AR157" s="357">
        <f t="shared" si="927"/>
        <v>127638.45916365139</v>
      </c>
      <c r="AS157" s="357">
        <f t="shared" si="927"/>
        <v>14825.967220088758</v>
      </c>
      <c r="AT157" s="357">
        <f t="shared" si="927"/>
        <v>155972.82209041587</v>
      </c>
      <c r="AU157" s="357">
        <f t="shared" si="927"/>
        <v>-142850.09996247652</v>
      </c>
      <c r="AV157" s="357">
        <f t="shared" si="927"/>
        <v>51431.109066666628</v>
      </c>
      <c r="AW157" s="357">
        <f t="shared" si="927"/>
        <v>-3485.7991472221329</v>
      </c>
      <c r="AX157" s="357">
        <f t="shared" si="927"/>
        <v>141375.76926111104</v>
      </c>
      <c r="AY157" s="357">
        <f t="shared" si="927"/>
        <v>-159501.93081666675</v>
      </c>
      <c r="AZ157" s="357">
        <f t="shared" si="927"/>
        <v>56519.689822222281</v>
      </c>
      <c r="BA157" s="357">
        <f t="shared" si="927"/>
        <v>-26790.393797222176</v>
      </c>
      <c r="BB157" s="357">
        <f t="shared" si="927"/>
        <v>146951.14655702945</v>
      </c>
      <c r="BC157" s="357">
        <f t="shared" si="927"/>
        <v>-142297.70356463525</v>
      </c>
      <c r="BD157" s="357">
        <f t="shared" si="927"/>
        <v>49219.063761485391</v>
      </c>
      <c r="BE157" s="357">
        <f>+BE156-BD156</f>
        <v>-8275.8571944744326</v>
      </c>
      <c r="BF157" s="357">
        <f>+BF156-BE156</f>
        <v>159477.07634892815</v>
      </c>
      <c r="BG157" s="357">
        <f>+BG156-BF156</f>
        <v>-157783.81476944441</v>
      </c>
      <c r="BH157" s="357">
        <f>+BH156-BG156</f>
        <v>49368.303825833369</v>
      </c>
      <c r="BI157" s="357">
        <f t="shared" ref="BI157:BQ157" si="928">+BI156-BH156</f>
        <v>9614.1859491665382</v>
      </c>
      <c r="BJ157" s="357">
        <f t="shared" si="928"/>
        <v>201103.71544861118</v>
      </c>
      <c r="BK157" s="357">
        <f t="shared" si="928"/>
        <v>-176584.49629222229</v>
      </c>
      <c r="BL157" s="357">
        <f t="shared" si="928"/>
        <v>41458.125838055625</v>
      </c>
      <c r="BM157" s="357">
        <f t="shared" si="928"/>
        <v>3493.4656333333114</v>
      </c>
      <c r="BN157" s="357">
        <f t="shared" si="928"/>
        <v>218483.63135000016</v>
      </c>
      <c r="BO157" s="357">
        <f t="shared" si="928"/>
        <v>-261672.87363055581</v>
      </c>
      <c r="BP157" s="357">
        <f t="shared" si="928"/>
        <v>-325104.85131666658</v>
      </c>
      <c r="BQ157" s="357">
        <f t="shared" si="928"/>
        <v>130057.74020555557</v>
      </c>
      <c r="BR157" s="357">
        <f t="shared" ref="BR157:CD157" si="929">+BR156-BQ156</f>
        <v>350899.12341666664</v>
      </c>
      <c r="BS157" s="357">
        <f t="shared" si="929"/>
        <v>-272067.98551944445</v>
      </c>
      <c r="BT157" s="357">
        <f t="shared" si="929"/>
        <v>85877.870186111191</v>
      </c>
      <c r="BU157" s="357">
        <f t="shared" si="929"/>
        <v>51114.973409596831</v>
      </c>
      <c r="BV157" s="357">
        <f t="shared" si="929"/>
        <v>267557.42664033093</v>
      </c>
      <c r="BW157" s="357">
        <f t="shared" si="929"/>
        <v>-204646.65374567348</v>
      </c>
      <c r="BX157" s="357">
        <f t="shared" si="929"/>
        <v>99405.936084163841</v>
      </c>
      <c r="BY157" s="357">
        <f t="shared" si="929"/>
        <v>-74206.444690588978</v>
      </c>
      <c r="BZ157" s="357">
        <f t="shared" si="929"/>
        <v>147575.80290396872</v>
      </c>
      <c r="CA157" s="357">
        <f t="shared" si="929"/>
        <v>-247655.991418013</v>
      </c>
      <c r="CB157" s="357">
        <f t="shared" si="929"/>
        <v>30458.22809782275</v>
      </c>
      <c r="CC157" s="357">
        <f t="shared" si="929"/>
        <v>-55862.573854238843</v>
      </c>
      <c r="CD157" s="357">
        <f t="shared" si="929"/>
        <v>162572.34162909107</v>
      </c>
      <c r="CE157" s="357">
        <f t="shared" ref="CE157" si="930">+CE156-CD156</f>
        <v>-157692.86095797329</v>
      </c>
      <c r="CF157" s="357">
        <f t="shared" ref="CF157" si="931">+CF156-CE156</f>
        <v>64247.657036908902</v>
      </c>
      <c r="CG157" s="357">
        <f t="shared" ref="CG157" si="932">+CG156-CF156</f>
        <v>15743.355021920986</v>
      </c>
      <c r="CH157" s="357">
        <f t="shared" ref="CH157" si="933">+CH156-CG156</f>
        <v>180347.1396469305</v>
      </c>
      <c r="CI157" s="357">
        <f t="shared" ref="CI157" si="934">+CI156-CH156</f>
        <v>-195786.76279571687</v>
      </c>
      <c r="CJ157" s="357">
        <f t="shared" ref="CJ157" si="935">+CJ156-CI156</f>
        <v>76825.651857401594</v>
      </c>
      <c r="CK157" s="357">
        <f t="shared" ref="CK157" si="936">+CK156-CJ156</f>
        <v>-55225.367094328161</v>
      </c>
      <c r="CL157" s="357">
        <f t="shared" ref="CL157" si="937">+CL156-CK156</f>
        <v>219495.71533987322</v>
      </c>
      <c r="CM157" s="357">
        <f t="shared" ref="CM157" si="938">+CM156-CL156</f>
        <v>-144702.66399891011</v>
      </c>
      <c r="CN157" s="357">
        <f t="shared" ref="CN157" si="939">+CN156-CM156</f>
        <v>114275.27650188387</v>
      </c>
      <c r="CO157" s="357">
        <f t="shared" ref="CO157" si="940">+CO156-CN156</f>
        <v>-21408.889122570748</v>
      </c>
      <c r="CP157" s="357">
        <f t="shared" ref="CP157" si="941">+CP156-CO156</f>
        <v>273111.95014986454</v>
      </c>
      <c r="CQ157" s="357"/>
      <c r="CR157" s="399"/>
      <c r="CS157" s="357">
        <v>78951.784112353227</v>
      </c>
      <c r="CT157" s="1133"/>
      <c r="CU157" s="475"/>
      <c r="CV157" s="475"/>
      <c r="CW157" s="504"/>
      <c r="CX157" s="504"/>
      <c r="CY157" s="504"/>
      <c r="CZ157" s="504">
        <f t="shared" ref="CZ157:DJ157" si="942">+CZ156-CY156</f>
        <v>29876.214786111144</v>
      </c>
      <c r="DA157" s="504">
        <f t="shared" si="942"/>
        <v>36155.734165149683</v>
      </c>
      <c r="DB157" s="504">
        <f t="shared" si="942"/>
        <v>63148.873670069384</v>
      </c>
      <c r="DC157" s="504">
        <f t="shared" si="942"/>
        <v>86094.149304560851</v>
      </c>
      <c r="DD157" s="504">
        <f t="shared" si="942"/>
        <v>61692.112045483547</v>
      </c>
      <c r="DE157" s="504">
        <f t="shared" si="942"/>
        <v>-58461.002172786975</v>
      </c>
      <c r="DF157" s="357">
        <f t="shared" si="942"/>
        <v>46470.97921807901</v>
      </c>
      <c r="DG157" s="357">
        <f t="shared" si="942"/>
        <v>17178.511765362811</v>
      </c>
      <c r="DH157" s="357">
        <f t="shared" si="942"/>
        <v>58122.579351303866</v>
      </c>
      <c r="DI157" s="357">
        <f t="shared" si="942"/>
        <v>102302.39045416669</v>
      </c>
      <c r="DJ157" s="357">
        <f t="shared" si="942"/>
        <v>86850.726529166801</v>
      </c>
      <c r="DK157" s="357">
        <f t="shared" ref="DK157:DR157" si="943">+DK156-DJ156</f>
        <v>-261672.87363055581</v>
      </c>
      <c r="DL157" s="357">
        <f t="shared" si="943"/>
        <v>-325104.85131666658</v>
      </c>
      <c r="DM157" s="357">
        <f t="shared" si="943"/>
        <v>130057.74020555557</v>
      </c>
      <c r="DN157" s="357">
        <f t="shared" si="943"/>
        <v>350899.12341666664</v>
      </c>
      <c r="DO157" s="357">
        <f t="shared" si="943"/>
        <v>-272067.98551944445</v>
      </c>
      <c r="DP157" s="357">
        <f t="shared" si="943"/>
        <v>85877.870186111191</v>
      </c>
      <c r="DQ157" s="357">
        <f t="shared" si="943"/>
        <v>51114.973409596831</v>
      </c>
      <c r="DR157" s="357">
        <f t="shared" si="943"/>
        <v>267557.42664033093</v>
      </c>
      <c r="DS157" s="357">
        <f t="shared" ref="DS157" si="944">+DS156-DR156</f>
        <v>-204646.65374567348</v>
      </c>
      <c r="DT157" s="357">
        <f t="shared" ref="DT157" si="945">+DT156-DS156</f>
        <v>99405.936084163841</v>
      </c>
      <c r="DU157" s="357">
        <f t="shared" ref="DU157" si="946">+DU156-DT156</f>
        <v>-74206.444690588978</v>
      </c>
      <c r="DV157" s="355"/>
      <c r="DW157" s="355"/>
      <c r="DY157" s="357">
        <v>85877.870186111191</v>
      </c>
      <c r="DZ157" s="357">
        <v>51114.973409596831</v>
      </c>
    </row>
    <row r="158" spans="1:130" s="302" customFormat="1" hidden="1">
      <c r="A158" s="501"/>
      <c r="B158" s="355"/>
      <c r="C158" s="502"/>
      <c r="D158" s="502"/>
      <c r="E158" s="502"/>
      <c r="F158" s="502"/>
      <c r="G158" s="502"/>
      <c r="H158" s="498"/>
      <c r="I158" s="498"/>
      <c r="J158" s="498"/>
      <c r="K158" s="498"/>
      <c r="L158" s="498"/>
      <c r="M158" s="498"/>
      <c r="N158" s="498"/>
      <c r="O158" s="498"/>
      <c r="P158" s="498"/>
      <c r="Q158" s="498"/>
      <c r="R158" s="498"/>
      <c r="S158" s="12">
        <v>0.13767969142337111</v>
      </c>
      <c r="T158" s="12">
        <v>8.2096393579143445E-2</v>
      </c>
      <c r="U158" s="12">
        <v>6.1789689173878726E-2</v>
      </c>
      <c r="V158" s="12">
        <v>-1.3548070190057993E-2</v>
      </c>
      <c r="W158" s="12">
        <v>-6.8181473850372876E-2</v>
      </c>
      <c r="X158" s="12">
        <v>-8.0796958275316522E-3</v>
      </c>
      <c r="Y158" s="12">
        <v>1.6963965388937297E-2</v>
      </c>
      <c r="Z158" s="12">
        <v>7.6753667428523187E-2</v>
      </c>
      <c r="AA158" s="12">
        <v>0.11559957450641556</v>
      </c>
      <c r="AB158" s="12">
        <v>8.8037649358905901E-2</v>
      </c>
      <c r="AC158" s="12">
        <v>0.10102990160257708</v>
      </c>
      <c r="AD158" s="12">
        <v>8.6264952585365817E-2</v>
      </c>
      <c r="AE158" s="12">
        <v>0.11974906103923288</v>
      </c>
      <c r="AF158" s="12">
        <v>0.1330588921438518</v>
      </c>
      <c r="AG158" s="12">
        <v>0.12678282966961474</v>
      </c>
      <c r="AH158" s="12">
        <v>0.13870338008074978</v>
      </c>
      <c r="AI158" s="12">
        <v>0.13465978792596722</v>
      </c>
      <c r="AJ158" s="12">
        <v>0.10048966356992328</v>
      </c>
      <c r="AK158" s="12">
        <v>0.14670656712503338</v>
      </c>
      <c r="AL158" s="12">
        <v>0.16606743013270298</v>
      </c>
      <c r="AM158" s="12">
        <v>0.15489149270711988</v>
      </c>
      <c r="AN158" s="12">
        <v>0.11012854907782277</v>
      </c>
      <c r="AO158" s="12">
        <v>0.11194972775262735</v>
      </c>
      <c r="AP158" s="12">
        <v>0.10205089069139661</v>
      </c>
      <c r="AQ158" s="12"/>
      <c r="AR158" s="12"/>
      <c r="AS158" s="12"/>
      <c r="AT158" s="12"/>
      <c r="AU158" s="12"/>
      <c r="AV158" s="12"/>
      <c r="AW158" s="12"/>
      <c r="AX158" s="12"/>
      <c r="AY158" s="12"/>
      <c r="AZ158" s="12"/>
      <c r="BA158" s="12"/>
      <c r="BB158" s="12"/>
      <c r="BC158" s="509"/>
      <c r="BD158" s="509"/>
      <c r="BE158" s="509"/>
      <c r="BF158" s="509"/>
      <c r="BG158" s="509"/>
      <c r="BH158" s="509"/>
      <c r="BI158" s="509"/>
      <c r="BJ158" s="509"/>
      <c r="BK158" s="509"/>
      <c r="BL158" s="509"/>
      <c r="BM158" s="509"/>
      <c r="BN158" s="572"/>
      <c r="BO158" s="572"/>
      <c r="BP158" s="572"/>
      <c r="BQ158" s="572"/>
      <c r="BR158" s="572"/>
      <c r="BS158" s="572"/>
      <c r="BT158" s="572"/>
      <c r="BU158" s="572"/>
      <c r="BV158" s="572"/>
      <c r="BW158" s="572"/>
      <c r="BX158" s="572"/>
      <c r="BY158" s="572"/>
      <c r="BZ158" s="572"/>
      <c r="CA158" s="572"/>
      <c r="CB158" s="572"/>
      <c r="CC158" s="572"/>
      <c r="CD158" s="572"/>
      <c r="CE158" s="572"/>
      <c r="CF158" s="572"/>
      <c r="CG158" s="572"/>
      <c r="CH158" s="572"/>
      <c r="CI158" s="572"/>
      <c r="CJ158" s="572"/>
      <c r="CK158" s="572"/>
      <c r="CL158" s="572"/>
      <c r="CM158" s="572"/>
      <c r="CN158" s="572"/>
      <c r="CO158" s="572"/>
      <c r="CP158" s="572"/>
      <c r="CQ158" s="572"/>
      <c r="CR158" s="572"/>
      <c r="CS158" s="572"/>
      <c r="CT158" s="1133"/>
      <c r="CU158" s="475"/>
      <c r="CV158" s="475"/>
      <c r="CW158" s="504"/>
      <c r="CX158" s="504"/>
      <c r="CY158" s="504"/>
      <c r="CZ158" s="504"/>
      <c r="DA158" s="504"/>
      <c r="DB158" s="504"/>
      <c r="DC158" s="504"/>
      <c r="DD158" s="504"/>
      <c r="DE158" s="357"/>
      <c r="DF158" s="357"/>
      <c r="DG158" s="357"/>
      <c r="DH158" s="357"/>
      <c r="DI158" s="357"/>
      <c r="DJ158" s="357"/>
      <c r="DK158" s="357"/>
      <c r="DL158" s="357"/>
      <c r="DM158" s="357"/>
      <c r="DN158" s="357"/>
      <c r="DO158" s="357"/>
      <c r="DP158" s="357"/>
      <c r="DQ158" s="357"/>
      <c r="DR158" s="357"/>
      <c r="DS158" s="357"/>
      <c r="DT158" s="357"/>
      <c r="DU158" s="357"/>
      <c r="DV158" s="355"/>
      <c r="DW158" s="355"/>
      <c r="DY158" s="357"/>
      <c r="DZ158" s="357"/>
    </row>
    <row r="159" spans="1:130" s="302" customFormat="1">
      <c r="A159" s="501"/>
      <c r="B159" s="355"/>
      <c r="C159" s="502"/>
      <c r="D159" s="502"/>
      <c r="E159" s="502"/>
      <c r="F159" s="502"/>
      <c r="G159" s="502"/>
      <c r="H159" s="498"/>
      <c r="I159" s="498"/>
      <c r="J159" s="498"/>
      <c r="K159" s="498"/>
      <c r="L159" s="498"/>
      <c r="M159" s="498"/>
      <c r="N159" s="498"/>
      <c r="O159" s="498"/>
      <c r="P159" s="498"/>
      <c r="Q159" s="498"/>
      <c r="R159" s="498"/>
      <c r="S159" s="498"/>
      <c r="T159" s="357"/>
      <c r="U159" s="357"/>
      <c r="V159" s="357"/>
      <c r="W159" s="357"/>
      <c r="X159" s="357"/>
      <c r="Y159" s="357"/>
      <c r="Z159" s="357"/>
      <c r="AA159" s="357"/>
      <c r="AB159" s="357"/>
      <c r="AC159" s="357"/>
      <c r="AD159" s="357"/>
      <c r="AE159" s="357"/>
      <c r="AF159" s="357"/>
      <c r="AG159" s="357"/>
      <c r="AH159" s="357"/>
      <c r="AI159" s="357"/>
      <c r="AJ159" s="357"/>
      <c r="AK159" s="357"/>
      <c r="AL159" s="357"/>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572"/>
      <c r="BP159" s="572"/>
      <c r="BQ159" s="572"/>
      <c r="BR159" s="572"/>
      <c r="BS159" s="572"/>
      <c r="BT159" s="572"/>
      <c r="BU159" s="572"/>
      <c r="BV159" s="572"/>
      <c r="BW159" s="572"/>
      <c r="BX159" s="572"/>
      <c r="BY159" s="572"/>
      <c r="BZ159" s="572"/>
      <c r="CA159" s="572"/>
      <c r="CB159" s="572"/>
      <c r="CC159" s="572"/>
      <c r="CD159" s="572"/>
      <c r="CE159" s="572"/>
      <c r="CF159" s="572"/>
      <c r="CG159" s="572"/>
      <c r="CH159" s="572"/>
      <c r="CI159" s="572"/>
      <c r="CJ159" s="572"/>
      <c r="CK159" s="572"/>
      <c r="CL159" s="572"/>
      <c r="CM159" s="572"/>
      <c r="CN159" s="572"/>
      <c r="CO159" s="572"/>
      <c r="CP159" s="572"/>
      <c r="CQ159" s="572"/>
      <c r="CR159" s="572"/>
      <c r="CS159" s="572"/>
      <c r="CT159" s="1133"/>
      <c r="CU159" s="475"/>
      <c r="CV159" s="475"/>
      <c r="CW159" s="504"/>
      <c r="CX159" s="504"/>
      <c r="CY159" s="504"/>
      <c r="CZ159" s="504"/>
      <c r="DA159" s="504"/>
      <c r="DB159" s="504"/>
      <c r="DC159" s="504"/>
      <c r="DD159" s="504"/>
      <c r="DE159" s="355"/>
      <c r="DF159" s="355"/>
      <c r="DG159" s="355"/>
      <c r="DH159" s="355"/>
      <c r="DI159" s="355"/>
      <c r="DJ159" s="355"/>
      <c r="DK159" s="355"/>
      <c r="DL159" s="355"/>
      <c r="DM159" s="355"/>
      <c r="DN159" s="355"/>
      <c r="DO159" s="355"/>
      <c r="DP159" s="355"/>
      <c r="DQ159" s="355"/>
      <c r="DR159" s="355"/>
      <c r="DS159" s="355"/>
      <c r="DT159" s="355"/>
      <c r="DU159" s="355"/>
      <c r="DV159" s="355"/>
      <c r="DW159" s="355"/>
      <c r="DY159" s="355"/>
      <c r="DZ159" s="355"/>
    </row>
    <row r="160" spans="1:130" s="846" customFormat="1" ht="12.75">
      <c r="A160" s="501" t="s">
        <v>645</v>
      </c>
      <c r="B160" s="485"/>
      <c r="C160" s="488"/>
      <c r="D160" s="488"/>
      <c r="E160" s="488"/>
      <c r="F160" s="488"/>
      <c r="G160" s="488"/>
      <c r="H160" s="489"/>
      <c r="I160" s="489"/>
      <c r="J160" s="489"/>
      <c r="K160" s="489"/>
      <c r="L160" s="489"/>
      <c r="M160" s="489"/>
      <c r="N160" s="489"/>
      <c r="O160" s="489">
        <v>391354</v>
      </c>
      <c r="P160" s="489">
        <v>422183</v>
      </c>
      <c r="Q160" s="489">
        <v>382243</v>
      </c>
      <c r="R160" s="489">
        <v>586019</v>
      </c>
      <c r="S160" s="489">
        <v>452495</v>
      </c>
      <c r="T160" s="489">
        <v>467379</v>
      </c>
      <c r="U160" s="489">
        <v>408670</v>
      </c>
      <c r="V160" s="489">
        <v>563390</v>
      </c>
      <c r="W160" s="489">
        <v>409653</v>
      </c>
      <c r="X160" s="489">
        <v>452210</v>
      </c>
      <c r="Y160" s="489">
        <v>411474</v>
      </c>
      <c r="Z160" s="489">
        <v>617742</v>
      </c>
      <c r="AA160" s="489">
        <v>466022</v>
      </c>
      <c r="AB160" s="489">
        <v>501286</v>
      </c>
      <c r="AC160" s="489">
        <v>459199</v>
      </c>
      <c r="AD160" s="489">
        <v>668844</v>
      </c>
      <c r="AE160" s="489">
        <v>527709</v>
      </c>
      <c r="AF160" s="489">
        <v>564831</v>
      </c>
      <c r="AG160" s="489">
        <v>492888</v>
      </c>
      <c r="AH160" s="489">
        <v>730301</v>
      </c>
      <c r="AI160" s="489">
        <v>573185</v>
      </c>
      <c r="AJ160" s="489">
        <v>609367</v>
      </c>
      <c r="AK160" s="489">
        <v>573034</v>
      </c>
      <c r="AL160" s="489">
        <v>846003</v>
      </c>
      <c r="AM160" s="489">
        <v>682134</v>
      </c>
      <c r="AN160" s="489">
        <v>683043.2</v>
      </c>
      <c r="AO160" s="489">
        <v>649297</v>
      </c>
      <c r="AP160" s="489">
        <v>962205</v>
      </c>
      <c r="AQ160" s="844">
        <f t="shared" ref="AQ160:BD160" si="947">+AQ172+AQ176+AQ180+AQ184+AQ188+AQ191+AQ193</f>
        <v>751436</v>
      </c>
      <c r="AR160" s="844">
        <f t="shared" si="947"/>
        <v>754344</v>
      </c>
      <c r="AS160" s="844">
        <f t="shared" si="947"/>
        <v>712816</v>
      </c>
      <c r="AT160" s="844">
        <f t="shared" si="947"/>
        <v>1093959</v>
      </c>
      <c r="AU160" s="844">
        <f t="shared" si="947"/>
        <v>843665</v>
      </c>
      <c r="AV160" s="844">
        <f t="shared" si="947"/>
        <v>865661</v>
      </c>
      <c r="AW160" s="844">
        <f t="shared" si="947"/>
        <v>803961</v>
      </c>
      <c r="AX160" s="844">
        <f t="shared" si="947"/>
        <v>1145202</v>
      </c>
      <c r="AY160" s="844">
        <f t="shared" si="947"/>
        <v>844712</v>
      </c>
      <c r="AZ160" s="844">
        <f t="shared" si="947"/>
        <v>882444</v>
      </c>
      <c r="BA160" s="844">
        <f t="shared" si="947"/>
        <v>781502</v>
      </c>
      <c r="BB160" s="844">
        <f t="shared" si="947"/>
        <v>1148901</v>
      </c>
      <c r="BC160" s="844">
        <f t="shared" si="947"/>
        <v>876059</v>
      </c>
      <c r="BD160" s="844">
        <f t="shared" si="947"/>
        <v>827329</v>
      </c>
      <c r="BE160" s="844">
        <f>+BE172+BE176+BE180+BE184+BE188+BE191+BE193</f>
        <v>746257</v>
      </c>
      <c r="BF160" s="844">
        <v>1068644.8819900001</v>
      </c>
      <c r="BG160" s="844">
        <v>815639.35074000002</v>
      </c>
      <c r="BH160" s="844">
        <v>831342.23376999993</v>
      </c>
      <c r="BI160" s="844">
        <v>793044</v>
      </c>
      <c r="BJ160" s="844">
        <v>1159662</v>
      </c>
      <c r="BK160" s="844">
        <v>909106.39190579031</v>
      </c>
      <c r="BL160" s="844">
        <v>859195.34141754499</v>
      </c>
      <c r="BM160" s="845">
        <v>803492.87535040488</v>
      </c>
      <c r="BN160" s="845">
        <v>1149607.9865814275</v>
      </c>
      <c r="BO160" s="845">
        <v>827531.09335561388</v>
      </c>
      <c r="BP160" s="845">
        <v>419006.3373721487</v>
      </c>
      <c r="BQ160" s="845">
        <v>586133.33742305951</v>
      </c>
      <c r="BR160" s="845">
        <v>947498.55889773357</v>
      </c>
      <c r="BS160" s="845">
        <v>597658</v>
      </c>
      <c r="BT160" s="845">
        <v>677100</v>
      </c>
      <c r="BU160" s="845">
        <v>652229</v>
      </c>
      <c r="BV160" s="845">
        <v>890619</v>
      </c>
      <c r="BW160" s="845">
        <v>698148</v>
      </c>
      <c r="BX160" s="845">
        <v>722300</v>
      </c>
      <c r="BY160" s="845">
        <v>594576</v>
      </c>
      <c r="BZ160" s="845">
        <v>705520</v>
      </c>
      <c r="CA160" s="845">
        <v>547376</v>
      </c>
      <c r="CB160" s="845">
        <v>541021</v>
      </c>
      <c r="CC160" s="845">
        <v>491226</v>
      </c>
      <c r="CD160" s="845">
        <v>620795</v>
      </c>
      <c r="CE160" s="845">
        <v>496710</v>
      </c>
      <c r="CF160" s="845">
        <v>504011.32254885946</v>
      </c>
      <c r="CG160" s="845">
        <v>498996.64166917698</v>
      </c>
      <c r="CH160" s="845">
        <v>645634.26192840014</v>
      </c>
      <c r="CI160" s="845">
        <v>520288.71028004098</v>
      </c>
      <c r="CJ160" s="845">
        <v>548888.26615000004</v>
      </c>
      <c r="CK160" s="845">
        <v>493379.36325000005</v>
      </c>
      <c r="CL160" s="642">
        <f t="shared" ref="CL160:CP160" si="948">+CL166-CL163</f>
        <v>678745.80160490517</v>
      </c>
      <c r="CM160" s="642">
        <f t="shared" si="948"/>
        <v>582414.8959403442</v>
      </c>
      <c r="CN160" s="642">
        <f t="shared" si="948"/>
        <v>628514.43606194505</v>
      </c>
      <c r="CO160" s="642">
        <f t="shared" si="948"/>
        <v>559053.11159434961</v>
      </c>
      <c r="CP160" s="642">
        <f t="shared" si="948"/>
        <v>717195.42954137211</v>
      </c>
      <c r="CQ160" s="642"/>
      <c r="CR160" s="642"/>
      <c r="CS160" s="642">
        <v>533134.85653083387</v>
      </c>
      <c r="CT160" s="1133">
        <f>+CI160/CS160-1</f>
        <v>-2.4095491212831499E-2</v>
      </c>
      <c r="CU160" s="490"/>
      <c r="CV160" s="490"/>
      <c r="CW160" s="518">
        <v>526961</v>
      </c>
      <c r="CX160" s="518">
        <v>586019</v>
      </c>
      <c r="CY160" s="495">
        <f>+V160</f>
        <v>563390</v>
      </c>
      <c r="CZ160" s="495">
        <f>+Z160</f>
        <v>617742</v>
      </c>
      <c r="DA160" s="495">
        <f>+AD160</f>
        <v>668844</v>
      </c>
      <c r="DB160" s="495">
        <f>+AH160</f>
        <v>730301</v>
      </c>
      <c r="DC160" s="495">
        <f>+AL160</f>
        <v>846003</v>
      </c>
      <c r="DD160" s="495">
        <f>+AP160</f>
        <v>962205</v>
      </c>
      <c r="DE160" s="489">
        <f>+AT160</f>
        <v>1093959</v>
      </c>
      <c r="DF160" s="489">
        <f>+AX160</f>
        <v>1145202</v>
      </c>
      <c r="DG160" s="489">
        <f>+BB160</f>
        <v>1148901</v>
      </c>
      <c r="DH160" s="489">
        <f>+BF160</f>
        <v>1068644.8819900001</v>
      </c>
      <c r="DI160" s="489">
        <f>+BJ160</f>
        <v>1159662</v>
      </c>
      <c r="DJ160" s="489">
        <f>+BN160</f>
        <v>1149607.9865814275</v>
      </c>
      <c r="DK160" s="489">
        <f>+BR160</f>
        <v>947498.55889773357</v>
      </c>
      <c r="DL160" s="489">
        <f>+BV160</f>
        <v>890619</v>
      </c>
      <c r="DM160" s="489">
        <f>+BZ160</f>
        <v>705520</v>
      </c>
      <c r="DN160" s="489">
        <f>+CD160</f>
        <v>620795</v>
      </c>
      <c r="DO160" s="489">
        <f>+CH160</f>
        <v>645634.26192840014</v>
      </c>
      <c r="DP160" s="489">
        <f>+CL160</f>
        <v>678745.80160490517</v>
      </c>
      <c r="DQ160" s="489">
        <f>+CP160</f>
        <v>717195.42954137211</v>
      </c>
      <c r="DR160" s="642">
        <f>+DR166-DR163</f>
        <v>748714.74603586912</v>
      </c>
      <c r="DS160" s="642">
        <f t="shared" ref="DS160:DU160" si="949">+DS166-DS163</f>
        <v>789708.59601399396</v>
      </c>
      <c r="DT160" s="642">
        <f t="shared" si="949"/>
        <v>835625.78810498596</v>
      </c>
      <c r="DU160" s="642">
        <f t="shared" si="949"/>
        <v>885216.84660321311</v>
      </c>
      <c r="DV160" s="485"/>
      <c r="DW160" s="485"/>
      <c r="DY160" s="642">
        <v>756884.93837327452</v>
      </c>
      <c r="DZ160" s="642">
        <v>817435.73344313656</v>
      </c>
    </row>
    <row r="161" spans="1:130" s="302" customFormat="1">
      <c r="A161" s="508" t="s">
        <v>92</v>
      </c>
      <c r="B161" s="355"/>
      <c r="C161" s="16"/>
      <c r="D161" s="16"/>
      <c r="E161" s="16"/>
      <c r="F161" s="16"/>
      <c r="G161" s="16"/>
      <c r="H161" s="357"/>
      <c r="I161" s="357"/>
      <c r="J161" s="357"/>
      <c r="K161" s="357"/>
      <c r="L161" s="357"/>
      <c r="M161" s="357"/>
      <c r="N161" s="357"/>
      <c r="O161" s="357"/>
      <c r="P161" s="357"/>
      <c r="Q161" s="357"/>
      <c r="R161" s="357"/>
      <c r="S161" s="12">
        <v>0.15778911437038157</v>
      </c>
      <c r="T161" s="12">
        <v>0.10949094394639936</v>
      </c>
      <c r="U161" s="12">
        <v>8.5636376882487042E-2</v>
      </c>
      <c r="V161" s="12">
        <v>-1.9182698931552444E-2</v>
      </c>
      <c r="W161" s="12">
        <v>-7.0618219911119717E-2</v>
      </c>
      <c r="X161" s="12">
        <v>-3.1006369559082425E-2</v>
      </c>
      <c r="Y161" s="12">
        <v>-1.8274164231645296E-2</v>
      </c>
      <c r="Z161" s="12">
        <v>5.9312680508967652E-2</v>
      </c>
      <c r="AA161" s="12">
        <v>9.5436190918862351E-2</v>
      </c>
      <c r="AB161" s="12">
        <v>8.4665935298973372E-2</v>
      </c>
      <c r="AC161" s="12">
        <v>0.10002245984082814</v>
      </c>
      <c r="AD161" s="12">
        <v>8.7492076445001343E-2</v>
      </c>
      <c r="AE161" s="12">
        <v>0.13451008887545246</v>
      </c>
      <c r="AF161" s="12">
        <v>0.1349222821825562</v>
      </c>
      <c r="AG161" s="12">
        <v>0.10689423140087961</v>
      </c>
      <c r="AH161" s="12">
        <v>0.10999938361432471</v>
      </c>
      <c r="AI161" s="12">
        <v>9.0688088763528407E-2</v>
      </c>
      <c r="AJ161" s="12">
        <v>8.0175623208389224E-2</v>
      </c>
      <c r="AK161" s="12">
        <v>0.14643289073953469</v>
      </c>
      <c r="AL161" s="12">
        <v>0.15549804014355773</v>
      </c>
      <c r="AM161" s="12">
        <v>0.18536933847692527</v>
      </c>
      <c r="AN161" s="12">
        <v>0.12746091849924879</v>
      </c>
      <c r="AO161" s="12">
        <v>0.13388243820471524</v>
      </c>
      <c r="AP161" s="12">
        <v>0.13763231465501025</v>
      </c>
      <c r="AQ161" s="12">
        <f t="shared" ref="AQ161:CD161" si="950">+AQ160/AM160-1</f>
        <v>0.10159587412443893</v>
      </c>
      <c r="AR161" s="12">
        <f t="shared" si="950"/>
        <v>0.10438695531995634</v>
      </c>
      <c r="AS161" s="12">
        <f t="shared" si="950"/>
        <v>9.7827342495036884E-2</v>
      </c>
      <c r="AT161" s="12">
        <f t="shared" si="950"/>
        <v>0.13692924065038126</v>
      </c>
      <c r="AU161" s="12">
        <f t="shared" si="950"/>
        <v>0.12273699955817929</v>
      </c>
      <c r="AV161" s="12">
        <f t="shared" si="950"/>
        <v>0.14756795308241344</v>
      </c>
      <c r="AW161" s="12">
        <f t="shared" si="950"/>
        <v>0.1278660972817669</v>
      </c>
      <c r="AX161" s="12">
        <f t="shared" si="950"/>
        <v>4.684179205984873E-2</v>
      </c>
      <c r="AY161" s="12">
        <f t="shared" si="950"/>
        <v>1.2410139095493378E-3</v>
      </c>
      <c r="AZ161" s="12">
        <f t="shared" si="950"/>
        <v>1.9387496953195305E-2</v>
      </c>
      <c r="BA161" s="12">
        <f t="shared" si="950"/>
        <v>-2.7935434679045357E-2</v>
      </c>
      <c r="BB161" s="12">
        <f t="shared" si="950"/>
        <v>3.2299978519072514E-3</v>
      </c>
      <c r="BC161" s="12">
        <f t="shared" si="950"/>
        <v>3.710968945628812E-2</v>
      </c>
      <c r="BD161" s="12">
        <f t="shared" si="950"/>
        <v>-6.245722108145102E-2</v>
      </c>
      <c r="BE161" s="12">
        <f t="shared" si="950"/>
        <v>-4.5099052849512877E-2</v>
      </c>
      <c r="BF161" s="12">
        <f t="shared" si="950"/>
        <v>-6.9854685486390733E-2</v>
      </c>
      <c r="BG161" s="12">
        <f t="shared" si="950"/>
        <v>-6.8967557276393476E-2</v>
      </c>
      <c r="BH161" s="12">
        <f t="shared" si="950"/>
        <v>4.8508317368300968E-3</v>
      </c>
      <c r="BI161" s="12">
        <f t="shared" si="950"/>
        <v>6.2695559304636328E-2</v>
      </c>
      <c r="BJ161" s="12">
        <f t="shared" si="950"/>
        <v>8.5170592723478267E-2</v>
      </c>
      <c r="BK161" s="12">
        <f t="shared" si="950"/>
        <v>0.11459358977836342</v>
      </c>
      <c r="BL161" s="12">
        <f t="shared" si="950"/>
        <v>3.3503780412112327E-2</v>
      </c>
      <c r="BM161" s="192">
        <f t="shared" si="950"/>
        <v>1.3175656521460244E-2</v>
      </c>
      <c r="BN161" s="192">
        <f t="shared" si="950"/>
        <v>-8.6697791413122838E-3</v>
      </c>
      <c r="BO161" s="192">
        <f t="shared" si="950"/>
        <v>-8.973130018277331E-2</v>
      </c>
      <c r="BP161" s="192">
        <f t="shared" si="950"/>
        <v>-0.51232703766660292</v>
      </c>
      <c r="BQ161" s="192">
        <f t="shared" si="950"/>
        <v>-0.27051831397080461</v>
      </c>
      <c r="BR161" s="192">
        <f t="shared" si="950"/>
        <v>-0.1758072578155131</v>
      </c>
      <c r="BS161" s="192">
        <f t="shared" si="950"/>
        <v>-0.27778182016519204</v>
      </c>
      <c r="BT161" s="192">
        <f t="shared" si="950"/>
        <v>0.61596601198568601</v>
      </c>
      <c r="BU161" s="192">
        <f t="shared" si="950"/>
        <v>0.11276557458330339</v>
      </c>
      <c r="BV161" s="192">
        <f t="shared" si="950"/>
        <v>-6.0031288030563346E-2</v>
      </c>
      <c r="BW161" s="192">
        <f t="shared" si="950"/>
        <v>0.16813963838850987</v>
      </c>
      <c r="BX161" s="192">
        <f t="shared" si="950"/>
        <v>6.6755279870033934E-2</v>
      </c>
      <c r="BY161" s="192">
        <f t="shared" si="950"/>
        <v>-8.8393800336998174E-2</v>
      </c>
      <c r="BZ161" s="192">
        <f t="shared" si="950"/>
        <v>-0.20783185627075107</v>
      </c>
      <c r="CA161" s="192">
        <f t="shared" si="950"/>
        <v>-0.21595993972624716</v>
      </c>
      <c r="CB161" s="192">
        <f t="shared" si="950"/>
        <v>-0.25097466426692505</v>
      </c>
      <c r="CC161" s="192">
        <f t="shared" si="950"/>
        <v>-0.17382134495842416</v>
      </c>
      <c r="CD161" s="192">
        <f t="shared" si="950"/>
        <v>-0.12008872888082545</v>
      </c>
      <c r="CE161" s="192">
        <f t="shared" ref="CE161" si="951">+CE160/CA160-1</f>
        <v>-9.2561602993189274E-2</v>
      </c>
      <c r="CF161" s="192">
        <f t="shared" ref="CF161" si="952">+CF160/CB160-1</f>
        <v>-6.8407099634100188E-2</v>
      </c>
      <c r="CG161" s="192">
        <f t="shared" ref="CG161" si="953">+CG160/CC160-1</f>
        <v>1.5818872920360549E-2</v>
      </c>
      <c r="CH161" s="192">
        <f t="shared" ref="CH161" si="954">+CH160/CD160-1</f>
        <v>4.0012019955702138E-2</v>
      </c>
      <c r="CI161" s="192">
        <f t="shared" ref="CI161" si="955">+CI160/CE160-1</f>
        <v>4.7469771657588922E-2</v>
      </c>
      <c r="CJ161" s="192">
        <f t="shared" ref="CJ161" si="956">+CJ160/CF160-1</f>
        <v>8.9039554457212011E-2</v>
      </c>
      <c r="CK161" s="192">
        <f t="shared" ref="CK161" si="957">+CK160/CG160-1</f>
        <v>-1.1257146742284174E-2</v>
      </c>
      <c r="CL161" s="192">
        <f t="shared" ref="CL161" si="958">+CL160/CH160-1</f>
        <v>5.1285288946107732E-2</v>
      </c>
      <c r="CM161" s="192">
        <f t="shared" ref="CM161" si="959">+CM160/CI160-1</f>
        <v>0.11940713767720301</v>
      </c>
      <c r="CN161" s="192">
        <f t="shared" ref="CN161" si="960">+CN160/CJ160-1</f>
        <v>0.14506808547841099</v>
      </c>
      <c r="CO161" s="192">
        <f t="shared" ref="CO161" si="961">+CO160/CK160-1</f>
        <v>0.13311004317598929</v>
      </c>
      <c r="CP161" s="192">
        <f t="shared" ref="CP161" si="962">+CP160/CL160-1</f>
        <v>5.6648052695946305E-2</v>
      </c>
      <c r="CQ161" s="192"/>
      <c r="CR161" s="192"/>
      <c r="CS161" s="192">
        <v>5.7783491518984986E-2</v>
      </c>
      <c r="CT161" s="1133"/>
      <c r="CU161" s="475"/>
      <c r="CV161" s="475"/>
      <c r="CW161" s="357"/>
      <c r="CX161" s="357"/>
      <c r="CY161" s="357"/>
      <c r="CZ161" s="357"/>
      <c r="DA161" s="357"/>
      <c r="DB161" s="12">
        <f t="shared" ref="DB161:DQ161" si="963">+DB160/DA160-1</f>
        <v>9.188540227616615E-2</v>
      </c>
      <c r="DC161" s="12">
        <f t="shared" si="963"/>
        <v>0.15843056493144614</v>
      </c>
      <c r="DD161" s="12">
        <f t="shared" si="963"/>
        <v>0.13735412285772042</v>
      </c>
      <c r="DE161" s="12">
        <f t="shared" si="963"/>
        <v>0.13692924065038126</v>
      </c>
      <c r="DF161" s="12">
        <f t="shared" si="963"/>
        <v>4.684179205984873E-2</v>
      </c>
      <c r="DG161" s="12">
        <f t="shared" si="963"/>
        <v>3.2299978519072514E-3</v>
      </c>
      <c r="DH161" s="192">
        <f t="shared" si="963"/>
        <v>-6.9854685486390733E-2</v>
      </c>
      <c r="DI161" s="192">
        <f t="shared" si="963"/>
        <v>8.5170592723478267E-2</v>
      </c>
      <c r="DJ161" s="192">
        <f t="shared" si="963"/>
        <v>-8.6697791413122838E-3</v>
      </c>
      <c r="DK161" s="192">
        <f t="shared" si="963"/>
        <v>-0.1758072578155131</v>
      </c>
      <c r="DL161" s="192">
        <f t="shared" si="963"/>
        <v>-6.0031288030563346E-2</v>
      </c>
      <c r="DM161" s="192">
        <f t="shared" si="963"/>
        <v>-0.20783185627075107</v>
      </c>
      <c r="DN161" s="192">
        <f t="shared" si="963"/>
        <v>-0.12008872888082545</v>
      </c>
      <c r="DO161" s="192">
        <f t="shared" si="963"/>
        <v>4.0012019955702138E-2</v>
      </c>
      <c r="DP161" s="192">
        <f t="shared" si="963"/>
        <v>5.1285288946107732E-2</v>
      </c>
      <c r="DQ161" s="192">
        <f t="shared" si="963"/>
        <v>5.6648052695946305E-2</v>
      </c>
      <c r="DR161" s="192">
        <f t="shared" ref="DR161" si="964">+DR160/DQ160-1</f>
        <v>4.3948016393039246E-2</v>
      </c>
      <c r="DS161" s="192">
        <f t="shared" ref="DS161" si="965">+DS160/DR160-1</f>
        <v>5.4752294108230348E-2</v>
      </c>
      <c r="DT161" s="192">
        <f t="shared" ref="DT161" si="966">+DT160/DS160-1</f>
        <v>5.8144475472036383E-2</v>
      </c>
      <c r="DU161" s="192">
        <f t="shared" ref="DU161" si="967">+DU160/DT160-1</f>
        <v>5.9346012538326054E-2</v>
      </c>
      <c r="DV161" s="355"/>
      <c r="DW161" s="355"/>
      <c r="DY161" s="192">
        <v>8.1343404927642027E-2</v>
      </c>
      <c r="DZ161" s="192">
        <v>8.0000000000000071E-2</v>
      </c>
    </row>
    <row r="162" spans="1:130" s="302" customFormat="1">
      <c r="A162" s="508"/>
      <c r="B162" s="355"/>
      <c r="C162" s="16"/>
      <c r="D162" s="16"/>
      <c r="E162" s="16"/>
      <c r="F162" s="16"/>
      <c r="G162" s="16"/>
      <c r="H162" s="357"/>
      <c r="I162" s="357"/>
      <c r="J162" s="357"/>
      <c r="K162" s="357"/>
      <c r="L162" s="357"/>
      <c r="M162" s="357"/>
      <c r="N162" s="357"/>
      <c r="O162" s="357"/>
      <c r="P162" s="357"/>
      <c r="Q162" s="357"/>
      <c r="R162" s="357"/>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92"/>
      <c r="BN162" s="192"/>
      <c r="BO162" s="192"/>
      <c r="BP162" s="192"/>
      <c r="BQ162" s="192"/>
      <c r="BR162" s="192"/>
      <c r="BS162" s="192"/>
      <c r="BT162" s="192"/>
      <c r="BU162" s="192"/>
      <c r="BV162" s="192"/>
      <c r="BW162" s="192"/>
      <c r="BX162" s="192"/>
      <c r="BY162" s="192"/>
      <c r="BZ162" s="192"/>
      <c r="CA162" s="192"/>
      <c r="CB162" s="192"/>
      <c r="CC162" s="192"/>
      <c r="CD162" s="192"/>
      <c r="CE162" s="192"/>
      <c r="CF162" s="192"/>
      <c r="CG162" s="192"/>
      <c r="CH162" s="192"/>
      <c r="CI162" s="192"/>
      <c r="CJ162" s="192"/>
      <c r="CK162" s="192"/>
      <c r="CL162" s="192"/>
      <c r="CM162" s="192"/>
      <c r="CN162" s="192"/>
      <c r="CO162" s="192"/>
      <c r="CP162" s="192"/>
      <c r="CQ162" s="192"/>
      <c r="CR162" s="192"/>
      <c r="CS162" s="192"/>
      <c r="CT162" s="1133"/>
      <c r="CU162" s="475"/>
      <c r="CV162" s="475"/>
      <c r="CW162" s="357"/>
      <c r="CX162" s="357"/>
      <c r="CY162" s="357"/>
      <c r="CZ162" s="357"/>
      <c r="DA162" s="357"/>
      <c r="DB162" s="12"/>
      <c r="DC162" s="12"/>
      <c r="DD162" s="12"/>
      <c r="DE162" s="12"/>
      <c r="DF162" s="12"/>
      <c r="DG162" s="12"/>
      <c r="DH162" s="192"/>
      <c r="DI162" s="192"/>
      <c r="DJ162" s="192"/>
      <c r="DK162" s="192"/>
      <c r="DL162" s="192"/>
      <c r="DM162" s="192"/>
      <c r="DN162" s="192"/>
      <c r="DO162" s="192"/>
      <c r="DP162" s="192"/>
      <c r="DQ162" s="192"/>
      <c r="DR162" s="373"/>
      <c r="DS162" s="373"/>
      <c r="DT162" s="373"/>
      <c r="DU162" s="373"/>
      <c r="DV162" s="355"/>
      <c r="DW162" s="355"/>
      <c r="DY162" s="373"/>
      <c r="DZ162" s="373"/>
    </row>
    <row r="163" spans="1:130" s="846" customFormat="1" ht="12.75">
      <c r="A163" s="501" t="s">
        <v>646</v>
      </c>
      <c r="B163" s="485"/>
      <c r="C163" s="488"/>
      <c r="D163" s="488"/>
      <c r="E163" s="488"/>
      <c r="F163" s="488"/>
      <c r="G163" s="488"/>
      <c r="H163" s="489"/>
      <c r="I163" s="489"/>
      <c r="J163" s="489"/>
      <c r="K163" s="489"/>
      <c r="L163" s="489"/>
      <c r="M163" s="489"/>
      <c r="N163" s="489"/>
      <c r="O163" s="489">
        <v>88508</v>
      </c>
      <c r="P163" s="489">
        <v>98408</v>
      </c>
      <c r="Q163" s="489">
        <v>98172</v>
      </c>
      <c r="R163" s="489">
        <v>74472</v>
      </c>
      <c r="S163" s="489">
        <v>103084</v>
      </c>
      <c r="T163" s="489">
        <v>110212</v>
      </c>
      <c r="U163" s="489">
        <v>112886</v>
      </c>
      <c r="V163" s="489">
        <v>84431</v>
      </c>
      <c r="W163" s="489">
        <v>106692</v>
      </c>
      <c r="X163" s="489">
        <v>107472</v>
      </c>
      <c r="Y163" s="489">
        <v>100551</v>
      </c>
      <c r="Z163" s="489">
        <v>68503</v>
      </c>
      <c r="AA163" s="489">
        <v>99601</v>
      </c>
      <c r="AB163" s="489">
        <v>105782</v>
      </c>
      <c r="AC163" s="489">
        <v>104040</v>
      </c>
      <c r="AD163" s="489">
        <v>77442</v>
      </c>
      <c r="AE163" s="489">
        <v>113996</v>
      </c>
      <c r="AF163" s="489">
        <v>124144</v>
      </c>
      <c r="AG163" s="489">
        <v>130558</v>
      </c>
      <c r="AH163" s="489">
        <v>98076</v>
      </c>
      <c r="AI163" s="489">
        <v>126715</v>
      </c>
      <c r="AJ163" s="489">
        <v>134847</v>
      </c>
      <c r="AK163" s="489">
        <v>141705</v>
      </c>
      <c r="AL163" s="489">
        <v>111185</v>
      </c>
      <c r="AM163" s="489">
        <v>147506</v>
      </c>
      <c r="AN163" s="489">
        <v>156029</v>
      </c>
      <c r="AO163" s="489">
        <v>161133</v>
      </c>
      <c r="AP163" s="489">
        <v>126723</v>
      </c>
      <c r="AQ163" s="489">
        <f t="shared" ref="AQ163:BR163" si="968">+AQ196+AQ199</f>
        <v>170065</v>
      </c>
      <c r="AR163" s="489">
        <f t="shared" si="968"/>
        <v>195408</v>
      </c>
      <c r="AS163" s="489">
        <f t="shared" si="968"/>
        <v>185433</v>
      </c>
      <c r="AT163" s="489">
        <f t="shared" si="968"/>
        <v>144408</v>
      </c>
      <c r="AU163" s="489">
        <f t="shared" si="968"/>
        <v>200366</v>
      </c>
      <c r="AV163" s="489">
        <f t="shared" si="968"/>
        <v>216985.42827999988</v>
      </c>
      <c r="AW163" s="489">
        <f t="shared" si="968"/>
        <v>210900</v>
      </c>
      <c r="AX163" s="489">
        <f t="shared" si="968"/>
        <v>162231</v>
      </c>
      <c r="AY163" s="489">
        <f t="shared" si="968"/>
        <v>199965</v>
      </c>
      <c r="AZ163" s="489">
        <f t="shared" si="968"/>
        <v>209007</v>
      </c>
      <c r="BA163" s="489">
        <f t="shared" si="968"/>
        <v>205413</v>
      </c>
      <c r="BB163" s="489">
        <f t="shared" si="968"/>
        <v>147040</v>
      </c>
      <c r="BC163" s="489">
        <f t="shared" si="968"/>
        <v>185775</v>
      </c>
      <c r="BD163" s="489">
        <f t="shared" si="968"/>
        <v>192181</v>
      </c>
      <c r="BE163" s="489">
        <f t="shared" si="968"/>
        <v>185159.75777000003</v>
      </c>
      <c r="BF163" s="489">
        <f t="shared" si="968"/>
        <v>146874.14247000002</v>
      </c>
      <c r="BG163" s="489">
        <f t="shared" si="968"/>
        <v>195292.56005999999</v>
      </c>
      <c r="BH163" s="489">
        <f t="shared" si="968"/>
        <v>199042.62208999999</v>
      </c>
      <c r="BI163" s="489">
        <f t="shared" si="968"/>
        <v>179845.19798</v>
      </c>
      <c r="BJ163" s="489">
        <f t="shared" si="968"/>
        <v>144122.77977000002</v>
      </c>
      <c r="BK163" s="489">
        <f t="shared" si="968"/>
        <v>195355.91183</v>
      </c>
      <c r="BL163" s="489">
        <f t="shared" si="968"/>
        <v>216834.4011916513</v>
      </c>
      <c r="BM163" s="489">
        <f t="shared" si="968"/>
        <v>217052.76052007201</v>
      </c>
      <c r="BN163" s="489">
        <f t="shared" si="968"/>
        <v>189352.24592351762</v>
      </c>
      <c r="BO163" s="489">
        <f t="shared" si="968"/>
        <v>341385.30487438617</v>
      </c>
      <c r="BP163" s="489">
        <f t="shared" si="968"/>
        <v>370594.31555785157</v>
      </c>
      <c r="BQ163" s="489">
        <f t="shared" si="968"/>
        <v>272604.66257694061</v>
      </c>
      <c r="BR163" s="489">
        <f t="shared" si="968"/>
        <v>232421.44110226637</v>
      </c>
      <c r="BS163" s="844">
        <v>248071</v>
      </c>
      <c r="BT163" s="844">
        <v>214565</v>
      </c>
      <c r="BU163" s="844">
        <v>232260</v>
      </c>
      <c r="BV163" s="844">
        <v>227303</v>
      </c>
      <c r="BW163" s="844">
        <v>258064</v>
      </c>
      <c r="BX163" s="844">
        <v>285568</v>
      </c>
      <c r="BY163" s="844">
        <v>297714</v>
      </c>
      <c r="BZ163" s="844">
        <v>277073</v>
      </c>
      <c r="CA163" s="844">
        <v>275761</v>
      </c>
      <c r="CB163" s="844">
        <v>249510</v>
      </c>
      <c r="CC163" s="844">
        <v>211018</v>
      </c>
      <c r="CD163" s="844">
        <v>178216</v>
      </c>
      <c r="CE163" s="844">
        <v>171462</v>
      </c>
      <c r="CF163" s="844">
        <v>151562.45168999722</v>
      </c>
      <c r="CG163" s="844">
        <v>142030.895070003</v>
      </c>
      <c r="CH163" s="844">
        <v>126231.60146999972</v>
      </c>
      <c r="CI163" s="844">
        <v>172051.68498000072</v>
      </c>
      <c r="CJ163" s="844">
        <v>202421.49228000001</v>
      </c>
      <c r="CK163" s="844">
        <v>195409.26759</v>
      </c>
      <c r="CL163" s="642">
        <f>+CL196+CL199</f>
        <v>154869.33086536673</v>
      </c>
      <c r="CM163" s="642">
        <f t="shared" ref="CM163:CP163" si="969">+CM196+CM199</f>
        <v>165312.73094050086</v>
      </c>
      <c r="CN163" s="642">
        <f t="shared" si="969"/>
        <v>182900.1030424551</v>
      </c>
      <c r="CO163" s="642">
        <f t="shared" si="969"/>
        <v>184838.60971285039</v>
      </c>
      <c r="CP163" s="642">
        <f t="shared" si="969"/>
        <v>183108.91352652165</v>
      </c>
      <c r="CQ163" s="642"/>
      <c r="CR163" s="642"/>
      <c r="CS163" s="642">
        <v>155217.60641996574</v>
      </c>
      <c r="CT163" s="1133">
        <f>+CI163/CS163-1</f>
        <v>0.10845469755852122</v>
      </c>
      <c r="CU163" s="490"/>
      <c r="CV163" s="490"/>
      <c r="CW163" s="489">
        <f t="shared" ref="CW163:DU163" si="970">+CW196+CW199</f>
        <v>56432</v>
      </c>
      <c r="CX163" s="489">
        <f t="shared" si="970"/>
        <v>74472</v>
      </c>
      <c r="CY163" s="489">
        <f t="shared" si="970"/>
        <v>84431</v>
      </c>
      <c r="CZ163" s="489">
        <f t="shared" si="970"/>
        <v>68503</v>
      </c>
      <c r="DA163" s="489">
        <f t="shared" si="970"/>
        <v>77442</v>
      </c>
      <c r="DB163" s="489">
        <f t="shared" si="970"/>
        <v>98076</v>
      </c>
      <c r="DC163" s="489">
        <f t="shared" si="970"/>
        <v>111185</v>
      </c>
      <c r="DD163" s="489">
        <f t="shared" si="970"/>
        <v>126723</v>
      </c>
      <c r="DE163" s="489">
        <f t="shared" si="970"/>
        <v>144408</v>
      </c>
      <c r="DF163" s="489">
        <f t="shared" si="970"/>
        <v>162231</v>
      </c>
      <c r="DG163" s="489">
        <f t="shared" si="970"/>
        <v>147040</v>
      </c>
      <c r="DH163" s="489">
        <f t="shared" si="970"/>
        <v>146874.14247000002</v>
      </c>
      <c r="DI163" s="489">
        <f t="shared" si="970"/>
        <v>144122.77977000002</v>
      </c>
      <c r="DJ163" s="489">
        <f t="shared" si="970"/>
        <v>189352.24592351762</v>
      </c>
      <c r="DK163" s="489">
        <f t="shared" si="970"/>
        <v>232421.44110226637</v>
      </c>
      <c r="DL163" s="489">
        <f t="shared" si="970"/>
        <v>227303</v>
      </c>
      <c r="DM163" s="489">
        <f t="shared" si="970"/>
        <v>277073</v>
      </c>
      <c r="DN163" s="489">
        <f t="shared" si="970"/>
        <v>178216</v>
      </c>
      <c r="DO163" s="489">
        <f t="shared" si="970"/>
        <v>126231.60146999972</v>
      </c>
      <c r="DP163" s="489">
        <f t="shared" si="970"/>
        <v>154869.33086536673</v>
      </c>
      <c r="DQ163" s="489">
        <f t="shared" ref="DQ163" si="971">+DQ196+DQ199</f>
        <v>183108.91352652165</v>
      </c>
      <c r="DR163" s="642">
        <f t="shared" si="970"/>
        <v>205607.85761609839</v>
      </c>
      <c r="DS163" s="642">
        <f t="shared" si="970"/>
        <v>221873.36385709158</v>
      </c>
      <c r="DT163" s="642">
        <f t="shared" si="970"/>
        <v>236651.08935836481</v>
      </c>
      <c r="DU163" s="642">
        <f t="shared" si="970"/>
        <v>251396.64350793877</v>
      </c>
      <c r="DV163" s="485"/>
      <c r="DW163" s="485"/>
      <c r="DY163" s="642">
        <v>160268.14702325396</v>
      </c>
      <c r="DZ163" s="642">
        <v>173089.59878511427</v>
      </c>
    </row>
    <row r="164" spans="1:130" s="302" customFormat="1">
      <c r="A164" s="508" t="s">
        <v>647</v>
      </c>
      <c r="B164" s="355"/>
      <c r="C164" s="16"/>
      <c r="D164" s="16"/>
      <c r="E164" s="16"/>
      <c r="F164" s="16"/>
      <c r="G164" s="16"/>
      <c r="H164" s="357"/>
      <c r="I164" s="357"/>
      <c r="J164" s="357"/>
      <c r="K164" s="357"/>
      <c r="L164" s="357"/>
      <c r="M164" s="357"/>
      <c r="N164" s="357"/>
      <c r="O164" s="357"/>
      <c r="P164" s="357">
        <v>9900</v>
      </c>
      <c r="Q164" s="357">
        <v>-236</v>
      </c>
      <c r="R164" s="357">
        <v>-23700</v>
      </c>
      <c r="S164" s="357">
        <v>28612</v>
      </c>
      <c r="T164" s="357">
        <v>7128</v>
      </c>
      <c r="U164" s="357">
        <v>2674</v>
      </c>
      <c r="V164" s="357">
        <v>-28455</v>
      </c>
      <c r="W164" s="357">
        <v>22261</v>
      </c>
      <c r="X164" s="357">
        <v>780</v>
      </c>
      <c r="Y164" s="357">
        <v>-6921</v>
      </c>
      <c r="Z164" s="357">
        <v>-32048</v>
      </c>
      <c r="AA164" s="357">
        <v>31098</v>
      </c>
      <c r="AB164" s="357">
        <v>6181</v>
      </c>
      <c r="AC164" s="357">
        <v>-1742</v>
      </c>
      <c r="AD164" s="357">
        <v>-26598</v>
      </c>
      <c r="AE164" s="357">
        <v>36554</v>
      </c>
      <c r="AF164" s="357">
        <v>10148</v>
      </c>
      <c r="AG164" s="357">
        <v>6414</v>
      </c>
      <c r="AH164" s="357">
        <v>-32482</v>
      </c>
      <c r="AI164" s="357">
        <v>28639</v>
      </c>
      <c r="AJ164" s="357">
        <v>8132</v>
      </c>
      <c r="AK164" s="357">
        <v>6858</v>
      </c>
      <c r="AL164" s="357">
        <v>-30520</v>
      </c>
      <c r="AM164" s="357">
        <v>36321</v>
      </c>
      <c r="AN164" s="357">
        <v>8523</v>
      </c>
      <c r="AO164" s="357">
        <v>5104</v>
      </c>
      <c r="AP164" s="357">
        <v>-34410</v>
      </c>
      <c r="AQ164" s="357">
        <f t="shared" ref="AQ164:BD164" si="972">+AQ163-AP163</f>
        <v>43342</v>
      </c>
      <c r="AR164" s="357">
        <f t="shared" si="972"/>
        <v>25343</v>
      </c>
      <c r="AS164" s="357">
        <f t="shared" si="972"/>
        <v>-9975</v>
      </c>
      <c r="AT164" s="357">
        <f t="shared" si="972"/>
        <v>-41025</v>
      </c>
      <c r="AU164" s="357">
        <f t="shared" si="972"/>
        <v>55958</v>
      </c>
      <c r="AV164" s="357">
        <f t="shared" si="972"/>
        <v>16619.428279999876</v>
      </c>
      <c r="AW164" s="357">
        <f t="shared" si="972"/>
        <v>-6085.4282799998764</v>
      </c>
      <c r="AX164" s="357">
        <f t="shared" si="972"/>
        <v>-48669</v>
      </c>
      <c r="AY164" s="357">
        <f t="shared" si="972"/>
        <v>37734</v>
      </c>
      <c r="AZ164" s="357">
        <f t="shared" si="972"/>
        <v>9042</v>
      </c>
      <c r="BA164" s="357">
        <f t="shared" si="972"/>
        <v>-3594</v>
      </c>
      <c r="BB164" s="357">
        <f t="shared" si="972"/>
        <v>-58373</v>
      </c>
      <c r="BC164" s="357">
        <f t="shared" si="972"/>
        <v>38735</v>
      </c>
      <c r="BD164" s="357">
        <f t="shared" si="972"/>
        <v>6406</v>
      </c>
      <c r="BE164" s="357">
        <f>+BE163-BD163</f>
        <v>-7021.2422299999744</v>
      </c>
      <c r="BF164" s="357">
        <f>+BF163-BE163</f>
        <v>-38285.615300000005</v>
      </c>
      <c r="BG164" s="357">
        <f>+BG163-BF163</f>
        <v>48418.417589999968</v>
      </c>
      <c r="BH164" s="357">
        <f>+BH163-BG163</f>
        <v>3750.062030000001</v>
      </c>
      <c r="BI164" s="357">
        <f t="shared" ref="BI164:CI164" si="973">+BI163-BH163</f>
        <v>-19197.424109999993</v>
      </c>
      <c r="BJ164" s="357">
        <f t="shared" si="973"/>
        <v>-35722.418209999974</v>
      </c>
      <c r="BK164" s="357">
        <f t="shared" si="973"/>
        <v>51233.132059999974</v>
      </c>
      <c r="BL164" s="357">
        <f t="shared" si="973"/>
        <v>21478.4893616513</v>
      </c>
      <c r="BM164" s="357">
        <f t="shared" si="973"/>
        <v>218.35932842071634</v>
      </c>
      <c r="BN164" s="357">
        <f t="shared" si="973"/>
        <v>-27700.514596554392</v>
      </c>
      <c r="BO164" s="357">
        <f t="shared" si="973"/>
        <v>152033.05895086855</v>
      </c>
      <c r="BP164" s="357">
        <f t="shared" si="973"/>
        <v>29209.0106834654</v>
      </c>
      <c r="BQ164" s="357">
        <f t="shared" si="973"/>
        <v>-97989.652980910963</v>
      </c>
      <c r="BR164" s="357">
        <f t="shared" si="973"/>
        <v>-40183.221474674239</v>
      </c>
      <c r="BS164" s="357">
        <f t="shared" si="973"/>
        <v>15649.55889773363</v>
      </c>
      <c r="BT164" s="357">
        <f t="shared" si="973"/>
        <v>-33506</v>
      </c>
      <c r="BU164" s="357">
        <f t="shared" si="973"/>
        <v>17695</v>
      </c>
      <c r="BV164" s="357">
        <f t="shared" si="973"/>
        <v>-4957</v>
      </c>
      <c r="BW164" s="357">
        <f t="shared" si="973"/>
        <v>30761</v>
      </c>
      <c r="BX164" s="357">
        <f t="shared" si="973"/>
        <v>27504</v>
      </c>
      <c r="BY164" s="357">
        <f t="shared" si="973"/>
        <v>12146</v>
      </c>
      <c r="BZ164" s="357">
        <f t="shared" si="973"/>
        <v>-20641</v>
      </c>
      <c r="CA164" s="357">
        <f t="shared" si="973"/>
        <v>-1312</v>
      </c>
      <c r="CB164" s="357">
        <f t="shared" si="973"/>
        <v>-26251</v>
      </c>
      <c r="CC164" s="357">
        <f t="shared" si="973"/>
        <v>-38492</v>
      </c>
      <c r="CD164" s="357">
        <f t="shared" si="973"/>
        <v>-32802</v>
      </c>
      <c r="CE164" s="357">
        <f t="shared" si="973"/>
        <v>-6754</v>
      </c>
      <c r="CF164" s="357">
        <f t="shared" si="973"/>
        <v>-19899.548310002778</v>
      </c>
      <c r="CG164" s="357">
        <f t="shared" si="973"/>
        <v>-9531.5566199942259</v>
      </c>
      <c r="CH164" s="357">
        <f t="shared" si="973"/>
        <v>-15799.293600003279</v>
      </c>
      <c r="CI164" s="357">
        <f t="shared" si="973"/>
        <v>45820.083510001001</v>
      </c>
      <c r="CJ164" s="357">
        <f t="shared" ref="CJ164:CK164" si="974">+CJ163-CI163</f>
        <v>30369.807299999287</v>
      </c>
      <c r="CK164" s="357">
        <f t="shared" si="974"/>
        <v>-7012.2246900000027</v>
      </c>
      <c r="CL164" s="399">
        <f t="shared" ref="CL164" si="975">+CL163-CK163</f>
        <v>-40539.936724633269</v>
      </c>
      <c r="CM164" s="399">
        <f t="shared" ref="CM164" si="976">+CM163-CL163</f>
        <v>10443.400075134123</v>
      </c>
      <c r="CN164" s="399">
        <f t="shared" ref="CN164" si="977">+CN163-CM163</f>
        <v>17587.372101954243</v>
      </c>
      <c r="CO164" s="399">
        <f t="shared" ref="CO164" si="978">+CO163-CN163</f>
        <v>1938.5066703952907</v>
      </c>
      <c r="CP164" s="399">
        <f t="shared" ref="CP164" si="979">+CP163-CO163</f>
        <v>-1729.6961863287434</v>
      </c>
      <c r="CQ164" s="399"/>
      <c r="CR164" s="399"/>
      <c r="CS164" s="399">
        <v>-16834.078560034977</v>
      </c>
      <c r="CT164" s="1133"/>
      <c r="CU164" s="475"/>
      <c r="CV164" s="475"/>
      <c r="CW164" s="504"/>
      <c r="CX164" s="504">
        <f t="shared" ref="CX164:DL164" si="980">+CX163-CW163</f>
        <v>18040</v>
      </c>
      <c r="CY164" s="504">
        <f t="shared" si="980"/>
        <v>9959</v>
      </c>
      <c r="CZ164" s="504">
        <f t="shared" si="980"/>
        <v>-15928</v>
      </c>
      <c r="DA164" s="504">
        <f t="shared" si="980"/>
        <v>8939</v>
      </c>
      <c r="DB164" s="504">
        <f t="shared" si="980"/>
        <v>20634</v>
      </c>
      <c r="DC164" s="504">
        <f t="shared" si="980"/>
        <v>13109</v>
      </c>
      <c r="DD164" s="504">
        <f t="shared" si="980"/>
        <v>15538</v>
      </c>
      <c r="DE164" s="504">
        <f t="shared" si="980"/>
        <v>17685</v>
      </c>
      <c r="DF164" s="357">
        <f t="shared" si="980"/>
        <v>17823</v>
      </c>
      <c r="DG164" s="357">
        <f t="shared" si="980"/>
        <v>-15191</v>
      </c>
      <c r="DH164" s="357">
        <f t="shared" si="980"/>
        <v>-165.85752999997931</v>
      </c>
      <c r="DI164" s="357">
        <f t="shared" si="980"/>
        <v>-2751.3626999999979</v>
      </c>
      <c r="DJ164" s="357">
        <f t="shared" si="980"/>
        <v>45229.466153517598</v>
      </c>
      <c r="DK164" s="357">
        <f t="shared" si="980"/>
        <v>43069.195178748749</v>
      </c>
      <c r="DL164" s="357">
        <f t="shared" si="980"/>
        <v>-5118.4411022663699</v>
      </c>
      <c r="DM164" s="357">
        <f t="shared" ref="DM164:DR164" si="981">+DM163-DL163</f>
        <v>49770</v>
      </c>
      <c r="DN164" s="357">
        <f t="shared" si="981"/>
        <v>-98857</v>
      </c>
      <c r="DO164" s="357">
        <f t="shared" si="981"/>
        <v>-51984.398530000282</v>
      </c>
      <c r="DP164" s="357">
        <f t="shared" si="981"/>
        <v>28637.729395367016</v>
      </c>
      <c r="DQ164" s="357">
        <f t="shared" si="981"/>
        <v>28239.582661154913</v>
      </c>
      <c r="DR164" s="399">
        <f t="shared" si="981"/>
        <v>22498.944089576748</v>
      </c>
      <c r="DS164" s="399">
        <f t="shared" ref="DS164" si="982">+DS163-DR163</f>
        <v>16265.506240993185</v>
      </c>
      <c r="DT164" s="399">
        <f t="shared" ref="DT164" si="983">+DT163-DS163</f>
        <v>14777.725501273235</v>
      </c>
      <c r="DU164" s="399">
        <f t="shared" ref="DU164" si="984">+DU163-DT163</f>
        <v>14745.55414957396</v>
      </c>
      <c r="DV164" s="355"/>
      <c r="DW164" s="355"/>
      <c r="DY164" s="399">
        <v>11001.052957959299</v>
      </c>
      <c r="DZ164" s="399">
        <v>12821.451761860313</v>
      </c>
    </row>
    <row r="165" spans="1:130" s="302" customFormat="1">
      <c r="A165" s="510"/>
      <c r="B165" s="511"/>
      <c r="C165" s="512"/>
      <c r="D165" s="512"/>
      <c r="E165" s="512"/>
      <c r="F165" s="512"/>
      <c r="G165" s="512"/>
      <c r="H165" s="513"/>
      <c r="I165" s="513"/>
      <c r="J165" s="513"/>
      <c r="K165" s="513"/>
      <c r="L165" s="513"/>
      <c r="M165" s="513"/>
      <c r="N165" s="513"/>
      <c r="O165" s="513"/>
      <c r="P165" s="460"/>
      <c r="Q165" s="460"/>
      <c r="R165" s="460"/>
      <c r="S165" s="460"/>
      <c r="T165" s="460"/>
      <c r="U165" s="460"/>
      <c r="V165" s="460"/>
      <c r="W165" s="460"/>
      <c r="X165" s="460"/>
      <c r="Y165" s="460"/>
      <c r="Z165" s="460"/>
      <c r="AA165" s="460"/>
      <c r="AB165" s="460"/>
      <c r="AC165" s="460"/>
      <c r="AD165" s="460"/>
      <c r="AE165" s="460"/>
      <c r="AF165" s="460"/>
      <c r="AG165" s="460"/>
      <c r="AH165" s="460"/>
      <c r="AI165" s="460"/>
      <c r="AJ165" s="460"/>
      <c r="AK165" s="460"/>
      <c r="AL165" s="514"/>
      <c r="AM165" s="514"/>
      <c r="AN165" s="514"/>
      <c r="AO165" s="514"/>
      <c r="AP165" s="514"/>
      <c r="AQ165" s="514"/>
      <c r="AR165" s="514"/>
      <c r="AS165" s="514"/>
      <c r="AT165" s="514"/>
      <c r="AU165" s="514"/>
      <c r="AV165" s="514"/>
      <c r="AW165" s="514"/>
      <c r="AX165" s="514"/>
      <c r="AY165" s="514"/>
      <c r="AZ165" s="514"/>
      <c r="BA165" s="514"/>
      <c r="BB165" s="514"/>
      <c r="BC165" s="514"/>
      <c r="BD165" s="514"/>
      <c r="BE165" s="514"/>
      <c r="BF165" s="514"/>
      <c r="BG165" s="514"/>
      <c r="BH165" s="514"/>
      <c r="BI165" s="514"/>
      <c r="BJ165" s="514"/>
      <c r="BK165" s="514"/>
      <c r="BL165" s="514"/>
      <c r="BM165" s="573"/>
      <c r="BN165" s="573"/>
      <c r="BO165" s="573"/>
      <c r="BP165" s="573"/>
      <c r="BQ165" s="573"/>
      <c r="BR165" s="573"/>
      <c r="BS165" s="573"/>
      <c r="BT165" s="573"/>
      <c r="BU165" s="573"/>
      <c r="BV165" s="573"/>
      <c r="BW165" s="573"/>
      <c r="BX165" s="573"/>
      <c r="BY165" s="573"/>
      <c r="BZ165" s="573"/>
      <c r="CA165" s="573"/>
      <c r="CB165" s="573"/>
      <c r="CC165" s="573"/>
      <c r="CD165" s="573"/>
      <c r="CE165" s="573"/>
      <c r="CF165" s="573"/>
      <c r="CG165" s="573"/>
      <c r="CH165" s="573"/>
      <c r="CI165" s="573"/>
      <c r="CJ165" s="573"/>
      <c r="CK165" s="573"/>
      <c r="CL165" s="573"/>
      <c r="CM165" s="573"/>
      <c r="CN165" s="573"/>
      <c r="CO165" s="573"/>
      <c r="CP165" s="573"/>
      <c r="CQ165" s="573"/>
      <c r="CR165" s="573"/>
      <c r="CS165" s="573"/>
      <c r="CT165" s="1133"/>
      <c r="CU165" s="515"/>
      <c r="CV165" s="515"/>
      <c r="CW165" s="516"/>
      <c r="CX165" s="516"/>
      <c r="CY165" s="516"/>
      <c r="CZ165" s="460"/>
      <c r="DA165" s="460"/>
      <c r="DB165" s="460"/>
      <c r="DC165" s="460"/>
      <c r="DD165" s="460"/>
      <c r="DE165" s="511"/>
      <c r="DF165" s="511"/>
      <c r="DG165" s="511"/>
      <c r="DH165" s="511"/>
      <c r="DI165" s="511"/>
      <c r="DJ165" s="511"/>
      <c r="DK165" s="511"/>
      <c r="DL165" s="511"/>
      <c r="DM165" s="511"/>
      <c r="DN165" s="511"/>
      <c r="DO165" s="511"/>
      <c r="DP165" s="511"/>
      <c r="DQ165" s="511"/>
      <c r="DR165" s="511"/>
      <c r="DS165" s="511"/>
      <c r="DT165" s="511"/>
      <c r="DU165" s="511"/>
      <c r="DV165" s="511"/>
      <c r="DW165" s="511"/>
      <c r="DY165" s="511"/>
      <c r="DZ165" s="511"/>
    </row>
    <row r="166" spans="1:130" s="846" customFormat="1" ht="12.75">
      <c r="A166" s="501" t="s">
        <v>648</v>
      </c>
      <c r="B166" s="485"/>
      <c r="C166" s="488"/>
      <c r="D166" s="488"/>
      <c r="E166" s="488"/>
      <c r="F166" s="488"/>
      <c r="G166" s="488"/>
      <c r="H166" s="489"/>
      <c r="I166" s="489"/>
      <c r="J166" s="489"/>
      <c r="K166" s="489"/>
      <c r="L166" s="489"/>
      <c r="M166" s="489"/>
      <c r="N166" s="489"/>
      <c r="O166" s="489">
        <v>479862</v>
      </c>
      <c r="P166" s="489">
        <v>520591</v>
      </c>
      <c r="Q166" s="489">
        <v>480415</v>
      </c>
      <c r="R166" s="489">
        <v>660491</v>
      </c>
      <c r="S166" s="489">
        <v>555579</v>
      </c>
      <c r="T166" s="489">
        <v>577591</v>
      </c>
      <c r="U166" s="489">
        <v>521556</v>
      </c>
      <c r="V166" s="489">
        <v>647821</v>
      </c>
      <c r="W166" s="489">
        <v>516345</v>
      </c>
      <c r="X166" s="489">
        <v>559682</v>
      </c>
      <c r="Y166" s="489">
        <v>512025</v>
      </c>
      <c r="Z166" s="489">
        <v>686245</v>
      </c>
      <c r="AA166" s="489">
        <v>565623</v>
      </c>
      <c r="AB166" s="489">
        <v>607068</v>
      </c>
      <c r="AC166" s="489">
        <v>563239</v>
      </c>
      <c r="AD166" s="489">
        <v>746286</v>
      </c>
      <c r="AE166" s="489">
        <v>641705</v>
      </c>
      <c r="AF166" s="489">
        <v>688975</v>
      </c>
      <c r="AG166" s="489">
        <v>623446</v>
      </c>
      <c r="AH166" s="489">
        <v>828377</v>
      </c>
      <c r="AI166" s="489">
        <v>699900</v>
      </c>
      <c r="AJ166" s="489">
        <v>744214</v>
      </c>
      <c r="AK166" s="489">
        <v>714739</v>
      </c>
      <c r="AL166" s="489">
        <v>957188</v>
      </c>
      <c r="AM166" s="489">
        <v>829640</v>
      </c>
      <c r="AN166" s="489">
        <v>839072.2</v>
      </c>
      <c r="AO166" s="489">
        <v>810430</v>
      </c>
      <c r="AP166" s="489">
        <v>1088928</v>
      </c>
      <c r="AQ166" s="489">
        <f t="shared" ref="AQ166:BP166" si="985">+AQ160+AQ163</f>
        <v>921501</v>
      </c>
      <c r="AR166" s="489">
        <f t="shared" si="985"/>
        <v>949752</v>
      </c>
      <c r="AS166" s="489">
        <f t="shared" si="985"/>
        <v>898249</v>
      </c>
      <c r="AT166" s="489">
        <f t="shared" si="985"/>
        <v>1238367</v>
      </c>
      <c r="AU166" s="489">
        <f t="shared" si="985"/>
        <v>1044031</v>
      </c>
      <c r="AV166" s="489">
        <f t="shared" si="985"/>
        <v>1082646.4282799999</v>
      </c>
      <c r="AW166" s="489">
        <f t="shared" si="985"/>
        <v>1014861</v>
      </c>
      <c r="AX166" s="489">
        <f t="shared" si="985"/>
        <v>1307433</v>
      </c>
      <c r="AY166" s="489">
        <f t="shared" si="985"/>
        <v>1044677</v>
      </c>
      <c r="AZ166" s="489">
        <f t="shared" si="985"/>
        <v>1091451</v>
      </c>
      <c r="BA166" s="489">
        <f t="shared" si="985"/>
        <v>986915</v>
      </c>
      <c r="BB166" s="489">
        <f t="shared" si="985"/>
        <v>1295941</v>
      </c>
      <c r="BC166" s="489">
        <f t="shared" si="985"/>
        <v>1061834</v>
      </c>
      <c r="BD166" s="489">
        <f t="shared" si="985"/>
        <v>1019510</v>
      </c>
      <c r="BE166" s="489">
        <f t="shared" si="985"/>
        <v>931416.75777000003</v>
      </c>
      <c r="BF166" s="489">
        <f t="shared" si="985"/>
        <v>1215519.0244600002</v>
      </c>
      <c r="BG166" s="489">
        <f t="shared" si="985"/>
        <v>1010931.9108</v>
      </c>
      <c r="BH166" s="489">
        <f t="shared" si="985"/>
        <v>1030384.8558599999</v>
      </c>
      <c r="BI166" s="489">
        <f t="shared" si="985"/>
        <v>972889.19797999994</v>
      </c>
      <c r="BJ166" s="489">
        <f t="shared" si="985"/>
        <v>1303784.7797699999</v>
      </c>
      <c r="BK166" s="489">
        <f t="shared" si="985"/>
        <v>1104462.3037357903</v>
      </c>
      <c r="BL166" s="489">
        <f t="shared" si="985"/>
        <v>1076029.7426091963</v>
      </c>
      <c r="BM166" s="489">
        <f t="shared" si="985"/>
        <v>1020545.635870477</v>
      </c>
      <c r="BN166" s="489">
        <f>+BN160+BN163</f>
        <v>1338960.2325049452</v>
      </c>
      <c r="BO166" s="489">
        <f t="shared" si="985"/>
        <v>1168916.3982299999</v>
      </c>
      <c r="BP166" s="489">
        <f t="shared" si="985"/>
        <v>789600.65293000033</v>
      </c>
      <c r="BQ166" s="489">
        <f t="shared" ref="BQ166:BV166" si="986">+BQ160+BQ163</f>
        <v>858738.00000000012</v>
      </c>
      <c r="BR166" s="489">
        <f t="shared" si="986"/>
        <v>1179920</v>
      </c>
      <c r="BS166" s="489">
        <f t="shared" si="986"/>
        <v>845729</v>
      </c>
      <c r="BT166" s="489">
        <f t="shared" si="986"/>
        <v>891665</v>
      </c>
      <c r="BU166" s="489">
        <f t="shared" si="986"/>
        <v>884489</v>
      </c>
      <c r="BV166" s="489">
        <f t="shared" si="986"/>
        <v>1117922</v>
      </c>
      <c r="BW166" s="489">
        <f t="shared" ref="BW166:CB166" si="987">+BW160+BW163</f>
        <v>956212</v>
      </c>
      <c r="BX166" s="489">
        <f t="shared" si="987"/>
        <v>1007868</v>
      </c>
      <c r="BY166" s="489">
        <f t="shared" si="987"/>
        <v>892290</v>
      </c>
      <c r="BZ166" s="489">
        <f t="shared" si="987"/>
        <v>982593</v>
      </c>
      <c r="CA166" s="489">
        <f t="shared" si="987"/>
        <v>823137</v>
      </c>
      <c r="CB166" s="489">
        <f t="shared" si="987"/>
        <v>790531</v>
      </c>
      <c r="CC166" s="489">
        <f t="shared" ref="CC166:CD166" si="988">+CC160+CC163</f>
        <v>702244</v>
      </c>
      <c r="CD166" s="489">
        <f t="shared" si="988"/>
        <v>799011</v>
      </c>
      <c r="CE166" s="489">
        <f t="shared" ref="CE166:CF166" si="989">+CE160+CE163</f>
        <v>668172</v>
      </c>
      <c r="CF166" s="489">
        <f t="shared" si="989"/>
        <v>655573.77423885674</v>
      </c>
      <c r="CG166" s="489">
        <f t="shared" ref="CG166:CH166" si="990">+CG160+CG163</f>
        <v>641027.53673917998</v>
      </c>
      <c r="CH166" s="489">
        <f t="shared" si="990"/>
        <v>771865.8633983999</v>
      </c>
      <c r="CI166" s="489">
        <f t="shared" ref="CI166:CJ166" si="991">+CI160+CI163</f>
        <v>692340.3952600417</v>
      </c>
      <c r="CJ166" s="489">
        <f t="shared" si="991"/>
        <v>751309.75843000005</v>
      </c>
      <c r="CK166" s="489">
        <f t="shared" ref="CK166" si="992">+CK160+CK163</f>
        <v>688788.63084</v>
      </c>
      <c r="CL166" s="642">
        <f t="shared" ref="CL166" si="993">+CH166*(1+CL167)</f>
        <v>833615.1324702719</v>
      </c>
      <c r="CM166" s="642">
        <f t="shared" ref="CM166" si="994">+CI166*(1+CM167)</f>
        <v>747727.62688084505</v>
      </c>
      <c r="CN166" s="642">
        <f t="shared" ref="CN166" si="995">+CJ166*(1+CN167)</f>
        <v>811414.53910440009</v>
      </c>
      <c r="CO166" s="642">
        <f t="shared" ref="CO166" si="996">+CK166*(1+CO167)</f>
        <v>743891.72130720003</v>
      </c>
      <c r="CP166" s="642">
        <f t="shared" ref="CP166" si="997">+CL166*(1+CP167)</f>
        <v>900304.34306789376</v>
      </c>
      <c r="CQ166" s="642"/>
      <c r="CR166" s="642"/>
      <c r="CS166" s="642">
        <v>688352.46295079961</v>
      </c>
      <c r="CT166" s="1133"/>
      <c r="CU166" s="490"/>
      <c r="CV166" s="490"/>
      <c r="CW166" s="489">
        <f t="shared" ref="CW166:DI166" si="998">+CW160+CW163</f>
        <v>583393</v>
      </c>
      <c r="CX166" s="489">
        <f t="shared" si="998"/>
        <v>660491</v>
      </c>
      <c r="CY166" s="489">
        <f t="shared" si="998"/>
        <v>647821</v>
      </c>
      <c r="CZ166" s="489">
        <f t="shared" si="998"/>
        <v>686245</v>
      </c>
      <c r="DA166" s="489">
        <f t="shared" si="998"/>
        <v>746286</v>
      </c>
      <c r="DB166" s="489">
        <f t="shared" si="998"/>
        <v>828377</v>
      </c>
      <c r="DC166" s="489">
        <f t="shared" si="998"/>
        <v>957188</v>
      </c>
      <c r="DD166" s="489">
        <f t="shared" si="998"/>
        <v>1088928</v>
      </c>
      <c r="DE166" s="489">
        <f t="shared" si="998"/>
        <v>1238367</v>
      </c>
      <c r="DF166" s="489">
        <f t="shared" si="998"/>
        <v>1307433</v>
      </c>
      <c r="DG166" s="489">
        <f t="shared" si="998"/>
        <v>1295941</v>
      </c>
      <c r="DH166" s="489">
        <f t="shared" si="998"/>
        <v>1215519.0244600002</v>
      </c>
      <c r="DI166" s="489">
        <f t="shared" si="998"/>
        <v>1303784.7797699999</v>
      </c>
      <c r="DJ166" s="489">
        <f>+BN166</f>
        <v>1338960.2325049452</v>
      </c>
      <c r="DK166" s="671">
        <f>+BR166</f>
        <v>1179920</v>
      </c>
      <c r="DL166" s="671">
        <f>+BV166</f>
        <v>1117922</v>
      </c>
      <c r="DM166" s="671">
        <f>+BZ166</f>
        <v>982593</v>
      </c>
      <c r="DN166" s="671">
        <f>+CD166</f>
        <v>799011</v>
      </c>
      <c r="DO166" s="671">
        <f>+CH166</f>
        <v>771865.8633983999</v>
      </c>
      <c r="DP166" s="671">
        <f>+CL166</f>
        <v>833615.1324702719</v>
      </c>
      <c r="DQ166" s="671">
        <f>+CP166</f>
        <v>900304.34306789376</v>
      </c>
      <c r="DR166" s="642">
        <f>+DQ166*(1+DR167)</f>
        <v>954322.60365196748</v>
      </c>
      <c r="DS166" s="642">
        <f t="shared" ref="DS166:DU166" si="999">+DR166*(1+DS167)</f>
        <v>1011581.9598710856</v>
      </c>
      <c r="DT166" s="642">
        <f t="shared" si="999"/>
        <v>1072276.8774633508</v>
      </c>
      <c r="DU166" s="642">
        <f t="shared" si="999"/>
        <v>1136613.4901111519</v>
      </c>
      <c r="DV166" s="485"/>
      <c r="DW166" s="485"/>
      <c r="DY166" s="642">
        <v>917153.08539652848</v>
      </c>
      <c r="DZ166" s="642">
        <v>990525.3322282508</v>
      </c>
    </row>
    <row r="167" spans="1:130" s="302" customFormat="1">
      <c r="A167" s="508" t="s">
        <v>92</v>
      </c>
      <c r="B167" s="355"/>
      <c r="C167" s="16"/>
      <c r="D167" s="16"/>
      <c r="E167" s="16"/>
      <c r="F167" s="16"/>
      <c r="G167" s="16"/>
      <c r="H167" s="357"/>
      <c r="I167" s="357"/>
      <c r="J167" s="357"/>
      <c r="K167" s="357"/>
      <c r="L167" s="357"/>
      <c r="M167" s="357"/>
      <c r="N167" s="357"/>
      <c r="O167" s="357"/>
      <c r="P167" s="357"/>
      <c r="Q167" s="357"/>
      <c r="R167" s="357"/>
      <c r="S167" s="12">
        <v>0.15778911437038157</v>
      </c>
      <c r="T167" s="12">
        <v>0.10949094394639936</v>
      </c>
      <c r="U167" s="12">
        <v>8.5636376882487042E-2</v>
      </c>
      <c r="V167" s="12">
        <v>-1.9182698931552444E-2</v>
      </c>
      <c r="W167" s="12">
        <v>-7.0618219911119717E-2</v>
      </c>
      <c r="X167" s="12">
        <v>-3.1006369559082425E-2</v>
      </c>
      <c r="Y167" s="12">
        <v>-1.8274164231645296E-2</v>
      </c>
      <c r="Z167" s="12">
        <v>5.9312680508967652E-2</v>
      </c>
      <c r="AA167" s="12">
        <v>9.5436190918862351E-2</v>
      </c>
      <c r="AB167" s="12">
        <v>8.4665935298973372E-2</v>
      </c>
      <c r="AC167" s="12">
        <v>0.10002245984082814</v>
      </c>
      <c r="AD167" s="12">
        <v>8.7492076445001343E-2</v>
      </c>
      <c r="AE167" s="12">
        <v>0.13451008887545246</v>
      </c>
      <c r="AF167" s="12">
        <v>0.1349222821825562</v>
      </c>
      <c r="AG167" s="12">
        <v>0.10689423140087961</v>
      </c>
      <c r="AH167" s="12">
        <v>0.10999938361432471</v>
      </c>
      <c r="AI167" s="12">
        <v>9.0688088763528407E-2</v>
      </c>
      <c r="AJ167" s="12">
        <v>8.0175623208389224E-2</v>
      </c>
      <c r="AK167" s="12">
        <v>0.14643289073953469</v>
      </c>
      <c r="AL167" s="12">
        <v>0.15549804014355773</v>
      </c>
      <c r="AM167" s="12">
        <v>0.18536933847692527</v>
      </c>
      <c r="AN167" s="12">
        <v>0.12746091849924879</v>
      </c>
      <c r="AO167" s="12">
        <v>0.13388243820471524</v>
      </c>
      <c r="AP167" s="12">
        <v>0.13763231465501025</v>
      </c>
      <c r="AQ167" s="12">
        <f t="shared" ref="AQ167:BD167" si="1000">+AQ166/AM166-1</f>
        <v>0.11072392845089429</v>
      </c>
      <c r="AR167" s="12">
        <f t="shared" si="1000"/>
        <v>0.13190736148808169</v>
      </c>
      <c r="AS167" s="12">
        <f t="shared" si="1000"/>
        <v>0.10836099354663564</v>
      </c>
      <c r="AT167" s="12">
        <f t="shared" si="1000"/>
        <v>0.13723496870316487</v>
      </c>
      <c r="AU167" s="12">
        <f t="shared" si="1000"/>
        <v>0.13296784268275341</v>
      </c>
      <c r="AV167" s="12">
        <f t="shared" si="1000"/>
        <v>0.13992539976751805</v>
      </c>
      <c r="AW167" s="12">
        <f t="shared" si="1000"/>
        <v>0.12982146375893544</v>
      </c>
      <c r="AX167" s="12">
        <f t="shared" si="1000"/>
        <v>5.5771835005293369E-2</v>
      </c>
      <c r="AY167" s="12">
        <f t="shared" si="1000"/>
        <v>6.1875557334989395E-4</v>
      </c>
      <c r="AZ167" s="12">
        <f t="shared" si="1000"/>
        <v>8.1324534862114994E-3</v>
      </c>
      <c r="BA167" s="12">
        <f t="shared" si="1000"/>
        <v>-2.7536775972275995E-2</v>
      </c>
      <c r="BB167" s="12">
        <f t="shared" si="1000"/>
        <v>-8.7897429543234429E-3</v>
      </c>
      <c r="BC167" s="12">
        <f t="shared" si="1000"/>
        <v>1.6423258097957527E-2</v>
      </c>
      <c r="BD167" s="12">
        <f t="shared" si="1000"/>
        <v>-6.5913174297334454E-2</v>
      </c>
      <c r="BE167" s="12">
        <f t="shared" ref="BE167:BP167" si="1001">+BE166/BA166-1</f>
        <v>-5.6234064970134168E-2</v>
      </c>
      <c r="BF167" s="12">
        <f t="shared" si="1001"/>
        <v>-6.2056818589734997E-2</v>
      </c>
      <c r="BG167" s="12">
        <f t="shared" si="1001"/>
        <v>-4.7937897260777129E-2</v>
      </c>
      <c r="BH167" s="12">
        <f t="shared" si="1001"/>
        <v>1.0666747614049843E-2</v>
      </c>
      <c r="BI167" s="12">
        <f t="shared" si="1001"/>
        <v>4.4526190734739846E-2</v>
      </c>
      <c r="BJ167" s="12">
        <f t="shared" si="1001"/>
        <v>7.2615692172495638E-2</v>
      </c>
      <c r="BK167" s="12">
        <f t="shared" si="1001"/>
        <v>9.2518983659122256E-2</v>
      </c>
      <c r="BL167" s="12">
        <f t="shared" si="1001"/>
        <v>4.4298871911407689E-2</v>
      </c>
      <c r="BM167" s="192">
        <f t="shared" si="1001"/>
        <v>4.898444549433334E-2</v>
      </c>
      <c r="BN167" s="192">
        <f t="shared" si="1001"/>
        <v>2.6979493303450397E-2</v>
      </c>
      <c r="BO167" s="192">
        <f t="shared" si="1001"/>
        <v>5.8357894403635813E-2</v>
      </c>
      <c r="BP167" s="192">
        <f t="shared" si="1001"/>
        <v>-0.26619068073773899</v>
      </c>
      <c r="BQ167" s="192">
        <f t="shared" ref="BQ167:CK167" si="1002">+BQ166/BM166-1</f>
        <v>-0.15855012278060709</v>
      </c>
      <c r="BR167" s="192">
        <f t="shared" si="1002"/>
        <v>-0.1187789066800069</v>
      </c>
      <c r="BS167" s="192">
        <f t="shared" si="1002"/>
        <v>-0.27648461320191742</v>
      </c>
      <c r="BT167" s="192">
        <f t="shared" si="1002"/>
        <v>0.12926071766945202</v>
      </c>
      <c r="BU167" s="192">
        <f t="shared" si="1002"/>
        <v>2.9987027475201877E-2</v>
      </c>
      <c r="BV167" s="192">
        <f t="shared" si="1002"/>
        <v>-5.2544240287477062E-2</v>
      </c>
      <c r="BW167" s="192">
        <f t="shared" si="1002"/>
        <v>0.1306364095354422</v>
      </c>
      <c r="BX167" s="192">
        <f t="shared" si="1002"/>
        <v>0.1303213650866637</v>
      </c>
      <c r="BY167" s="192">
        <f t="shared" si="1002"/>
        <v>8.819781817523964E-3</v>
      </c>
      <c r="BZ167" s="192">
        <f t="shared" si="1002"/>
        <v>-0.12105406280581288</v>
      </c>
      <c r="CA167" s="192">
        <f t="shared" si="1002"/>
        <v>-0.13916892906593936</v>
      </c>
      <c r="CB167" s="192">
        <f t="shared" si="1002"/>
        <v>-0.21564034179079006</v>
      </c>
      <c r="CC167" s="192">
        <f t="shared" si="1002"/>
        <v>-0.21298680922121727</v>
      </c>
      <c r="CD167" s="192">
        <f>+CD166/BZ166-1</f>
        <v>-0.18683422332542565</v>
      </c>
      <c r="CE167" s="192">
        <f t="shared" si="1002"/>
        <v>-0.18826149231537403</v>
      </c>
      <c r="CF167" s="192">
        <f t="shared" si="1002"/>
        <v>-0.17071718346420728</v>
      </c>
      <c r="CG167" s="192">
        <f t="shared" si="1002"/>
        <v>-8.7172639795882967E-2</v>
      </c>
      <c r="CH167" s="192">
        <f t="shared" si="1002"/>
        <v>-3.3973420392960918E-2</v>
      </c>
      <c r="CI167" s="192">
        <f t="shared" si="1002"/>
        <v>3.6170918955062081E-2</v>
      </c>
      <c r="CJ167" s="192">
        <f t="shared" si="1002"/>
        <v>0.14603388352790048</v>
      </c>
      <c r="CK167" s="192">
        <f t="shared" si="1002"/>
        <v>7.4507086456494953E-2</v>
      </c>
      <c r="CL167" s="373">
        <v>0.08</v>
      </c>
      <c r="CM167" s="373">
        <v>0.08</v>
      </c>
      <c r="CN167" s="373">
        <v>0.08</v>
      </c>
      <c r="CO167" s="373">
        <v>0.08</v>
      </c>
      <c r="CP167" s="373">
        <v>0.08</v>
      </c>
      <c r="CQ167" s="192"/>
      <c r="CR167" s="192"/>
      <c r="CS167" s="373">
        <v>0.05</v>
      </c>
      <c r="CT167" s="1133"/>
      <c r="CU167" s="475"/>
      <c r="CV167" s="475"/>
      <c r="CW167" s="357"/>
      <c r="CX167" s="357"/>
      <c r="CY167" s="357"/>
      <c r="CZ167" s="357"/>
      <c r="DA167" s="357"/>
      <c r="DB167" s="12">
        <f t="shared" ref="DB167:DK167" si="1003">+DB166/DA166-1</f>
        <v>0.10999938361432471</v>
      </c>
      <c r="DC167" s="12">
        <f t="shared" si="1003"/>
        <v>0.15549804014355773</v>
      </c>
      <c r="DD167" s="12">
        <f t="shared" si="1003"/>
        <v>0.13763231465501025</v>
      </c>
      <c r="DE167" s="12">
        <f t="shared" si="1003"/>
        <v>0.13723496870316487</v>
      </c>
      <c r="DF167" s="12">
        <f t="shared" si="1003"/>
        <v>5.5771835005293369E-2</v>
      </c>
      <c r="DG167" s="12">
        <f t="shared" si="1003"/>
        <v>-8.7897429543234429E-3</v>
      </c>
      <c r="DH167" s="192">
        <f t="shared" si="1003"/>
        <v>-6.2056818589734997E-2</v>
      </c>
      <c r="DI167" s="192">
        <f t="shared" si="1003"/>
        <v>7.2615692172495638E-2</v>
      </c>
      <c r="DJ167" s="192">
        <f t="shared" si="1003"/>
        <v>2.6979493303450397E-2</v>
      </c>
      <c r="DK167" s="192">
        <f t="shared" si="1003"/>
        <v>-0.1187789066800069</v>
      </c>
      <c r="DL167" s="192">
        <f t="shared" ref="DL167:DQ167" si="1004">+DL166/DK166-1</f>
        <v>-5.2544240287477062E-2</v>
      </c>
      <c r="DM167" s="192">
        <f t="shared" si="1004"/>
        <v>-0.12105406280581288</v>
      </c>
      <c r="DN167" s="192">
        <f t="shared" si="1004"/>
        <v>-0.18683422332542565</v>
      </c>
      <c r="DO167" s="192">
        <f t="shared" si="1004"/>
        <v>-3.3973420392960918E-2</v>
      </c>
      <c r="DP167" s="192">
        <f t="shared" si="1004"/>
        <v>8.0000000000000071E-2</v>
      </c>
      <c r="DQ167" s="192">
        <f t="shared" si="1004"/>
        <v>8.0000000000000071E-2</v>
      </c>
      <c r="DR167" s="373">
        <v>0.06</v>
      </c>
      <c r="DS167" s="373">
        <v>0.06</v>
      </c>
      <c r="DT167" s="373">
        <v>0.06</v>
      </c>
      <c r="DU167" s="373">
        <v>0.06</v>
      </c>
      <c r="DV167" s="355"/>
      <c r="DW167" s="355"/>
      <c r="DY167" s="373">
        <v>0.08</v>
      </c>
      <c r="DZ167" s="373">
        <v>0.08</v>
      </c>
    </row>
    <row r="168" spans="1:130" s="302" customFormat="1">
      <c r="A168" s="355"/>
      <c r="B168" s="355"/>
      <c r="C168" s="502"/>
      <c r="D168" s="502"/>
      <c r="E168" s="502"/>
      <c r="F168" s="502"/>
      <c r="G168" s="502"/>
      <c r="H168" s="498"/>
      <c r="I168" s="498"/>
      <c r="J168" s="498"/>
      <c r="K168" s="498"/>
      <c r="L168" s="498"/>
      <c r="M168" s="498"/>
      <c r="N168" s="498"/>
      <c r="O168" s="498"/>
      <c r="P168" s="498"/>
      <c r="Q168" s="498"/>
      <c r="R168" s="498"/>
      <c r="S168" s="498"/>
      <c r="T168" s="357"/>
      <c r="U168" s="357"/>
      <c r="V168" s="357"/>
      <c r="W168" s="357"/>
      <c r="X168" s="357"/>
      <c r="Y168" s="357"/>
      <c r="Z168" s="357"/>
      <c r="AA168" s="357"/>
      <c r="AB168" s="357"/>
      <c r="AC168" s="357"/>
      <c r="AD168" s="357"/>
      <c r="AE168" s="357"/>
      <c r="AF168" s="357"/>
      <c r="AG168" s="357"/>
      <c r="AH168" s="357"/>
      <c r="AI168" s="357"/>
      <c r="AJ168" s="357"/>
      <c r="AK168" s="357"/>
      <c r="AL168" s="357"/>
      <c r="AM168" s="357"/>
      <c r="AN168" s="357"/>
      <c r="AO168" s="357"/>
      <c r="AP168" s="357"/>
      <c r="AQ168" s="357"/>
      <c r="AR168" s="357"/>
      <c r="AS168" s="357"/>
      <c r="AT168" s="357"/>
      <c r="AU168" s="357"/>
      <c r="AV168" s="357"/>
      <c r="AW168" s="357"/>
      <c r="AX168" s="357"/>
      <c r="AY168" s="357"/>
      <c r="AZ168" s="357"/>
      <c r="BA168" s="357"/>
      <c r="BB168" s="357"/>
      <c r="BC168" s="357"/>
      <c r="BD168" s="357"/>
      <c r="BE168" s="357"/>
      <c r="BF168" s="357"/>
      <c r="BG168" s="377"/>
      <c r="BH168" s="377"/>
      <c r="BI168" s="377"/>
      <c r="BJ168" s="192"/>
      <c r="BK168" s="377"/>
      <c r="BL168" s="377"/>
      <c r="BM168" s="377"/>
      <c r="BN168" s="192"/>
      <c r="BO168" s="192"/>
      <c r="BP168" s="377"/>
      <c r="BQ168" s="377"/>
      <c r="BR168" s="377"/>
      <c r="BS168" s="377"/>
      <c r="BT168" s="377"/>
      <c r="BU168" s="377"/>
      <c r="BV168" s="377"/>
      <c r="BW168" s="377"/>
      <c r="BX168" s="377"/>
      <c r="BY168" s="377"/>
      <c r="BZ168" s="377"/>
      <c r="CA168" s="377"/>
      <c r="CB168" s="377"/>
      <c r="CC168" s="377"/>
      <c r="CD168" s="377"/>
      <c r="CE168" s="377"/>
      <c r="CF168" s="377"/>
      <c r="CG168" s="377"/>
      <c r="CH168" s="377"/>
      <c r="CI168" s="377"/>
      <c r="CJ168" s="377"/>
      <c r="CK168" s="377"/>
      <c r="CL168" s="377"/>
      <c r="CM168" s="377"/>
      <c r="CN168" s="377"/>
      <c r="CO168" s="377"/>
      <c r="CP168" s="377"/>
      <c r="CQ168" s="377"/>
      <c r="CR168" s="377"/>
      <c r="CS168" s="377"/>
      <c r="CT168" s="1133"/>
      <c r="CU168" s="475"/>
      <c r="CV168" s="475"/>
      <c r="CW168" s="504"/>
      <c r="CX168" s="504"/>
      <c r="CY168" s="504"/>
      <c r="CZ168" s="504"/>
      <c r="DA168" s="504"/>
      <c r="DB168" s="504"/>
      <c r="DC168" s="504"/>
      <c r="DD168" s="504"/>
      <c r="DE168" s="355"/>
      <c r="DF168" s="355"/>
      <c r="DG168" s="355"/>
      <c r="DH168" s="355"/>
      <c r="DI168" s="377">
        <f t="shared" ref="DI168:DR168" si="1005">+DI166-DH166</f>
        <v>88265.755309999688</v>
      </c>
      <c r="DJ168" s="377">
        <f t="shared" si="1005"/>
        <v>35175.452734945342</v>
      </c>
      <c r="DK168" s="377">
        <f t="shared" si="1005"/>
        <v>-159040.23250494525</v>
      </c>
      <c r="DL168" s="377">
        <f t="shared" si="1005"/>
        <v>-61998</v>
      </c>
      <c r="DM168" s="377">
        <f t="shared" si="1005"/>
        <v>-135329</v>
      </c>
      <c r="DN168" s="377">
        <f t="shared" si="1005"/>
        <v>-183582</v>
      </c>
      <c r="DO168" s="377">
        <f t="shared" si="1005"/>
        <v>-27145.136601600097</v>
      </c>
      <c r="DP168" s="377">
        <f t="shared" si="1005"/>
        <v>61749.269071871997</v>
      </c>
      <c r="DQ168" s="377">
        <f t="shared" si="1005"/>
        <v>66689.210597621859</v>
      </c>
      <c r="DR168" s="377">
        <f t="shared" si="1005"/>
        <v>54018.260584073723</v>
      </c>
      <c r="DS168" s="377">
        <f t="shared" ref="DS168" si="1006">+DS166-DR166</f>
        <v>57259.356219118112</v>
      </c>
      <c r="DT168" s="377">
        <f t="shared" ref="DT168" si="1007">+DT166-DS166</f>
        <v>60694.917592265178</v>
      </c>
      <c r="DU168" s="377">
        <f t="shared" ref="DU168" si="1008">+DU166-DT166</f>
        <v>64336.612647801172</v>
      </c>
      <c r="DV168" s="355"/>
      <c r="DW168" s="355"/>
      <c r="DY168" s="377">
        <v>67937.2655849281</v>
      </c>
      <c r="DZ168" s="377">
        <v>73372.246831722325</v>
      </c>
    </row>
    <row r="169" spans="1:130" s="302" customFormat="1" hidden="1">
      <c r="A169" s="355"/>
      <c r="B169" s="355"/>
      <c r="C169" s="502"/>
      <c r="D169" s="502"/>
      <c r="E169" s="502"/>
      <c r="F169" s="502"/>
      <c r="G169" s="502"/>
      <c r="H169" s="498"/>
      <c r="I169" s="498"/>
      <c r="J169" s="498"/>
      <c r="K169" s="498"/>
      <c r="L169" s="498"/>
      <c r="M169" s="498"/>
      <c r="N169" s="498"/>
      <c r="O169" s="498"/>
      <c r="P169" s="498"/>
      <c r="Q169" s="498"/>
      <c r="R169" s="498"/>
      <c r="S169" s="498"/>
      <c r="T169" s="357"/>
      <c r="U169" s="357"/>
      <c r="V169" s="357"/>
      <c r="W169" s="357"/>
      <c r="X169" s="357"/>
      <c r="Y169" s="357"/>
      <c r="Z169" s="357"/>
      <c r="AA169" s="357"/>
      <c r="AB169" s="357"/>
      <c r="AC169" s="357"/>
      <c r="AD169" s="357"/>
      <c r="AE169" s="357"/>
      <c r="AF169" s="357"/>
      <c r="AG169" s="357"/>
      <c r="AH169" s="357"/>
      <c r="AI169" s="357"/>
      <c r="AJ169" s="357"/>
      <c r="AK169" s="357"/>
      <c r="AL169" s="357"/>
      <c r="AM169" s="357"/>
      <c r="AN169" s="357"/>
      <c r="AO169" s="357"/>
      <c r="AP169" s="357"/>
      <c r="AQ169" s="357"/>
      <c r="AR169" s="357"/>
      <c r="AS169" s="357"/>
      <c r="AT169" s="357"/>
      <c r="AU169" s="357"/>
      <c r="AV169" s="357"/>
      <c r="AW169" s="357"/>
      <c r="AX169" s="357"/>
      <c r="AY169" s="357"/>
      <c r="AZ169" s="357"/>
      <c r="BA169" s="357"/>
      <c r="BB169" s="357"/>
      <c r="BC169" s="357"/>
      <c r="BD169" s="357"/>
      <c r="BE169" s="357"/>
      <c r="BF169" s="357"/>
      <c r="BG169" s="377"/>
      <c r="BH169" s="377"/>
      <c r="BI169" s="377"/>
      <c r="BJ169" s="377"/>
      <c r="BK169" s="377"/>
      <c r="BL169" s="377"/>
      <c r="BM169" s="377"/>
      <c r="BN169" s="377"/>
      <c r="BO169" s="377"/>
      <c r="BP169" s="377"/>
      <c r="BQ169" s="377"/>
      <c r="BR169" s="377"/>
      <c r="BS169" s="377"/>
      <c r="BT169" s="377"/>
      <c r="BU169" s="377"/>
      <c r="BV169" s="377"/>
      <c r="BW169" s="377"/>
      <c r="BX169" s="377"/>
      <c r="BY169" s="377"/>
      <c r="BZ169" s="377"/>
      <c r="CA169" s="377"/>
      <c r="CB169" s="377"/>
      <c r="CC169" s="377"/>
      <c r="CD169" s="377"/>
      <c r="CE169" s="377"/>
      <c r="CF169" s="377"/>
      <c r="CG169" s="377"/>
      <c r="CH169" s="377"/>
      <c r="CI169" s="377"/>
      <c r="CJ169" s="377"/>
      <c r="CK169" s="377"/>
      <c r="CL169" s="377"/>
      <c r="CM169" s="377"/>
      <c r="CN169" s="377"/>
      <c r="CO169" s="377"/>
      <c r="CP169" s="377"/>
      <c r="CQ169" s="377"/>
      <c r="CR169" s="377"/>
      <c r="CS169" s="377"/>
      <c r="CT169" s="1133"/>
      <c r="CU169" s="475"/>
      <c r="CV169" s="475"/>
      <c r="CW169" s="504"/>
      <c r="CX169" s="504"/>
      <c r="CY169" s="504"/>
      <c r="CZ169" s="504"/>
      <c r="DA169" s="504"/>
      <c r="DB169" s="504"/>
      <c r="DC169" s="504"/>
      <c r="DD169" s="504"/>
      <c r="DE169" s="355"/>
      <c r="DF169" s="355"/>
      <c r="DG169" s="355"/>
      <c r="DH169" s="355"/>
      <c r="DI169" s="355"/>
      <c r="DJ169" s="355"/>
      <c r="DK169" s="355"/>
      <c r="DL169" s="355"/>
      <c r="DM169" s="355"/>
      <c r="DN169" s="355"/>
      <c r="DO169" s="355"/>
      <c r="DP169" s="355"/>
      <c r="DQ169" s="355"/>
      <c r="DR169" s="355"/>
      <c r="DS169" s="355"/>
      <c r="DT169" s="355"/>
      <c r="DU169" s="355"/>
      <c r="DV169" s="355"/>
      <c r="DW169" s="355"/>
      <c r="DY169" s="355"/>
      <c r="DZ169" s="355"/>
    </row>
    <row r="170" spans="1:130" s="302" customFormat="1" hidden="1">
      <c r="A170" s="355"/>
      <c r="B170" s="355"/>
      <c r="C170" s="502"/>
      <c r="D170" s="502"/>
      <c r="E170" s="502"/>
      <c r="F170" s="502"/>
      <c r="G170" s="502"/>
      <c r="H170" s="498"/>
      <c r="I170" s="498"/>
      <c r="J170" s="498"/>
      <c r="K170" s="498"/>
      <c r="L170" s="498"/>
      <c r="M170" s="498"/>
      <c r="N170" s="498"/>
      <c r="O170" s="498"/>
      <c r="P170" s="498"/>
      <c r="Q170" s="498"/>
      <c r="R170" s="498"/>
      <c r="S170" s="498"/>
      <c r="T170" s="357"/>
      <c r="U170" s="357"/>
      <c r="V170" s="357"/>
      <c r="W170" s="357"/>
      <c r="X170" s="357"/>
      <c r="Y170" s="357"/>
      <c r="Z170" s="357"/>
      <c r="AA170" s="357"/>
      <c r="AB170" s="357"/>
      <c r="AC170" s="357"/>
      <c r="AD170" s="357"/>
      <c r="AE170" s="357"/>
      <c r="AF170" s="357"/>
      <c r="AG170" s="357"/>
      <c r="AH170" s="357"/>
      <c r="AI170" s="357"/>
      <c r="AJ170" s="357"/>
      <c r="AK170" s="357"/>
      <c r="AL170" s="357"/>
      <c r="AM170" s="357"/>
      <c r="AN170" s="357"/>
      <c r="AO170" s="357"/>
      <c r="AP170" s="357"/>
      <c r="AQ170" s="357"/>
      <c r="AR170" s="357"/>
      <c r="AS170" s="357"/>
      <c r="AT170" s="357"/>
      <c r="AU170" s="357"/>
      <c r="AV170" s="357"/>
      <c r="AW170" s="357"/>
      <c r="AX170" s="357"/>
      <c r="AY170" s="357"/>
      <c r="AZ170" s="357"/>
      <c r="BA170" s="357"/>
      <c r="BB170" s="357"/>
      <c r="BC170" s="357"/>
      <c r="BD170" s="357"/>
      <c r="BE170" s="357"/>
      <c r="BF170" s="357"/>
      <c r="BG170" s="377"/>
      <c r="BH170" s="377"/>
      <c r="BI170" s="377"/>
      <c r="BJ170" s="377"/>
      <c r="BK170" s="377"/>
      <c r="BL170" s="377"/>
      <c r="BM170" s="377"/>
      <c r="BN170" s="377"/>
      <c r="BO170" s="377"/>
      <c r="BP170" s="377"/>
      <c r="BQ170" s="377"/>
      <c r="BR170" s="377"/>
      <c r="BS170" s="377"/>
      <c r="BT170" s="377"/>
      <c r="BU170" s="377"/>
      <c r="BV170" s="377"/>
      <c r="BW170" s="377"/>
      <c r="BX170" s="377"/>
      <c r="BY170" s="377"/>
      <c r="BZ170" s="377"/>
      <c r="CA170" s="377"/>
      <c r="CB170" s="377"/>
      <c r="CC170" s="377"/>
      <c r="CD170" s="377"/>
      <c r="CE170" s="377"/>
      <c r="CF170" s="377"/>
      <c r="CG170" s="377"/>
      <c r="CH170" s="377"/>
      <c r="CI170" s="377"/>
      <c r="CJ170" s="377"/>
      <c r="CK170" s="377"/>
      <c r="CL170" s="377"/>
      <c r="CM170" s="377"/>
      <c r="CN170" s="377"/>
      <c r="CO170" s="377"/>
      <c r="CP170" s="377"/>
      <c r="CQ170" s="377"/>
      <c r="CR170" s="377"/>
      <c r="CS170" s="377"/>
      <c r="CT170" s="1133"/>
      <c r="CU170" s="475"/>
      <c r="CV170" s="475"/>
      <c r="CW170" s="504"/>
      <c r="CX170" s="504"/>
      <c r="CY170" s="504"/>
      <c r="CZ170" s="504"/>
      <c r="DA170" s="504"/>
      <c r="DB170" s="504"/>
      <c r="DC170" s="504"/>
      <c r="DD170" s="504"/>
      <c r="DE170" s="355"/>
      <c r="DF170" s="355"/>
      <c r="DG170" s="355"/>
      <c r="DH170" s="355"/>
      <c r="DI170" s="355"/>
      <c r="DJ170" s="355"/>
      <c r="DK170" s="355"/>
      <c r="DL170" s="355"/>
      <c r="DM170" s="355"/>
      <c r="DN170" s="355"/>
      <c r="DO170" s="355"/>
      <c r="DP170" s="355"/>
      <c r="DQ170" s="355"/>
      <c r="DR170" s="355"/>
      <c r="DS170" s="355"/>
      <c r="DT170" s="355"/>
      <c r="DU170" s="355"/>
      <c r="DV170" s="355"/>
      <c r="DW170" s="355"/>
      <c r="DY170" s="355"/>
      <c r="DZ170" s="355"/>
    </row>
    <row r="171" spans="1:130" s="302" customFormat="1" hidden="1">
      <c r="A171" s="355"/>
      <c r="B171" s="355"/>
      <c r="C171" s="502"/>
      <c r="D171" s="502"/>
      <c r="E171" s="502"/>
      <c r="F171" s="502"/>
      <c r="G171" s="502"/>
      <c r="H171" s="498"/>
      <c r="I171" s="498"/>
      <c r="J171" s="498"/>
      <c r="K171" s="498"/>
      <c r="L171" s="498"/>
      <c r="M171" s="498"/>
      <c r="N171" s="498"/>
      <c r="O171" s="498"/>
      <c r="P171" s="498"/>
      <c r="Q171" s="498"/>
      <c r="R171" s="498"/>
      <c r="S171" s="498"/>
      <c r="T171" s="357"/>
      <c r="U171" s="357"/>
      <c r="V171" s="357"/>
      <c r="W171" s="357"/>
      <c r="X171" s="357"/>
      <c r="Y171" s="357"/>
      <c r="Z171" s="357"/>
      <c r="AA171" s="357"/>
      <c r="AB171" s="357"/>
      <c r="AC171" s="357"/>
      <c r="AD171" s="357"/>
      <c r="AE171" s="357"/>
      <c r="AF171" s="357"/>
      <c r="AG171" s="357"/>
      <c r="AH171" s="357"/>
      <c r="AI171" s="357"/>
      <c r="AJ171" s="357"/>
      <c r="AK171" s="357"/>
      <c r="AL171" s="357"/>
      <c r="AM171" s="357"/>
      <c r="AN171" s="357"/>
      <c r="AO171" s="357"/>
      <c r="AP171" s="357"/>
      <c r="AQ171" s="357"/>
      <c r="AR171" s="357"/>
      <c r="AS171" s="357"/>
      <c r="AT171" s="357"/>
      <c r="AU171" s="357"/>
      <c r="AV171" s="357"/>
      <c r="AW171" s="357"/>
      <c r="AX171" s="357"/>
      <c r="AY171" s="357"/>
      <c r="AZ171" s="357"/>
      <c r="BA171" s="357"/>
      <c r="BB171" s="357"/>
      <c r="BC171" s="357"/>
      <c r="BD171" s="357"/>
      <c r="BE171" s="357"/>
      <c r="BF171" s="357"/>
      <c r="BG171" s="377"/>
      <c r="BH171" s="377"/>
      <c r="BI171" s="377"/>
      <c r="BJ171" s="377"/>
      <c r="BK171" s="377"/>
      <c r="BL171" s="377"/>
      <c r="BM171" s="377"/>
      <c r="BN171" s="377"/>
      <c r="BO171" s="377"/>
      <c r="BP171" s="377"/>
      <c r="BQ171" s="377"/>
      <c r="BR171" s="377"/>
      <c r="BS171" s="377"/>
      <c r="BT171" s="377"/>
      <c r="BU171" s="377"/>
      <c r="BV171" s="377"/>
      <c r="BW171" s="377"/>
      <c r="BX171" s="377"/>
      <c r="BY171" s="377"/>
      <c r="BZ171" s="377"/>
      <c r="CA171" s="377"/>
      <c r="CB171" s="377"/>
      <c r="CC171" s="377"/>
      <c r="CD171" s="377"/>
      <c r="CE171" s="377"/>
      <c r="CF171" s="377"/>
      <c r="CG171" s="377"/>
      <c r="CH171" s="377"/>
      <c r="CI171" s="377"/>
      <c r="CJ171" s="377"/>
      <c r="CK171" s="377"/>
      <c r="CL171" s="377"/>
      <c r="CM171" s="377"/>
      <c r="CN171" s="377"/>
      <c r="CO171" s="377"/>
      <c r="CP171" s="377"/>
      <c r="CQ171" s="377"/>
      <c r="CR171" s="377"/>
      <c r="CS171" s="377"/>
      <c r="CT171" s="1133"/>
      <c r="CU171" s="475"/>
      <c r="CV171" s="475"/>
      <c r="CW171" s="504"/>
      <c r="CX171" s="504"/>
      <c r="CY171" s="504"/>
      <c r="CZ171" s="504"/>
      <c r="DA171" s="504"/>
      <c r="DB171" s="504"/>
      <c r="DC171" s="504"/>
      <c r="DD171" s="504"/>
      <c r="DE171" s="355"/>
      <c r="DF171" s="355"/>
      <c r="DG171" s="355"/>
      <c r="DH171" s="355"/>
      <c r="DI171" s="355"/>
      <c r="DJ171" s="355"/>
      <c r="DK171" s="355"/>
      <c r="DL171" s="355"/>
      <c r="DM171" s="355"/>
      <c r="DN171" s="355"/>
      <c r="DO171" s="355"/>
      <c r="DP171" s="355"/>
      <c r="DQ171" s="355"/>
      <c r="DR171" s="355"/>
      <c r="DS171" s="355"/>
      <c r="DT171" s="355"/>
      <c r="DU171" s="355"/>
      <c r="DV171" s="355"/>
      <c r="DW171" s="355"/>
      <c r="DY171" s="355"/>
      <c r="DZ171" s="355"/>
    </row>
    <row r="172" spans="1:130" s="302" customFormat="1" hidden="1">
      <c r="A172" s="485" t="s">
        <v>649</v>
      </c>
      <c r="B172" s="485"/>
      <c r="C172" s="486"/>
      <c r="D172" s="486"/>
      <c r="E172" s="486"/>
      <c r="F172" s="486"/>
      <c r="G172" s="487">
        <v>83384</v>
      </c>
      <c r="H172" s="487">
        <v>76124</v>
      </c>
      <c r="I172" s="487">
        <v>82740</v>
      </c>
      <c r="J172" s="487">
        <v>84817</v>
      </c>
      <c r="K172" s="487">
        <v>100392</v>
      </c>
      <c r="L172" s="487">
        <v>97527</v>
      </c>
      <c r="M172" s="487">
        <v>100879</v>
      </c>
      <c r="N172" s="487">
        <v>114361</v>
      </c>
      <c r="O172" s="487">
        <v>119997</v>
      </c>
      <c r="P172" s="487">
        <v>122414</v>
      </c>
      <c r="Q172" s="487">
        <v>121478</v>
      </c>
      <c r="R172" s="487">
        <v>117818</v>
      </c>
      <c r="S172" s="487">
        <v>135846</v>
      </c>
      <c r="T172" s="487">
        <v>133344</v>
      </c>
      <c r="U172" s="487">
        <v>127086</v>
      </c>
      <c r="V172" s="487">
        <v>117409</v>
      </c>
      <c r="W172" s="487">
        <v>131363</v>
      </c>
      <c r="X172" s="487">
        <v>132542</v>
      </c>
      <c r="Y172" s="487">
        <v>131898</v>
      </c>
      <c r="Z172" s="487">
        <v>131593</v>
      </c>
      <c r="AA172" s="487">
        <v>143190</v>
      </c>
      <c r="AB172" s="487">
        <v>144772</v>
      </c>
      <c r="AC172" s="487">
        <v>144078</v>
      </c>
      <c r="AD172" s="487">
        <v>137453</v>
      </c>
      <c r="AE172" s="487">
        <v>159254</v>
      </c>
      <c r="AF172" s="487">
        <v>162923</v>
      </c>
      <c r="AG172" s="487">
        <v>158460</v>
      </c>
      <c r="AH172" s="517">
        <v>151984</v>
      </c>
      <c r="AI172" s="517">
        <v>172519</v>
      </c>
      <c r="AJ172" s="517">
        <v>173550</v>
      </c>
      <c r="AK172" s="517">
        <v>175669</v>
      </c>
      <c r="AL172" s="517">
        <v>156869</v>
      </c>
      <c r="AM172" s="517">
        <v>197133</v>
      </c>
      <c r="AN172" s="517">
        <v>194069</v>
      </c>
      <c r="AO172" s="517">
        <v>196194</v>
      </c>
      <c r="AP172" s="517">
        <v>175781</v>
      </c>
      <c r="AQ172" s="517">
        <v>220515</v>
      </c>
      <c r="AR172" s="517">
        <v>215872</v>
      </c>
      <c r="AS172" s="517">
        <v>216631</v>
      </c>
      <c r="AT172" s="517">
        <v>235414</v>
      </c>
      <c r="AU172" s="517">
        <v>255486</v>
      </c>
      <c r="AV172" s="517">
        <v>251941</v>
      </c>
      <c r="AW172" s="517">
        <v>249837</v>
      </c>
      <c r="AX172" s="517">
        <v>251988</v>
      </c>
      <c r="AY172" s="517">
        <v>260675</v>
      </c>
      <c r="AZ172" s="517">
        <v>256798</v>
      </c>
      <c r="BA172" s="517">
        <v>247576</v>
      </c>
      <c r="BB172" s="517">
        <v>254033</v>
      </c>
      <c r="BC172" s="517">
        <v>268775</v>
      </c>
      <c r="BD172" s="517">
        <v>250096</v>
      </c>
      <c r="BE172" s="517">
        <v>238947</v>
      </c>
      <c r="BF172" s="489">
        <f>BF41/8+BF49/5+BF174*0.7</f>
        <v>245807.53037499997</v>
      </c>
      <c r="BG172" s="489"/>
      <c r="BH172" s="489"/>
      <c r="BI172" s="489"/>
      <c r="BJ172" s="489"/>
      <c r="BK172" s="489"/>
      <c r="BL172" s="489"/>
      <c r="BM172" s="489"/>
      <c r="BN172" s="489"/>
      <c r="BO172" s="489"/>
      <c r="BP172" s="489"/>
      <c r="BQ172" s="489"/>
      <c r="BR172" s="489"/>
      <c r="BS172" s="489"/>
      <c r="BT172" s="489"/>
      <c r="BU172" s="489"/>
      <c r="BV172" s="489"/>
      <c r="BW172" s="489"/>
      <c r="BX172" s="489"/>
      <c r="BY172" s="489"/>
      <c r="BZ172" s="489"/>
      <c r="CA172" s="489"/>
      <c r="CB172" s="489"/>
      <c r="CC172" s="489"/>
      <c r="CD172" s="489"/>
      <c r="CE172" s="489"/>
      <c r="CF172" s="489"/>
      <c r="CG172" s="489"/>
      <c r="CH172" s="489"/>
      <c r="CI172" s="489"/>
      <c r="CJ172" s="489"/>
      <c r="CK172" s="489"/>
      <c r="CL172" s="489"/>
      <c r="CM172" s="489"/>
      <c r="CN172" s="489"/>
      <c r="CO172" s="489"/>
      <c r="CP172" s="489"/>
      <c r="CQ172" s="489"/>
      <c r="CR172" s="489"/>
      <c r="CS172" s="489"/>
      <c r="CT172" s="1133"/>
      <c r="CU172" s="490"/>
      <c r="CV172" s="490"/>
      <c r="CW172" s="495">
        <f>N172</f>
        <v>114361</v>
      </c>
      <c r="CX172" s="495">
        <f>R172</f>
        <v>117818</v>
      </c>
      <c r="CY172" s="495">
        <f>V172</f>
        <v>117409</v>
      </c>
      <c r="CZ172" s="495">
        <f>Z172</f>
        <v>131593</v>
      </c>
      <c r="DA172" s="495">
        <f>AD172</f>
        <v>137453</v>
      </c>
      <c r="DB172" s="495">
        <f>AH172</f>
        <v>151984</v>
      </c>
      <c r="DC172" s="495">
        <f>+AL172</f>
        <v>156869</v>
      </c>
      <c r="DD172" s="495">
        <f>+AP172</f>
        <v>175781</v>
      </c>
      <c r="DE172" s="495">
        <f>+AT172</f>
        <v>235414</v>
      </c>
      <c r="DF172" s="495">
        <f>+AX172</f>
        <v>251988</v>
      </c>
      <c r="DG172" s="495">
        <f>+BB172</f>
        <v>254033</v>
      </c>
      <c r="DH172" s="495">
        <f>+BF172</f>
        <v>245807.53037499997</v>
      </c>
      <c r="DI172" s="495">
        <f>+BJ172</f>
        <v>0</v>
      </c>
      <c r="DJ172" s="495">
        <f>+BN172</f>
        <v>0</v>
      </c>
      <c r="DK172" s="495">
        <f>+BR172</f>
        <v>0</v>
      </c>
      <c r="DL172" s="518">
        <f t="shared" ref="DL172:DR172" si="1009">DL173*DL41</f>
        <v>0</v>
      </c>
      <c r="DM172" s="518">
        <f t="shared" si="1009"/>
        <v>0</v>
      </c>
      <c r="DN172" s="518">
        <f t="shared" si="1009"/>
        <v>0</v>
      </c>
      <c r="DO172" s="518">
        <f t="shared" ref="DO172:DP172" si="1010">DO173*DO41</f>
        <v>0</v>
      </c>
      <c r="DP172" s="518">
        <f t="shared" si="1010"/>
        <v>0</v>
      </c>
      <c r="DQ172" s="518">
        <f t="shared" ref="DQ172" si="1011">DQ173*DQ41</f>
        <v>0</v>
      </c>
      <c r="DR172" s="518">
        <f t="shared" si="1009"/>
        <v>0</v>
      </c>
      <c r="DS172" s="518">
        <f t="shared" ref="DS172:DU172" si="1012">DS173*DS41</f>
        <v>0</v>
      </c>
      <c r="DT172" s="518">
        <f t="shared" si="1012"/>
        <v>0</v>
      </c>
      <c r="DU172" s="518">
        <f t="shared" si="1012"/>
        <v>0</v>
      </c>
      <c r="DV172" s="485"/>
      <c r="DW172" s="485"/>
      <c r="DY172" s="518">
        <v>0</v>
      </c>
      <c r="DZ172" s="518">
        <v>0</v>
      </c>
    </row>
    <row r="173" spans="1:130" s="302" customFormat="1" hidden="1">
      <c r="A173" s="12" t="s">
        <v>650</v>
      </c>
      <c r="B173" s="12"/>
      <c r="C173" s="519"/>
      <c r="D173" s="519"/>
      <c r="E173" s="519"/>
      <c r="F173" s="519"/>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133"/>
      <c r="CU173" s="12"/>
      <c r="CV173" s="12"/>
      <c r="CW173" s="12">
        <f t="shared" ref="CW173:DD173" si="1013">CW172/CW40</f>
        <v>0.43615987108819632</v>
      </c>
      <c r="CX173" s="12">
        <f t="shared" si="1013"/>
        <v>0.34974605458409708</v>
      </c>
      <c r="CY173" s="12">
        <f t="shared" si="1013"/>
        <v>0.32414917660452153</v>
      </c>
      <c r="CZ173" s="12">
        <f t="shared" si="1013"/>
        <v>0.38462994952860508</v>
      </c>
      <c r="DA173" s="12">
        <f t="shared" si="1013"/>
        <v>0.32311850709324424</v>
      </c>
      <c r="DB173" s="12">
        <f t="shared" si="1013"/>
        <v>0.33066136359684645</v>
      </c>
      <c r="DC173" s="12">
        <f t="shared" si="1013"/>
        <v>0.28672707841454254</v>
      </c>
      <c r="DD173" s="12">
        <f t="shared" si="1013"/>
        <v>0.28558105894563496</v>
      </c>
      <c r="DE173" s="12">
        <f t="shared" ref="DE173:DK173" si="1014">DE172/DE41</f>
        <v>0.47911878451935608</v>
      </c>
      <c r="DF173" s="12">
        <f t="shared" si="1014"/>
        <v>0.4760880799903246</v>
      </c>
      <c r="DG173" s="12">
        <f t="shared" si="1014"/>
        <v>0.51021107483289585</v>
      </c>
      <c r="DH173" s="12">
        <f t="shared" si="1014"/>
        <v>0.50303144490752172</v>
      </c>
      <c r="DI173" s="12">
        <f t="shared" si="1014"/>
        <v>0</v>
      </c>
      <c r="DJ173" s="12">
        <f t="shared" si="1014"/>
        <v>0</v>
      </c>
      <c r="DK173" s="12">
        <f t="shared" si="1014"/>
        <v>0</v>
      </c>
      <c r="DL173" s="520">
        <f t="shared" ref="DL173:DR173" si="1015">+DK173</f>
        <v>0</v>
      </c>
      <c r="DM173" s="520">
        <f t="shared" si="1015"/>
        <v>0</v>
      </c>
      <c r="DN173" s="520">
        <f t="shared" si="1015"/>
        <v>0</v>
      </c>
      <c r="DO173" s="520">
        <f t="shared" si="1015"/>
        <v>0</v>
      </c>
      <c r="DP173" s="520">
        <f t="shared" si="1015"/>
        <v>0</v>
      </c>
      <c r="DQ173" s="520">
        <f t="shared" si="1015"/>
        <v>0</v>
      </c>
      <c r="DR173" s="520">
        <f t="shared" si="1015"/>
        <v>0</v>
      </c>
      <c r="DS173" s="520">
        <f t="shared" ref="DS173" si="1016">+DR173</f>
        <v>0</v>
      </c>
      <c r="DT173" s="520">
        <f t="shared" ref="DT173" si="1017">+DS173</f>
        <v>0</v>
      </c>
      <c r="DU173" s="520">
        <f t="shared" ref="DU173" si="1018">+DT173</f>
        <v>0</v>
      </c>
      <c r="DV173" s="12"/>
      <c r="DW173" s="12"/>
      <c r="DY173" s="520">
        <v>0</v>
      </c>
      <c r="DZ173" s="520">
        <v>0</v>
      </c>
    </row>
    <row r="174" spans="1:130" s="302" customFormat="1" hidden="1">
      <c r="A174" s="521"/>
      <c r="B174" s="521"/>
      <c r="C174" s="522"/>
      <c r="D174" s="522"/>
      <c r="E174" s="522"/>
      <c r="F174" s="522"/>
      <c r="G174" s="523"/>
      <c r="H174" s="523">
        <v>24667</v>
      </c>
      <c r="I174" s="523">
        <v>44310</v>
      </c>
      <c r="J174" s="523">
        <v>36853</v>
      </c>
      <c r="K174" s="523">
        <v>138092</v>
      </c>
      <c r="L174" s="523">
        <v>54434</v>
      </c>
      <c r="M174" s="523">
        <v>43364</v>
      </c>
      <c r="N174" s="523">
        <v>39667</v>
      </c>
      <c r="O174" s="523">
        <v>74310</v>
      </c>
      <c r="P174" s="523">
        <v>43339</v>
      </c>
      <c r="Q174" s="523">
        <v>55098</v>
      </c>
      <c r="R174" s="523">
        <v>46521</v>
      </c>
      <c r="S174" s="523">
        <v>83498</v>
      </c>
      <c r="T174" s="523">
        <v>49811</v>
      </c>
      <c r="U174" s="523">
        <v>58997</v>
      </c>
      <c r="V174" s="523">
        <v>49587</v>
      </c>
      <c r="W174" s="523">
        <v>81499</v>
      </c>
      <c r="X174" s="523">
        <v>42088</v>
      </c>
      <c r="Y174" s="523">
        <v>56744</v>
      </c>
      <c r="Z174" s="523">
        <v>48543</v>
      </c>
      <c r="AA174" s="523">
        <v>86168</v>
      </c>
      <c r="AB174" s="523">
        <v>50369</v>
      </c>
      <c r="AC174" s="523">
        <v>62592</v>
      </c>
      <c r="AD174" s="523">
        <v>55141</v>
      </c>
      <c r="AE174" s="523">
        <v>93882</v>
      </c>
      <c r="AF174" s="523">
        <v>58453</v>
      </c>
      <c r="AG174" s="523">
        <v>71485</v>
      </c>
      <c r="AH174" s="523">
        <v>58047</v>
      </c>
      <c r="AI174" s="523">
        <v>102622</v>
      </c>
      <c r="AJ174" s="523">
        <v>62468</v>
      </c>
      <c r="AK174" s="523">
        <v>77116</v>
      </c>
      <c r="AL174" s="523">
        <v>69007</v>
      </c>
      <c r="AM174" s="523">
        <v>119405</v>
      </c>
      <c r="AN174" s="523">
        <v>75591</v>
      </c>
      <c r="AO174" s="523">
        <v>84524</v>
      </c>
      <c r="AP174" s="523">
        <v>78635</v>
      </c>
      <c r="AQ174" s="523">
        <f t="shared" ref="AQ174:BF174" si="1019">AP184</f>
        <v>136431</v>
      </c>
      <c r="AR174" s="523">
        <f t="shared" si="1019"/>
        <v>82091</v>
      </c>
      <c r="AS174" s="523">
        <f t="shared" si="1019"/>
        <v>158759</v>
      </c>
      <c r="AT174" s="523">
        <f t="shared" si="1019"/>
        <v>87819</v>
      </c>
      <c r="AU174" s="523">
        <f t="shared" si="1019"/>
        <v>151756</v>
      </c>
      <c r="AV174" s="523">
        <f t="shared" si="1019"/>
        <v>94221</v>
      </c>
      <c r="AW174" s="523">
        <f t="shared" si="1019"/>
        <v>109125</v>
      </c>
      <c r="AX174" s="523">
        <f t="shared" si="1019"/>
        <v>96858</v>
      </c>
      <c r="AY174" s="523">
        <f t="shared" si="1019"/>
        <v>157049</v>
      </c>
      <c r="AZ174" s="523">
        <f t="shared" si="1019"/>
        <v>91810</v>
      </c>
      <c r="BA174" s="523">
        <f t="shared" si="1019"/>
        <v>112540</v>
      </c>
      <c r="BB174" s="523">
        <f t="shared" si="1019"/>
        <v>92011</v>
      </c>
      <c r="BC174" s="523">
        <f t="shared" si="1019"/>
        <v>157729</v>
      </c>
      <c r="BD174" s="523">
        <f t="shared" si="1019"/>
        <v>97095</v>
      </c>
      <c r="BE174" s="523">
        <f t="shared" si="1019"/>
        <v>104362</v>
      </c>
      <c r="BF174" s="523">
        <f t="shared" si="1019"/>
        <v>86614</v>
      </c>
      <c r="BG174" s="523"/>
      <c r="BH174" s="523"/>
      <c r="BI174" s="523"/>
      <c r="BJ174" s="523"/>
      <c r="BK174" s="523"/>
      <c r="BL174" s="523"/>
      <c r="BM174" s="523"/>
      <c r="BN174" s="523"/>
      <c r="BO174" s="523"/>
      <c r="BP174" s="523"/>
      <c r="BQ174" s="523"/>
      <c r="BR174" s="523"/>
      <c r="BS174" s="523"/>
      <c r="BT174" s="523"/>
      <c r="BU174" s="523"/>
      <c r="BV174" s="523"/>
      <c r="BW174" s="523"/>
      <c r="BX174" s="523"/>
      <c r="BY174" s="523"/>
      <c r="BZ174" s="523"/>
      <c r="CA174" s="523"/>
      <c r="CB174" s="523"/>
      <c r="CC174" s="523"/>
      <c r="CD174" s="523"/>
      <c r="CE174" s="523"/>
      <c r="CF174" s="523"/>
      <c r="CG174" s="523"/>
      <c r="CH174" s="523"/>
      <c r="CI174" s="523"/>
      <c r="CJ174" s="523"/>
      <c r="CK174" s="523"/>
      <c r="CL174" s="523"/>
      <c r="CM174" s="523"/>
      <c r="CN174" s="523"/>
      <c r="CO174" s="523"/>
      <c r="CP174" s="523"/>
      <c r="CQ174" s="523"/>
      <c r="CR174" s="523"/>
      <c r="CS174" s="523"/>
      <c r="CT174" s="1133"/>
      <c r="CU174" s="524"/>
      <c r="CV174" s="524"/>
      <c r="CW174" s="525">
        <f>N174</f>
        <v>39667</v>
      </c>
      <c r="CX174" s="525">
        <f>R174</f>
        <v>46521</v>
      </c>
      <c r="CY174" s="525">
        <f>V174</f>
        <v>49587</v>
      </c>
      <c r="CZ174" s="525">
        <f>Z174</f>
        <v>48543</v>
      </c>
      <c r="DA174" s="525">
        <f>AD174</f>
        <v>55141</v>
      </c>
      <c r="DB174" s="525">
        <f>AH174</f>
        <v>58047</v>
      </c>
      <c r="DC174" s="525">
        <f>+AL174</f>
        <v>69007</v>
      </c>
      <c r="DD174" s="525">
        <f>+AP174</f>
        <v>78635</v>
      </c>
      <c r="DE174" s="526"/>
      <c r="DF174" s="526"/>
      <c r="DG174" s="526"/>
      <c r="DH174" s="526"/>
      <c r="DI174" s="526"/>
      <c r="DJ174" s="598"/>
      <c r="DK174" s="598"/>
      <c r="DL174" s="523"/>
      <c r="DM174" s="523"/>
      <c r="DN174" s="523"/>
      <c r="DO174" s="523"/>
      <c r="DP174" s="523"/>
      <c r="DQ174" s="523"/>
      <c r="DR174" s="523"/>
      <c r="DS174" s="523"/>
      <c r="DT174" s="523"/>
      <c r="DU174" s="523"/>
      <c r="DV174" s="521"/>
      <c r="DW174" s="521"/>
      <c r="DY174" s="523"/>
      <c r="DZ174" s="523"/>
    </row>
    <row r="175" spans="1:130" s="302" customFormat="1" hidden="1">
      <c r="A175" s="527"/>
      <c r="B175" s="527"/>
      <c r="C175" s="528"/>
      <c r="D175" s="528"/>
      <c r="E175" s="528"/>
      <c r="F175" s="528"/>
      <c r="G175" s="529"/>
      <c r="H175" s="530">
        <v>65711</v>
      </c>
      <c r="I175" s="530">
        <v>63373</v>
      </c>
      <c r="J175" s="530">
        <v>98520</v>
      </c>
      <c r="K175" s="530">
        <v>90404</v>
      </c>
      <c r="L175" s="530">
        <v>85353</v>
      </c>
      <c r="M175" s="530">
        <v>57046</v>
      </c>
      <c r="N175" s="530">
        <v>97495</v>
      </c>
      <c r="O175" s="530">
        <v>46731</v>
      </c>
      <c r="P175" s="530">
        <v>78534</v>
      </c>
      <c r="Q175" s="530">
        <v>66095</v>
      </c>
      <c r="R175" s="530">
        <v>109241</v>
      </c>
      <c r="S175" s="530">
        <v>54232</v>
      </c>
      <c r="T175" s="531">
        <v>83108</v>
      </c>
      <c r="U175" s="531">
        <v>67530</v>
      </c>
      <c r="V175" s="531">
        <v>105784</v>
      </c>
      <c r="W175" s="531">
        <v>51129</v>
      </c>
      <c r="X175" s="531">
        <v>87083</v>
      </c>
      <c r="Y175" s="531">
        <v>71198</v>
      </c>
      <c r="Z175" s="531">
        <v>116875</v>
      </c>
      <c r="AA175" s="532">
        <v>57277</v>
      </c>
      <c r="AB175" s="532">
        <v>91514</v>
      </c>
      <c r="AC175" s="532">
        <v>78437</v>
      </c>
      <c r="AD175" s="532">
        <v>125309</v>
      </c>
      <c r="AE175" s="532">
        <v>65957</v>
      </c>
      <c r="AF175" s="532">
        <v>101948</v>
      </c>
      <c r="AG175" s="532">
        <v>83664</v>
      </c>
      <c r="AH175" s="532">
        <v>138790</v>
      </c>
      <c r="AI175" s="532">
        <v>72184</v>
      </c>
      <c r="AJ175" s="532">
        <v>109894</v>
      </c>
      <c r="AK175" s="532">
        <v>96670</v>
      </c>
      <c r="AL175" s="532">
        <v>156403</v>
      </c>
      <c r="AM175" s="532">
        <v>80606</v>
      </c>
      <c r="AN175" s="532">
        <v>116301</v>
      </c>
      <c r="AO175" s="532">
        <v>108428</v>
      </c>
      <c r="AP175" s="532">
        <v>177219</v>
      </c>
      <c r="AQ175" s="532">
        <f t="shared" ref="AQ175:BF175" si="1020">AQ176-AQ178</f>
        <v>86753</v>
      </c>
      <c r="AR175" s="532">
        <f t="shared" si="1020"/>
        <v>41061</v>
      </c>
      <c r="AS175" s="532">
        <f t="shared" si="1020"/>
        <v>119454</v>
      </c>
      <c r="AT175" s="532">
        <f t="shared" si="1020"/>
        <v>203082</v>
      </c>
      <c r="AU175" s="532">
        <f t="shared" si="1020"/>
        <v>105163</v>
      </c>
      <c r="AV175" s="532">
        <f t="shared" si="1020"/>
        <v>153662</v>
      </c>
      <c r="AW175" s="532">
        <f t="shared" si="1020"/>
        <v>135920</v>
      </c>
      <c r="AX175" s="532">
        <f t="shared" si="1020"/>
        <v>212671</v>
      </c>
      <c r="AY175" s="532">
        <f t="shared" si="1020"/>
        <v>104063</v>
      </c>
      <c r="AZ175" s="532">
        <f t="shared" si="1020"/>
        <v>160596</v>
      </c>
      <c r="BA175" s="532">
        <f t="shared" si="1020"/>
        <v>130791</v>
      </c>
      <c r="BB175" s="532">
        <f t="shared" si="1020"/>
        <v>217218</v>
      </c>
      <c r="BC175" s="532">
        <f t="shared" si="1020"/>
        <v>110777</v>
      </c>
      <c r="BD175" s="532">
        <f t="shared" si="1020"/>
        <v>138745</v>
      </c>
      <c r="BE175" s="532">
        <f t="shared" si="1020"/>
        <v>119774</v>
      </c>
      <c r="BF175" s="532">
        <f t="shared" si="1020"/>
        <v>185177.73037499998</v>
      </c>
      <c r="BG175" s="532"/>
      <c r="BH175" s="532"/>
      <c r="BI175" s="532"/>
      <c r="BJ175" s="532"/>
      <c r="BK175" s="532"/>
      <c r="BL175" s="532"/>
      <c r="BM175" s="532"/>
      <c r="BN175" s="532"/>
      <c r="BO175" s="532"/>
      <c r="BP175" s="532"/>
      <c r="BQ175" s="532"/>
      <c r="BR175" s="532"/>
      <c r="BS175" s="532"/>
      <c r="BT175" s="532"/>
      <c r="BU175" s="532"/>
      <c r="BV175" s="532"/>
      <c r="BW175" s="532"/>
      <c r="BX175" s="532"/>
      <c r="BY175" s="532"/>
      <c r="BZ175" s="532"/>
      <c r="CA175" s="532"/>
      <c r="CB175" s="532"/>
      <c r="CC175" s="532"/>
      <c r="CD175" s="532"/>
      <c r="CE175" s="532"/>
      <c r="CF175" s="532"/>
      <c r="CG175" s="532"/>
      <c r="CH175" s="532"/>
      <c r="CI175" s="532"/>
      <c r="CJ175" s="532"/>
      <c r="CK175" s="532"/>
      <c r="CL175" s="532"/>
      <c r="CM175" s="532"/>
      <c r="CN175" s="532"/>
      <c r="CO175" s="532"/>
      <c r="CP175" s="532"/>
      <c r="CQ175" s="532"/>
      <c r="CR175" s="532"/>
      <c r="CS175" s="532"/>
      <c r="CT175" s="1133"/>
      <c r="CU175" s="533"/>
      <c r="CV175" s="533"/>
      <c r="CW175" s="534">
        <f>N175</f>
        <v>97495</v>
      </c>
      <c r="CX175" s="534">
        <f>R175</f>
        <v>109241</v>
      </c>
      <c r="CY175" s="534">
        <f>V175</f>
        <v>105784</v>
      </c>
      <c r="CZ175" s="534">
        <f>Z175</f>
        <v>116875</v>
      </c>
      <c r="DA175" s="534">
        <f>AD175</f>
        <v>125309</v>
      </c>
      <c r="DB175" s="534">
        <f>AH175</f>
        <v>138790</v>
      </c>
      <c r="DC175" s="534">
        <f>+AL175</f>
        <v>156403</v>
      </c>
      <c r="DD175" s="534">
        <f>+AP175</f>
        <v>177219</v>
      </c>
      <c r="DE175" s="534"/>
      <c r="DF175" s="534"/>
      <c r="DG175" s="534"/>
      <c r="DH175" s="534"/>
      <c r="DI175" s="534"/>
      <c r="DJ175" s="527"/>
      <c r="DK175" s="527"/>
      <c r="DL175" s="527"/>
      <c r="DM175" s="527"/>
      <c r="DN175" s="527"/>
      <c r="DO175" s="527"/>
      <c r="DP175" s="527"/>
      <c r="DQ175" s="527"/>
      <c r="DR175" s="527"/>
      <c r="DS175" s="527"/>
      <c r="DT175" s="527"/>
      <c r="DU175" s="527"/>
      <c r="DV175" s="527"/>
      <c r="DW175" s="527"/>
      <c r="DY175" s="527"/>
      <c r="DZ175" s="527"/>
    </row>
    <row r="176" spans="1:130" s="302" customFormat="1" hidden="1">
      <c r="A176" s="485" t="s">
        <v>651</v>
      </c>
      <c r="B176" s="485"/>
      <c r="C176" s="486"/>
      <c r="D176" s="486"/>
      <c r="E176" s="486"/>
      <c r="F176" s="486"/>
      <c r="G176" s="487">
        <v>73968</v>
      </c>
      <c r="H176" s="487">
        <v>65711</v>
      </c>
      <c r="I176" s="487">
        <v>63373</v>
      </c>
      <c r="J176" s="487">
        <v>98520</v>
      </c>
      <c r="K176" s="487">
        <v>90404</v>
      </c>
      <c r="L176" s="487">
        <v>85353</v>
      </c>
      <c r="M176" s="487">
        <v>80947</v>
      </c>
      <c r="N176" s="487">
        <v>120474</v>
      </c>
      <c r="O176" s="487">
        <v>107669</v>
      </c>
      <c r="P176" s="487">
        <v>109669</v>
      </c>
      <c r="Q176" s="487">
        <v>96611</v>
      </c>
      <c r="R176" s="487">
        <v>135706</v>
      </c>
      <c r="S176" s="487">
        <v>119363</v>
      </c>
      <c r="T176" s="487">
        <v>118544</v>
      </c>
      <c r="U176" s="487">
        <v>102764</v>
      </c>
      <c r="V176" s="487">
        <v>134942</v>
      </c>
      <c r="W176" s="487">
        <v>112544</v>
      </c>
      <c r="X176" s="487">
        <v>114410</v>
      </c>
      <c r="Y176" s="487">
        <v>105048</v>
      </c>
      <c r="Z176" s="487">
        <v>145570</v>
      </c>
      <c r="AA176" s="487">
        <v>126098</v>
      </c>
      <c r="AB176" s="487">
        <v>127856</v>
      </c>
      <c r="AC176" s="487">
        <v>116261</v>
      </c>
      <c r="AD176" s="487">
        <v>157989</v>
      </c>
      <c r="AE176" s="487">
        <v>138628</v>
      </c>
      <c r="AF176" s="487">
        <v>143506</v>
      </c>
      <c r="AG176" s="487">
        <v>126678</v>
      </c>
      <c r="AH176" s="517">
        <v>172684</v>
      </c>
      <c r="AI176" s="517">
        <v>154742</v>
      </c>
      <c r="AJ176" s="517">
        <v>154836</v>
      </c>
      <c r="AK176" s="517">
        <v>143643</v>
      </c>
      <c r="AL176" s="517">
        <v>197807</v>
      </c>
      <c r="AM176" s="517">
        <v>174028</v>
      </c>
      <c r="AN176" s="517">
        <v>173288</v>
      </c>
      <c r="AO176" s="517">
        <v>160937</v>
      </c>
      <c r="AP176" s="517">
        <v>225465</v>
      </c>
      <c r="AQ176" s="517">
        <v>194996</v>
      </c>
      <c r="AR176" s="517">
        <v>100118</v>
      </c>
      <c r="AS176" s="517">
        <v>175973</v>
      </c>
      <c r="AT176" s="517">
        <v>256898</v>
      </c>
      <c r="AU176" s="517">
        <v>225588</v>
      </c>
      <c r="AV176" s="517">
        <v>218624</v>
      </c>
      <c r="AW176" s="517">
        <v>200973</v>
      </c>
      <c r="AX176" s="517">
        <v>271249</v>
      </c>
      <c r="AY176" s="517">
        <v>229585</v>
      </c>
      <c r="AZ176" s="517">
        <v>223007</v>
      </c>
      <c r="BA176" s="517">
        <v>197711</v>
      </c>
      <c r="BB176" s="517">
        <v>273016</v>
      </c>
      <c r="BC176" s="517">
        <v>236051</v>
      </c>
      <c r="BD176" s="517">
        <v>202755</v>
      </c>
      <c r="BE176" s="517">
        <v>181271</v>
      </c>
      <c r="BF176" s="489">
        <f>BF41/8+BF49/5+BF178</f>
        <v>237783.73037499998</v>
      </c>
      <c r="BG176" s="489"/>
      <c r="BH176" s="489"/>
      <c r="BI176" s="489"/>
      <c r="BJ176" s="489"/>
      <c r="BK176" s="489"/>
      <c r="BL176" s="489"/>
      <c r="BM176" s="489"/>
      <c r="BN176" s="489"/>
      <c r="BO176" s="489"/>
      <c r="BP176" s="489"/>
      <c r="BQ176" s="489"/>
      <c r="BR176" s="489"/>
      <c r="BS176" s="489"/>
      <c r="BT176" s="489"/>
      <c r="BU176" s="489"/>
      <c r="BV176" s="489"/>
      <c r="BW176" s="489"/>
      <c r="BX176" s="489"/>
      <c r="BY176" s="489"/>
      <c r="BZ176" s="489"/>
      <c r="CA176" s="489"/>
      <c r="CB176" s="489"/>
      <c r="CC176" s="489"/>
      <c r="CD176" s="489"/>
      <c r="CE176" s="489"/>
      <c r="CF176" s="489"/>
      <c r="CG176" s="489"/>
      <c r="CH176" s="489"/>
      <c r="CI176" s="489"/>
      <c r="CJ176" s="489"/>
      <c r="CK176" s="489"/>
      <c r="CL176" s="489"/>
      <c r="CM176" s="489"/>
      <c r="CN176" s="489"/>
      <c r="CO176" s="489"/>
      <c r="CP176" s="489"/>
      <c r="CQ176" s="489"/>
      <c r="CR176" s="489"/>
      <c r="CS176" s="489"/>
      <c r="CT176" s="1133"/>
      <c r="CU176" s="490"/>
      <c r="CV176" s="490"/>
      <c r="CW176" s="495">
        <f>N176</f>
        <v>120474</v>
      </c>
      <c r="CX176" s="495">
        <f>R176</f>
        <v>135706</v>
      </c>
      <c r="CY176" s="495">
        <f>V176</f>
        <v>134942</v>
      </c>
      <c r="CZ176" s="495">
        <f>Z176</f>
        <v>145570</v>
      </c>
      <c r="DA176" s="495">
        <f>AD176</f>
        <v>157989</v>
      </c>
      <c r="DB176" s="495">
        <f>AH176</f>
        <v>172684</v>
      </c>
      <c r="DC176" s="495">
        <f>+AL176</f>
        <v>197807</v>
      </c>
      <c r="DD176" s="495">
        <f>+AP176</f>
        <v>225465</v>
      </c>
      <c r="DE176" s="495">
        <f>+AT176</f>
        <v>256898</v>
      </c>
      <c r="DF176" s="495">
        <f>+AX176</f>
        <v>271249</v>
      </c>
      <c r="DG176" s="495">
        <f>+BB176</f>
        <v>273016</v>
      </c>
      <c r="DH176" s="495">
        <f>+BF176</f>
        <v>237783.73037499998</v>
      </c>
      <c r="DI176" s="495">
        <f>+BJ176</f>
        <v>0</v>
      </c>
      <c r="DJ176" s="495">
        <f>+BN176</f>
        <v>0</v>
      </c>
      <c r="DK176" s="495">
        <f>+BR176</f>
        <v>0</v>
      </c>
      <c r="DL176" s="518">
        <f t="shared" ref="DL176:DR176" si="1021">DL177*DL41</f>
        <v>0</v>
      </c>
      <c r="DM176" s="518">
        <f t="shared" si="1021"/>
        <v>0</v>
      </c>
      <c r="DN176" s="518">
        <f t="shared" si="1021"/>
        <v>0</v>
      </c>
      <c r="DO176" s="518">
        <f t="shared" ref="DO176:DP176" si="1022">DO177*DO41</f>
        <v>0</v>
      </c>
      <c r="DP176" s="518">
        <f t="shared" si="1022"/>
        <v>0</v>
      </c>
      <c r="DQ176" s="518">
        <f t="shared" ref="DQ176" si="1023">DQ177*DQ41</f>
        <v>0</v>
      </c>
      <c r="DR176" s="518">
        <f t="shared" si="1021"/>
        <v>0</v>
      </c>
      <c r="DS176" s="518">
        <f t="shared" ref="DS176:DU176" si="1024">DS177*DS41</f>
        <v>0</v>
      </c>
      <c r="DT176" s="518">
        <f t="shared" si="1024"/>
        <v>0</v>
      </c>
      <c r="DU176" s="518">
        <f t="shared" si="1024"/>
        <v>0</v>
      </c>
      <c r="DV176" s="485"/>
      <c r="DW176" s="485"/>
      <c r="DY176" s="518">
        <v>0</v>
      </c>
      <c r="DZ176" s="518">
        <v>0</v>
      </c>
    </row>
    <row r="177" spans="1:130" s="302" customFormat="1" hidden="1">
      <c r="A177" s="12" t="s">
        <v>650</v>
      </c>
      <c r="B177" s="12"/>
      <c r="C177" s="519"/>
      <c r="D177" s="519"/>
      <c r="E177" s="519"/>
      <c r="F177" s="519"/>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133"/>
      <c r="CU177" s="12"/>
      <c r="CV177" s="12"/>
      <c r="CW177" s="12">
        <f t="shared" ref="CW177:DD177" si="1025">CW176/CW40</f>
        <v>0.45947415910563355</v>
      </c>
      <c r="CX177" s="12">
        <f t="shared" si="1025"/>
        <v>0.40284708689155713</v>
      </c>
      <c r="CY177" s="12">
        <f t="shared" si="1025"/>
        <v>0.37255524013804175</v>
      </c>
      <c r="CZ177" s="12">
        <f t="shared" si="1025"/>
        <v>0.42548297973964455</v>
      </c>
      <c r="DA177" s="12">
        <f t="shared" si="1025"/>
        <v>0.37139363867761754</v>
      </c>
      <c r="DB177" s="12">
        <f t="shared" si="1025"/>
        <v>0.37569696093903199</v>
      </c>
      <c r="DC177" s="12">
        <f t="shared" si="1025"/>
        <v>0.36155405593167178</v>
      </c>
      <c r="DD177" s="12">
        <f t="shared" si="1025"/>
        <v>0.36629973350463124</v>
      </c>
      <c r="DE177" s="12">
        <f t="shared" ref="DE177:DK177" si="1026">DE176/DE41</f>
        <v>0.52284340568298204</v>
      </c>
      <c r="DF177" s="12">
        <f t="shared" si="1026"/>
        <v>0.51247843393056636</v>
      </c>
      <c r="DG177" s="12">
        <f t="shared" si="1026"/>
        <v>0.54833736879294381</v>
      </c>
      <c r="DH177" s="12">
        <f t="shared" si="1026"/>
        <v>0.4866111843016267</v>
      </c>
      <c r="DI177" s="12">
        <f t="shared" si="1026"/>
        <v>0</v>
      </c>
      <c r="DJ177" s="12">
        <f t="shared" si="1026"/>
        <v>0</v>
      </c>
      <c r="DK177" s="12">
        <f t="shared" si="1026"/>
        <v>0</v>
      </c>
      <c r="DL177" s="520">
        <f t="shared" ref="DL177:DR177" si="1027">+DK177</f>
        <v>0</v>
      </c>
      <c r="DM177" s="520">
        <f t="shared" si="1027"/>
        <v>0</v>
      </c>
      <c r="DN177" s="520">
        <f t="shared" si="1027"/>
        <v>0</v>
      </c>
      <c r="DO177" s="520">
        <f t="shared" si="1027"/>
        <v>0</v>
      </c>
      <c r="DP177" s="520">
        <f t="shared" si="1027"/>
        <v>0</v>
      </c>
      <c r="DQ177" s="520">
        <f t="shared" si="1027"/>
        <v>0</v>
      </c>
      <c r="DR177" s="520">
        <f t="shared" si="1027"/>
        <v>0</v>
      </c>
      <c r="DS177" s="520">
        <f t="shared" ref="DS177" si="1028">+DR177</f>
        <v>0</v>
      </c>
      <c r="DT177" s="520">
        <f t="shared" ref="DT177" si="1029">+DS177</f>
        <v>0</v>
      </c>
      <c r="DU177" s="520">
        <f t="shared" ref="DU177" si="1030">+DT177</f>
        <v>0</v>
      </c>
      <c r="DV177" s="12"/>
      <c r="DW177" s="12"/>
      <c r="DY177" s="520">
        <v>0</v>
      </c>
      <c r="DZ177" s="520">
        <v>0</v>
      </c>
    </row>
    <row r="178" spans="1:130" s="302" customFormat="1" hidden="1">
      <c r="A178" s="521"/>
      <c r="B178" s="521"/>
      <c r="C178" s="522"/>
      <c r="D178" s="522"/>
      <c r="E178" s="522"/>
      <c r="F178" s="522"/>
      <c r="G178" s="523"/>
      <c r="H178" s="523">
        <v>0</v>
      </c>
      <c r="I178" s="523">
        <v>0</v>
      </c>
      <c r="J178" s="523">
        <v>0</v>
      </c>
      <c r="K178" s="523">
        <v>0</v>
      </c>
      <c r="L178" s="523">
        <v>0</v>
      </c>
      <c r="M178" s="523">
        <v>23901</v>
      </c>
      <c r="N178" s="523">
        <v>22979</v>
      </c>
      <c r="O178" s="523">
        <v>60938</v>
      </c>
      <c r="P178" s="523">
        <v>31135</v>
      </c>
      <c r="Q178" s="523">
        <v>30516</v>
      </c>
      <c r="R178" s="523">
        <v>26465</v>
      </c>
      <c r="S178" s="523">
        <v>65131</v>
      </c>
      <c r="T178" s="523">
        <v>35436</v>
      </c>
      <c r="U178" s="523">
        <v>35234</v>
      </c>
      <c r="V178" s="523">
        <v>29158</v>
      </c>
      <c r="W178" s="523">
        <v>61415</v>
      </c>
      <c r="X178" s="523">
        <v>27327</v>
      </c>
      <c r="Y178" s="523">
        <v>33850</v>
      </c>
      <c r="Z178" s="523">
        <v>28695</v>
      </c>
      <c r="AA178" s="523">
        <v>68821</v>
      </c>
      <c r="AB178" s="523">
        <v>36342</v>
      </c>
      <c r="AC178" s="523">
        <v>37824</v>
      </c>
      <c r="AD178" s="523">
        <v>32680</v>
      </c>
      <c r="AE178" s="523">
        <v>72671</v>
      </c>
      <c r="AF178" s="523">
        <v>41558</v>
      </c>
      <c r="AG178" s="523">
        <v>43014</v>
      </c>
      <c r="AH178" s="523">
        <v>33894</v>
      </c>
      <c r="AI178" s="523">
        <v>82558</v>
      </c>
      <c r="AJ178" s="523">
        <v>44942</v>
      </c>
      <c r="AK178" s="523">
        <v>46973</v>
      </c>
      <c r="AL178" s="523">
        <v>41404</v>
      </c>
      <c r="AM178" s="523">
        <v>93422</v>
      </c>
      <c r="AN178" s="523">
        <v>56987</v>
      </c>
      <c r="AO178" s="523">
        <v>52509</v>
      </c>
      <c r="AP178" s="523">
        <v>48246</v>
      </c>
      <c r="AQ178" s="523">
        <f t="shared" ref="AQ178:BF178" si="1031">AP188</f>
        <v>108243</v>
      </c>
      <c r="AR178" s="523">
        <f t="shared" si="1031"/>
        <v>59057</v>
      </c>
      <c r="AS178" s="523">
        <f t="shared" si="1031"/>
        <v>56519</v>
      </c>
      <c r="AT178" s="523">
        <f t="shared" si="1031"/>
        <v>53816</v>
      </c>
      <c r="AU178" s="523">
        <f t="shared" si="1031"/>
        <v>120425</v>
      </c>
      <c r="AV178" s="523">
        <f t="shared" si="1031"/>
        <v>64962</v>
      </c>
      <c r="AW178" s="523">
        <f t="shared" si="1031"/>
        <v>65053</v>
      </c>
      <c r="AX178" s="523">
        <f t="shared" si="1031"/>
        <v>58578</v>
      </c>
      <c r="AY178" s="523">
        <f t="shared" si="1031"/>
        <v>125522</v>
      </c>
      <c r="AZ178" s="523">
        <f t="shared" si="1031"/>
        <v>62411</v>
      </c>
      <c r="BA178" s="523">
        <f t="shared" si="1031"/>
        <v>66920</v>
      </c>
      <c r="BB178" s="523">
        <f t="shared" si="1031"/>
        <v>55798</v>
      </c>
      <c r="BC178" s="523">
        <f t="shared" si="1031"/>
        <v>125274</v>
      </c>
      <c r="BD178" s="523">
        <f t="shared" si="1031"/>
        <v>64010</v>
      </c>
      <c r="BE178" s="523">
        <f t="shared" si="1031"/>
        <v>61497</v>
      </c>
      <c r="BF178" s="523">
        <f t="shared" si="1031"/>
        <v>52606</v>
      </c>
      <c r="BG178" s="523"/>
      <c r="BH178" s="523"/>
      <c r="BI178" s="523"/>
      <c r="BJ178" s="523"/>
      <c r="BK178" s="523"/>
      <c r="BL178" s="523"/>
      <c r="BM178" s="523"/>
      <c r="BN178" s="523"/>
      <c r="BO178" s="523"/>
      <c r="BP178" s="523"/>
      <c r="BQ178" s="523"/>
      <c r="BR178" s="523"/>
      <c r="BS178" s="523"/>
      <c r="BT178" s="523"/>
      <c r="BU178" s="523"/>
      <c r="BV178" s="523"/>
      <c r="BW178" s="523"/>
      <c r="BX178" s="523"/>
      <c r="BY178" s="523"/>
      <c r="BZ178" s="523"/>
      <c r="CA178" s="523"/>
      <c r="CB178" s="523"/>
      <c r="CC178" s="523"/>
      <c r="CD178" s="523"/>
      <c r="CE178" s="523"/>
      <c r="CF178" s="523"/>
      <c r="CG178" s="523"/>
      <c r="CH178" s="523"/>
      <c r="CI178" s="523"/>
      <c r="CJ178" s="523"/>
      <c r="CK178" s="523"/>
      <c r="CL178" s="523"/>
      <c r="CM178" s="523"/>
      <c r="CN178" s="523"/>
      <c r="CO178" s="523"/>
      <c r="CP178" s="523"/>
      <c r="CQ178" s="523"/>
      <c r="CR178" s="523"/>
      <c r="CS178" s="523"/>
      <c r="CT178" s="1133"/>
      <c r="CU178" s="524"/>
      <c r="CV178" s="524"/>
      <c r="CW178" s="525">
        <f>N178</f>
        <v>22979</v>
      </c>
      <c r="CX178" s="525">
        <f>R178</f>
        <v>26465</v>
      </c>
      <c r="CY178" s="525">
        <f>V178</f>
        <v>29158</v>
      </c>
      <c r="CZ178" s="525">
        <f>Z178</f>
        <v>28695</v>
      </c>
      <c r="DA178" s="525">
        <f>AD178</f>
        <v>32680</v>
      </c>
      <c r="DB178" s="525">
        <f>AH178</f>
        <v>33894</v>
      </c>
      <c r="DC178" s="525">
        <f>+AL178</f>
        <v>41404</v>
      </c>
      <c r="DD178" s="525">
        <f>+AP178</f>
        <v>48246</v>
      </c>
      <c r="DE178" s="526"/>
      <c r="DF178" s="526"/>
      <c r="DG178" s="526"/>
      <c r="DH178" s="526"/>
      <c r="DI178" s="526"/>
      <c r="DJ178" s="521"/>
      <c r="DK178" s="521"/>
      <c r="DL178" s="521"/>
      <c r="DM178" s="521"/>
      <c r="DN178" s="521"/>
      <c r="DO178" s="521"/>
      <c r="DP178" s="521"/>
      <c r="DQ178" s="521"/>
      <c r="DR178" s="521"/>
      <c r="DS178" s="521"/>
      <c r="DT178" s="521"/>
      <c r="DU178" s="521"/>
      <c r="DV178" s="521"/>
      <c r="DW178" s="521"/>
      <c r="DY178" s="521"/>
      <c r="DZ178" s="521"/>
    </row>
    <row r="179" spans="1:130" s="302" customFormat="1" hidden="1">
      <c r="A179" s="355"/>
      <c r="B179" s="355"/>
      <c r="C179" s="502"/>
      <c r="D179" s="502"/>
      <c r="E179" s="502"/>
      <c r="F179" s="502"/>
      <c r="G179" s="535"/>
      <c r="H179" s="530">
        <v>49600</v>
      </c>
      <c r="I179" s="530">
        <v>42724</v>
      </c>
      <c r="J179" s="530">
        <v>78720</v>
      </c>
      <c r="K179" s="530">
        <v>58012</v>
      </c>
      <c r="L179" s="530">
        <v>64765</v>
      </c>
      <c r="M179" s="530">
        <v>42494</v>
      </c>
      <c r="N179" s="530">
        <v>77888</v>
      </c>
      <c r="O179" s="530">
        <v>41126</v>
      </c>
      <c r="P179" s="530">
        <v>69306</v>
      </c>
      <c r="Q179" s="530">
        <v>56841</v>
      </c>
      <c r="R179" s="530">
        <v>98418</v>
      </c>
      <c r="S179" s="530">
        <v>47211</v>
      </c>
      <c r="T179" s="357">
        <v>73023</v>
      </c>
      <c r="U179" s="357">
        <v>57929</v>
      </c>
      <c r="V179" s="357">
        <v>94362</v>
      </c>
      <c r="W179" s="357">
        <v>43488</v>
      </c>
      <c r="X179" s="357">
        <v>74632</v>
      </c>
      <c r="Y179" s="357">
        <v>59124</v>
      </c>
      <c r="Z179" s="357">
        <v>103062</v>
      </c>
      <c r="AA179" s="532">
        <v>48505</v>
      </c>
      <c r="AB179" s="532">
        <v>78875</v>
      </c>
      <c r="AC179" s="532">
        <v>65645</v>
      </c>
      <c r="AD179" s="532">
        <v>110820</v>
      </c>
      <c r="AE179" s="532">
        <v>56054</v>
      </c>
      <c r="AF179" s="532">
        <v>87873</v>
      </c>
      <c r="AG179" s="532">
        <v>69748</v>
      </c>
      <c r="AH179" s="532">
        <v>122517</v>
      </c>
      <c r="AI179" s="532">
        <v>61617</v>
      </c>
      <c r="AJ179" s="532">
        <v>94667</v>
      </c>
      <c r="AK179" s="532">
        <v>81058</v>
      </c>
      <c r="AL179" s="532">
        <v>138469</v>
      </c>
      <c r="AM179" s="532">
        <v>68391</v>
      </c>
      <c r="AN179" s="532">
        <v>98953</v>
      </c>
      <c r="AO179" s="532">
        <v>90266</v>
      </c>
      <c r="AP179" s="532">
        <v>156897</v>
      </c>
      <c r="AQ179" s="532">
        <f t="shared" ref="AQ179:BF179" si="1032">AQ180-AQ182</f>
        <v>73221</v>
      </c>
      <c r="AR179" s="532">
        <f t="shared" si="1032"/>
        <v>134510</v>
      </c>
      <c r="AS179" s="532">
        <f t="shared" si="1032"/>
        <v>99788</v>
      </c>
      <c r="AT179" s="532">
        <f t="shared" si="1032"/>
        <v>178488</v>
      </c>
      <c r="AU179" s="532">
        <f t="shared" si="1032"/>
        <v>89025</v>
      </c>
      <c r="AV179" s="532">
        <f t="shared" si="1032"/>
        <v>131363</v>
      </c>
      <c r="AW179" s="532">
        <f t="shared" si="1032"/>
        <v>113832</v>
      </c>
      <c r="AX179" s="532">
        <f t="shared" si="1032"/>
        <v>186236</v>
      </c>
      <c r="AY179" s="532">
        <f t="shared" si="1032"/>
        <v>88068</v>
      </c>
      <c r="AZ179" s="532">
        <f t="shared" si="1032"/>
        <v>137799</v>
      </c>
      <c r="BA179" s="532">
        <f t="shared" si="1032"/>
        <v>109316</v>
      </c>
      <c r="BB179" s="532">
        <f t="shared" si="1032"/>
        <v>187562</v>
      </c>
      <c r="BC179" s="532">
        <f t="shared" si="1032"/>
        <v>92891</v>
      </c>
      <c r="BD179" s="532">
        <f t="shared" si="1032"/>
        <v>119717</v>
      </c>
      <c r="BE179" s="532">
        <f t="shared" si="1032"/>
        <v>105078</v>
      </c>
      <c r="BF179" s="532">
        <f t="shared" si="1032"/>
        <v>185177.73037499998</v>
      </c>
      <c r="BG179" s="532"/>
      <c r="BH179" s="532"/>
      <c r="BI179" s="532"/>
      <c r="BJ179" s="532"/>
      <c r="BK179" s="532"/>
      <c r="BL179" s="532"/>
      <c r="BM179" s="532"/>
      <c r="BN179" s="532"/>
      <c r="BO179" s="532"/>
      <c r="BP179" s="532"/>
      <c r="BQ179" s="532"/>
      <c r="BR179" s="532"/>
      <c r="BS179" s="532"/>
      <c r="BT179" s="532"/>
      <c r="BU179" s="532"/>
      <c r="BV179" s="532"/>
      <c r="BW179" s="532"/>
      <c r="BX179" s="532"/>
      <c r="BY179" s="532"/>
      <c r="BZ179" s="532"/>
      <c r="CA179" s="532"/>
      <c r="CB179" s="532"/>
      <c r="CC179" s="532"/>
      <c r="CD179" s="532"/>
      <c r="CE179" s="532"/>
      <c r="CF179" s="532"/>
      <c r="CG179" s="532"/>
      <c r="CH179" s="532"/>
      <c r="CI179" s="532"/>
      <c r="CJ179" s="532"/>
      <c r="CK179" s="532"/>
      <c r="CL179" s="532"/>
      <c r="CM179" s="532"/>
      <c r="CN179" s="532"/>
      <c r="CO179" s="532"/>
      <c r="CP179" s="532"/>
      <c r="CQ179" s="357"/>
      <c r="CR179" s="357"/>
      <c r="CS179" s="532"/>
      <c r="CT179" s="1138"/>
      <c r="CU179" s="475"/>
      <c r="CV179" s="475"/>
      <c r="CW179" s="534">
        <f>N179</f>
        <v>77888</v>
      </c>
      <c r="CX179" s="534">
        <f>R179</f>
        <v>98418</v>
      </c>
      <c r="CY179" s="534">
        <f>V179</f>
        <v>94362</v>
      </c>
      <c r="CZ179" s="534">
        <f>Z179</f>
        <v>103062</v>
      </c>
      <c r="DA179" s="534">
        <f>AD179</f>
        <v>110820</v>
      </c>
      <c r="DB179" s="534">
        <f>AH179</f>
        <v>122517</v>
      </c>
      <c r="DC179" s="534">
        <f>+AL179</f>
        <v>138469</v>
      </c>
      <c r="DD179" s="534">
        <f>+AP179</f>
        <v>156897</v>
      </c>
      <c r="DE179" s="534"/>
      <c r="DF179" s="355"/>
      <c r="DG179" s="355"/>
      <c r="DH179" s="355"/>
      <c r="DI179" s="355"/>
      <c r="DJ179" s="355"/>
      <c r="DK179" s="355"/>
      <c r="DL179" s="355"/>
      <c r="DM179" s="355"/>
      <c r="DN179" s="355"/>
      <c r="DO179" s="355"/>
      <c r="DP179" s="355"/>
      <c r="DQ179" s="355"/>
      <c r="DR179" s="355"/>
      <c r="DS179" s="355"/>
      <c r="DT179" s="355"/>
      <c r="DU179" s="355"/>
      <c r="DV179" s="355"/>
      <c r="DW179" s="355"/>
      <c r="DY179" s="355"/>
      <c r="DZ179" s="355"/>
    </row>
    <row r="180" spans="1:130" s="302" customFormat="1" hidden="1">
      <c r="A180" s="485" t="s">
        <v>652</v>
      </c>
      <c r="B180" s="485"/>
      <c r="C180" s="536"/>
      <c r="D180" s="536"/>
      <c r="E180" s="536"/>
      <c r="F180" s="536"/>
      <c r="G180" s="537">
        <v>46970</v>
      </c>
      <c r="H180" s="537">
        <v>49600</v>
      </c>
      <c r="I180" s="537">
        <v>42724</v>
      </c>
      <c r="J180" s="537">
        <v>78720</v>
      </c>
      <c r="K180" s="537">
        <v>58012</v>
      </c>
      <c r="L180" s="537">
        <v>64765</v>
      </c>
      <c r="M180" s="537">
        <v>58583</v>
      </c>
      <c r="N180" s="537">
        <v>97340</v>
      </c>
      <c r="O180" s="537">
        <v>69217</v>
      </c>
      <c r="P180" s="537">
        <v>80700</v>
      </c>
      <c r="Q180" s="537">
        <v>69242</v>
      </c>
      <c r="R180" s="537">
        <v>109198</v>
      </c>
      <c r="S180" s="537">
        <v>84911</v>
      </c>
      <c r="T180" s="487">
        <v>89263</v>
      </c>
      <c r="U180" s="487">
        <v>73933</v>
      </c>
      <c r="V180" s="487">
        <v>107584</v>
      </c>
      <c r="W180" s="487">
        <v>78058</v>
      </c>
      <c r="X180" s="487">
        <v>85539</v>
      </c>
      <c r="Y180" s="487">
        <v>73428</v>
      </c>
      <c r="Z180" s="487">
        <v>115533</v>
      </c>
      <c r="AA180" s="487">
        <v>83496</v>
      </c>
      <c r="AB180" s="487">
        <v>94421</v>
      </c>
      <c r="AC180" s="487">
        <v>83070</v>
      </c>
      <c r="AD180" s="487">
        <v>125624</v>
      </c>
      <c r="AE180" s="487">
        <v>97093</v>
      </c>
      <c r="AF180" s="487">
        <v>107333</v>
      </c>
      <c r="AG180" s="487">
        <v>88511</v>
      </c>
      <c r="AH180" s="517">
        <v>137074</v>
      </c>
      <c r="AI180" s="517">
        <v>103677</v>
      </c>
      <c r="AJ180" s="517">
        <v>114633</v>
      </c>
      <c r="AK180" s="517">
        <v>102840</v>
      </c>
      <c r="AL180" s="517">
        <v>158118</v>
      </c>
      <c r="AM180" s="517">
        <v>125423</v>
      </c>
      <c r="AN180" s="517">
        <v>128991</v>
      </c>
      <c r="AO180" s="517">
        <v>116404</v>
      </c>
      <c r="AP180" s="517">
        <v>181300</v>
      </c>
      <c r="AQ180" s="517">
        <v>139273</v>
      </c>
      <c r="AR180" s="517">
        <v>166004</v>
      </c>
      <c r="AS180" s="517">
        <v>128253</v>
      </c>
      <c r="AT180" s="517">
        <v>204403</v>
      </c>
      <c r="AU180" s="517">
        <v>150076</v>
      </c>
      <c r="AV180" s="517">
        <v>160717</v>
      </c>
      <c r="AW180" s="517">
        <v>144586</v>
      </c>
      <c r="AX180" s="517">
        <v>213673</v>
      </c>
      <c r="AY180" s="517">
        <v>150903</v>
      </c>
      <c r="AZ180" s="517">
        <v>165265</v>
      </c>
      <c r="BA180" s="517">
        <v>139055</v>
      </c>
      <c r="BB180" s="517">
        <v>212848</v>
      </c>
      <c r="BC180" s="517">
        <v>155471</v>
      </c>
      <c r="BD180" s="517">
        <v>149439</v>
      </c>
      <c r="BE180" s="517">
        <v>135058</v>
      </c>
      <c r="BF180" s="489">
        <f>BF41/8+BF49/5+BF182</f>
        <v>213358.73037499998</v>
      </c>
      <c r="BG180" s="489"/>
      <c r="BH180" s="489"/>
      <c r="BI180" s="489"/>
      <c r="BJ180" s="489"/>
      <c r="BK180" s="489"/>
      <c r="BL180" s="489"/>
      <c r="BM180" s="489"/>
      <c r="BN180" s="489"/>
      <c r="BO180" s="489"/>
      <c r="BP180" s="489"/>
      <c r="BQ180" s="489"/>
      <c r="BR180" s="489"/>
      <c r="BS180" s="489"/>
      <c r="BT180" s="489"/>
      <c r="BU180" s="489"/>
      <c r="BV180" s="489"/>
      <c r="BW180" s="489"/>
      <c r="BX180" s="489"/>
      <c r="BY180" s="489"/>
      <c r="BZ180" s="489"/>
      <c r="CA180" s="489"/>
      <c r="CB180" s="489"/>
      <c r="CC180" s="489"/>
      <c r="CD180" s="489"/>
      <c r="CE180" s="489"/>
      <c r="CF180" s="489"/>
      <c r="CG180" s="489"/>
      <c r="CH180" s="489"/>
      <c r="CI180" s="489"/>
      <c r="CJ180" s="489"/>
      <c r="CK180" s="489"/>
      <c r="CL180" s="489"/>
      <c r="CM180" s="489"/>
      <c r="CN180" s="489"/>
      <c r="CO180" s="489"/>
      <c r="CP180" s="489"/>
      <c r="CQ180" s="489"/>
      <c r="CR180" s="489"/>
      <c r="CS180" s="489"/>
      <c r="CT180" s="1136"/>
      <c r="CU180" s="490"/>
      <c r="CV180" s="490"/>
      <c r="CW180" s="495">
        <f>N180</f>
        <v>97340</v>
      </c>
      <c r="CX180" s="495">
        <f>R180</f>
        <v>109198</v>
      </c>
      <c r="CY180" s="495">
        <f>V180</f>
        <v>107584</v>
      </c>
      <c r="CZ180" s="495">
        <f>Z180</f>
        <v>115533</v>
      </c>
      <c r="DA180" s="495">
        <f>AD180</f>
        <v>125624</v>
      </c>
      <c r="DB180" s="495">
        <f>AH180</f>
        <v>137074</v>
      </c>
      <c r="DC180" s="495">
        <f>+AL180</f>
        <v>158118</v>
      </c>
      <c r="DD180" s="495">
        <f>+AP180</f>
        <v>181300</v>
      </c>
      <c r="DE180" s="495">
        <f>+AT180</f>
        <v>204403</v>
      </c>
      <c r="DF180" s="495">
        <f>+AX180</f>
        <v>213673</v>
      </c>
      <c r="DG180" s="495">
        <f>+BB180</f>
        <v>212848</v>
      </c>
      <c r="DH180" s="495">
        <f>+BF180</f>
        <v>213358.73037499998</v>
      </c>
      <c r="DI180" s="495">
        <f>+BJ180</f>
        <v>0</v>
      </c>
      <c r="DJ180" s="495">
        <f>+BN180</f>
        <v>0</v>
      </c>
      <c r="DK180" s="495">
        <f>+BR180</f>
        <v>0</v>
      </c>
      <c r="DL180" s="518">
        <f t="shared" ref="DL180:DR180" si="1033">DL181*DL41</f>
        <v>0</v>
      </c>
      <c r="DM180" s="518">
        <f t="shared" si="1033"/>
        <v>0</v>
      </c>
      <c r="DN180" s="518">
        <f t="shared" si="1033"/>
        <v>0</v>
      </c>
      <c r="DO180" s="518">
        <f t="shared" ref="DO180:DP180" si="1034">DO181*DO41</f>
        <v>0</v>
      </c>
      <c r="DP180" s="518">
        <f t="shared" si="1034"/>
        <v>0</v>
      </c>
      <c r="DQ180" s="518">
        <f t="shared" ref="DQ180" si="1035">DQ181*DQ41</f>
        <v>0</v>
      </c>
      <c r="DR180" s="518">
        <f t="shared" si="1033"/>
        <v>0</v>
      </c>
      <c r="DS180" s="518">
        <f t="shared" ref="DS180:DU180" si="1036">DS181*DS41</f>
        <v>0</v>
      </c>
      <c r="DT180" s="518">
        <f t="shared" si="1036"/>
        <v>0</v>
      </c>
      <c r="DU180" s="518">
        <f t="shared" si="1036"/>
        <v>0</v>
      </c>
      <c r="DV180" s="485"/>
      <c r="DW180" s="485"/>
      <c r="DY180" s="518">
        <v>0</v>
      </c>
      <c r="DZ180" s="518">
        <v>0</v>
      </c>
    </row>
    <row r="181" spans="1:130" s="302" customFormat="1" hidden="1">
      <c r="A181" s="12" t="s">
        <v>650</v>
      </c>
      <c r="B181" s="14"/>
      <c r="C181" s="539"/>
      <c r="D181" s="539"/>
      <c r="E181" s="539"/>
      <c r="F181" s="539"/>
      <c r="G181" s="14"/>
      <c r="H181" s="14"/>
      <c r="I181" s="14"/>
      <c r="J181" s="14"/>
      <c r="K181" s="14"/>
      <c r="L181" s="14"/>
      <c r="M181" s="14"/>
      <c r="N181" s="14"/>
      <c r="O181" s="14"/>
      <c r="P181" s="14"/>
      <c r="Q181" s="14"/>
      <c r="R181" s="14"/>
      <c r="S181" s="14"/>
      <c r="T181" s="12"/>
      <c r="U181" s="12"/>
      <c r="V181" s="12"/>
      <c r="W181" s="12"/>
      <c r="X181" s="12"/>
      <c r="Y181" s="12"/>
      <c r="Z181" s="12"/>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4"/>
      <c r="BD181" s="14"/>
      <c r="BE181" s="14"/>
      <c r="BF181" s="14"/>
      <c r="BG181" s="14"/>
      <c r="BH181" s="14"/>
      <c r="BI181" s="14"/>
      <c r="BJ181" s="14"/>
      <c r="BK181" s="14"/>
      <c r="BL181" s="14"/>
      <c r="BM181" s="14"/>
      <c r="BN181" s="14"/>
      <c r="BO181" s="14"/>
      <c r="BP181" s="14"/>
      <c r="BQ181" s="14"/>
      <c r="BR181" s="14"/>
      <c r="BS181" s="14"/>
      <c r="BT181" s="14"/>
      <c r="BU181" s="14"/>
      <c r="BV181" s="14"/>
      <c r="BW181" s="14"/>
      <c r="BX181" s="14"/>
      <c r="BY181" s="14"/>
      <c r="BZ181" s="14"/>
      <c r="CA181" s="14"/>
      <c r="CB181" s="14"/>
      <c r="CC181" s="14"/>
      <c r="CD181" s="14"/>
      <c r="CE181" s="14"/>
      <c r="CF181" s="14"/>
      <c r="CG181" s="14"/>
      <c r="CH181" s="14"/>
      <c r="CI181" s="14"/>
      <c r="CJ181" s="14"/>
      <c r="CK181" s="14"/>
      <c r="CL181" s="14"/>
      <c r="CM181" s="14"/>
      <c r="CN181" s="14"/>
      <c r="CO181" s="14"/>
      <c r="CP181" s="14"/>
      <c r="CQ181" s="14"/>
      <c r="CR181" s="14"/>
      <c r="CS181" s="14"/>
      <c r="CT181" s="1133"/>
      <c r="CU181" s="14"/>
      <c r="CV181" s="14"/>
      <c r="CW181" s="12">
        <f t="shared" ref="CW181:DD181" si="1037">CW180/CW40</f>
        <v>0.37124370940902079</v>
      </c>
      <c r="CX181" s="12">
        <f t="shared" si="1037"/>
        <v>0.32415734156473741</v>
      </c>
      <c r="CY181" s="12">
        <f t="shared" si="1037"/>
        <v>0.29702378025382081</v>
      </c>
      <c r="CZ181" s="12">
        <f t="shared" si="1037"/>
        <v>0.33768856974830219</v>
      </c>
      <c r="DA181" s="12">
        <f t="shared" si="1037"/>
        <v>0.29531141070097938</v>
      </c>
      <c r="DB181" s="12">
        <f t="shared" si="1037"/>
        <v>0.29822267971414185</v>
      </c>
      <c r="DC181" s="12">
        <f t="shared" si="1037"/>
        <v>0.2890100159034012</v>
      </c>
      <c r="DD181" s="12">
        <f t="shared" si="1037"/>
        <v>0.29454745385931136</v>
      </c>
      <c r="DE181" s="12">
        <f t="shared" ref="DE181:DK181" si="1038">DE180/DE41</f>
        <v>0.41600464251110786</v>
      </c>
      <c r="DF181" s="12">
        <f t="shared" si="1038"/>
        <v>0.40369846308464141</v>
      </c>
      <c r="DG181" s="12">
        <f t="shared" si="1038"/>
        <v>0.42749330542107605</v>
      </c>
      <c r="DH181" s="12">
        <f t="shared" si="1038"/>
        <v>0.43662677974281572</v>
      </c>
      <c r="DI181" s="12">
        <f t="shared" si="1038"/>
        <v>0</v>
      </c>
      <c r="DJ181" s="12">
        <f t="shared" si="1038"/>
        <v>0</v>
      </c>
      <c r="DK181" s="12">
        <f t="shared" si="1038"/>
        <v>0</v>
      </c>
      <c r="DL181" s="520">
        <f t="shared" ref="DL181:DR181" si="1039">+DK181</f>
        <v>0</v>
      </c>
      <c r="DM181" s="520">
        <f t="shared" si="1039"/>
        <v>0</v>
      </c>
      <c r="DN181" s="520">
        <f t="shared" si="1039"/>
        <v>0</v>
      </c>
      <c r="DO181" s="520">
        <f t="shared" si="1039"/>
        <v>0</v>
      </c>
      <c r="DP181" s="520">
        <f t="shared" si="1039"/>
        <v>0</v>
      </c>
      <c r="DQ181" s="520">
        <f t="shared" si="1039"/>
        <v>0</v>
      </c>
      <c r="DR181" s="520">
        <f t="shared" si="1039"/>
        <v>0</v>
      </c>
      <c r="DS181" s="520">
        <f t="shared" ref="DS181" si="1040">+DR181</f>
        <v>0</v>
      </c>
      <c r="DT181" s="520">
        <f t="shared" ref="DT181" si="1041">+DS181</f>
        <v>0</v>
      </c>
      <c r="DU181" s="520">
        <f t="shared" ref="DU181" si="1042">+DT181</f>
        <v>0</v>
      </c>
      <c r="DV181" s="14"/>
      <c r="DW181" s="14"/>
      <c r="DY181" s="520">
        <v>0</v>
      </c>
      <c r="DZ181" s="520">
        <v>0</v>
      </c>
    </row>
    <row r="182" spans="1:130" s="302" customFormat="1" hidden="1">
      <c r="A182" s="521"/>
      <c r="B182" s="521"/>
      <c r="C182" s="522"/>
      <c r="D182" s="522"/>
      <c r="E182" s="522"/>
      <c r="F182" s="522"/>
      <c r="G182" s="523"/>
      <c r="H182" s="523">
        <v>0</v>
      </c>
      <c r="I182" s="523">
        <v>0</v>
      </c>
      <c r="J182" s="523">
        <v>0</v>
      </c>
      <c r="K182" s="523">
        <v>0</v>
      </c>
      <c r="L182" s="523">
        <v>0</v>
      </c>
      <c r="M182" s="523">
        <v>16089</v>
      </c>
      <c r="N182" s="523">
        <v>19452</v>
      </c>
      <c r="O182" s="523">
        <v>28091</v>
      </c>
      <c r="P182" s="523">
        <v>11394</v>
      </c>
      <c r="Q182" s="523">
        <v>12401</v>
      </c>
      <c r="R182" s="523">
        <v>10780</v>
      </c>
      <c r="S182" s="523">
        <v>37700</v>
      </c>
      <c r="T182" s="523">
        <v>16240</v>
      </c>
      <c r="U182" s="523">
        <v>16004</v>
      </c>
      <c r="V182" s="523">
        <v>13222</v>
      </c>
      <c r="W182" s="523">
        <v>34570</v>
      </c>
      <c r="X182" s="523">
        <v>10907</v>
      </c>
      <c r="Y182" s="523">
        <v>14304</v>
      </c>
      <c r="Z182" s="523">
        <v>12471</v>
      </c>
      <c r="AA182" s="523">
        <v>34991</v>
      </c>
      <c r="AB182" s="523">
        <v>15546</v>
      </c>
      <c r="AC182" s="523">
        <v>17425</v>
      </c>
      <c r="AD182" s="523">
        <v>14804</v>
      </c>
      <c r="AE182" s="523">
        <v>41039</v>
      </c>
      <c r="AF182" s="523">
        <v>19460</v>
      </c>
      <c r="AG182" s="523">
        <v>18763</v>
      </c>
      <c r="AH182" s="523">
        <v>14557</v>
      </c>
      <c r="AI182" s="523">
        <v>42060</v>
      </c>
      <c r="AJ182" s="523">
        <v>19966</v>
      </c>
      <c r="AK182" s="523">
        <v>21782</v>
      </c>
      <c r="AL182" s="523">
        <v>19649</v>
      </c>
      <c r="AM182" s="523">
        <v>57032</v>
      </c>
      <c r="AN182" s="523">
        <v>30038</v>
      </c>
      <c r="AO182" s="523">
        <v>26138</v>
      </c>
      <c r="AP182" s="523">
        <v>24403</v>
      </c>
      <c r="AQ182" s="523">
        <f t="shared" ref="AQ182:BF182" si="1043">AP191</f>
        <v>66052</v>
      </c>
      <c r="AR182" s="523">
        <f t="shared" si="1043"/>
        <v>31494</v>
      </c>
      <c r="AS182" s="523">
        <f t="shared" si="1043"/>
        <v>28465</v>
      </c>
      <c r="AT182" s="523">
        <f t="shared" si="1043"/>
        <v>25915</v>
      </c>
      <c r="AU182" s="523">
        <f t="shared" si="1043"/>
        <v>61051</v>
      </c>
      <c r="AV182" s="523">
        <f t="shared" si="1043"/>
        <v>29354</v>
      </c>
      <c r="AW182" s="523">
        <f t="shared" si="1043"/>
        <v>30754</v>
      </c>
      <c r="AX182" s="523">
        <f t="shared" si="1043"/>
        <v>27437</v>
      </c>
      <c r="AY182" s="523">
        <f t="shared" si="1043"/>
        <v>62835</v>
      </c>
      <c r="AZ182" s="523">
        <f t="shared" si="1043"/>
        <v>27466</v>
      </c>
      <c r="BA182" s="523">
        <f t="shared" si="1043"/>
        <v>29739</v>
      </c>
      <c r="BB182" s="523">
        <f t="shared" si="1043"/>
        <v>25286</v>
      </c>
      <c r="BC182" s="523">
        <f t="shared" si="1043"/>
        <v>62580</v>
      </c>
      <c r="BD182" s="523">
        <f t="shared" si="1043"/>
        <v>29722</v>
      </c>
      <c r="BE182" s="523">
        <f t="shared" si="1043"/>
        <v>29980</v>
      </c>
      <c r="BF182" s="523">
        <f t="shared" si="1043"/>
        <v>28181</v>
      </c>
      <c r="BG182" s="523"/>
      <c r="BH182" s="523"/>
      <c r="BI182" s="523"/>
      <c r="BJ182" s="523"/>
      <c r="BK182" s="523"/>
      <c r="BL182" s="523"/>
      <c r="BM182" s="523"/>
      <c r="BN182" s="523"/>
      <c r="BO182" s="523"/>
      <c r="BP182" s="523"/>
      <c r="BQ182" s="523"/>
      <c r="BR182" s="523"/>
      <c r="BS182" s="523"/>
      <c r="BT182" s="523"/>
      <c r="BU182" s="523"/>
      <c r="BV182" s="523"/>
      <c r="BW182" s="523"/>
      <c r="BX182" s="523"/>
      <c r="BY182" s="523"/>
      <c r="BZ182" s="523"/>
      <c r="CA182" s="523"/>
      <c r="CB182" s="523"/>
      <c r="CC182" s="523"/>
      <c r="CD182" s="523"/>
      <c r="CE182" s="523"/>
      <c r="CF182" s="523"/>
      <c r="CG182" s="523"/>
      <c r="CH182" s="523"/>
      <c r="CI182" s="523"/>
      <c r="CJ182" s="523"/>
      <c r="CK182" s="523"/>
      <c r="CL182" s="523"/>
      <c r="CM182" s="523"/>
      <c r="CN182" s="523"/>
      <c r="CO182" s="523"/>
      <c r="CP182" s="523"/>
      <c r="CQ182" s="523"/>
      <c r="CR182" s="523"/>
      <c r="CS182" s="523"/>
      <c r="CT182" s="1133"/>
      <c r="CU182" s="524"/>
      <c r="CV182" s="524"/>
      <c r="CW182" s="525">
        <f>N182</f>
        <v>19452</v>
      </c>
      <c r="CX182" s="525">
        <f>R182</f>
        <v>10780</v>
      </c>
      <c r="CY182" s="525">
        <f>V182</f>
        <v>13222</v>
      </c>
      <c r="CZ182" s="525">
        <f>Z182</f>
        <v>12471</v>
      </c>
      <c r="DA182" s="525">
        <f>AD182</f>
        <v>14804</v>
      </c>
      <c r="DB182" s="525">
        <f>AH182</f>
        <v>14557</v>
      </c>
      <c r="DC182" s="525">
        <f>+AL182</f>
        <v>19649</v>
      </c>
      <c r="DD182" s="525">
        <f>+AP182</f>
        <v>24403</v>
      </c>
      <c r="DE182" s="526"/>
      <c r="DF182" s="526"/>
      <c r="DG182" s="526"/>
      <c r="DH182" s="526"/>
      <c r="DI182" s="526"/>
      <c r="DJ182" s="521"/>
      <c r="DK182" s="521"/>
      <c r="DL182" s="521"/>
      <c r="DM182" s="521"/>
      <c r="DN182" s="521"/>
      <c r="DO182" s="521"/>
      <c r="DP182" s="521"/>
      <c r="DQ182" s="521"/>
      <c r="DR182" s="521"/>
      <c r="DS182" s="521"/>
      <c r="DT182" s="521"/>
      <c r="DU182" s="521"/>
      <c r="DV182" s="521"/>
      <c r="DW182" s="521"/>
      <c r="DY182" s="521"/>
      <c r="DZ182" s="521"/>
    </row>
    <row r="183" spans="1:130" s="302" customFormat="1" hidden="1">
      <c r="A183" s="527"/>
      <c r="B183" s="527"/>
      <c r="C183" s="528"/>
      <c r="D183" s="528"/>
      <c r="E183" s="528"/>
      <c r="F183" s="528"/>
      <c r="G183" s="529"/>
      <c r="H183" s="530">
        <v>44310</v>
      </c>
      <c r="I183" s="530">
        <v>36853</v>
      </c>
      <c r="J183" s="530">
        <v>138092</v>
      </c>
      <c r="K183" s="530">
        <v>54434</v>
      </c>
      <c r="L183" s="530">
        <v>43364</v>
      </c>
      <c r="M183" s="530">
        <v>39667</v>
      </c>
      <c r="N183" s="530">
        <v>74310</v>
      </c>
      <c r="O183" s="530">
        <v>11892</v>
      </c>
      <c r="P183" s="530">
        <v>46495</v>
      </c>
      <c r="Q183" s="530">
        <v>35136</v>
      </c>
      <c r="R183" s="530">
        <v>72352</v>
      </c>
      <c r="S183" s="530">
        <v>31327</v>
      </c>
      <c r="T183" s="357">
        <v>53553</v>
      </c>
      <c r="U183" s="357">
        <v>41590.5</v>
      </c>
      <c r="V183" s="357">
        <v>75039</v>
      </c>
      <c r="W183" s="357">
        <v>29102.5</v>
      </c>
      <c r="X183" s="357">
        <v>53061</v>
      </c>
      <c r="Y183" s="357">
        <v>41132.5</v>
      </c>
      <c r="Z183" s="357">
        <v>80472.5</v>
      </c>
      <c r="AA183" s="532">
        <v>32836</v>
      </c>
      <c r="AB183" s="532">
        <v>57101.5</v>
      </c>
      <c r="AC183" s="532">
        <v>46943</v>
      </c>
      <c r="AD183" s="532">
        <v>87299.5</v>
      </c>
      <c r="AE183" s="532">
        <v>38360</v>
      </c>
      <c r="AF183" s="532">
        <v>64853.5</v>
      </c>
      <c r="AG183" s="532">
        <v>49143.5</v>
      </c>
      <c r="AH183" s="532">
        <v>96251.5</v>
      </c>
      <c r="AI183" s="532">
        <v>41808.5</v>
      </c>
      <c r="AJ183" s="532">
        <v>69680.5</v>
      </c>
      <c r="AK183" s="532">
        <v>58768.5</v>
      </c>
      <c r="AL183" s="532">
        <v>108994</v>
      </c>
      <c r="AM183" s="532">
        <v>43916</v>
      </c>
      <c r="AN183" s="532">
        <v>73057</v>
      </c>
      <c r="AO183" s="532">
        <v>66872.899999999994</v>
      </c>
      <c r="AP183" s="532">
        <v>124192</v>
      </c>
      <c r="AQ183" s="532">
        <f t="shared" ref="AQ183:BF183" si="1044">AQ184-AQ186</f>
        <v>47624.5</v>
      </c>
      <c r="AR183" s="532">
        <f t="shared" si="1044"/>
        <v>146754</v>
      </c>
      <c r="AS183" s="532">
        <f t="shared" si="1044"/>
        <v>73515.5</v>
      </c>
      <c r="AT183" s="532">
        <f t="shared" si="1044"/>
        <v>139551.5</v>
      </c>
      <c r="AU183" s="532">
        <f t="shared" si="1044"/>
        <v>62215</v>
      </c>
      <c r="AV183" s="532">
        <f t="shared" si="1044"/>
        <v>97136</v>
      </c>
      <c r="AW183" s="532">
        <f t="shared" si="1044"/>
        <v>82134.5</v>
      </c>
      <c r="AX183" s="532">
        <f t="shared" si="1044"/>
        <v>144203</v>
      </c>
      <c r="AY183" s="532">
        <f t="shared" si="1044"/>
        <v>60367</v>
      </c>
      <c r="AZ183" s="532">
        <f t="shared" si="1044"/>
        <v>101609</v>
      </c>
      <c r="BA183" s="532">
        <f t="shared" si="1044"/>
        <v>77923.5</v>
      </c>
      <c r="BB183" s="532">
        <f t="shared" si="1044"/>
        <v>145696.5</v>
      </c>
      <c r="BC183" s="532">
        <f t="shared" si="1044"/>
        <v>65384.5</v>
      </c>
      <c r="BD183" s="532">
        <f t="shared" si="1044"/>
        <v>91894.5</v>
      </c>
      <c r="BE183" s="532">
        <f t="shared" si="1044"/>
        <v>72014</v>
      </c>
      <c r="BF183" s="532">
        <f t="shared" si="1044"/>
        <v>185177.73037499998</v>
      </c>
      <c r="BG183" s="532"/>
      <c r="BH183" s="532"/>
      <c r="BI183" s="532"/>
      <c r="BJ183" s="532"/>
      <c r="BK183" s="532"/>
      <c r="BL183" s="532"/>
      <c r="BM183" s="532"/>
      <c r="BN183" s="532"/>
      <c r="BO183" s="532"/>
      <c r="BP183" s="532"/>
      <c r="BQ183" s="532"/>
      <c r="BR183" s="532"/>
      <c r="BS183" s="532"/>
      <c r="BT183" s="532"/>
      <c r="BU183" s="532"/>
      <c r="BV183" s="532"/>
      <c r="BW183" s="532"/>
      <c r="BX183" s="532"/>
      <c r="BY183" s="532"/>
      <c r="BZ183" s="532"/>
      <c r="CA183" s="532"/>
      <c r="CB183" s="532"/>
      <c r="CC183" s="532"/>
      <c r="CD183" s="532"/>
      <c r="CE183" s="532"/>
      <c r="CF183" s="532"/>
      <c r="CG183" s="532"/>
      <c r="CH183" s="532"/>
      <c r="CI183" s="532"/>
      <c r="CJ183" s="532"/>
      <c r="CK183" s="532"/>
      <c r="CL183" s="532"/>
      <c r="CM183" s="532"/>
      <c r="CN183" s="532"/>
      <c r="CO183" s="532"/>
      <c r="CP183" s="532"/>
      <c r="CQ183" s="532"/>
      <c r="CR183" s="532"/>
      <c r="CS183" s="532"/>
      <c r="CT183" s="1133"/>
      <c r="CU183" s="533"/>
      <c r="CV183" s="533"/>
      <c r="CW183" s="534">
        <f>N183</f>
        <v>74310</v>
      </c>
      <c r="CX183" s="534">
        <f>R183</f>
        <v>72352</v>
      </c>
      <c r="CY183" s="534">
        <f>V183</f>
        <v>75039</v>
      </c>
      <c r="CZ183" s="534">
        <f>Z183</f>
        <v>80472.5</v>
      </c>
      <c r="DA183" s="534">
        <f>AD183</f>
        <v>87299.5</v>
      </c>
      <c r="DB183" s="534">
        <f>AH183</f>
        <v>96251.5</v>
      </c>
      <c r="DC183" s="534">
        <f>+AL183</f>
        <v>108994</v>
      </c>
      <c r="DD183" s="534">
        <f>+AP183</f>
        <v>124192</v>
      </c>
      <c r="DE183" s="534"/>
      <c r="DF183" s="527"/>
      <c r="DG183" s="527"/>
      <c r="DH183" s="527"/>
      <c r="DI183" s="527"/>
      <c r="DJ183" s="527"/>
      <c r="DK183" s="527"/>
      <c r="DL183" s="527"/>
      <c r="DM183" s="527"/>
      <c r="DN183" s="527"/>
      <c r="DO183" s="527"/>
      <c r="DP183" s="527"/>
      <c r="DQ183" s="527"/>
      <c r="DR183" s="527"/>
      <c r="DS183" s="527"/>
      <c r="DT183" s="527"/>
      <c r="DU183" s="527"/>
      <c r="DV183" s="527"/>
      <c r="DW183" s="527"/>
      <c r="DY183" s="527"/>
      <c r="DZ183" s="527"/>
    </row>
    <row r="184" spans="1:130" s="302" customFormat="1" hidden="1">
      <c r="A184" s="485" t="s">
        <v>653</v>
      </c>
      <c r="B184" s="485"/>
      <c r="C184" s="486"/>
      <c r="D184" s="486"/>
      <c r="E184" s="486"/>
      <c r="F184" s="486"/>
      <c r="G184" s="487">
        <v>24667</v>
      </c>
      <c r="H184" s="487">
        <v>44310</v>
      </c>
      <c r="I184" s="487">
        <v>36853</v>
      </c>
      <c r="J184" s="487">
        <v>138092</v>
      </c>
      <c r="K184" s="487">
        <v>54434</v>
      </c>
      <c r="L184" s="487">
        <v>43364</v>
      </c>
      <c r="M184" s="487">
        <v>39667</v>
      </c>
      <c r="N184" s="487">
        <v>74310</v>
      </c>
      <c r="O184" s="487">
        <v>43339</v>
      </c>
      <c r="P184" s="487">
        <v>55098</v>
      </c>
      <c r="Q184" s="487">
        <v>46521</v>
      </c>
      <c r="R184" s="487">
        <v>83498</v>
      </c>
      <c r="S184" s="487">
        <v>49811</v>
      </c>
      <c r="T184" s="487">
        <v>58997</v>
      </c>
      <c r="U184" s="487">
        <v>49587</v>
      </c>
      <c r="V184" s="487">
        <v>81499</v>
      </c>
      <c r="W184" s="487">
        <v>42088</v>
      </c>
      <c r="X184" s="487">
        <v>56744</v>
      </c>
      <c r="Y184" s="487">
        <v>48543</v>
      </c>
      <c r="Z184" s="487">
        <v>86168</v>
      </c>
      <c r="AA184" s="487">
        <v>50369</v>
      </c>
      <c r="AB184" s="487">
        <v>62592</v>
      </c>
      <c r="AC184" s="487">
        <v>55141</v>
      </c>
      <c r="AD184" s="487">
        <v>93882</v>
      </c>
      <c r="AE184" s="487">
        <v>58453</v>
      </c>
      <c r="AF184" s="487">
        <v>71485</v>
      </c>
      <c r="AG184" s="487">
        <v>58047</v>
      </c>
      <c r="AH184" s="517">
        <v>102622</v>
      </c>
      <c r="AI184" s="517">
        <v>62468</v>
      </c>
      <c r="AJ184" s="517">
        <v>77116</v>
      </c>
      <c r="AK184" s="517">
        <v>69007</v>
      </c>
      <c r="AL184" s="517">
        <v>119405</v>
      </c>
      <c r="AM184" s="517">
        <v>75591</v>
      </c>
      <c r="AN184" s="517">
        <v>84524</v>
      </c>
      <c r="AO184" s="517">
        <v>78635</v>
      </c>
      <c r="AP184" s="517">
        <v>136431</v>
      </c>
      <c r="AQ184" s="517">
        <v>82091</v>
      </c>
      <c r="AR184" s="517">
        <v>158759</v>
      </c>
      <c r="AS184" s="517">
        <v>87819</v>
      </c>
      <c r="AT184" s="517">
        <v>151756</v>
      </c>
      <c r="AU184" s="517">
        <v>94221</v>
      </c>
      <c r="AV184" s="517">
        <v>109125</v>
      </c>
      <c r="AW184" s="517">
        <v>96858</v>
      </c>
      <c r="AX184" s="517">
        <v>157049</v>
      </c>
      <c r="AY184" s="517">
        <v>91810</v>
      </c>
      <c r="AZ184" s="517">
        <v>112540</v>
      </c>
      <c r="BA184" s="517">
        <v>92011</v>
      </c>
      <c r="BB184" s="517">
        <v>157729</v>
      </c>
      <c r="BC184" s="517">
        <v>97095</v>
      </c>
      <c r="BD184" s="517">
        <v>104362</v>
      </c>
      <c r="BE184" s="517">
        <v>86614</v>
      </c>
      <c r="BF184" s="489">
        <f>BF41/8+BF49/5+BF186</f>
        <v>196967.73037499998</v>
      </c>
      <c r="BG184" s="489"/>
      <c r="BH184" s="489"/>
      <c r="BI184" s="489"/>
      <c r="BJ184" s="489"/>
      <c r="BK184" s="489"/>
      <c r="BL184" s="489"/>
      <c r="BM184" s="489"/>
      <c r="BN184" s="489"/>
      <c r="BO184" s="489"/>
      <c r="BP184" s="489"/>
      <c r="BQ184" s="489"/>
      <c r="BR184" s="489"/>
      <c r="BS184" s="489"/>
      <c r="BT184" s="489"/>
      <c r="BU184" s="489"/>
      <c r="BV184" s="489"/>
      <c r="BW184" s="489"/>
      <c r="BX184" s="489"/>
      <c r="BY184" s="489"/>
      <c r="BZ184" s="489"/>
      <c r="CA184" s="489"/>
      <c r="CB184" s="489"/>
      <c r="CC184" s="489"/>
      <c r="CD184" s="489"/>
      <c r="CE184" s="489"/>
      <c r="CF184" s="489"/>
      <c r="CG184" s="489"/>
      <c r="CH184" s="489"/>
      <c r="CI184" s="489"/>
      <c r="CJ184" s="489"/>
      <c r="CK184" s="489"/>
      <c r="CL184" s="489"/>
      <c r="CM184" s="489"/>
      <c r="CN184" s="489"/>
      <c r="CO184" s="489"/>
      <c r="CP184" s="489"/>
      <c r="CQ184" s="489"/>
      <c r="CR184" s="489"/>
      <c r="CS184" s="489"/>
      <c r="CT184" s="1133"/>
      <c r="CU184" s="490"/>
      <c r="CV184" s="490"/>
      <c r="CW184" s="495">
        <f>N184</f>
        <v>74310</v>
      </c>
      <c r="CX184" s="495">
        <f>R184</f>
        <v>83498</v>
      </c>
      <c r="CY184" s="495">
        <f>V184</f>
        <v>81499</v>
      </c>
      <c r="CZ184" s="495">
        <f>Z184</f>
        <v>86168</v>
      </c>
      <c r="DA184" s="495">
        <f>AD184</f>
        <v>93882</v>
      </c>
      <c r="DB184" s="495">
        <f>AH184</f>
        <v>102622</v>
      </c>
      <c r="DC184" s="495">
        <f>+AL184</f>
        <v>119405</v>
      </c>
      <c r="DD184" s="495">
        <f>+AP184</f>
        <v>136431</v>
      </c>
      <c r="DE184" s="495">
        <f>+AT184</f>
        <v>151756</v>
      </c>
      <c r="DF184" s="495">
        <f>+AX184</f>
        <v>157049</v>
      </c>
      <c r="DG184" s="495">
        <f>+BB184</f>
        <v>157729</v>
      </c>
      <c r="DH184" s="495">
        <f>+BF184</f>
        <v>196967.73037499998</v>
      </c>
      <c r="DI184" s="495">
        <f>+BJ184</f>
        <v>0</v>
      </c>
      <c r="DJ184" s="495">
        <f>+BN184</f>
        <v>0</v>
      </c>
      <c r="DK184" s="495">
        <f>+BR184</f>
        <v>0</v>
      </c>
      <c r="DL184" s="518">
        <f t="shared" ref="DL184:DR184" si="1045">DL185*DL41</f>
        <v>0</v>
      </c>
      <c r="DM184" s="518">
        <f t="shared" si="1045"/>
        <v>0</v>
      </c>
      <c r="DN184" s="518">
        <f t="shared" si="1045"/>
        <v>0</v>
      </c>
      <c r="DO184" s="518">
        <f t="shared" ref="DO184:DP184" si="1046">DO185*DO41</f>
        <v>0</v>
      </c>
      <c r="DP184" s="518">
        <f t="shared" si="1046"/>
        <v>0</v>
      </c>
      <c r="DQ184" s="518">
        <f t="shared" ref="DQ184" si="1047">DQ185*DQ41</f>
        <v>0</v>
      </c>
      <c r="DR184" s="518">
        <f t="shared" si="1045"/>
        <v>0</v>
      </c>
      <c r="DS184" s="518">
        <f t="shared" ref="DS184:DU184" si="1048">DS185*DS41</f>
        <v>0</v>
      </c>
      <c r="DT184" s="518">
        <f t="shared" si="1048"/>
        <v>0</v>
      </c>
      <c r="DU184" s="518">
        <f t="shared" si="1048"/>
        <v>0</v>
      </c>
      <c r="DV184" s="485"/>
      <c r="DW184" s="485"/>
      <c r="DY184" s="518">
        <v>0</v>
      </c>
      <c r="DZ184" s="518">
        <v>0</v>
      </c>
    </row>
    <row r="185" spans="1:130" s="302" customFormat="1" hidden="1">
      <c r="A185" s="12" t="s">
        <v>650</v>
      </c>
      <c r="B185" s="12"/>
      <c r="C185" s="519"/>
      <c r="D185" s="519"/>
      <c r="E185" s="519"/>
      <c r="F185" s="519"/>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509"/>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c r="BU185" s="12"/>
      <c r="BV185" s="12"/>
      <c r="BW185" s="12"/>
      <c r="BX185" s="12"/>
      <c r="BY185" s="12"/>
      <c r="BZ185" s="12"/>
      <c r="CA185" s="12"/>
      <c r="CB185" s="12"/>
      <c r="CC185" s="12"/>
      <c r="CD185" s="12"/>
      <c r="CE185" s="12"/>
      <c r="CF185" s="12"/>
      <c r="CG185" s="12"/>
      <c r="CH185" s="12"/>
      <c r="CI185" s="12"/>
      <c r="CJ185" s="12"/>
      <c r="CK185" s="12"/>
      <c r="CL185" s="12"/>
      <c r="CM185" s="12"/>
      <c r="CN185" s="12"/>
      <c r="CO185" s="12"/>
      <c r="CP185" s="12"/>
      <c r="CQ185" s="12"/>
      <c r="CR185" s="12"/>
      <c r="CS185" s="12"/>
      <c r="CT185" s="1136"/>
      <c r="CU185" s="12"/>
      <c r="CV185" s="12"/>
      <c r="CW185" s="12">
        <f t="shared" ref="CW185:DD185" si="1049">CW184/CW40</f>
        <v>0.28340990390573595</v>
      </c>
      <c r="CX185" s="12">
        <f t="shared" si="1049"/>
        <v>0.24786616701745862</v>
      </c>
      <c r="CY185" s="12">
        <f t="shared" si="1049"/>
        <v>0.22500688826318171</v>
      </c>
      <c r="CZ185" s="12">
        <f t="shared" si="1049"/>
        <v>0.25185833206159025</v>
      </c>
      <c r="DA185" s="12">
        <f t="shared" si="1049"/>
        <v>0.2206937039055383</v>
      </c>
      <c r="DB185" s="12">
        <f t="shared" si="1049"/>
        <v>0.22326778118114787</v>
      </c>
      <c r="DC185" s="12">
        <f t="shared" si="1049"/>
        <v>0.21824992062222909</v>
      </c>
      <c r="DD185" s="12">
        <f t="shared" si="1049"/>
        <v>0.22165142679249702</v>
      </c>
      <c r="DE185" s="12">
        <f t="shared" ref="DE185:DK185" si="1050">DE184/DE41</f>
        <v>0.30885652621984844</v>
      </c>
      <c r="DF185" s="12">
        <f t="shared" si="1050"/>
        <v>0.29671713285712209</v>
      </c>
      <c r="DG185" s="12">
        <f t="shared" si="1050"/>
        <v>0.31678987620631111</v>
      </c>
      <c r="DH185" s="12">
        <f t="shared" si="1050"/>
        <v>0.40308350952281691</v>
      </c>
      <c r="DI185" s="12">
        <f t="shared" si="1050"/>
        <v>0</v>
      </c>
      <c r="DJ185" s="12">
        <f t="shared" si="1050"/>
        <v>0</v>
      </c>
      <c r="DK185" s="12">
        <f t="shared" si="1050"/>
        <v>0</v>
      </c>
      <c r="DL185" s="520">
        <f t="shared" ref="DL185:DR185" si="1051">+DK185</f>
        <v>0</v>
      </c>
      <c r="DM185" s="520">
        <f t="shared" si="1051"/>
        <v>0</v>
      </c>
      <c r="DN185" s="520">
        <f t="shared" si="1051"/>
        <v>0</v>
      </c>
      <c r="DO185" s="520">
        <f t="shared" si="1051"/>
        <v>0</v>
      </c>
      <c r="DP185" s="520">
        <f t="shared" si="1051"/>
        <v>0</v>
      </c>
      <c r="DQ185" s="520">
        <f t="shared" si="1051"/>
        <v>0</v>
      </c>
      <c r="DR185" s="520">
        <f t="shared" si="1051"/>
        <v>0</v>
      </c>
      <c r="DS185" s="520">
        <f t="shared" ref="DS185" si="1052">+DR185</f>
        <v>0</v>
      </c>
      <c r="DT185" s="520">
        <f t="shared" ref="DT185" si="1053">+DS185</f>
        <v>0</v>
      </c>
      <c r="DU185" s="520">
        <f t="shared" ref="DU185" si="1054">+DT185</f>
        <v>0</v>
      </c>
      <c r="DV185" s="12"/>
      <c r="DW185" s="12"/>
      <c r="DY185" s="520">
        <v>0</v>
      </c>
      <c r="DZ185" s="520">
        <v>0</v>
      </c>
    </row>
    <row r="186" spans="1:130" s="302" customFormat="1" hidden="1">
      <c r="A186" s="521"/>
      <c r="B186" s="521"/>
      <c r="C186" s="522"/>
      <c r="D186" s="522"/>
      <c r="E186" s="522"/>
      <c r="F186" s="522"/>
      <c r="G186" s="523"/>
      <c r="H186" s="523">
        <v>0</v>
      </c>
      <c r="I186" s="523">
        <v>0</v>
      </c>
      <c r="J186" s="523">
        <v>0</v>
      </c>
      <c r="K186" s="523">
        <v>0</v>
      </c>
      <c r="L186" s="523">
        <v>0</v>
      </c>
      <c r="M186" s="523">
        <v>0</v>
      </c>
      <c r="N186" s="523">
        <v>0</v>
      </c>
      <c r="O186" s="523">
        <v>31447</v>
      </c>
      <c r="P186" s="523">
        <v>8603</v>
      </c>
      <c r="Q186" s="523">
        <v>11385</v>
      </c>
      <c r="R186" s="523">
        <v>11146</v>
      </c>
      <c r="S186" s="523">
        <v>18484</v>
      </c>
      <c r="T186" s="523">
        <v>5444</v>
      </c>
      <c r="U186" s="523">
        <v>7996.5</v>
      </c>
      <c r="V186" s="523">
        <v>6460</v>
      </c>
      <c r="W186" s="523">
        <v>12985.5</v>
      </c>
      <c r="X186" s="523">
        <v>3683</v>
      </c>
      <c r="Y186" s="523">
        <v>7410.5</v>
      </c>
      <c r="Z186" s="523">
        <v>5695.5</v>
      </c>
      <c r="AA186" s="523">
        <v>17533</v>
      </c>
      <c r="AB186" s="523">
        <v>5490.5</v>
      </c>
      <c r="AC186" s="523">
        <v>8198</v>
      </c>
      <c r="AD186" s="523">
        <v>6582.5</v>
      </c>
      <c r="AE186" s="523">
        <v>20093</v>
      </c>
      <c r="AF186" s="523">
        <v>6631.5</v>
      </c>
      <c r="AG186" s="523">
        <v>8903.5</v>
      </c>
      <c r="AH186" s="523">
        <v>6370.5</v>
      </c>
      <c r="AI186" s="523">
        <v>20659.5</v>
      </c>
      <c r="AJ186" s="523">
        <v>7435.5</v>
      </c>
      <c r="AK186" s="523">
        <v>10238.5</v>
      </c>
      <c r="AL186" s="523">
        <v>10411</v>
      </c>
      <c r="AM186" s="523">
        <v>31675</v>
      </c>
      <c r="AN186" s="523">
        <v>11467</v>
      </c>
      <c r="AO186" s="523">
        <v>11762.1</v>
      </c>
      <c r="AP186" s="523">
        <v>12239</v>
      </c>
      <c r="AQ186" s="523">
        <f t="shared" ref="AQ186:BF186" si="1055">AP193/2</f>
        <v>34466.5</v>
      </c>
      <c r="AR186" s="523">
        <f t="shared" si="1055"/>
        <v>12005</v>
      </c>
      <c r="AS186" s="523">
        <f t="shared" si="1055"/>
        <v>14303.5</v>
      </c>
      <c r="AT186" s="523">
        <f t="shared" si="1055"/>
        <v>12204.5</v>
      </c>
      <c r="AU186" s="523">
        <f t="shared" si="1055"/>
        <v>32006</v>
      </c>
      <c r="AV186" s="523">
        <f t="shared" si="1055"/>
        <v>11989</v>
      </c>
      <c r="AW186" s="523">
        <f t="shared" si="1055"/>
        <v>14723.5</v>
      </c>
      <c r="AX186" s="523">
        <f t="shared" si="1055"/>
        <v>12846</v>
      </c>
      <c r="AY186" s="523">
        <f t="shared" si="1055"/>
        <v>31443</v>
      </c>
      <c r="AZ186" s="523">
        <f t="shared" si="1055"/>
        <v>10931</v>
      </c>
      <c r="BA186" s="523">
        <f t="shared" si="1055"/>
        <v>14087.5</v>
      </c>
      <c r="BB186" s="523">
        <f t="shared" si="1055"/>
        <v>12032.5</v>
      </c>
      <c r="BC186" s="523">
        <f t="shared" si="1055"/>
        <v>31710.5</v>
      </c>
      <c r="BD186" s="523">
        <f t="shared" si="1055"/>
        <v>12467.5</v>
      </c>
      <c r="BE186" s="523">
        <f t="shared" si="1055"/>
        <v>14600</v>
      </c>
      <c r="BF186" s="523">
        <f t="shared" si="1055"/>
        <v>11790</v>
      </c>
      <c r="BG186" s="523"/>
      <c r="BH186" s="523"/>
      <c r="BI186" s="523"/>
      <c r="BJ186" s="523"/>
      <c r="BK186" s="523"/>
      <c r="BL186" s="523"/>
      <c r="BM186" s="523"/>
      <c r="BN186" s="523"/>
      <c r="BO186" s="523"/>
      <c r="BP186" s="523"/>
      <c r="BQ186" s="523"/>
      <c r="BR186" s="523"/>
      <c r="BS186" s="523"/>
      <c r="BT186" s="523"/>
      <c r="BU186" s="523"/>
      <c r="BV186" s="523"/>
      <c r="BW186" s="523"/>
      <c r="BX186" s="523"/>
      <c r="BY186" s="523"/>
      <c r="BZ186" s="523"/>
      <c r="CA186" s="523"/>
      <c r="CB186" s="523"/>
      <c r="CC186" s="523"/>
      <c r="CD186" s="523"/>
      <c r="CE186" s="523"/>
      <c r="CF186" s="523"/>
      <c r="CG186" s="523"/>
      <c r="CH186" s="523"/>
      <c r="CI186" s="523"/>
      <c r="CJ186" s="523"/>
      <c r="CK186" s="523"/>
      <c r="CL186" s="523"/>
      <c r="CM186" s="523"/>
      <c r="CN186" s="523"/>
      <c r="CO186" s="523"/>
      <c r="CP186" s="523"/>
      <c r="CQ186" s="523"/>
      <c r="CR186" s="523"/>
      <c r="CS186" s="523"/>
      <c r="CT186" s="1133"/>
      <c r="CU186" s="524"/>
      <c r="CV186" s="524"/>
      <c r="CW186" s="525">
        <f>N186</f>
        <v>0</v>
      </c>
      <c r="CX186" s="525">
        <f>R186</f>
        <v>11146</v>
      </c>
      <c r="CY186" s="525">
        <f>V186</f>
        <v>6460</v>
      </c>
      <c r="CZ186" s="525">
        <f>Z186</f>
        <v>5695.5</v>
      </c>
      <c r="DA186" s="525">
        <f>AD186</f>
        <v>6582.5</v>
      </c>
      <c r="DB186" s="525">
        <f>AH186</f>
        <v>6370.5</v>
      </c>
      <c r="DC186" s="525">
        <f>+AL186</f>
        <v>10411</v>
      </c>
      <c r="DD186" s="525">
        <f>+AP186</f>
        <v>12239</v>
      </c>
      <c r="DE186" s="526"/>
      <c r="DF186" s="526"/>
      <c r="DG186" s="526"/>
      <c r="DH186" s="526"/>
      <c r="DI186" s="526"/>
      <c r="DJ186" s="521"/>
      <c r="DK186" s="521"/>
      <c r="DL186" s="521"/>
      <c r="DM186" s="521"/>
      <c r="DN186" s="521"/>
      <c r="DO186" s="521"/>
      <c r="DP186" s="521"/>
      <c r="DQ186" s="521"/>
      <c r="DR186" s="521"/>
      <c r="DS186" s="521"/>
      <c r="DT186" s="521"/>
      <c r="DU186" s="521"/>
      <c r="DV186" s="521"/>
      <c r="DW186" s="521"/>
      <c r="DY186" s="521"/>
      <c r="DZ186" s="521"/>
    </row>
    <row r="187" spans="1:130" s="302" customFormat="1" hidden="1">
      <c r="A187" s="527"/>
      <c r="B187" s="527"/>
      <c r="C187" s="528"/>
      <c r="D187" s="528"/>
      <c r="E187" s="528"/>
      <c r="F187" s="528"/>
      <c r="G187" s="529"/>
      <c r="H187" s="529"/>
      <c r="I187" s="529"/>
      <c r="J187" s="529"/>
      <c r="K187" s="529"/>
      <c r="L187" s="529"/>
      <c r="M187" s="529"/>
      <c r="N187" s="529"/>
      <c r="O187" s="529"/>
      <c r="P187" s="529"/>
      <c r="Q187" s="529"/>
      <c r="R187" s="357"/>
      <c r="S187" s="357"/>
      <c r="T187" s="357">
        <v>29790</v>
      </c>
      <c r="U187" s="357">
        <v>21161.5</v>
      </c>
      <c r="V187" s="357">
        <v>54955</v>
      </c>
      <c r="W187" s="357">
        <v>14341.5</v>
      </c>
      <c r="X187" s="357">
        <v>30167</v>
      </c>
      <c r="Y187" s="357">
        <v>21284.5</v>
      </c>
      <c r="Z187" s="357">
        <v>63125.5</v>
      </c>
      <c r="AA187" s="532">
        <v>18809</v>
      </c>
      <c r="AB187" s="532">
        <v>32333.5</v>
      </c>
      <c r="AC187" s="532">
        <v>24482</v>
      </c>
      <c r="AD187" s="532">
        <v>66088.5</v>
      </c>
      <c r="AE187" s="532">
        <v>21465</v>
      </c>
      <c r="AF187" s="532">
        <v>36382.5</v>
      </c>
      <c r="AG187" s="532">
        <v>24990.5</v>
      </c>
      <c r="AH187" s="532">
        <v>76187.5</v>
      </c>
      <c r="AI187" s="532">
        <v>24282.5</v>
      </c>
      <c r="AJ187" s="532">
        <v>39537.5</v>
      </c>
      <c r="AK187" s="532">
        <v>31165.5</v>
      </c>
      <c r="AL187" s="532">
        <v>83011</v>
      </c>
      <c r="AM187" s="532">
        <v>25312</v>
      </c>
      <c r="AN187" s="532">
        <v>41042</v>
      </c>
      <c r="AO187" s="532">
        <v>36483.9</v>
      </c>
      <c r="AP187" s="532">
        <v>96004</v>
      </c>
      <c r="AQ187" s="532">
        <f t="shared" ref="AQ187:BF187" si="1056">AQ188-AQ190</f>
        <v>24590.5</v>
      </c>
      <c r="AR187" s="532">
        <f t="shared" si="1056"/>
        <v>44514</v>
      </c>
      <c r="AS187" s="532">
        <f t="shared" si="1056"/>
        <v>39512.5</v>
      </c>
      <c r="AT187" s="532">
        <f t="shared" si="1056"/>
        <v>108220.5</v>
      </c>
      <c r="AU187" s="532">
        <f t="shared" si="1056"/>
        <v>32956</v>
      </c>
      <c r="AV187" s="532">
        <f t="shared" si="1056"/>
        <v>53064</v>
      </c>
      <c r="AW187" s="532">
        <f t="shared" si="1056"/>
        <v>43854.5</v>
      </c>
      <c r="AX187" s="532">
        <f t="shared" si="1056"/>
        <v>112676</v>
      </c>
      <c r="AY187" s="532">
        <f t="shared" si="1056"/>
        <v>30968</v>
      </c>
      <c r="AZ187" s="532">
        <f t="shared" si="1056"/>
        <v>55989</v>
      </c>
      <c r="BA187" s="532">
        <f t="shared" si="1056"/>
        <v>41710.5</v>
      </c>
      <c r="BB187" s="532">
        <f t="shared" si="1056"/>
        <v>113241.5</v>
      </c>
      <c r="BC187" s="532">
        <f t="shared" si="1056"/>
        <v>32299.5</v>
      </c>
      <c r="BD187" s="532">
        <f t="shared" si="1056"/>
        <v>49029.5</v>
      </c>
      <c r="BE187" s="532">
        <f t="shared" si="1056"/>
        <v>38006</v>
      </c>
      <c r="BF187" s="532">
        <f t="shared" si="1056"/>
        <v>20278.989375000001</v>
      </c>
      <c r="BG187" s="532"/>
      <c r="BH187" s="532"/>
      <c r="BI187" s="532"/>
      <c r="BJ187" s="532"/>
      <c r="BK187" s="532"/>
      <c r="BL187" s="532"/>
      <c r="BM187" s="532"/>
      <c r="BN187" s="532"/>
      <c r="BO187" s="532"/>
      <c r="BP187" s="532"/>
      <c r="BQ187" s="532"/>
      <c r="BR187" s="532"/>
      <c r="BS187" s="532"/>
      <c r="BT187" s="532"/>
      <c r="BU187" s="532"/>
      <c r="BV187" s="532"/>
      <c r="BW187" s="532"/>
      <c r="BX187" s="532"/>
      <c r="BY187" s="532"/>
      <c r="BZ187" s="532"/>
      <c r="CA187" s="532"/>
      <c r="CB187" s="532"/>
      <c r="CC187" s="532"/>
      <c r="CD187" s="532"/>
      <c r="CE187" s="532"/>
      <c r="CF187" s="532"/>
      <c r="CG187" s="532"/>
      <c r="CH187" s="532"/>
      <c r="CI187" s="532"/>
      <c r="CJ187" s="532"/>
      <c r="CK187" s="532"/>
      <c r="CL187" s="532"/>
      <c r="CM187" s="532"/>
      <c r="CN187" s="532"/>
      <c r="CO187" s="532"/>
      <c r="CP187" s="532"/>
      <c r="CQ187" s="532"/>
      <c r="CR187" s="532"/>
      <c r="CS187" s="532"/>
      <c r="CT187" s="1133"/>
      <c r="CU187" s="533"/>
      <c r="CV187" s="533"/>
      <c r="CW187" s="534">
        <f>N187</f>
        <v>0</v>
      </c>
      <c r="CX187" s="534">
        <f>R187</f>
        <v>0</v>
      </c>
      <c r="CY187" s="534">
        <f>V187</f>
        <v>54955</v>
      </c>
      <c r="CZ187" s="534">
        <f>Z187</f>
        <v>63125.5</v>
      </c>
      <c r="DA187" s="534">
        <f>AD187</f>
        <v>66088.5</v>
      </c>
      <c r="DB187" s="534">
        <f>AH187</f>
        <v>76187.5</v>
      </c>
      <c r="DC187" s="534">
        <f>+AL187</f>
        <v>83011</v>
      </c>
      <c r="DD187" s="534">
        <f>+AP187</f>
        <v>96004</v>
      </c>
      <c r="DE187" s="534"/>
      <c r="DF187" s="527"/>
      <c r="DG187" s="527"/>
      <c r="DH187" s="527"/>
      <c r="DI187" s="527"/>
      <c r="DJ187" s="527"/>
      <c r="DK187" s="527"/>
      <c r="DL187" s="527"/>
      <c r="DM187" s="527"/>
      <c r="DN187" s="527"/>
      <c r="DO187" s="527"/>
      <c r="DP187" s="527"/>
      <c r="DQ187" s="527"/>
      <c r="DR187" s="527"/>
      <c r="DS187" s="527"/>
      <c r="DT187" s="527"/>
      <c r="DU187" s="527"/>
      <c r="DV187" s="527"/>
      <c r="DW187" s="527"/>
      <c r="DY187" s="527"/>
      <c r="DZ187" s="527"/>
    </row>
    <row r="188" spans="1:130" s="302" customFormat="1" hidden="1">
      <c r="A188" s="485" t="s">
        <v>654</v>
      </c>
      <c r="B188" s="485"/>
      <c r="C188" s="486"/>
      <c r="D188" s="486"/>
      <c r="E188" s="486"/>
      <c r="F188" s="486"/>
      <c r="G188" s="489"/>
      <c r="H188" s="489"/>
      <c r="I188" s="489"/>
      <c r="J188" s="489"/>
      <c r="K188" s="489"/>
      <c r="L188" s="487">
        <v>23901</v>
      </c>
      <c r="M188" s="487">
        <v>22979</v>
      </c>
      <c r="N188" s="487">
        <v>60938</v>
      </c>
      <c r="O188" s="487">
        <v>31135</v>
      </c>
      <c r="P188" s="487">
        <v>30516</v>
      </c>
      <c r="Q188" s="487">
        <v>26465</v>
      </c>
      <c r="R188" s="487">
        <v>65131</v>
      </c>
      <c r="S188" s="487">
        <v>35436</v>
      </c>
      <c r="T188" s="487">
        <v>35234</v>
      </c>
      <c r="U188" s="487">
        <v>29158</v>
      </c>
      <c r="V188" s="487">
        <v>61415</v>
      </c>
      <c r="W188" s="487">
        <v>27327</v>
      </c>
      <c r="X188" s="487">
        <v>33850</v>
      </c>
      <c r="Y188" s="487">
        <v>28695</v>
      </c>
      <c r="Z188" s="487">
        <v>68821</v>
      </c>
      <c r="AA188" s="487">
        <v>36342</v>
      </c>
      <c r="AB188" s="487">
        <v>37824</v>
      </c>
      <c r="AC188" s="487">
        <v>32680</v>
      </c>
      <c r="AD188" s="487">
        <v>72671</v>
      </c>
      <c r="AE188" s="487">
        <v>41558</v>
      </c>
      <c r="AF188" s="487">
        <v>43014</v>
      </c>
      <c r="AG188" s="487">
        <v>33894</v>
      </c>
      <c r="AH188" s="517">
        <v>82558</v>
      </c>
      <c r="AI188" s="517">
        <v>44942</v>
      </c>
      <c r="AJ188" s="517">
        <v>46973</v>
      </c>
      <c r="AK188" s="517">
        <v>41404</v>
      </c>
      <c r="AL188" s="517">
        <v>93422</v>
      </c>
      <c r="AM188" s="517">
        <v>56987</v>
      </c>
      <c r="AN188" s="517">
        <v>52509</v>
      </c>
      <c r="AO188" s="517">
        <v>48246</v>
      </c>
      <c r="AP188" s="517">
        <v>108243</v>
      </c>
      <c r="AQ188" s="517">
        <v>59057</v>
      </c>
      <c r="AR188" s="517">
        <v>56519</v>
      </c>
      <c r="AS188" s="517">
        <v>53816</v>
      </c>
      <c r="AT188" s="517">
        <v>120425</v>
      </c>
      <c r="AU188" s="517">
        <v>64962</v>
      </c>
      <c r="AV188" s="517">
        <v>65053</v>
      </c>
      <c r="AW188" s="517">
        <v>58578</v>
      </c>
      <c r="AX188" s="517">
        <v>125522</v>
      </c>
      <c r="AY188" s="517">
        <v>62411</v>
      </c>
      <c r="AZ188" s="517">
        <v>66920</v>
      </c>
      <c r="BA188" s="517">
        <v>55798</v>
      </c>
      <c r="BB188" s="517">
        <v>125274</v>
      </c>
      <c r="BC188" s="517">
        <v>64010</v>
      </c>
      <c r="BD188" s="517">
        <v>61497</v>
      </c>
      <c r="BE188" s="517">
        <v>52606</v>
      </c>
      <c r="BF188" s="489">
        <f>BF41/8+BF190</f>
        <v>32068.989375000001</v>
      </c>
      <c r="BG188" s="489"/>
      <c r="BH188" s="489"/>
      <c r="BI188" s="489"/>
      <c r="BJ188" s="489"/>
      <c r="BK188" s="489"/>
      <c r="BL188" s="489"/>
      <c r="BM188" s="489"/>
      <c r="BN188" s="489"/>
      <c r="BO188" s="489"/>
      <c r="BP188" s="489"/>
      <c r="BQ188" s="489"/>
      <c r="BR188" s="489"/>
      <c r="BS188" s="489"/>
      <c r="BT188" s="489"/>
      <c r="BU188" s="489"/>
      <c r="BV188" s="489"/>
      <c r="BW188" s="489"/>
      <c r="BX188" s="489"/>
      <c r="BY188" s="489"/>
      <c r="BZ188" s="489"/>
      <c r="CA188" s="489"/>
      <c r="CB188" s="489"/>
      <c r="CC188" s="489"/>
      <c r="CD188" s="489"/>
      <c r="CE188" s="489"/>
      <c r="CF188" s="489"/>
      <c r="CG188" s="489"/>
      <c r="CH188" s="489"/>
      <c r="CI188" s="489"/>
      <c r="CJ188" s="489"/>
      <c r="CK188" s="489"/>
      <c r="CL188" s="489"/>
      <c r="CM188" s="489"/>
      <c r="CN188" s="489"/>
      <c r="CO188" s="489"/>
      <c r="CP188" s="489"/>
      <c r="CQ188" s="489"/>
      <c r="CR188" s="489"/>
      <c r="CS188" s="489"/>
      <c r="CT188" s="1139"/>
      <c r="CU188" s="490"/>
      <c r="CV188" s="490"/>
      <c r="CW188" s="495">
        <f>N188</f>
        <v>60938</v>
      </c>
      <c r="CX188" s="495">
        <f>R188</f>
        <v>65131</v>
      </c>
      <c r="CY188" s="495">
        <f>V188</f>
        <v>61415</v>
      </c>
      <c r="CZ188" s="495">
        <f>Z188</f>
        <v>68821</v>
      </c>
      <c r="DA188" s="495">
        <f>AD188</f>
        <v>72671</v>
      </c>
      <c r="DB188" s="495">
        <f>AH188</f>
        <v>82558</v>
      </c>
      <c r="DC188" s="495">
        <f>+AL188</f>
        <v>93422</v>
      </c>
      <c r="DD188" s="495">
        <f>+AP188</f>
        <v>108243</v>
      </c>
      <c r="DE188" s="495">
        <f>+AT188</f>
        <v>120425</v>
      </c>
      <c r="DF188" s="495">
        <f>+AX188</f>
        <v>125522</v>
      </c>
      <c r="DG188" s="495">
        <f>+BB188</f>
        <v>125274</v>
      </c>
      <c r="DH188" s="495">
        <f>+BF188</f>
        <v>32068.989375000001</v>
      </c>
      <c r="DI188" s="495">
        <f>+BJ188</f>
        <v>0</v>
      </c>
      <c r="DJ188" s="495">
        <f>+BN188</f>
        <v>0</v>
      </c>
      <c r="DK188" s="495">
        <f>+BR188</f>
        <v>0</v>
      </c>
      <c r="DL188" s="518">
        <f t="shared" ref="DL188:DR188" si="1057">DL189*DL41</f>
        <v>0</v>
      </c>
      <c r="DM188" s="518">
        <f t="shared" si="1057"/>
        <v>0</v>
      </c>
      <c r="DN188" s="518">
        <f t="shared" si="1057"/>
        <v>0</v>
      </c>
      <c r="DO188" s="518">
        <f t="shared" ref="DO188:DP188" si="1058">DO189*DO41</f>
        <v>0</v>
      </c>
      <c r="DP188" s="518">
        <f t="shared" si="1058"/>
        <v>0</v>
      </c>
      <c r="DQ188" s="518">
        <f t="shared" ref="DQ188" si="1059">DQ189*DQ41</f>
        <v>0</v>
      </c>
      <c r="DR188" s="518">
        <f t="shared" si="1057"/>
        <v>0</v>
      </c>
      <c r="DS188" s="518">
        <f t="shared" ref="DS188:DU188" si="1060">DS189*DS41</f>
        <v>0</v>
      </c>
      <c r="DT188" s="518">
        <f t="shared" si="1060"/>
        <v>0</v>
      </c>
      <c r="DU188" s="518">
        <f t="shared" si="1060"/>
        <v>0</v>
      </c>
      <c r="DV188" s="485"/>
      <c r="DW188" s="485"/>
      <c r="DY188" s="518">
        <v>0</v>
      </c>
      <c r="DZ188" s="518">
        <v>0</v>
      </c>
    </row>
    <row r="189" spans="1:130" s="302" customFormat="1" hidden="1">
      <c r="A189" s="12" t="s">
        <v>650</v>
      </c>
      <c r="B189" s="12"/>
      <c r="C189" s="519"/>
      <c r="D189" s="519"/>
      <c r="E189" s="519"/>
      <c r="F189" s="519"/>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c r="BN189" s="12"/>
      <c r="BO189" s="12"/>
      <c r="BP189" s="12"/>
      <c r="BQ189" s="12"/>
      <c r="BR189" s="12"/>
      <c r="BS189" s="12"/>
      <c r="BT189" s="12"/>
      <c r="BU189" s="12"/>
      <c r="BV189" s="12"/>
      <c r="BW189" s="12"/>
      <c r="BX189" s="12"/>
      <c r="BY189" s="12"/>
      <c r="BZ189" s="12"/>
      <c r="CA189" s="12"/>
      <c r="CB189" s="12"/>
      <c r="CC189" s="12"/>
      <c r="CD189" s="12"/>
      <c r="CE189" s="12"/>
      <c r="CF189" s="12"/>
      <c r="CG189" s="12"/>
      <c r="CH189" s="12"/>
      <c r="CI189" s="12"/>
      <c r="CJ189" s="12"/>
      <c r="CK189" s="12"/>
      <c r="CL189" s="12"/>
      <c r="CM189" s="12"/>
      <c r="CN189" s="12"/>
      <c r="CO189" s="12"/>
      <c r="CP189" s="12"/>
      <c r="CQ189" s="12"/>
      <c r="CR189" s="12"/>
      <c r="CS189" s="12"/>
      <c r="CT189" s="1140"/>
      <c r="CU189" s="12"/>
      <c r="CV189" s="12"/>
      <c r="CW189" s="12">
        <f t="shared" ref="CW189:DD189" si="1061">CW188/CW40</f>
        <v>0.23241061397130583</v>
      </c>
      <c r="CX189" s="12">
        <f t="shared" si="1061"/>
        <v>0.19334320970579053</v>
      </c>
      <c r="CY189" s="12">
        <f t="shared" si="1061"/>
        <v>0.16955788466954569</v>
      </c>
      <c r="CZ189" s="12">
        <f t="shared" si="1061"/>
        <v>0.20115521157286581</v>
      </c>
      <c r="DA189" s="12">
        <f t="shared" si="1061"/>
        <v>0.17083181181184226</v>
      </c>
      <c r="DB189" s="12">
        <f t="shared" si="1061"/>
        <v>0.17961588625005559</v>
      </c>
      <c r="DC189" s="12">
        <f t="shared" si="1061"/>
        <v>0.17075787516745433</v>
      </c>
      <c r="DD189" s="12">
        <f t="shared" si="1061"/>
        <v>0.17585603997845253</v>
      </c>
      <c r="DE189" s="12">
        <f t="shared" ref="DE189:DK189" si="1062">DE188/DE41</f>
        <v>0.24509111448657878</v>
      </c>
      <c r="DF189" s="12">
        <f t="shared" si="1062"/>
        <v>0.23715227699948221</v>
      </c>
      <c r="DG189" s="12">
        <f t="shared" si="1062"/>
        <v>0.2516058236080202</v>
      </c>
      <c r="DH189" s="12">
        <f t="shared" si="1062"/>
        <v>6.5627403836733308E-2</v>
      </c>
      <c r="DI189" s="12">
        <f t="shared" si="1062"/>
        <v>0</v>
      </c>
      <c r="DJ189" s="12">
        <f t="shared" si="1062"/>
        <v>0</v>
      </c>
      <c r="DK189" s="12">
        <f t="shared" si="1062"/>
        <v>0</v>
      </c>
      <c r="DL189" s="520">
        <f t="shared" ref="DL189:DR189" si="1063">+DK189</f>
        <v>0</v>
      </c>
      <c r="DM189" s="520">
        <f t="shared" si="1063"/>
        <v>0</v>
      </c>
      <c r="DN189" s="520">
        <f t="shared" si="1063"/>
        <v>0</v>
      </c>
      <c r="DO189" s="520">
        <f t="shared" si="1063"/>
        <v>0</v>
      </c>
      <c r="DP189" s="520">
        <f t="shared" si="1063"/>
        <v>0</v>
      </c>
      <c r="DQ189" s="520">
        <f t="shared" si="1063"/>
        <v>0</v>
      </c>
      <c r="DR189" s="520">
        <f t="shared" si="1063"/>
        <v>0</v>
      </c>
      <c r="DS189" s="520">
        <f t="shared" ref="DS189" si="1064">+DR189</f>
        <v>0</v>
      </c>
      <c r="DT189" s="520">
        <f t="shared" ref="DT189" si="1065">+DS189</f>
        <v>0</v>
      </c>
      <c r="DU189" s="520">
        <f t="shared" ref="DU189" si="1066">+DT189</f>
        <v>0</v>
      </c>
      <c r="DV189" s="12"/>
      <c r="DW189" s="12"/>
      <c r="DY189" s="520">
        <v>0</v>
      </c>
      <c r="DZ189" s="520">
        <v>0</v>
      </c>
    </row>
    <row r="190" spans="1:130" s="302" customFormat="1" hidden="1">
      <c r="A190" s="540"/>
      <c r="B190" s="540"/>
      <c r="C190" s="541"/>
      <c r="D190" s="541"/>
      <c r="E190" s="541"/>
      <c r="F190" s="541"/>
      <c r="G190" s="542"/>
      <c r="H190" s="542"/>
      <c r="I190" s="542"/>
      <c r="J190" s="542"/>
      <c r="K190" s="542"/>
      <c r="L190" s="542"/>
      <c r="M190" s="542"/>
      <c r="N190" s="542"/>
      <c r="O190" s="542"/>
      <c r="P190" s="542"/>
      <c r="Q190" s="542"/>
      <c r="R190" s="542"/>
      <c r="S190" s="523">
        <v>18484</v>
      </c>
      <c r="T190" s="523">
        <v>5444</v>
      </c>
      <c r="U190" s="523">
        <v>7996.5</v>
      </c>
      <c r="V190" s="523">
        <v>6460</v>
      </c>
      <c r="W190" s="523">
        <v>12985.5</v>
      </c>
      <c r="X190" s="523">
        <v>3683</v>
      </c>
      <c r="Y190" s="523">
        <v>7410.5</v>
      </c>
      <c r="Z190" s="523">
        <v>5695.5</v>
      </c>
      <c r="AA190" s="523">
        <v>17533</v>
      </c>
      <c r="AB190" s="523">
        <v>5490.5</v>
      </c>
      <c r="AC190" s="523">
        <v>8198</v>
      </c>
      <c r="AD190" s="523">
        <v>6582.5</v>
      </c>
      <c r="AE190" s="523">
        <v>20093</v>
      </c>
      <c r="AF190" s="523">
        <v>6631.5</v>
      </c>
      <c r="AG190" s="523">
        <v>8903.5</v>
      </c>
      <c r="AH190" s="523">
        <v>6370.5</v>
      </c>
      <c r="AI190" s="523">
        <v>20659.5</v>
      </c>
      <c r="AJ190" s="523">
        <v>7435.5</v>
      </c>
      <c r="AK190" s="523">
        <v>10238.5</v>
      </c>
      <c r="AL190" s="523">
        <v>10411</v>
      </c>
      <c r="AM190" s="523">
        <v>31675</v>
      </c>
      <c r="AN190" s="523">
        <v>11467</v>
      </c>
      <c r="AO190" s="523">
        <v>11762.1</v>
      </c>
      <c r="AP190" s="523">
        <v>12239</v>
      </c>
      <c r="AQ190" s="523">
        <f t="shared" ref="AQ190:BF190" si="1067">AP193/2</f>
        <v>34466.5</v>
      </c>
      <c r="AR190" s="523">
        <f t="shared" si="1067"/>
        <v>12005</v>
      </c>
      <c r="AS190" s="523">
        <f t="shared" si="1067"/>
        <v>14303.5</v>
      </c>
      <c r="AT190" s="523">
        <f t="shared" si="1067"/>
        <v>12204.5</v>
      </c>
      <c r="AU190" s="523">
        <f t="shared" si="1067"/>
        <v>32006</v>
      </c>
      <c r="AV190" s="523">
        <f t="shared" si="1067"/>
        <v>11989</v>
      </c>
      <c r="AW190" s="523">
        <f t="shared" si="1067"/>
        <v>14723.5</v>
      </c>
      <c r="AX190" s="523">
        <f t="shared" si="1067"/>
        <v>12846</v>
      </c>
      <c r="AY190" s="523">
        <f t="shared" si="1067"/>
        <v>31443</v>
      </c>
      <c r="AZ190" s="523">
        <f t="shared" si="1067"/>
        <v>10931</v>
      </c>
      <c r="BA190" s="523">
        <f t="shared" si="1067"/>
        <v>14087.5</v>
      </c>
      <c r="BB190" s="523">
        <f t="shared" si="1067"/>
        <v>12032.5</v>
      </c>
      <c r="BC190" s="523">
        <f t="shared" si="1067"/>
        <v>31710.5</v>
      </c>
      <c r="BD190" s="523">
        <f t="shared" si="1067"/>
        <v>12467.5</v>
      </c>
      <c r="BE190" s="523">
        <f t="shared" si="1067"/>
        <v>14600</v>
      </c>
      <c r="BF190" s="523">
        <f t="shared" si="1067"/>
        <v>11790</v>
      </c>
      <c r="BG190" s="523"/>
      <c r="BH190" s="523"/>
      <c r="BI190" s="523"/>
      <c r="BJ190" s="523"/>
      <c r="BK190" s="523"/>
      <c r="BL190" s="523"/>
      <c r="BM190" s="523"/>
      <c r="BN190" s="523"/>
      <c r="BO190" s="523"/>
      <c r="BP190" s="523"/>
      <c r="BQ190" s="523"/>
      <c r="BR190" s="523"/>
      <c r="BS190" s="523"/>
      <c r="BT190" s="523"/>
      <c r="BU190" s="523"/>
      <c r="BV190" s="523"/>
      <c r="BW190" s="523"/>
      <c r="BX190" s="523"/>
      <c r="BY190" s="523"/>
      <c r="BZ190" s="523"/>
      <c r="CA190" s="523"/>
      <c r="CB190" s="523"/>
      <c r="CC190" s="523"/>
      <c r="CD190" s="523"/>
      <c r="CE190" s="523"/>
      <c r="CF190" s="523"/>
      <c r="CG190" s="523"/>
      <c r="CH190" s="523"/>
      <c r="CI190" s="523"/>
      <c r="CJ190" s="523"/>
      <c r="CK190" s="523"/>
      <c r="CL190" s="523"/>
      <c r="CM190" s="523"/>
      <c r="CN190" s="523"/>
      <c r="CO190" s="523"/>
      <c r="CP190" s="523"/>
      <c r="CQ190" s="523"/>
      <c r="CR190" s="523"/>
      <c r="CS190" s="523"/>
      <c r="CT190" s="1136"/>
      <c r="CU190" s="543"/>
      <c r="CV190" s="543"/>
      <c r="CW190" s="525">
        <f>N190</f>
        <v>0</v>
      </c>
      <c r="CX190" s="544">
        <f>R190</f>
        <v>0</v>
      </c>
      <c r="CY190" s="525">
        <f>V190</f>
        <v>6460</v>
      </c>
      <c r="CZ190" s="525">
        <f>Z190</f>
        <v>5695.5</v>
      </c>
      <c r="DA190" s="525">
        <f>AD190</f>
        <v>6582.5</v>
      </c>
      <c r="DB190" s="525">
        <f>AH190</f>
        <v>6370.5</v>
      </c>
      <c r="DC190" s="525">
        <f>+AL190</f>
        <v>10411</v>
      </c>
      <c r="DD190" s="525">
        <f>+AP190</f>
        <v>12239</v>
      </c>
      <c r="DE190" s="526"/>
      <c r="DF190" s="526"/>
      <c r="DG190" s="526"/>
      <c r="DH190" s="526"/>
      <c r="DI190" s="526"/>
      <c r="DJ190" s="540"/>
      <c r="DK190" s="540"/>
      <c r="DL190" s="540"/>
      <c r="DM190" s="540"/>
      <c r="DN190" s="540"/>
      <c r="DO190" s="540"/>
      <c r="DP190" s="540"/>
      <c r="DQ190" s="540"/>
      <c r="DR190" s="540"/>
      <c r="DS190" s="540"/>
      <c r="DT190" s="540"/>
      <c r="DU190" s="540"/>
      <c r="DV190" s="540"/>
      <c r="DW190" s="540"/>
      <c r="DY190" s="540"/>
      <c r="DZ190" s="540"/>
    </row>
    <row r="191" spans="1:130" s="302" customFormat="1" hidden="1">
      <c r="A191" s="485" t="s">
        <v>655</v>
      </c>
      <c r="B191" s="485"/>
      <c r="C191" s="536"/>
      <c r="D191" s="536"/>
      <c r="E191" s="536"/>
      <c r="F191" s="536"/>
      <c r="G191" s="545"/>
      <c r="H191" s="545"/>
      <c r="I191" s="545"/>
      <c r="J191" s="545"/>
      <c r="K191" s="545"/>
      <c r="L191" s="537">
        <v>16089</v>
      </c>
      <c r="M191" s="537">
        <v>19452</v>
      </c>
      <c r="N191" s="537">
        <v>28091</v>
      </c>
      <c r="O191" s="537">
        <v>11394</v>
      </c>
      <c r="P191" s="537">
        <v>12401</v>
      </c>
      <c r="Q191" s="537">
        <v>10780</v>
      </c>
      <c r="R191" s="537">
        <v>37700</v>
      </c>
      <c r="S191" s="537">
        <v>16240</v>
      </c>
      <c r="T191" s="537">
        <v>16004</v>
      </c>
      <c r="U191" s="537">
        <v>13222</v>
      </c>
      <c r="V191" s="537">
        <v>34570</v>
      </c>
      <c r="W191" s="537">
        <v>10907</v>
      </c>
      <c r="X191" s="537">
        <v>14304</v>
      </c>
      <c r="Y191" s="537">
        <v>12471</v>
      </c>
      <c r="Z191" s="537">
        <v>34991</v>
      </c>
      <c r="AA191" s="537">
        <v>15546</v>
      </c>
      <c r="AB191" s="537">
        <v>17425</v>
      </c>
      <c r="AC191" s="537">
        <v>14804</v>
      </c>
      <c r="AD191" s="537">
        <v>41039</v>
      </c>
      <c r="AE191" s="537">
        <v>19460</v>
      </c>
      <c r="AF191" s="537">
        <v>18763</v>
      </c>
      <c r="AG191" s="537">
        <v>14557</v>
      </c>
      <c r="AH191" s="546">
        <v>42060</v>
      </c>
      <c r="AI191" s="546">
        <v>19966</v>
      </c>
      <c r="AJ191" s="546">
        <v>21782</v>
      </c>
      <c r="AK191" s="546">
        <v>19649</v>
      </c>
      <c r="AL191" s="546">
        <v>57032</v>
      </c>
      <c r="AM191" s="546">
        <v>30038</v>
      </c>
      <c r="AN191" s="546">
        <v>26138</v>
      </c>
      <c r="AO191" s="546">
        <v>24403</v>
      </c>
      <c r="AP191" s="546">
        <v>66052</v>
      </c>
      <c r="AQ191" s="546">
        <v>31494</v>
      </c>
      <c r="AR191" s="546">
        <v>28465</v>
      </c>
      <c r="AS191" s="546">
        <v>25915</v>
      </c>
      <c r="AT191" s="546">
        <v>61051</v>
      </c>
      <c r="AU191" s="546">
        <v>29354</v>
      </c>
      <c r="AV191" s="546">
        <v>30754</v>
      </c>
      <c r="AW191" s="546">
        <v>27437</v>
      </c>
      <c r="AX191" s="546">
        <v>62835</v>
      </c>
      <c r="AY191" s="546">
        <v>27466</v>
      </c>
      <c r="AZ191" s="546">
        <v>29739</v>
      </c>
      <c r="BA191" s="546">
        <v>25286</v>
      </c>
      <c r="BB191" s="546">
        <v>62580</v>
      </c>
      <c r="BC191" s="546">
        <v>29722</v>
      </c>
      <c r="BD191" s="546">
        <v>29980</v>
      </c>
      <c r="BE191" s="546">
        <v>28181</v>
      </c>
      <c r="BF191" s="545">
        <f>BF41/8</f>
        <v>20278.989375000001</v>
      </c>
      <c r="BG191" s="545"/>
      <c r="BH191" s="545"/>
      <c r="BI191" s="545"/>
      <c r="BJ191" s="545"/>
      <c r="BK191" s="545"/>
      <c r="BL191" s="545"/>
      <c r="BM191" s="545"/>
      <c r="BN191" s="545"/>
      <c r="BO191" s="545"/>
      <c r="BP191" s="545"/>
      <c r="BQ191" s="545"/>
      <c r="BR191" s="545"/>
      <c r="BS191" s="545"/>
      <c r="BT191" s="545"/>
      <c r="BU191" s="545"/>
      <c r="BV191" s="545"/>
      <c r="BW191" s="545"/>
      <c r="BX191" s="545"/>
      <c r="BY191" s="545"/>
      <c r="BZ191" s="545"/>
      <c r="CA191" s="545"/>
      <c r="CB191" s="545"/>
      <c r="CC191" s="545"/>
      <c r="CD191" s="545"/>
      <c r="CE191" s="545"/>
      <c r="CF191" s="545"/>
      <c r="CG191" s="545"/>
      <c r="CH191" s="545"/>
      <c r="CI191" s="545"/>
      <c r="CJ191" s="545"/>
      <c r="CK191" s="545"/>
      <c r="CL191" s="545"/>
      <c r="CM191" s="545"/>
      <c r="CN191" s="545"/>
      <c r="CO191" s="545"/>
      <c r="CP191" s="545"/>
      <c r="CQ191" s="545"/>
      <c r="CR191" s="545"/>
      <c r="CS191" s="545"/>
      <c r="CT191" s="1136"/>
      <c r="CU191" s="490"/>
      <c r="CV191" s="490"/>
      <c r="CW191" s="495">
        <f>N191</f>
        <v>28091</v>
      </c>
      <c r="CX191" s="495">
        <f>R191</f>
        <v>37700</v>
      </c>
      <c r="CY191" s="495">
        <f>V191</f>
        <v>34570</v>
      </c>
      <c r="CZ191" s="495">
        <f>Z191</f>
        <v>34991</v>
      </c>
      <c r="DA191" s="495">
        <f>AD191</f>
        <v>41039</v>
      </c>
      <c r="DB191" s="495">
        <f>AH191</f>
        <v>42060</v>
      </c>
      <c r="DC191" s="495">
        <f>+AL191</f>
        <v>57032</v>
      </c>
      <c r="DD191" s="495">
        <f>+AP191</f>
        <v>66052</v>
      </c>
      <c r="DE191" s="495">
        <f>+AT191</f>
        <v>61051</v>
      </c>
      <c r="DF191" s="495">
        <f>+AX191</f>
        <v>62835</v>
      </c>
      <c r="DG191" s="495">
        <f>+BB191</f>
        <v>62580</v>
      </c>
      <c r="DH191" s="495">
        <f>+BF191</f>
        <v>20278.989375000001</v>
      </c>
      <c r="DI191" s="495">
        <f>+BJ191</f>
        <v>0</v>
      </c>
      <c r="DJ191" s="495">
        <f>+BN191</f>
        <v>0</v>
      </c>
      <c r="DK191" s="495">
        <f>+BR191</f>
        <v>0</v>
      </c>
      <c r="DL191" s="518">
        <f t="shared" ref="DL191:DR191" si="1068">DL192*DL41</f>
        <v>0</v>
      </c>
      <c r="DM191" s="518">
        <f t="shared" si="1068"/>
        <v>0</v>
      </c>
      <c r="DN191" s="518">
        <f t="shared" si="1068"/>
        <v>0</v>
      </c>
      <c r="DO191" s="518">
        <f t="shared" ref="DO191:DP191" si="1069">DO192*DO41</f>
        <v>0</v>
      </c>
      <c r="DP191" s="518">
        <f t="shared" si="1069"/>
        <v>0</v>
      </c>
      <c r="DQ191" s="518">
        <f t="shared" ref="DQ191" si="1070">DQ192*DQ41</f>
        <v>0</v>
      </c>
      <c r="DR191" s="518">
        <f t="shared" si="1068"/>
        <v>0</v>
      </c>
      <c r="DS191" s="518">
        <f t="shared" ref="DS191:DU191" si="1071">DS192*DS41</f>
        <v>0</v>
      </c>
      <c r="DT191" s="518">
        <f t="shared" si="1071"/>
        <v>0</v>
      </c>
      <c r="DU191" s="518">
        <f t="shared" si="1071"/>
        <v>0</v>
      </c>
      <c r="DV191" s="485"/>
      <c r="DW191" s="485"/>
      <c r="DY191" s="518">
        <v>0</v>
      </c>
      <c r="DZ191" s="518">
        <v>0</v>
      </c>
    </row>
    <row r="192" spans="1:130" s="302" customFormat="1" hidden="1">
      <c r="A192" s="12"/>
      <c r="B192" s="14"/>
      <c r="C192" s="539"/>
      <c r="D192" s="539"/>
      <c r="E192" s="539"/>
      <c r="F192" s="539"/>
      <c r="G192" s="14"/>
      <c r="H192" s="14"/>
      <c r="I192" s="14"/>
      <c r="J192" s="14"/>
      <c r="K192" s="14"/>
      <c r="L192" s="14"/>
      <c r="M192" s="14"/>
      <c r="N192" s="14"/>
      <c r="O192" s="14"/>
      <c r="P192" s="14"/>
      <c r="Q192" s="14"/>
      <c r="R192" s="14"/>
      <c r="S192" s="14"/>
      <c r="T192" s="14"/>
      <c r="U192" s="14"/>
      <c r="V192" s="14"/>
      <c r="W192" s="14"/>
      <c r="X192" s="14"/>
      <c r="Y192" s="539"/>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c r="BC192" s="14"/>
      <c r="BD192" s="14"/>
      <c r="BE192" s="14"/>
      <c r="BF192" s="14"/>
      <c r="BG192" s="14"/>
      <c r="BH192" s="14"/>
      <c r="BI192" s="14"/>
      <c r="BJ192" s="14"/>
      <c r="BK192" s="14"/>
      <c r="BL192" s="14"/>
      <c r="BM192" s="14"/>
      <c r="BN192" s="14"/>
      <c r="BO192" s="14"/>
      <c r="BP192" s="14"/>
      <c r="BQ192" s="14"/>
      <c r="BR192" s="14"/>
      <c r="BS192" s="14"/>
      <c r="BT192" s="14"/>
      <c r="BU192" s="14"/>
      <c r="BV192" s="14"/>
      <c r="BW192" s="14"/>
      <c r="BX192" s="14"/>
      <c r="BY192" s="14"/>
      <c r="BZ192" s="14"/>
      <c r="CA192" s="14"/>
      <c r="CB192" s="14"/>
      <c r="CC192" s="14"/>
      <c r="CD192" s="14"/>
      <c r="CE192" s="14"/>
      <c r="CF192" s="14"/>
      <c r="CG192" s="14"/>
      <c r="CH192" s="14"/>
      <c r="CI192" s="14"/>
      <c r="CJ192" s="14"/>
      <c r="CK192" s="14"/>
      <c r="CL192" s="14"/>
      <c r="CM192" s="14"/>
      <c r="CN192" s="14"/>
      <c r="CO192" s="14"/>
      <c r="CP192" s="14"/>
      <c r="CQ192" s="14"/>
      <c r="CR192" s="14"/>
      <c r="CS192" s="14"/>
      <c r="CT192" s="1133"/>
      <c r="CU192" s="14"/>
      <c r="CV192" s="14"/>
      <c r="CW192" s="14">
        <f t="shared" ref="CW192:DD192" si="1072">CW191/CW40</f>
        <v>0.10713588494975142</v>
      </c>
      <c r="CX192" s="14">
        <f t="shared" si="1072"/>
        <v>0.11191351285729226</v>
      </c>
      <c r="CY192" s="14">
        <f t="shared" si="1072"/>
        <v>9.5442743190201004E-2</v>
      </c>
      <c r="CZ192" s="14">
        <f t="shared" si="1072"/>
        <v>0.10227433498708458</v>
      </c>
      <c r="DA192" s="14">
        <f t="shared" si="1072"/>
        <v>9.6472688210513052E-2</v>
      </c>
      <c r="DB192" s="14">
        <f t="shared" si="1072"/>
        <v>9.1507112280788519E-2</v>
      </c>
      <c r="DC192" s="14">
        <f t="shared" si="1072"/>
        <v>0.10424378772184556</v>
      </c>
      <c r="DD192" s="14">
        <f t="shared" si="1072"/>
        <v>0.10731080210874372</v>
      </c>
      <c r="DE192" s="14">
        <f t="shared" ref="DE192:DK192" si="1073">DE191/DE41</f>
        <v>0.1242520874446346</v>
      </c>
      <c r="DF192" s="14">
        <f t="shared" si="1073"/>
        <v>0.11871594879991128</v>
      </c>
      <c r="DG192" s="14">
        <f t="shared" si="1073"/>
        <v>0.1256884304914819</v>
      </c>
      <c r="DH192" s="14">
        <f t="shared" si="1073"/>
        <v>4.1499824317864059E-2</v>
      </c>
      <c r="DI192" s="14">
        <f t="shared" si="1073"/>
        <v>0</v>
      </c>
      <c r="DJ192" s="14">
        <f t="shared" si="1073"/>
        <v>0</v>
      </c>
      <c r="DK192" s="14">
        <f t="shared" si="1073"/>
        <v>0</v>
      </c>
      <c r="DL192" s="520">
        <f t="shared" ref="DL192:DR192" si="1074">+DK192</f>
        <v>0</v>
      </c>
      <c r="DM192" s="520">
        <f t="shared" si="1074"/>
        <v>0</v>
      </c>
      <c r="DN192" s="520">
        <f t="shared" si="1074"/>
        <v>0</v>
      </c>
      <c r="DO192" s="520">
        <f t="shared" si="1074"/>
        <v>0</v>
      </c>
      <c r="DP192" s="520">
        <f t="shared" si="1074"/>
        <v>0</v>
      </c>
      <c r="DQ192" s="520">
        <f t="shared" si="1074"/>
        <v>0</v>
      </c>
      <c r="DR192" s="520">
        <f t="shared" si="1074"/>
        <v>0</v>
      </c>
      <c r="DS192" s="520">
        <f t="shared" ref="DS192" si="1075">+DR192</f>
        <v>0</v>
      </c>
      <c r="DT192" s="520">
        <f t="shared" ref="DT192" si="1076">+DS192</f>
        <v>0</v>
      </c>
      <c r="DU192" s="520">
        <f t="shared" ref="DU192" si="1077">+DT192</f>
        <v>0</v>
      </c>
      <c r="DV192" s="14"/>
      <c r="DW192" s="14"/>
      <c r="DY192" s="520">
        <v>0</v>
      </c>
      <c r="DZ192" s="520">
        <v>0</v>
      </c>
    </row>
    <row r="193" spans="1:130" s="302" customFormat="1" hidden="1">
      <c r="A193" s="485" t="s">
        <v>656</v>
      </c>
      <c r="B193" s="485"/>
      <c r="C193" s="536"/>
      <c r="D193" s="536"/>
      <c r="E193" s="536"/>
      <c r="F193" s="536"/>
      <c r="G193" s="545"/>
      <c r="H193" s="545"/>
      <c r="I193" s="545"/>
      <c r="J193" s="545"/>
      <c r="K193" s="545"/>
      <c r="L193" s="545"/>
      <c r="M193" s="545"/>
      <c r="N193" s="537">
        <v>31447</v>
      </c>
      <c r="O193" s="537">
        <v>8603</v>
      </c>
      <c r="P193" s="537">
        <v>11385</v>
      </c>
      <c r="Q193" s="537">
        <v>11146</v>
      </c>
      <c r="R193" s="537">
        <v>36968</v>
      </c>
      <c r="S193" s="537">
        <v>10888</v>
      </c>
      <c r="T193" s="537">
        <v>15993</v>
      </c>
      <c r="U193" s="537">
        <v>12920</v>
      </c>
      <c r="V193" s="537">
        <v>25971</v>
      </c>
      <c r="W193" s="537">
        <v>7366</v>
      </c>
      <c r="X193" s="537">
        <v>14821</v>
      </c>
      <c r="Y193" s="537">
        <v>11391</v>
      </c>
      <c r="Z193" s="537">
        <v>35066</v>
      </c>
      <c r="AA193" s="537">
        <v>10981</v>
      </c>
      <c r="AB193" s="537">
        <v>16396</v>
      </c>
      <c r="AC193" s="537">
        <v>13165</v>
      </c>
      <c r="AD193" s="537">
        <v>40186</v>
      </c>
      <c r="AE193" s="537">
        <v>13263</v>
      </c>
      <c r="AF193" s="537">
        <v>17807</v>
      </c>
      <c r="AG193" s="537">
        <v>12741</v>
      </c>
      <c r="AH193" s="546">
        <v>41319</v>
      </c>
      <c r="AI193" s="546">
        <v>14871</v>
      </c>
      <c r="AJ193" s="546">
        <v>20477</v>
      </c>
      <c r="AK193" s="546">
        <v>20822</v>
      </c>
      <c r="AL193" s="546">
        <v>63350</v>
      </c>
      <c r="AM193" s="546">
        <v>22934</v>
      </c>
      <c r="AN193" s="546">
        <v>23524.2</v>
      </c>
      <c r="AO193" s="546">
        <v>24478</v>
      </c>
      <c r="AP193" s="546">
        <v>68933</v>
      </c>
      <c r="AQ193" s="546">
        <v>24010</v>
      </c>
      <c r="AR193" s="546">
        <v>28607</v>
      </c>
      <c r="AS193" s="546">
        <v>24409</v>
      </c>
      <c r="AT193" s="546">
        <v>64012</v>
      </c>
      <c r="AU193" s="546">
        <v>23978</v>
      </c>
      <c r="AV193" s="546">
        <v>29447</v>
      </c>
      <c r="AW193" s="546">
        <v>25692</v>
      </c>
      <c r="AX193" s="546">
        <v>62886</v>
      </c>
      <c r="AY193" s="546">
        <v>21862</v>
      </c>
      <c r="AZ193" s="546">
        <v>28175</v>
      </c>
      <c r="BA193" s="546">
        <v>24065</v>
      </c>
      <c r="BB193" s="546">
        <v>63421</v>
      </c>
      <c r="BC193" s="546">
        <v>24935</v>
      </c>
      <c r="BD193" s="546">
        <v>29200</v>
      </c>
      <c r="BE193" s="546">
        <v>23580</v>
      </c>
      <c r="BF193" s="545">
        <f>BF191*0.9</f>
        <v>18251.090437500003</v>
      </c>
      <c r="BG193" s="545"/>
      <c r="BH193" s="545"/>
      <c r="BI193" s="545"/>
      <c r="BJ193" s="545"/>
      <c r="BK193" s="545"/>
      <c r="BL193" s="545"/>
      <c r="BM193" s="545"/>
      <c r="BN193" s="545"/>
      <c r="BO193" s="545"/>
      <c r="BP193" s="545"/>
      <c r="BQ193" s="545"/>
      <c r="BR193" s="545"/>
      <c r="BS193" s="545"/>
      <c r="BT193" s="545"/>
      <c r="BU193" s="545"/>
      <c r="BV193" s="545"/>
      <c r="BW193" s="545"/>
      <c r="BX193" s="545"/>
      <c r="BY193" s="545"/>
      <c r="BZ193" s="545"/>
      <c r="CA193" s="545"/>
      <c r="CB193" s="545"/>
      <c r="CC193" s="545"/>
      <c r="CD193" s="545"/>
      <c r="CE193" s="545"/>
      <c r="CF193" s="545"/>
      <c r="CG193" s="545"/>
      <c r="CH193" s="545"/>
      <c r="CI193" s="545"/>
      <c r="CJ193" s="545"/>
      <c r="CK193" s="545"/>
      <c r="CL193" s="545"/>
      <c r="CM193" s="545"/>
      <c r="CN193" s="545"/>
      <c r="CO193" s="545"/>
      <c r="CP193" s="545"/>
      <c r="CQ193" s="545"/>
      <c r="CR193" s="545"/>
      <c r="CS193" s="545"/>
      <c r="CT193" s="1133"/>
      <c r="CU193" s="490"/>
      <c r="CV193" s="490"/>
      <c r="CW193" s="495">
        <f>N193</f>
        <v>31447</v>
      </c>
      <c r="CX193" s="495">
        <f>R193</f>
        <v>36968</v>
      </c>
      <c r="CY193" s="495">
        <f>V193</f>
        <v>25971</v>
      </c>
      <c r="CZ193" s="495">
        <f>Z193</f>
        <v>35066</v>
      </c>
      <c r="DA193" s="495">
        <f>AD193</f>
        <v>40186</v>
      </c>
      <c r="DB193" s="495">
        <f>AH193</f>
        <v>41319</v>
      </c>
      <c r="DC193" s="495">
        <f>+AL193</f>
        <v>63350</v>
      </c>
      <c r="DD193" s="495">
        <f>+AP193</f>
        <v>68933</v>
      </c>
      <c r="DE193" s="495">
        <f>+AT193</f>
        <v>64012</v>
      </c>
      <c r="DF193" s="495">
        <f>+AX193</f>
        <v>62886</v>
      </c>
      <c r="DG193" s="495">
        <f>+BB193</f>
        <v>63421</v>
      </c>
      <c r="DH193" s="495">
        <f>+BF193</f>
        <v>18251.090437500003</v>
      </c>
      <c r="DI193" s="495">
        <f>+BJ193</f>
        <v>0</v>
      </c>
      <c r="DJ193" s="495">
        <f>+BN193</f>
        <v>0</v>
      </c>
      <c r="DK193" s="495">
        <f>+BR193</f>
        <v>0</v>
      </c>
      <c r="DL193" s="518">
        <f t="shared" ref="DL193:DR193" si="1078">DL194*DL41</f>
        <v>0</v>
      </c>
      <c r="DM193" s="518">
        <f t="shared" si="1078"/>
        <v>0</v>
      </c>
      <c r="DN193" s="518">
        <f t="shared" si="1078"/>
        <v>0</v>
      </c>
      <c r="DO193" s="518">
        <f t="shared" ref="DO193:DP193" si="1079">DO194*DO41</f>
        <v>0</v>
      </c>
      <c r="DP193" s="518">
        <f t="shared" si="1079"/>
        <v>0</v>
      </c>
      <c r="DQ193" s="518">
        <f t="shared" ref="DQ193" si="1080">DQ194*DQ41</f>
        <v>0</v>
      </c>
      <c r="DR193" s="518">
        <f t="shared" si="1078"/>
        <v>0</v>
      </c>
      <c r="DS193" s="518">
        <f t="shared" ref="DS193:DU193" si="1081">DS194*DS41</f>
        <v>0</v>
      </c>
      <c r="DT193" s="518">
        <f t="shared" si="1081"/>
        <v>0</v>
      </c>
      <c r="DU193" s="518">
        <f t="shared" si="1081"/>
        <v>0</v>
      </c>
      <c r="DV193" s="485"/>
      <c r="DW193" s="485"/>
      <c r="DY193" s="518">
        <v>0</v>
      </c>
      <c r="DZ193" s="518">
        <v>0</v>
      </c>
    </row>
    <row r="194" spans="1:130" s="302" customFormat="1" hidden="1">
      <c r="A194" s="12"/>
      <c r="B194" s="14"/>
      <c r="C194" s="539"/>
      <c r="D194" s="539"/>
      <c r="E194" s="539"/>
      <c r="F194" s="539"/>
      <c r="G194" s="14"/>
      <c r="H194" s="14"/>
      <c r="I194" s="14"/>
      <c r="J194" s="14"/>
      <c r="K194" s="14"/>
      <c r="L194" s="14"/>
      <c r="M194" s="14"/>
      <c r="N194" s="14"/>
      <c r="O194" s="14"/>
      <c r="P194" s="14"/>
      <c r="Q194" s="14"/>
      <c r="R194" s="14"/>
      <c r="S194" s="14"/>
      <c r="T194" s="14"/>
      <c r="U194" s="14"/>
      <c r="V194" s="14"/>
      <c r="W194" s="14"/>
      <c r="X194" s="14"/>
      <c r="Y194" s="539"/>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2"/>
      <c r="BA194" s="12"/>
      <c r="BB194" s="12"/>
      <c r="BC194" s="12"/>
      <c r="BD194" s="14"/>
      <c r="BE194" s="14"/>
      <c r="BF194" s="14"/>
      <c r="BG194" s="14"/>
      <c r="BH194" s="14"/>
      <c r="BI194" s="14"/>
      <c r="BJ194" s="14"/>
      <c r="BK194" s="14"/>
      <c r="BL194" s="14"/>
      <c r="BM194" s="168"/>
      <c r="BN194" s="168"/>
      <c r="BO194" s="168"/>
      <c r="BP194" s="168"/>
      <c r="BQ194" s="168"/>
      <c r="BR194" s="168"/>
      <c r="BS194" s="168"/>
      <c r="BT194" s="168"/>
      <c r="BU194" s="168"/>
      <c r="BV194" s="168"/>
      <c r="BW194" s="168"/>
      <c r="BX194" s="168"/>
      <c r="BY194" s="168"/>
      <c r="BZ194" s="168"/>
      <c r="CA194" s="168"/>
      <c r="CB194" s="168"/>
      <c r="CC194" s="168"/>
      <c r="CD194" s="168"/>
      <c r="CE194" s="168"/>
      <c r="CF194" s="168"/>
      <c r="CG194" s="168"/>
      <c r="CH194" s="168"/>
      <c r="CI194" s="168"/>
      <c r="CJ194" s="168"/>
      <c r="CK194" s="168"/>
      <c r="CL194" s="168"/>
      <c r="CM194" s="168"/>
      <c r="CN194" s="168"/>
      <c r="CO194" s="168"/>
      <c r="CP194" s="168"/>
      <c r="CQ194" s="168"/>
      <c r="CR194" s="168"/>
      <c r="CS194" s="168"/>
      <c r="CT194" s="1133"/>
      <c r="CU194" s="14"/>
      <c r="CV194" s="14"/>
      <c r="CW194" s="14">
        <f t="shared" ref="CW194:DD194" si="1082">CW193/CW40</f>
        <v>0.11993528795752494</v>
      </c>
      <c r="CX194" s="14">
        <f t="shared" si="1082"/>
        <v>0.10974055022038144</v>
      </c>
      <c r="CY194" s="14">
        <f t="shared" si="1082"/>
        <v>7.1702154567333254E-2</v>
      </c>
      <c r="CZ194" s="14">
        <f t="shared" si="1082"/>
        <v>0.10249355064608351</v>
      </c>
      <c r="DA194" s="14">
        <f t="shared" si="1082"/>
        <v>9.4467493077991113E-2</v>
      </c>
      <c r="DB194" s="14">
        <f t="shared" si="1082"/>
        <v>8.9894968433901587E-2</v>
      </c>
      <c r="DC194" s="14">
        <f t="shared" si="1082"/>
        <v>0.1157919054597229</v>
      </c>
      <c r="DD194" s="14">
        <f t="shared" si="1082"/>
        <v>0.11199139347426317</v>
      </c>
      <c r="DE194" s="14">
        <f t="shared" ref="DE194:DK194" si="1083">DE193/DE41</f>
        <v>0.13027836761897349</v>
      </c>
      <c r="DF194" s="14">
        <f t="shared" si="1083"/>
        <v>0.11881230454732587</v>
      </c>
      <c r="DG194" s="14">
        <f t="shared" si="1083"/>
        <v>0.12737753196229265</v>
      </c>
      <c r="DH194" s="14">
        <f t="shared" si="1083"/>
        <v>3.7349841886077657E-2</v>
      </c>
      <c r="DI194" s="14">
        <f t="shared" si="1083"/>
        <v>0</v>
      </c>
      <c r="DJ194" s="14">
        <f t="shared" si="1083"/>
        <v>0</v>
      </c>
      <c r="DK194" s="14">
        <f t="shared" si="1083"/>
        <v>0</v>
      </c>
      <c r="DL194" s="520">
        <f t="shared" ref="DL194:DR194" si="1084">+DK194</f>
        <v>0</v>
      </c>
      <c r="DM194" s="520">
        <f t="shared" si="1084"/>
        <v>0</v>
      </c>
      <c r="DN194" s="520">
        <f t="shared" si="1084"/>
        <v>0</v>
      </c>
      <c r="DO194" s="520">
        <f t="shared" si="1084"/>
        <v>0</v>
      </c>
      <c r="DP194" s="520">
        <f t="shared" si="1084"/>
        <v>0</v>
      </c>
      <c r="DQ194" s="520">
        <f t="shared" si="1084"/>
        <v>0</v>
      </c>
      <c r="DR194" s="520">
        <f t="shared" si="1084"/>
        <v>0</v>
      </c>
      <c r="DS194" s="520">
        <f t="shared" ref="DS194" si="1085">+DR194</f>
        <v>0</v>
      </c>
      <c r="DT194" s="520">
        <f t="shared" ref="DT194" si="1086">+DS194</f>
        <v>0</v>
      </c>
      <c r="DU194" s="520">
        <f t="shared" ref="DU194" si="1087">+DT194</f>
        <v>0</v>
      </c>
      <c r="DV194" s="14"/>
      <c r="DW194" s="14"/>
      <c r="DY194" s="520">
        <v>0</v>
      </c>
      <c r="DZ194" s="520">
        <v>0</v>
      </c>
    </row>
    <row r="195" spans="1:130" s="302" customFormat="1">
      <c r="A195" s="12"/>
      <c r="B195" s="14"/>
      <c r="C195" s="539"/>
      <c r="D195" s="539"/>
      <c r="E195" s="539"/>
      <c r="F195" s="539"/>
      <c r="G195" s="14"/>
      <c r="H195" s="14"/>
      <c r="I195" s="14"/>
      <c r="J195" s="14"/>
      <c r="K195" s="14"/>
      <c r="L195" s="14"/>
      <c r="M195" s="14"/>
      <c r="N195" s="14"/>
      <c r="O195" s="14"/>
      <c r="P195" s="14"/>
      <c r="Q195" s="14"/>
      <c r="R195" s="14"/>
      <c r="S195" s="14"/>
      <c r="T195" s="14"/>
      <c r="U195" s="14"/>
      <c r="V195" s="14"/>
      <c r="W195" s="14"/>
      <c r="X195" s="14"/>
      <c r="Y195" s="539"/>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2"/>
      <c r="BA195" s="12"/>
      <c r="BB195" s="14"/>
      <c r="BC195" s="12"/>
      <c r="BD195" s="14"/>
      <c r="BE195" s="14"/>
      <c r="BF195" s="14"/>
      <c r="BG195" s="14"/>
      <c r="BH195" s="14"/>
      <c r="BI195" s="14"/>
      <c r="BJ195" s="14"/>
      <c r="BK195" s="14"/>
      <c r="BL195" s="14"/>
      <c r="BM195" s="168"/>
      <c r="BN195" s="168"/>
      <c r="BO195" s="168"/>
      <c r="BP195" s="168"/>
      <c r="BQ195" s="168"/>
      <c r="BR195" s="168"/>
      <c r="BS195" s="168"/>
      <c r="BT195" s="168"/>
      <c r="BU195" s="168"/>
      <c r="BV195" s="168"/>
      <c r="BW195" s="168"/>
      <c r="BX195" s="168"/>
      <c r="BY195" s="168"/>
      <c r="BZ195" s="168"/>
      <c r="CA195" s="168"/>
      <c r="CB195" s="168"/>
      <c r="CC195" s="168"/>
      <c r="CD195" s="168"/>
      <c r="CE195" s="168"/>
      <c r="CF195" s="168"/>
      <c r="CG195" s="168"/>
      <c r="CH195" s="168"/>
      <c r="CI195" s="168"/>
      <c r="CJ195" s="168"/>
      <c r="CK195" s="168"/>
      <c r="CL195" s="168"/>
      <c r="CM195" s="168"/>
      <c r="CN195" s="168"/>
      <c r="CO195" s="168"/>
      <c r="CP195" s="168"/>
      <c r="CQ195" s="168"/>
      <c r="CR195" s="168"/>
      <c r="CS195" s="168"/>
      <c r="CT195" s="1133"/>
      <c r="CU195" s="14"/>
      <c r="CV195" s="14"/>
      <c r="CW195" s="14"/>
      <c r="CX195" s="14"/>
      <c r="CY195" s="14"/>
      <c r="CZ195" s="14"/>
      <c r="DA195" s="14"/>
      <c r="DB195" s="14"/>
      <c r="DC195" s="14"/>
      <c r="DD195" s="14"/>
      <c r="DE195" s="449"/>
      <c r="DF195" s="449"/>
      <c r="DG195" s="449"/>
      <c r="DH195" s="449"/>
      <c r="DI195" s="449"/>
      <c r="DJ195" s="449"/>
      <c r="DK195" s="449"/>
      <c r="DL195" s="449"/>
      <c r="DM195" s="449"/>
      <c r="DN195" s="449"/>
      <c r="DO195" s="449"/>
      <c r="DP195" s="449"/>
      <c r="DQ195" s="449"/>
      <c r="DR195" s="449"/>
      <c r="DS195" s="449"/>
      <c r="DT195" s="449"/>
      <c r="DU195" s="449"/>
      <c r="DV195" s="14"/>
      <c r="DW195" s="14"/>
      <c r="DY195" s="449"/>
      <c r="DZ195" s="449"/>
    </row>
    <row r="196" spans="1:130" s="302" customFormat="1">
      <c r="A196" s="485" t="s">
        <v>657</v>
      </c>
      <c r="B196" s="345"/>
      <c r="C196" s="441"/>
      <c r="D196" s="441"/>
      <c r="E196" s="441"/>
      <c r="F196" s="441"/>
      <c r="G196" s="451">
        <v>35289</v>
      </c>
      <c r="H196" s="451">
        <v>32366</v>
      </c>
      <c r="I196" s="451">
        <v>33414</v>
      </c>
      <c r="J196" s="451">
        <v>19500</v>
      </c>
      <c r="K196" s="451">
        <v>41554</v>
      </c>
      <c r="L196" s="451">
        <v>40190</v>
      </c>
      <c r="M196" s="451">
        <v>38232</v>
      </c>
      <c r="N196" s="451">
        <v>25445</v>
      </c>
      <c r="O196" s="451">
        <v>48581</v>
      </c>
      <c r="P196" s="451">
        <v>46409</v>
      </c>
      <c r="Q196" s="451">
        <v>45686</v>
      </c>
      <c r="R196" s="451">
        <v>30215</v>
      </c>
      <c r="S196" s="451">
        <v>55367</v>
      </c>
      <c r="T196" s="451">
        <v>52362</v>
      </c>
      <c r="U196" s="451">
        <v>51459</v>
      </c>
      <c r="V196" s="451">
        <v>33285</v>
      </c>
      <c r="W196" s="451">
        <v>52768</v>
      </c>
      <c r="X196" s="451">
        <v>48102</v>
      </c>
      <c r="Y196" s="451">
        <v>48563</v>
      </c>
      <c r="Z196" s="451">
        <v>29433</v>
      </c>
      <c r="AA196" s="451">
        <v>54971</v>
      </c>
      <c r="AB196" s="451">
        <v>51839</v>
      </c>
      <c r="AC196" s="451">
        <v>52364</v>
      </c>
      <c r="AD196" s="451">
        <v>33432</v>
      </c>
      <c r="AE196" s="451">
        <v>61001</v>
      </c>
      <c r="AF196" s="451">
        <v>57344</v>
      </c>
      <c r="AG196" s="451">
        <v>60450</v>
      </c>
      <c r="AH196" s="451">
        <v>33726</v>
      </c>
      <c r="AI196" s="451">
        <v>60162</v>
      </c>
      <c r="AJ196" s="451">
        <v>58076</v>
      </c>
      <c r="AK196" s="451">
        <v>63444</v>
      </c>
      <c r="AL196" s="451">
        <v>41090</v>
      </c>
      <c r="AM196" s="451">
        <v>72132</v>
      </c>
      <c r="AN196" s="451">
        <v>69898</v>
      </c>
      <c r="AO196" s="451">
        <v>73287</v>
      </c>
      <c r="AP196" s="451">
        <v>46605</v>
      </c>
      <c r="AQ196" s="636">
        <v>131596</v>
      </c>
      <c r="AR196" s="636">
        <v>141665</v>
      </c>
      <c r="AS196" s="636">
        <v>126283</v>
      </c>
      <c r="AT196" s="636">
        <v>92590</v>
      </c>
      <c r="AU196" s="636">
        <v>155564</v>
      </c>
      <c r="AV196" s="636">
        <v>149682</v>
      </c>
      <c r="AW196" s="636">
        <v>141762</v>
      </c>
      <c r="AX196" s="636">
        <v>99159</v>
      </c>
      <c r="AY196" s="636">
        <v>147294</v>
      </c>
      <c r="AZ196" s="636">
        <v>143797</v>
      </c>
      <c r="BA196" s="636">
        <v>139376</v>
      </c>
      <c r="BB196" s="636">
        <v>92205</v>
      </c>
      <c r="BC196" s="637">
        <v>144213</v>
      </c>
      <c r="BD196" s="636">
        <v>153944</v>
      </c>
      <c r="BE196" s="636">
        <v>125524</v>
      </c>
      <c r="BF196" s="636">
        <v>93867.926680000004</v>
      </c>
      <c r="BG196" s="636">
        <v>148240.33773</v>
      </c>
      <c r="BH196" s="636">
        <v>133592</v>
      </c>
      <c r="BI196" s="636">
        <v>116900.65892</v>
      </c>
      <c r="BJ196" s="636">
        <v>92172.762830000021</v>
      </c>
      <c r="BK196" s="636">
        <v>149915.60245999999</v>
      </c>
      <c r="BL196" s="636">
        <v>150910.031121651</v>
      </c>
      <c r="BM196" s="638">
        <v>125649.80743600472</v>
      </c>
      <c r="BN196" s="638">
        <v>72874.001193499324</v>
      </c>
      <c r="BO196" s="638">
        <v>185973.53201000011</v>
      </c>
      <c r="BP196" s="638">
        <v>73211.656763192354</v>
      </c>
      <c r="BQ196" s="638">
        <v>37926.660813959286</v>
      </c>
      <c r="BR196" s="638">
        <v>49324.477860855535</v>
      </c>
      <c r="BS196" s="175">
        <f t="shared" ref="BS196:CI196" si="1088">+BS163-BS199-BS202</f>
        <v>136120</v>
      </c>
      <c r="BT196" s="175">
        <f t="shared" si="1088"/>
        <v>81380</v>
      </c>
      <c r="BU196" s="175">
        <f t="shared" si="1088"/>
        <v>81674</v>
      </c>
      <c r="BV196" s="175">
        <f t="shared" si="1088"/>
        <v>72210</v>
      </c>
      <c r="BW196" s="175">
        <f t="shared" si="1088"/>
        <v>116940</v>
      </c>
      <c r="BX196" s="175">
        <f t="shared" si="1088"/>
        <v>111909</v>
      </c>
      <c r="BY196" s="175">
        <f t="shared" si="1088"/>
        <v>97232</v>
      </c>
      <c r="BZ196" s="175">
        <f t="shared" si="1088"/>
        <v>68053</v>
      </c>
      <c r="CA196" s="175">
        <f t="shared" si="1088"/>
        <v>93117</v>
      </c>
      <c r="CB196" s="175">
        <f t="shared" si="1088"/>
        <v>83061</v>
      </c>
      <c r="CC196" s="175">
        <f t="shared" si="1088"/>
        <v>60287</v>
      </c>
      <c r="CD196" s="175">
        <f t="shared" si="1088"/>
        <v>45715</v>
      </c>
      <c r="CE196" s="175">
        <f t="shared" si="1088"/>
        <v>61009</v>
      </c>
      <c r="CF196" s="175">
        <f t="shared" si="1088"/>
        <v>42689.008709999151</v>
      </c>
      <c r="CG196" s="175">
        <f t="shared" si="1088"/>
        <v>44951.627000000022</v>
      </c>
      <c r="CH196" s="175">
        <f t="shared" si="1088"/>
        <v>35339.073539999881</v>
      </c>
      <c r="CI196" s="175">
        <f t="shared" si="1088"/>
        <v>67004.225170000049</v>
      </c>
      <c r="CJ196" s="175">
        <f t="shared" ref="CJ196:CK196" si="1089">+CJ163-CJ199-CJ202</f>
        <v>51011.222880000008</v>
      </c>
      <c r="CK196" s="175">
        <f t="shared" si="1089"/>
        <v>49353.3348800003</v>
      </c>
      <c r="CL196" s="635">
        <f t="shared" ref="CL196" si="1090">+CL197*CK166</f>
        <v>45246.33891408542</v>
      </c>
      <c r="CM196" s="635">
        <f t="shared" ref="CM196" si="1091">+CM197*CL166</f>
        <v>54759.952645649471</v>
      </c>
      <c r="CN196" s="635">
        <f t="shared" ref="CN196" si="1092">+CN197*CM166</f>
        <v>49118.025627130897</v>
      </c>
      <c r="CO196" s="635">
        <f t="shared" ref="CO196" si="1093">+CO197*CN166</f>
        <v>53301.601670400334</v>
      </c>
      <c r="CP196" s="635">
        <f t="shared" ref="CP196" si="1094">+CP197*CO166</f>
        <v>48866.046027212251</v>
      </c>
      <c r="CQ196" s="635"/>
      <c r="CR196" s="635"/>
      <c r="CS196" s="635">
        <v>60100.768719119435</v>
      </c>
      <c r="CT196" s="1133"/>
      <c r="CU196" s="499"/>
      <c r="CV196" s="499"/>
      <c r="CW196" s="547">
        <f>N196</f>
        <v>25445</v>
      </c>
      <c r="CX196" s="547">
        <f>R196</f>
        <v>30215</v>
      </c>
      <c r="CY196" s="547">
        <f>V196</f>
        <v>33285</v>
      </c>
      <c r="CZ196" s="547">
        <f>Z196</f>
        <v>29433</v>
      </c>
      <c r="DA196" s="451">
        <f>AD196</f>
        <v>33432</v>
      </c>
      <c r="DB196" s="451">
        <f>AH196</f>
        <v>33726</v>
      </c>
      <c r="DC196" s="451">
        <f>+AL196</f>
        <v>41090</v>
      </c>
      <c r="DD196" s="451">
        <f>+AP196</f>
        <v>46605</v>
      </c>
      <c r="DE196" s="451">
        <f>+AT196</f>
        <v>92590</v>
      </c>
      <c r="DF196" s="451">
        <f>+AX196</f>
        <v>99159</v>
      </c>
      <c r="DG196" s="451">
        <f>+BB196</f>
        <v>92205</v>
      </c>
      <c r="DH196" s="451">
        <f>+BF196</f>
        <v>93867.926680000004</v>
      </c>
      <c r="DI196" s="451">
        <f>+BJ196</f>
        <v>92172.762830000021</v>
      </c>
      <c r="DJ196" s="451">
        <f>+BN196</f>
        <v>72874.001193499324</v>
      </c>
      <c r="DK196" s="451">
        <f>+BR196</f>
        <v>49324.477860855535</v>
      </c>
      <c r="DL196" s="451">
        <f>+BV196</f>
        <v>72210</v>
      </c>
      <c r="DM196" s="451">
        <f>+BZ196</f>
        <v>68053</v>
      </c>
      <c r="DN196" s="451">
        <f>+CD196</f>
        <v>45715</v>
      </c>
      <c r="DO196" s="451">
        <f>+CH196</f>
        <v>35339.073539999881</v>
      </c>
      <c r="DP196" s="451">
        <f>+CL196</f>
        <v>45246.33891408542</v>
      </c>
      <c r="DQ196" s="451">
        <f>+CP196</f>
        <v>48866.046027212251</v>
      </c>
      <c r="DR196" s="451">
        <f>+DR197*DQ166</f>
        <v>52775.32970938924</v>
      </c>
      <c r="DS196" s="451">
        <f t="shared" ref="DS196:DU196" si="1095">+DS197*DR166</f>
        <v>55941.849491952598</v>
      </c>
      <c r="DT196" s="451">
        <f t="shared" si="1095"/>
        <v>59298.360461469754</v>
      </c>
      <c r="DU196" s="451">
        <f t="shared" si="1095"/>
        <v>62856.262089157943</v>
      </c>
      <c r="DV196" s="345"/>
      <c r="DW196" s="345"/>
      <c r="DY196" s="451">
        <v>47562.486335875663</v>
      </c>
      <c r="DZ196" s="451">
        <v>51367.485242745723</v>
      </c>
    </row>
    <row r="197" spans="1:130" s="302" customFormat="1">
      <c r="A197" s="14" t="s">
        <v>658</v>
      </c>
      <c r="B197" s="14"/>
      <c r="C197" s="14"/>
      <c r="D197" s="14"/>
      <c r="E197" s="14"/>
      <c r="F197" s="14"/>
      <c r="G197" s="14"/>
      <c r="H197" s="14"/>
      <c r="I197" s="14"/>
      <c r="J197" s="14"/>
      <c r="K197" s="14"/>
      <c r="L197" s="14"/>
      <c r="M197" s="14"/>
      <c r="N197" s="14"/>
      <c r="O197" s="14"/>
      <c r="P197" s="14">
        <v>9.6713221717910566E-2</v>
      </c>
      <c r="Q197" s="14">
        <v>8.7757952019915833E-2</v>
      </c>
      <c r="R197" s="14">
        <v>6.2893539960242703E-2</v>
      </c>
      <c r="S197" s="14">
        <v>8.382703170822918E-2</v>
      </c>
      <c r="T197" s="14">
        <v>9.4247622750319934E-2</v>
      </c>
      <c r="U197" s="14">
        <v>8.9092454695450587E-2</v>
      </c>
      <c r="V197" s="14">
        <v>6.3818650346271544E-2</v>
      </c>
      <c r="W197" s="14">
        <v>8.145459934148476E-2</v>
      </c>
      <c r="X197" s="14">
        <v>9.3158643929930576E-2</v>
      </c>
      <c r="Y197" s="14">
        <v>8.6768915205420225E-2</v>
      </c>
      <c r="Z197" s="14">
        <v>5.7483521312435913E-2</v>
      </c>
      <c r="AA197" s="14">
        <v>8.0104044473912381E-2</v>
      </c>
      <c r="AB197" s="14">
        <v>9.1649384837603848E-2</v>
      </c>
      <c r="AC197" s="14">
        <v>8.6257223243524611E-2</v>
      </c>
      <c r="AD197" s="14">
        <v>5.9356685172724188E-2</v>
      </c>
      <c r="AE197" s="14">
        <v>8.1739440375405675E-2</v>
      </c>
      <c r="AF197" s="14">
        <v>8.9361934222111403E-2</v>
      </c>
      <c r="AG197" s="14">
        <v>8.7739032620922391E-2</v>
      </c>
      <c r="AH197" s="14">
        <v>5.409610455436397E-2</v>
      </c>
      <c r="AI197" s="14">
        <v>7.2626352494093868E-2</v>
      </c>
      <c r="AJ197" s="14">
        <v>8.2977568224032003E-2</v>
      </c>
      <c r="AK197" s="14">
        <v>8.5249672809165108E-2</v>
      </c>
      <c r="AL197" s="14">
        <v>5.7489517152415077E-2</v>
      </c>
      <c r="AM197" s="14">
        <v>7.5358236835397011E-2</v>
      </c>
      <c r="AN197" s="14">
        <v>8.4251000433923154E-2</v>
      </c>
      <c r="AO197" s="14">
        <v>8.7342900885048994E-2</v>
      </c>
      <c r="AP197" s="14">
        <v>5.7506508890342166E-2</v>
      </c>
      <c r="AQ197" s="14">
        <f t="shared" ref="AQ197:BU197" si="1096">+AQ196/AP166</f>
        <v>0.12084912868435746</v>
      </c>
      <c r="AR197" s="14">
        <f t="shared" si="1096"/>
        <v>0.15373287712113171</v>
      </c>
      <c r="AS197" s="14">
        <f t="shared" si="1096"/>
        <v>0.13296418433443677</v>
      </c>
      <c r="AT197" s="14">
        <f t="shared" si="1096"/>
        <v>0.10307832238054258</v>
      </c>
      <c r="AU197" s="14">
        <f t="shared" si="1096"/>
        <v>0.12562027250403152</v>
      </c>
      <c r="AV197" s="14">
        <f t="shared" si="1096"/>
        <v>0.14336930608382317</v>
      </c>
      <c r="AW197" s="14">
        <f t="shared" si="1096"/>
        <v>0.13094025555990357</v>
      </c>
      <c r="AX197" s="14">
        <f t="shared" si="1096"/>
        <v>9.7706976620443586E-2</v>
      </c>
      <c r="AY197" s="14">
        <f t="shared" si="1096"/>
        <v>0.11265892783798481</v>
      </c>
      <c r="AZ197" s="14">
        <f t="shared" si="1096"/>
        <v>0.13764733022742914</v>
      </c>
      <c r="BA197" s="14">
        <f t="shared" si="1096"/>
        <v>0.12769789940180548</v>
      </c>
      <c r="BB197" s="14">
        <f t="shared" si="1096"/>
        <v>9.3427498822087007E-2</v>
      </c>
      <c r="BC197" s="14">
        <f t="shared" si="1096"/>
        <v>0.1112805289746987</v>
      </c>
      <c r="BD197" s="14">
        <f t="shared" si="1096"/>
        <v>0.14497934705424764</v>
      </c>
      <c r="BE197" s="14">
        <f t="shared" si="1096"/>
        <v>0.12312189188924091</v>
      </c>
      <c r="BF197" s="14">
        <f t="shared" si="1096"/>
        <v>0.10077972711671926</v>
      </c>
      <c r="BG197" s="14">
        <f t="shared" si="1096"/>
        <v>0.12195641100381496</v>
      </c>
      <c r="BH197" s="14">
        <f t="shared" si="1096"/>
        <v>0.13214737666583509</v>
      </c>
      <c r="BI197" s="14">
        <f t="shared" si="1096"/>
        <v>0.11345339389953485</v>
      </c>
      <c r="BJ197" s="14">
        <f t="shared" si="1096"/>
        <v>9.4741274773506995E-2</v>
      </c>
      <c r="BK197" s="14">
        <f t="shared" si="1096"/>
        <v>0.11498493063130139</v>
      </c>
      <c r="BL197" s="14">
        <f t="shared" si="1096"/>
        <v>0.13663665170934772</v>
      </c>
      <c r="BM197" s="14">
        <f t="shared" si="1096"/>
        <v>0.11677168619087096</v>
      </c>
      <c r="BN197" s="14">
        <f t="shared" si="1096"/>
        <v>7.1406901006774937E-2</v>
      </c>
      <c r="BO197" s="14">
        <f t="shared" si="1096"/>
        <v>0.1388939921405121</v>
      </c>
      <c r="BP197" s="14">
        <f t="shared" si="1096"/>
        <v>6.2632072639284664E-2</v>
      </c>
      <c r="BQ197" s="14">
        <f t="shared" si="1096"/>
        <v>4.8032712071885232E-2</v>
      </c>
      <c r="BR197" s="14">
        <f t="shared" si="1096"/>
        <v>5.743833143619536E-2</v>
      </c>
      <c r="BS197" s="14">
        <f t="shared" si="1096"/>
        <v>0.11536375347481186</v>
      </c>
      <c r="BT197" s="14">
        <f t="shared" si="1096"/>
        <v>9.6224677172001907E-2</v>
      </c>
      <c r="BU197" s="14">
        <f t="shared" si="1096"/>
        <v>9.1597180555477678E-2</v>
      </c>
      <c r="BV197" s="14">
        <f t="shared" ref="BV197:CK197" si="1097">+BV196/BU166</f>
        <v>8.1640359574850566E-2</v>
      </c>
      <c r="BW197" s="14">
        <f t="shared" si="1097"/>
        <v>0.10460479353657948</v>
      </c>
      <c r="BX197" s="14">
        <f t="shared" si="1097"/>
        <v>0.11703367035761944</v>
      </c>
      <c r="BY197" s="14">
        <f t="shared" si="1097"/>
        <v>9.647295082292523E-2</v>
      </c>
      <c r="BZ197" s="14">
        <f t="shared" si="1097"/>
        <v>7.6267805309932865E-2</v>
      </c>
      <c r="CA197" s="14">
        <f t="shared" si="1097"/>
        <v>9.4766602245283646E-2</v>
      </c>
      <c r="CB197" s="14">
        <f t="shared" si="1097"/>
        <v>0.10090786831353711</v>
      </c>
      <c r="CC197" s="14">
        <f t="shared" si="1097"/>
        <v>7.6261398983721071E-2</v>
      </c>
      <c r="CD197" s="14">
        <f t="shared" si="1097"/>
        <v>6.5098455807383188E-2</v>
      </c>
      <c r="CE197" s="14">
        <f t="shared" si="1097"/>
        <v>7.6355644665717995E-2</v>
      </c>
      <c r="CF197" s="14">
        <f t="shared" si="1097"/>
        <v>6.3889251135933786E-2</v>
      </c>
      <c r="CG197" s="14">
        <f t="shared" si="1097"/>
        <v>6.8568372876401856E-2</v>
      </c>
      <c r="CH197" s="14">
        <f t="shared" si="1097"/>
        <v>5.5128791689300821E-2</v>
      </c>
      <c r="CI197" s="14">
        <f t="shared" si="1097"/>
        <v>8.6808120876069497E-2</v>
      </c>
      <c r="CJ197" s="14">
        <f t="shared" si="1097"/>
        <v>7.3679397055606291E-2</v>
      </c>
      <c r="CK197" s="14">
        <f t="shared" si="1097"/>
        <v>6.5689729603849653E-2</v>
      </c>
      <c r="CL197" s="575">
        <f t="shared" ref="CL197" si="1098">+CK197</f>
        <v>6.5689729603849653E-2</v>
      </c>
      <c r="CM197" s="575">
        <f t="shared" ref="CM197" si="1099">+CL197</f>
        <v>6.5689729603849653E-2</v>
      </c>
      <c r="CN197" s="575">
        <f t="shared" ref="CN197" si="1100">+CM197</f>
        <v>6.5689729603849653E-2</v>
      </c>
      <c r="CO197" s="575">
        <f t="shared" ref="CO197" si="1101">+CN197</f>
        <v>6.5689729603849653E-2</v>
      </c>
      <c r="CP197" s="575">
        <f t="shared" ref="CP197" si="1102">+CO197</f>
        <v>6.5689729603849653E-2</v>
      </c>
      <c r="CQ197" s="575"/>
      <c r="CR197" s="575"/>
      <c r="CS197" s="575">
        <v>8.6808120876069497E-2</v>
      </c>
      <c r="CT197" s="1133"/>
      <c r="CU197" s="365"/>
      <c r="CV197" s="365"/>
      <c r="CW197" s="365"/>
      <c r="CX197" s="365">
        <f t="shared" ref="CX197:DQ197" si="1103">+CX196/CW166</f>
        <v>5.1791845291253066E-2</v>
      </c>
      <c r="CY197" s="365">
        <f t="shared" si="1103"/>
        <v>5.0394327856094934E-2</v>
      </c>
      <c r="CZ197" s="365">
        <f t="shared" si="1103"/>
        <v>4.5433846695306264E-2</v>
      </c>
      <c r="DA197" s="365">
        <f t="shared" si="1103"/>
        <v>4.8717294843678281E-2</v>
      </c>
      <c r="DB197" s="365">
        <f t="shared" si="1103"/>
        <v>4.5191789742806375E-2</v>
      </c>
      <c r="DC197" s="365">
        <f t="shared" si="1103"/>
        <v>4.960301891530064E-2</v>
      </c>
      <c r="DD197" s="365">
        <f t="shared" si="1103"/>
        <v>4.8689494644730186E-2</v>
      </c>
      <c r="DE197" s="14">
        <f t="shared" si="1103"/>
        <v>8.5028578565341323E-2</v>
      </c>
      <c r="DF197" s="14">
        <f t="shared" si="1103"/>
        <v>8.0072385649811409E-2</v>
      </c>
      <c r="DG197" s="14">
        <f t="shared" si="1103"/>
        <v>7.0523690315297233E-2</v>
      </c>
      <c r="DH197" s="14">
        <f t="shared" si="1103"/>
        <v>7.2432253227577487E-2</v>
      </c>
      <c r="DI197" s="14">
        <f t="shared" si="1103"/>
        <v>7.5829963147593007E-2</v>
      </c>
      <c r="DJ197" s="14">
        <f t="shared" si="1103"/>
        <v>5.5894195364326153E-2</v>
      </c>
      <c r="DK197" s="14">
        <f t="shared" si="1103"/>
        <v>3.6837896050563521E-2</v>
      </c>
      <c r="DL197" s="14">
        <f t="shared" si="1103"/>
        <v>6.1199064343345315E-2</v>
      </c>
      <c r="DM197" s="14">
        <f t="shared" si="1103"/>
        <v>6.087455117620013E-2</v>
      </c>
      <c r="DN197" s="14">
        <f t="shared" si="1103"/>
        <v>4.6524858206805866E-2</v>
      </c>
      <c r="DO197" s="14">
        <f t="shared" si="1103"/>
        <v>4.4228519432147846E-2</v>
      </c>
      <c r="DP197" s="14">
        <f t="shared" si="1103"/>
        <v>5.8619432546055533E-2</v>
      </c>
      <c r="DQ197" s="14">
        <f t="shared" si="1103"/>
        <v>5.8619432546055533E-2</v>
      </c>
      <c r="DR197" s="455">
        <f>+DQ197</f>
        <v>5.8619432546055533E-2</v>
      </c>
      <c r="DS197" s="455">
        <f t="shared" ref="DS197:DU197" si="1104">+DR197</f>
        <v>5.8619432546055533E-2</v>
      </c>
      <c r="DT197" s="455">
        <f t="shared" si="1104"/>
        <v>5.8619432546055533E-2</v>
      </c>
      <c r="DU197" s="455">
        <f t="shared" si="1104"/>
        <v>5.8619432546055533E-2</v>
      </c>
      <c r="DV197" s="365"/>
      <c r="DW197" s="365"/>
      <c r="DY197" s="455">
        <v>5.6007536866691278E-2</v>
      </c>
      <c r="DZ197" s="455">
        <v>5.6007536866691278E-2</v>
      </c>
    </row>
    <row r="198" spans="1:130" s="302" customFormat="1">
      <c r="A198" s="14" t="s">
        <v>659</v>
      </c>
      <c r="B198" s="14"/>
      <c r="C198" s="14"/>
      <c r="D198" s="14"/>
      <c r="E198" s="14"/>
      <c r="F198" s="14"/>
      <c r="G198" s="14"/>
      <c r="H198" s="14"/>
      <c r="I198" s="14"/>
      <c r="J198" s="14"/>
      <c r="K198" s="14"/>
      <c r="L198" s="14"/>
      <c r="M198" s="14"/>
      <c r="N198" s="14"/>
      <c r="O198" s="14"/>
      <c r="P198" s="14">
        <v>0.11858573056618815</v>
      </c>
      <c r="Q198" s="14">
        <v>0.10821373669711949</v>
      </c>
      <c r="R198" s="14">
        <v>7.9046575084435813E-2</v>
      </c>
      <c r="S198" s="14">
        <v>9.4479871813029956E-2</v>
      </c>
      <c r="T198" s="14">
        <v>0.11571840572824009</v>
      </c>
      <c r="U198" s="14">
        <v>0.11010122406013108</v>
      </c>
      <c r="V198" s="14">
        <v>8.1447133383903886E-2</v>
      </c>
      <c r="W198" s="14">
        <v>9.3661584337670176E-2</v>
      </c>
      <c r="X198" s="14">
        <v>0.117421329759577</v>
      </c>
      <c r="Y198" s="14">
        <v>0.10739037172994848</v>
      </c>
      <c r="Z198" s="14">
        <v>7.1530643491447818E-2</v>
      </c>
      <c r="AA198" s="14">
        <v>8.8986988095353728E-2</v>
      </c>
      <c r="AB198" s="14">
        <v>0.11123723772697426</v>
      </c>
      <c r="AC198" s="14">
        <v>0.10445933060169245</v>
      </c>
      <c r="AD198" s="14">
        <v>7.2805036596334055E-2</v>
      </c>
      <c r="AE198" s="14">
        <v>9.1203628947856302E-2</v>
      </c>
      <c r="AF198" s="14">
        <v>0.10866595036279465</v>
      </c>
      <c r="AG198" s="14">
        <v>0.10702316268051859</v>
      </c>
      <c r="AH198" s="14">
        <v>6.8425281199785748E-2</v>
      </c>
      <c r="AI198" s="14">
        <v>8.2379731097177736E-2</v>
      </c>
      <c r="AJ198" s="14">
        <v>0.10132156284620149</v>
      </c>
      <c r="AK198" s="14">
        <v>0.10411459760702499</v>
      </c>
      <c r="AL198" s="14">
        <v>7.1706041875351206E-2</v>
      </c>
      <c r="AM198" s="14">
        <v>8.5262108999613478E-2</v>
      </c>
      <c r="AN198" s="14">
        <v>0.10246960274667441</v>
      </c>
      <c r="AO198" s="14">
        <v>0.10729482410482968</v>
      </c>
      <c r="AP198" s="14">
        <v>7.1777630267812725E-2</v>
      </c>
      <c r="AQ198" s="14">
        <f t="shared" ref="AQ198:CD198" si="1105">+AQ196/AP160</f>
        <v>0.13676503447809979</v>
      </c>
      <c r="AR198" s="14">
        <f t="shared" si="1105"/>
        <v>0.18852570278772909</v>
      </c>
      <c r="AS198" s="14">
        <f t="shared" si="1105"/>
        <v>0.16740770788923887</v>
      </c>
      <c r="AT198" s="14">
        <f t="shared" si="1105"/>
        <v>0.12989326838903728</v>
      </c>
      <c r="AU198" s="14">
        <f t="shared" si="1105"/>
        <v>0.14220276993927561</v>
      </c>
      <c r="AV198" s="14">
        <f t="shared" si="1105"/>
        <v>0.17741876218641287</v>
      </c>
      <c r="AW198" s="14">
        <f t="shared" si="1105"/>
        <v>0.16376156486199564</v>
      </c>
      <c r="AX198" s="14">
        <f t="shared" si="1105"/>
        <v>0.12333807236918208</v>
      </c>
      <c r="AY198" s="14">
        <f t="shared" si="1105"/>
        <v>0.12861835728543961</v>
      </c>
      <c r="AZ198" s="14">
        <f t="shared" si="1105"/>
        <v>0.1702319843923136</v>
      </c>
      <c r="BA198" s="14">
        <f t="shared" si="1105"/>
        <v>0.1579431669318393</v>
      </c>
      <c r="BB198" s="14">
        <f t="shared" si="1105"/>
        <v>0.11798434297033149</v>
      </c>
      <c r="BC198" s="14">
        <f t="shared" si="1105"/>
        <v>0.12552256460739436</v>
      </c>
      <c r="BD198" s="14">
        <f t="shared" si="1105"/>
        <v>0.17572332457060541</v>
      </c>
      <c r="BE198" s="14">
        <f t="shared" si="1105"/>
        <v>0.15172198726262467</v>
      </c>
      <c r="BF198" s="14">
        <f t="shared" si="1105"/>
        <v>0.12578498651268932</v>
      </c>
      <c r="BG198" s="14">
        <f t="shared" si="1105"/>
        <v>0.13871805332932588</v>
      </c>
      <c r="BH198" s="14">
        <f t="shared" si="1105"/>
        <v>0.16378807603973106</v>
      </c>
      <c r="BI198" s="14">
        <f t="shared" si="1105"/>
        <v>0.14061676908903664</v>
      </c>
      <c r="BJ198" s="14">
        <f t="shared" si="1105"/>
        <v>0.11622654333176977</v>
      </c>
      <c r="BK198" s="14">
        <f t="shared" si="1105"/>
        <v>0.12927525646265894</v>
      </c>
      <c r="BL198" s="14">
        <f t="shared" si="1105"/>
        <v>0.1659982071023538</v>
      </c>
      <c r="BM198" s="14">
        <f t="shared" si="1105"/>
        <v>0.14624125781303837</v>
      </c>
      <c r="BN198" s="14">
        <f t="shared" si="1105"/>
        <v>9.0696511978054339E-2</v>
      </c>
      <c r="BO198" s="14">
        <f t="shared" si="1105"/>
        <v>0.16177125957782088</v>
      </c>
      <c r="BP198" s="14">
        <f t="shared" si="1105"/>
        <v>8.8469976960407939E-2</v>
      </c>
      <c r="BQ198" s="14">
        <f t="shared" si="1105"/>
        <v>9.0515721198445684E-2</v>
      </c>
      <c r="BR198" s="14">
        <f t="shared" si="1105"/>
        <v>8.4152316054416976E-2</v>
      </c>
      <c r="BS198" s="14">
        <f t="shared" si="1105"/>
        <v>0.14366248763307285</v>
      </c>
      <c r="BT198" s="14">
        <f t="shared" si="1105"/>
        <v>0.13616483005330807</v>
      </c>
      <c r="BU198" s="14">
        <f t="shared" si="1105"/>
        <v>0.12062324619701668</v>
      </c>
      <c r="BV198" s="14">
        <f t="shared" ref="BV198:CA198" si="1106">+BV196/BU160</f>
        <v>0.11071264847162576</v>
      </c>
      <c r="BW198" s="14">
        <f t="shared" si="1106"/>
        <v>0.13130193719199793</v>
      </c>
      <c r="BX198" s="14">
        <f t="shared" si="1106"/>
        <v>0.16029409237009917</v>
      </c>
      <c r="BY198" s="14">
        <f t="shared" si="1106"/>
        <v>0.13461442613872351</v>
      </c>
      <c r="BZ198" s="14">
        <f t="shared" si="1106"/>
        <v>0.11445635208955625</v>
      </c>
      <c r="CA198" s="14">
        <f t="shared" si="1106"/>
        <v>0.13198350153078581</v>
      </c>
      <c r="CB198" s="14">
        <f t="shared" si="1105"/>
        <v>0.15174395662213908</v>
      </c>
      <c r="CC198" s="14">
        <f t="shared" si="1105"/>
        <v>0.11143190375234972</v>
      </c>
      <c r="CD198" s="14">
        <f t="shared" si="1105"/>
        <v>9.3063070765798228E-2</v>
      </c>
      <c r="CE198" s="14">
        <f t="shared" ref="CE198" si="1107">+CE196/CD160</f>
        <v>9.8275598224856833E-2</v>
      </c>
      <c r="CF198" s="14">
        <f t="shared" ref="CF198" si="1108">+CF196/CE160</f>
        <v>8.5943525819893202E-2</v>
      </c>
      <c r="CG198" s="14">
        <f t="shared" ref="CG198:CH198" si="1109">+CG196/CF160</f>
        <v>8.9187732475280571E-2</v>
      </c>
      <c r="CH198" s="14">
        <f t="shared" si="1109"/>
        <v>7.082026328231053E-2</v>
      </c>
      <c r="CI198" s="14">
        <f t="shared" ref="CI198:CK198" si="1110">+CI196/CH160</f>
        <v>0.10378046693164916</v>
      </c>
      <c r="CJ198" s="14">
        <f t="shared" si="1110"/>
        <v>9.8044070286560037E-2</v>
      </c>
      <c r="CK198" s="14">
        <f t="shared" si="1110"/>
        <v>8.9915084587567112E-2</v>
      </c>
      <c r="CL198" s="14">
        <f t="shared" ref="CL198" si="1111">+CL196/CK160</f>
        <v>9.1706995233926447E-2</v>
      </c>
      <c r="CM198" s="14">
        <f t="shared" ref="CM198" si="1112">+CM196/CL160</f>
        <v>8.0678145656545797E-2</v>
      </c>
      <c r="CN198" s="14">
        <f t="shared" ref="CN198" si="1113">+CN196/CM160</f>
        <v>8.4335112253313624E-2</v>
      </c>
      <c r="CO198" s="14">
        <f t="shared" ref="CO198" si="1114">+CO196/CN160</f>
        <v>8.4805691981189507E-2</v>
      </c>
      <c r="CP198" s="14">
        <f t="shared" ref="CP198" si="1115">+CP196/CO160</f>
        <v>8.7408593233391355E-2</v>
      </c>
      <c r="CQ198" s="14"/>
      <c r="CR198" s="576"/>
      <c r="CS198" s="14">
        <v>0.11551426646711344</v>
      </c>
      <c r="CT198" s="1133"/>
      <c r="CU198" s="365"/>
      <c r="CV198" s="365"/>
      <c r="CW198" s="365"/>
      <c r="CX198" s="365">
        <f t="shared" ref="CX198:DR198" si="1116">+CX196/CW160</f>
        <v>5.7338209089477211E-2</v>
      </c>
      <c r="CY198" s="365">
        <f t="shared" si="1116"/>
        <v>5.679849970734737E-2</v>
      </c>
      <c r="CZ198" s="365">
        <f t="shared" si="1116"/>
        <v>5.2242673813876712E-2</v>
      </c>
      <c r="DA198" s="365">
        <f t="shared" si="1116"/>
        <v>5.41196810318871E-2</v>
      </c>
      <c r="DB198" s="365">
        <f t="shared" si="1116"/>
        <v>5.0424314189855927E-2</v>
      </c>
      <c r="DC198" s="365">
        <f t="shared" si="1116"/>
        <v>5.6264471772597871E-2</v>
      </c>
      <c r="DD198" s="365">
        <f t="shared" si="1116"/>
        <v>5.5088457133130736E-2</v>
      </c>
      <c r="DE198" s="14">
        <f t="shared" si="1116"/>
        <v>9.6226895516028282E-2</v>
      </c>
      <c r="DF198" s="14">
        <f t="shared" si="1116"/>
        <v>9.064233668720674E-2</v>
      </c>
      <c r="DG198" s="14">
        <f t="shared" si="1116"/>
        <v>8.0514180031121152E-2</v>
      </c>
      <c r="DH198" s="14">
        <f t="shared" si="1116"/>
        <v>8.1702363110485593E-2</v>
      </c>
      <c r="DI198" s="14">
        <f t="shared" si="1116"/>
        <v>8.6252004181556111E-2</v>
      </c>
      <c r="DJ198" s="14">
        <f t="shared" si="1116"/>
        <v>6.2840725309184331E-2</v>
      </c>
      <c r="DK198" s="14">
        <f t="shared" si="1116"/>
        <v>4.2905475985366988E-2</v>
      </c>
      <c r="DL198" s="14">
        <f t="shared" si="1116"/>
        <v>7.6211197707788642E-2</v>
      </c>
      <c r="DM198" s="14">
        <f t="shared" si="1116"/>
        <v>7.6410900733085638E-2</v>
      </c>
      <c r="DN198" s="14">
        <f t="shared" si="1116"/>
        <v>6.4796178705068597E-2</v>
      </c>
      <c r="DO198" s="14">
        <f t="shared" si="1116"/>
        <v>5.6925512512181767E-2</v>
      </c>
      <c r="DP198" s="14">
        <f t="shared" si="1116"/>
        <v>7.0080448920015914E-2</v>
      </c>
      <c r="DQ198" s="14">
        <f t="shared" si="1116"/>
        <v>7.1994619947066657E-2</v>
      </c>
      <c r="DR198" s="454">
        <f t="shared" si="1116"/>
        <v>7.3585702774399575E-2</v>
      </c>
      <c r="DS198" s="454">
        <f t="shared" ref="DS198" si="1117">+DS196/DR160</f>
        <v>7.4717173380304383E-2</v>
      </c>
      <c r="DT198" s="454">
        <f t="shared" ref="DT198" si="1118">+DT196/DS160</f>
        <v>7.5088913506544841E-2</v>
      </c>
      <c r="DU198" s="454">
        <f t="shared" ref="DU198" si="1119">+DU196/DT160</f>
        <v>7.5220586755348956E-2</v>
      </c>
      <c r="DV198" s="365"/>
      <c r="DW198" s="365"/>
      <c r="DY198" s="454">
        <v>6.7951386417859624E-2</v>
      </c>
      <c r="DZ198" s="454">
        <v>6.7866967141857318E-2</v>
      </c>
    </row>
    <row r="199" spans="1:130" s="302" customFormat="1">
      <c r="A199" s="485" t="s">
        <v>660</v>
      </c>
      <c r="B199" s="345"/>
      <c r="C199" s="444"/>
      <c r="D199" s="444"/>
      <c r="E199" s="444"/>
      <c r="F199" s="444"/>
      <c r="G199" s="494">
        <v>23646</v>
      </c>
      <c r="H199" s="494">
        <v>33564</v>
      </c>
      <c r="I199" s="494">
        <v>31583</v>
      </c>
      <c r="J199" s="494">
        <v>24905</v>
      </c>
      <c r="K199" s="494">
        <v>33059</v>
      </c>
      <c r="L199" s="494">
        <v>43782</v>
      </c>
      <c r="M199" s="494">
        <v>38783</v>
      </c>
      <c r="N199" s="494">
        <v>30987</v>
      </c>
      <c r="O199" s="494">
        <v>39927</v>
      </c>
      <c r="P199" s="494">
        <v>51999</v>
      </c>
      <c r="Q199" s="494">
        <v>52486</v>
      </c>
      <c r="R199" s="494">
        <v>44257</v>
      </c>
      <c r="S199" s="494">
        <v>47717</v>
      </c>
      <c r="T199" s="494">
        <v>57850</v>
      </c>
      <c r="U199" s="494">
        <v>61427</v>
      </c>
      <c r="V199" s="494">
        <v>51146</v>
      </c>
      <c r="W199" s="494">
        <v>53924</v>
      </c>
      <c r="X199" s="494">
        <v>59370</v>
      </c>
      <c r="Y199" s="494">
        <v>51988</v>
      </c>
      <c r="Z199" s="494">
        <v>39070</v>
      </c>
      <c r="AA199" s="494">
        <v>44630</v>
      </c>
      <c r="AB199" s="494">
        <v>53943</v>
      </c>
      <c r="AC199" s="494">
        <v>51676</v>
      </c>
      <c r="AD199" s="494">
        <v>44010</v>
      </c>
      <c r="AE199" s="494">
        <v>52995</v>
      </c>
      <c r="AF199" s="494">
        <v>66800</v>
      </c>
      <c r="AG199" s="494">
        <v>70108</v>
      </c>
      <c r="AH199" s="494">
        <v>64350</v>
      </c>
      <c r="AI199" s="494">
        <v>66553</v>
      </c>
      <c r="AJ199" s="494">
        <v>76771</v>
      </c>
      <c r="AK199" s="451">
        <v>78261</v>
      </c>
      <c r="AL199" s="451">
        <v>70095</v>
      </c>
      <c r="AM199" s="451">
        <v>75374</v>
      </c>
      <c r="AN199" s="451">
        <v>86131</v>
      </c>
      <c r="AO199" s="451">
        <v>87846</v>
      </c>
      <c r="AP199" s="451">
        <v>80118</v>
      </c>
      <c r="AQ199" s="636">
        <v>38469</v>
      </c>
      <c r="AR199" s="636">
        <v>53743</v>
      </c>
      <c r="AS199" s="636">
        <v>59150</v>
      </c>
      <c r="AT199" s="636">
        <v>51818</v>
      </c>
      <c r="AU199" s="636">
        <v>44802</v>
      </c>
      <c r="AV199" s="636">
        <v>67303.428279999876</v>
      </c>
      <c r="AW199" s="636">
        <v>69138</v>
      </c>
      <c r="AX199" s="636">
        <v>63072</v>
      </c>
      <c r="AY199" s="636">
        <v>52671</v>
      </c>
      <c r="AZ199" s="636">
        <v>65210</v>
      </c>
      <c r="BA199" s="636">
        <v>66037</v>
      </c>
      <c r="BB199" s="636">
        <v>54835</v>
      </c>
      <c r="BC199" s="637">
        <v>41562</v>
      </c>
      <c r="BD199" s="636">
        <v>38237</v>
      </c>
      <c r="BE199" s="636">
        <v>59635.757770000033</v>
      </c>
      <c r="BF199" s="636">
        <v>53006.215790000017</v>
      </c>
      <c r="BG199" s="636">
        <v>47052.222329999997</v>
      </c>
      <c r="BH199" s="636">
        <v>65450.622089999997</v>
      </c>
      <c r="BI199" s="636">
        <v>62944.539059999996</v>
      </c>
      <c r="BJ199" s="636">
        <v>51950.016940000001</v>
      </c>
      <c r="BK199" s="636">
        <v>45440.309369999995</v>
      </c>
      <c r="BL199" s="636">
        <v>65924.370070000296</v>
      </c>
      <c r="BM199" s="638">
        <v>91402.953084067296</v>
      </c>
      <c r="BN199" s="638">
        <v>116478.24473001831</v>
      </c>
      <c r="BO199" s="638">
        <v>155411.77286438609</v>
      </c>
      <c r="BP199" s="638">
        <v>297382.65879465919</v>
      </c>
      <c r="BQ199" s="638">
        <v>234678.00176298129</v>
      </c>
      <c r="BR199" s="638">
        <v>183096.96324141082</v>
      </c>
      <c r="BS199" s="638">
        <v>111951</v>
      </c>
      <c r="BT199" s="638">
        <v>133185</v>
      </c>
      <c r="BU199" s="638">
        <v>150586</v>
      </c>
      <c r="BV199" s="638">
        <v>155093</v>
      </c>
      <c r="BW199" s="638">
        <v>141124</v>
      </c>
      <c r="BX199" s="638">
        <v>173659</v>
      </c>
      <c r="BY199" s="638">
        <v>200482</v>
      </c>
      <c r="BZ199" s="638">
        <v>209020</v>
      </c>
      <c r="CA199" s="638">
        <v>182644</v>
      </c>
      <c r="CB199" s="638">
        <v>166449</v>
      </c>
      <c r="CC199" s="638">
        <v>150731</v>
      </c>
      <c r="CD199" s="638">
        <v>132501</v>
      </c>
      <c r="CE199" s="638">
        <v>110453</v>
      </c>
      <c r="CF199" s="638">
        <v>108873.44297999807</v>
      </c>
      <c r="CG199" s="638">
        <v>97079.268070002974</v>
      </c>
      <c r="CH199" s="638">
        <v>90892.527929999836</v>
      </c>
      <c r="CI199" s="638">
        <v>70649.179710000666</v>
      </c>
      <c r="CJ199" s="638">
        <v>97903.0772</v>
      </c>
      <c r="CK199" s="638">
        <v>104696.92354999969</v>
      </c>
      <c r="CL199" s="635">
        <f>+CK199*CL207/CK207</f>
        <v>109622.99195128132</v>
      </c>
      <c r="CM199" s="635">
        <f t="shared" ref="CM199:CP199" si="1120">+CL199*CM207/CL207</f>
        <v>110552.77829485138</v>
      </c>
      <c r="CN199" s="635">
        <f t="shared" si="1120"/>
        <v>133782.07741532419</v>
      </c>
      <c r="CO199" s="635">
        <f t="shared" si="1120"/>
        <v>131537.00804245006</v>
      </c>
      <c r="CP199" s="635">
        <f t="shared" si="1120"/>
        <v>134242.86749930939</v>
      </c>
      <c r="CQ199" s="635"/>
      <c r="CR199" s="635"/>
      <c r="CS199" s="635">
        <v>95116.837700846299</v>
      </c>
      <c r="CT199" s="1133">
        <f>+CI199/CS199-1</f>
        <v>-0.25723792529561706</v>
      </c>
      <c r="CU199" s="499"/>
      <c r="CV199" s="499"/>
      <c r="CW199" s="547">
        <f>N199</f>
        <v>30987</v>
      </c>
      <c r="CX199" s="547">
        <f>R199</f>
        <v>44257</v>
      </c>
      <c r="CY199" s="547">
        <f>V199</f>
        <v>51146</v>
      </c>
      <c r="CZ199" s="547">
        <f>Z199</f>
        <v>39070</v>
      </c>
      <c r="DA199" s="494">
        <f>AD199</f>
        <v>44010</v>
      </c>
      <c r="DB199" s="494">
        <f>AH199</f>
        <v>64350</v>
      </c>
      <c r="DC199" s="494">
        <f>+AL199</f>
        <v>70095</v>
      </c>
      <c r="DD199" s="494">
        <f>+AP199</f>
        <v>80118</v>
      </c>
      <c r="DE199" s="494">
        <f>+AT199</f>
        <v>51818</v>
      </c>
      <c r="DF199" s="494">
        <f>+AX199</f>
        <v>63072</v>
      </c>
      <c r="DG199" s="494">
        <f>+BB199</f>
        <v>54835</v>
      </c>
      <c r="DH199" s="494">
        <f>+BF199</f>
        <v>53006.215790000017</v>
      </c>
      <c r="DI199" s="494">
        <f>+BJ199</f>
        <v>51950.016940000001</v>
      </c>
      <c r="DJ199" s="494">
        <f>+BN199</f>
        <v>116478.24473001831</v>
      </c>
      <c r="DK199" s="494">
        <f>+BR199</f>
        <v>183096.96324141082</v>
      </c>
      <c r="DL199" s="494">
        <f>+BV199</f>
        <v>155093</v>
      </c>
      <c r="DM199" s="451">
        <f>+BZ199</f>
        <v>209020</v>
      </c>
      <c r="DN199" s="494">
        <f>+CD199</f>
        <v>132501</v>
      </c>
      <c r="DO199" s="494">
        <f>+CH199</f>
        <v>90892.527929999836</v>
      </c>
      <c r="DP199" s="494">
        <f>+CL199</f>
        <v>109622.99195128132</v>
      </c>
      <c r="DQ199" s="494">
        <f>+CP199</f>
        <v>134242.86749930939</v>
      </c>
      <c r="DR199" s="635">
        <f>+DQ199*DR207/DQ207</f>
        <v>152832.52790670915</v>
      </c>
      <c r="DS199" s="635">
        <f>+DR199*DS207/DR207</f>
        <v>165931.51436513898</v>
      </c>
      <c r="DT199" s="635">
        <f>+DS199*DT207/DS207</f>
        <v>177352.72889689507</v>
      </c>
      <c r="DU199" s="635">
        <f>+DT199*DU207/DT207</f>
        <v>188540.38141878083</v>
      </c>
      <c r="DV199" s="345"/>
      <c r="DW199" s="345"/>
      <c r="DY199" s="635">
        <v>112705.66068737829</v>
      </c>
      <c r="DZ199" s="635">
        <v>121722.11354236855</v>
      </c>
    </row>
    <row r="200" spans="1:130" s="302" customFormat="1">
      <c r="A200" s="14" t="s">
        <v>661</v>
      </c>
      <c r="B200" s="14"/>
      <c r="C200" s="14"/>
      <c r="D200" s="14"/>
      <c r="E200" s="14"/>
      <c r="F200" s="14"/>
      <c r="G200" s="14"/>
      <c r="H200" s="14"/>
      <c r="I200" s="14"/>
      <c r="J200" s="14"/>
      <c r="K200" s="14"/>
      <c r="L200" s="14"/>
      <c r="M200" s="14"/>
      <c r="N200" s="14"/>
      <c r="O200" s="14"/>
      <c r="P200" s="14">
        <v>0.10836240419120498</v>
      </c>
      <c r="Q200" s="14">
        <v>0.10082002954334593</v>
      </c>
      <c r="R200" s="14">
        <v>9.2122435810705325E-2</v>
      </c>
      <c r="S200" s="14">
        <v>7.2244739141032965E-2</v>
      </c>
      <c r="T200" s="14">
        <v>0.10412560589943104</v>
      </c>
      <c r="U200" s="14">
        <v>0.10635034133149582</v>
      </c>
      <c r="V200" s="14">
        <v>9.8064253886447475E-2</v>
      </c>
      <c r="W200" s="14">
        <v>8.3239042883759551E-2</v>
      </c>
      <c r="X200" s="14">
        <v>0.11498126252796095</v>
      </c>
      <c r="Y200" s="14">
        <v>9.2888461662158153E-2</v>
      </c>
      <c r="Z200" s="14">
        <v>7.6304867926370784E-2</v>
      </c>
      <c r="AA200" s="14">
        <v>6.5035082222821297E-2</v>
      </c>
      <c r="AB200" s="14">
        <v>9.5369176995984961E-2</v>
      </c>
      <c r="AC200" s="14">
        <v>8.5123907041715255E-2</v>
      </c>
      <c r="AD200" s="14">
        <v>7.8137344892665453E-2</v>
      </c>
      <c r="AE200" s="14">
        <v>7.1011649689261228E-2</v>
      </c>
      <c r="AF200" s="14">
        <v>0.10409767728161694</v>
      </c>
      <c r="AG200" s="14">
        <v>0.10175695779962989</v>
      </c>
      <c r="AH200" s="14">
        <v>0.10321663784834613</v>
      </c>
      <c r="AI200" s="14">
        <v>8.0341438741056301E-2</v>
      </c>
      <c r="AJ200" s="14">
        <v>0.10968852693241891</v>
      </c>
      <c r="AK200" s="14">
        <v>0.10515926870496926</v>
      </c>
      <c r="AL200" s="14">
        <v>9.8070764292979673E-2</v>
      </c>
      <c r="AM200" s="14">
        <v>7.8745241269217753E-2</v>
      </c>
      <c r="AN200" s="14">
        <v>0.10381731835494913</v>
      </c>
      <c r="AO200" s="14">
        <v>0.10469420867477197</v>
      </c>
      <c r="AP200" s="14">
        <v>9.8858630603506775E-2</v>
      </c>
      <c r="AQ200" s="14">
        <f t="shared" ref="AQ200:CH200" si="1121">+AQ199/AP166</f>
        <v>3.5327404566693116E-2</v>
      </c>
      <c r="AR200" s="14">
        <f t="shared" si="1121"/>
        <v>5.8321152120290702E-2</v>
      </c>
      <c r="AS200" s="14">
        <f t="shared" si="1121"/>
        <v>6.2279416100203003E-2</v>
      </c>
      <c r="AT200" s="14">
        <f t="shared" si="1121"/>
        <v>5.7687790356571504E-2</v>
      </c>
      <c r="AU200" s="14">
        <f t="shared" si="1121"/>
        <v>3.6178289634655962E-2</v>
      </c>
      <c r="AV200" s="14">
        <f t="shared" si="1121"/>
        <v>6.4464971135914428E-2</v>
      </c>
      <c r="AW200" s="14">
        <f t="shared" si="1121"/>
        <v>6.3860183892020528E-2</v>
      </c>
      <c r="AX200" s="14">
        <f t="shared" si="1121"/>
        <v>6.2148412442689198E-2</v>
      </c>
      <c r="AY200" s="14">
        <f t="shared" si="1121"/>
        <v>4.0285811968949842E-2</v>
      </c>
      <c r="AZ200" s="14">
        <f t="shared" si="1121"/>
        <v>6.2421207703433693E-2</v>
      </c>
      <c r="BA200" s="14">
        <f t="shared" si="1121"/>
        <v>6.0503861373529366E-2</v>
      </c>
      <c r="BB200" s="14">
        <f t="shared" si="1121"/>
        <v>5.556202915144668E-2</v>
      </c>
      <c r="BC200" s="14">
        <f t="shared" si="1121"/>
        <v>3.2070904462471669E-2</v>
      </c>
      <c r="BD200" s="14">
        <f t="shared" si="1121"/>
        <v>3.6010336832310891E-2</v>
      </c>
      <c r="BE200" s="14">
        <f t="shared" si="1121"/>
        <v>5.8494529499465459E-2</v>
      </c>
      <c r="BF200" s="14">
        <f t="shared" si="1121"/>
        <v>5.6909235686190156E-2</v>
      </c>
      <c r="BG200" s="14">
        <f t="shared" si="1121"/>
        <v>3.8709572934000895E-2</v>
      </c>
      <c r="BH200" s="14">
        <f t="shared" si="1121"/>
        <v>6.4742858931226846E-2</v>
      </c>
      <c r="BI200" s="14">
        <f t="shared" si="1121"/>
        <v>6.1088377514500636E-2</v>
      </c>
      <c r="BJ200" s="14">
        <f t="shared" si="1121"/>
        <v>5.3397670616410688E-2</v>
      </c>
      <c r="BK200" s="14">
        <f t="shared" si="1121"/>
        <v>3.4852615305124283E-2</v>
      </c>
      <c r="BL200" s="14">
        <f t="shared" si="1121"/>
        <v>5.9689108308191512E-2</v>
      </c>
      <c r="BM200" s="14">
        <f t="shared" si="1121"/>
        <v>8.4944634394984356E-2</v>
      </c>
      <c r="BN200" s="14">
        <f t="shared" si="1121"/>
        <v>0.11413330343690893</v>
      </c>
      <c r="BO200" s="14">
        <f t="shared" si="1121"/>
        <v>0.11606899823577255</v>
      </c>
      <c r="BP200" s="14">
        <f t="shared" si="1121"/>
        <v>0.25440883475068266</v>
      </c>
      <c r="BQ200" s="14">
        <f t="shared" si="1121"/>
        <v>0.29721100266590833</v>
      </c>
      <c r="BR200" s="14">
        <f t="shared" si="1121"/>
        <v>0.21321632819487527</v>
      </c>
      <c r="BS200" s="14">
        <f t="shared" si="1121"/>
        <v>9.4880161366872329E-2</v>
      </c>
      <c r="BT200" s="14">
        <f t="shared" si="1121"/>
        <v>0.15747952358261336</v>
      </c>
      <c r="BU200" s="14">
        <f t="shared" si="1121"/>
        <v>0.16888181099403923</v>
      </c>
      <c r="BV200" s="14">
        <f t="shared" si="1121"/>
        <v>0.17534757357072842</v>
      </c>
      <c r="BW200" s="14">
        <f t="shared" si="1121"/>
        <v>0.12623778760951121</v>
      </c>
      <c r="BX200" s="14">
        <f t="shared" si="1121"/>
        <v>0.18161139998243067</v>
      </c>
      <c r="BY200" s="14">
        <f t="shared" si="1121"/>
        <v>0.19891692166037617</v>
      </c>
      <c r="BZ200" s="14">
        <f t="shared" si="1121"/>
        <v>0.23425119635992783</v>
      </c>
      <c r="CA200" s="14">
        <f t="shared" si="1121"/>
        <v>0.18587960630698569</v>
      </c>
      <c r="CB200" s="14">
        <f t="shared" si="1121"/>
        <v>0.20221299735038031</v>
      </c>
      <c r="CC200" s="14">
        <f t="shared" si="1121"/>
        <v>0.19067057458847281</v>
      </c>
      <c r="CD200" s="14">
        <f t="shared" si="1121"/>
        <v>0.18868228137228654</v>
      </c>
      <c r="CE200" s="14">
        <f t="shared" si="1121"/>
        <v>0.13823714567133619</v>
      </c>
      <c r="CF200" s="14">
        <f t="shared" si="1121"/>
        <v>0.16294224089006734</v>
      </c>
      <c r="CG200" s="14">
        <f t="shared" si="1121"/>
        <v>0.14808290368649246</v>
      </c>
      <c r="CH200" s="14">
        <f t="shared" si="1121"/>
        <v>0.14179192424768175</v>
      </c>
      <c r="CI200" s="14">
        <f>+CI199/CH$166</f>
        <v>9.1530385083936489E-2</v>
      </c>
      <c r="CJ200" s="14">
        <f>+CJ199/CI166</f>
        <v>0.14140887613993372</v>
      </c>
      <c r="CK200" s="14">
        <f>+CK199/CJ166</f>
        <v>0.13935254051375981</v>
      </c>
      <c r="CL200" s="14">
        <f>+CL199/CK166</f>
        <v>0.1591533121236228</v>
      </c>
      <c r="CM200" s="14">
        <f t="shared" ref="CM200:CP200" si="1122">+CM199/CL166</f>
        <v>0.1326184878233288</v>
      </c>
      <c r="CN200" s="14">
        <f t="shared" si="1122"/>
        <v>0.17891819508314513</v>
      </c>
      <c r="CO200" s="14">
        <f t="shared" si="1122"/>
        <v>0.16210827105419409</v>
      </c>
      <c r="CP200" s="14">
        <f t="shared" si="1122"/>
        <v>0.18046022512982371</v>
      </c>
      <c r="CQ200" s="14"/>
      <c r="CR200" s="14"/>
      <c r="CS200" s="14">
        <v>0.13738449807644201</v>
      </c>
      <c r="CT200" s="1136"/>
      <c r="CU200" s="365"/>
      <c r="CV200" s="365"/>
      <c r="CW200" s="365"/>
      <c r="CX200" s="365">
        <f t="shared" ref="CX200:DO200" si="1123">+CX199/CW166</f>
        <v>7.5861383321363135E-2</v>
      </c>
      <c r="CY200" s="365">
        <f t="shared" si="1123"/>
        <v>7.7436331456446794E-2</v>
      </c>
      <c r="CZ200" s="365">
        <f t="shared" si="1123"/>
        <v>6.0309869547297786E-2</v>
      </c>
      <c r="DA200" s="365">
        <f t="shared" si="1123"/>
        <v>6.4131614802293638E-2</v>
      </c>
      <c r="DB200" s="365">
        <f t="shared" si="1123"/>
        <v>8.6226996084610999E-2</v>
      </c>
      <c r="DC200" s="365">
        <f t="shared" si="1123"/>
        <v>8.4617269673107773E-2</v>
      </c>
      <c r="DD200" s="365">
        <f t="shared" si="1123"/>
        <v>8.3701425425308298E-2</v>
      </c>
      <c r="DE200" s="14">
        <f t="shared" si="1123"/>
        <v>4.7586249963266623E-2</v>
      </c>
      <c r="DF200" s="14">
        <f t="shared" si="1123"/>
        <v>5.0931589746819807E-2</v>
      </c>
      <c r="DG200" s="14">
        <f t="shared" si="1123"/>
        <v>4.1940963705214725E-2</v>
      </c>
      <c r="DH200" s="14">
        <f t="shared" si="1123"/>
        <v>4.0901719900828831E-2</v>
      </c>
      <c r="DI200" s="14">
        <f t="shared" si="1123"/>
        <v>4.2738958333522613E-2</v>
      </c>
      <c r="DJ200" s="14">
        <f t="shared" si="1123"/>
        <v>8.9338552295852219E-2</v>
      </c>
      <c r="DK200" s="14">
        <f t="shared" si="1123"/>
        <v>0.13674563201841364</v>
      </c>
      <c r="DL200" s="14">
        <f t="shared" si="1123"/>
        <v>0.13144365719709811</v>
      </c>
      <c r="DM200" s="14">
        <f t="shared" si="1123"/>
        <v>0.18697189964952832</v>
      </c>
      <c r="DN200" s="14">
        <f t="shared" si="1123"/>
        <v>0.13484830443530535</v>
      </c>
      <c r="DO200" s="14">
        <f t="shared" si="1123"/>
        <v>0.11375629112740605</v>
      </c>
      <c r="DP200" s="14">
        <f>+DP199/DO$166</f>
        <v>0.14202337109278174</v>
      </c>
      <c r="DQ200" s="14">
        <f>+DQ199/DP$166</f>
        <v>0.16103698489913953</v>
      </c>
      <c r="DR200" s="14">
        <f t="shared" ref="DR200:DU200" si="1124">+DR199/DQ166</f>
        <v>0.16975651520897278</v>
      </c>
      <c r="DS200" s="14">
        <f t="shared" si="1124"/>
        <v>0.17387360807567401</v>
      </c>
      <c r="DT200" s="14">
        <f t="shared" si="1124"/>
        <v>0.17532215473622784</v>
      </c>
      <c r="DU200" s="14">
        <f t="shared" si="1124"/>
        <v>0.17583180741974447</v>
      </c>
      <c r="DV200" s="365"/>
      <c r="DW200" s="365"/>
      <c r="DY200" s="14">
        <v>0.13271733528513657</v>
      </c>
      <c r="DZ200" s="14">
        <v>0.13271733528513655</v>
      </c>
    </row>
    <row r="201" spans="1:130" s="302" customFormat="1">
      <c r="A201" s="14" t="s">
        <v>659</v>
      </c>
      <c r="B201" s="14"/>
      <c r="C201" s="14"/>
      <c r="D201" s="14"/>
      <c r="E201" s="14"/>
      <c r="F201" s="14"/>
      <c r="G201" s="14"/>
      <c r="H201" s="14"/>
      <c r="I201" s="14"/>
      <c r="J201" s="14"/>
      <c r="K201" s="14"/>
      <c r="L201" s="14"/>
      <c r="M201" s="14"/>
      <c r="N201" s="14"/>
      <c r="O201" s="14"/>
      <c r="P201" s="14">
        <v>0.13286947367345167</v>
      </c>
      <c r="Q201" s="14">
        <v>0.12432049608818925</v>
      </c>
      <c r="R201" s="14">
        <v>0.11578236880727705</v>
      </c>
      <c r="S201" s="14">
        <v>8.1425687563031229E-2</v>
      </c>
      <c r="T201" s="14">
        <v>0.12784671653830429</v>
      </c>
      <c r="U201" s="14">
        <v>0.13142866923845531</v>
      </c>
      <c r="V201" s="14">
        <v>0.12515232339051069</v>
      </c>
      <c r="W201" s="14">
        <v>9.5713448943005736E-2</v>
      </c>
      <c r="X201" s="14">
        <v>0.14492753623188406</v>
      </c>
      <c r="Y201" s="14">
        <v>0.11496428650405785</v>
      </c>
      <c r="Z201" s="14">
        <v>9.4951321347156808E-2</v>
      </c>
      <c r="AA201" s="14">
        <v>7.224698984365642E-2</v>
      </c>
      <c r="AB201" s="14">
        <v>0.11575204604074486</v>
      </c>
      <c r="AC201" s="14">
        <v>0.10308686059455081</v>
      </c>
      <c r="AD201" s="14">
        <v>9.5840801047040611E-2</v>
      </c>
      <c r="AE201" s="14">
        <v>7.9233722661786604E-2</v>
      </c>
      <c r="AF201" s="14">
        <v>0.1265849170660345</v>
      </c>
      <c r="AG201" s="14">
        <v>0.12412208253442181</v>
      </c>
      <c r="AH201" s="14">
        <v>0.13055704338510979</v>
      </c>
      <c r="AI201" s="14">
        <v>9.1130917251927623E-2</v>
      </c>
      <c r="AJ201" s="14">
        <v>0.13393755942671215</v>
      </c>
      <c r="AK201" s="14">
        <v>0.12842999374761022</v>
      </c>
      <c r="AL201" s="14">
        <v>0.12232258469829016</v>
      </c>
      <c r="AM201" s="14">
        <v>8.9094246710709063E-2</v>
      </c>
      <c r="AN201" s="14">
        <v>0.12626697980162255</v>
      </c>
      <c r="AO201" s="14">
        <v>0.12860972775953264</v>
      </c>
      <c r="AP201" s="14">
        <v>0.12339191463998755</v>
      </c>
      <c r="AQ201" s="14">
        <f t="shared" ref="AQ201:CH201" si="1125">+AQ199/AP160</f>
        <v>3.9980045832229097E-2</v>
      </c>
      <c r="AR201" s="14">
        <f t="shared" si="1125"/>
        <v>7.1520395615860835E-2</v>
      </c>
      <c r="AS201" s="14">
        <f t="shared" si="1125"/>
        <v>7.8412501458220651E-2</v>
      </c>
      <c r="AT201" s="14">
        <f t="shared" si="1125"/>
        <v>7.2694776772687486E-2</v>
      </c>
      <c r="AU201" s="14">
        <f t="shared" si="1125"/>
        <v>4.0954002846541777E-2</v>
      </c>
      <c r="AV201" s="14">
        <f t="shared" si="1125"/>
        <v>7.9775062708539374E-2</v>
      </c>
      <c r="AW201" s="14">
        <f t="shared" si="1125"/>
        <v>7.9867292161712261E-2</v>
      </c>
      <c r="AX201" s="14">
        <f t="shared" si="1125"/>
        <v>7.8451566680473303E-2</v>
      </c>
      <c r="AY201" s="14">
        <f t="shared" si="1125"/>
        <v>4.5992759355991342E-2</v>
      </c>
      <c r="AZ201" s="14">
        <f t="shared" si="1125"/>
        <v>7.7197908873083365E-2</v>
      </c>
      <c r="BA201" s="14">
        <f t="shared" si="1125"/>
        <v>7.483421044281563E-2</v>
      </c>
      <c r="BB201" s="14">
        <f t="shared" si="1125"/>
        <v>7.0166167201107604E-2</v>
      </c>
      <c r="BC201" s="14">
        <f t="shared" si="1125"/>
        <v>3.6175440703768207E-2</v>
      </c>
      <c r="BD201" s="14">
        <f t="shared" si="1125"/>
        <v>4.3646603710480687E-2</v>
      </c>
      <c r="BE201" s="14">
        <f t="shared" si="1125"/>
        <v>7.2082276542947285E-2</v>
      </c>
      <c r="BF201" s="14">
        <f t="shared" si="1125"/>
        <v>7.1029438638431558E-2</v>
      </c>
      <c r="BG201" s="14">
        <f t="shared" si="1125"/>
        <v>4.4029801782590944E-2</v>
      </c>
      <c r="BH201" s="14">
        <f t="shared" si="1125"/>
        <v>8.0244561558511146E-2</v>
      </c>
      <c r="BI201" s="14">
        <f t="shared" si="1125"/>
        <v>7.5714352649397937E-2</v>
      </c>
      <c r="BJ201" s="14">
        <f t="shared" si="1125"/>
        <v>6.550710545694817E-2</v>
      </c>
      <c r="BK201" s="14">
        <f t="shared" si="1125"/>
        <v>3.9184097926809706E-2</v>
      </c>
      <c r="BL201" s="14">
        <f t="shared" si="1125"/>
        <v>7.2515572057304342E-2</v>
      </c>
      <c r="BM201" s="14">
        <f t="shared" si="1125"/>
        <v>0.1063820398900976</v>
      </c>
      <c r="BN201" s="14">
        <f t="shared" si="1125"/>
        <v>0.14496487561164983</v>
      </c>
      <c r="BO201" s="14">
        <f t="shared" si="1125"/>
        <v>0.13518675468368294</v>
      </c>
      <c r="BP201" s="14">
        <f t="shared" si="1125"/>
        <v>0.35936131123337178</v>
      </c>
      <c r="BQ201" s="14">
        <f t="shared" si="1125"/>
        <v>0.56008222509185446</v>
      </c>
      <c r="BR201" s="14">
        <f t="shared" si="1125"/>
        <v>0.31238107705389745</v>
      </c>
      <c r="BS201" s="14">
        <f t="shared" si="1125"/>
        <v>0.11815426941676564</v>
      </c>
      <c r="BT201" s="14">
        <f t="shared" si="1125"/>
        <v>0.22284483768308966</v>
      </c>
      <c r="BU201" s="14">
        <f t="shared" si="1125"/>
        <v>0.2223984640378083</v>
      </c>
      <c r="BV201" s="14">
        <f t="shared" si="1125"/>
        <v>0.23778918140714381</v>
      </c>
      <c r="BW201" s="14">
        <f t="shared" si="1125"/>
        <v>0.15845608503748518</v>
      </c>
      <c r="BX201" s="14">
        <f t="shared" si="1125"/>
        <v>0.24874238700103704</v>
      </c>
      <c r="BY201" s="14">
        <f t="shared" si="1125"/>
        <v>0.27756057040011078</v>
      </c>
      <c r="BZ201" s="14">
        <f t="shared" si="1125"/>
        <v>0.35154463012297837</v>
      </c>
      <c r="CA201" s="14">
        <f t="shared" si="1125"/>
        <v>0.25887855765959861</v>
      </c>
      <c r="CB201" s="14">
        <f t="shared" si="1125"/>
        <v>0.30408530881880097</v>
      </c>
      <c r="CC201" s="14">
        <f t="shared" si="1125"/>
        <v>0.27860471220155963</v>
      </c>
      <c r="CD201" s="14">
        <f t="shared" si="1125"/>
        <v>0.26973531531311451</v>
      </c>
      <c r="CE201" s="14">
        <f t="shared" si="1125"/>
        <v>0.17792185826238935</v>
      </c>
      <c r="CF201" s="14">
        <f t="shared" si="1125"/>
        <v>0.2191891505707517</v>
      </c>
      <c r="CG201" s="14">
        <f t="shared" si="1125"/>
        <v>0.19261326824774258</v>
      </c>
      <c r="CH201" s="14">
        <f t="shared" si="1125"/>
        <v>0.18215058046474678</v>
      </c>
      <c r="CI201" s="14">
        <f>+CI199/CH$160</f>
        <v>0.10942600768890973</v>
      </c>
      <c r="CJ201" s="14">
        <f>+CJ199/CI160</f>
        <v>0.18817067383088998</v>
      </c>
      <c r="CK201" s="14">
        <f>+CK199/CJ160</f>
        <v>0.19074359939293753</v>
      </c>
      <c r="CL201" s="14">
        <f>+CL199/CK160</f>
        <v>0.22218803646178104</v>
      </c>
      <c r="CM201" s="14">
        <f t="shared" ref="CM201:CP201" si="1126">+CM199/CL160</f>
        <v>0.16287802890779962</v>
      </c>
      <c r="CN201" s="14">
        <f t="shared" si="1126"/>
        <v>0.22970236226414661</v>
      </c>
      <c r="CO201" s="14">
        <f t="shared" si="1126"/>
        <v>0.20928239750007277</v>
      </c>
      <c r="CP201" s="14">
        <f t="shared" si="1126"/>
        <v>0.24012542764759059</v>
      </c>
      <c r="CQ201" s="14"/>
      <c r="CR201" s="14"/>
      <c r="CS201" s="14">
        <v>0.18281549420830306</v>
      </c>
      <c r="CT201" s="1133"/>
      <c r="CU201" s="365"/>
      <c r="CV201" s="365"/>
      <c r="CW201" s="365"/>
      <c r="CX201" s="365">
        <f t="shared" ref="CX201:DO201" si="1127">+CX199/CW160</f>
        <v>8.39853423687901E-2</v>
      </c>
      <c r="CY201" s="365">
        <f t="shared" si="1127"/>
        <v>8.7277033679795363E-2</v>
      </c>
      <c r="CZ201" s="365">
        <f t="shared" si="1127"/>
        <v>6.9348053746072877E-2</v>
      </c>
      <c r="DA201" s="365">
        <f t="shared" si="1127"/>
        <v>7.1243334595996383E-2</v>
      </c>
      <c r="DB201" s="365">
        <f t="shared" si="1127"/>
        <v>9.6210775606867971E-2</v>
      </c>
      <c r="DC201" s="365">
        <f t="shared" si="1127"/>
        <v>9.5980972229258901E-2</v>
      </c>
      <c r="DD201" s="365">
        <f t="shared" si="1127"/>
        <v>9.4701791837617594E-2</v>
      </c>
      <c r="DE201" s="14">
        <f t="shared" si="1127"/>
        <v>5.3853388830862443E-2</v>
      </c>
      <c r="DF201" s="14">
        <f t="shared" si="1127"/>
        <v>5.7654811560579507E-2</v>
      </c>
      <c r="DG201" s="14">
        <f t="shared" si="1127"/>
        <v>4.7882382322070691E-2</v>
      </c>
      <c r="DH201" s="14">
        <f t="shared" si="1127"/>
        <v>4.6136451957131223E-2</v>
      </c>
      <c r="DI201" s="14">
        <f t="shared" si="1127"/>
        <v>4.8612984365077536E-2</v>
      </c>
      <c r="DJ201" s="14">
        <f t="shared" si="1127"/>
        <v>0.10044154652822831</v>
      </c>
      <c r="DK201" s="14">
        <f t="shared" si="1127"/>
        <v>0.15926904247236798</v>
      </c>
      <c r="DL201" s="14">
        <f t="shared" si="1127"/>
        <v>0.16368679249541704</v>
      </c>
      <c r="DM201" s="14">
        <f t="shared" si="1127"/>
        <v>0.23469070388123317</v>
      </c>
      <c r="DN201" s="14">
        <f t="shared" si="1127"/>
        <v>0.18780615716067581</v>
      </c>
      <c r="DO201" s="14">
        <f t="shared" si="1127"/>
        <v>0.1464131121062506</v>
      </c>
      <c r="DP201" s="14">
        <f>+DP199/DO$160</f>
        <v>0.16979116260629668</v>
      </c>
      <c r="DQ201" s="14">
        <f>+DQ199/DP$160</f>
        <v>0.1977807703294665</v>
      </c>
      <c r="DR201" s="14">
        <f t="shared" ref="DR201:DU201" si="1128">+DR199/DQ160</f>
        <v>0.21309746494681595</v>
      </c>
      <c r="DS201" s="14">
        <f t="shared" si="1128"/>
        <v>0.22162180622683983</v>
      </c>
      <c r="DT201" s="14">
        <f t="shared" si="1128"/>
        <v>0.22457996505555616</v>
      </c>
      <c r="DU201" s="14">
        <f t="shared" si="1128"/>
        <v>0.22562776795860814</v>
      </c>
      <c r="DV201" s="365"/>
      <c r="DW201" s="365"/>
      <c r="DY201" s="14">
        <v>0.16101988123088337</v>
      </c>
      <c r="DZ201" s="14">
        <v>0.16081983848691489</v>
      </c>
    </row>
    <row r="202" spans="1:130" s="302" customFormat="1">
      <c r="A202" s="485" t="s">
        <v>662</v>
      </c>
      <c r="B202" s="345"/>
      <c r="C202" s="444"/>
      <c r="D202" s="444"/>
      <c r="E202" s="444"/>
      <c r="F202" s="444"/>
      <c r="G202" s="494"/>
      <c r="H202" s="494"/>
      <c r="I202" s="494"/>
      <c r="J202" s="494"/>
      <c r="K202" s="494"/>
      <c r="L202" s="494"/>
      <c r="M202" s="494"/>
      <c r="N202" s="494"/>
      <c r="O202" s="494"/>
      <c r="P202" s="494"/>
      <c r="Q202" s="494"/>
      <c r="R202" s="494"/>
      <c r="S202" s="494"/>
      <c r="T202" s="494"/>
      <c r="U202" s="494"/>
      <c r="V202" s="494"/>
      <c r="W202" s="494"/>
      <c r="X202" s="494"/>
      <c r="Y202" s="494"/>
      <c r="Z202" s="494"/>
      <c r="AA202" s="494"/>
      <c r="AB202" s="494"/>
      <c r="AC202" s="494"/>
      <c r="AD202" s="494"/>
      <c r="AE202" s="494"/>
      <c r="AF202" s="494"/>
      <c r="AG202" s="494"/>
      <c r="AH202" s="494"/>
      <c r="AI202" s="494"/>
      <c r="AJ202" s="494"/>
      <c r="AK202" s="451"/>
      <c r="AL202" s="451"/>
      <c r="AM202" s="451"/>
      <c r="AN202" s="451"/>
      <c r="AO202" s="451"/>
      <c r="AP202" s="451"/>
      <c r="AQ202" s="636"/>
      <c r="AR202" s="636"/>
      <c r="AS202" s="636"/>
      <c r="AT202" s="636"/>
      <c r="AU202" s="636"/>
      <c r="AV202" s="636"/>
      <c r="AW202" s="636"/>
      <c r="AX202" s="636"/>
      <c r="AY202" s="636"/>
      <c r="AZ202" s="636"/>
      <c r="BA202" s="636"/>
      <c r="BB202" s="636"/>
      <c r="BC202" s="637"/>
      <c r="BD202" s="636"/>
      <c r="BE202" s="636"/>
      <c r="BF202" s="636"/>
      <c r="BG202" s="636"/>
      <c r="BH202" s="636"/>
      <c r="BI202" s="636"/>
      <c r="BJ202" s="636"/>
      <c r="BK202" s="636"/>
      <c r="BL202" s="636"/>
      <c r="BM202" s="638"/>
      <c r="BN202" s="638"/>
      <c r="BO202" s="638"/>
      <c r="BP202" s="638"/>
      <c r="BQ202" s="638"/>
      <c r="BR202" s="638"/>
      <c r="BS202" s="638">
        <v>0</v>
      </c>
      <c r="BT202" s="638">
        <v>0</v>
      </c>
      <c r="BU202" s="638">
        <v>0</v>
      </c>
      <c r="BV202" s="638">
        <v>0</v>
      </c>
      <c r="BW202" s="638">
        <v>0</v>
      </c>
      <c r="BX202" s="638">
        <v>0</v>
      </c>
      <c r="BY202" s="638">
        <v>0</v>
      </c>
      <c r="BZ202" s="638">
        <v>0</v>
      </c>
      <c r="CA202" s="638">
        <v>0</v>
      </c>
      <c r="CB202" s="638">
        <v>0</v>
      </c>
      <c r="CC202" s="638">
        <v>0</v>
      </c>
      <c r="CD202" s="638">
        <v>0</v>
      </c>
      <c r="CE202" s="638">
        <v>0</v>
      </c>
      <c r="CF202" s="638">
        <v>0</v>
      </c>
      <c r="CG202" s="638">
        <v>0</v>
      </c>
      <c r="CH202" s="638">
        <v>0</v>
      </c>
      <c r="CI202" s="638">
        <v>34398.280100000004</v>
      </c>
      <c r="CJ202" s="638">
        <v>53507.192199999998</v>
      </c>
      <c r="CK202" s="638">
        <v>41359.009160000016</v>
      </c>
      <c r="CL202" s="635">
        <f>+CL207-CL199</f>
        <v>43304.981412318361</v>
      </c>
      <c r="CM202" s="635">
        <f t="shared" ref="CM202:CP202" si="1129">+CM207-CM199</f>
        <v>43672.280093088033</v>
      </c>
      <c r="CN202" s="635">
        <f t="shared" si="1129"/>
        <v>52848.679575783404</v>
      </c>
      <c r="CO202" s="635">
        <f t="shared" si="1129"/>
        <v>51961.797310200927</v>
      </c>
      <c r="CP202" s="635">
        <f t="shared" si="1129"/>
        <v>53030.708050529152</v>
      </c>
      <c r="CQ202" s="635"/>
      <c r="CR202" s="635"/>
      <c r="CS202" s="635">
        <v>46311.303809756864</v>
      </c>
      <c r="CT202" s="1133"/>
      <c r="CU202" s="499"/>
      <c r="CV202" s="499"/>
      <c r="CW202" s="547"/>
      <c r="CX202" s="547"/>
      <c r="CY202" s="547"/>
      <c r="CZ202" s="547"/>
      <c r="DA202" s="494"/>
      <c r="DB202" s="494"/>
      <c r="DC202" s="494"/>
      <c r="DD202" s="494"/>
      <c r="DE202" s="494"/>
      <c r="DF202" s="494"/>
      <c r="DG202" s="494"/>
      <c r="DH202" s="494"/>
      <c r="DI202" s="494"/>
      <c r="DJ202" s="494"/>
      <c r="DK202" s="494"/>
      <c r="DL202" s="494"/>
      <c r="DM202" s="451"/>
      <c r="DN202" s="494"/>
      <c r="DO202" s="494"/>
      <c r="DP202" s="494">
        <f>+CL202</f>
        <v>43304.981412318361</v>
      </c>
      <c r="DQ202" s="494">
        <f>+CP202</f>
        <v>53030.708050529152</v>
      </c>
      <c r="DR202" s="635">
        <f>+DR207-DR199</f>
        <v>60374.285196841025</v>
      </c>
      <c r="DS202" s="635">
        <f>+DS207-DS199</f>
        <v>65548.850814924255</v>
      </c>
      <c r="DT202" s="635">
        <f>+DT207-DT199</f>
        <v>70060.636839005834</v>
      </c>
      <c r="DU202" s="635">
        <f>+DU207-DU199</f>
        <v>74480.15756074508</v>
      </c>
      <c r="DV202" s="345"/>
      <c r="DW202" s="345"/>
      <c r="DY202" s="635"/>
      <c r="DZ202" s="635"/>
    </row>
    <row r="203" spans="1:130" s="302" customFormat="1">
      <c r="A203" s="14" t="s">
        <v>661</v>
      </c>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f t="shared" ref="AQ203:CH203" si="1130">+AQ202/AP$166</f>
        <v>0</v>
      </c>
      <c r="AR203" s="14">
        <f t="shared" si="1130"/>
        <v>0</v>
      </c>
      <c r="AS203" s="14">
        <f t="shared" si="1130"/>
        <v>0</v>
      </c>
      <c r="AT203" s="14">
        <f t="shared" si="1130"/>
        <v>0</v>
      </c>
      <c r="AU203" s="14">
        <f t="shared" si="1130"/>
        <v>0</v>
      </c>
      <c r="AV203" s="14">
        <f t="shared" si="1130"/>
        <v>0</v>
      </c>
      <c r="AW203" s="14">
        <f t="shared" si="1130"/>
        <v>0</v>
      </c>
      <c r="AX203" s="14">
        <f t="shared" si="1130"/>
        <v>0</v>
      </c>
      <c r="AY203" s="14">
        <f t="shared" si="1130"/>
        <v>0</v>
      </c>
      <c r="AZ203" s="14">
        <f t="shared" si="1130"/>
        <v>0</v>
      </c>
      <c r="BA203" s="14">
        <f t="shared" si="1130"/>
        <v>0</v>
      </c>
      <c r="BB203" s="14">
        <f t="shared" si="1130"/>
        <v>0</v>
      </c>
      <c r="BC203" s="14">
        <f t="shared" si="1130"/>
        <v>0</v>
      </c>
      <c r="BD203" s="14">
        <f t="shared" si="1130"/>
        <v>0</v>
      </c>
      <c r="BE203" s="14">
        <f t="shared" si="1130"/>
        <v>0</v>
      </c>
      <c r="BF203" s="14">
        <f t="shared" si="1130"/>
        <v>0</v>
      </c>
      <c r="BG203" s="14">
        <f t="shared" si="1130"/>
        <v>0</v>
      </c>
      <c r="BH203" s="14">
        <f t="shared" si="1130"/>
        <v>0</v>
      </c>
      <c r="BI203" s="14">
        <f t="shared" si="1130"/>
        <v>0</v>
      </c>
      <c r="BJ203" s="14">
        <f t="shared" si="1130"/>
        <v>0</v>
      </c>
      <c r="BK203" s="14">
        <f t="shared" si="1130"/>
        <v>0</v>
      </c>
      <c r="BL203" s="14">
        <f t="shared" si="1130"/>
        <v>0</v>
      </c>
      <c r="BM203" s="14">
        <f t="shared" si="1130"/>
        <v>0</v>
      </c>
      <c r="BN203" s="14">
        <f t="shared" si="1130"/>
        <v>0</v>
      </c>
      <c r="BO203" s="14">
        <f t="shared" si="1130"/>
        <v>0</v>
      </c>
      <c r="BP203" s="14">
        <f t="shared" si="1130"/>
        <v>0</v>
      </c>
      <c r="BQ203" s="14">
        <f t="shared" si="1130"/>
        <v>0</v>
      </c>
      <c r="BR203" s="14">
        <f t="shared" si="1130"/>
        <v>0</v>
      </c>
      <c r="BS203" s="14">
        <f t="shared" si="1130"/>
        <v>0</v>
      </c>
      <c r="BT203" s="14">
        <f t="shared" si="1130"/>
        <v>0</v>
      </c>
      <c r="BU203" s="14">
        <f t="shared" si="1130"/>
        <v>0</v>
      </c>
      <c r="BV203" s="14">
        <f t="shared" si="1130"/>
        <v>0</v>
      </c>
      <c r="BW203" s="14">
        <f t="shared" si="1130"/>
        <v>0</v>
      </c>
      <c r="BX203" s="14">
        <f t="shared" si="1130"/>
        <v>0</v>
      </c>
      <c r="BY203" s="14">
        <f t="shared" si="1130"/>
        <v>0</v>
      </c>
      <c r="BZ203" s="14">
        <f t="shared" si="1130"/>
        <v>0</v>
      </c>
      <c r="CA203" s="14">
        <f t="shared" si="1130"/>
        <v>0</v>
      </c>
      <c r="CB203" s="14">
        <f t="shared" si="1130"/>
        <v>0</v>
      </c>
      <c r="CC203" s="14">
        <f t="shared" si="1130"/>
        <v>0</v>
      </c>
      <c r="CD203" s="14">
        <f t="shared" si="1130"/>
        <v>0</v>
      </c>
      <c r="CE203" s="14">
        <f t="shared" si="1130"/>
        <v>0</v>
      </c>
      <c r="CF203" s="14">
        <f t="shared" si="1130"/>
        <v>0</v>
      </c>
      <c r="CG203" s="14">
        <f t="shared" si="1130"/>
        <v>0</v>
      </c>
      <c r="CH203" s="14">
        <f t="shared" si="1130"/>
        <v>0</v>
      </c>
      <c r="CI203" s="14">
        <f>+CI202/CH$166</f>
        <v>4.4565100921227389E-2</v>
      </c>
      <c r="CJ203" s="14">
        <f t="shared" ref="CJ203:CL203" si="1131">+CJ202/CI$166</f>
        <v>7.7284515776235768E-2</v>
      </c>
      <c r="CK203" s="14">
        <f t="shared" si="1131"/>
        <v>5.5049210656370647E-2</v>
      </c>
      <c r="CL203" s="14">
        <f t="shared" si="1131"/>
        <v>6.287121981021454E-2</v>
      </c>
      <c r="CM203" s="14">
        <f t="shared" ref="CM203" si="1132">+CM202/CL$166</f>
        <v>5.2389020294860658E-2</v>
      </c>
      <c r="CN203" s="14">
        <f t="shared" ref="CN203" si="1133">+CN202/CM$166</f>
        <v>7.0679051670515802E-2</v>
      </c>
      <c r="CO203" s="14">
        <f t="shared" ref="CO203" si="1134">+CO202/CN$166</f>
        <v>6.4038533703812892E-2</v>
      </c>
      <c r="CP203" s="14">
        <f t="shared" ref="CP203" si="1135">+CP202/CO$166</f>
        <v>7.1288208393207014E-2</v>
      </c>
      <c r="CQ203" s="14"/>
      <c r="CR203" s="14"/>
      <c r="CS203" s="14">
        <v>6.689094573538848E-2</v>
      </c>
      <c r="CT203" s="1133"/>
      <c r="CU203" s="365"/>
      <c r="CV203" s="365"/>
      <c r="CW203" s="365"/>
      <c r="CX203" s="365"/>
      <c r="CY203" s="365"/>
      <c r="CZ203" s="365"/>
      <c r="DA203" s="365"/>
      <c r="DB203" s="365"/>
      <c r="DC203" s="365"/>
      <c r="DD203" s="365"/>
      <c r="DE203" s="14"/>
      <c r="DF203" s="14"/>
      <c r="DG203" s="14"/>
      <c r="DH203" s="14"/>
      <c r="DI203" s="14"/>
      <c r="DJ203" s="14"/>
      <c r="DK203" s="14"/>
      <c r="DL203" s="14"/>
      <c r="DM203" s="14"/>
      <c r="DN203" s="14"/>
      <c r="DO203" s="14"/>
      <c r="DP203" s="14">
        <f>+DP202/DO$166</f>
        <v>5.6104283743879498E-2</v>
      </c>
      <c r="DQ203" s="14">
        <f>+DQ202/DP$166</f>
        <v>6.3615337563969088E-2</v>
      </c>
      <c r="DR203" s="14">
        <f t="shared" ref="DR203" si="1136">+DR202/DQ$166</f>
        <v>6.7059862214046972E-2</v>
      </c>
      <c r="DS203" s="14">
        <f t="shared" ref="DS203" si="1137">+DS202/DR$166</f>
        <v>6.8686260352719575E-2</v>
      </c>
      <c r="DT203" s="14">
        <f t="shared" ref="DT203" si="1138">+DT202/DS$166</f>
        <v>6.92584878124302E-2</v>
      </c>
      <c r="DU203" s="14">
        <f t="shared" ref="DU203" si="1139">+DU202/DT$166</f>
        <v>6.945981875216807E-2</v>
      </c>
      <c r="DV203" s="365"/>
      <c r="DW203" s="365"/>
      <c r="DY203" s="14"/>
      <c r="DZ203" s="14"/>
    </row>
    <row r="204" spans="1:130" s="302" customFormat="1">
      <c r="A204" s="14" t="s">
        <v>659</v>
      </c>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f t="shared" ref="AQ204:CH204" si="1140">+AQ202/AP$160</f>
        <v>0</v>
      </c>
      <c r="AR204" s="14">
        <f t="shared" si="1140"/>
        <v>0</v>
      </c>
      <c r="AS204" s="14">
        <f t="shared" si="1140"/>
        <v>0</v>
      </c>
      <c r="AT204" s="14">
        <f t="shared" si="1140"/>
        <v>0</v>
      </c>
      <c r="AU204" s="14">
        <f t="shared" si="1140"/>
        <v>0</v>
      </c>
      <c r="AV204" s="14">
        <f t="shared" si="1140"/>
        <v>0</v>
      </c>
      <c r="AW204" s="14">
        <f t="shared" si="1140"/>
        <v>0</v>
      </c>
      <c r="AX204" s="14">
        <f t="shared" si="1140"/>
        <v>0</v>
      </c>
      <c r="AY204" s="14">
        <f t="shared" si="1140"/>
        <v>0</v>
      </c>
      <c r="AZ204" s="14">
        <f t="shared" si="1140"/>
        <v>0</v>
      </c>
      <c r="BA204" s="14">
        <f t="shared" si="1140"/>
        <v>0</v>
      </c>
      <c r="BB204" s="14">
        <f t="shared" si="1140"/>
        <v>0</v>
      </c>
      <c r="BC204" s="14">
        <f t="shared" si="1140"/>
        <v>0</v>
      </c>
      <c r="BD204" s="14">
        <f t="shared" si="1140"/>
        <v>0</v>
      </c>
      <c r="BE204" s="14">
        <f t="shared" si="1140"/>
        <v>0</v>
      </c>
      <c r="BF204" s="14">
        <f t="shared" si="1140"/>
        <v>0</v>
      </c>
      <c r="BG204" s="14">
        <f t="shared" si="1140"/>
        <v>0</v>
      </c>
      <c r="BH204" s="14">
        <f t="shared" si="1140"/>
        <v>0</v>
      </c>
      <c r="BI204" s="14">
        <f t="shared" si="1140"/>
        <v>0</v>
      </c>
      <c r="BJ204" s="14">
        <f t="shared" si="1140"/>
        <v>0</v>
      </c>
      <c r="BK204" s="14">
        <f t="shared" si="1140"/>
        <v>0</v>
      </c>
      <c r="BL204" s="14">
        <f t="shared" si="1140"/>
        <v>0</v>
      </c>
      <c r="BM204" s="14">
        <f t="shared" si="1140"/>
        <v>0</v>
      </c>
      <c r="BN204" s="14">
        <f t="shared" si="1140"/>
        <v>0</v>
      </c>
      <c r="BO204" s="14">
        <f t="shared" si="1140"/>
        <v>0</v>
      </c>
      <c r="BP204" s="14">
        <f t="shared" si="1140"/>
        <v>0</v>
      </c>
      <c r="BQ204" s="14">
        <f t="shared" si="1140"/>
        <v>0</v>
      </c>
      <c r="BR204" s="14">
        <f t="shared" si="1140"/>
        <v>0</v>
      </c>
      <c r="BS204" s="14">
        <f t="shared" si="1140"/>
        <v>0</v>
      </c>
      <c r="BT204" s="14">
        <f t="shared" si="1140"/>
        <v>0</v>
      </c>
      <c r="BU204" s="14">
        <f t="shared" si="1140"/>
        <v>0</v>
      </c>
      <c r="BV204" s="14">
        <f t="shared" si="1140"/>
        <v>0</v>
      </c>
      <c r="BW204" s="14">
        <f t="shared" si="1140"/>
        <v>0</v>
      </c>
      <c r="BX204" s="14">
        <f t="shared" si="1140"/>
        <v>0</v>
      </c>
      <c r="BY204" s="14">
        <f t="shared" si="1140"/>
        <v>0</v>
      </c>
      <c r="BZ204" s="14">
        <f t="shared" si="1140"/>
        <v>0</v>
      </c>
      <c r="CA204" s="14">
        <f t="shared" si="1140"/>
        <v>0</v>
      </c>
      <c r="CB204" s="14">
        <f t="shared" si="1140"/>
        <v>0</v>
      </c>
      <c r="CC204" s="14">
        <f t="shared" si="1140"/>
        <v>0</v>
      </c>
      <c r="CD204" s="14">
        <f t="shared" si="1140"/>
        <v>0</v>
      </c>
      <c r="CE204" s="14">
        <f t="shared" si="1140"/>
        <v>0</v>
      </c>
      <c r="CF204" s="14">
        <f t="shared" si="1140"/>
        <v>0</v>
      </c>
      <c r="CG204" s="14">
        <f t="shared" si="1140"/>
        <v>0</v>
      </c>
      <c r="CH204" s="14">
        <f t="shared" si="1140"/>
        <v>0</v>
      </c>
      <c r="CI204" s="14">
        <f>+CI202/CH$160</f>
        <v>5.3278275532122735E-2</v>
      </c>
      <c r="CJ204" s="14">
        <f t="shared" ref="CJ204:CL204" si="1141">+CJ202/CI$160</f>
        <v>0.10284134778015884</v>
      </c>
      <c r="CK204" s="14">
        <f t="shared" si="1141"/>
        <v>7.5350507035064657E-2</v>
      </c>
      <c r="CL204" s="14">
        <f t="shared" si="1141"/>
        <v>8.777217824243555E-2</v>
      </c>
      <c r="CM204" s="14">
        <f t="shared" ref="CM204" si="1142">+CM202/CL$160</f>
        <v>6.4342615438392745E-2</v>
      </c>
      <c r="CN204" s="14">
        <f t="shared" ref="CN204" si="1143">+CN202/CM$160</f>
        <v>9.0740604239622005E-2</v>
      </c>
      <c r="CO204" s="14">
        <f t="shared" ref="CO204" si="1144">+CO202/CN$160</f>
        <v>8.2673991763459964E-2</v>
      </c>
      <c r="CP204" s="14">
        <f t="shared" ref="CP204" si="1145">+CP202/CO$160</f>
        <v>9.4858085843207637E-2</v>
      </c>
      <c r="CQ204" s="14"/>
      <c r="CR204" s="14"/>
      <c r="CS204" s="14">
        <v>8.90107797742338E-2</v>
      </c>
      <c r="CT204" s="1133"/>
      <c r="CU204" s="365"/>
      <c r="CV204" s="365"/>
      <c r="CW204" s="365"/>
      <c r="CX204" s="365"/>
      <c r="CY204" s="365"/>
      <c r="CZ204" s="365"/>
      <c r="DA204" s="365"/>
      <c r="DB204" s="365"/>
      <c r="DC204" s="365"/>
      <c r="DD204" s="365"/>
      <c r="DE204" s="14"/>
      <c r="DF204" s="14"/>
      <c r="DG204" s="14"/>
      <c r="DH204" s="14"/>
      <c r="DI204" s="14"/>
      <c r="DJ204" s="14"/>
      <c r="DK204" s="14"/>
      <c r="DL204" s="14"/>
      <c r="DM204" s="14"/>
      <c r="DN204" s="14"/>
      <c r="DO204" s="14"/>
      <c r="DP204" s="14">
        <f>+DP202/DO$160</f>
        <v>6.7073549168493188E-2</v>
      </c>
      <c r="DQ204" s="14">
        <f>+DQ202/DP$160</f>
        <v>7.8130439886533676E-2</v>
      </c>
      <c r="DR204" s="14">
        <f t="shared" ref="DR204:DU204" si="1146">+DR202/DQ$160</f>
        <v>8.4181079117373644E-2</v>
      </c>
      <c r="DS204" s="14">
        <f t="shared" si="1146"/>
        <v>8.7548497157265773E-2</v>
      </c>
      <c r="DT204" s="14">
        <f t="shared" si="1146"/>
        <v>8.8717075124460629E-2</v>
      </c>
      <c r="DU204" s="14">
        <f t="shared" si="1146"/>
        <v>8.9130994544399558E-2</v>
      </c>
      <c r="DV204" s="365"/>
      <c r="DW204" s="365"/>
      <c r="DY204" s="14"/>
      <c r="DZ204" s="14"/>
    </row>
    <row r="205" spans="1:130" s="302" customForma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c r="BH205" s="14"/>
      <c r="BI205" s="14"/>
      <c r="BJ205" s="14"/>
      <c r="BK205" s="14"/>
      <c r="BL205" s="14"/>
      <c r="BM205" s="14"/>
      <c r="BN205" s="14"/>
      <c r="BO205" s="14"/>
      <c r="BP205" s="14"/>
      <c r="BQ205" s="14"/>
      <c r="BR205" s="14"/>
      <c r="BS205" s="14"/>
      <c r="BT205" s="14"/>
      <c r="BU205" s="14"/>
      <c r="BV205" s="14"/>
      <c r="BW205" s="14"/>
      <c r="BX205" s="14"/>
      <c r="BY205" s="14"/>
      <c r="BZ205" s="14"/>
      <c r="CA205" s="14"/>
      <c r="CB205" s="14"/>
      <c r="CC205" s="14"/>
      <c r="CD205" s="14"/>
      <c r="CE205" s="14"/>
      <c r="CF205" s="14"/>
      <c r="CG205" s="14"/>
      <c r="CH205" s="14"/>
      <c r="CI205" s="14"/>
      <c r="CJ205" s="14"/>
      <c r="CK205" s="14"/>
      <c r="CL205" s="14"/>
      <c r="CM205" s="14"/>
      <c r="CN205" s="14"/>
      <c r="CO205" s="14"/>
      <c r="CP205" s="14"/>
      <c r="CQ205" s="14"/>
      <c r="CR205" s="14"/>
      <c r="CS205" s="14"/>
      <c r="CT205" s="1133"/>
      <c r="CU205" s="365"/>
      <c r="CV205" s="365"/>
      <c r="CW205" s="365"/>
      <c r="CX205" s="365"/>
      <c r="CY205" s="365"/>
      <c r="CZ205" s="365"/>
      <c r="DA205" s="365"/>
      <c r="DB205" s="365"/>
      <c r="DC205" s="365"/>
      <c r="DD205" s="365"/>
      <c r="DE205" s="14"/>
      <c r="DF205" s="14"/>
      <c r="DG205" s="14"/>
      <c r="DH205" s="14"/>
      <c r="DI205" s="14"/>
      <c r="DJ205" s="14"/>
      <c r="DK205" s="14"/>
      <c r="DL205" s="14"/>
      <c r="DM205" s="14"/>
      <c r="DN205" s="14"/>
      <c r="DO205" s="14"/>
      <c r="DP205" s="14"/>
      <c r="DQ205" s="14"/>
      <c r="DR205" s="14"/>
      <c r="DS205" s="14"/>
      <c r="DT205" s="14"/>
      <c r="DU205" s="14"/>
      <c r="DV205" s="365"/>
      <c r="DW205" s="365"/>
      <c r="DY205" s="14"/>
      <c r="DZ205" s="14"/>
    </row>
    <row r="206" spans="1:130" s="302" customForma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c r="BC206" s="14"/>
      <c r="BD206" s="14"/>
      <c r="BE206" s="14"/>
      <c r="BF206" s="14"/>
      <c r="BG206" s="14"/>
      <c r="BH206" s="14"/>
      <c r="BI206" s="14"/>
      <c r="BJ206" s="14"/>
      <c r="BK206" s="14"/>
      <c r="BL206" s="14"/>
      <c r="BM206" s="14"/>
      <c r="BN206" s="14"/>
      <c r="BO206" s="14"/>
      <c r="BP206" s="14"/>
      <c r="BQ206" s="14"/>
      <c r="BR206" s="14"/>
      <c r="BS206" s="14"/>
      <c r="BT206" s="14"/>
      <c r="BU206" s="14"/>
      <c r="BV206" s="14"/>
      <c r="BW206" s="14"/>
      <c r="BX206" s="14"/>
      <c r="BY206" s="14"/>
      <c r="BZ206" s="14"/>
      <c r="CA206" s="14"/>
      <c r="CB206" s="14"/>
      <c r="CC206" s="14"/>
      <c r="CD206" s="14"/>
      <c r="CE206" s="14"/>
      <c r="CF206" s="14"/>
      <c r="CG206" s="14"/>
      <c r="CH206" s="14"/>
      <c r="CI206" s="14"/>
      <c r="CJ206" s="14"/>
      <c r="CK206" s="14"/>
      <c r="CL206" s="14"/>
      <c r="CM206" s="14"/>
      <c r="CN206" s="14"/>
      <c r="CO206" s="14"/>
      <c r="CP206" s="14"/>
      <c r="CQ206" s="14"/>
      <c r="CR206" s="14"/>
      <c r="CS206" s="14"/>
      <c r="CT206" s="1133"/>
      <c r="CU206" s="365"/>
      <c r="CV206" s="365"/>
      <c r="CW206" s="365"/>
      <c r="CX206" s="365"/>
      <c r="CY206" s="365"/>
      <c r="CZ206" s="365"/>
      <c r="DA206" s="365"/>
      <c r="DB206" s="365"/>
      <c r="DC206" s="365"/>
      <c r="DD206" s="365"/>
      <c r="DE206" s="14"/>
      <c r="DF206" s="14"/>
      <c r="DG206" s="14"/>
      <c r="DH206" s="14"/>
      <c r="DI206" s="14"/>
      <c r="DJ206" s="14"/>
      <c r="DK206" s="14"/>
      <c r="DL206" s="14"/>
      <c r="DM206" s="14"/>
      <c r="DN206" s="14"/>
      <c r="DO206" s="14"/>
      <c r="DP206" s="14"/>
      <c r="DQ206" s="14"/>
      <c r="DR206" s="14"/>
      <c r="DS206" s="14"/>
      <c r="DT206" s="14"/>
      <c r="DU206" s="14"/>
      <c r="DV206" s="365"/>
      <c r="DW206" s="365"/>
      <c r="DY206" s="14"/>
      <c r="DZ206" s="14"/>
    </row>
    <row r="207" spans="1:130" s="302" customFormat="1">
      <c r="A207" s="550" t="s">
        <v>663</v>
      </c>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574">
        <f t="shared" ref="AQ207:CI207" si="1147">+AQ202+AQ199</f>
        <v>38469</v>
      </c>
      <c r="AR207" s="574">
        <f t="shared" si="1147"/>
        <v>53743</v>
      </c>
      <c r="AS207" s="574">
        <f t="shared" si="1147"/>
        <v>59150</v>
      </c>
      <c r="AT207" s="574">
        <f t="shared" si="1147"/>
        <v>51818</v>
      </c>
      <c r="AU207" s="574">
        <f t="shared" si="1147"/>
        <v>44802</v>
      </c>
      <c r="AV207" s="574">
        <f t="shared" si="1147"/>
        <v>67303.428279999876</v>
      </c>
      <c r="AW207" s="574">
        <f t="shared" si="1147"/>
        <v>69138</v>
      </c>
      <c r="AX207" s="574">
        <f t="shared" si="1147"/>
        <v>63072</v>
      </c>
      <c r="AY207" s="574">
        <f t="shared" si="1147"/>
        <v>52671</v>
      </c>
      <c r="AZ207" s="574">
        <f t="shared" si="1147"/>
        <v>65210</v>
      </c>
      <c r="BA207" s="574">
        <f t="shared" si="1147"/>
        <v>66037</v>
      </c>
      <c r="BB207" s="574">
        <f t="shared" si="1147"/>
        <v>54835</v>
      </c>
      <c r="BC207" s="574">
        <f t="shared" si="1147"/>
        <v>41562</v>
      </c>
      <c r="BD207" s="574">
        <f t="shared" si="1147"/>
        <v>38237</v>
      </c>
      <c r="BE207" s="574">
        <f t="shared" si="1147"/>
        <v>59635.757770000033</v>
      </c>
      <c r="BF207" s="574">
        <f t="shared" si="1147"/>
        <v>53006.215790000017</v>
      </c>
      <c r="BG207" s="574">
        <f t="shared" si="1147"/>
        <v>47052.222329999997</v>
      </c>
      <c r="BH207" s="574">
        <f t="shared" si="1147"/>
        <v>65450.622089999997</v>
      </c>
      <c r="BI207" s="574">
        <f t="shared" si="1147"/>
        <v>62944.539059999996</v>
      </c>
      <c r="BJ207" s="574">
        <f t="shared" si="1147"/>
        <v>51950.016940000001</v>
      </c>
      <c r="BK207" s="574">
        <f t="shared" si="1147"/>
        <v>45440.309369999995</v>
      </c>
      <c r="BL207" s="574">
        <f t="shared" si="1147"/>
        <v>65924.370070000296</v>
      </c>
      <c r="BM207" s="574">
        <f t="shared" si="1147"/>
        <v>91402.953084067296</v>
      </c>
      <c r="BN207" s="574">
        <f t="shared" si="1147"/>
        <v>116478.24473001831</v>
      </c>
      <c r="BO207" s="574">
        <f t="shared" si="1147"/>
        <v>155411.77286438609</v>
      </c>
      <c r="BP207" s="574">
        <f t="shared" si="1147"/>
        <v>297382.65879465919</v>
      </c>
      <c r="BQ207" s="574">
        <f t="shared" si="1147"/>
        <v>234678.00176298129</v>
      </c>
      <c r="BR207" s="574">
        <f t="shared" si="1147"/>
        <v>183096.96324141082</v>
      </c>
      <c r="BS207" s="574">
        <f t="shared" si="1147"/>
        <v>111951</v>
      </c>
      <c r="BT207" s="574">
        <f t="shared" si="1147"/>
        <v>133185</v>
      </c>
      <c r="BU207" s="574">
        <f t="shared" si="1147"/>
        <v>150586</v>
      </c>
      <c r="BV207" s="574">
        <f t="shared" si="1147"/>
        <v>155093</v>
      </c>
      <c r="BW207" s="574">
        <f t="shared" si="1147"/>
        <v>141124</v>
      </c>
      <c r="BX207" s="574">
        <f t="shared" si="1147"/>
        <v>173659</v>
      </c>
      <c r="BY207" s="574">
        <f t="shared" si="1147"/>
        <v>200482</v>
      </c>
      <c r="BZ207" s="574">
        <f t="shared" si="1147"/>
        <v>209020</v>
      </c>
      <c r="CA207" s="574">
        <f t="shared" si="1147"/>
        <v>182644</v>
      </c>
      <c r="CB207" s="574">
        <f t="shared" si="1147"/>
        <v>166449</v>
      </c>
      <c r="CC207" s="574">
        <f t="shared" si="1147"/>
        <v>150731</v>
      </c>
      <c r="CD207" s="574">
        <f t="shared" si="1147"/>
        <v>132501</v>
      </c>
      <c r="CE207" s="574">
        <f t="shared" si="1147"/>
        <v>110453</v>
      </c>
      <c r="CF207" s="574">
        <f t="shared" si="1147"/>
        <v>108873.44297999807</v>
      </c>
      <c r="CG207" s="574">
        <f t="shared" si="1147"/>
        <v>97079.268070002974</v>
      </c>
      <c r="CH207" s="574">
        <f t="shared" si="1147"/>
        <v>90892.527929999836</v>
      </c>
      <c r="CI207" s="574">
        <f t="shared" si="1147"/>
        <v>105047.45981000067</v>
      </c>
      <c r="CJ207" s="574">
        <f>+CJ202+CJ199</f>
        <v>151410.26939999999</v>
      </c>
      <c r="CK207" s="574">
        <f>+CK202+CK199</f>
        <v>146055.9327099997</v>
      </c>
      <c r="CL207" s="1200">
        <f t="shared" ref="CL207" si="1148">+CK207+CL221-CL210</f>
        <v>152927.97336359968</v>
      </c>
      <c r="CM207" s="1200">
        <f t="shared" ref="CM207" si="1149">+CL207+CM221-CM210</f>
        <v>154225.05838793941</v>
      </c>
      <c r="CN207" s="1200">
        <f t="shared" ref="CN207" si="1150">+CM207+CN221-CN210</f>
        <v>186630.7569911076</v>
      </c>
      <c r="CO207" s="1200">
        <f t="shared" ref="CO207" si="1151">+CN207+CO221-CO210</f>
        <v>183498.80535265099</v>
      </c>
      <c r="CP207" s="1200">
        <f t="shared" ref="CP207" si="1152">+CO207+CP221-CP210</f>
        <v>187273.57554983854</v>
      </c>
      <c r="CQ207" s="14"/>
      <c r="CR207" s="14"/>
      <c r="CS207" s="1200">
        <v>141428.14151060316</v>
      </c>
      <c r="CT207" s="1133"/>
      <c r="CU207" s="365"/>
      <c r="CV207" s="365"/>
      <c r="CW207" s="365"/>
      <c r="CX207" s="365"/>
      <c r="CY207" s="365"/>
      <c r="CZ207" s="365"/>
      <c r="DA207" s="365"/>
      <c r="DB207" s="365"/>
      <c r="DC207" s="365"/>
      <c r="DD207" s="365"/>
      <c r="DE207" s="14"/>
      <c r="DF207" s="14"/>
      <c r="DG207" s="14"/>
      <c r="DH207" s="14"/>
      <c r="DI207" s="14"/>
      <c r="DJ207" s="574">
        <f t="shared" ref="DJ207:DP207" si="1153">+DJ202+DJ199</f>
        <v>116478.24473001831</v>
      </c>
      <c r="DK207" s="574">
        <f t="shared" si="1153"/>
        <v>183096.96324141082</v>
      </c>
      <c r="DL207" s="574">
        <f t="shared" si="1153"/>
        <v>155093</v>
      </c>
      <c r="DM207" s="574">
        <f t="shared" si="1153"/>
        <v>209020</v>
      </c>
      <c r="DN207" s="574">
        <f t="shared" si="1153"/>
        <v>132501</v>
      </c>
      <c r="DO207" s="574">
        <f t="shared" si="1153"/>
        <v>90892.527929999836</v>
      </c>
      <c r="DP207" s="574">
        <f t="shared" si="1153"/>
        <v>152927.97336359968</v>
      </c>
      <c r="DQ207" s="574">
        <f t="shared" ref="DQ207" si="1154">+DQ202+DQ199</f>
        <v>187273.57554983854</v>
      </c>
      <c r="DR207" s="1200">
        <f t="shared" ref="DR207:DU207" si="1155">+DQ207+DR221-DR210</f>
        <v>213206.81310355017</v>
      </c>
      <c r="DS207" s="1200">
        <f t="shared" si="1155"/>
        <v>231480.36518006324</v>
      </c>
      <c r="DT207" s="1200">
        <f t="shared" si="1155"/>
        <v>247413.36573590091</v>
      </c>
      <c r="DU207" s="1200">
        <f t="shared" si="1155"/>
        <v>263020.53897952591</v>
      </c>
      <c r="DV207" s="365"/>
      <c r="DW207" s="365"/>
      <c r="DY207" s="14"/>
      <c r="DZ207" s="14"/>
    </row>
    <row r="208" spans="1:130" s="302" customForma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c r="BE208" s="14"/>
      <c r="BF208" s="14"/>
      <c r="BG208" s="14"/>
      <c r="BH208" s="14"/>
      <c r="BI208" s="14"/>
      <c r="BJ208" s="14"/>
      <c r="BK208" s="14"/>
      <c r="BL208" s="14"/>
      <c r="BM208" s="14"/>
      <c r="BN208" s="14"/>
      <c r="BO208" s="14"/>
      <c r="BP208" s="14"/>
      <c r="BQ208" s="14"/>
      <c r="BR208" s="14"/>
      <c r="BS208" s="14"/>
      <c r="BT208" s="14"/>
      <c r="BU208" s="14"/>
      <c r="BV208" s="14"/>
      <c r="BW208" s="14"/>
      <c r="BX208" s="14"/>
      <c r="BY208" s="14"/>
      <c r="BZ208" s="14"/>
      <c r="CA208" s="14"/>
      <c r="CB208" s="14"/>
      <c r="CC208" s="14"/>
      <c r="CD208" s="14"/>
      <c r="CE208" s="14"/>
      <c r="CF208" s="14"/>
      <c r="CG208" s="14"/>
      <c r="CH208" s="14"/>
      <c r="CI208" s="14"/>
      <c r="CJ208" s="14"/>
      <c r="CK208" s="14"/>
      <c r="CL208" s="14"/>
      <c r="CM208" s="14"/>
      <c r="CN208" s="14"/>
      <c r="CO208" s="14"/>
      <c r="CP208" s="14"/>
      <c r="CQ208" s="14"/>
      <c r="CR208" s="14"/>
      <c r="CS208" s="14"/>
      <c r="CT208" s="1141"/>
      <c r="CU208" s="365"/>
      <c r="CV208" s="365"/>
      <c r="CW208" s="365"/>
      <c r="CX208" s="365"/>
      <c r="CY208" s="365"/>
      <c r="CZ208" s="365"/>
      <c r="DA208" s="365"/>
      <c r="DB208" s="365"/>
      <c r="DC208" s="365"/>
      <c r="DD208" s="365"/>
      <c r="DE208" s="14"/>
      <c r="DF208" s="14"/>
      <c r="DG208" s="14"/>
      <c r="DH208" s="14"/>
      <c r="DI208" s="14"/>
      <c r="DJ208" s="14"/>
      <c r="DK208" s="14"/>
      <c r="DL208" s="454"/>
      <c r="DM208" s="454"/>
      <c r="DN208" s="454"/>
      <c r="DO208" s="454"/>
      <c r="DP208" s="454"/>
      <c r="DQ208" s="454"/>
      <c r="DR208" s="14"/>
      <c r="DS208" s="14"/>
      <c r="DT208" s="14"/>
      <c r="DU208" s="14"/>
      <c r="DV208" s="365"/>
      <c r="DW208" s="365"/>
      <c r="DY208" s="14"/>
      <c r="DZ208" s="14"/>
    </row>
    <row r="209" spans="1:130" s="656" customFormat="1" ht="15.75" customHeight="1">
      <c r="A209" s="1452" t="s">
        <v>664</v>
      </c>
      <c r="B209" s="1452"/>
      <c r="C209" s="1453"/>
      <c r="D209" s="1453"/>
      <c r="E209" s="1453"/>
      <c r="F209" s="1453"/>
      <c r="G209" s="1454"/>
      <c r="H209" s="1454"/>
      <c r="I209" s="1454"/>
      <c r="J209" s="1454"/>
      <c r="K209" s="1455"/>
      <c r="L209" s="1455">
        <v>22115</v>
      </c>
      <c r="M209" s="1455">
        <v>27534</v>
      </c>
      <c r="N209" s="1455">
        <v>25247</v>
      </c>
      <c r="O209" s="1455">
        <v>33628</v>
      </c>
      <c r="P209" s="1455">
        <v>32238</v>
      </c>
      <c r="Q209" s="1455">
        <v>45724</v>
      </c>
      <c r="R209" s="1455">
        <v>43111</v>
      </c>
      <c r="S209" s="1455">
        <v>53043</v>
      </c>
      <c r="T209" s="1455">
        <v>46037</v>
      </c>
      <c r="U209" s="1455">
        <v>56514</v>
      </c>
      <c r="V209" s="1455">
        <v>53443</v>
      </c>
      <c r="W209" s="1455">
        <v>56530</v>
      </c>
      <c r="X209" s="1455">
        <v>30030</v>
      </c>
      <c r="Y209" s="1455">
        <v>41214</v>
      </c>
      <c r="Z209" s="1455">
        <v>40375</v>
      </c>
      <c r="AA209" s="1455">
        <v>47882</v>
      </c>
      <c r="AB209" s="1455">
        <v>46347</v>
      </c>
      <c r="AC209" s="1455">
        <v>57916</v>
      </c>
      <c r="AD209" s="1455">
        <v>50853</v>
      </c>
      <c r="AE209" s="1455">
        <v>42200</v>
      </c>
      <c r="AF209" s="1455">
        <v>37763</v>
      </c>
      <c r="AG209" s="1455">
        <v>53716</v>
      </c>
      <c r="AH209" s="1455">
        <v>39233</v>
      </c>
      <c r="AI209" s="1455">
        <v>47283</v>
      </c>
      <c r="AJ209" s="1455">
        <v>37491</v>
      </c>
      <c r="AK209" s="1455">
        <v>47480</v>
      </c>
      <c r="AL209" s="1455">
        <v>43211</v>
      </c>
      <c r="AM209" s="1455">
        <v>52071</v>
      </c>
      <c r="AN209" s="1455">
        <v>43029</v>
      </c>
      <c r="AO209" s="1455">
        <v>51094</v>
      </c>
      <c r="AP209" s="1455">
        <v>49356</v>
      </c>
      <c r="AQ209" s="1455">
        <f t="shared" ref="AQ209:BD209" si="1156">AP213</f>
        <v>55832</v>
      </c>
      <c r="AR209" s="1455">
        <f t="shared" si="1156"/>
        <v>13906</v>
      </c>
      <c r="AS209" s="1455">
        <f t="shared" si="1156"/>
        <v>13906</v>
      </c>
      <c r="AT209" s="1455">
        <f t="shared" si="1156"/>
        <v>13906.000000008538</v>
      </c>
      <c r="AU209" s="1455">
        <f t="shared" si="1156"/>
        <v>13906.000000000011</v>
      </c>
      <c r="AV209" s="1455">
        <f t="shared" si="1156"/>
        <v>13906.000000004275</v>
      </c>
      <c r="AW209" s="1455">
        <f t="shared" si="1156"/>
        <v>13906.000000000011</v>
      </c>
      <c r="AX209" s="1455">
        <f t="shared" si="1156"/>
        <v>13906.000000004275</v>
      </c>
      <c r="AY209" s="1455">
        <f t="shared" si="1156"/>
        <v>13906.000000000029</v>
      </c>
      <c r="AZ209" s="1455">
        <f t="shared" si="1156"/>
        <v>-5035.9999999999709</v>
      </c>
      <c r="BA209" s="1456">
        <f t="shared" si="1156"/>
        <v>7137.0000000000291</v>
      </c>
      <c r="BB209" s="1455">
        <f t="shared" si="1156"/>
        <v>947.0000000000291</v>
      </c>
      <c r="BC209" s="1456">
        <f t="shared" si="1156"/>
        <v>-3202.9999999999709</v>
      </c>
      <c r="BD209" s="1455">
        <f t="shared" si="1156"/>
        <v>-13551.999999999971</v>
      </c>
      <c r="BE209" s="1455">
        <f t="shared" ref="BE209:BV209" si="1157">BD213</f>
        <v>-3983.9999999999709</v>
      </c>
      <c r="BF209" s="1455">
        <f t="shared" si="1157"/>
        <v>-12286.999999999971</v>
      </c>
      <c r="BG209" s="1455">
        <f t="shared" si="1157"/>
        <v>-7998.9999999999709</v>
      </c>
      <c r="BH209" s="1455">
        <f t="shared" si="1157"/>
        <v>5499.0000000000291</v>
      </c>
      <c r="BI209" s="1455">
        <f t="shared" si="1157"/>
        <v>21125.000000000029</v>
      </c>
      <c r="BJ209" s="1455">
        <f t="shared" si="1157"/>
        <v>4135.0000000000291</v>
      </c>
      <c r="BK209" s="1455">
        <f t="shared" si="1157"/>
        <v>8353</v>
      </c>
      <c r="BL209" s="1455">
        <f t="shared" si="1157"/>
        <v>13906</v>
      </c>
      <c r="BM209" s="1455">
        <f t="shared" si="1157"/>
        <v>33383</v>
      </c>
      <c r="BN209" s="1455">
        <f t="shared" si="1157"/>
        <v>40542</v>
      </c>
      <c r="BO209" s="1455">
        <f t="shared" si="1157"/>
        <v>106848</v>
      </c>
      <c r="BP209" s="1455">
        <f t="shared" si="1157"/>
        <v>193956</v>
      </c>
      <c r="BQ209" s="1455">
        <f t="shared" si="1157"/>
        <v>250765</v>
      </c>
      <c r="BR209" s="1455">
        <f t="shared" si="1157"/>
        <v>250443</v>
      </c>
      <c r="BS209" s="1455">
        <f t="shared" si="1157"/>
        <v>206724</v>
      </c>
      <c r="BT209" s="1455">
        <f t="shared" si="1157"/>
        <v>141637</v>
      </c>
      <c r="BU209" s="1455">
        <f t="shared" si="1157"/>
        <v>154557</v>
      </c>
      <c r="BV209" s="1455">
        <f t="shared" si="1157"/>
        <v>168317</v>
      </c>
      <c r="BW209" s="1455">
        <f t="shared" ref="BW209:CD209" si="1158">BV213</f>
        <v>177889</v>
      </c>
      <c r="BX209" s="1455">
        <f t="shared" si="1158"/>
        <v>157573</v>
      </c>
      <c r="BY209" s="1455">
        <f t="shared" si="1158"/>
        <v>184366</v>
      </c>
      <c r="BZ209" s="1455">
        <f t="shared" si="1158"/>
        <v>203111</v>
      </c>
      <c r="CA209" s="1455">
        <f t="shared" si="1158"/>
        <v>210923</v>
      </c>
      <c r="CB209" s="1455">
        <f t="shared" si="1158"/>
        <v>185822</v>
      </c>
      <c r="CC209" s="1455">
        <f t="shared" si="1158"/>
        <v>170950</v>
      </c>
      <c r="CD209" s="1455">
        <f t="shared" si="1158"/>
        <v>155455</v>
      </c>
      <c r="CE209" s="1455">
        <f t="shared" ref="CE209" si="1159">CD213</f>
        <v>141413</v>
      </c>
      <c r="CF209" s="1455">
        <f t="shared" ref="CF209" si="1160">CE213</f>
        <v>119930</v>
      </c>
      <c r="CG209" s="1455">
        <f t="shared" ref="CG209" si="1161">CF213</f>
        <v>101419</v>
      </c>
      <c r="CH209" s="1455">
        <f t="shared" ref="CH209" si="1162">CG213</f>
        <v>94920</v>
      </c>
      <c r="CI209" s="1455">
        <f t="shared" ref="CI209" si="1163">CH213</f>
        <v>94214</v>
      </c>
      <c r="CJ209" s="1455">
        <f t="shared" ref="CJ209" si="1164">CI213</f>
        <v>103834</v>
      </c>
      <c r="CK209" s="1455">
        <f t="shared" ref="CK209" si="1165">CJ213</f>
        <v>131259</v>
      </c>
      <c r="CL209" s="1455">
        <f t="shared" ref="CL209" si="1166">CK213</f>
        <v>132450</v>
      </c>
      <c r="CM209" s="1455">
        <f t="shared" ref="CM209" si="1167">CL213</f>
        <v>153113.6589252</v>
      </c>
      <c r="CN209" s="1455">
        <f t="shared" ref="CN209" si="1168">CM213</f>
        <v>170325.84072307419</v>
      </c>
      <c r="CO209" s="1455">
        <f t="shared" ref="CO209" si="1169">CN213</f>
        <v>211007.21971035836</v>
      </c>
      <c r="CP209" s="1455">
        <f t="shared" ref="CP209" si="1170">CO213</f>
        <v>228476.51082243465</v>
      </c>
      <c r="CQ209" s="1455"/>
      <c r="CR209" s="1455"/>
      <c r="CS209" s="1455">
        <v>103834</v>
      </c>
      <c r="CT209" s="1457"/>
      <c r="CU209" s="1458"/>
      <c r="CV209" s="1458"/>
      <c r="CW209" s="1459"/>
      <c r="CX209" s="1454">
        <f>+O209</f>
        <v>33628</v>
      </c>
      <c r="CY209" s="1454">
        <f t="shared" ref="CY209:DL209" si="1171">+CX213</f>
        <v>46037</v>
      </c>
      <c r="CZ209" s="1454">
        <f t="shared" si="1171"/>
        <v>56530</v>
      </c>
      <c r="DA209" s="1454">
        <f t="shared" si="1171"/>
        <v>47882</v>
      </c>
      <c r="DB209" s="1454">
        <f t="shared" si="1171"/>
        <v>42200</v>
      </c>
      <c r="DC209" s="1454">
        <f t="shared" si="1171"/>
        <v>47283</v>
      </c>
      <c r="DD209" s="1454">
        <f t="shared" si="1171"/>
        <v>52071</v>
      </c>
      <c r="DE209" s="1454"/>
      <c r="DF209" s="1454">
        <f>+DE213</f>
        <v>13906.000000000011</v>
      </c>
      <c r="DG209" s="1454">
        <f>+DF213</f>
        <v>13906.000000000029</v>
      </c>
      <c r="DH209" s="1454">
        <f>+DG213</f>
        <v>-3202.9999999999709</v>
      </c>
      <c r="DI209" s="1454">
        <f>+DH213</f>
        <v>-7998.9999999999709</v>
      </c>
      <c r="DJ209" s="1454">
        <f>+DI213</f>
        <v>8353</v>
      </c>
      <c r="DK209" s="1454">
        <f t="shared" si="1171"/>
        <v>106848</v>
      </c>
      <c r="DL209" s="1454">
        <f t="shared" si="1171"/>
        <v>206724</v>
      </c>
      <c r="DM209" s="1454">
        <f>+DL213</f>
        <v>177889</v>
      </c>
      <c r="DN209" s="1454">
        <f>+DM213</f>
        <v>210923</v>
      </c>
      <c r="DO209" s="1454">
        <f>+DN213</f>
        <v>141413</v>
      </c>
      <c r="DP209" s="1454">
        <f>+DO213</f>
        <v>94214</v>
      </c>
      <c r="DQ209" s="1454">
        <f>+DP213</f>
        <v>153113.6589252</v>
      </c>
      <c r="DR209" s="1455">
        <f>DQ213</f>
        <v>250793.26246165065</v>
      </c>
      <c r="DS209" s="1455">
        <f t="shared" ref="DS209:DU209" si="1172">DR213</f>
        <v>276726.50001536228</v>
      </c>
      <c r="DT209" s="1455">
        <f t="shared" si="1172"/>
        <v>295000.05209187535</v>
      </c>
      <c r="DU209" s="1455">
        <f t="shared" si="1172"/>
        <v>310933.05264771299</v>
      </c>
      <c r="DV209" s="1452"/>
      <c r="DW209" s="1452"/>
      <c r="DY209" s="1455">
        <v>99242.993163315201</v>
      </c>
      <c r="DZ209" s="1455">
        <v>106720.8989852837</v>
      </c>
    </row>
    <row r="210" spans="1:130" s="656" customFormat="1" ht="15.75" customHeight="1">
      <c r="A210" s="1460" t="s">
        <v>665</v>
      </c>
      <c r="B210" s="1460"/>
      <c r="C210" s="1461"/>
      <c r="D210" s="1461"/>
      <c r="E210" s="1461"/>
      <c r="F210" s="1461"/>
      <c r="G210" s="1462"/>
      <c r="H210" s="1462"/>
      <c r="I210" s="1462"/>
      <c r="J210" s="1462"/>
      <c r="K210" s="1463">
        <v>-14015</v>
      </c>
      <c r="L210" s="1463">
        <v>5681</v>
      </c>
      <c r="M210" s="1463">
        <v>11087</v>
      </c>
      <c r="N210" s="1463">
        <v>9019</v>
      </c>
      <c r="O210" s="1463">
        <v>12490</v>
      </c>
      <c r="P210" s="1463">
        <v>-286</v>
      </c>
      <c r="Q210" s="1463">
        <v>18013</v>
      </c>
      <c r="R210" s="1463">
        <v>16468</v>
      </c>
      <c r="S210" s="1463">
        <v>23006</v>
      </c>
      <c r="T210" s="1463">
        <v>13323</v>
      </c>
      <c r="U210" s="1463">
        <v>24371</v>
      </c>
      <c r="V210" s="1463">
        <v>24613</v>
      </c>
      <c r="W210" s="1463">
        <v>43500</v>
      </c>
      <c r="X210" s="1463">
        <v>14716</v>
      </c>
      <c r="Y210" s="1463">
        <v>23739</v>
      </c>
      <c r="Z210" s="1463">
        <v>16893</v>
      </c>
      <c r="AA210" s="1463">
        <v>20435</v>
      </c>
      <c r="AB210" s="1463">
        <v>11431</v>
      </c>
      <c r="AC210" s="1463">
        <v>20363</v>
      </c>
      <c r="AD210" s="1463">
        <v>21253</v>
      </c>
      <c r="AE210" s="1463">
        <v>17537</v>
      </c>
      <c r="AF210" s="1463">
        <v>5847</v>
      </c>
      <c r="AG210" s="1463">
        <v>31083</v>
      </c>
      <c r="AH210" s="1463">
        <v>22750</v>
      </c>
      <c r="AI210" s="1463">
        <v>23192</v>
      </c>
      <c r="AJ210" s="1463">
        <v>16511</v>
      </c>
      <c r="AK210" s="1463">
        <v>23569</v>
      </c>
      <c r="AL210" s="1463">
        <v>23840</v>
      </c>
      <c r="AM210" s="1463">
        <v>25042</v>
      </c>
      <c r="AN210" s="1463">
        <v>18135</v>
      </c>
      <c r="AO210" s="1463">
        <v>24038</v>
      </c>
      <c r="AP210" s="1463">
        <v>25624</v>
      </c>
      <c r="AQ210" s="1558">
        <v>56926</v>
      </c>
      <c r="AR210" s="1558">
        <v>38000</v>
      </c>
      <c r="AS210" s="1558">
        <v>29899.999999991465</v>
      </c>
      <c r="AT210" s="1558">
        <v>34200.000000008527</v>
      </c>
      <c r="AU210" s="1558">
        <v>24799.999999995736</v>
      </c>
      <c r="AV210" s="1558">
        <v>45100.000000004264</v>
      </c>
      <c r="AW210" s="1558">
        <v>41699.999999995736</v>
      </c>
      <c r="AX210" s="1464">
        <v>53200.000000004249</v>
      </c>
      <c r="AY210" s="1464">
        <v>52757</v>
      </c>
      <c r="AZ210" s="1464">
        <f>96929-AY210</f>
        <v>44172</v>
      </c>
      <c r="BA210" s="1464">
        <f>150666-AZ210-AY210</f>
        <v>53737</v>
      </c>
      <c r="BB210" s="1464">
        <f>207826-BA210-AZ210-AY210</f>
        <v>57160</v>
      </c>
      <c r="BC210" s="1465">
        <v>48228</v>
      </c>
      <c r="BD210" s="1465">
        <f>88380-BC210</f>
        <v>40152</v>
      </c>
      <c r="BE210" s="1465">
        <f>140565-BD210-BC210</f>
        <v>52185</v>
      </c>
      <c r="BF210" s="1465">
        <f>195535-BE210-BD210-BC210</f>
        <v>54970</v>
      </c>
      <c r="BG210" s="1465">
        <v>45227</v>
      </c>
      <c r="BH210" s="1465">
        <f>85155-BG210</f>
        <v>39928</v>
      </c>
      <c r="BI210" s="1465">
        <f>141256-BH210-BG210</f>
        <v>56101</v>
      </c>
      <c r="BJ210" s="1466">
        <f>195693-BI210-BH210-BG210</f>
        <v>54437</v>
      </c>
      <c r="BK210" s="1466">
        <v>45213</v>
      </c>
      <c r="BL210" s="1466">
        <f>84820-BK210</f>
        <v>39607</v>
      </c>
      <c r="BM210" s="1466">
        <f>143020-BL210-BK210</f>
        <v>58200</v>
      </c>
      <c r="BN210" s="1466">
        <f>8750-BM210-BL210-BK210</f>
        <v>-134270</v>
      </c>
      <c r="BO210" s="1466">
        <v>2884</v>
      </c>
      <c r="BP210" s="1466">
        <f>22962-BO210</f>
        <v>20078</v>
      </c>
      <c r="BQ210" s="1466">
        <f>69418-BP210-BO210</f>
        <v>46456</v>
      </c>
      <c r="BR210" s="1466">
        <f>116917-BQ210-BP210-BO210</f>
        <v>47499</v>
      </c>
      <c r="BS210" s="1466">
        <v>88592</v>
      </c>
      <c r="BT210" s="1466">
        <f>136079-BS210</f>
        <v>47487</v>
      </c>
      <c r="BU210" s="1466">
        <f>156517-BT210-BS210</f>
        <v>20438</v>
      </c>
      <c r="BV210" s="1466">
        <f>188494-BU210-BT210-BS210</f>
        <v>31977</v>
      </c>
      <c r="BW210" s="1466">
        <v>59729</v>
      </c>
      <c r="BX210" s="1466">
        <f>99216-BW210</f>
        <v>39487</v>
      </c>
      <c r="BY210" s="1466">
        <f>141306-BX210-BW210</f>
        <v>42090</v>
      </c>
      <c r="BZ210" s="1466">
        <f>186640-BY210-BX210-BW210</f>
        <v>45334</v>
      </c>
      <c r="CA210" s="1466">
        <v>67906</v>
      </c>
      <c r="CB210" s="1466">
        <f>134035-CA210</f>
        <v>66129</v>
      </c>
      <c r="CC210" s="1466">
        <f>189933-CB210-CA210</f>
        <v>55898</v>
      </c>
      <c r="CD210" s="1466">
        <f>232763-CC210-CB210-CA210</f>
        <v>42830</v>
      </c>
      <c r="CE210" s="1466">
        <v>45341</v>
      </c>
      <c r="CF210" s="1466">
        <f>86505-CE210</f>
        <v>41164</v>
      </c>
      <c r="CG210" s="1466">
        <f>118003-CF210-CE210</f>
        <v>31498</v>
      </c>
      <c r="CH210" s="1466">
        <f>144490-CG210-CF210-CE210</f>
        <v>26487</v>
      </c>
      <c r="CI210" s="1466">
        <v>6000</v>
      </c>
      <c r="CJ210" s="1466">
        <v>6000</v>
      </c>
      <c r="CK210" s="1466">
        <f>38024-CJ210-CI210</f>
        <v>26024</v>
      </c>
      <c r="CL210" s="1467">
        <f>CL211*(AVERAGE(CK202))</f>
        <v>20679.504580000008</v>
      </c>
      <c r="CM210" s="1467">
        <f t="shared" ref="CM210:CP210" si="1173">CM211*(AVERAGE(CL202))</f>
        <v>21652.49070615918</v>
      </c>
      <c r="CN210" s="1467">
        <f t="shared" si="1173"/>
        <v>21836.140046544017</v>
      </c>
      <c r="CO210" s="1467">
        <f t="shared" si="1173"/>
        <v>26424.339787891702</v>
      </c>
      <c r="CP210" s="1467">
        <f t="shared" si="1173"/>
        <v>25980.898655100464</v>
      </c>
      <c r="CQ210" s="1467"/>
      <c r="CR210" s="1467"/>
      <c r="CS210" s="1467">
        <v>5159.7420150000007</v>
      </c>
      <c r="CT210" s="1457"/>
      <c r="CU210" s="1468"/>
      <c r="CV210" s="1468"/>
      <c r="CW210" s="1469"/>
      <c r="CX210" s="1469">
        <f>SUM(O210:R210)</f>
        <v>46685</v>
      </c>
      <c r="CY210" s="1469">
        <f>SUM(S210:V210)</f>
        <v>85313</v>
      </c>
      <c r="CZ210" s="1469">
        <f>SUM(W210:Z210)</f>
        <v>98848</v>
      </c>
      <c r="DA210" s="1469">
        <f>SUM(AA210:AD210)</f>
        <v>73482</v>
      </c>
      <c r="DB210" s="1469">
        <f>SUM(AE210:AH210)</f>
        <v>77217</v>
      </c>
      <c r="DC210" s="1469">
        <f>+SUM(AI210:AL210)</f>
        <v>87112</v>
      </c>
      <c r="DD210" s="1469">
        <f>+SUM(AM210:AP210)</f>
        <v>92839</v>
      </c>
      <c r="DE210" s="1469">
        <f>+SUM(AQ210:AT210)</f>
        <v>159026</v>
      </c>
      <c r="DF210" s="1462">
        <f>+SUM(AU210:AX210)</f>
        <v>164800</v>
      </c>
      <c r="DG210" s="1462">
        <f>+SUM(AY210:BB210)</f>
        <v>207826</v>
      </c>
      <c r="DH210" s="1462">
        <f>+SUM(BC210:BF210)</f>
        <v>195535</v>
      </c>
      <c r="DI210" s="1462">
        <f>+SUM(BG210:BJ210)</f>
        <v>195693</v>
      </c>
      <c r="DJ210" s="1462">
        <f>+SUM(BK210:BN210)</f>
        <v>8750</v>
      </c>
      <c r="DK210" s="1462">
        <f>+SUM(BO210:BR210)</f>
        <v>116917</v>
      </c>
      <c r="DL210" s="1462">
        <f>+SUM(BS210:BV210)</f>
        <v>188494</v>
      </c>
      <c r="DM210" s="1462">
        <f>+SUM(BW210:BZ210)</f>
        <v>186640</v>
      </c>
      <c r="DN210" s="1462">
        <f>+SUM(CA210:CD210)</f>
        <v>232763</v>
      </c>
      <c r="DO210" s="1462">
        <f>+SUM(CE210:CH210)</f>
        <v>144490</v>
      </c>
      <c r="DP210" s="1462">
        <f>+SUM(CI210:CL210)</f>
        <v>58703.504580000008</v>
      </c>
      <c r="DQ210" s="1462">
        <f>+SUM(CM210:CP210)</f>
        <v>95893.869195695355</v>
      </c>
      <c r="DR210" s="1467">
        <f t="shared" ref="DR210:DU210" si="1174">DR211*(AVERAGE(DQ207))</f>
        <v>117430.36517517136</v>
      </c>
      <c r="DS210" s="1467">
        <f t="shared" si="1174"/>
        <v>133691.86681610293</v>
      </c>
      <c r="DT210" s="1467">
        <f t="shared" si="1174"/>
        <v>145150.34347033527</v>
      </c>
      <c r="DU210" s="1467">
        <f t="shared" si="1174"/>
        <v>155141.17142411831</v>
      </c>
      <c r="DV210" s="1460"/>
      <c r="DW210" s="1460"/>
      <c r="DY210" s="1467">
        <v>105227.75486540978</v>
      </c>
      <c r="DZ210" s="1467">
        <v>112705.66068737829</v>
      </c>
    </row>
    <row r="211" spans="1:130" s="656" customFormat="1" ht="15.75" customHeight="1">
      <c r="A211" s="1460" t="s">
        <v>666</v>
      </c>
      <c r="B211" s="1460"/>
      <c r="C211" s="1461"/>
      <c r="D211" s="1461"/>
      <c r="E211" s="1461"/>
      <c r="F211" s="1461"/>
      <c r="G211" s="1462"/>
      <c r="H211" s="1462"/>
      <c r="I211" s="1462"/>
      <c r="J211" s="1470" t="e">
        <v>#DIV/0!</v>
      </c>
      <c r="K211" s="1470" t="e">
        <v>#DIV/0!</v>
      </c>
      <c r="L211" s="1470" t="e">
        <v>#DIV/0!</v>
      </c>
      <c r="M211" s="1470" t="e">
        <v>#DIV/0!</v>
      </c>
      <c r="N211" s="1470" t="e">
        <v>#DIV/0!</v>
      </c>
      <c r="O211" s="1471">
        <v>2.6028316474319701E-2</v>
      </c>
      <c r="P211" s="1471">
        <v>-5.7174100132639913E-4</v>
      </c>
      <c r="Q211" s="1471">
        <v>3.5989794266967433E-2</v>
      </c>
      <c r="R211" s="1471">
        <v>2.8868285380215374E-2</v>
      </c>
      <c r="S211" s="1471">
        <v>3.7836637693553825E-2</v>
      </c>
      <c r="T211" s="1471">
        <v>2.3514565334415843E-2</v>
      </c>
      <c r="U211" s="1471">
        <v>4.4345296852923224E-2</v>
      </c>
      <c r="V211" s="1471">
        <v>4.2095919451126541E-2</v>
      </c>
      <c r="W211" s="1471">
        <v>7.473161044043547E-2</v>
      </c>
      <c r="X211" s="1471">
        <v>2.7352473497412239E-2</v>
      </c>
      <c r="Y211" s="1471">
        <v>4.4301287572069602E-2</v>
      </c>
      <c r="Z211" s="1471">
        <v>2.8195648726914636E-2</v>
      </c>
      <c r="AA211" s="1471">
        <v>3.2647212006377671E-2</v>
      </c>
      <c r="AB211" s="1471">
        <v>1.949533167731312E-2</v>
      </c>
      <c r="AC211" s="1471">
        <v>3.4799415879764879E-2</v>
      </c>
      <c r="AD211" s="1471">
        <v>3.2459097764456581E-2</v>
      </c>
      <c r="AE211" s="1471">
        <v>2.5269616301546623E-2</v>
      </c>
      <c r="AF211" s="1471">
        <v>8.7879880963116601E-3</v>
      </c>
      <c r="AG211" s="1471">
        <v>4.7367422496287392E-2</v>
      </c>
      <c r="AH211" s="1471">
        <v>3.1339908515018701E-2</v>
      </c>
      <c r="AI211" s="1471">
        <v>3.035051891770929E-2</v>
      </c>
      <c r="AJ211" s="1471">
        <v>2.2866615793489989E-2</v>
      </c>
      <c r="AK211" s="1471">
        <v>3.2309471244104507E-2</v>
      </c>
      <c r="AL211" s="1471">
        <v>2.8517991515179791E-2</v>
      </c>
      <c r="AM211" s="1471">
        <v>2.8029558524939165E-2</v>
      </c>
      <c r="AN211" s="1471">
        <v>2.1735323802390849E-2</v>
      </c>
      <c r="AO211" s="1471">
        <v>2.9145762885311701E-2</v>
      </c>
      <c r="AP211" s="1471">
        <v>2.6981748569779893E-2</v>
      </c>
      <c r="AQ211" s="1471">
        <f t="shared" ref="AQ211:CH211" si="1175">AQ210/AVERAGE(AP199:AQ199)</f>
        <v>0.96007150868139002</v>
      </c>
      <c r="AR211" s="1471">
        <f t="shared" si="1175"/>
        <v>0.82418774129180583</v>
      </c>
      <c r="AS211" s="1471">
        <f t="shared" si="1175"/>
        <v>0.52970511900634165</v>
      </c>
      <c r="AT211" s="1471">
        <f t="shared" si="1175"/>
        <v>0.61639391536314125</v>
      </c>
      <c r="AU211" s="1471">
        <f t="shared" si="1175"/>
        <v>0.51335127302827022</v>
      </c>
      <c r="AV211" s="1471">
        <f t="shared" si="1175"/>
        <v>0.80459975385599258</v>
      </c>
      <c r="AW211" s="1471">
        <f t="shared" si="1175"/>
        <v>0.61125129699493608</v>
      </c>
      <c r="AX211" s="1471">
        <f t="shared" si="1175"/>
        <v>0.80478027380688677</v>
      </c>
      <c r="AY211" s="1471">
        <f t="shared" si="1175"/>
        <v>0.91162316511581698</v>
      </c>
      <c r="AZ211" s="1471">
        <f t="shared" si="1175"/>
        <v>0.74943375098616405</v>
      </c>
      <c r="BA211" s="1471">
        <f t="shared" si="1175"/>
        <v>0.81886824079788489</v>
      </c>
      <c r="BB211" s="1471">
        <f t="shared" si="1175"/>
        <v>0.94579389767688138</v>
      </c>
      <c r="BC211" s="1471">
        <f t="shared" si="1175"/>
        <v>1.0006120522422897</v>
      </c>
      <c r="BD211" s="1471">
        <f t="shared" si="1175"/>
        <v>1.0063284001052646</v>
      </c>
      <c r="BE211" s="1471">
        <f t="shared" si="1175"/>
        <v>1.0663845831877796</v>
      </c>
      <c r="BF211" s="1471">
        <f t="shared" si="1175"/>
        <v>0.9760127288735686</v>
      </c>
      <c r="BG211" s="1471">
        <f t="shared" si="1175"/>
        <v>0.90401171255060553</v>
      </c>
      <c r="BH211" s="1471">
        <f t="shared" si="1175"/>
        <v>0.70981316438434638</v>
      </c>
      <c r="BI211" s="1471">
        <f t="shared" si="1175"/>
        <v>0.87388028485682534</v>
      </c>
      <c r="BJ211" s="1471">
        <f t="shared" si="1175"/>
        <v>0.94759929269407683</v>
      </c>
      <c r="BK211" s="1471">
        <f t="shared" si="1175"/>
        <v>0.92849057422980508</v>
      </c>
      <c r="BL211" s="1471">
        <f t="shared" si="1175"/>
        <v>0.71130272540925288</v>
      </c>
      <c r="BM211" s="1471">
        <f t="shared" si="1175"/>
        <v>0.7398587712956366</v>
      </c>
      <c r="BN211" s="1471">
        <f t="shared" si="1175"/>
        <v>-1.2917955198630489</v>
      </c>
      <c r="BO211" s="1471">
        <f t="shared" si="1175"/>
        <v>2.12144603580279E-2</v>
      </c>
      <c r="BP211" s="1471">
        <f t="shared" si="1175"/>
        <v>8.8684836191266395E-2</v>
      </c>
      <c r="BQ211" s="1471">
        <f t="shared" si="1175"/>
        <v>0.17462670497499491</v>
      </c>
      <c r="BR211" s="1471">
        <f t="shared" si="1175"/>
        <v>0.2273903607388281</v>
      </c>
      <c r="BS211" s="1471">
        <f t="shared" si="1175"/>
        <v>0.60052609092246645</v>
      </c>
      <c r="BT211" s="1471">
        <f t="shared" si="1175"/>
        <v>0.38743391423536322</v>
      </c>
      <c r="BU211" s="1471">
        <f t="shared" si="1175"/>
        <v>0.14404572701227397</v>
      </c>
      <c r="BV211" s="1471">
        <f t="shared" si="1175"/>
        <v>0.20921947533196589</v>
      </c>
      <c r="BW211" s="1471">
        <f t="shared" si="1175"/>
        <v>0.40327867745605417</v>
      </c>
      <c r="BX211" s="1471">
        <f t="shared" si="1175"/>
        <v>0.25088394227134247</v>
      </c>
      <c r="BY211" s="1471">
        <f t="shared" si="1175"/>
        <v>0.22499538943874101</v>
      </c>
      <c r="BZ211" s="1471">
        <f t="shared" si="1175"/>
        <v>0.22141039604202178</v>
      </c>
      <c r="CA211" s="1471">
        <f t="shared" si="1175"/>
        <v>0.34675640344785325</v>
      </c>
      <c r="CB211" s="1471">
        <f t="shared" si="1175"/>
        <v>0.37886179327571734</v>
      </c>
      <c r="CC211" s="1471">
        <f t="shared" si="1175"/>
        <v>0.35246862980011351</v>
      </c>
      <c r="CD211" s="1471">
        <f t="shared" si="1175"/>
        <v>0.30243757767483898</v>
      </c>
      <c r="CE211" s="1471">
        <f t="shared" si="1175"/>
        <v>0.37324761065880785</v>
      </c>
      <c r="CF211" s="1471">
        <f t="shared" si="1175"/>
        <v>0.37536741526195305</v>
      </c>
      <c r="CG211" s="1471">
        <f t="shared" si="1175"/>
        <v>0.30587604153803</v>
      </c>
      <c r="CH211" s="1471">
        <f t="shared" si="1175"/>
        <v>0.28181887457200866</v>
      </c>
      <c r="CI211" s="1471">
        <f>+CI210/CI202</f>
        <v>0.17442732551038212</v>
      </c>
      <c r="CJ211" s="1471">
        <f>+CJ210/CJ202</f>
        <v>0.11213445806636814</v>
      </c>
      <c r="CK211" s="1471">
        <f>+CK210/CJ202</f>
        <v>0.48636452278652742</v>
      </c>
      <c r="CL211" s="1472">
        <v>0.5</v>
      </c>
      <c r="CM211" s="1472">
        <v>0.5</v>
      </c>
      <c r="CN211" s="1472">
        <v>0.5</v>
      </c>
      <c r="CO211" s="1472">
        <v>0.5</v>
      </c>
      <c r="CP211" s="1472">
        <v>0.5</v>
      </c>
      <c r="CQ211" s="1472"/>
      <c r="CR211" s="1472"/>
      <c r="CS211" s="1472">
        <v>0.15</v>
      </c>
      <c r="CT211" s="1457"/>
      <c r="CU211" s="1473"/>
      <c r="CV211" s="1473"/>
      <c r="CW211" s="1473"/>
      <c r="CX211" s="1471">
        <f t="shared" ref="CX211:DD211" si="1176">CX210/AVERAGE(CW166:CX166)</f>
        <v>7.5063269565329244E-2</v>
      </c>
      <c r="CY211" s="1471">
        <f t="shared" si="1176"/>
        <v>0.1304169036132054</v>
      </c>
      <c r="CZ211" s="1471">
        <f t="shared" si="1176"/>
        <v>0.14819056928217944</v>
      </c>
      <c r="DA211" s="1471">
        <f t="shared" si="1176"/>
        <v>0.10259045004959753</v>
      </c>
      <c r="DB211" s="1471">
        <f t="shared" si="1176"/>
        <v>9.8074318123941434E-2</v>
      </c>
      <c r="DC211" s="1471">
        <f t="shared" si="1176"/>
        <v>9.7573597152721972E-2</v>
      </c>
      <c r="DD211" s="1471">
        <f t="shared" si="1176"/>
        <v>9.0746565688357844E-2</v>
      </c>
      <c r="DE211" s="1471">
        <f t="shared" ref="DE211:DO211" si="1177">DE210/AVERAGE(DD199)</f>
        <v>1.9848972765171373</v>
      </c>
      <c r="DF211" s="1471">
        <f t="shared" si="1177"/>
        <v>3.1803620363580225</v>
      </c>
      <c r="DG211" s="1471">
        <f t="shared" si="1177"/>
        <v>3.2950596144089297</v>
      </c>
      <c r="DH211" s="1471">
        <f t="shared" si="1177"/>
        <v>3.5658794565514724</v>
      </c>
      <c r="DI211" s="1471">
        <f t="shared" si="1177"/>
        <v>3.6918877736018048</v>
      </c>
      <c r="DJ211" s="1471">
        <f t="shared" si="1177"/>
        <v>0.16843112890811696</v>
      </c>
      <c r="DK211" s="1471">
        <f t="shared" si="1177"/>
        <v>1.003766843078711</v>
      </c>
      <c r="DL211" s="1471">
        <f t="shared" si="1177"/>
        <v>1.0294763859708218</v>
      </c>
      <c r="DM211" s="1471">
        <f t="shared" si="1177"/>
        <v>1.2034069880652254</v>
      </c>
      <c r="DN211" s="1471">
        <f t="shared" si="1177"/>
        <v>1.1135920007654769</v>
      </c>
      <c r="DO211" s="1471">
        <f t="shared" si="1177"/>
        <v>1.0904823359823699</v>
      </c>
      <c r="DP211" s="1471">
        <f>DP210/AVERAGE(DO207)</f>
        <v>0.64585622071387483</v>
      </c>
      <c r="DQ211" s="1471">
        <f>DQ210/AVERAGE(DP207)</f>
        <v>0.62705250770373622</v>
      </c>
      <c r="DR211" s="1472">
        <f t="shared" ref="DR211:DU211" si="1178">+DQ211</f>
        <v>0.62705250770373622</v>
      </c>
      <c r="DS211" s="1472">
        <f t="shared" si="1178"/>
        <v>0.62705250770373622</v>
      </c>
      <c r="DT211" s="1472">
        <f t="shared" si="1178"/>
        <v>0.62705250770373622</v>
      </c>
      <c r="DU211" s="1472">
        <f t="shared" si="1178"/>
        <v>0.62705250770373622</v>
      </c>
      <c r="DV211" s="1460"/>
      <c r="DW211" s="1460"/>
      <c r="DY211" s="1472">
        <v>1</v>
      </c>
      <c r="DZ211" s="1472">
        <v>1</v>
      </c>
    </row>
    <row r="212" spans="1:130" s="1480" customFormat="1" ht="15.75" customHeight="1">
      <c r="A212" s="1474" t="s">
        <v>667</v>
      </c>
      <c r="B212" s="1474"/>
      <c r="C212" s="1475"/>
      <c r="D212" s="1475"/>
      <c r="E212" s="1475"/>
      <c r="F212" s="1475"/>
      <c r="G212" s="1476"/>
      <c r="H212" s="1476"/>
      <c r="I212" s="1476"/>
      <c r="J212" s="1476"/>
      <c r="K212" s="1477">
        <v>-8100</v>
      </c>
      <c r="L212" s="1477">
        <v>-11100</v>
      </c>
      <c r="M212" s="1477">
        <v>-8800</v>
      </c>
      <c r="N212" s="1477">
        <v>-17400</v>
      </c>
      <c r="O212" s="1477">
        <v>-11100</v>
      </c>
      <c r="P212" s="1477">
        <v>-13200</v>
      </c>
      <c r="Q212" s="1477">
        <v>-15399.999999999998</v>
      </c>
      <c r="R212" s="1477">
        <v>-26400</v>
      </c>
      <c r="S212" s="1477">
        <v>-16000</v>
      </c>
      <c r="T212" s="1477">
        <v>-23800</v>
      </c>
      <c r="U212" s="1477">
        <v>-21300</v>
      </c>
      <c r="V212" s="1477">
        <v>-27700</v>
      </c>
      <c r="W212" s="1477">
        <v>-17000</v>
      </c>
      <c r="X212" s="1477">
        <v>-25900</v>
      </c>
      <c r="Y212" s="1477">
        <v>-22900</v>
      </c>
      <c r="Z212" s="1477">
        <v>-24400</v>
      </c>
      <c r="AA212" s="1477">
        <v>-18900</v>
      </c>
      <c r="AB212" s="1477">
        <v>-23000</v>
      </c>
      <c r="AC212" s="1477">
        <v>-13300</v>
      </c>
      <c r="AD212" s="1477">
        <v>-12600</v>
      </c>
      <c r="AE212" s="1477">
        <v>-13100.000000000002</v>
      </c>
      <c r="AF212" s="1477">
        <v>-21800</v>
      </c>
      <c r="AG212" s="1477">
        <v>-16600</v>
      </c>
      <c r="AH212" s="1477">
        <v>-30799.999999999996</v>
      </c>
      <c r="AI212" s="1477">
        <v>-13399.999999999998</v>
      </c>
      <c r="AJ212" s="1477">
        <v>-26500</v>
      </c>
      <c r="AK212" s="1477">
        <v>-19300</v>
      </c>
      <c r="AL212" s="1477">
        <v>-32700.000000000004</v>
      </c>
      <c r="AM212" s="1477">
        <v>-16000</v>
      </c>
      <c r="AN212" s="1477">
        <v>-26200.000000000004</v>
      </c>
      <c r="AO212" s="1477">
        <v>-22300</v>
      </c>
      <c r="AP212" s="1477">
        <v>-32100</v>
      </c>
      <c r="AQ212" s="1559">
        <v>-15000</v>
      </c>
      <c r="AR212" s="1559">
        <v>-38000</v>
      </c>
      <c r="AS212" s="1559">
        <v>-29900.000000000004</v>
      </c>
      <c r="AT212" s="1559">
        <v>-34200</v>
      </c>
      <c r="AU212" s="1559">
        <v>-24800</v>
      </c>
      <c r="AV212" s="1559">
        <v>-45100</v>
      </c>
      <c r="AW212" s="1559">
        <v>-41700</v>
      </c>
      <c r="AX212" s="1559">
        <v>-53200</v>
      </c>
      <c r="AY212" s="1478">
        <v>-33815</v>
      </c>
      <c r="AZ212" s="1478">
        <f>-90160-AY212</f>
        <v>-56345</v>
      </c>
      <c r="BA212" s="1478">
        <f>-137707-AZ212-AY212</f>
        <v>-47547</v>
      </c>
      <c r="BB212" s="1478">
        <f>-190717-BA212-AZ212-AY212</f>
        <v>-53010</v>
      </c>
      <c r="BC212" s="1479">
        <v>-37879</v>
      </c>
      <c r="BD212" s="1478">
        <f>-87599-BC212</f>
        <v>-49720</v>
      </c>
      <c r="BE212" s="1478">
        <f>-131481-BD212-BC212</f>
        <v>-43882</v>
      </c>
      <c r="BF212" s="1479">
        <f>-190739-BE212-BD212-BC212</f>
        <v>-59258</v>
      </c>
      <c r="BG212" s="1478">
        <f>-42156-16569</f>
        <v>-58725</v>
      </c>
      <c r="BH212" s="1478">
        <f>-16569-97710-BG212</f>
        <v>-55554</v>
      </c>
      <c r="BI212" s="1478">
        <f>-16569-136821-BH212-BG212</f>
        <v>-39111</v>
      </c>
      <c r="BJ212" s="1478">
        <f>-190053-16569-BI212-BH212-BG212</f>
        <v>-53232</v>
      </c>
      <c r="BK212" s="1478">
        <v>-50766</v>
      </c>
      <c r="BL212" s="1478">
        <f>-94622-BK212-15228</f>
        <v>-59084</v>
      </c>
      <c r="BM212" s="1478">
        <f>-133636-BL212-BK212-41573</f>
        <v>-65359</v>
      </c>
      <c r="BN212" s="1478">
        <f>-107245-BM212-BL212-BK212</f>
        <v>67964</v>
      </c>
      <c r="BO212" s="1478">
        <v>-89992</v>
      </c>
      <c r="BP212" s="1478">
        <f>-166879-BO212</f>
        <v>-76887</v>
      </c>
      <c r="BQ212" s="1478">
        <f>-213013-BP212-BO212</f>
        <v>-46134</v>
      </c>
      <c r="BR212" s="1478">
        <f>-216793-BQ212-BP212-BO212</f>
        <v>-3780</v>
      </c>
      <c r="BS212" s="1478">
        <v>-23505</v>
      </c>
      <c r="BT212" s="1478">
        <f>-83912-BS212</f>
        <v>-60407</v>
      </c>
      <c r="BU212" s="1478">
        <f>-118110-BT212-BS212</f>
        <v>-34198</v>
      </c>
      <c r="BV212" s="1478">
        <f>-159659-BU212-BT212-BS212</f>
        <v>-41549</v>
      </c>
      <c r="BW212" s="1478">
        <v>-39413</v>
      </c>
      <c r="BX212" s="1478">
        <f>-105693-BW212</f>
        <v>-66280</v>
      </c>
      <c r="BY212" s="1478">
        <f>-166528-BX212-BW212</f>
        <v>-60835</v>
      </c>
      <c r="BZ212" s="1478">
        <f>-219674-BY212-BX212-BW212</f>
        <v>-53146</v>
      </c>
      <c r="CA212" s="1478">
        <v>-42805</v>
      </c>
      <c r="CB212" s="1478">
        <f>-94062-CA212</f>
        <v>-51257</v>
      </c>
      <c r="CC212" s="1478">
        <f>-134465-CB212-CA212</f>
        <v>-40403</v>
      </c>
      <c r="CD212" s="1478">
        <f>-163253-CC212-CB212-CA212</f>
        <v>-28788</v>
      </c>
      <c r="CE212" s="1478">
        <v>-23858</v>
      </c>
      <c r="CF212" s="1478">
        <f>-46511-CE212</f>
        <v>-22653</v>
      </c>
      <c r="CG212" s="1478">
        <f>-71510-CF212-CE212</f>
        <v>-24999</v>
      </c>
      <c r="CH212" s="1478">
        <f>-97291-CG212-CF212-CE212</f>
        <v>-25781</v>
      </c>
      <c r="CI212" s="1478">
        <v>-15620</v>
      </c>
      <c r="CJ212" s="1478">
        <f>-49045-CI212</f>
        <v>-33425</v>
      </c>
      <c r="CK212" s="1478">
        <f>-76260-CJ212-CI212</f>
        <v>-27215</v>
      </c>
      <c r="CL212" s="2081">
        <f>CL221*CL224-CL210</f>
        <v>-41343.163505200006</v>
      </c>
      <c r="CM212" s="2081">
        <f t="shared" ref="CM212:CP212" si="1179">CM221*CM224-CM210</f>
        <v>-38864.672504033369</v>
      </c>
      <c r="CN212" s="2081">
        <f t="shared" si="1179"/>
        <v>-62517.51903382819</v>
      </c>
      <c r="CO212" s="2081">
        <f t="shared" si="1179"/>
        <v>-43893.630899968004</v>
      </c>
      <c r="CP212" s="2081">
        <f t="shared" si="1179"/>
        <v>-48297.650294316467</v>
      </c>
      <c r="CQ212" s="1476"/>
      <c r="CR212" s="1477"/>
      <c r="CS212" s="2081">
        <v>-43617.444901382623</v>
      </c>
      <c r="CT212" s="1134">
        <f>+CI212/CS212-1</f>
        <v>-0.64188640496213789</v>
      </c>
      <c r="CU212" s="1474"/>
      <c r="CV212" s="1474"/>
      <c r="CW212" s="1474"/>
      <c r="CX212" s="1474">
        <f>SUM(O212:R212)</f>
        <v>-66100</v>
      </c>
      <c r="CY212" s="1474">
        <f>SUM(S212:V212)</f>
        <v>-88800</v>
      </c>
      <c r="CZ212" s="1474">
        <f>SUM(W212:Z212)</f>
        <v>-90200</v>
      </c>
      <c r="DA212" s="1474">
        <f>SUM(AA212:AD212)</f>
        <v>-67800</v>
      </c>
      <c r="DB212" s="1474">
        <f>SUM(AE212:AH212)</f>
        <v>-82300</v>
      </c>
      <c r="DC212" s="1474">
        <f>+SUM(AI212:AL212)</f>
        <v>-91900</v>
      </c>
      <c r="DD212" s="1474">
        <f>+SUM(AM212:AP212)</f>
        <v>-96600</v>
      </c>
      <c r="DE212" s="1474">
        <f>+SUM(AQ212:AT212)</f>
        <v>-117100</v>
      </c>
      <c r="DF212" s="1476">
        <f>+SUM(AU212:AX212)</f>
        <v>-164800</v>
      </c>
      <c r="DG212" s="1476">
        <f>+SUM(AY212:BB212)</f>
        <v>-190717</v>
      </c>
      <c r="DH212" s="1476">
        <f>+SUM(BC212:BF212)</f>
        <v>-190739</v>
      </c>
      <c r="DI212" s="1476">
        <f>+SUM(BG212:BJ212)</f>
        <v>-206622</v>
      </c>
      <c r="DJ212" s="1476">
        <f>+SUM(BK212:BN212)</f>
        <v>-107245</v>
      </c>
      <c r="DK212" s="1476">
        <f>+SUM(BO212:BR212)</f>
        <v>-216793</v>
      </c>
      <c r="DL212" s="1476">
        <f>+SUM(BS212:BV212)</f>
        <v>-159659</v>
      </c>
      <c r="DM212" s="1476">
        <f>+SUM(BW212:BZ212)</f>
        <v>-219674</v>
      </c>
      <c r="DN212" s="1476">
        <f>+SUM(CA212:CD212)</f>
        <v>-163253</v>
      </c>
      <c r="DO212" s="1476">
        <f>+SUM(CE212:CH212)</f>
        <v>-97291</v>
      </c>
      <c r="DP212" s="1476">
        <f>+SUM(CI212:CL212)</f>
        <v>-117603.16350520001</v>
      </c>
      <c r="DQ212" s="1476">
        <f>+SUM(CM212:CP212)</f>
        <v>-193573.47273214604</v>
      </c>
      <c r="DR212" s="2081">
        <f>DR221*DR224</f>
        <v>-143363.60272888298</v>
      </c>
      <c r="DS212" s="2081">
        <f t="shared" ref="DS212:DU212" si="1180">DS221*DS224</f>
        <v>-151965.41889261597</v>
      </c>
      <c r="DT212" s="2081">
        <f t="shared" si="1180"/>
        <v>-161083.34402617294</v>
      </c>
      <c r="DU212" s="2081">
        <f t="shared" si="1180"/>
        <v>-170748.34466774334</v>
      </c>
      <c r="DV212" s="1474"/>
      <c r="DW212" s="1474"/>
      <c r="DY212" s="1476">
        <v>-112705.66068737827</v>
      </c>
      <c r="DZ212" s="1476">
        <v>-121722.11354236855</v>
      </c>
    </row>
    <row r="213" spans="1:130" s="656" customFormat="1" ht="15.75" customHeight="1">
      <c r="A213" s="1452" t="s">
        <v>668</v>
      </c>
      <c r="B213" s="1452"/>
      <c r="C213" s="1453"/>
      <c r="D213" s="1453"/>
      <c r="E213" s="1453"/>
      <c r="F213" s="1453"/>
      <c r="G213" s="1454"/>
      <c r="H213" s="1454"/>
      <c r="I213" s="1454"/>
      <c r="J213" s="1454"/>
      <c r="K213" s="1455">
        <v>22115</v>
      </c>
      <c r="L213" s="1455">
        <v>27534</v>
      </c>
      <c r="M213" s="1455">
        <v>25247</v>
      </c>
      <c r="N213" s="1455">
        <v>33628</v>
      </c>
      <c r="O213" s="1455">
        <v>32238</v>
      </c>
      <c r="P213" s="1455">
        <v>45724</v>
      </c>
      <c r="Q213" s="1455">
        <v>43111</v>
      </c>
      <c r="R213" s="1455">
        <v>53043</v>
      </c>
      <c r="S213" s="1455">
        <v>46037</v>
      </c>
      <c r="T213" s="1455">
        <v>56514</v>
      </c>
      <c r="U213" s="1455">
        <v>53443</v>
      </c>
      <c r="V213" s="1455">
        <v>56530</v>
      </c>
      <c r="W213" s="1455">
        <v>30030</v>
      </c>
      <c r="X213" s="1455">
        <v>41214</v>
      </c>
      <c r="Y213" s="1455">
        <v>40375</v>
      </c>
      <c r="Z213" s="1455">
        <v>47882</v>
      </c>
      <c r="AA213" s="1455">
        <v>46347</v>
      </c>
      <c r="AB213" s="1455">
        <v>57916</v>
      </c>
      <c r="AC213" s="1455">
        <v>50853</v>
      </c>
      <c r="AD213" s="1455">
        <v>42200</v>
      </c>
      <c r="AE213" s="1455">
        <v>37763</v>
      </c>
      <c r="AF213" s="1455">
        <v>53716</v>
      </c>
      <c r="AG213" s="1455">
        <v>39233</v>
      </c>
      <c r="AH213" s="1455">
        <v>47283</v>
      </c>
      <c r="AI213" s="1455">
        <v>37491</v>
      </c>
      <c r="AJ213" s="1455">
        <v>47480</v>
      </c>
      <c r="AK213" s="1455">
        <v>43211</v>
      </c>
      <c r="AL213" s="1455">
        <v>52071</v>
      </c>
      <c r="AM213" s="1455">
        <v>43029</v>
      </c>
      <c r="AN213" s="1455">
        <v>51094</v>
      </c>
      <c r="AO213" s="1455">
        <v>49356</v>
      </c>
      <c r="AP213" s="1455">
        <v>55832</v>
      </c>
      <c r="AQ213" s="1455">
        <f t="shared" ref="AQ213:BI213" si="1181">+AQ209-AQ210-AQ212</f>
        <v>13906</v>
      </c>
      <c r="AR213" s="1455">
        <f t="shared" si="1181"/>
        <v>13906</v>
      </c>
      <c r="AS213" s="1455">
        <f t="shared" si="1181"/>
        <v>13906.000000008538</v>
      </c>
      <c r="AT213" s="1455">
        <f t="shared" si="1181"/>
        <v>13906.000000000011</v>
      </c>
      <c r="AU213" s="1455">
        <f t="shared" si="1181"/>
        <v>13906.000000004275</v>
      </c>
      <c r="AV213" s="1455">
        <f t="shared" si="1181"/>
        <v>13906.000000000011</v>
      </c>
      <c r="AW213" s="1455">
        <f t="shared" si="1181"/>
        <v>13906.000000004275</v>
      </c>
      <c r="AX213" s="1455">
        <f t="shared" si="1181"/>
        <v>13906.000000000029</v>
      </c>
      <c r="AY213" s="1455">
        <f t="shared" si="1181"/>
        <v>-5035.9999999999709</v>
      </c>
      <c r="AZ213" s="1455">
        <f t="shared" si="1181"/>
        <v>7137.0000000000291</v>
      </c>
      <c r="BA213" s="1455">
        <f t="shared" si="1181"/>
        <v>947.0000000000291</v>
      </c>
      <c r="BB213" s="1455">
        <f t="shared" si="1181"/>
        <v>-3202.9999999999709</v>
      </c>
      <c r="BC213" s="1455">
        <f t="shared" si="1181"/>
        <v>-13551.999999999971</v>
      </c>
      <c r="BD213" s="1455">
        <f t="shared" si="1181"/>
        <v>-3983.9999999999709</v>
      </c>
      <c r="BE213" s="1455">
        <f t="shared" si="1181"/>
        <v>-12286.999999999971</v>
      </c>
      <c r="BF213" s="1455">
        <f t="shared" si="1181"/>
        <v>-7998.9999999999709</v>
      </c>
      <c r="BG213" s="1455">
        <f t="shared" si="1181"/>
        <v>5499.0000000000291</v>
      </c>
      <c r="BH213" s="1455">
        <f t="shared" si="1181"/>
        <v>21125.000000000029</v>
      </c>
      <c r="BI213" s="1455">
        <f t="shared" si="1181"/>
        <v>4135.0000000000291</v>
      </c>
      <c r="BJ213" s="1481">
        <v>8353</v>
      </c>
      <c r="BK213" s="1455">
        <f t="shared" ref="BK213:BV213" si="1182">+BK209-BK210-BK212</f>
        <v>13906</v>
      </c>
      <c r="BL213" s="1455">
        <f t="shared" si="1182"/>
        <v>33383</v>
      </c>
      <c r="BM213" s="1455">
        <f t="shared" si="1182"/>
        <v>40542</v>
      </c>
      <c r="BN213" s="1455">
        <f t="shared" si="1182"/>
        <v>106848</v>
      </c>
      <c r="BO213" s="1455">
        <f t="shared" si="1182"/>
        <v>193956</v>
      </c>
      <c r="BP213" s="1455">
        <f t="shared" si="1182"/>
        <v>250765</v>
      </c>
      <c r="BQ213" s="1455">
        <f t="shared" si="1182"/>
        <v>250443</v>
      </c>
      <c r="BR213" s="1455">
        <f t="shared" si="1182"/>
        <v>206724</v>
      </c>
      <c r="BS213" s="1455">
        <f t="shared" si="1182"/>
        <v>141637</v>
      </c>
      <c r="BT213" s="1455">
        <f t="shared" si="1182"/>
        <v>154557</v>
      </c>
      <c r="BU213" s="1455">
        <f t="shared" si="1182"/>
        <v>168317</v>
      </c>
      <c r="BV213" s="1455">
        <f t="shared" si="1182"/>
        <v>177889</v>
      </c>
      <c r="BW213" s="1455">
        <f t="shared" ref="BW213:CD213" si="1183">+BW209-BW210-BW212</f>
        <v>157573</v>
      </c>
      <c r="BX213" s="1455">
        <f t="shared" si="1183"/>
        <v>184366</v>
      </c>
      <c r="BY213" s="1455">
        <f>+BY209-BY210-BY212</f>
        <v>203111</v>
      </c>
      <c r="BZ213" s="1455">
        <f>+BZ209-BZ210-BZ212</f>
        <v>210923</v>
      </c>
      <c r="CA213" s="1455">
        <f t="shared" si="1183"/>
        <v>185822</v>
      </c>
      <c r="CB213" s="1455">
        <f t="shared" ref="CB213:CC213" si="1184">+CB209-CB210-CB212</f>
        <v>170950</v>
      </c>
      <c r="CC213" s="1455">
        <f t="shared" si="1184"/>
        <v>155455</v>
      </c>
      <c r="CD213" s="1455">
        <f t="shared" si="1183"/>
        <v>141413</v>
      </c>
      <c r="CE213" s="1455">
        <f t="shared" ref="CE213" si="1185">+CE209-CE210-CE212</f>
        <v>119930</v>
      </c>
      <c r="CF213" s="1455">
        <f t="shared" ref="CF213:CH213" si="1186">+CF209-CF210-CF212</f>
        <v>101419</v>
      </c>
      <c r="CG213" s="1455">
        <f t="shared" ref="CG213" si="1187">+CG209-CG210-CG212</f>
        <v>94920</v>
      </c>
      <c r="CH213" s="1455">
        <f t="shared" si="1186"/>
        <v>94214</v>
      </c>
      <c r="CI213" s="1455">
        <f t="shared" ref="CI213:CL213" si="1188">+CI209-CI210-CI212</f>
        <v>103834</v>
      </c>
      <c r="CJ213" s="1455">
        <f t="shared" ref="CJ213:CK213" si="1189">+CJ209-CJ210-CJ212</f>
        <v>131259</v>
      </c>
      <c r="CK213" s="1455">
        <f t="shared" si="1189"/>
        <v>132450</v>
      </c>
      <c r="CL213" s="1467">
        <f t="shared" si="1188"/>
        <v>153113.6589252</v>
      </c>
      <c r="CM213" s="1467">
        <f t="shared" ref="CM213:CP213" si="1190">+CM209-CM210-CM212</f>
        <v>170325.84072307419</v>
      </c>
      <c r="CN213" s="1467">
        <f t="shared" si="1190"/>
        <v>211007.21971035836</v>
      </c>
      <c r="CO213" s="1467">
        <f t="shared" si="1190"/>
        <v>228476.51082243465</v>
      </c>
      <c r="CP213" s="1467">
        <f t="shared" si="1190"/>
        <v>250793.26246165065</v>
      </c>
      <c r="CQ213" s="1467"/>
      <c r="CR213" s="1467"/>
      <c r="CS213" s="1467">
        <v>142291.70288638264</v>
      </c>
      <c r="CT213" s="1457"/>
      <c r="CU213" s="1458"/>
      <c r="CV213" s="1458"/>
      <c r="CW213" s="1459"/>
      <c r="CX213" s="1454">
        <f>+S213</f>
        <v>46037</v>
      </c>
      <c r="CY213" s="1454">
        <f>+V213</f>
        <v>56530</v>
      </c>
      <c r="CZ213" s="1454">
        <f>+Z213</f>
        <v>47882</v>
      </c>
      <c r="DA213" s="1454">
        <f>+AD213</f>
        <v>42200</v>
      </c>
      <c r="DB213" s="1454">
        <f>+AH213</f>
        <v>47283</v>
      </c>
      <c r="DC213" s="1454">
        <f>+AL213</f>
        <v>52071</v>
      </c>
      <c r="DD213" s="1454">
        <f>+AP213</f>
        <v>55832</v>
      </c>
      <c r="DE213" s="1454">
        <f>+AT213</f>
        <v>13906.000000000011</v>
      </c>
      <c r="DF213" s="1454">
        <f>+AX213</f>
        <v>13906.000000000029</v>
      </c>
      <c r="DG213" s="1454">
        <f>+BB213</f>
        <v>-3202.9999999999709</v>
      </c>
      <c r="DH213" s="1454">
        <f>+BF213</f>
        <v>-7998.9999999999709</v>
      </c>
      <c r="DI213" s="1454">
        <f>+BJ213</f>
        <v>8353</v>
      </c>
      <c r="DJ213" s="1454">
        <f>+BN213</f>
        <v>106848</v>
      </c>
      <c r="DK213" s="1454">
        <f>+BR213</f>
        <v>206724</v>
      </c>
      <c r="DL213" s="1454">
        <f>+BV213</f>
        <v>177889</v>
      </c>
      <c r="DM213" s="1454">
        <f>+BZ213</f>
        <v>210923</v>
      </c>
      <c r="DN213" s="1454">
        <f>+CD213</f>
        <v>141413</v>
      </c>
      <c r="DO213" s="1454">
        <f>+CH213</f>
        <v>94214</v>
      </c>
      <c r="DP213" s="1454">
        <f>+CL213</f>
        <v>153113.6589252</v>
      </c>
      <c r="DQ213" s="1454">
        <f>+CP213</f>
        <v>250793.26246165065</v>
      </c>
      <c r="DR213" s="1467">
        <f>+DR209-DR210-DR212</f>
        <v>276726.50001536228</v>
      </c>
      <c r="DS213" s="1467">
        <f t="shared" ref="DS213:DU213" si="1191">+DS209-DS210-DS212</f>
        <v>295000.05209187535</v>
      </c>
      <c r="DT213" s="1467">
        <f t="shared" si="1191"/>
        <v>310933.05264771299</v>
      </c>
      <c r="DU213" s="1467">
        <f t="shared" si="1191"/>
        <v>326540.22589133802</v>
      </c>
      <c r="DV213" s="1452"/>
      <c r="DW213" s="1452"/>
      <c r="DY213" s="1467">
        <v>106720.8989852837</v>
      </c>
      <c r="DZ213" s="1467">
        <v>115737.35184027396</v>
      </c>
    </row>
    <row r="214" spans="1:130" s="656" customFormat="1" ht="15.75" customHeight="1">
      <c r="A214" s="1460" t="s">
        <v>669</v>
      </c>
      <c r="B214" s="1460"/>
      <c r="C214" s="1461"/>
      <c r="D214" s="1461"/>
      <c r="E214" s="1461"/>
      <c r="F214" s="1461"/>
      <c r="G214" s="1462"/>
      <c r="H214" s="1462"/>
      <c r="I214" s="1462"/>
      <c r="J214" s="1482" t="e">
        <v>#DIV/0!</v>
      </c>
      <c r="K214" s="1482" t="e">
        <v>#DIV/0!</v>
      </c>
      <c r="L214" s="1482" t="e">
        <v>#DIV/0!</v>
      </c>
      <c r="M214" s="1482" t="e">
        <v>#DIV/0!</v>
      </c>
      <c r="N214" s="1482" t="e">
        <v>#DIV/0!</v>
      </c>
      <c r="O214" s="1471">
        <v>6.7181814771746881E-2</v>
      </c>
      <c r="P214" s="1471">
        <v>8.783094598254676E-2</v>
      </c>
      <c r="Q214" s="1471">
        <v>8.9736998220288702E-2</v>
      </c>
      <c r="R214" s="1471">
        <v>8.0308437208077024E-2</v>
      </c>
      <c r="S214" s="1471">
        <v>8.2863103177045927E-2</v>
      </c>
      <c r="T214" s="1471">
        <v>9.7844322366518868E-2</v>
      </c>
      <c r="U214" s="1471">
        <v>0.10246838306912393</v>
      </c>
      <c r="V214" s="1471">
        <v>8.7261759035289072E-2</v>
      </c>
      <c r="W214" s="1471">
        <v>5.81587891816518E-2</v>
      </c>
      <c r="X214" s="1471">
        <v>7.3638244574597722E-2</v>
      </c>
      <c r="Y214" s="1471">
        <v>7.8853571602949077E-2</v>
      </c>
      <c r="Z214" s="1471">
        <v>6.9773914564040543E-2</v>
      </c>
      <c r="AA214" s="1471">
        <v>8.193973724547976E-2</v>
      </c>
      <c r="AB214" s="1471">
        <v>9.5402821430218693E-2</v>
      </c>
      <c r="AC214" s="1471">
        <v>9.028671665136824E-2</v>
      </c>
      <c r="AD214" s="1471">
        <v>5.6546685855020727E-2</v>
      </c>
      <c r="AE214" s="1471">
        <v>5.8847912981821862E-2</v>
      </c>
      <c r="AF214" s="1471">
        <v>7.7965093073043293E-2</v>
      </c>
      <c r="AG214" s="1471">
        <v>6.2929267330290029E-2</v>
      </c>
      <c r="AH214" s="1471">
        <v>5.7079083557365788E-2</v>
      </c>
      <c r="AI214" s="1471">
        <v>5.3566223746249461E-2</v>
      </c>
      <c r="AJ214" s="1471">
        <v>6.379885355556332E-2</v>
      </c>
      <c r="AK214" s="1471">
        <v>6.0457033966245022E-2</v>
      </c>
      <c r="AL214" s="1471">
        <v>5.4399971583429796E-2</v>
      </c>
      <c r="AM214" s="1471">
        <v>5.1864664191697607E-2</v>
      </c>
      <c r="AN214" s="1471">
        <v>6.0893448740168013E-2</v>
      </c>
      <c r="AO214" s="1471">
        <v>6.090100317115605E-2</v>
      </c>
      <c r="AP214" s="1471">
        <v>5.1272444091804051E-2</v>
      </c>
      <c r="AQ214" s="1471">
        <f t="shared" ref="AQ214:BC214" si="1192">AQ213/AQ166</f>
        <v>1.5090596754642697E-2</v>
      </c>
      <c r="AR214" s="1471">
        <f t="shared" si="1192"/>
        <v>1.4641716995594639E-2</v>
      </c>
      <c r="AS214" s="1471">
        <f t="shared" si="1192"/>
        <v>1.5481230705526573E-2</v>
      </c>
      <c r="AT214" s="1471">
        <f t="shared" si="1192"/>
        <v>1.1229304398453779E-2</v>
      </c>
      <c r="AU214" s="1471">
        <f t="shared" si="1192"/>
        <v>1.3319527868429458E-2</v>
      </c>
      <c r="AV214" s="1471">
        <f t="shared" si="1192"/>
        <v>1.2844451925170501E-2</v>
      </c>
      <c r="AW214" s="1471">
        <f t="shared" si="1192"/>
        <v>1.3702369092914472E-2</v>
      </c>
      <c r="AX214" s="1471">
        <f t="shared" si="1192"/>
        <v>1.0636109077864815E-2</v>
      </c>
      <c r="AY214" s="1471">
        <f t="shared" si="1192"/>
        <v>-4.8206287685092818E-3</v>
      </c>
      <c r="AZ214" s="1471">
        <f t="shared" si="1192"/>
        <v>6.5390017508802772E-3</v>
      </c>
      <c r="BA214" s="1471">
        <f t="shared" si="1192"/>
        <v>9.5955578747919433E-4</v>
      </c>
      <c r="BB214" s="1471">
        <f t="shared" si="1192"/>
        <v>-2.4715631344327952E-3</v>
      </c>
      <c r="BC214" s="1471">
        <f t="shared" si="1192"/>
        <v>-1.2762823567525594E-2</v>
      </c>
      <c r="BD214" s="1471"/>
      <c r="BE214" s="1471">
        <f>BE213/BE166</f>
        <v>-1.3191731732868466E-2</v>
      </c>
      <c r="BF214" s="1471">
        <f>BF213/BF166</f>
        <v>-6.5807279351744923E-3</v>
      </c>
      <c r="BG214" s="1471"/>
      <c r="BH214" s="1471">
        <f t="shared" ref="BH214:CL214" si="1193">BH213/BH166</f>
        <v>2.0502048220000544E-2</v>
      </c>
      <c r="BI214" s="1471">
        <f t="shared" si="1193"/>
        <v>4.2502270644853369E-3</v>
      </c>
      <c r="BJ214" s="1471">
        <f t="shared" si="1193"/>
        <v>6.4067322533658882E-3</v>
      </c>
      <c r="BK214" s="1471">
        <f t="shared" si="1193"/>
        <v>1.259074207690351E-2</v>
      </c>
      <c r="BL214" s="1471">
        <f t="shared" si="1193"/>
        <v>3.1024235370159636E-2</v>
      </c>
      <c r="BM214" s="1471">
        <f t="shared" si="1193"/>
        <v>3.972580801388622E-2</v>
      </c>
      <c r="BN214" s="1471">
        <f t="shared" si="1193"/>
        <v>7.9799233320101887E-2</v>
      </c>
      <c r="BO214" s="1471">
        <f t="shared" si="1193"/>
        <v>0.16592803411235621</v>
      </c>
      <c r="BP214" s="1471">
        <f t="shared" si="1193"/>
        <v>0.31758459047554866</v>
      </c>
      <c r="BQ214" s="1471">
        <f t="shared" si="1193"/>
        <v>0.29164075655205657</v>
      </c>
      <c r="BR214" s="1471">
        <f t="shared" si="1193"/>
        <v>0.1752017085904129</v>
      </c>
      <c r="BS214" s="1471">
        <f t="shared" si="1193"/>
        <v>0.1674732686238736</v>
      </c>
      <c r="BT214" s="1471">
        <f t="shared" si="1193"/>
        <v>0.17333527726220049</v>
      </c>
      <c r="BU214" s="1471">
        <f t="shared" si="1193"/>
        <v>0.19029857917961671</v>
      </c>
      <c r="BV214" s="1471">
        <f t="shared" si="1193"/>
        <v>0.15912469742969546</v>
      </c>
      <c r="BW214" s="1471">
        <f t="shared" si="1193"/>
        <v>0.1647887706910183</v>
      </c>
      <c r="BX214" s="1471">
        <f t="shared" si="1193"/>
        <v>0.18292673246893443</v>
      </c>
      <c r="BY214" s="1471">
        <f t="shared" si="1193"/>
        <v>0.22762890988355802</v>
      </c>
      <c r="BZ214" s="1471">
        <f t="shared" si="1193"/>
        <v>0.21465957929681975</v>
      </c>
      <c r="CA214" s="1471">
        <f t="shared" si="1193"/>
        <v>0.22574856919322056</v>
      </c>
      <c r="CB214" s="1471">
        <f t="shared" si="1193"/>
        <v>0.21624705419521814</v>
      </c>
      <c r="CC214" s="1471">
        <f t="shared" si="1193"/>
        <v>0.2213689259003993</v>
      </c>
      <c r="CD214" s="1471">
        <f t="shared" si="1193"/>
        <v>0.17698504776529986</v>
      </c>
      <c r="CE214" s="1471">
        <f t="shared" si="1193"/>
        <v>0.17948971222978516</v>
      </c>
      <c r="CF214" s="1471">
        <f t="shared" si="1193"/>
        <v>0.15470264977843398</v>
      </c>
      <c r="CG214" s="1471">
        <f t="shared" si="1193"/>
        <v>0.1480747620965632</v>
      </c>
      <c r="CH214" s="1471">
        <f t="shared" si="1193"/>
        <v>0.12206006829372019</v>
      </c>
      <c r="CI214" s="1471">
        <f t="shared" si="1193"/>
        <v>0.14997535996870462</v>
      </c>
      <c r="CJ214" s="1471">
        <f t="shared" ref="CJ214:CK214" si="1194">CJ213/CJ166</f>
        <v>0.1747069015505533</v>
      </c>
      <c r="CK214" s="1471">
        <f t="shared" si="1194"/>
        <v>0.19229411472496713</v>
      </c>
      <c r="CL214" s="1471">
        <f t="shared" si="1193"/>
        <v>0.18367427960607502</v>
      </c>
      <c r="CM214" s="1471">
        <f t="shared" ref="CM214:CP214" si="1195">CM213/CM166</f>
        <v>0.22779129003644083</v>
      </c>
      <c r="CN214" s="1471">
        <f t="shared" si="1195"/>
        <v>0.26004860591142215</v>
      </c>
      <c r="CO214" s="1471">
        <f t="shared" si="1195"/>
        <v>0.30713678386008308</v>
      </c>
      <c r="CP214" s="1471">
        <f t="shared" si="1195"/>
        <v>0.27856498126738216</v>
      </c>
      <c r="CQ214" s="1471"/>
      <c r="CR214" s="1471"/>
      <c r="CS214" s="1471">
        <v>0.20671343613185128</v>
      </c>
      <c r="CT214" s="1457"/>
      <c r="CU214" s="1473"/>
      <c r="CV214" s="1473"/>
      <c r="CW214" s="1473"/>
      <c r="CX214" s="1471">
        <f t="shared" ref="CX214:DU214" si="1196">CX213/CX166</f>
        <v>6.9701176851766342E-2</v>
      </c>
      <c r="CY214" s="1471">
        <f t="shared" si="1196"/>
        <v>8.7261759035289072E-2</v>
      </c>
      <c r="CZ214" s="1471">
        <f t="shared" si="1196"/>
        <v>6.9773914564040543E-2</v>
      </c>
      <c r="DA214" s="1471">
        <f t="shared" si="1196"/>
        <v>5.6546685855020727E-2</v>
      </c>
      <c r="DB214" s="1471">
        <f t="shared" si="1196"/>
        <v>5.7079083557365788E-2</v>
      </c>
      <c r="DC214" s="1471">
        <f t="shared" si="1196"/>
        <v>5.4399971583429796E-2</v>
      </c>
      <c r="DD214" s="1471">
        <f t="shared" si="1196"/>
        <v>5.1272444091804051E-2</v>
      </c>
      <c r="DE214" s="1471">
        <f t="shared" si="1196"/>
        <v>1.1229304398453779E-2</v>
      </c>
      <c r="DF214" s="1471">
        <f t="shared" si="1196"/>
        <v>1.0636109077864815E-2</v>
      </c>
      <c r="DG214" s="1471">
        <f t="shared" si="1196"/>
        <v>-2.4715631344327952E-3</v>
      </c>
      <c r="DH214" s="1471">
        <f t="shared" si="1196"/>
        <v>-6.5807279351744923E-3</v>
      </c>
      <c r="DI214" s="1471">
        <f t="shared" si="1196"/>
        <v>6.4067322533658882E-3</v>
      </c>
      <c r="DJ214" s="1471">
        <f t="shared" si="1196"/>
        <v>7.9799233320101887E-2</v>
      </c>
      <c r="DK214" s="1471">
        <f t="shared" si="1196"/>
        <v>0.1752017085904129</v>
      </c>
      <c r="DL214" s="1471">
        <f t="shared" si="1196"/>
        <v>0.15912469742969546</v>
      </c>
      <c r="DM214" s="1471">
        <f t="shared" si="1196"/>
        <v>0.21465957929681975</v>
      </c>
      <c r="DN214" s="1471">
        <f t="shared" si="1196"/>
        <v>0.17698504776529986</v>
      </c>
      <c r="DO214" s="1471">
        <f t="shared" si="1196"/>
        <v>0.12206006829372019</v>
      </c>
      <c r="DP214" s="1471">
        <f t="shared" si="1196"/>
        <v>0.18367427960607502</v>
      </c>
      <c r="DQ214" s="1471">
        <f t="shared" ref="DQ214" si="1197">DQ213/DQ166</f>
        <v>0.27856498126738216</v>
      </c>
      <c r="DR214" s="1471">
        <f t="shared" si="1196"/>
        <v>0.28997165000220604</v>
      </c>
      <c r="DS214" s="1471">
        <f t="shared" si="1196"/>
        <v>0.29162249209097174</v>
      </c>
      <c r="DT214" s="1471">
        <f t="shared" si="1196"/>
        <v>0.28997459441937873</v>
      </c>
      <c r="DU214" s="1471">
        <f t="shared" si="1196"/>
        <v>0.28729223146859267</v>
      </c>
      <c r="DV214" s="1460"/>
      <c r="DW214" s="1460"/>
      <c r="DY214" s="1471">
        <v>0.11636105322498394</v>
      </c>
      <c r="DZ214" s="1471">
        <v>0.11684441384241562</v>
      </c>
    </row>
    <row r="215" spans="1:130" s="1407" customFormat="1" ht="15.75" customHeight="1">
      <c r="A215" s="1452" t="s">
        <v>670</v>
      </c>
      <c r="B215" s="1452"/>
      <c r="C215" s="1453"/>
      <c r="D215" s="1453"/>
      <c r="E215" s="1453"/>
      <c r="F215" s="1453"/>
      <c r="G215" s="1454"/>
      <c r="H215" s="1454"/>
      <c r="I215" s="1454"/>
      <c r="J215" s="1945"/>
      <c r="K215" s="1945"/>
      <c r="L215" s="1945"/>
      <c r="M215" s="1945"/>
      <c r="N215" s="1945"/>
      <c r="O215" s="1946"/>
      <c r="P215" s="1946"/>
      <c r="Q215" s="1946"/>
      <c r="R215" s="1946"/>
      <c r="S215" s="1946"/>
      <c r="T215" s="1946"/>
      <c r="U215" s="1946"/>
      <c r="V215" s="1946"/>
      <c r="W215" s="1946"/>
      <c r="X215" s="1946"/>
      <c r="Y215" s="1946"/>
      <c r="Z215" s="1946"/>
      <c r="AA215" s="1946"/>
      <c r="AB215" s="1946"/>
      <c r="AC215" s="1946"/>
      <c r="AD215" s="1946"/>
      <c r="AE215" s="1946"/>
      <c r="AF215" s="1946"/>
      <c r="AG215" s="1946"/>
      <c r="AH215" s="1946"/>
      <c r="AI215" s="1946"/>
      <c r="AJ215" s="1946"/>
      <c r="AK215" s="1946"/>
      <c r="AL215" s="1946"/>
      <c r="AM215" s="1946"/>
      <c r="AN215" s="1946"/>
      <c r="AO215" s="1946"/>
      <c r="AP215" s="1946"/>
      <c r="AQ215" s="1946">
        <f t="shared" ref="AQ215:AX215" si="1198">+AQ213/AQ199</f>
        <v>0.36148587174088226</v>
      </c>
      <c r="AR215" s="1946">
        <f t="shared" si="1198"/>
        <v>0.25874997674115696</v>
      </c>
      <c r="AS215" s="1946">
        <f t="shared" si="1198"/>
        <v>0.23509721048197021</v>
      </c>
      <c r="AT215" s="1946">
        <f t="shared" si="1198"/>
        <v>0.26836234513103574</v>
      </c>
      <c r="AU215" s="1946">
        <f t="shared" si="1198"/>
        <v>0.31038792911040297</v>
      </c>
      <c r="AV215" s="1946">
        <f t="shared" si="1198"/>
        <v>0.20661651798995159</v>
      </c>
      <c r="AW215" s="1946">
        <f t="shared" si="1198"/>
        <v>0.2011339639562075</v>
      </c>
      <c r="AX215" s="1946">
        <f t="shared" si="1198"/>
        <v>0.22047818366311564</v>
      </c>
      <c r="AY215" s="1946"/>
      <c r="AZ215" s="1946">
        <f>+AZ213/AZ199</f>
        <v>0.1094464039257787</v>
      </c>
      <c r="BA215" s="1946"/>
      <c r="BB215" s="1946">
        <f t="shared" ref="BB215:CH215" si="1199">+BB213/BB207</f>
        <v>-5.8411598431658079E-2</v>
      </c>
      <c r="BC215" s="1946">
        <f t="shared" si="1199"/>
        <v>-0.32606708050623096</v>
      </c>
      <c r="BD215" s="1946">
        <f t="shared" si="1199"/>
        <v>-0.10419227449852161</v>
      </c>
      <c r="BE215" s="1946">
        <f t="shared" si="1199"/>
        <v>-0.20603410536657904</v>
      </c>
      <c r="BF215" s="1946">
        <f t="shared" si="1199"/>
        <v>-0.15090683009121802</v>
      </c>
      <c r="BG215" s="1946">
        <f t="shared" si="1199"/>
        <v>0.11687014401642673</v>
      </c>
      <c r="BH215" s="1946">
        <f t="shared" si="1199"/>
        <v>0.3227624020280726</v>
      </c>
      <c r="BI215" s="1946">
        <f t="shared" si="1199"/>
        <v>6.5692752091781367E-2</v>
      </c>
      <c r="BJ215" s="1946">
        <f t="shared" si="1199"/>
        <v>0.16078916797365725</v>
      </c>
      <c r="BK215" s="1946">
        <f t="shared" si="1199"/>
        <v>0.30602784604236954</v>
      </c>
      <c r="BL215" s="1946">
        <f t="shared" si="1199"/>
        <v>0.50638329899175405</v>
      </c>
      <c r="BM215" s="1946">
        <f t="shared" si="1199"/>
        <v>0.44355240867011975</v>
      </c>
      <c r="BN215" s="1946">
        <f t="shared" si="1199"/>
        <v>0.91732151568440967</v>
      </c>
      <c r="BO215" s="1946">
        <f t="shared" si="1199"/>
        <v>1.2480135605250962</v>
      </c>
      <c r="BP215" s="1946">
        <f t="shared" si="1199"/>
        <v>0.84324015736624247</v>
      </c>
      <c r="BQ215" s="1946">
        <f t="shared" si="1199"/>
        <v>1.0671771453591161</v>
      </c>
      <c r="BR215" s="1946">
        <f t="shared" si="1199"/>
        <v>1.1290411175604111</v>
      </c>
      <c r="BS215" s="1946">
        <f t="shared" si="1199"/>
        <v>1.2651695831211869</v>
      </c>
      <c r="BT215" s="1946">
        <f t="shared" si="1199"/>
        <v>1.1604685212298682</v>
      </c>
      <c r="BU215" s="1946">
        <f t="shared" si="1199"/>
        <v>1.1177466696771281</v>
      </c>
      <c r="BV215" s="1946">
        <f t="shared" si="1199"/>
        <v>1.1469827780750905</v>
      </c>
      <c r="BW215" s="1946">
        <f t="shared" si="1199"/>
        <v>1.1165570703778238</v>
      </c>
      <c r="BX215" s="1946">
        <f t="shared" si="1199"/>
        <v>1.0616553129984625</v>
      </c>
      <c r="BY215" s="1946">
        <f t="shared" si="1199"/>
        <v>1.0131133967139194</v>
      </c>
      <c r="BZ215" s="1946">
        <f t="shared" si="1199"/>
        <v>1.0091043919242177</v>
      </c>
      <c r="CA215" s="1946">
        <f t="shared" si="1199"/>
        <v>1.017399969339261</v>
      </c>
      <c r="CB215" s="1946">
        <f t="shared" si="1199"/>
        <v>1.027041315958642</v>
      </c>
      <c r="CC215" s="1946">
        <f t="shared" si="1199"/>
        <v>1.0313406001419747</v>
      </c>
      <c r="CD215" s="1946">
        <f t="shared" si="1199"/>
        <v>1.0672598697368321</v>
      </c>
      <c r="CE215" s="1946">
        <f t="shared" si="1199"/>
        <v>1.0858012005106243</v>
      </c>
      <c r="CF215" s="1946">
        <f t="shared" si="1199"/>
        <v>0.93153111745196138</v>
      </c>
      <c r="CG215" s="1946">
        <f t="shared" si="1199"/>
        <v>0.97775768078055614</v>
      </c>
      <c r="CH215" s="1946">
        <f t="shared" si="1199"/>
        <v>1.0365428506131789</v>
      </c>
      <c r="CI215" s="1946">
        <f>+CI213/CI207</f>
        <v>0.98844846117939977</v>
      </c>
      <c r="CJ215" s="1946">
        <f>+CJ213/CJ207</f>
        <v>0.86690949378893323</v>
      </c>
      <c r="CK215" s="1946">
        <f>+CK213/CK207</f>
        <v>0.90684436806127644</v>
      </c>
      <c r="CL215" s="1946">
        <f t="shared" ref="CL215:CP215" si="1200">+CL213/CL207</f>
        <v>1.0012142027224726</v>
      </c>
      <c r="CM215" s="1946">
        <f t="shared" si="1200"/>
        <v>1.1043979655668841</v>
      </c>
      <c r="CN215" s="1946">
        <f t="shared" si="1200"/>
        <v>1.130613319649195</v>
      </c>
      <c r="CO215" s="1946">
        <f t="shared" si="1200"/>
        <v>1.2451117073124525</v>
      </c>
      <c r="CP215" s="1946">
        <f t="shared" si="1200"/>
        <v>1.3391812578219708</v>
      </c>
      <c r="CQ215" s="1946"/>
      <c r="CR215" s="1946"/>
      <c r="CS215" s="1946">
        <v>1.0061060080869035</v>
      </c>
      <c r="CT215" s="1457"/>
      <c r="CU215" s="1947"/>
      <c r="CV215" s="1947"/>
      <c r="CW215" s="1947"/>
      <c r="CX215" s="1946"/>
      <c r="CY215" s="1946"/>
      <c r="CZ215" s="1946"/>
      <c r="DA215" s="1946"/>
      <c r="DB215" s="1946"/>
      <c r="DC215" s="1946"/>
      <c r="DD215" s="1946"/>
      <c r="DE215" s="1946">
        <f>+DE213/DE199</f>
        <v>0.26836234513103574</v>
      </c>
      <c r="DF215" s="1946">
        <f>+DF213/DF199</f>
        <v>0.22047818366311564</v>
      </c>
      <c r="DG215" s="1946">
        <f>+DG213/DG199</f>
        <v>-5.8411598431658079E-2</v>
      </c>
      <c r="DH215" s="1946">
        <f>+DH213/DH199</f>
        <v>-0.15090683009121802</v>
      </c>
      <c r="DI215" s="1946">
        <f>+DI213/DI199</f>
        <v>0.16078916797365725</v>
      </c>
      <c r="DJ215" s="1946">
        <f t="shared" ref="DJ215:DO215" si="1201">+DJ213/DJ207</f>
        <v>0.91732151568440967</v>
      </c>
      <c r="DK215" s="1946">
        <f t="shared" si="1201"/>
        <v>1.1290411175604111</v>
      </c>
      <c r="DL215" s="1946">
        <f t="shared" si="1201"/>
        <v>1.1469827780750905</v>
      </c>
      <c r="DM215" s="1946">
        <f t="shared" si="1201"/>
        <v>1.0091043919242177</v>
      </c>
      <c r="DN215" s="1946">
        <f t="shared" si="1201"/>
        <v>1.0672598697368321</v>
      </c>
      <c r="DO215" s="1946">
        <f t="shared" si="1201"/>
        <v>1.0365428506131789</v>
      </c>
      <c r="DP215" s="1946">
        <f>+DP213/DP207</f>
        <v>1.0012142027224726</v>
      </c>
      <c r="DQ215" s="1946">
        <f>+DQ213/DQ207</f>
        <v>1.3391812578219708</v>
      </c>
      <c r="DR215" s="1946">
        <f t="shared" ref="DR215:DU215" si="1202">+DR213/DR207</f>
        <v>1.2979252209963943</v>
      </c>
      <c r="DS215" s="1946">
        <f t="shared" si="1202"/>
        <v>1.2744063707623825</v>
      </c>
      <c r="DT215" s="1946">
        <f t="shared" si="1202"/>
        <v>1.2567350665267436</v>
      </c>
      <c r="DU215" s="1946">
        <f t="shared" si="1202"/>
        <v>1.2415008620933463</v>
      </c>
      <c r="DV215" s="1452"/>
      <c r="DW215" s="1452"/>
      <c r="DY215" s="1946">
        <v>0.94689919152601343</v>
      </c>
      <c r="DZ215" s="1946">
        <v>0.95083258474630872</v>
      </c>
    </row>
    <row r="216" spans="1:130" s="656" customFormat="1" ht="15.75" customHeight="1">
      <c r="A216" s="1460"/>
      <c r="B216" s="1460"/>
      <c r="C216" s="1461"/>
      <c r="D216" s="1461"/>
      <c r="E216" s="1461"/>
      <c r="F216" s="1461"/>
      <c r="G216" s="1462"/>
      <c r="H216" s="1462"/>
      <c r="I216" s="1462"/>
      <c r="J216" s="1462"/>
      <c r="K216" s="1470"/>
      <c r="L216" s="1470"/>
      <c r="M216" s="1470"/>
      <c r="N216" s="1470"/>
      <c r="O216" s="1470"/>
      <c r="P216" s="1470"/>
      <c r="Q216" s="1470"/>
      <c r="R216" s="1470"/>
      <c r="S216" s="1470"/>
      <c r="T216" s="1470"/>
      <c r="U216" s="1470"/>
      <c r="V216" s="1470"/>
      <c r="W216" s="1470"/>
      <c r="X216" s="1470"/>
      <c r="Y216" s="1470"/>
      <c r="Z216" s="1470"/>
      <c r="AA216" s="1470"/>
      <c r="AB216" s="1470"/>
      <c r="AC216" s="1470"/>
      <c r="AD216" s="1470"/>
      <c r="AE216" s="1470"/>
      <c r="AF216" s="1470"/>
      <c r="AG216" s="1470"/>
      <c r="AH216" s="1470"/>
      <c r="AI216" s="1470"/>
      <c r="AJ216" s="1470"/>
      <c r="AK216" s="1470"/>
      <c r="AL216" s="1470"/>
      <c r="AM216" s="1470"/>
      <c r="AN216" s="1470"/>
      <c r="AO216" s="1470"/>
      <c r="AP216" s="1470"/>
      <c r="AQ216" s="1471"/>
      <c r="AR216" s="1471"/>
      <c r="AS216" s="1471"/>
      <c r="AT216" s="1470"/>
      <c r="AU216" s="1470"/>
      <c r="AV216" s="1470"/>
      <c r="AW216" s="1470"/>
      <c r="AX216" s="1470"/>
      <c r="AY216" s="1470"/>
      <c r="AZ216" s="1483"/>
      <c r="BA216" s="1483"/>
      <c r="BB216" s="1470"/>
      <c r="BC216" s="1483"/>
      <c r="BD216" s="1483"/>
      <c r="BE216" s="1483"/>
      <c r="BF216" s="1483"/>
      <c r="BG216" s="1483"/>
      <c r="BH216" s="1470"/>
      <c r="BI216" s="1470"/>
      <c r="BJ216" s="1470"/>
      <c r="BK216" s="1470"/>
      <c r="BL216" s="1470"/>
      <c r="BM216" s="1470"/>
      <c r="BN216" s="1470"/>
      <c r="BO216" s="1470"/>
      <c r="BP216" s="1470"/>
      <c r="BQ216" s="1470"/>
      <c r="BR216" s="1470"/>
      <c r="BS216" s="1470"/>
      <c r="BT216" s="1470"/>
      <c r="BU216" s="1470"/>
      <c r="BV216" s="1470"/>
      <c r="BW216" s="1470"/>
      <c r="BX216" s="1470"/>
      <c r="BY216" s="1470"/>
      <c r="BZ216" s="1470"/>
      <c r="CA216" s="1470"/>
      <c r="CB216" s="1470"/>
      <c r="CC216" s="1470"/>
      <c r="CD216" s="1470"/>
      <c r="CE216" s="1470"/>
      <c r="CF216" s="1470"/>
      <c r="CG216" s="1470"/>
      <c r="CH216" s="1470"/>
      <c r="CI216" s="1470"/>
      <c r="CJ216" s="1470"/>
      <c r="CK216" s="1470"/>
      <c r="CL216" s="1470"/>
      <c r="CM216" s="1470"/>
      <c r="CN216" s="1470"/>
      <c r="CO216" s="1470"/>
      <c r="CP216" s="1470"/>
      <c r="CQ216" s="1470"/>
      <c r="CR216" s="1470"/>
      <c r="CS216" s="1470"/>
      <c r="CT216" s="1457"/>
      <c r="CU216" s="1468"/>
      <c r="CV216" s="1468"/>
      <c r="CW216" s="1469"/>
      <c r="CX216" s="1471"/>
      <c r="CY216" s="1471"/>
      <c r="CZ216" s="1471"/>
      <c r="DA216" s="1471"/>
      <c r="DB216" s="1471"/>
      <c r="DC216" s="1471"/>
      <c r="DD216" s="1471"/>
      <c r="DE216" s="1462"/>
      <c r="DF216" s="1471"/>
      <c r="DG216" s="1471"/>
      <c r="DH216" s="1471"/>
      <c r="DI216" s="1471"/>
      <c r="DJ216" s="1471"/>
      <c r="DK216" s="1471"/>
      <c r="DL216" s="1471"/>
      <c r="DM216" s="1471"/>
      <c r="DN216" s="1471"/>
      <c r="DO216" s="1471"/>
      <c r="DP216" s="1471"/>
      <c r="DQ216" s="1471"/>
      <c r="DR216" s="1470"/>
      <c r="DS216" s="1470"/>
      <c r="DT216" s="1470"/>
      <c r="DU216" s="1470"/>
      <c r="DV216" s="1460"/>
      <c r="DW216" s="1460"/>
      <c r="DY216" s="1470"/>
      <c r="DZ216" s="1470"/>
    </row>
    <row r="217" spans="1:130" s="1944" customFormat="1" ht="15.75" customHeight="1">
      <c r="A217" s="1940" t="s">
        <v>671</v>
      </c>
      <c r="B217" s="1940"/>
      <c r="C217" s="1942"/>
      <c r="D217" s="1942"/>
      <c r="E217" s="1942"/>
      <c r="F217" s="1942"/>
      <c r="G217" s="1940"/>
      <c r="H217" s="1940"/>
      <c r="I217" s="1940"/>
      <c r="J217" s="1940"/>
      <c r="K217" s="1940"/>
      <c r="L217" s="1940"/>
      <c r="M217" s="1940"/>
      <c r="N217" s="1940"/>
      <c r="O217" s="1940"/>
      <c r="P217" s="1940"/>
      <c r="Q217" s="1940"/>
      <c r="R217" s="1940"/>
      <c r="S217" s="1940"/>
      <c r="T217" s="1940"/>
      <c r="U217" s="1940"/>
      <c r="V217" s="1940"/>
      <c r="W217" s="1940"/>
      <c r="X217" s="1940"/>
      <c r="Y217" s="1940"/>
      <c r="Z217" s="1940"/>
      <c r="AA217" s="1940"/>
      <c r="AB217" s="1940"/>
      <c r="AC217" s="1940"/>
      <c r="AD217" s="1940"/>
      <c r="AE217" s="1940"/>
      <c r="AF217" s="1940"/>
      <c r="AG217" s="1940"/>
      <c r="AH217" s="1940"/>
      <c r="AI217" s="1940"/>
      <c r="AJ217" s="1940"/>
      <c r="AK217" s="1940"/>
      <c r="AL217" s="1940"/>
      <c r="AM217" s="1940"/>
      <c r="AN217" s="1940"/>
      <c r="AO217" s="1940"/>
      <c r="AP217" s="1940"/>
      <c r="AQ217" s="1940">
        <f t="shared" ref="AQ217:CI217" si="1203">+AQ114*1000</f>
        <v>-15000</v>
      </c>
      <c r="AR217" s="1940">
        <f t="shared" si="1203"/>
        <v>-38000</v>
      </c>
      <c r="AS217" s="1940">
        <f t="shared" si="1203"/>
        <v>-29900.000000000004</v>
      </c>
      <c r="AT217" s="1940">
        <f t="shared" si="1203"/>
        <v>-34200</v>
      </c>
      <c r="AU217" s="1940">
        <f t="shared" si="1203"/>
        <v>-24800</v>
      </c>
      <c r="AV217" s="1940">
        <f t="shared" si="1203"/>
        <v>-45100</v>
      </c>
      <c r="AW217" s="1940">
        <f t="shared" si="1203"/>
        <v>-41700</v>
      </c>
      <c r="AX217" s="1940">
        <f t="shared" si="1203"/>
        <v>-53200</v>
      </c>
      <c r="AY217" s="1940">
        <f t="shared" si="1203"/>
        <v>-18600</v>
      </c>
      <c r="AZ217" s="1940">
        <f t="shared" si="1203"/>
        <v>-41900</v>
      </c>
      <c r="BA217" s="1940">
        <f t="shared" si="1203"/>
        <v>-31811</v>
      </c>
      <c r="BB217" s="1940">
        <f t="shared" si="1203"/>
        <v>-33963</v>
      </c>
      <c r="BC217" s="1940">
        <f t="shared" si="1203"/>
        <v>-18732</v>
      </c>
      <c r="BD217" s="1940">
        <f t="shared" si="1203"/>
        <v>-30931</v>
      </c>
      <c r="BE217" s="1940">
        <f t="shared" si="1203"/>
        <v>-25959</v>
      </c>
      <c r="BF217" s="1940">
        <f t="shared" si="1203"/>
        <v>-33717</v>
      </c>
      <c r="BG217" s="1940">
        <f t="shared" si="1203"/>
        <v>-19981</v>
      </c>
      <c r="BH217" s="1940">
        <f t="shared" si="1203"/>
        <v>-34423</v>
      </c>
      <c r="BI217" s="1940">
        <f t="shared" si="1203"/>
        <v>-15701.438030000005</v>
      </c>
      <c r="BJ217" s="1940">
        <f t="shared" si="1203"/>
        <v>-28512</v>
      </c>
      <c r="BK217" s="1940">
        <f t="shared" si="1203"/>
        <v>-28692.713040000006</v>
      </c>
      <c r="BL217" s="1940">
        <f t="shared" si="1203"/>
        <v>-38775</v>
      </c>
      <c r="BM217" s="1940">
        <f t="shared" si="1203"/>
        <v>-44034</v>
      </c>
      <c r="BN217" s="1940">
        <f t="shared" si="1203"/>
        <v>-54262.427019999996</v>
      </c>
      <c r="BO217" s="1940">
        <f t="shared" si="1203"/>
        <v>-67445</v>
      </c>
      <c r="BP217" s="1940">
        <f t="shared" si="1203"/>
        <v>-56705.672989999999</v>
      </c>
      <c r="BQ217" s="1940">
        <f t="shared" si="1203"/>
        <v>-13810.881690000002</v>
      </c>
      <c r="BR217" s="1940">
        <f t="shared" si="1203"/>
        <v>30800</v>
      </c>
      <c r="BS217" s="1940">
        <f t="shared" si="1203"/>
        <v>4500</v>
      </c>
      <c r="BT217" s="1940">
        <f t="shared" si="1203"/>
        <v>-28665.899999999998</v>
      </c>
      <c r="BU217" s="1940">
        <f t="shared" si="1203"/>
        <v>6.6399999999966894</v>
      </c>
      <c r="BV217" s="1940">
        <f t="shared" si="1203"/>
        <v>-17052.810000000001</v>
      </c>
      <c r="BW217" s="1940">
        <f t="shared" si="1203"/>
        <v>-19043</v>
      </c>
      <c r="BX217" s="1940">
        <f t="shared" si="1203"/>
        <v>-45819</v>
      </c>
      <c r="BY217" s="1940">
        <f t="shared" si="1203"/>
        <v>-6865.12</v>
      </c>
      <c r="BZ217" s="1940">
        <f t="shared" si="1203"/>
        <v>429</v>
      </c>
      <c r="CA217" s="1940">
        <f t="shared" si="1203"/>
        <v>-35817</v>
      </c>
      <c r="CB217" s="1940">
        <f t="shared" si="1203"/>
        <v>-41692</v>
      </c>
      <c r="CC217" s="1940">
        <f t="shared" si="1203"/>
        <v>-27416</v>
      </c>
      <c r="CD217" s="1940">
        <f t="shared" si="1203"/>
        <v>-542</v>
      </c>
      <c r="CE217" s="1940">
        <f t="shared" si="1203"/>
        <v>-4267</v>
      </c>
      <c r="CF217" s="1940">
        <f t="shared" si="1203"/>
        <v>3178</v>
      </c>
      <c r="CG217" s="1940">
        <f t="shared" si="1203"/>
        <v>-9477.2553000000007</v>
      </c>
      <c r="CH217" s="1940">
        <f t="shared" si="1203"/>
        <v>-9699</v>
      </c>
      <c r="CI217" s="1940">
        <f t="shared" si="1203"/>
        <v>-8609.2341599999982</v>
      </c>
      <c r="CJ217" s="1940">
        <f t="shared" ref="CJ217:CK217" si="1204">+CJ114*1000</f>
        <v>-21548.383690000002</v>
      </c>
      <c r="CK217" s="1940">
        <f t="shared" si="1204"/>
        <v>-15541.962280000007</v>
      </c>
      <c r="CL217" s="1941">
        <f t="shared" ref="CL217:CO217" si="1205">+CL212+CL218</f>
        <v>-18902.572481179777</v>
      </c>
      <c r="CM217" s="1941">
        <f t="shared" si="1205"/>
        <v>-27470.994179896792</v>
      </c>
      <c r="CN217" s="1941">
        <f t="shared" si="1205"/>
        <v>-43035.512581740004</v>
      </c>
      <c r="CO217" s="1941">
        <f t="shared" si="1205"/>
        <v>-25128.477768591572</v>
      </c>
      <c r="CP217" s="1941">
        <f>+CP212+CP218</f>
        <v>-9587.5865875487289</v>
      </c>
      <c r="CQ217" s="1940"/>
      <c r="CR217" s="1940"/>
      <c r="CS217" s="1941">
        <v>-21253.265346642358</v>
      </c>
      <c r="CT217" s="1943"/>
      <c r="CU217" s="1940"/>
      <c r="CV217" s="1940"/>
      <c r="CW217" s="1940"/>
      <c r="CX217" s="1940"/>
      <c r="CY217" s="1940"/>
      <c r="CZ217" s="1940"/>
      <c r="DA217" s="1940"/>
      <c r="DB217" s="1940"/>
      <c r="DC217" s="1940"/>
      <c r="DD217" s="1940"/>
      <c r="DE217" s="1940"/>
      <c r="DF217" s="1940"/>
      <c r="DG217" s="1940">
        <f t="shared" ref="DG217:DP217" si="1206">+DG114*1000</f>
        <v>-126274</v>
      </c>
      <c r="DH217" s="1940">
        <f t="shared" si="1206"/>
        <v>-109339</v>
      </c>
      <c r="DI217" s="1940">
        <f t="shared" si="1206"/>
        <v>-98617.438030000019</v>
      </c>
      <c r="DJ217" s="1940">
        <f t="shared" si="1206"/>
        <v>-165764.14005999998</v>
      </c>
      <c r="DK217" s="1940">
        <f t="shared" si="1206"/>
        <v>-107161.55468000002</v>
      </c>
      <c r="DL217" s="1940">
        <f t="shared" si="1206"/>
        <v>-41212.07</v>
      </c>
      <c r="DM217" s="1940">
        <f t="shared" si="1206"/>
        <v>-71298.12</v>
      </c>
      <c r="DN217" s="1940">
        <f t="shared" si="1206"/>
        <v>-105467</v>
      </c>
      <c r="DO217" s="1940">
        <f t="shared" si="1206"/>
        <v>-20265.255300000001</v>
      </c>
      <c r="DP217" s="1940">
        <f t="shared" si="1206"/>
        <v>-64602.152611179787</v>
      </c>
      <c r="DQ217" s="1940">
        <f t="shared" ref="DQ217" si="1207">+DQ114*1000</f>
        <v>-105222.57111777709</v>
      </c>
      <c r="DR217" s="1941">
        <f t="shared" ref="DR217:DU217" si="1208">+DR218+DR212</f>
        <v>1351.1863554832526</v>
      </c>
      <c r="DS217" s="1941">
        <f t="shared" si="1208"/>
        <v>7713.5800194923941</v>
      </c>
      <c r="DT217" s="1941">
        <f t="shared" si="1208"/>
        <v>9140.010059667984</v>
      </c>
      <c r="DU217" s="1941">
        <f t="shared" si="1208"/>
        <v>8668.8003209600865</v>
      </c>
      <c r="DV217" s="1940"/>
      <c r="DW217" s="1940"/>
      <c r="DY217" s="1941">
        <v>-67543.120407324517</v>
      </c>
      <c r="DZ217" s="1941">
        <v>-89168.416498490245</v>
      </c>
    </row>
    <row r="218" spans="1:130" s="656" customFormat="1" ht="15.75" customHeight="1">
      <c r="A218" s="1460" t="s">
        <v>672</v>
      </c>
      <c r="B218" s="1460"/>
      <c r="C218" s="1484"/>
      <c r="D218" s="1484"/>
      <c r="E218" s="1484"/>
      <c r="F218" s="1484"/>
      <c r="G218" s="1471"/>
      <c r="H218" s="1471"/>
      <c r="I218" s="1471"/>
      <c r="J218" s="1471"/>
      <c r="K218" s="1471"/>
      <c r="L218" s="1471"/>
      <c r="M218" s="1471"/>
      <c r="N218" s="1471"/>
      <c r="O218" s="1471"/>
      <c r="P218" s="1471"/>
      <c r="Q218" s="1471"/>
      <c r="R218" s="1471"/>
      <c r="S218" s="1485"/>
      <c r="T218" s="1485"/>
      <c r="U218" s="1485"/>
      <c r="V218" s="1485"/>
      <c r="W218" s="1485"/>
      <c r="X218" s="1485"/>
      <c r="Y218" s="1485"/>
      <c r="Z218" s="1485"/>
      <c r="AA218" s="1484"/>
      <c r="AB218" s="1484"/>
      <c r="AC218" s="1484"/>
      <c r="AD218" s="1484"/>
      <c r="AE218" s="1484"/>
      <c r="AF218" s="1484"/>
      <c r="AG218" s="1484"/>
      <c r="AH218" s="1484"/>
      <c r="AI218" s="1484"/>
      <c r="AJ218" s="1484"/>
      <c r="AK218" s="1484"/>
      <c r="AL218" s="1484"/>
      <c r="AM218" s="1484"/>
      <c r="AN218" s="1484"/>
      <c r="AO218" s="1484"/>
      <c r="AP218" s="1484"/>
      <c r="AQ218" s="1484"/>
      <c r="AR218" s="1484"/>
      <c r="AS218" s="1484"/>
      <c r="AT218" s="1484"/>
      <c r="AU218" s="1484"/>
      <c r="AV218" s="1484"/>
      <c r="AW218" s="1484"/>
      <c r="AX218" s="1484"/>
      <c r="AY218" s="1462">
        <f t="shared" ref="AY218:CE218" si="1209">+AY217-AY212</f>
        <v>15215</v>
      </c>
      <c r="AZ218" s="1462">
        <f t="shared" si="1209"/>
        <v>14445</v>
      </c>
      <c r="BA218" s="1462">
        <f t="shared" si="1209"/>
        <v>15736</v>
      </c>
      <c r="BB218" s="1462">
        <f t="shared" si="1209"/>
        <v>19047</v>
      </c>
      <c r="BC218" s="1462">
        <f t="shared" si="1209"/>
        <v>19147</v>
      </c>
      <c r="BD218" s="1462">
        <f t="shared" si="1209"/>
        <v>18789</v>
      </c>
      <c r="BE218" s="1462">
        <f t="shared" si="1209"/>
        <v>17923</v>
      </c>
      <c r="BF218" s="1462">
        <f t="shared" si="1209"/>
        <v>25541</v>
      </c>
      <c r="BG218" s="1462">
        <f t="shared" si="1209"/>
        <v>38744</v>
      </c>
      <c r="BH218" s="1462">
        <f t="shared" si="1209"/>
        <v>21131</v>
      </c>
      <c r="BI218" s="1462">
        <f t="shared" si="1209"/>
        <v>23409.561969999995</v>
      </c>
      <c r="BJ218" s="1462">
        <f t="shared" si="1209"/>
        <v>24720</v>
      </c>
      <c r="BK218" s="1462">
        <f t="shared" si="1209"/>
        <v>22073.286959999994</v>
      </c>
      <c r="BL218" s="1462">
        <f t="shared" si="1209"/>
        <v>20309</v>
      </c>
      <c r="BM218" s="1462">
        <f t="shared" si="1209"/>
        <v>21325</v>
      </c>
      <c r="BN218" s="1462">
        <f t="shared" si="1209"/>
        <v>-122226.42702</v>
      </c>
      <c r="BO218" s="1462">
        <f t="shared" si="1209"/>
        <v>22547</v>
      </c>
      <c r="BP218" s="1462">
        <f t="shared" si="1209"/>
        <v>20181.327010000001</v>
      </c>
      <c r="BQ218" s="1462">
        <f t="shared" si="1209"/>
        <v>32323.118309999998</v>
      </c>
      <c r="BR218" s="1462">
        <f t="shared" si="1209"/>
        <v>34580</v>
      </c>
      <c r="BS218" s="1462">
        <f t="shared" si="1209"/>
        <v>28005</v>
      </c>
      <c r="BT218" s="1462">
        <f t="shared" si="1209"/>
        <v>31741.100000000002</v>
      </c>
      <c r="BU218" s="1462">
        <f t="shared" si="1209"/>
        <v>34204.639999999999</v>
      </c>
      <c r="BV218" s="1462">
        <f t="shared" si="1209"/>
        <v>24496.19</v>
      </c>
      <c r="BW218" s="1462">
        <f t="shared" si="1209"/>
        <v>20370</v>
      </c>
      <c r="BX218" s="1462">
        <f t="shared" si="1209"/>
        <v>20461</v>
      </c>
      <c r="BY218" s="1462">
        <f t="shared" si="1209"/>
        <v>53969.88</v>
      </c>
      <c r="BZ218" s="1462">
        <f t="shared" si="1209"/>
        <v>53575</v>
      </c>
      <c r="CA218" s="1462">
        <f t="shared" si="1209"/>
        <v>6988</v>
      </c>
      <c r="CB218" s="1462">
        <f t="shared" si="1209"/>
        <v>9565</v>
      </c>
      <c r="CC218" s="1462">
        <f t="shared" si="1209"/>
        <v>12987</v>
      </c>
      <c r="CD218" s="1462">
        <f t="shared" si="1209"/>
        <v>28246</v>
      </c>
      <c r="CE218" s="1462">
        <f t="shared" si="1209"/>
        <v>19591</v>
      </c>
      <c r="CF218" s="1462">
        <f t="shared" ref="CF218:CK218" si="1210">+CF217-CF212</f>
        <v>25831</v>
      </c>
      <c r="CG218" s="1462">
        <f t="shared" si="1210"/>
        <v>15521.744699999999</v>
      </c>
      <c r="CH218" s="1462">
        <f t="shared" si="1210"/>
        <v>16082</v>
      </c>
      <c r="CI218" s="1462">
        <f t="shared" si="1210"/>
        <v>7010.7658400000018</v>
      </c>
      <c r="CJ218" s="1462">
        <f t="shared" si="1210"/>
        <v>11876.616309999998</v>
      </c>
      <c r="CK218" s="1462">
        <f t="shared" si="1210"/>
        <v>11673.037719999993</v>
      </c>
      <c r="CL218" s="1486">
        <f t="shared" ref="CL218" si="1211">+CL219*CK213</f>
        <v>22440.591024020228</v>
      </c>
      <c r="CM218" s="1486">
        <f t="shared" ref="CM218" si="1212">+CM219*CL213</f>
        <v>11393.678324136577</v>
      </c>
      <c r="CN218" s="1486">
        <f t="shared" ref="CN218" si="1213">+CN219*CM213</f>
        <v>19482.006452088186</v>
      </c>
      <c r="CO218" s="1486">
        <f t="shared" ref="CO218" si="1214">+CO219*CN213</f>
        <v>18765.153131376432</v>
      </c>
      <c r="CP218" s="1486">
        <f t="shared" ref="CP218" si="1215">+CP219*CO213</f>
        <v>38710.063706767738</v>
      </c>
      <c r="CQ218" s="1486"/>
      <c r="CR218" s="1486"/>
      <c r="CS218" s="1486">
        <v>22364.179554740265</v>
      </c>
      <c r="CT218" s="1457"/>
      <c r="CU218" s="1460"/>
      <c r="CV218" s="1460"/>
      <c r="CW218" s="1471"/>
      <c r="CX218" s="1471"/>
      <c r="CY218" s="1471"/>
      <c r="CZ218" s="1471"/>
      <c r="DA218" s="1487"/>
      <c r="DB218" s="1487"/>
      <c r="DC218" s="1487"/>
      <c r="DD218" s="1487"/>
      <c r="DE218" s="1469">
        <f>+SUM(AQ218:AT218)</f>
        <v>0</v>
      </c>
      <c r="DF218" s="1462">
        <f>+SUM(AU218:AX218)</f>
        <v>0</v>
      </c>
      <c r="DG218" s="1462">
        <f t="shared" ref="DG218:DP218" si="1216">+DG217-DG212</f>
        <v>64443</v>
      </c>
      <c r="DH218" s="1462">
        <f t="shared" si="1216"/>
        <v>81400</v>
      </c>
      <c r="DI218" s="1462">
        <f t="shared" si="1216"/>
        <v>108004.56196999998</v>
      </c>
      <c r="DJ218" s="1462">
        <f t="shared" si="1216"/>
        <v>-58519.140059999976</v>
      </c>
      <c r="DK218" s="1462">
        <f t="shared" si="1216"/>
        <v>109631.44531999998</v>
      </c>
      <c r="DL218" s="1462">
        <f t="shared" si="1216"/>
        <v>118446.93</v>
      </c>
      <c r="DM218" s="1462">
        <f t="shared" si="1216"/>
        <v>148375.88</v>
      </c>
      <c r="DN218" s="1462">
        <f t="shared" si="1216"/>
        <v>57786</v>
      </c>
      <c r="DO218" s="1462">
        <f t="shared" si="1216"/>
        <v>77025.744699999996</v>
      </c>
      <c r="DP218" s="1462">
        <f t="shared" si="1216"/>
        <v>53001.010894020219</v>
      </c>
      <c r="DQ218" s="1462">
        <f t="shared" ref="DQ218" si="1217">+DQ217-DQ212</f>
        <v>88350.901614368951</v>
      </c>
      <c r="DR218" s="1486">
        <f t="shared" ref="DR218:DU218" si="1218">+DR219*DQ213</f>
        <v>144714.78908436623</v>
      </c>
      <c r="DS218" s="1486">
        <f t="shared" si="1218"/>
        <v>159678.99891210836</v>
      </c>
      <c r="DT218" s="1486">
        <f t="shared" si="1218"/>
        <v>170223.35408584093</v>
      </c>
      <c r="DU218" s="1486">
        <f t="shared" si="1218"/>
        <v>179417.14498870343</v>
      </c>
      <c r="DV218" s="1460"/>
      <c r="DW218" s="1460"/>
      <c r="DY218" s="1486">
        <v>45162.540280053763</v>
      </c>
      <c r="DZ218" s="1486">
        <v>32553.697043878306</v>
      </c>
    </row>
    <row r="219" spans="1:130" s="656" customFormat="1" ht="15.75" customHeight="1">
      <c r="A219" s="1460" t="s">
        <v>673</v>
      </c>
      <c r="B219" s="1460"/>
      <c r="C219" s="1484"/>
      <c r="D219" s="1484"/>
      <c r="E219" s="1484"/>
      <c r="F219" s="1484"/>
      <c r="G219" s="1471"/>
      <c r="H219" s="1471"/>
      <c r="I219" s="1471"/>
      <c r="J219" s="1471"/>
      <c r="K219" s="1471"/>
      <c r="L219" s="1471"/>
      <c r="M219" s="1471"/>
      <c r="N219" s="1471"/>
      <c r="O219" s="1471"/>
      <c r="P219" s="1471"/>
      <c r="Q219" s="1471"/>
      <c r="R219" s="1471"/>
      <c r="S219" s="1485"/>
      <c r="T219" s="1485"/>
      <c r="U219" s="1485"/>
      <c r="V219" s="1485"/>
      <c r="W219" s="1485"/>
      <c r="X219" s="1485"/>
      <c r="Y219" s="1485"/>
      <c r="Z219" s="1485"/>
      <c r="AA219" s="1484"/>
      <c r="AB219" s="1484"/>
      <c r="AC219" s="1484"/>
      <c r="AD219" s="1484"/>
      <c r="AE219" s="1484"/>
      <c r="AF219" s="1484"/>
      <c r="AG219" s="1484"/>
      <c r="AH219" s="1484"/>
      <c r="AI219" s="1484"/>
      <c r="AJ219" s="1484"/>
      <c r="AK219" s="1484"/>
      <c r="AL219" s="1484"/>
      <c r="AM219" s="1484"/>
      <c r="AN219" s="1484"/>
      <c r="AO219" s="1484"/>
      <c r="AP219" s="1484"/>
      <c r="AQ219" s="1484"/>
      <c r="AR219" s="1484"/>
      <c r="AS219" s="1484"/>
      <c r="AT219" s="1484"/>
      <c r="AU219" s="1484"/>
      <c r="AV219" s="1484"/>
      <c r="AW219" s="1484"/>
      <c r="AX219" s="1484"/>
      <c r="AY219" s="1471">
        <f t="shared" ref="AY219:CH219" si="1219">+AY218/AX213</f>
        <v>1.0941320293398511</v>
      </c>
      <c r="AZ219" s="1471">
        <f t="shared" si="1219"/>
        <v>-2.8683478951549013</v>
      </c>
      <c r="BA219" s="1471">
        <f t="shared" si="1219"/>
        <v>2.2048479753397698</v>
      </c>
      <c r="BB219" s="1471">
        <f t="shared" si="1219"/>
        <v>20.112988384371082</v>
      </c>
      <c r="BC219" s="1471">
        <f t="shared" si="1219"/>
        <v>-5.9778332812988371</v>
      </c>
      <c r="BD219" s="1471">
        <f t="shared" si="1219"/>
        <v>-1.3864374262101564</v>
      </c>
      <c r="BE219" s="1471">
        <f t="shared" si="1219"/>
        <v>-4.4987449799197119</v>
      </c>
      <c r="BF219" s="1471">
        <f t="shared" si="1219"/>
        <v>-2.0787010661674992</v>
      </c>
      <c r="BG219" s="1471">
        <f t="shared" si="1219"/>
        <v>-4.8436054506813528</v>
      </c>
      <c r="BH219" s="1471">
        <f t="shared" si="1219"/>
        <v>3.842698672485886</v>
      </c>
      <c r="BI219" s="1471">
        <f t="shared" si="1219"/>
        <v>1.1081449453254419</v>
      </c>
      <c r="BJ219" s="1471">
        <f t="shared" si="1219"/>
        <v>5.9782345828294625</v>
      </c>
      <c r="BK219" s="1471">
        <f t="shared" si="1219"/>
        <v>2.6425579983239547</v>
      </c>
      <c r="BL219" s="1471">
        <f t="shared" si="1219"/>
        <v>1.4604487271681288</v>
      </c>
      <c r="BM219" s="1471">
        <f t="shared" si="1219"/>
        <v>0.63879819069586319</v>
      </c>
      <c r="BN219" s="1471">
        <f t="shared" si="1219"/>
        <v>-3.0148100000000002</v>
      </c>
      <c r="BO219" s="1471">
        <f t="shared" si="1219"/>
        <v>0.21101939203354297</v>
      </c>
      <c r="BP219" s="1471">
        <f t="shared" si="1219"/>
        <v>0.10405105802346924</v>
      </c>
      <c r="BQ219" s="1471">
        <f t="shared" si="1219"/>
        <v>0.12889804522162182</v>
      </c>
      <c r="BR219" s="1471">
        <f t="shared" si="1219"/>
        <v>0.1380753305143286</v>
      </c>
      <c r="BS219" s="1471">
        <f t="shared" si="1219"/>
        <v>0.13547048238230686</v>
      </c>
      <c r="BT219" s="1471">
        <f t="shared" si="1219"/>
        <v>0.22410175307299648</v>
      </c>
      <c r="BU219" s="1471">
        <f t="shared" si="1219"/>
        <v>0.22130760819632886</v>
      </c>
      <c r="BV219" s="1471">
        <f t="shared" si="1219"/>
        <v>0.1455360421110167</v>
      </c>
      <c r="BW219" s="1471">
        <f t="shared" si="1219"/>
        <v>0.1145096099252905</v>
      </c>
      <c r="BX219" s="1471">
        <f t="shared" si="1219"/>
        <v>0.129850926237363</v>
      </c>
      <c r="BY219" s="1471">
        <f t="shared" si="1219"/>
        <v>0.29273228252497746</v>
      </c>
      <c r="BZ219" s="1471">
        <f t="shared" si="1219"/>
        <v>0.26377202613349349</v>
      </c>
      <c r="CA219" s="1471">
        <f t="shared" si="1219"/>
        <v>3.313057371647473E-2</v>
      </c>
      <c r="CB219" s="1471">
        <f t="shared" si="1219"/>
        <v>5.1473991238927576E-2</v>
      </c>
      <c r="CC219" s="1471">
        <f t="shared" si="1219"/>
        <v>7.5969581749049428E-2</v>
      </c>
      <c r="CD219" s="1471">
        <f t="shared" si="1219"/>
        <v>0.18169888392139205</v>
      </c>
      <c r="CE219" s="1471">
        <f t="shared" si="1219"/>
        <v>0.1385374753381938</v>
      </c>
      <c r="CF219" s="1471">
        <f t="shared" si="1219"/>
        <v>0.21538397398482448</v>
      </c>
      <c r="CG219" s="1471">
        <f t="shared" si="1219"/>
        <v>0.15304572811800549</v>
      </c>
      <c r="CH219" s="1471">
        <f t="shared" si="1219"/>
        <v>0.16942688579856721</v>
      </c>
      <c r="CI219" s="1471">
        <f>+CI218/CH213</f>
        <v>7.4413206529815118E-2</v>
      </c>
      <c r="CJ219" s="1471">
        <f>+CJ218/CI213</f>
        <v>0.11438080310880827</v>
      </c>
      <c r="CK219" s="1471">
        <f>+CK218/CJ213</f>
        <v>8.893133209913219E-2</v>
      </c>
      <c r="CL219" s="1488">
        <f t="shared" ref="CL219" si="1220">+CH219</f>
        <v>0.16942688579856721</v>
      </c>
      <c r="CM219" s="1488">
        <f t="shared" ref="CM219" si="1221">+CI219</f>
        <v>7.4413206529815118E-2</v>
      </c>
      <c r="CN219" s="1488">
        <f t="shared" ref="CN219" si="1222">+CJ219</f>
        <v>0.11438080310880827</v>
      </c>
      <c r="CO219" s="1488">
        <f t="shared" ref="CO219" si="1223">+CK219</f>
        <v>8.893133209913219E-2</v>
      </c>
      <c r="CP219" s="1488">
        <f t="shared" ref="CP219" si="1224">+CL219</f>
        <v>0.16942688579856721</v>
      </c>
      <c r="CQ219" s="1488"/>
      <c r="CR219" s="1488"/>
      <c r="CS219" s="1488">
        <v>0.21538397398482448</v>
      </c>
      <c r="CT219" s="1457"/>
      <c r="CU219" s="1460"/>
      <c r="CV219" s="1460"/>
      <c r="CW219" s="1471"/>
      <c r="CX219" s="1471"/>
      <c r="CY219" s="1471"/>
      <c r="CZ219" s="1471"/>
      <c r="DA219" s="1487"/>
      <c r="DB219" s="1487"/>
      <c r="DC219" s="1487"/>
      <c r="DD219" s="1487"/>
      <c r="DE219" s="1487"/>
      <c r="DF219" s="1487"/>
      <c r="DG219" s="1471">
        <f t="shared" ref="DG219:DI219" si="1225">+DG218/DF210</f>
        <v>0.39103762135922332</v>
      </c>
      <c r="DH219" s="1471">
        <f t="shared" si="1225"/>
        <v>0.39167380404761676</v>
      </c>
      <c r="DI219" s="1471">
        <f t="shared" si="1225"/>
        <v>0.55235411547804736</v>
      </c>
      <c r="DJ219" s="1471">
        <f t="shared" ref="DJ219:DO219" si="1226">+DJ218/DI213</f>
        <v>-7.0057632060337571</v>
      </c>
      <c r="DK219" s="1471">
        <f t="shared" si="1226"/>
        <v>1.0260505140011977</v>
      </c>
      <c r="DL219" s="1471">
        <f t="shared" si="1226"/>
        <v>0.57297135310849245</v>
      </c>
      <c r="DM219" s="1471">
        <f t="shared" si="1226"/>
        <v>0.83409249588226364</v>
      </c>
      <c r="DN219" s="1471">
        <f t="shared" si="1226"/>
        <v>0.273967277158015</v>
      </c>
      <c r="DO219" s="1471">
        <f t="shared" si="1226"/>
        <v>0.54468644820490331</v>
      </c>
      <c r="DP219" s="1471">
        <f>+DP218/DO213</f>
        <v>0.56255982013310357</v>
      </c>
      <c r="DQ219" s="1471">
        <f>+DQ218/DP213</f>
        <v>0.57702821704189478</v>
      </c>
      <c r="DR219" s="1488">
        <f>+DQ219</f>
        <v>0.57702821704189478</v>
      </c>
      <c r="DS219" s="1488">
        <f t="shared" ref="DS219:DU219" si="1227">+DR219</f>
        <v>0.57702821704189478</v>
      </c>
      <c r="DT219" s="1488">
        <f t="shared" si="1227"/>
        <v>0.57702821704189478</v>
      </c>
      <c r="DU219" s="1488">
        <f t="shared" si="1227"/>
        <v>0.57702821704189478</v>
      </c>
      <c r="DV219" s="1460"/>
      <c r="DW219" s="1460"/>
      <c r="DY219" s="1488">
        <v>0.30936416999028155</v>
      </c>
      <c r="DZ219" s="1488">
        <v>0.30936416999028155</v>
      </c>
    </row>
    <row r="220" spans="1:130" s="656" customFormat="1" ht="15.75" customHeight="1">
      <c r="A220" s="1460"/>
      <c r="B220" s="1460"/>
      <c r="C220" s="1484"/>
      <c r="D220" s="1484"/>
      <c r="E220" s="1484"/>
      <c r="F220" s="1484"/>
      <c r="G220" s="1471"/>
      <c r="H220" s="1471"/>
      <c r="I220" s="1471"/>
      <c r="J220" s="1471"/>
      <c r="K220" s="1471"/>
      <c r="L220" s="1471"/>
      <c r="M220" s="1471"/>
      <c r="N220" s="1471"/>
      <c r="O220" s="1471"/>
      <c r="P220" s="1471"/>
      <c r="Q220" s="1471"/>
      <c r="R220" s="1471"/>
      <c r="S220" s="1485"/>
      <c r="T220" s="1485"/>
      <c r="U220" s="1485"/>
      <c r="V220" s="1485"/>
      <c r="W220" s="1485"/>
      <c r="X220" s="1485"/>
      <c r="Y220" s="1485"/>
      <c r="Z220" s="1485"/>
      <c r="AA220" s="1484"/>
      <c r="AB220" s="1484"/>
      <c r="AC220" s="1484"/>
      <c r="AD220" s="1484"/>
      <c r="AE220" s="1484"/>
      <c r="AF220" s="1484"/>
      <c r="AG220" s="1484"/>
      <c r="AH220" s="1484"/>
      <c r="AI220" s="1484"/>
      <c r="AJ220" s="1484"/>
      <c r="AK220" s="1484"/>
      <c r="AL220" s="1484"/>
      <c r="AM220" s="1484"/>
      <c r="AN220" s="1484"/>
      <c r="AO220" s="1484"/>
      <c r="AP220" s="1484"/>
      <c r="AQ220" s="1484"/>
      <c r="AR220" s="1484"/>
      <c r="AS220" s="1484"/>
      <c r="AT220" s="1484"/>
      <c r="AU220" s="1484"/>
      <c r="AV220" s="1484"/>
      <c r="AW220" s="1484"/>
      <c r="AX220" s="1484"/>
      <c r="AY220" s="1471"/>
      <c r="AZ220" s="1471"/>
      <c r="BA220" s="1471"/>
      <c r="BB220" s="1471"/>
      <c r="BC220" s="1471"/>
      <c r="BD220" s="1471"/>
      <c r="BE220" s="1471"/>
      <c r="BF220" s="1471"/>
      <c r="BG220" s="1471"/>
      <c r="BH220" s="1471"/>
      <c r="BI220" s="1471"/>
      <c r="BJ220" s="1471"/>
      <c r="BK220" s="1471"/>
      <c r="BL220" s="1471"/>
      <c r="BM220" s="1471"/>
      <c r="BN220" s="1471"/>
      <c r="BO220" s="1471"/>
      <c r="BP220" s="1471"/>
      <c r="BQ220" s="1471"/>
      <c r="BR220" s="1471"/>
      <c r="BS220" s="1471"/>
      <c r="BT220" s="1471"/>
      <c r="BU220" s="1471"/>
      <c r="BV220" s="1471"/>
      <c r="BW220" s="1471"/>
      <c r="BX220" s="1471"/>
      <c r="BY220" s="1471"/>
      <c r="BZ220" s="1471"/>
      <c r="CA220" s="1471"/>
      <c r="CB220" s="1471"/>
      <c r="CC220" s="1471"/>
      <c r="CD220" s="1471"/>
      <c r="CE220" s="1471"/>
      <c r="CF220" s="1471"/>
      <c r="CG220" s="1471"/>
      <c r="CH220" s="1471"/>
      <c r="CI220" s="1471"/>
      <c r="CJ220" s="1471"/>
      <c r="CK220" s="1471"/>
      <c r="CL220" s="1488"/>
      <c r="CM220" s="1488"/>
      <c r="CN220" s="1488"/>
      <c r="CO220" s="1488"/>
      <c r="CP220" s="1488"/>
      <c r="CQ220" s="1488"/>
      <c r="CR220" s="1488"/>
      <c r="CS220" s="1488"/>
      <c r="CT220" s="1457"/>
      <c r="CU220" s="1460"/>
      <c r="CV220" s="1460"/>
      <c r="CW220" s="1471"/>
      <c r="CX220" s="1471"/>
      <c r="CY220" s="1471"/>
      <c r="CZ220" s="1471"/>
      <c r="DA220" s="1487"/>
      <c r="DB220" s="1487"/>
      <c r="DC220" s="1487"/>
      <c r="DD220" s="1487"/>
      <c r="DE220" s="1487"/>
      <c r="DF220" s="1487"/>
      <c r="DG220" s="1471"/>
      <c r="DH220" s="1471"/>
      <c r="DI220" s="1471"/>
      <c r="DJ220" s="1471"/>
      <c r="DK220" s="1471"/>
      <c r="DL220" s="1471"/>
      <c r="DM220" s="1471"/>
      <c r="DN220" s="1471"/>
      <c r="DO220" s="1471"/>
      <c r="DP220" s="1471"/>
      <c r="DQ220" s="1471"/>
      <c r="DR220" s="1488"/>
      <c r="DS220" s="1488"/>
      <c r="DT220" s="1488"/>
      <c r="DU220" s="1488"/>
      <c r="DV220" s="1460"/>
      <c r="DW220" s="1460"/>
      <c r="DY220" s="1488"/>
      <c r="DZ220" s="1488"/>
    </row>
    <row r="221" spans="1:130" s="1407" customFormat="1" ht="15.75" customHeight="1">
      <c r="A221" s="1452" t="s">
        <v>674</v>
      </c>
      <c r="B221" s="1452"/>
      <c r="C221" s="1993"/>
      <c r="D221" s="1993"/>
      <c r="E221" s="1993"/>
      <c r="F221" s="1993"/>
      <c r="G221" s="1946"/>
      <c r="H221" s="1946"/>
      <c r="I221" s="1946"/>
      <c r="J221" s="1946"/>
      <c r="K221" s="1946"/>
      <c r="L221" s="1946"/>
      <c r="M221" s="1946"/>
      <c r="N221" s="1946"/>
      <c r="O221" s="1946"/>
      <c r="P221" s="1946"/>
      <c r="Q221" s="1946"/>
      <c r="R221" s="1946"/>
      <c r="S221" s="1994"/>
      <c r="T221" s="1994"/>
      <c r="U221" s="1994"/>
      <c r="V221" s="1994"/>
      <c r="W221" s="1994"/>
      <c r="X221" s="1994"/>
      <c r="Y221" s="1994"/>
      <c r="Z221" s="1994"/>
      <c r="AA221" s="1993"/>
      <c r="AB221" s="1993"/>
      <c r="AC221" s="1993"/>
      <c r="AD221" s="1993"/>
      <c r="AE221" s="1993"/>
      <c r="AF221" s="1993"/>
      <c r="AG221" s="1993"/>
      <c r="AH221" s="1993"/>
      <c r="AI221" s="1993"/>
      <c r="AJ221" s="1993"/>
      <c r="AK221" s="1993"/>
      <c r="AL221" s="1993"/>
      <c r="AM221" s="1993"/>
      <c r="AN221" s="1993"/>
      <c r="AO221" s="1993"/>
      <c r="AP221" s="1993"/>
      <c r="AQ221" s="1454">
        <f t="shared" ref="AQ221:CH221" si="1228">+AQ207-AP207+AQ210</f>
        <v>95395</v>
      </c>
      <c r="AR221" s="1454">
        <f t="shared" si="1228"/>
        <v>53274</v>
      </c>
      <c r="AS221" s="1454">
        <f t="shared" si="1228"/>
        <v>35306.999999991465</v>
      </c>
      <c r="AT221" s="1454">
        <f t="shared" si="1228"/>
        <v>26868.000000008527</v>
      </c>
      <c r="AU221" s="1454">
        <f t="shared" si="1228"/>
        <v>17783.999999995736</v>
      </c>
      <c r="AV221" s="1454">
        <f t="shared" si="1228"/>
        <v>67601.42828000414</v>
      </c>
      <c r="AW221" s="1454">
        <f t="shared" si="1228"/>
        <v>43534.57171999586</v>
      </c>
      <c r="AX221" s="1454">
        <f t="shared" si="1228"/>
        <v>47134.000000004249</v>
      </c>
      <c r="AY221" s="1454">
        <f t="shared" si="1228"/>
        <v>42356</v>
      </c>
      <c r="AZ221" s="1454">
        <f t="shared" si="1228"/>
        <v>56711</v>
      </c>
      <c r="BA221" s="1454">
        <f t="shared" si="1228"/>
        <v>54564</v>
      </c>
      <c r="BB221" s="1454">
        <f t="shared" si="1228"/>
        <v>45958</v>
      </c>
      <c r="BC221" s="1454">
        <f t="shared" si="1228"/>
        <v>34955</v>
      </c>
      <c r="BD221" s="1454">
        <f t="shared" si="1228"/>
        <v>36827</v>
      </c>
      <c r="BE221" s="1454">
        <f t="shared" si="1228"/>
        <v>73583.757770000026</v>
      </c>
      <c r="BF221" s="1454">
        <f t="shared" si="1228"/>
        <v>48340.458019999984</v>
      </c>
      <c r="BG221" s="1454">
        <f t="shared" si="1228"/>
        <v>39273.00653999998</v>
      </c>
      <c r="BH221" s="1454">
        <f t="shared" si="1228"/>
        <v>58326.39976</v>
      </c>
      <c r="BI221" s="1454">
        <f t="shared" si="1228"/>
        <v>53594.916969999998</v>
      </c>
      <c r="BJ221" s="1454">
        <f t="shared" si="1228"/>
        <v>43442.477880000006</v>
      </c>
      <c r="BK221" s="1454">
        <f t="shared" si="1228"/>
        <v>38703.292429999994</v>
      </c>
      <c r="BL221" s="1454">
        <f t="shared" si="1228"/>
        <v>60091.0607000003</v>
      </c>
      <c r="BM221" s="1454">
        <f t="shared" si="1228"/>
        <v>83678.583014067</v>
      </c>
      <c r="BN221" s="1454">
        <f t="shared" si="1228"/>
        <v>-109194.70835404898</v>
      </c>
      <c r="BO221" s="1454">
        <f t="shared" si="1228"/>
        <v>41817.528134367778</v>
      </c>
      <c r="BP221" s="1454">
        <f t="shared" si="1228"/>
        <v>162048.8859302731</v>
      </c>
      <c r="BQ221" s="1454">
        <f t="shared" si="1228"/>
        <v>-16248.657031677896</v>
      </c>
      <c r="BR221" s="1454">
        <f t="shared" si="1228"/>
        <v>-4082.0385215704737</v>
      </c>
      <c r="BS221" s="1454">
        <f t="shared" si="1228"/>
        <v>17446.03675858918</v>
      </c>
      <c r="BT221" s="1454">
        <f t="shared" si="1228"/>
        <v>68721</v>
      </c>
      <c r="BU221" s="1454">
        <f t="shared" si="1228"/>
        <v>37839</v>
      </c>
      <c r="BV221" s="1454">
        <f t="shared" si="1228"/>
        <v>36484</v>
      </c>
      <c r="BW221" s="1454">
        <f t="shared" si="1228"/>
        <v>45760</v>
      </c>
      <c r="BX221" s="1454">
        <f t="shared" si="1228"/>
        <v>72022</v>
      </c>
      <c r="BY221" s="1454">
        <f t="shared" si="1228"/>
        <v>68913</v>
      </c>
      <c r="BZ221" s="1454">
        <f t="shared" si="1228"/>
        <v>53872</v>
      </c>
      <c r="CA221" s="1454">
        <f t="shared" si="1228"/>
        <v>41530</v>
      </c>
      <c r="CB221" s="1454">
        <f t="shared" si="1228"/>
        <v>49934</v>
      </c>
      <c r="CC221" s="1454">
        <f t="shared" si="1228"/>
        <v>40180</v>
      </c>
      <c r="CD221" s="1454">
        <f t="shared" si="1228"/>
        <v>24600</v>
      </c>
      <c r="CE221" s="1454">
        <f t="shared" si="1228"/>
        <v>23293</v>
      </c>
      <c r="CF221" s="1454">
        <f t="shared" si="1228"/>
        <v>39584.442979998072</v>
      </c>
      <c r="CG221" s="1454">
        <f t="shared" si="1228"/>
        <v>19703.825090004902</v>
      </c>
      <c r="CH221" s="1454">
        <f t="shared" si="1228"/>
        <v>20300.259859996862</v>
      </c>
      <c r="CI221" s="1454">
        <f>+CI207-CH207+CI210</f>
        <v>20154.931880000833</v>
      </c>
      <c r="CJ221" s="1454">
        <f>+CJ207-CI207+CJ210</f>
        <v>52362.80958999932</v>
      </c>
      <c r="CK221" s="1454">
        <f>+CK207-CJ207+CK210</f>
        <v>20669.663309999713</v>
      </c>
      <c r="CL221" s="1995">
        <f t="shared" ref="CL221" si="1229">+CL222*CK166</f>
        <v>27551.545233600002</v>
      </c>
      <c r="CM221" s="1995">
        <f t="shared" ref="CM221" si="1230">+CM222*CL166</f>
        <v>22949.57573049892</v>
      </c>
      <c r="CN221" s="1995">
        <f t="shared" ref="CN221" si="1231">+CN222*CM166</f>
        <v>54241.838649712226</v>
      </c>
      <c r="CO221" s="1995">
        <f t="shared" ref="CO221" si="1232">+CO222*CN166</f>
        <v>23292.388149435075</v>
      </c>
      <c r="CP221" s="1995">
        <f t="shared" ref="CP221" si="1233">+CP222*CO166</f>
        <v>29755.668852288003</v>
      </c>
      <c r="CQ221" s="1995"/>
      <c r="CR221" s="1996"/>
      <c r="CS221" s="1995">
        <v>41540.423715602497</v>
      </c>
      <c r="CT221" s="1457"/>
      <c r="CU221" s="1452"/>
      <c r="CV221" s="1452"/>
      <c r="CW221" s="1946"/>
      <c r="CX221" s="1946"/>
      <c r="CY221" s="1946"/>
      <c r="CZ221" s="1946"/>
      <c r="DA221" s="1997"/>
      <c r="DB221" s="1997"/>
      <c r="DC221" s="1997"/>
      <c r="DD221" s="1997"/>
      <c r="DE221" s="1459">
        <f>+SUM(AQ221:AT221)</f>
        <v>210844</v>
      </c>
      <c r="DF221" s="1454">
        <f>+SUM(AU221:AX221)</f>
        <v>176054</v>
      </c>
      <c r="DG221" s="1454">
        <f>+SUM(AY221:BB221)</f>
        <v>199589</v>
      </c>
      <c r="DH221" s="1454">
        <f>+SUM(BC221:BF221)</f>
        <v>193706.21579000002</v>
      </c>
      <c r="DI221" s="1454">
        <f>+SUM(BG221:BJ221)</f>
        <v>194636.80114999996</v>
      </c>
      <c r="DJ221" s="1454">
        <f>+SUM(BK221:BN221)</f>
        <v>73278.227790018311</v>
      </c>
      <c r="DK221" s="1454">
        <f>+SUM(BO221:BR221)</f>
        <v>183535.71851139251</v>
      </c>
      <c r="DL221" s="1454">
        <f>+SUM(BS221:BV221)</f>
        <v>160490.03675858918</v>
      </c>
      <c r="DM221" s="1454">
        <f>+SUM(BW221:BZ221)</f>
        <v>240567</v>
      </c>
      <c r="DN221" s="1454">
        <f>+SUM(CA221:CD221)</f>
        <v>156244</v>
      </c>
      <c r="DO221" s="1454">
        <f>+SUM(CE221:CH221)</f>
        <v>102881.52792999984</v>
      </c>
      <c r="DP221" s="1454">
        <f>+SUM(CI221:CL221)</f>
        <v>120738.95001359987</v>
      </c>
      <c r="DQ221" s="1454">
        <f>+SUM(CM221:CP221)</f>
        <v>130239.47138193423</v>
      </c>
      <c r="DR221" s="1995">
        <f>+DR222*DR166</f>
        <v>143363.60272888298</v>
      </c>
      <c r="DS221" s="1995">
        <f>+DS222*DS166</f>
        <v>151965.41889261597</v>
      </c>
      <c r="DT221" s="1995">
        <f>+DT222*DT166</f>
        <v>161083.34402617294</v>
      </c>
      <c r="DU221" s="1995">
        <f>+DU222*DU166</f>
        <v>170748.34466774334</v>
      </c>
      <c r="DV221" s="1452"/>
      <c r="DW221" s="1452"/>
      <c r="DY221" s="1995">
        <v>112705.66068737827</v>
      </c>
      <c r="DZ221" s="1995">
        <v>121722.11354236855</v>
      </c>
    </row>
    <row r="222" spans="1:130" s="1407" customFormat="1" ht="15.75" customHeight="1">
      <c r="A222" s="1452" t="s">
        <v>675</v>
      </c>
      <c r="B222" s="1452"/>
      <c r="C222" s="1993"/>
      <c r="D222" s="1993"/>
      <c r="E222" s="1993"/>
      <c r="F222" s="1993"/>
      <c r="G222" s="1946"/>
      <c r="H222" s="1946"/>
      <c r="I222" s="1946"/>
      <c r="J222" s="1946"/>
      <c r="K222" s="1946"/>
      <c r="L222" s="1946"/>
      <c r="M222" s="1946"/>
      <c r="N222" s="1946"/>
      <c r="O222" s="1946"/>
      <c r="P222" s="1946"/>
      <c r="Q222" s="1946"/>
      <c r="R222" s="1946"/>
      <c r="S222" s="1994"/>
      <c r="T222" s="1994"/>
      <c r="U222" s="1994"/>
      <c r="V222" s="1994"/>
      <c r="W222" s="1994"/>
      <c r="X222" s="1994"/>
      <c r="Y222" s="1994"/>
      <c r="Z222" s="1994"/>
      <c r="AA222" s="1993"/>
      <c r="AB222" s="1993"/>
      <c r="AC222" s="1993"/>
      <c r="AD222" s="1993"/>
      <c r="AE222" s="1993"/>
      <c r="AF222" s="1993"/>
      <c r="AG222" s="1993"/>
      <c r="AH222" s="1993"/>
      <c r="AI222" s="1993"/>
      <c r="AJ222" s="1993"/>
      <c r="AK222" s="1993"/>
      <c r="AL222" s="1993"/>
      <c r="AM222" s="1993"/>
      <c r="AN222" s="1993"/>
      <c r="AO222" s="1993"/>
      <c r="AP222" s="1993"/>
      <c r="AQ222" s="1946">
        <f>+AQ221/AQ166</f>
        <v>0.10352132010708616</v>
      </c>
      <c r="AR222" s="1946"/>
      <c r="AS222" s="1946">
        <f t="shared" ref="AS222:CI222" si="1234">+AS221/AVERAGE(AR166:AS166)</f>
        <v>3.8211018284071779E-2</v>
      </c>
      <c r="AT222" s="1946">
        <f t="shared" si="1234"/>
        <v>2.515005036001652E-2</v>
      </c>
      <c r="AU222" s="1946">
        <f t="shared" si="1234"/>
        <v>1.5583609869966356E-2</v>
      </c>
      <c r="AV222" s="1946">
        <f t="shared" si="1234"/>
        <v>6.3574689213378624E-2</v>
      </c>
      <c r="AW222" s="1946">
        <f t="shared" si="1234"/>
        <v>4.1510767621638536E-2</v>
      </c>
      <c r="AX222" s="1946">
        <f t="shared" si="1234"/>
        <v>4.0592620917079617E-2</v>
      </c>
      <c r="AY222" s="1946">
        <f t="shared" si="1234"/>
        <v>3.6015322412642263E-2</v>
      </c>
      <c r="AZ222" s="1946">
        <f t="shared" si="1234"/>
        <v>5.3097005422896006E-2</v>
      </c>
      <c r="BA222" s="1946">
        <f t="shared" si="1234"/>
        <v>5.2506632614274865E-2</v>
      </c>
      <c r="BB222" s="1946">
        <f t="shared" si="1234"/>
        <v>4.0263599631338992E-2</v>
      </c>
      <c r="BC222" s="1946">
        <f t="shared" si="1234"/>
        <v>2.9650836063661715E-2</v>
      </c>
      <c r="BD222" s="1946">
        <f t="shared" si="1234"/>
        <v>3.5387711017496389E-2</v>
      </c>
      <c r="BE222" s="1946">
        <f t="shared" si="1234"/>
        <v>7.5434669678845018E-2</v>
      </c>
      <c r="BF222" s="1946">
        <f t="shared" si="1234"/>
        <v>4.5032048392047615E-2</v>
      </c>
      <c r="BG222" s="1946">
        <f t="shared" si="1234"/>
        <v>3.527857355222945E-2</v>
      </c>
      <c r="BH222" s="1946">
        <f t="shared" si="1234"/>
        <v>5.714585870514706E-2</v>
      </c>
      <c r="BI222" s="1946">
        <f t="shared" si="1234"/>
        <v>5.3507324040129152E-2</v>
      </c>
      <c r="BJ222" s="1946">
        <f t="shared" si="1234"/>
        <v>3.8163108380527555E-2</v>
      </c>
      <c r="BK222" s="1946">
        <f t="shared" si="1234"/>
        <v>3.2142293616864201E-2</v>
      </c>
      <c r="BL222" s="1946">
        <f t="shared" si="1234"/>
        <v>5.5116973071034067E-2</v>
      </c>
      <c r="BM222" s="1946">
        <f t="shared" si="1234"/>
        <v>7.982406344459346E-2</v>
      </c>
      <c r="BN222" s="1946">
        <f t="shared" si="1234"/>
        <v>-9.2557267873406235E-2</v>
      </c>
      <c r="BO222" s="1946">
        <f t="shared" si="1234"/>
        <v>3.3348951556770118E-2</v>
      </c>
      <c r="BP222" s="1946">
        <f t="shared" si="1234"/>
        <v>0.16548121021902157</v>
      </c>
      <c r="BQ222" s="1946">
        <f t="shared" si="1234"/>
        <v>-1.9715192630828788E-2</v>
      </c>
      <c r="BR222" s="1946">
        <f t="shared" si="1234"/>
        <v>-4.0046329708764037E-3</v>
      </c>
      <c r="BS222" s="1946">
        <f t="shared" si="1234"/>
        <v>1.7225133039918742E-2</v>
      </c>
      <c r="BT222" s="1946">
        <f t="shared" si="1234"/>
        <v>7.9108135517907852E-2</v>
      </c>
      <c r="BU222" s="1946">
        <f t="shared" si="1234"/>
        <v>4.2607791891919281E-2</v>
      </c>
      <c r="BV222" s="1946">
        <f t="shared" si="1234"/>
        <v>3.6440071493814209E-2</v>
      </c>
      <c r="BW222" s="1946">
        <f t="shared" si="1234"/>
        <v>4.4124439404590057E-2</v>
      </c>
      <c r="BX222" s="1946">
        <f t="shared" si="1234"/>
        <v>7.3339171520508326E-2</v>
      </c>
      <c r="BY222" s="1946">
        <f t="shared" si="1234"/>
        <v>7.2533968227905254E-2</v>
      </c>
      <c r="BZ222" s="1946">
        <f t="shared" si="1234"/>
        <v>5.746705261074958E-2</v>
      </c>
      <c r="CA222" s="1946">
        <f t="shared" si="1234"/>
        <v>4.5998017422316739E-2</v>
      </c>
      <c r="CB222" s="1946">
        <f t="shared" si="1234"/>
        <v>6.1888814799574636E-2</v>
      </c>
      <c r="CC222" s="1946">
        <f t="shared" si="1234"/>
        <v>5.3832627154125706E-2</v>
      </c>
      <c r="CD222" s="1946">
        <f t="shared" si="1234"/>
        <v>3.2772580274503665E-2</v>
      </c>
      <c r="CE222" s="1946">
        <f t="shared" si="1234"/>
        <v>3.1752003669617217E-2</v>
      </c>
      <c r="CF222" s="1946">
        <f t="shared" si="1234"/>
        <v>5.9806714779140749E-2</v>
      </c>
      <c r="CG222" s="1946">
        <f t="shared" si="1234"/>
        <v>3.0393035890334166E-2</v>
      </c>
      <c r="CH222" s="1946">
        <f t="shared" si="1234"/>
        <v>2.873572749086397E-2</v>
      </c>
      <c r="CI222" s="1946">
        <f t="shared" si="1234"/>
        <v>2.753018129900292E-2</v>
      </c>
      <c r="CJ222" s="1946">
        <f>+CJ221/AVERAGE(CI166:CJ166)</f>
        <v>7.2542242254686667E-2</v>
      </c>
      <c r="CK222" s="1946">
        <f>+CK221/AVERAGE(CJ166:CK166)</f>
        <v>2.8705904352101061E-2</v>
      </c>
      <c r="CL222" s="1998">
        <v>0.04</v>
      </c>
      <c r="CM222" s="1998">
        <f>+CI222</f>
        <v>2.753018129900292E-2</v>
      </c>
      <c r="CN222" s="1998">
        <f t="shared" ref="CN222:CP222" si="1235">+CJ222</f>
        <v>7.2542242254686667E-2</v>
      </c>
      <c r="CO222" s="1998">
        <f t="shared" si="1235"/>
        <v>2.8705904352101061E-2</v>
      </c>
      <c r="CP222" s="1998">
        <f t="shared" si="1235"/>
        <v>0.04</v>
      </c>
      <c r="CQ222" s="1998"/>
      <c r="CR222" s="1998"/>
      <c r="CS222" s="1998">
        <v>0.06</v>
      </c>
      <c r="CT222" s="1457"/>
      <c r="CU222" s="1452"/>
      <c r="CV222" s="1452"/>
      <c r="CW222" s="1946"/>
      <c r="CX222" s="1946"/>
      <c r="CY222" s="1946"/>
      <c r="CZ222" s="1946"/>
      <c r="DA222" s="1997"/>
      <c r="DB222" s="1997"/>
      <c r="DC222" s="1997"/>
      <c r="DD222" s="1997"/>
      <c r="DE222" s="1946">
        <f t="shared" ref="DE222:DI222" si="1236">+DE221/DE166</f>
        <v>0.17025970491784745</v>
      </c>
      <c r="DF222" s="1946">
        <f t="shared" si="1236"/>
        <v>0.13465623095026666</v>
      </c>
      <c r="DG222" s="1946">
        <f t="shared" si="1236"/>
        <v>0.15401086932198302</v>
      </c>
      <c r="DH222" s="1946">
        <f t="shared" si="1236"/>
        <v>0.15936090829681163</v>
      </c>
      <c r="DI222" s="1946">
        <f t="shared" si="1236"/>
        <v>0.14928598965876541</v>
      </c>
      <c r="DJ222" s="1946">
        <f t="shared" ref="DJ222:DQ222" si="1237">+DJ221/AVERAGE(DI166:DJ166)</f>
        <v>5.5456146884892588E-2</v>
      </c>
      <c r="DK222" s="1946">
        <f t="shared" si="1237"/>
        <v>0.14572802322472644</v>
      </c>
      <c r="DL222" s="1946">
        <f t="shared" si="1237"/>
        <v>0.13968761712823527</v>
      </c>
      <c r="DM222" s="1946">
        <f t="shared" si="1237"/>
        <v>0.22905525549686626</v>
      </c>
      <c r="DN222" s="1946">
        <f t="shared" si="1237"/>
        <v>0.17539700180286977</v>
      </c>
      <c r="DO222" s="1946">
        <f t="shared" si="1237"/>
        <v>0.1309861139687655</v>
      </c>
      <c r="DP222" s="1946">
        <f t="shared" si="1237"/>
        <v>0.15040844497604544</v>
      </c>
      <c r="DQ222" s="1946">
        <f t="shared" si="1237"/>
        <v>0.1502255130290997</v>
      </c>
      <c r="DR222" s="1998">
        <f t="shared" ref="DR222:DU222" si="1238">+DQ222</f>
        <v>0.1502255130290997</v>
      </c>
      <c r="DS222" s="1998">
        <f t="shared" si="1238"/>
        <v>0.1502255130290997</v>
      </c>
      <c r="DT222" s="1998">
        <f t="shared" si="1238"/>
        <v>0.1502255130290997</v>
      </c>
      <c r="DU222" s="1998">
        <f t="shared" si="1238"/>
        <v>0.1502255130290997</v>
      </c>
      <c r="DV222" s="1452"/>
      <c r="DW222" s="1452"/>
      <c r="DY222" s="1998">
        <v>0.12288642156031161</v>
      </c>
      <c r="DZ222" s="1998">
        <v>0.12288642156031161</v>
      </c>
    </row>
    <row r="223" spans="1:130" s="656" customFormat="1" ht="15.75" customHeight="1">
      <c r="A223" s="1460"/>
      <c r="B223" s="1460"/>
      <c r="C223" s="1484"/>
      <c r="D223" s="1484"/>
      <c r="E223" s="1484"/>
      <c r="F223" s="1484"/>
      <c r="G223" s="1471"/>
      <c r="H223" s="1471"/>
      <c r="I223" s="1471"/>
      <c r="J223" s="1471"/>
      <c r="K223" s="1471"/>
      <c r="L223" s="1471"/>
      <c r="M223" s="1471"/>
      <c r="N223" s="1471"/>
      <c r="O223" s="1471"/>
      <c r="P223" s="1471"/>
      <c r="Q223" s="1471"/>
      <c r="R223" s="1471"/>
      <c r="S223" s="1485"/>
      <c r="T223" s="1485"/>
      <c r="U223" s="1485"/>
      <c r="V223" s="1485"/>
      <c r="W223" s="1485"/>
      <c r="X223" s="1485"/>
      <c r="Y223" s="1485"/>
      <c r="Z223" s="1485"/>
      <c r="AA223" s="1484"/>
      <c r="AB223" s="1484"/>
      <c r="AC223" s="1484"/>
      <c r="AD223" s="1484"/>
      <c r="AE223" s="1484"/>
      <c r="AF223" s="1484"/>
      <c r="AG223" s="1484"/>
      <c r="AH223" s="1484"/>
      <c r="AI223" s="1484"/>
      <c r="AJ223" s="1484"/>
      <c r="AK223" s="1484"/>
      <c r="AL223" s="1484"/>
      <c r="AM223" s="1484"/>
      <c r="AN223" s="1484"/>
      <c r="AO223" s="1484"/>
      <c r="AP223" s="1484"/>
      <c r="AQ223" s="1471"/>
      <c r="AR223" s="1471"/>
      <c r="AS223" s="1471"/>
      <c r="AT223" s="1471"/>
      <c r="AU223" s="1471"/>
      <c r="AV223" s="1471"/>
      <c r="AW223" s="1471"/>
      <c r="AX223" s="1471"/>
      <c r="AY223" s="1471"/>
      <c r="AZ223" s="1471"/>
      <c r="BA223" s="1471"/>
      <c r="BB223" s="1471"/>
      <c r="BC223" s="1471"/>
      <c r="BD223" s="1471"/>
      <c r="BE223" s="1471"/>
      <c r="BF223" s="1471"/>
      <c r="BG223" s="1471"/>
      <c r="BH223" s="1471"/>
      <c r="BI223" s="1471"/>
      <c r="BJ223" s="1471"/>
      <c r="BK223" s="1471"/>
      <c r="BL223" s="1471"/>
      <c r="BM223" s="1471"/>
      <c r="BN223" s="1471"/>
      <c r="BO223" s="1471"/>
      <c r="BP223" s="1471"/>
      <c r="BQ223" s="1471"/>
      <c r="BR223" s="1471"/>
      <c r="BS223" s="1471"/>
      <c r="BT223" s="1471"/>
      <c r="BU223" s="1471"/>
      <c r="BV223" s="1471"/>
      <c r="BW223" s="1471"/>
      <c r="BX223" s="1471"/>
      <c r="BY223" s="1471"/>
      <c r="BZ223" s="1471"/>
      <c r="CA223" s="1471"/>
      <c r="CB223" s="1471"/>
      <c r="CC223" s="1471"/>
      <c r="CD223" s="1471"/>
      <c r="CE223" s="1471"/>
      <c r="CF223" s="1471"/>
      <c r="CG223" s="1471"/>
      <c r="CH223" s="1471"/>
      <c r="CI223" s="1471"/>
      <c r="CJ223" s="1471"/>
      <c r="CK223" s="1471"/>
      <c r="CL223" s="1471"/>
      <c r="CM223" s="1471"/>
      <c r="CN223" s="1471"/>
      <c r="CO223" s="1471"/>
      <c r="CP223" s="1471"/>
      <c r="CQ223" s="1471"/>
      <c r="CR223" s="1471"/>
      <c r="CS223" s="1471"/>
      <c r="CT223" s="1457"/>
      <c r="CU223" s="1460"/>
      <c r="CV223" s="1460"/>
      <c r="CW223" s="1471"/>
      <c r="CX223" s="1471"/>
      <c r="CY223" s="1471"/>
      <c r="CZ223" s="1471"/>
      <c r="DA223" s="1487"/>
      <c r="DB223" s="1487"/>
      <c r="DC223" s="1487"/>
      <c r="DD223" s="1487"/>
      <c r="DE223" s="1487"/>
      <c r="DF223" s="1487"/>
      <c r="DG223" s="1487"/>
      <c r="DH223" s="1487"/>
      <c r="DI223" s="1487"/>
      <c r="DJ223" s="1487"/>
      <c r="DK223" s="1487"/>
      <c r="DL223" s="1487"/>
      <c r="DM223" s="1487"/>
      <c r="DN223" s="1487"/>
      <c r="DO223" s="1487"/>
      <c r="DP223" s="1487"/>
      <c r="DQ223" s="1487"/>
      <c r="DR223" s="1471"/>
      <c r="DS223" s="1471"/>
      <c r="DT223" s="1471"/>
      <c r="DU223" s="1471"/>
      <c r="DV223" s="1460"/>
      <c r="DW223" s="1460"/>
      <c r="DY223" s="1471"/>
      <c r="DZ223" s="1471"/>
    </row>
    <row r="224" spans="1:130" s="656" customFormat="1" ht="15.75" customHeight="1">
      <c r="A224" s="1460" t="s">
        <v>676</v>
      </c>
      <c r="B224" s="1460"/>
      <c r="C224" s="1484"/>
      <c r="D224" s="1484"/>
      <c r="E224" s="1484"/>
      <c r="F224" s="1484"/>
      <c r="G224" s="1471"/>
      <c r="H224" s="1471"/>
      <c r="I224" s="1471"/>
      <c r="J224" s="1471"/>
      <c r="K224" s="1471"/>
      <c r="L224" s="1471"/>
      <c r="M224" s="1471"/>
      <c r="N224" s="1471"/>
      <c r="O224" s="1471"/>
      <c r="P224" s="1471"/>
      <c r="Q224" s="1471"/>
      <c r="R224" s="1471"/>
      <c r="S224" s="1485"/>
      <c r="T224" s="1485"/>
      <c r="U224" s="1485"/>
      <c r="V224" s="1485"/>
      <c r="W224" s="1485"/>
      <c r="X224" s="1485"/>
      <c r="Y224" s="1485"/>
      <c r="Z224" s="1485"/>
      <c r="AA224" s="1484"/>
      <c r="AB224" s="1484"/>
      <c r="AC224" s="1484"/>
      <c r="AD224" s="1484"/>
      <c r="AE224" s="1484"/>
      <c r="AF224" s="1484"/>
      <c r="AG224" s="1484"/>
      <c r="AH224" s="1484"/>
      <c r="AI224" s="1484"/>
      <c r="AJ224" s="1484"/>
      <c r="AK224" s="1484"/>
      <c r="AL224" s="1484"/>
      <c r="AM224" s="1484"/>
      <c r="AN224" s="1484"/>
      <c r="AO224" s="1484"/>
      <c r="AP224" s="1484"/>
      <c r="AQ224" s="1471"/>
      <c r="AR224" s="1471"/>
      <c r="AS224" s="1471"/>
      <c r="AT224" s="1471">
        <f t="shared" ref="AT224:CF224" si="1239">+AT212/AT221</f>
        <v>-1.2728896828937453</v>
      </c>
      <c r="AU224" s="1471">
        <f t="shared" si="1239"/>
        <v>-1.3945119208280445</v>
      </c>
      <c r="AV224" s="1471">
        <f t="shared" si="1239"/>
        <v>-0.66714566759146643</v>
      </c>
      <c r="AW224" s="1471">
        <f t="shared" si="1239"/>
        <v>-0.95785942878236185</v>
      </c>
      <c r="AX224" s="1471">
        <f t="shared" si="1239"/>
        <v>-1.1286969066914585</v>
      </c>
      <c r="AY224" s="1471">
        <f t="shared" si="1239"/>
        <v>-0.79835206346208332</v>
      </c>
      <c r="AZ224" s="1471">
        <f t="shared" si="1239"/>
        <v>-0.99354622559997174</v>
      </c>
      <c r="BA224" s="1471">
        <f t="shared" si="1239"/>
        <v>-0.8713987244336926</v>
      </c>
      <c r="BB224" s="1471">
        <f t="shared" si="1239"/>
        <v>-1.1534444492797773</v>
      </c>
      <c r="BC224" s="1471">
        <f t="shared" si="1239"/>
        <v>-1.0836504076670004</v>
      </c>
      <c r="BD224" s="1471">
        <f t="shared" si="1239"/>
        <v>-1.35009639666549</v>
      </c>
      <c r="BE224" s="1471">
        <f t="shared" si="1239"/>
        <v>-0.59635443105748287</v>
      </c>
      <c r="BF224" s="1471">
        <f t="shared" si="1239"/>
        <v>-1.2258468874143287</v>
      </c>
      <c r="BG224" s="1471">
        <f t="shared" si="1239"/>
        <v>-1.4953018669499609</v>
      </c>
      <c r="BH224" s="1471">
        <f t="shared" si="1239"/>
        <v>-0.95246749719839041</v>
      </c>
      <c r="BI224" s="1471">
        <f t="shared" si="1239"/>
        <v>-0.72975204014016037</v>
      </c>
      <c r="BJ224" s="1471">
        <f t="shared" si="1239"/>
        <v>-1.2253444692321955</v>
      </c>
      <c r="BK224" s="1471">
        <f t="shared" si="1239"/>
        <v>-1.3116713543638956</v>
      </c>
      <c r="BL224" s="1471">
        <f t="shared" si="1239"/>
        <v>-0.98324108963514611</v>
      </c>
      <c r="BM224" s="1471">
        <f t="shared" si="1239"/>
        <v>-0.78107202160692257</v>
      </c>
      <c r="BN224" s="1471">
        <f t="shared" si="1239"/>
        <v>-0.62241111336307597</v>
      </c>
      <c r="BO224" s="1471">
        <f t="shared" si="1239"/>
        <v>-2.1520162480871265</v>
      </c>
      <c r="BP224" s="1471">
        <f t="shared" si="1239"/>
        <v>-0.47446793329442066</v>
      </c>
      <c r="BQ224" s="1471">
        <f t="shared" si="1239"/>
        <v>2.8392500321754919</v>
      </c>
      <c r="BR224" s="1471">
        <f t="shared" si="1239"/>
        <v>0.92600791982377695</v>
      </c>
      <c r="BS224" s="1471">
        <f t="shared" si="1239"/>
        <v>-1.347297401997495</v>
      </c>
      <c r="BT224" s="1471">
        <f t="shared" si="1239"/>
        <v>-0.87901805852650572</v>
      </c>
      <c r="BU224" s="1471">
        <f t="shared" si="1239"/>
        <v>-0.90377652686381771</v>
      </c>
      <c r="BV224" s="1471">
        <f t="shared" si="1239"/>
        <v>-1.138827979388225</v>
      </c>
      <c r="BW224" s="1471">
        <f t="shared" si="1239"/>
        <v>-0.86129807692307692</v>
      </c>
      <c r="BX224" s="1471">
        <f t="shared" si="1239"/>
        <v>-0.92027436061203516</v>
      </c>
      <c r="BY224" s="1471">
        <f t="shared" si="1239"/>
        <v>-0.88277973676955002</v>
      </c>
      <c r="BZ224" s="1471">
        <f t="shared" si="1239"/>
        <v>-0.98652361152361157</v>
      </c>
      <c r="CA224" s="1471">
        <f t="shared" si="1239"/>
        <v>-1.0307006982903926</v>
      </c>
      <c r="CB224" s="1471">
        <f t="shared" si="1239"/>
        <v>-1.0264949733648416</v>
      </c>
      <c r="CC224" s="1471">
        <f t="shared" si="1239"/>
        <v>-1.005550024888004</v>
      </c>
      <c r="CD224" s="1471">
        <f t="shared" si="1239"/>
        <v>-1.1702439024390243</v>
      </c>
      <c r="CE224" s="1471">
        <f t="shared" si="1239"/>
        <v>-1.0242562143133129</v>
      </c>
      <c r="CF224" s="1471">
        <f t="shared" si="1239"/>
        <v>-0.57227027323452573</v>
      </c>
      <c r="CG224" s="1471">
        <f t="shared" ref="CG224:CH224" si="1240">+CG212/CG221</f>
        <v>-1.2687384244331912</v>
      </c>
      <c r="CH224" s="1471">
        <f t="shared" si="1240"/>
        <v>-1.2699837429570708</v>
      </c>
      <c r="CI224" s="1471">
        <f t="shared" ref="CI224" si="1241">+CI212/CI221</f>
        <v>-0.77499641740289293</v>
      </c>
      <c r="CJ224" s="1471">
        <f t="shared" ref="CJ224:CK224" si="1242">+CJ212/CJ221</f>
        <v>-0.63833473149583975</v>
      </c>
      <c r="CK224" s="1471">
        <f t="shared" si="1242"/>
        <v>-1.3166639239272824</v>
      </c>
      <c r="CL224" s="1472">
        <v>-0.75</v>
      </c>
      <c r="CM224" s="1472">
        <v>-0.75</v>
      </c>
      <c r="CN224" s="1472">
        <v>-0.75</v>
      </c>
      <c r="CO224" s="1472">
        <v>-0.75</v>
      </c>
      <c r="CP224" s="1472">
        <v>-0.75</v>
      </c>
      <c r="CQ224" s="1472"/>
      <c r="CR224" s="1471"/>
      <c r="CS224" s="1472">
        <v>-1.05</v>
      </c>
      <c r="CT224" s="1457"/>
      <c r="CU224" s="1460"/>
      <c r="CV224" s="1460"/>
      <c r="CW224" s="1471"/>
      <c r="CX224" s="1471"/>
      <c r="CY224" s="1471"/>
      <c r="CZ224" s="1471"/>
      <c r="DA224" s="1487"/>
      <c r="DB224" s="1487"/>
      <c r="DC224" s="1487"/>
      <c r="DD224" s="1487"/>
      <c r="DE224" s="1471">
        <f t="shared" ref="DE224:DO224" si="1243">+DE212/DE221</f>
        <v>-0.55538692113600574</v>
      </c>
      <c r="DF224" s="1471">
        <f t="shared" si="1243"/>
        <v>-0.93607643109500493</v>
      </c>
      <c r="DG224" s="1471">
        <f t="shared" si="1243"/>
        <v>-0.95554865248084819</v>
      </c>
      <c r="DH224" s="1471">
        <f t="shared" si="1243"/>
        <v>-0.98468187622220227</v>
      </c>
      <c r="DI224" s="1471">
        <f t="shared" si="1243"/>
        <v>-1.0615772494162781</v>
      </c>
      <c r="DJ224" s="1471">
        <f t="shared" si="1243"/>
        <v>-1.4635315732159193</v>
      </c>
      <c r="DK224" s="1471">
        <f t="shared" si="1243"/>
        <v>-1.1812033197589444</v>
      </c>
      <c r="DL224" s="1471">
        <f t="shared" si="1243"/>
        <v>-0.99482187944265199</v>
      </c>
      <c r="DM224" s="1471">
        <f t="shared" si="1243"/>
        <v>-0.91315101406261046</v>
      </c>
      <c r="DN224" s="1471">
        <f t="shared" si="1243"/>
        <v>-1.0448593225979879</v>
      </c>
      <c r="DO224" s="1471">
        <f t="shared" si="1243"/>
        <v>-0.94566052776934251</v>
      </c>
      <c r="DP224" s="1471">
        <f>+DP212/DP221</f>
        <v>-0.97402837685728882</v>
      </c>
      <c r="DQ224" s="1471">
        <f>+DQ212/DQ221</f>
        <v>-1.4862888391529281</v>
      </c>
      <c r="DR224" s="1472">
        <v>-1</v>
      </c>
      <c r="DS224" s="1472">
        <v>-1</v>
      </c>
      <c r="DT224" s="1472">
        <v>-1</v>
      </c>
      <c r="DU224" s="1472">
        <v>-1</v>
      </c>
      <c r="DV224" s="1460"/>
      <c r="DW224" s="1460"/>
      <c r="DY224" s="1472">
        <v>-1</v>
      </c>
      <c r="DZ224" s="1472">
        <v>-1</v>
      </c>
    </row>
    <row r="225" spans="1:130" s="302" customForma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c r="BH225" s="14"/>
      <c r="BI225" s="14"/>
      <c r="BJ225" s="14"/>
      <c r="BK225" s="14"/>
      <c r="BL225" s="14"/>
      <c r="BM225" s="14"/>
      <c r="BN225" s="14"/>
      <c r="BO225" s="14"/>
      <c r="BP225" s="14"/>
      <c r="BQ225" s="14"/>
      <c r="BR225" s="14"/>
      <c r="BS225" s="14"/>
      <c r="BT225" s="14"/>
      <c r="BU225" s="14"/>
      <c r="BV225" s="14"/>
      <c r="BW225" s="14"/>
      <c r="BX225" s="14"/>
      <c r="BY225" s="14"/>
      <c r="BZ225" s="14"/>
      <c r="CA225" s="14"/>
      <c r="CB225" s="14"/>
      <c r="CC225" s="14"/>
      <c r="CD225" s="14"/>
      <c r="CE225" s="14"/>
      <c r="CF225" s="14"/>
      <c r="CG225" s="14"/>
      <c r="CH225" s="14"/>
      <c r="CI225" s="14"/>
      <c r="CJ225" s="14"/>
      <c r="CK225" s="14"/>
      <c r="CL225" s="14"/>
      <c r="CM225" s="14"/>
      <c r="CN225" s="14"/>
      <c r="CO225" s="14"/>
      <c r="CP225" s="14"/>
      <c r="CQ225" s="14"/>
      <c r="CR225" s="14"/>
      <c r="CS225" s="14"/>
      <c r="CT225" s="1141"/>
      <c r="CU225" s="365"/>
      <c r="CV225" s="365"/>
      <c r="CW225" s="365"/>
      <c r="CX225" s="365"/>
      <c r="CY225" s="365"/>
      <c r="CZ225" s="365"/>
      <c r="DA225" s="365"/>
      <c r="DB225" s="365"/>
      <c r="DC225" s="365"/>
      <c r="DD225" s="365"/>
      <c r="DE225" s="14"/>
      <c r="DF225" s="14"/>
      <c r="DG225" s="14"/>
      <c r="DH225" s="14"/>
      <c r="DI225" s="14"/>
      <c r="DJ225" s="14"/>
      <c r="DK225" s="14"/>
      <c r="DL225" s="454"/>
      <c r="DM225" s="454"/>
      <c r="DN225" s="454"/>
      <c r="DO225" s="454"/>
      <c r="DP225" s="454"/>
      <c r="DQ225" s="454"/>
      <c r="DR225" s="454"/>
      <c r="DS225" s="454"/>
      <c r="DT225" s="454"/>
      <c r="DU225" s="454"/>
      <c r="DV225" s="365"/>
      <c r="DW225" s="365"/>
      <c r="DY225" s="454"/>
      <c r="DZ225" s="454"/>
    </row>
    <row r="226" spans="1:130" s="302" customForma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c r="BC226" s="14"/>
      <c r="BD226" s="14"/>
      <c r="BE226" s="14"/>
      <c r="BF226" s="14"/>
      <c r="BG226" s="14"/>
      <c r="BH226" s="14"/>
      <c r="BI226" s="14"/>
      <c r="BJ226" s="14"/>
      <c r="BK226" s="14"/>
      <c r="BL226" s="14"/>
      <c r="BM226" s="14"/>
      <c r="BN226" s="14"/>
      <c r="BO226" s="14"/>
      <c r="BP226" s="14"/>
      <c r="BQ226" s="14"/>
      <c r="BR226" s="14"/>
      <c r="BS226" s="14"/>
      <c r="BT226" s="14"/>
      <c r="BU226" s="14"/>
      <c r="BV226" s="14"/>
      <c r="BW226" s="14"/>
      <c r="BX226" s="14"/>
      <c r="BY226" s="14"/>
      <c r="BZ226" s="14"/>
      <c r="CA226" s="14"/>
      <c r="CB226" s="14"/>
      <c r="CC226" s="14"/>
      <c r="CD226" s="14"/>
      <c r="CE226" s="14"/>
      <c r="CF226" s="14"/>
      <c r="CG226" s="14"/>
      <c r="CH226" s="14"/>
      <c r="CI226" s="14"/>
      <c r="CJ226" s="14"/>
      <c r="CK226" s="14"/>
      <c r="CL226" s="14"/>
      <c r="CM226" s="14"/>
      <c r="CN226" s="14"/>
      <c r="CO226" s="14"/>
      <c r="CP226" s="14"/>
      <c r="CQ226" s="14"/>
      <c r="CR226" s="14"/>
      <c r="CS226" s="14"/>
      <c r="CT226" s="1142"/>
      <c r="CU226" s="365"/>
      <c r="CV226" s="365"/>
      <c r="CW226" s="365"/>
      <c r="CX226" s="365"/>
      <c r="CY226" s="365"/>
      <c r="CZ226" s="365"/>
      <c r="DA226" s="365"/>
      <c r="DB226" s="365"/>
      <c r="DC226" s="365"/>
      <c r="DD226" s="365"/>
      <c r="DE226" s="14"/>
      <c r="DF226" s="14"/>
      <c r="DG226" s="14"/>
      <c r="DH226" s="14"/>
      <c r="DI226" s="14"/>
      <c r="DJ226" s="14"/>
      <c r="DK226" s="14"/>
      <c r="DL226" s="454"/>
      <c r="DM226" s="454"/>
      <c r="DN226" s="454"/>
      <c r="DO226" s="454"/>
      <c r="DP226" s="454"/>
      <c r="DQ226" s="454"/>
      <c r="DR226" s="454"/>
      <c r="DS226" s="454"/>
      <c r="DT226" s="454"/>
      <c r="DU226" s="454"/>
      <c r="DV226" s="365"/>
      <c r="DW226" s="365"/>
      <c r="DY226" s="454"/>
      <c r="DZ226" s="454"/>
    </row>
    <row r="227" spans="1:130" s="302" customFormat="1">
      <c r="A227" s="548"/>
      <c r="B227" s="548"/>
      <c r="C227" s="549"/>
      <c r="D227" s="549"/>
      <c r="E227" s="549"/>
      <c r="F227" s="549"/>
      <c r="G227" s="549"/>
      <c r="H227" s="549"/>
      <c r="I227" s="548"/>
      <c r="J227" s="548"/>
      <c r="K227" s="548"/>
      <c r="L227" s="548"/>
      <c r="M227" s="548"/>
      <c r="N227" s="548"/>
      <c r="O227" s="548"/>
      <c r="P227" s="548"/>
      <c r="Q227" s="548"/>
      <c r="R227" s="548"/>
      <c r="S227" s="548"/>
      <c r="T227" s="548"/>
      <c r="U227" s="548"/>
      <c r="V227" s="548"/>
      <c r="W227" s="548"/>
      <c r="X227" s="548"/>
      <c r="Y227" s="548"/>
      <c r="Z227" s="548"/>
      <c r="AA227" s="548"/>
      <c r="AB227" s="548"/>
      <c r="AC227" s="548"/>
      <c r="AD227" s="548"/>
      <c r="AE227" s="548"/>
      <c r="AF227" s="548"/>
      <c r="AG227" s="548"/>
      <c r="AH227" s="548"/>
      <c r="AI227" s="548"/>
      <c r="AJ227" s="548"/>
      <c r="AK227" s="548"/>
      <c r="AL227" s="548"/>
      <c r="AM227" s="548"/>
      <c r="AN227" s="548"/>
      <c r="AO227" s="548"/>
      <c r="AP227" s="548"/>
      <c r="AQ227" s="548"/>
      <c r="AR227" s="548"/>
      <c r="AS227" s="548"/>
      <c r="AT227" s="548"/>
      <c r="AU227" s="548"/>
      <c r="AV227" s="548"/>
      <c r="AW227" s="548"/>
      <c r="AX227" s="548"/>
      <c r="AY227" s="548"/>
      <c r="AZ227" s="548"/>
      <c r="BA227" s="548"/>
      <c r="BB227" s="548"/>
      <c r="BC227" s="548"/>
      <c r="BD227" s="548"/>
      <c r="BE227" s="548"/>
      <c r="BF227" s="548"/>
      <c r="BG227" s="548"/>
      <c r="BH227" s="548"/>
      <c r="BI227" s="548"/>
      <c r="BJ227" s="548"/>
      <c r="BK227" s="548"/>
      <c r="BL227" s="548"/>
      <c r="BM227" s="577"/>
      <c r="BN227" s="577"/>
      <c r="BO227" s="577"/>
      <c r="BP227" s="577"/>
      <c r="BQ227" s="577"/>
      <c r="BR227" s="577"/>
      <c r="BS227" s="577"/>
      <c r="BT227" s="577"/>
      <c r="BU227" s="577"/>
      <c r="BV227" s="577"/>
      <c r="BW227" s="577"/>
      <c r="BX227" s="577"/>
      <c r="BY227" s="577"/>
      <c r="BZ227" s="577"/>
      <c r="CA227" s="577"/>
      <c r="CB227" s="577"/>
      <c r="CC227" s="577"/>
      <c r="CD227" s="577"/>
      <c r="CE227" s="577"/>
      <c r="CF227" s="577"/>
      <c r="CG227" s="577"/>
      <c r="CH227" s="577"/>
      <c r="CI227" s="577"/>
      <c r="CJ227" s="577"/>
      <c r="CK227" s="577"/>
      <c r="CL227" s="577"/>
      <c r="CM227" s="577"/>
      <c r="CN227" s="577"/>
      <c r="CO227" s="577"/>
      <c r="CP227" s="577"/>
      <c r="CQ227" s="577"/>
      <c r="CR227" s="577"/>
      <c r="CS227" s="577"/>
      <c r="CT227" s="1141"/>
      <c r="CU227" s="548"/>
      <c r="CV227" s="548"/>
      <c r="CW227" s="548"/>
      <c r="CX227" s="548"/>
      <c r="CY227" s="548"/>
      <c r="CZ227" s="548"/>
      <c r="DA227" s="548"/>
      <c r="DB227" s="548"/>
      <c r="DC227" s="548"/>
      <c r="DD227" s="548"/>
      <c r="DE227" s="548"/>
      <c r="DF227" s="548"/>
      <c r="DG227" s="548"/>
      <c r="DH227" s="548"/>
      <c r="DI227" s="548"/>
      <c r="DJ227" s="548"/>
      <c r="DK227" s="548"/>
      <c r="DL227" s="548"/>
      <c r="DM227" s="548"/>
      <c r="DN227" s="548"/>
      <c r="DO227" s="548"/>
      <c r="DP227" s="548"/>
      <c r="DQ227" s="548"/>
      <c r="DR227" s="548"/>
      <c r="DS227" s="548"/>
      <c r="DT227" s="548"/>
      <c r="DU227" s="548"/>
      <c r="DV227" s="548"/>
      <c r="DW227" s="548"/>
      <c r="DY227" s="548"/>
      <c r="DZ227" s="548"/>
    </row>
    <row r="228" spans="1:130" s="877" customFormat="1" ht="24.75" customHeight="1">
      <c r="A228" s="870" t="s">
        <v>677</v>
      </c>
      <c r="B228" s="871"/>
      <c r="C228" s="872"/>
      <c r="D228" s="872"/>
      <c r="E228" s="872"/>
      <c r="F228" s="872"/>
      <c r="G228" s="872"/>
      <c r="H228" s="872"/>
      <c r="I228" s="872"/>
      <c r="J228" s="872"/>
      <c r="K228" s="872"/>
      <c r="L228" s="872"/>
      <c r="M228" s="872"/>
      <c r="N228" s="872"/>
      <c r="O228" s="873"/>
      <c r="P228" s="873"/>
      <c r="Q228" s="873"/>
      <c r="R228" s="873"/>
      <c r="S228" s="873"/>
      <c r="T228" s="873"/>
      <c r="U228" s="873"/>
      <c r="V228" s="873"/>
      <c r="W228" s="873"/>
      <c r="X228" s="874"/>
      <c r="Y228" s="874"/>
      <c r="Z228" s="874"/>
      <c r="AA228" s="874"/>
      <c r="AB228" s="874"/>
      <c r="AC228" s="874"/>
      <c r="AD228" s="874"/>
      <c r="AE228" s="874"/>
      <c r="AF228" s="874"/>
      <c r="AG228" s="874"/>
      <c r="AH228" s="874"/>
      <c r="AI228" s="874"/>
      <c r="AJ228" s="875"/>
      <c r="AK228" s="874"/>
      <c r="AL228" s="874"/>
      <c r="AM228" s="874"/>
      <c r="AN228" s="874"/>
      <c r="AO228" s="874"/>
      <c r="AP228" s="874"/>
      <c r="AQ228" s="874"/>
      <c r="AR228" s="874"/>
      <c r="AS228" s="874"/>
      <c r="AT228" s="874"/>
      <c r="AU228" s="874"/>
      <c r="AV228" s="874"/>
      <c r="AW228" s="874"/>
      <c r="AX228" s="874"/>
      <c r="AY228" s="874"/>
      <c r="AZ228" s="874"/>
      <c r="BA228" s="874"/>
      <c r="BB228" s="874"/>
      <c r="BC228" s="874"/>
      <c r="BD228" s="874"/>
      <c r="BE228" s="874"/>
      <c r="BF228" s="874"/>
      <c r="BG228" s="874"/>
      <c r="BH228" s="874"/>
      <c r="BI228" s="874"/>
      <c r="BJ228" s="874"/>
      <c r="BK228" s="874"/>
      <c r="BL228" s="874"/>
      <c r="BM228" s="874"/>
      <c r="BN228" s="874"/>
      <c r="BO228" s="874"/>
      <c r="BP228" s="874"/>
      <c r="BQ228" s="874"/>
      <c r="BR228" s="874"/>
      <c r="BS228" s="874"/>
      <c r="BT228" s="874"/>
      <c r="BU228" s="874"/>
      <c r="BV228" s="874"/>
      <c r="BW228" s="874"/>
      <c r="BX228" s="874"/>
      <c r="BY228" s="874"/>
      <c r="BZ228" s="874"/>
      <c r="CA228" s="874"/>
      <c r="CB228" s="874"/>
      <c r="CC228" s="874"/>
      <c r="CD228" s="874"/>
      <c r="CE228" s="874"/>
      <c r="CF228" s="874"/>
      <c r="CG228" s="874"/>
      <c r="CH228" s="874"/>
      <c r="CI228" s="874"/>
      <c r="CJ228" s="874"/>
      <c r="CK228" s="874"/>
      <c r="CL228" s="874"/>
      <c r="CM228" s="874"/>
      <c r="CN228" s="874"/>
      <c r="CO228" s="874"/>
      <c r="CP228" s="874"/>
      <c r="CQ228" s="874"/>
      <c r="CR228" s="874"/>
      <c r="CS228" s="874"/>
      <c r="CT228" s="1141"/>
      <c r="CU228" s="876"/>
      <c r="CV228" s="876"/>
      <c r="CW228" s="876"/>
      <c r="CX228" s="876"/>
      <c r="CY228" s="871"/>
      <c r="CZ228" s="871"/>
      <c r="DA228" s="871"/>
      <c r="DB228" s="871"/>
      <c r="DC228" s="871"/>
      <c r="DD228" s="871"/>
      <c r="DE228" s="871"/>
      <c r="DF228" s="871"/>
      <c r="DG228" s="871"/>
      <c r="DH228" s="871"/>
      <c r="DI228" s="871"/>
      <c r="DJ228" s="871"/>
      <c r="DK228" s="871"/>
      <c r="DL228" s="871"/>
      <c r="DM228" s="871"/>
      <c r="DN228" s="871"/>
      <c r="DO228" s="871"/>
      <c r="DP228" s="871"/>
      <c r="DQ228" s="871"/>
      <c r="DR228" s="871"/>
      <c r="DS228" s="871"/>
      <c r="DT228" s="871"/>
      <c r="DU228" s="871"/>
      <c r="DV228" s="871"/>
      <c r="DW228" s="871"/>
      <c r="DY228" s="871"/>
      <c r="DZ228" s="871"/>
    </row>
    <row r="229" spans="1:130" s="302" customFormat="1" hidden="1">
      <c r="A229" s="485" t="s">
        <v>678</v>
      </c>
      <c r="B229" s="545">
        <v>0</v>
      </c>
      <c r="C229" s="545">
        <v>0</v>
      </c>
      <c r="D229" s="545">
        <v>0</v>
      </c>
      <c r="E229" s="545">
        <v>0</v>
      </c>
      <c r="F229" s="545">
        <v>0</v>
      </c>
      <c r="G229" s="545">
        <v>228989</v>
      </c>
      <c r="H229" s="545">
        <v>235745</v>
      </c>
      <c r="I229" s="545">
        <v>225690</v>
      </c>
      <c r="J229" s="545">
        <v>400149</v>
      </c>
      <c r="K229" s="545">
        <v>303242</v>
      </c>
      <c r="L229" s="545">
        <v>330999</v>
      </c>
      <c r="M229" s="545">
        <v>322507</v>
      </c>
      <c r="N229" s="545">
        <v>526961</v>
      </c>
      <c r="O229" s="545">
        <v>391354</v>
      </c>
      <c r="P229" s="545">
        <v>422183</v>
      </c>
      <c r="Q229" s="545">
        <v>382243</v>
      </c>
      <c r="R229" s="545">
        <v>586019</v>
      </c>
      <c r="S229" s="545">
        <v>452495</v>
      </c>
      <c r="T229" s="545">
        <v>467379</v>
      </c>
      <c r="U229" s="545">
        <v>408670</v>
      </c>
      <c r="V229" s="545">
        <v>563390</v>
      </c>
      <c r="W229" s="545">
        <v>409653</v>
      </c>
      <c r="X229" s="545">
        <v>452210</v>
      </c>
      <c r="Y229" s="545">
        <v>411474</v>
      </c>
      <c r="Z229" s="545">
        <v>617742</v>
      </c>
      <c r="AA229" s="545">
        <v>466022</v>
      </c>
      <c r="AB229" s="545">
        <v>501286</v>
      </c>
      <c r="AC229" s="545">
        <v>459199</v>
      </c>
      <c r="AD229" s="545">
        <v>668844</v>
      </c>
      <c r="AE229" s="545">
        <v>527709</v>
      </c>
      <c r="AF229" s="545">
        <v>564831</v>
      </c>
      <c r="AG229" s="545">
        <v>492888</v>
      </c>
      <c r="AH229" s="545">
        <v>730301</v>
      </c>
      <c r="AI229" s="545">
        <v>573185</v>
      </c>
      <c r="AJ229" s="545">
        <v>609367</v>
      </c>
      <c r="AK229" s="545">
        <v>573034</v>
      </c>
      <c r="AL229" s="545">
        <v>846003</v>
      </c>
      <c r="AM229" s="545"/>
      <c r="AN229" s="545"/>
      <c r="AO229" s="545"/>
      <c r="AP229" s="545"/>
      <c r="AQ229" s="545"/>
      <c r="AR229" s="545"/>
      <c r="AS229" s="545"/>
      <c r="AT229" s="545"/>
      <c r="AU229" s="545">
        <f t="shared" ref="AU229:BF229" si="1244">AU172+AU176+AU180+AU184+AU188+AU191+AU193</f>
        <v>843665</v>
      </c>
      <c r="AV229" s="545">
        <f t="shared" si="1244"/>
        <v>865661</v>
      </c>
      <c r="AW229" s="545">
        <f t="shared" si="1244"/>
        <v>803961</v>
      </c>
      <c r="AX229" s="545">
        <f t="shared" si="1244"/>
        <v>1145202</v>
      </c>
      <c r="AY229" s="545">
        <f t="shared" si="1244"/>
        <v>844712</v>
      </c>
      <c r="AZ229" s="489">
        <f t="shared" si="1244"/>
        <v>882444</v>
      </c>
      <c r="BA229" s="489">
        <f t="shared" si="1244"/>
        <v>781502</v>
      </c>
      <c r="BB229" s="489">
        <f t="shared" si="1244"/>
        <v>1148901</v>
      </c>
      <c r="BC229" s="489">
        <f t="shared" si="1244"/>
        <v>876059</v>
      </c>
      <c r="BD229" s="545">
        <f t="shared" si="1244"/>
        <v>827329</v>
      </c>
      <c r="BE229" s="545">
        <f t="shared" si="1244"/>
        <v>746257</v>
      </c>
      <c r="BF229" s="545">
        <f t="shared" si="1244"/>
        <v>964516.79068750003</v>
      </c>
      <c r="BG229" s="545"/>
      <c r="BH229" s="545"/>
      <c r="BI229" s="545"/>
      <c r="BJ229" s="545"/>
      <c r="BK229" s="545"/>
      <c r="BL229" s="545"/>
      <c r="BM229" s="574"/>
      <c r="BN229" s="574"/>
      <c r="BO229" s="574"/>
      <c r="BP229" s="574"/>
      <c r="BQ229" s="574"/>
      <c r="BR229" s="574"/>
      <c r="BS229" s="574"/>
      <c r="BT229" s="574"/>
      <c r="BU229" s="574"/>
      <c r="BV229" s="574"/>
      <c r="BW229" s="574"/>
      <c r="BX229" s="574"/>
      <c r="BY229" s="574"/>
      <c r="BZ229" s="574"/>
      <c r="CA229" s="574"/>
      <c r="CB229" s="574"/>
      <c r="CC229" s="574"/>
      <c r="CD229" s="574"/>
      <c r="CE229" s="574"/>
      <c r="CF229" s="574"/>
      <c r="CG229" s="574"/>
      <c r="CH229" s="574"/>
      <c r="CI229" s="574"/>
      <c r="CJ229" s="574"/>
      <c r="CK229" s="574"/>
      <c r="CL229" s="574"/>
      <c r="CM229" s="574"/>
      <c r="CN229" s="574"/>
      <c r="CO229" s="574"/>
      <c r="CP229" s="574"/>
      <c r="CQ229" s="574"/>
      <c r="CR229" s="574"/>
      <c r="CS229" s="574"/>
      <c r="CT229" s="1141"/>
      <c r="CU229" s="490"/>
      <c r="CV229" s="490"/>
      <c r="CW229" s="495">
        <f>N229</f>
        <v>526961</v>
      </c>
      <c r="CX229" s="495">
        <f>R229</f>
        <v>586019</v>
      </c>
      <c r="CY229" s="495">
        <f>V229</f>
        <v>563390</v>
      </c>
      <c r="CZ229" s="495">
        <f>Z229</f>
        <v>617742</v>
      </c>
      <c r="DA229" s="495">
        <f>AD229</f>
        <v>668844</v>
      </c>
      <c r="DB229" s="495">
        <f>AH229</f>
        <v>730301</v>
      </c>
      <c r="DC229" s="495">
        <f>+AL229</f>
        <v>846003</v>
      </c>
      <c r="DD229" s="495">
        <f>+AP229</f>
        <v>0</v>
      </c>
      <c r="DE229" s="545">
        <f>DE172+DE176+DE180+DE184+DE188+DE191+DE193</f>
        <v>1093959</v>
      </c>
      <c r="DF229" s="545">
        <f>DF172+DF176+DF180+DF184+DF188+DF191+DF193</f>
        <v>1145202</v>
      </c>
      <c r="DG229" s="545">
        <f>DG172+DG176+DG180+DG184+DG188+DG191+DG193</f>
        <v>1148901</v>
      </c>
      <c r="DH229" s="545">
        <f>DH172+DH176+DH180+DH184+DH188+DH191+DH193</f>
        <v>964516.79068750003</v>
      </c>
      <c r="DI229" s="545"/>
      <c r="DJ229" s="545"/>
      <c r="DK229" s="545"/>
      <c r="DL229" s="545"/>
      <c r="DM229" s="545"/>
      <c r="DN229" s="545"/>
      <c r="DO229" s="545"/>
      <c r="DP229" s="545"/>
      <c r="DQ229" s="545"/>
      <c r="DR229" s="545"/>
      <c r="DS229" s="545"/>
      <c r="DT229" s="545"/>
      <c r="DU229" s="545"/>
      <c r="DV229" s="485"/>
      <c r="DW229" s="485"/>
      <c r="DY229" s="545"/>
      <c r="DZ229" s="545"/>
    </row>
    <row r="230" spans="1:130" s="302" customFormat="1" hidden="1">
      <c r="A230" s="355" t="s">
        <v>92</v>
      </c>
      <c r="B230" s="356"/>
      <c r="C230" s="356"/>
      <c r="D230" s="356"/>
      <c r="E230" s="356"/>
      <c r="F230" s="356"/>
      <c r="G230" s="356"/>
      <c r="H230" s="356"/>
      <c r="I230" s="356"/>
      <c r="J230" s="356"/>
      <c r="K230" s="14">
        <v>0.3242644843202076</v>
      </c>
      <c r="L230" s="14">
        <v>0.40405522916710845</v>
      </c>
      <c r="M230" s="14">
        <v>0.42898223226549681</v>
      </c>
      <c r="N230" s="14">
        <v>0.31691195029851382</v>
      </c>
      <c r="O230" s="14">
        <v>0.29056661016613794</v>
      </c>
      <c r="P230" s="14">
        <v>0.2754811948072351</v>
      </c>
      <c r="Q230" s="14">
        <v>0.18522388661331379</v>
      </c>
      <c r="R230" s="14">
        <v>0.11207280994229185</v>
      </c>
      <c r="S230" s="14">
        <v>0.15622939844744144</v>
      </c>
      <c r="T230" s="14">
        <v>0.1070531025645276</v>
      </c>
      <c r="U230" s="14">
        <v>6.9136648676365597E-2</v>
      </c>
      <c r="V230" s="14">
        <v>-3.8614788940290357E-2</v>
      </c>
      <c r="W230" s="14">
        <v>-9.4679499220985841E-2</v>
      </c>
      <c r="X230" s="14">
        <v>-3.2455459059992031E-2</v>
      </c>
      <c r="Y230" s="14">
        <v>6.861281718746115E-3</v>
      </c>
      <c r="Z230" s="14">
        <v>9.6473135838406776E-2</v>
      </c>
      <c r="AA230" s="14">
        <v>0.13760182398273657</v>
      </c>
      <c r="AB230" s="14">
        <v>0.10852480042458157</v>
      </c>
      <c r="AC230" s="14">
        <v>0.11598545716132724</v>
      </c>
      <c r="AD230" s="14">
        <v>8.2723855590197903E-2</v>
      </c>
      <c r="AE230" s="14">
        <v>0.13236928728686626</v>
      </c>
      <c r="AF230" s="14">
        <v>0.12676396308694038</v>
      </c>
      <c r="AG230" s="14">
        <v>7.3364706804674995E-2</v>
      </c>
      <c r="AH230" s="14">
        <v>9.188540227616615E-2</v>
      </c>
      <c r="AI230" s="14">
        <v>8.6176282761901035E-2</v>
      </c>
      <c r="AJ230" s="14">
        <v>7.8848363492797002E-2</v>
      </c>
      <c r="AK230" s="14">
        <v>0.16260489198357431</v>
      </c>
      <c r="AL230" s="14">
        <v>0.15843056493144614</v>
      </c>
      <c r="AM230" s="14"/>
      <c r="AN230" s="14"/>
      <c r="AO230" s="14"/>
      <c r="AP230" s="14"/>
      <c r="AQ230" s="14"/>
      <c r="AR230" s="14"/>
      <c r="AS230" s="14"/>
      <c r="AT230" s="14"/>
      <c r="AU230" s="14" t="e">
        <f t="shared" ref="AU230:BF230" si="1245">AU229/AQ229-1</f>
        <v>#DIV/0!</v>
      </c>
      <c r="AV230" s="14" t="e">
        <f t="shared" si="1245"/>
        <v>#DIV/0!</v>
      </c>
      <c r="AW230" s="14" t="e">
        <f t="shared" si="1245"/>
        <v>#DIV/0!</v>
      </c>
      <c r="AX230" s="14" t="e">
        <f t="shared" si="1245"/>
        <v>#DIV/0!</v>
      </c>
      <c r="AY230" s="14">
        <f t="shared" si="1245"/>
        <v>1.2410139095493378E-3</v>
      </c>
      <c r="AZ230" s="12">
        <f t="shared" si="1245"/>
        <v>1.9387496953195305E-2</v>
      </c>
      <c r="BA230" s="12">
        <f t="shared" si="1245"/>
        <v>-2.7935434679045357E-2</v>
      </c>
      <c r="BB230" s="12">
        <f t="shared" si="1245"/>
        <v>3.2299978519072514E-3</v>
      </c>
      <c r="BC230" s="12">
        <f t="shared" si="1245"/>
        <v>3.710968945628812E-2</v>
      </c>
      <c r="BD230" s="14">
        <f t="shared" si="1245"/>
        <v>-6.245722108145102E-2</v>
      </c>
      <c r="BE230" s="14">
        <f t="shared" si="1245"/>
        <v>-4.5099052849512877E-2</v>
      </c>
      <c r="BF230" s="14">
        <f t="shared" si="1245"/>
        <v>-0.16048746524939916</v>
      </c>
      <c r="BG230" s="14"/>
      <c r="BH230" s="14"/>
      <c r="BI230" s="14"/>
      <c r="BJ230" s="14"/>
      <c r="BK230" s="14"/>
      <c r="BL230" s="14"/>
      <c r="BM230" s="168"/>
      <c r="BN230" s="168"/>
      <c r="BO230" s="168"/>
      <c r="BP230" s="168"/>
      <c r="BQ230" s="168"/>
      <c r="BR230" s="168"/>
      <c r="BS230" s="168"/>
      <c r="BT230" s="168"/>
      <c r="BU230" s="168"/>
      <c r="BV230" s="168"/>
      <c r="BW230" s="168"/>
      <c r="BX230" s="168"/>
      <c r="BY230" s="168"/>
      <c r="BZ230" s="168"/>
      <c r="CA230" s="168"/>
      <c r="CB230" s="168"/>
      <c r="CC230" s="168"/>
      <c r="CD230" s="168"/>
      <c r="CE230" s="168"/>
      <c r="CF230" s="168"/>
      <c r="CG230" s="168"/>
      <c r="CH230" s="168"/>
      <c r="CI230" s="168"/>
      <c r="CJ230" s="168"/>
      <c r="CK230" s="168"/>
      <c r="CL230" s="168"/>
      <c r="CM230" s="168"/>
      <c r="CN230" s="168"/>
      <c r="CO230" s="168"/>
      <c r="CP230" s="168"/>
      <c r="CQ230" s="168"/>
      <c r="CR230" s="168"/>
      <c r="CS230" s="168"/>
      <c r="CT230" s="1141"/>
      <c r="CU230" s="475"/>
      <c r="CV230" s="475"/>
      <c r="CW230" s="475"/>
      <c r="CX230" s="14">
        <f t="shared" ref="CX230:DH230" si="1246">CX229/CW229-1</f>
        <v>0.11207280994229185</v>
      </c>
      <c r="CY230" s="14">
        <f t="shared" si="1246"/>
        <v>-3.8614788940290357E-2</v>
      </c>
      <c r="CZ230" s="14">
        <f t="shared" si="1246"/>
        <v>9.6473135838406776E-2</v>
      </c>
      <c r="DA230" s="14">
        <f t="shared" si="1246"/>
        <v>8.2723855590197903E-2</v>
      </c>
      <c r="DB230" s="14">
        <f t="shared" si="1246"/>
        <v>9.188540227616615E-2</v>
      </c>
      <c r="DC230" s="14">
        <f t="shared" si="1246"/>
        <v>0.15843056493144614</v>
      </c>
      <c r="DD230" s="14">
        <f t="shared" si="1246"/>
        <v>-1</v>
      </c>
      <c r="DE230" s="14" t="e">
        <f t="shared" si="1246"/>
        <v>#DIV/0!</v>
      </c>
      <c r="DF230" s="14">
        <f t="shared" si="1246"/>
        <v>4.684179205984873E-2</v>
      </c>
      <c r="DG230" s="14">
        <f t="shared" si="1246"/>
        <v>3.2299978519072514E-3</v>
      </c>
      <c r="DH230" s="14">
        <f t="shared" si="1246"/>
        <v>-0.16048746524939916</v>
      </c>
      <c r="DI230" s="14"/>
      <c r="DJ230" s="14"/>
      <c r="DK230" s="14"/>
      <c r="DL230" s="14"/>
      <c r="DM230" s="14"/>
      <c r="DN230" s="14"/>
      <c r="DO230" s="14"/>
      <c r="DP230" s="14"/>
      <c r="DQ230" s="14"/>
      <c r="DR230" s="14"/>
      <c r="DS230" s="14"/>
      <c r="DT230" s="14"/>
      <c r="DU230" s="14"/>
      <c r="DV230" s="355"/>
      <c r="DW230" s="355"/>
      <c r="DY230" s="14"/>
      <c r="DZ230" s="14"/>
    </row>
    <row r="231" spans="1:130" s="302" customFormat="1" hidden="1">
      <c r="A231" s="485" t="s">
        <v>679</v>
      </c>
      <c r="B231" s="545"/>
      <c r="C231" s="545"/>
      <c r="D231" s="545"/>
      <c r="E231" s="545"/>
      <c r="F231" s="545"/>
      <c r="G231" s="545">
        <v>287924</v>
      </c>
      <c r="H231" s="545">
        <v>301675</v>
      </c>
      <c r="I231" s="545">
        <v>290687</v>
      </c>
      <c r="J231" s="545">
        <v>444554</v>
      </c>
      <c r="K231" s="545">
        <v>377855</v>
      </c>
      <c r="L231" s="545">
        <v>414971</v>
      </c>
      <c r="M231" s="545">
        <v>399522</v>
      </c>
      <c r="N231" s="545">
        <v>583393</v>
      </c>
      <c r="O231" s="545">
        <v>479862</v>
      </c>
      <c r="P231" s="545">
        <v>520591</v>
      </c>
      <c r="Q231" s="545">
        <v>480415</v>
      </c>
      <c r="R231" s="545">
        <v>660491</v>
      </c>
      <c r="S231" s="545">
        <v>555579</v>
      </c>
      <c r="T231" s="545">
        <v>577591</v>
      </c>
      <c r="U231" s="545">
        <v>521556</v>
      </c>
      <c r="V231" s="545">
        <v>647821</v>
      </c>
      <c r="W231" s="545">
        <v>516345</v>
      </c>
      <c r="X231" s="545">
        <v>559682</v>
      </c>
      <c r="Y231" s="545">
        <v>512025</v>
      </c>
      <c r="Z231" s="545">
        <v>686245</v>
      </c>
      <c r="AA231" s="545">
        <v>565623</v>
      </c>
      <c r="AB231" s="545">
        <v>607068</v>
      </c>
      <c r="AC231" s="545">
        <v>563239</v>
      </c>
      <c r="AD231" s="545">
        <v>746286</v>
      </c>
      <c r="AE231" s="545">
        <v>641705</v>
      </c>
      <c r="AF231" s="545">
        <v>688975</v>
      </c>
      <c r="AG231" s="545">
        <v>623446</v>
      </c>
      <c r="AH231" s="545">
        <v>828377</v>
      </c>
      <c r="AI231" s="545">
        <v>699900</v>
      </c>
      <c r="AJ231" s="545">
        <v>744214</v>
      </c>
      <c r="AK231" s="545">
        <v>714739</v>
      </c>
      <c r="AL231" s="545">
        <v>957188</v>
      </c>
      <c r="AM231" s="545"/>
      <c r="AN231" s="545"/>
      <c r="AO231" s="545"/>
      <c r="AP231" s="545"/>
      <c r="AQ231" s="545"/>
      <c r="AR231" s="545"/>
      <c r="AS231" s="545"/>
      <c r="AT231" s="545"/>
      <c r="AU231" s="545">
        <f t="shared" ref="AU231:BF231" si="1247">AU229+AU199+AU196</f>
        <v>1044031</v>
      </c>
      <c r="AV231" s="545">
        <f t="shared" si="1247"/>
        <v>1082646.4282799999</v>
      </c>
      <c r="AW231" s="545">
        <f t="shared" si="1247"/>
        <v>1014861</v>
      </c>
      <c r="AX231" s="545">
        <f t="shared" si="1247"/>
        <v>1307433</v>
      </c>
      <c r="AY231" s="545">
        <f t="shared" si="1247"/>
        <v>1044677</v>
      </c>
      <c r="AZ231" s="489">
        <f t="shared" si="1247"/>
        <v>1091451</v>
      </c>
      <c r="BA231" s="489">
        <f t="shared" si="1247"/>
        <v>986915</v>
      </c>
      <c r="BB231" s="489">
        <f t="shared" si="1247"/>
        <v>1295941</v>
      </c>
      <c r="BC231" s="489">
        <f t="shared" si="1247"/>
        <v>1061834</v>
      </c>
      <c r="BD231" s="545">
        <f t="shared" si="1247"/>
        <v>1019510</v>
      </c>
      <c r="BE231" s="545">
        <f t="shared" si="1247"/>
        <v>931416.75777000003</v>
      </c>
      <c r="BF231" s="545">
        <f t="shared" si="1247"/>
        <v>1111390.9331575001</v>
      </c>
      <c r="BG231" s="545"/>
      <c r="BH231" s="545"/>
      <c r="BI231" s="545"/>
      <c r="BJ231" s="545"/>
      <c r="BK231" s="545"/>
      <c r="BL231" s="545"/>
      <c r="BM231" s="574"/>
      <c r="BN231" s="574"/>
      <c r="BO231" s="574"/>
      <c r="BP231" s="574"/>
      <c r="BQ231" s="574"/>
      <c r="BR231" s="574"/>
      <c r="BS231" s="574"/>
      <c r="BT231" s="574"/>
      <c r="BU231" s="574"/>
      <c r="BV231" s="574"/>
      <c r="BW231" s="574"/>
      <c r="BX231" s="574"/>
      <c r="BY231" s="574"/>
      <c r="BZ231" s="574"/>
      <c r="CA231" s="574"/>
      <c r="CB231" s="574"/>
      <c r="CC231" s="574"/>
      <c r="CD231" s="574"/>
      <c r="CE231" s="574"/>
      <c r="CF231" s="574"/>
      <c r="CG231" s="574"/>
      <c r="CH231" s="574"/>
      <c r="CI231" s="574"/>
      <c r="CJ231" s="574"/>
      <c r="CK231" s="574"/>
      <c r="CL231" s="574"/>
      <c r="CM231" s="574"/>
      <c r="CN231" s="574"/>
      <c r="CO231" s="574"/>
      <c r="CP231" s="574"/>
      <c r="CQ231" s="574"/>
      <c r="CR231" s="574"/>
      <c r="CS231" s="574"/>
      <c r="CT231" s="1141"/>
      <c r="CU231" s="545">
        <f t="shared" ref="CU231:DH231" si="1248">CU229+CU199+CU196</f>
        <v>0</v>
      </c>
      <c r="CV231" s="545">
        <f t="shared" si="1248"/>
        <v>0</v>
      </c>
      <c r="CW231" s="545">
        <f t="shared" si="1248"/>
        <v>583393</v>
      </c>
      <c r="CX231" s="545">
        <f t="shared" si="1248"/>
        <v>660491</v>
      </c>
      <c r="CY231" s="545">
        <f t="shared" si="1248"/>
        <v>647821</v>
      </c>
      <c r="CZ231" s="545">
        <f t="shared" si="1248"/>
        <v>686245</v>
      </c>
      <c r="DA231" s="545">
        <f t="shared" si="1248"/>
        <v>746286</v>
      </c>
      <c r="DB231" s="545">
        <f t="shared" si="1248"/>
        <v>828377</v>
      </c>
      <c r="DC231" s="545">
        <f t="shared" si="1248"/>
        <v>957188</v>
      </c>
      <c r="DD231" s="545">
        <f t="shared" si="1248"/>
        <v>126723</v>
      </c>
      <c r="DE231" s="545">
        <f t="shared" si="1248"/>
        <v>1238367</v>
      </c>
      <c r="DF231" s="545">
        <f t="shared" si="1248"/>
        <v>1307433</v>
      </c>
      <c r="DG231" s="545">
        <f t="shared" si="1248"/>
        <v>1295941</v>
      </c>
      <c r="DH231" s="545">
        <f t="shared" si="1248"/>
        <v>1111390.9331575001</v>
      </c>
      <c r="DI231" s="545"/>
      <c r="DJ231" s="545"/>
      <c r="DK231" s="545"/>
      <c r="DL231" s="545"/>
      <c r="DM231" s="545"/>
      <c r="DN231" s="545"/>
      <c r="DO231" s="545"/>
      <c r="DP231" s="545"/>
      <c r="DQ231" s="545"/>
      <c r="DR231" s="545"/>
      <c r="DS231" s="545"/>
      <c r="DT231" s="545"/>
      <c r="DU231" s="545"/>
      <c r="DV231" s="485"/>
      <c r="DW231" s="485"/>
      <c r="DY231" s="545"/>
      <c r="DZ231" s="545"/>
    </row>
    <row r="232" spans="1:130" s="302" customFormat="1" hidden="1">
      <c r="A232" s="485"/>
      <c r="B232" s="545"/>
      <c r="C232" s="545"/>
      <c r="D232" s="545"/>
      <c r="E232" s="545"/>
      <c r="F232" s="545"/>
      <c r="G232" s="545"/>
      <c r="H232" s="545"/>
      <c r="I232" s="545"/>
      <c r="J232" s="545"/>
      <c r="K232" s="545"/>
      <c r="L232" s="545"/>
      <c r="M232" s="545"/>
      <c r="N232" s="545"/>
      <c r="O232" s="545"/>
      <c r="P232" s="545"/>
      <c r="Q232" s="545"/>
      <c r="R232" s="545"/>
      <c r="S232" s="545"/>
      <c r="T232" s="545"/>
      <c r="U232" s="545"/>
      <c r="V232" s="545"/>
      <c r="W232" s="545"/>
      <c r="X232" s="545"/>
      <c r="Y232" s="545"/>
      <c r="Z232" s="545"/>
      <c r="AA232" s="545"/>
      <c r="AB232" s="545"/>
      <c r="AC232" s="545"/>
      <c r="AD232" s="545"/>
      <c r="AE232" s="545"/>
      <c r="AF232" s="545"/>
      <c r="AG232" s="545"/>
      <c r="AH232" s="545"/>
      <c r="AI232" s="550"/>
      <c r="AJ232" s="550"/>
      <c r="AK232" s="550"/>
      <c r="AL232" s="550"/>
      <c r="AM232" s="550"/>
      <c r="AN232" s="545"/>
      <c r="AO232" s="545"/>
      <c r="AP232" s="545"/>
      <c r="AQ232" s="545"/>
      <c r="AR232" s="545"/>
      <c r="AS232" s="545"/>
      <c r="AT232" s="545"/>
      <c r="AU232" s="545"/>
      <c r="AV232" s="545"/>
      <c r="AW232" s="545"/>
      <c r="AX232" s="545"/>
      <c r="AY232" s="545"/>
      <c r="AZ232" s="489"/>
      <c r="BA232" s="489"/>
      <c r="BB232" s="489"/>
      <c r="BC232" s="489"/>
      <c r="BD232" s="545"/>
      <c r="BE232" s="545"/>
      <c r="BF232" s="545"/>
      <c r="BG232" s="545"/>
      <c r="BH232" s="545"/>
      <c r="BI232" s="545"/>
      <c r="BJ232" s="545"/>
      <c r="BK232" s="545"/>
      <c r="BL232" s="545"/>
      <c r="BM232" s="574"/>
      <c r="BN232" s="574"/>
      <c r="BO232" s="574"/>
      <c r="BP232" s="574"/>
      <c r="BQ232" s="574"/>
      <c r="BR232" s="574"/>
      <c r="BS232" s="574"/>
      <c r="BT232" s="574"/>
      <c r="BU232" s="574"/>
      <c r="BV232" s="574"/>
      <c r="BW232" s="574"/>
      <c r="BX232" s="574"/>
      <c r="BY232" s="574"/>
      <c r="BZ232" s="574"/>
      <c r="CA232" s="574"/>
      <c r="CB232" s="574"/>
      <c r="CC232" s="574"/>
      <c r="CD232" s="574"/>
      <c r="CE232" s="574"/>
      <c r="CF232" s="574"/>
      <c r="CG232" s="574"/>
      <c r="CH232" s="574"/>
      <c r="CI232" s="574"/>
      <c r="CJ232" s="574"/>
      <c r="CK232" s="574"/>
      <c r="CL232" s="574"/>
      <c r="CM232" s="574"/>
      <c r="CN232" s="574"/>
      <c r="CO232" s="574"/>
      <c r="CP232" s="574"/>
      <c r="CQ232" s="574"/>
      <c r="CR232" s="574"/>
      <c r="CS232" s="574"/>
      <c r="CT232" s="1141"/>
      <c r="CU232" s="545"/>
      <c r="CV232" s="545"/>
      <c r="CW232" s="545"/>
      <c r="CX232" s="545"/>
      <c r="CY232" s="545"/>
      <c r="CZ232" s="545"/>
      <c r="DA232" s="551"/>
      <c r="DB232" s="551"/>
      <c r="DC232" s="551"/>
      <c r="DD232" s="551"/>
      <c r="DE232" s="545"/>
      <c r="DF232" s="545"/>
      <c r="DG232" s="545"/>
      <c r="DH232" s="545"/>
      <c r="DI232" s="545"/>
      <c r="DJ232" s="545"/>
      <c r="DK232" s="545"/>
      <c r="DL232" s="545"/>
      <c r="DM232" s="545"/>
      <c r="DN232" s="545"/>
      <c r="DO232" s="545"/>
      <c r="DP232" s="545"/>
      <c r="DQ232" s="545"/>
      <c r="DR232" s="545"/>
      <c r="DS232" s="545"/>
      <c r="DT232" s="545"/>
      <c r="DU232" s="545"/>
      <c r="DV232" s="485"/>
      <c r="DW232" s="485"/>
      <c r="DY232" s="545"/>
      <c r="DZ232" s="545"/>
    </row>
    <row r="233" spans="1:130" s="846" customFormat="1" ht="12.75" hidden="1">
      <c r="A233" s="485" t="s">
        <v>680</v>
      </c>
      <c r="B233" s="485"/>
      <c r="C233" s="538"/>
      <c r="D233" s="538"/>
      <c r="E233" s="538"/>
      <c r="F233" s="538"/>
      <c r="G233" s="545"/>
      <c r="H233" s="545"/>
      <c r="I233" s="545"/>
      <c r="J233" s="545"/>
      <c r="K233" s="545"/>
      <c r="L233" s="545">
        <v>159</v>
      </c>
      <c r="M233" s="545">
        <v>2057</v>
      </c>
      <c r="N233" s="545">
        <v>7986</v>
      </c>
      <c r="O233" s="545">
        <v>72913</v>
      </c>
      <c r="P233" s="545">
        <v>73345</v>
      </c>
      <c r="Q233" s="545">
        <v>74683</v>
      </c>
      <c r="R233" s="545">
        <v>68958</v>
      </c>
      <c r="S233" s="545">
        <v>71831</v>
      </c>
      <c r="T233" s="545">
        <v>72818</v>
      </c>
      <c r="U233" s="545">
        <v>68553</v>
      </c>
      <c r="V233" s="545">
        <v>66577</v>
      </c>
      <c r="W233" s="545">
        <v>69468</v>
      </c>
      <c r="X233" s="545">
        <v>69293</v>
      </c>
      <c r="Y233" s="545">
        <v>71096</v>
      </c>
      <c r="Z233" s="545">
        <v>72216</v>
      </c>
      <c r="AA233" s="545">
        <v>75575</v>
      </c>
      <c r="AB233" s="545">
        <v>78648</v>
      </c>
      <c r="AC233" s="545">
        <v>81920</v>
      </c>
      <c r="AD233" s="545">
        <v>79383</v>
      </c>
      <c r="AE233" s="545">
        <v>82621</v>
      </c>
      <c r="AF233" s="545">
        <v>85751</v>
      </c>
      <c r="AG233" s="545">
        <v>83116</v>
      </c>
      <c r="AH233" s="545">
        <v>79620</v>
      </c>
      <c r="AI233" s="545">
        <v>83926</v>
      </c>
      <c r="AJ233" s="545">
        <v>85161</v>
      </c>
      <c r="AK233" s="545">
        <v>89839</v>
      </c>
      <c r="AL233" s="545">
        <v>90811</v>
      </c>
      <c r="AM233" s="545">
        <v>98841</v>
      </c>
      <c r="AN233" s="545">
        <v>101203</v>
      </c>
      <c r="AO233" s="545">
        <v>105482</v>
      </c>
      <c r="AP233" s="545">
        <v>106220</v>
      </c>
      <c r="AQ233" s="743">
        <v>155752.95694999999</v>
      </c>
      <c r="AR233" s="743">
        <v>160875.39689999999</v>
      </c>
      <c r="AS233" s="743">
        <v>180568.30371000001</v>
      </c>
      <c r="AT233" s="743">
        <v>168900</v>
      </c>
      <c r="AU233" s="743">
        <v>181880</v>
      </c>
      <c r="AV233" s="743">
        <v>196800</v>
      </c>
      <c r="AW233" s="743">
        <v>194300</v>
      </c>
      <c r="AX233" s="743">
        <v>179383.40609999999</v>
      </c>
      <c r="AY233" s="743">
        <v>179811.39356</v>
      </c>
      <c r="AZ233" s="743">
        <v>179789</v>
      </c>
      <c r="BA233" s="743">
        <v>167140</v>
      </c>
      <c r="BB233" s="743">
        <v>144639</v>
      </c>
      <c r="BC233" s="844">
        <v>140837</v>
      </c>
      <c r="BD233" s="743">
        <v>115517</v>
      </c>
      <c r="BE233" s="743">
        <v>89020</v>
      </c>
      <c r="BF233" s="743">
        <v>71889.2</v>
      </c>
      <c r="BG233" s="743">
        <v>63058</v>
      </c>
      <c r="BH233" s="743">
        <v>58273</v>
      </c>
      <c r="BI233" s="743">
        <v>55364</v>
      </c>
      <c r="BJ233" s="743">
        <v>50849</v>
      </c>
      <c r="BK233" s="743">
        <v>53099.677779999998</v>
      </c>
      <c r="BL233" s="743">
        <v>54755</v>
      </c>
      <c r="BM233" s="744">
        <v>53700.822370000002</v>
      </c>
      <c r="BN233" s="744">
        <v>55849.159900000006</v>
      </c>
      <c r="BO233" s="868"/>
      <c r="BP233" s="744"/>
      <c r="BQ233" s="745"/>
      <c r="BR233" s="745"/>
      <c r="BS233" s="745"/>
      <c r="BT233" s="745"/>
      <c r="BU233" s="745"/>
      <c r="BV233" s="745"/>
      <c r="BW233" s="745"/>
      <c r="BX233" s="745"/>
      <c r="BY233" s="745"/>
      <c r="BZ233" s="745"/>
      <c r="CA233" s="745"/>
      <c r="CB233" s="745"/>
      <c r="CC233" s="745"/>
      <c r="CD233" s="745"/>
      <c r="CE233" s="745"/>
      <c r="CF233" s="745"/>
      <c r="CG233" s="745"/>
      <c r="CH233" s="745"/>
      <c r="CI233" s="745"/>
      <c r="CJ233" s="745"/>
      <c r="CK233" s="745"/>
      <c r="CL233" s="745"/>
      <c r="CM233" s="745"/>
      <c r="CN233" s="745"/>
      <c r="CO233" s="745"/>
      <c r="CP233" s="745"/>
      <c r="CQ233" s="745"/>
      <c r="CR233" s="745"/>
      <c r="CS233" s="745"/>
      <c r="CT233" s="1133"/>
      <c r="CU233" s="490"/>
      <c r="CV233" s="490"/>
      <c r="CW233" s="495">
        <f>N233</f>
        <v>7986</v>
      </c>
      <c r="CX233" s="495">
        <f>R233</f>
        <v>68958</v>
      </c>
      <c r="CY233" s="495">
        <f>V233</f>
        <v>66577</v>
      </c>
      <c r="CZ233" s="495">
        <f>Z233</f>
        <v>72216</v>
      </c>
      <c r="DA233" s="545">
        <f>AD233</f>
        <v>79383</v>
      </c>
      <c r="DB233" s="545">
        <f>AH233</f>
        <v>79620</v>
      </c>
      <c r="DC233" s="545">
        <f>+AL233</f>
        <v>90811</v>
      </c>
      <c r="DD233" s="545">
        <f>+AP233</f>
        <v>106220</v>
      </c>
      <c r="DE233" s="545">
        <f>+AT233</f>
        <v>168900</v>
      </c>
      <c r="DF233" s="545">
        <f>+AX233</f>
        <v>179383.40609999999</v>
      </c>
      <c r="DG233" s="545">
        <f>+BB233</f>
        <v>144639</v>
      </c>
      <c r="DH233" s="545">
        <f>+BF233</f>
        <v>71889.2</v>
      </c>
      <c r="DI233" s="545">
        <f>+BJ233</f>
        <v>50849</v>
      </c>
      <c r="DJ233" s="545">
        <f>+BN233</f>
        <v>55849.159900000006</v>
      </c>
      <c r="DK233" s="545">
        <f>+BR233</f>
        <v>0</v>
      </c>
      <c r="DL233" s="545">
        <f>+BV233</f>
        <v>0</v>
      </c>
      <c r="DM233" s="545">
        <f>+BW233</f>
        <v>0</v>
      </c>
      <c r="DN233" s="545">
        <f>+CD233</f>
        <v>0</v>
      </c>
      <c r="DO233" s="545">
        <f>+CH233</f>
        <v>0</v>
      </c>
      <c r="DP233" s="545">
        <f>+CL233</f>
        <v>0</v>
      </c>
      <c r="DQ233" s="545">
        <f>+CP233</f>
        <v>0</v>
      </c>
      <c r="DR233" s="546">
        <f>+DQ233*(1+DR234)</f>
        <v>0</v>
      </c>
      <c r="DS233" s="546">
        <f t="shared" ref="DS233:DU233" si="1249">+DR233*(1+DS234)</f>
        <v>0</v>
      </c>
      <c r="DT233" s="546">
        <f t="shared" si="1249"/>
        <v>0</v>
      </c>
      <c r="DU233" s="546">
        <f t="shared" si="1249"/>
        <v>0</v>
      </c>
      <c r="DV233" s="485"/>
      <c r="DW233" s="485"/>
      <c r="DY233" s="546">
        <v>0</v>
      </c>
      <c r="DZ233" s="546">
        <v>0</v>
      </c>
    </row>
    <row r="234" spans="1:130" s="302" customFormat="1" hidden="1">
      <c r="A234" s="14" t="s">
        <v>681</v>
      </c>
      <c r="B234" s="14"/>
      <c r="C234" s="539"/>
      <c r="D234" s="539"/>
      <c r="E234" s="539"/>
      <c r="F234" s="539"/>
      <c r="G234" s="14"/>
      <c r="H234" s="14"/>
      <c r="I234" s="14"/>
      <c r="J234" s="14"/>
      <c r="K234" s="14"/>
      <c r="L234" s="14"/>
      <c r="M234" s="14">
        <v>11.937106918238994</v>
      </c>
      <c r="N234" s="14">
        <v>2.8823529411764706</v>
      </c>
      <c r="O234" s="14">
        <v>8.1301026796894558</v>
      </c>
      <c r="P234" s="14">
        <v>5.9248693648594752E-3</v>
      </c>
      <c r="Q234" s="14">
        <v>1.8242552321221517E-2</v>
      </c>
      <c r="R234" s="14">
        <v>-7.6657338350093029E-2</v>
      </c>
      <c r="S234" s="14">
        <v>4.1663041271498669E-2</v>
      </c>
      <c r="T234" s="14">
        <v>1.3740585541061723E-2</v>
      </c>
      <c r="U234" s="14">
        <v>-5.8570683072866614E-2</v>
      </c>
      <c r="V234" s="14">
        <v>-2.8824413227721668E-2</v>
      </c>
      <c r="W234" s="14">
        <v>4.3423404479024263E-2</v>
      </c>
      <c r="X234" s="14">
        <v>-2.5191455058444223E-3</v>
      </c>
      <c r="Y234" s="14">
        <v>2.6019944294517483E-2</v>
      </c>
      <c r="Z234" s="14">
        <v>1.5753347586362043E-2</v>
      </c>
      <c r="AA234" s="14">
        <v>4.6513238063587092E-2</v>
      </c>
      <c r="AB234" s="14">
        <v>4.0661594442606752E-2</v>
      </c>
      <c r="AC234" s="14">
        <v>4.160309225918013E-2</v>
      </c>
      <c r="AD234" s="14">
        <v>-3.0969238281249978E-2</v>
      </c>
      <c r="AE234" s="14">
        <v>4.0789589710643392E-2</v>
      </c>
      <c r="AF234" s="14">
        <v>3.7883830987279321E-2</v>
      </c>
      <c r="AG234" s="14">
        <v>-3.0728504623852793E-2</v>
      </c>
      <c r="AH234" s="14">
        <v>-4.2061696905529633E-2</v>
      </c>
      <c r="AI234" s="14">
        <v>5.4081888972620007E-2</v>
      </c>
      <c r="AJ234" s="14">
        <v>1.4715344470128455E-2</v>
      </c>
      <c r="AK234" s="14">
        <v>5.4931247871678357E-2</v>
      </c>
      <c r="AL234" s="14">
        <v>1.0819354623270439E-2</v>
      </c>
      <c r="AM234" s="14">
        <v>8.8425411018488997E-2</v>
      </c>
      <c r="AN234" s="14">
        <v>2.3896965834016237E-2</v>
      </c>
      <c r="AO234" s="14">
        <v>4.2281355295791689E-2</v>
      </c>
      <c r="AP234" s="14">
        <v>6.996454371361871E-3</v>
      </c>
      <c r="AQ234" s="14">
        <f t="shared" ref="AQ234:BD234" si="1250">+AQ233/AP233-1</f>
        <v>0.46632420401054397</v>
      </c>
      <c r="AR234" s="14">
        <f t="shared" si="1250"/>
        <v>3.2888235641294505E-2</v>
      </c>
      <c r="AS234" s="14">
        <f t="shared" si="1250"/>
        <v>0.12241092913816476</v>
      </c>
      <c r="AT234" s="14">
        <f t="shared" si="1250"/>
        <v>-6.4619888819135052E-2</v>
      </c>
      <c r="AU234" s="14">
        <f t="shared" si="1250"/>
        <v>7.68502072232089E-2</v>
      </c>
      <c r="AV234" s="14">
        <f t="shared" si="1250"/>
        <v>8.2032109082911919E-2</v>
      </c>
      <c r="AW234" s="14">
        <f t="shared" si="1250"/>
        <v>-1.2703252032520318E-2</v>
      </c>
      <c r="AX234" s="14">
        <f t="shared" si="1250"/>
        <v>-7.6770941327843567E-2</v>
      </c>
      <c r="AY234" s="14">
        <f t="shared" si="1250"/>
        <v>2.3858809981645024E-3</v>
      </c>
      <c r="AZ234" s="14">
        <f t="shared" si="1250"/>
        <v>-1.2453916048715818E-4</v>
      </c>
      <c r="BA234" s="14">
        <f t="shared" si="1250"/>
        <v>-7.0354693557447945E-2</v>
      </c>
      <c r="BB234" s="14">
        <f t="shared" si="1250"/>
        <v>-0.1346236687806629</v>
      </c>
      <c r="BC234" s="14">
        <f t="shared" si="1250"/>
        <v>-2.6286133062313755E-2</v>
      </c>
      <c r="BD234" s="14">
        <f t="shared" si="1250"/>
        <v>-0.17978230152587749</v>
      </c>
      <c r="BE234" s="14">
        <f>+BE233/BD233-1</f>
        <v>-0.22937749422162967</v>
      </c>
      <c r="BF234" s="14">
        <f>+BF233/BE233-1</f>
        <v>-0.19243765445967198</v>
      </c>
      <c r="BG234" s="14">
        <f>+BG233/BF233-1</f>
        <v>-0.12284459974516337</v>
      </c>
      <c r="BH234" s="14">
        <f>+BH233/BG233-1</f>
        <v>-7.5882520853817081E-2</v>
      </c>
      <c r="BI234" s="14">
        <f t="shared" ref="BI234:BN234" si="1251">+BI233/BH233-1</f>
        <v>-4.9920203181576417E-2</v>
      </c>
      <c r="BJ234" s="14">
        <f t="shared" si="1251"/>
        <v>-8.1551188497940852E-2</v>
      </c>
      <c r="BK234" s="14">
        <f t="shared" si="1251"/>
        <v>4.4261987059725838E-2</v>
      </c>
      <c r="BL234" s="14">
        <f t="shared" si="1251"/>
        <v>3.1173865627928121E-2</v>
      </c>
      <c r="BM234" s="14">
        <f t="shared" si="1251"/>
        <v>-1.9252627705232395E-2</v>
      </c>
      <c r="BN234" s="14">
        <f t="shared" si="1251"/>
        <v>4.0005672821878058E-2</v>
      </c>
      <c r="BO234" s="869"/>
      <c r="BP234" s="14"/>
      <c r="BQ234" s="191"/>
      <c r="BR234" s="191"/>
      <c r="BS234" s="191"/>
      <c r="BT234" s="191"/>
      <c r="BU234" s="191"/>
      <c r="BV234" s="191"/>
      <c r="BW234" s="191"/>
      <c r="BX234" s="191"/>
      <c r="BY234" s="191"/>
      <c r="BZ234" s="191"/>
      <c r="CA234" s="191"/>
      <c r="CB234" s="191"/>
      <c r="CC234" s="191"/>
      <c r="CD234" s="191"/>
      <c r="CE234" s="191"/>
      <c r="CF234" s="191"/>
      <c r="CG234" s="191"/>
      <c r="CH234" s="191"/>
      <c r="CI234" s="191"/>
      <c r="CJ234" s="191"/>
      <c r="CK234" s="191"/>
      <c r="CL234" s="191"/>
      <c r="CM234" s="191"/>
      <c r="CN234" s="191"/>
      <c r="CO234" s="191"/>
      <c r="CP234" s="191"/>
      <c r="CQ234" s="191"/>
      <c r="CR234" s="191"/>
      <c r="CS234" s="191"/>
      <c r="CT234" s="1133"/>
      <c r="CU234" s="14"/>
      <c r="CV234" s="14"/>
      <c r="CW234" s="14">
        <f>CW233/CW10</f>
        <v>5.7660429044581072E-3</v>
      </c>
      <c r="CX234" s="14">
        <f t="shared" ref="CX234:DL234" si="1252">+CX233/CW233-1</f>
        <v>7.6348610067618328</v>
      </c>
      <c r="CY234" s="14">
        <f t="shared" si="1252"/>
        <v>-3.4528263580730245E-2</v>
      </c>
      <c r="CZ234" s="14">
        <f t="shared" si="1252"/>
        <v>8.4698920047463933E-2</v>
      </c>
      <c r="DA234" s="14">
        <f t="shared" si="1252"/>
        <v>9.9243934862080385E-2</v>
      </c>
      <c r="DB234" s="14">
        <f t="shared" si="1252"/>
        <v>2.9855258682589536E-3</v>
      </c>
      <c r="DC234" s="14">
        <f t="shared" si="1252"/>
        <v>0.14055513690027621</v>
      </c>
      <c r="DD234" s="14">
        <f t="shared" si="1252"/>
        <v>0.16968208697184273</v>
      </c>
      <c r="DE234" s="14">
        <f t="shared" si="1252"/>
        <v>0.59009602711353804</v>
      </c>
      <c r="DF234" s="14">
        <f t="shared" si="1252"/>
        <v>6.2068715808170527E-2</v>
      </c>
      <c r="DG234" s="14">
        <f t="shared" si="1252"/>
        <v>-0.1936879606390749</v>
      </c>
      <c r="DH234" s="14">
        <f t="shared" si="1252"/>
        <v>-0.50297499291339132</v>
      </c>
      <c r="DI234" s="14">
        <f t="shared" si="1252"/>
        <v>-0.2926753949132832</v>
      </c>
      <c r="DJ234" s="14">
        <f t="shared" si="1252"/>
        <v>9.8333495250644276E-2</v>
      </c>
      <c r="DK234" s="14">
        <f t="shared" si="1252"/>
        <v>-1</v>
      </c>
      <c r="DL234" s="14" t="e">
        <f t="shared" si="1252"/>
        <v>#DIV/0!</v>
      </c>
      <c r="DM234" s="14" t="e">
        <f>+DM233/DL233-1</f>
        <v>#DIV/0!</v>
      </c>
      <c r="DN234" s="14" t="e">
        <f>+DN233/DM233-1</f>
        <v>#DIV/0!</v>
      </c>
      <c r="DO234" s="14" t="e">
        <f>+DO233/DN233-1</f>
        <v>#DIV/0!</v>
      </c>
      <c r="DP234" s="14" t="e">
        <f>+DP233/DO233-1</f>
        <v>#DIV/0!</v>
      </c>
      <c r="DQ234" s="14" t="e">
        <f>+DQ233/DP233-1</f>
        <v>#DIV/0!</v>
      </c>
      <c r="DR234" s="455">
        <v>0.08</v>
      </c>
      <c r="DS234" s="455">
        <v>0.08</v>
      </c>
      <c r="DT234" s="455">
        <v>0.08</v>
      </c>
      <c r="DU234" s="455">
        <v>0.08</v>
      </c>
      <c r="DV234" s="14"/>
      <c r="DW234" s="14"/>
      <c r="DY234" s="455">
        <v>0.08</v>
      </c>
      <c r="DZ234" s="455">
        <v>0.08</v>
      </c>
    </row>
    <row r="235" spans="1:130" s="302" customFormat="1" hidden="1">
      <c r="A235" s="14" t="s">
        <v>682</v>
      </c>
      <c r="B235" s="14"/>
      <c r="C235" s="539"/>
      <c r="D235" s="539"/>
      <c r="E235" s="539"/>
      <c r="F235" s="539"/>
      <c r="G235" s="14"/>
      <c r="H235" s="14"/>
      <c r="I235" s="14"/>
      <c r="J235" s="14"/>
      <c r="K235" s="14"/>
      <c r="L235" s="14"/>
      <c r="M235" s="14"/>
      <c r="N235" s="14"/>
      <c r="O235" s="14"/>
      <c r="P235" s="14">
        <v>460.28930817610063</v>
      </c>
      <c r="Q235" s="14">
        <v>35.306757413709285</v>
      </c>
      <c r="R235" s="14">
        <v>7.6348610067618328</v>
      </c>
      <c r="S235" s="14">
        <v>-1.4839603362912013E-2</v>
      </c>
      <c r="T235" s="14">
        <v>-7.1852205330970031E-3</v>
      </c>
      <c r="U235" s="14">
        <v>-8.2080259229007968E-2</v>
      </c>
      <c r="V235" s="14">
        <v>-3.4528263580730245E-2</v>
      </c>
      <c r="W235" s="14">
        <v>-3.2896660216341189E-2</v>
      </c>
      <c r="X235" s="14">
        <v>-4.8408360570188713E-2</v>
      </c>
      <c r="Y235" s="14">
        <v>3.7095386051668067E-2</v>
      </c>
      <c r="Z235" s="14">
        <v>8.4698920047463933E-2</v>
      </c>
      <c r="AA235" s="14">
        <v>8.7910980595381938E-2</v>
      </c>
      <c r="AB235" s="14">
        <v>0.13500642200510882</v>
      </c>
      <c r="AC235" s="14">
        <v>0.15224485203105664</v>
      </c>
      <c r="AD235" s="14">
        <v>9.9243934862080385E-2</v>
      </c>
      <c r="AE235" s="14">
        <v>9.3231888852133737E-2</v>
      </c>
      <c r="AF235" s="14">
        <v>9.0313803275353433E-2</v>
      </c>
      <c r="AG235" s="14">
        <v>1.4599609375000044E-2</v>
      </c>
      <c r="AH235" s="14">
        <v>2.9855258682589536E-3</v>
      </c>
      <c r="AI235" s="14">
        <v>1.5795015795015743E-2</v>
      </c>
      <c r="AJ235" s="14">
        <v>-6.8803862345628852E-3</v>
      </c>
      <c r="AK235" s="14">
        <v>8.0886953173877396E-2</v>
      </c>
      <c r="AL235" s="14">
        <v>0.14055513690027621</v>
      </c>
      <c r="AM235" s="14">
        <v>0.17771608321616661</v>
      </c>
      <c r="AN235" s="14">
        <v>0.18837261187632826</v>
      </c>
      <c r="AO235" s="14">
        <v>0.17412259709035061</v>
      </c>
      <c r="AP235" s="14">
        <v>0.16968208697184273</v>
      </c>
      <c r="AQ235" s="14">
        <f t="shared" ref="AQ235:BG235" si="1253">+AQ233/AM233-1</f>
        <v>0.57579301049159759</v>
      </c>
      <c r="AR235" s="14">
        <f t="shared" si="1253"/>
        <v>0.58963071154017177</v>
      </c>
      <c r="AS235" s="14">
        <f t="shared" si="1253"/>
        <v>0.71183996994747933</v>
      </c>
      <c r="AT235" s="14">
        <f t="shared" si="1253"/>
        <v>0.59009602711353804</v>
      </c>
      <c r="AU235" s="14">
        <f t="shared" si="1253"/>
        <v>0.16774669041042567</v>
      </c>
      <c r="AV235" s="14">
        <f t="shared" si="1253"/>
        <v>0.22330700524910418</v>
      </c>
      <c r="AW235" s="14">
        <f t="shared" si="1253"/>
        <v>7.604710244193047E-2</v>
      </c>
      <c r="AX235" s="14">
        <f t="shared" si="1253"/>
        <v>6.2068715808170527E-2</v>
      </c>
      <c r="AY235" s="14">
        <f t="shared" si="1253"/>
        <v>-1.1373468440730172E-2</v>
      </c>
      <c r="AZ235" s="14">
        <f t="shared" si="1253"/>
        <v>-8.643800813008129E-2</v>
      </c>
      <c r="BA235" s="14">
        <f t="shared" si="1253"/>
        <v>-0.13978383942357175</v>
      </c>
      <c r="BB235" s="14">
        <f t="shared" si="1253"/>
        <v>-0.1936879606390749</v>
      </c>
      <c r="BC235" s="12">
        <f t="shared" si="1253"/>
        <v>-0.21675152385154561</v>
      </c>
      <c r="BD235" s="12">
        <f t="shared" si="1253"/>
        <v>-0.35748571937104046</v>
      </c>
      <c r="BE235" s="14">
        <f t="shared" si="1253"/>
        <v>-0.46739260500179491</v>
      </c>
      <c r="BF235" s="14">
        <f t="shared" si="1253"/>
        <v>-0.50297499291339132</v>
      </c>
      <c r="BG235" s="14">
        <f t="shared" si="1253"/>
        <v>-0.55226254464380808</v>
      </c>
      <c r="BH235" s="14">
        <f>+BH233/BD233-1</f>
        <v>-0.49554611009634941</v>
      </c>
      <c r="BI235" s="14">
        <f t="shared" ref="BI235:BN235" si="1254">+BI233/BE233-1</f>
        <v>-0.37807234329364192</v>
      </c>
      <c r="BJ235" s="14">
        <f t="shared" si="1254"/>
        <v>-0.2926753949132832</v>
      </c>
      <c r="BK235" s="14">
        <f t="shared" si="1254"/>
        <v>-0.15792321703828227</v>
      </c>
      <c r="BL235" s="14">
        <f t="shared" si="1254"/>
        <v>-6.0371012304154537E-2</v>
      </c>
      <c r="BM235" s="14">
        <f t="shared" si="1254"/>
        <v>-3.0040777942345165E-2</v>
      </c>
      <c r="BN235" s="14">
        <f t="shared" si="1254"/>
        <v>9.8333495250644276E-2</v>
      </c>
      <c r="BO235" s="869"/>
      <c r="BP235" s="14"/>
      <c r="BQ235" s="168"/>
      <c r="BR235" s="168"/>
      <c r="BS235" s="168"/>
      <c r="BT235" s="168"/>
      <c r="BU235" s="168"/>
      <c r="BV235" s="168"/>
      <c r="BW235" s="168"/>
      <c r="BX235" s="168"/>
      <c r="BY235" s="168"/>
      <c r="BZ235" s="168"/>
      <c r="CA235" s="168"/>
      <c r="CB235" s="168"/>
      <c r="CC235" s="168"/>
      <c r="CD235" s="168"/>
      <c r="CE235" s="168"/>
      <c r="CF235" s="168"/>
      <c r="CG235" s="168"/>
      <c r="CH235" s="168"/>
      <c r="CI235" s="168"/>
      <c r="CJ235" s="168"/>
      <c r="CK235" s="168"/>
      <c r="CL235" s="168"/>
      <c r="CM235" s="168"/>
      <c r="CN235" s="168"/>
      <c r="CO235" s="168"/>
      <c r="CP235" s="168"/>
      <c r="CQ235" s="168"/>
      <c r="CR235" s="168"/>
      <c r="CS235" s="168"/>
      <c r="CT235" s="1143"/>
      <c r="CU235" s="14"/>
      <c r="CV235" s="14"/>
      <c r="CW235" s="14"/>
      <c r="CX235" s="14"/>
      <c r="CY235" s="14"/>
      <c r="CZ235" s="14"/>
      <c r="DA235" s="14"/>
      <c r="DB235" s="14"/>
      <c r="DC235" s="14"/>
      <c r="DD235" s="14"/>
      <c r="DE235" s="448"/>
      <c r="DF235" s="448"/>
      <c r="DG235" s="448"/>
      <c r="DH235" s="448"/>
      <c r="DI235" s="448"/>
      <c r="DJ235" s="448"/>
      <c r="DK235" s="448"/>
      <c r="DL235" s="448"/>
      <c r="DM235" s="448"/>
      <c r="DN235" s="448"/>
      <c r="DO235" s="448"/>
      <c r="DP235" s="448"/>
      <c r="DQ235" s="448"/>
      <c r="DR235" s="448"/>
      <c r="DS235" s="448"/>
      <c r="DT235" s="448"/>
      <c r="DU235" s="448"/>
      <c r="DV235" s="14"/>
      <c r="DW235" s="14"/>
      <c r="DY235" s="448"/>
      <c r="DZ235" s="448"/>
    </row>
    <row r="236" spans="1:130" s="302" customFormat="1">
      <c r="A236" s="14"/>
      <c r="B236" s="14"/>
      <c r="C236" s="539"/>
      <c r="D236" s="539"/>
      <c r="E236" s="539"/>
      <c r="F236" s="539"/>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2"/>
      <c r="BA236" s="12"/>
      <c r="BB236" s="14"/>
      <c r="BC236" s="12"/>
      <c r="BD236" s="14"/>
      <c r="BE236" s="14"/>
      <c r="BF236" s="14"/>
      <c r="BG236" s="14"/>
      <c r="BH236" s="14"/>
      <c r="BI236" s="14"/>
      <c r="BJ236" s="14"/>
      <c r="BK236" s="14"/>
      <c r="BL236" s="14"/>
      <c r="BM236" s="168"/>
      <c r="BN236" s="168"/>
      <c r="BO236" s="168"/>
      <c r="BP236" s="168"/>
      <c r="BQ236" s="168"/>
      <c r="BR236" s="168"/>
      <c r="BS236" s="168"/>
      <c r="BT236" s="168"/>
      <c r="BU236" s="168"/>
      <c r="BV236" s="168"/>
      <c r="BW236" s="168"/>
      <c r="BX236" s="168"/>
      <c r="BY236" s="168"/>
      <c r="BZ236" s="168"/>
      <c r="CA236" s="168"/>
      <c r="CB236" s="168"/>
      <c r="CC236" s="168"/>
      <c r="CD236" s="168"/>
      <c r="CE236" s="168"/>
      <c r="CF236" s="168"/>
      <c r="CG236" s="168"/>
      <c r="CH236" s="168"/>
      <c r="CI236" s="168"/>
      <c r="CJ236" s="168"/>
      <c r="CK236" s="168"/>
      <c r="CL236" s="168"/>
      <c r="CM236" s="168"/>
      <c r="CN236" s="168"/>
      <c r="CO236" s="168"/>
      <c r="CP236" s="168"/>
      <c r="CQ236" s="168"/>
      <c r="CR236" s="168"/>
      <c r="CS236" s="168"/>
      <c r="CT236" s="1143"/>
      <c r="CU236" s="14"/>
      <c r="CV236" s="14"/>
      <c r="CW236" s="14"/>
      <c r="CX236" s="14"/>
      <c r="CY236" s="14"/>
      <c r="CZ236" s="14"/>
      <c r="DA236" s="14"/>
      <c r="DB236" s="14"/>
      <c r="DC236" s="14"/>
      <c r="DD236" s="14"/>
      <c r="DE236" s="448"/>
      <c r="DF236" s="448"/>
      <c r="DG236" s="448"/>
      <c r="DH236" s="448"/>
      <c r="DI236" s="448"/>
      <c r="DJ236" s="448"/>
      <c r="DK236" s="448"/>
      <c r="DL236" s="448"/>
      <c r="DM236" s="448"/>
      <c r="DN236" s="448"/>
      <c r="DO236" s="448"/>
      <c r="DP236" s="448"/>
      <c r="DQ236" s="448"/>
      <c r="DR236" s="448"/>
      <c r="DS236" s="448"/>
      <c r="DT236" s="448"/>
      <c r="DU236" s="448"/>
      <c r="DV236" s="14"/>
      <c r="DW236" s="14"/>
      <c r="DY236" s="448"/>
      <c r="DZ236" s="448"/>
    </row>
    <row r="237" spans="1:130" s="846" customFormat="1" ht="12.75">
      <c r="A237" s="485" t="s">
        <v>683</v>
      </c>
      <c r="B237" s="485"/>
      <c r="C237" s="536"/>
      <c r="D237" s="536"/>
      <c r="E237" s="536"/>
      <c r="F237" s="536"/>
      <c r="G237" s="545"/>
      <c r="H237" s="545"/>
      <c r="I237" s="545"/>
      <c r="J237" s="545"/>
      <c r="K237" s="545"/>
      <c r="L237" s="537"/>
      <c r="M237" s="537"/>
      <c r="N237" s="537"/>
      <c r="O237" s="537"/>
      <c r="P237" s="537"/>
      <c r="Q237" s="537"/>
      <c r="R237" s="537"/>
      <c r="S237" s="537"/>
      <c r="T237" s="537"/>
      <c r="U237" s="537"/>
      <c r="V237" s="537"/>
      <c r="W237" s="537"/>
      <c r="X237" s="537"/>
      <c r="Y237" s="537"/>
      <c r="Z237" s="537"/>
      <c r="AA237" s="537"/>
      <c r="AB237" s="537"/>
      <c r="AC237" s="537"/>
      <c r="AD237" s="537"/>
      <c r="AE237" s="537"/>
      <c r="AF237" s="537"/>
      <c r="AG237" s="537"/>
      <c r="AH237" s="545">
        <v>27346</v>
      </c>
      <c r="AI237" s="545">
        <v>0</v>
      </c>
      <c r="AJ237" s="545">
        <v>60072</v>
      </c>
      <c r="AK237" s="545">
        <v>76869</v>
      </c>
      <c r="AL237" s="545">
        <v>85471</v>
      </c>
      <c r="AM237" s="545">
        <v>78964</v>
      </c>
      <c r="AN237" s="545">
        <v>88846</v>
      </c>
      <c r="AO237" s="545">
        <v>124080</v>
      </c>
      <c r="AP237" s="545">
        <v>169137</v>
      </c>
      <c r="AQ237" s="545">
        <f t="shared" ref="AQ237:BF237" si="1255">+AQ244+AQ245+AQ260</f>
        <v>200580</v>
      </c>
      <c r="AR237" s="545">
        <f t="shared" si="1255"/>
        <v>236194</v>
      </c>
      <c r="AS237" s="545">
        <f t="shared" si="1255"/>
        <v>272265</v>
      </c>
      <c r="AT237" s="545">
        <f t="shared" si="1255"/>
        <v>326079</v>
      </c>
      <c r="AU237" s="545">
        <f t="shared" si="1255"/>
        <v>335497</v>
      </c>
      <c r="AV237" s="545">
        <f t="shared" si="1255"/>
        <v>370984</v>
      </c>
      <c r="AW237" s="545">
        <f t="shared" si="1255"/>
        <v>389414</v>
      </c>
      <c r="AX237" s="545">
        <f t="shared" si="1255"/>
        <v>435074</v>
      </c>
      <c r="AY237" s="545">
        <f t="shared" si="1255"/>
        <v>427342</v>
      </c>
      <c r="AZ237" s="545">
        <f t="shared" si="1255"/>
        <v>453666</v>
      </c>
      <c r="BA237" s="545">
        <f t="shared" si="1255"/>
        <v>468228</v>
      </c>
      <c r="BB237" s="545">
        <f t="shared" si="1255"/>
        <v>505374</v>
      </c>
      <c r="BC237" s="489">
        <f t="shared" si="1255"/>
        <v>552792</v>
      </c>
      <c r="BD237" s="545">
        <f t="shared" si="1255"/>
        <v>805189</v>
      </c>
      <c r="BE237" s="545">
        <f t="shared" si="1255"/>
        <v>802407.08537999995</v>
      </c>
      <c r="BF237" s="545">
        <f t="shared" si="1255"/>
        <v>925587.59999999986</v>
      </c>
      <c r="BG237" s="545">
        <v>892911.2424401053</v>
      </c>
      <c r="BH237" s="545">
        <v>962112.18232000014</v>
      </c>
      <c r="BI237" s="545">
        <v>999450</v>
      </c>
      <c r="BJ237" s="545">
        <v>1220070</v>
      </c>
      <c r="BK237" s="545">
        <v>1215414.9122840315</v>
      </c>
      <c r="BL237" s="545">
        <v>1337434.5010899999</v>
      </c>
      <c r="BM237" s="574">
        <v>1491548.86858</v>
      </c>
      <c r="BN237" s="574">
        <f t="shared" ref="BN237:BX237" si="1256">+BN244+BN245+BN260</f>
        <v>1790485.5636118464</v>
      </c>
      <c r="BO237" s="574">
        <f t="shared" si="1256"/>
        <v>1717958.1531999994</v>
      </c>
      <c r="BP237" s="574">
        <f t="shared" si="1256"/>
        <v>1490057.8223999999</v>
      </c>
      <c r="BQ237" s="574">
        <f t="shared" si="1256"/>
        <v>1620621.9017600003</v>
      </c>
      <c r="BR237" s="574">
        <f t="shared" si="1256"/>
        <v>2014531.4253900005</v>
      </c>
      <c r="BS237" s="574">
        <f t="shared" si="1256"/>
        <v>1909835</v>
      </c>
      <c r="BT237" s="574">
        <f t="shared" si="1256"/>
        <v>2247641</v>
      </c>
      <c r="BU237" s="574">
        <f t="shared" si="1256"/>
        <v>2508792</v>
      </c>
      <c r="BV237" s="574">
        <f t="shared" si="1256"/>
        <v>3288494</v>
      </c>
      <c r="BW237" s="574">
        <f t="shared" si="1256"/>
        <v>3501858</v>
      </c>
      <c r="BX237" s="574">
        <f t="shared" si="1256"/>
        <v>3854893</v>
      </c>
      <c r="BY237" s="574">
        <f t="shared" ref="BY237:CD237" si="1257">+BY244+BY245+BY260</f>
        <v>3973342</v>
      </c>
      <c r="BZ237" s="574">
        <f t="shared" si="1257"/>
        <v>4468697</v>
      </c>
      <c r="CA237" s="574">
        <f t="shared" si="1257"/>
        <v>4371840</v>
      </c>
      <c r="CB237" s="574">
        <f t="shared" si="1257"/>
        <v>4357975</v>
      </c>
      <c r="CC237" s="574">
        <f t="shared" si="1257"/>
        <v>4050547</v>
      </c>
      <c r="CD237" s="574">
        <f t="shared" si="1257"/>
        <v>4348123</v>
      </c>
      <c r="CE237" s="574">
        <f t="shared" ref="CE237:CF237" si="1258">+CE244+CE245+CE260</f>
        <v>4129045</v>
      </c>
      <c r="CF237" s="574">
        <f t="shared" si="1258"/>
        <v>4236240.2715398092</v>
      </c>
      <c r="CG237" s="574">
        <f t="shared" ref="CG237:CH237" si="1259">+CG244+CG245+CG260</f>
        <v>4251276.8538689632</v>
      </c>
      <c r="CH237" s="574">
        <f t="shared" si="1259"/>
        <v>4601087.5391678438</v>
      </c>
      <c r="CI237" s="574">
        <f t="shared" ref="CI237:CL237" si="1260">+CI244+CI245+CI260</f>
        <v>4417866.9236400034</v>
      </c>
      <c r="CJ237" s="574">
        <f t="shared" ref="CJ237:CK237" si="1261">+CJ244+CJ245+CJ260</f>
        <v>4512481.7149999999</v>
      </c>
      <c r="CK237" s="574">
        <f t="shared" si="1261"/>
        <v>4445458.3584899995</v>
      </c>
      <c r="CL237" s="1200">
        <f t="shared" si="1260"/>
        <v>4568136.9310716446</v>
      </c>
      <c r="CM237" s="1200">
        <f t="shared" ref="CM237:CP237" si="1262">+CM244+CM245+CM260</f>
        <v>4614886.8731728112</v>
      </c>
      <c r="CN237" s="1200">
        <f t="shared" si="1262"/>
        <v>4891528.2227010848</v>
      </c>
      <c r="CO237" s="1200">
        <f t="shared" si="1262"/>
        <v>4799534.3187641893</v>
      </c>
      <c r="CP237" s="1200">
        <f t="shared" si="1262"/>
        <v>4860300.3404228222</v>
      </c>
      <c r="CQ237" s="847"/>
      <c r="CR237" s="847"/>
      <c r="CS237" s="1200">
        <v>4367928.1989651481</v>
      </c>
      <c r="CT237" s="1133">
        <f>+CI237/CS237-1</f>
        <v>1.1433046149130099E-2</v>
      </c>
      <c r="CU237" s="490"/>
      <c r="CV237" s="490"/>
      <c r="CW237" s="495"/>
      <c r="CX237" s="495"/>
      <c r="CY237" s="495"/>
      <c r="CZ237" s="495"/>
      <c r="DA237" s="545"/>
      <c r="DB237" s="545">
        <f>+AH237</f>
        <v>27346</v>
      </c>
      <c r="DC237" s="545">
        <f>+AL237</f>
        <v>85471</v>
      </c>
      <c r="DD237" s="545">
        <f>+AP237</f>
        <v>169137</v>
      </c>
      <c r="DE237" s="545">
        <f>+AT237</f>
        <v>326079</v>
      </c>
      <c r="DF237" s="545">
        <f>+AX237</f>
        <v>435074</v>
      </c>
      <c r="DG237" s="545">
        <f>+BB237</f>
        <v>505374</v>
      </c>
      <c r="DH237" s="545">
        <f>+BF237</f>
        <v>925587.59999999986</v>
      </c>
      <c r="DI237" s="545">
        <f>+BJ237</f>
        <v>1220070</v>
      </c>
      <c r="DJ237" s="545">
        <f>+BN237</f>
        <v>1790485.5636118464</v>
      </c>
      <c r="DK237" s="545">
        <f>+BR237</f>
        <v>2014531.4253900005</v>
      </c>
      <c r="DL237" s="545">
        <f>+BV237</f>
        <v>3288494</v>
      </c>
      <c r="DM237" s="545">
        <f>+BZ237</f>
        <v>4468697</v>
      </c>
      <c r="DN237" s="545">
        <f>+CD237</f>
        <v>4348123</v>
      </c>
      <c r="DO237" s="545">
        <f>+CH237</f>
        <v>4601087.5391678438</v>
      </c>
      <c r="DP237" s="545">
        <f>+CL237</f>
        <v>4568136.9310716446</v>
      </c>
      <c r="DQ237" s="545">
        <f>+CP237</f>
        <v>4860300.3404228222</v>
      </c>
      <c r="DR237" s="545">
        <f>+DR244+DR245+DR260</f>
        <v>4886134.6692548497</v>
      </c>
      <c r="DS237" s="545">
        <f t="shared" ref="DS237:DU237" si="1263">+DS244+DS245+DS260</f>
        <v>4918798.68078217</v>
      </c>
      <c r="DT237" s="545">
        <f t="shared" si="1263"/>
        <v>4952062.4879300464</v>
      </c>
      <c r="DU237" s="545">
        <f t="shared" si="1263"/>
        <v>4985378.9702610141</v>
      </c>
      <c r="DV237" s="485"/>
      <c r="DW237" s="485"/>
      <c r="DY237" s="545">
        <v>4793887.6457578549</v>
      </c>
      <c r="DZ237" s="545">
        <v>4858027.6783318315</v>
      </c>
    </row>
    <row r="238" spans="1:130" s="302" customFormat="1">
      <c r="A238" s="485" t="s">
        <v>684</v>
      </c>
      <c r="B238" s="485"/>
      <c r="C238" s="536"/>
      <c r="D238" s="536"/>
      <c r="E238" s="536"/>
      <c r="F238" s="536"/>
      <c r="G238" s="545"/>
      <c r="H238" s="545"/>
      <c r="I238" s="545"/>
      <c r="J238" s="545"/>
      <c r="K238" s="545"/>
      <c r="L238" s="537"/>
      <c r="M238" s="537"/>
      <c r="N238" s="537"/>
      <c r="O238" s="537"/>
      <c r="P238" s="537"/>
      <c r="Q238" s="537"/>
      <c r="R238" s="537"/>
      <c r="S238" s="537"/>
      <c r="T238" s="537"/>
      <c r="U238" s="537"/>
      <c r="V238" s="537"/>
      <c r="W238" s="537"/>
      <c r="X238" s="537"/>
      <c r="Y238" s="537"/>
      <c r="Z238" s="537"/>
      <c r="AA238" s="537"/>
      <c r="AB238" s="537"/>
      <c r="AC238" s="537"/>
      <c r="AD238" s="537"/>
      <c r="AE238" s="537"/>
      <c r="AF238" s="537"/>
      <c r="AG238" s="537"/>
      <c r="AH238" s="545"/>
      <c r="AI238" s="545"/>
      <c r="AJ238" s="14"/>
      <c r="AK238" s="14">
        <v>0.27961446264482626</v>
      </c>
      <c r="AL238" s="14">
        <v>0.11190466898229445</v>
      </c>
      <c r="AM238" s="14">
        <v>-7.6131085397386222E-2</v>
      </c>
      <c r="AN238" s="14">
        <v>0.12514563598601902</v>
      </c>
      <c r="AO238" s="14">
        <v>0.39657384688112018</v>
      </c>
      <c r="AP238" s="14">
        <v>0.36312862669245649</v>
      </c>
      <c r="AQ238" s="14">
        <f t="shared" ref="AQ238:CH238" si="1264">+AQ237/AM237-1</f>
        <v>1.5401448761460919</v>
      </c>
      <c r="AR238" s="14">
        <f t="shared" si="1264"/>
        <v>1.6584652094635661</v>
      </c>
      <c r="AS238" s="14">
        <f t="shared" si="1264"/>
        <v>1.1942698259187621</v>
      </c>
      <c r="AT238" s="14">
        <f t="shared" si="1264"/>
        <v>0.92789868568083866</v>
      </c>
      <c r="AU238" s="14">
        <f t="shared" si="1264"/>
        <v>0.67263436035497048</v>
      </c>
      <c r="AV238" s="14">
        <f t="shared" si="1264"/>
        <v>0.57067495363980458</v>
      </c>
      <c r="AW238" s="14">
        <f t="shared" si="1264"/>
        <v>0.43027565056103434</v>
      </c>
      <c r="AX238" s="14">
        <f t="shared" si="1264"/>
        <v>0.33425948926487137</v>
      </c>
      <c r="AY238" s="14">
        <f t="shared" si="1264"/>
        <v>0.2737580365845298</v>
      </c>
      <c r="AZ238" s="14">
        <f t="shared" si="1264"/>
        <v>0.22287214542945244</v>
      </c>
      <c r="BA238" s="14">
        <f t="shared" si="1264"/>
        <v>0.20239128536724404</v>
      </c>
      <c r="BB238" s="14">
        <f t="shared" si="1264"/>
        <v>0.16158170793933913</v>
      </c>
      <c r="BC238" s="14">
        <f t="shared" si="1264"/>
        <v>0.29355878897931875</v>
      </c>
      <c r="BD238" s="14">
        <f t="shared" si="1264"/>
        <v>0.7748497793530924</v>
      </c>
      <c r="BE238" s="14">
        <f t="shared" si="1264"/>
        <v>0.71371016978907709</v>
      </c>
      <c r="BF238" s="14">
        <f t="shared" si="1264"/>
        <v>0.83149034180626602</v>
      </c>
      <c r="BG238" s="14">
        <f t="shared" si="1264"/>
        <v>0.61527526165376001</v>
      </c>
      <c r="BH238" s="14">
        <f t="shared" si="1264"/>
        <v>0.19488987345828135</v>
      </c>
      <c r="BI238" s="14">
        <f t="shared" si="1264"/>
        <v>0.24556477405316701</v>
      </c>
      <c r="BJ238" s="14">
        <f t="shared" si="1264"/>
        <v>0.31815724411174062</v>
      </c>
      <c r="BK238" s="14">
        <f t="shared" si="1264"/>
        <v>0.36118222564048308</v>
      </c>
      <c r="BL238" s="14">
        <f t="shared" si="1264"/>
        <v>0.39010244924345727</v>
      </c>
      <c r="BM238" s="14">
        <f t="shared" si="1264"/>
        <v>0.49236967189954473</v>
      </c>
      <c r="BN238" s="14">
        <f t="shared" si="1264"/>
        <v>0.46752691535063273</v>
      </c>
      <c r="BO238" s="14">
        <f t="shared" si="1264"/>
        <v>0.41347463803252071</v>
      </c>
      <c r="BP238" s="14">
        <f t="shared" si="1264"/>
        <v>0.11411648285251585</v>
      </c>
      <c r="BQ238" s="14">
        <f t="shared" si="1264"/>
        <v>8.6536241553306636E-2</v>
      </c>
      <c r="BR238" s="14">
        <f t="shared" si="1264"/>
        <v>0.12513134220764055</v>
      </c>
      <c r="BS238" s="14">
        <f t="shared" si="1264"/>
        <v>0.11168889442539465</v>
      </c>
      <c r="BT238" s="14">
        <f t="shared" si="1264"/>
        <v>0.50842535518506193</v>
      </c>
      <c r="BU238" s="14">
        <f t="shared" si="1264"/>
        <v>0.54804275894053034</v>
      </c>
      <c r="BV238" s="14">
        <f t="shared" si="1264"/>
        <v>0.63238654833263208</v>
      </c>
      <c r="BW238" s="14">
        <f t="shared" si="1264"/>
        <v>0.833591907154283</v>
      </c>
      <c r="BX238" s="14">
        <f t="shared" si="1264"/>
        <v>0.71508394801482966</v>
      </c>
      <c r="BY238" s="14">
        <f t="shared" si="1264"/>
        <v>0.58376700818561278</v>
      </c>
      <c r="BZ238" s="14">
        <f t="shared" si="1264"/>
        <v>0.35888859763770276</v>
      </c>
      <c r="CA238" s="14">
        <f t="shared" si="1264"/>
        <v>0.24843440253716742</v>
      </c>
      <c r="CB238" s="14">
        <f t="shared" si="1264"/>
        <v>0.13050478962710499</v>
      </c>
      <c r="CC238" s="14">
        <f t="shared" si="1264"/>
        <v>1.9430746208103811E-2</v>
      </c>
      <c r="CD238" s="14">
        <f t="shared" si="1264"/>
        <v>-2.6981914414873076E-2</v>
      </c>
      <c r="CE238" s="14">
        <f t="shared" si="1264"/>
        <v>-5.5536112941004245E-2</v>
      </c>
      <c r="CF238" s="14">
        <f t="shared" si="1264"/>
        <v>-2.7933783112613297E-2</v>
      </c>
      <c r="CG238" s="14">
        <f t="shared" si="1264"/>
        <v>4.9556233730644994E-2</v>
      </c>
      <c r="CH238" s="14">
        <f t="shared" si="1264"/>
        <v>5.8177871041790619E-2</v>
      </c>
      <c r="CI238" s="14">
        <f t="shared" ref="CI238:CK238" si="1265">+CI237/CE237-1</f>
        <v>6.9948843773803171E-2</v>
      </c>
      <c r="CJ238" s="14">
        <f t="shared" si="1265"/>
        <v>6.5209106602393208E-2</v>
      </c>
      <c r="CK238" s="14">
        <f t="shared" si="1265"/>
        <v>4.5676043056174453E-2</v>
      </c>
      <c r="CL238" s="14">
        <f t="shared" ref="CL238" si="1266">+CL237/CH237-1</f>
        <v>-7.1614825442244401E-3</v>
      </c>
      <c r="CM238" s="14">
        <f t="shared" ref="CM238" si="1267">+CM237/CI237-1</f>
        <v>4.4596171169972054E-2</v>
      </c>
      <c r="CN238" s="14">
        <f t="shared" ref="CN238" si="1268">+CN237/CJ237-1</f>
        <v>8.3999566456101515E-2</v>
      </c>
      <c r="CO238" s="14">
        <f t="shared" ref="CO238" si="1269">+CO237/CK237-1</f>
        <v>7.9648920700825077E-2</v>
      </c>
      <c r="CP238" s="14">
        <f t="shared" ref="CP238" si="1270">+CP237/CL237-1</f>
        <v>6.3956797652875652E-2</v>
      </c>
      <c r="CQ238" s="168"/>
      <c r="CR238" s="168"/>
      <c r="CS238" s="14">
        <v>3.1086038322720722E-2</v>
      </c>
      <c r="CT238" s="1133"/>
      <c r="CU238" s="490"/>
      <c r="CV238" s="490"/>
      <c r="CW238" s="495"/>
      <c r="CX238" s="495"/>
      <c r="CY238" s="495"/>
      <c r="CZ238" s="495"/>
      <c r="DA238" s="545"/>
      <c r="DB238" s="545"/>
      <c r="DC238" s="552">
        <f t="shared" ref="DC238:DL238" si="1271">+DC237/DB237-1</f>
        <v>2.1255393841878152</v>
      </c>
      <c r="DD238" s="552">
        <f t="shared" si="1271"/>
        <v>0.97888172596553225</v>
      </c>
      <c r="DE238" s="552">
        <f t="shared" si="1271"/>
        <v>0.92789868568083866</v>
      </c>
      <c r="DF238" s="552">
        <f t="shared" si="1271"/>
        <v>0.33425948926487137</v>
      </c>
      <c r="DG238" s="552">
        <f t="shared" si="1271"/>
        <v>0.16158170793933913</v>
      </c>
      <c r="DH238" s="552">
        <f t="shared" si="1271"/>
        <v>0.83149034180626602</v>
      </c>
      <c r="DI238" s="552">
        <f t="shared" si="1271"/>
        <v>0.31815724411174062</v>
      </c>
      <c r="DJ238" s="552">
        <f t="shared" si="1271"/>
        <v>0.46752691535063273</v>
      </c>
      <c r="DK238" s="552">
        <f t="shared" si="1271"/>
        <v>0.12513134220764055</v>
      </c>
      <c r="DL238" s="552">
        <f t="shared" si="1271"/>
        <v>0.63238654833263208</v>
      </c>
      <c r="DM238" s="552">
        <f t="shared" ref="DM238:DR238" si="1272">+DM237/DL237-1</f>
        <v>0.35888859763770276</v>
      </c>
      <c r="DN238" s="552">
        <f t="shared" si="1272"/>
        <v>-2.6981914414873076E-2</v>
      </c>
      <c r="DO238" s="552">
        <f t="shared" si="1272"/>
        <v>5.8177871041790619E-2</v>
      </c>
      <c r="DP238" s="552">
        <f t="shared" si="1272"/>
        <v>-7.1614825442244401E-3</v>
      </c>
      <c r="DQ238" s="552">
        <f t="shared" si="1272"/>
        <v>6.3956797652875652E-2</v>
      </c>
      <c r="DR238" s="552">
        <f t="shared" si="1272"/>
        <v>5.3153770389795518E-3</v>
      </c>
      <c r="DS238" s="552">
        <f t="shared" ref="DS238" si="1273">+DS237/DR237-1</f>
        <v>6.6850411907091178E-3</v>
      </c>
      <c r="DT238" s="552">
        <f t="shared" ref="DT238" si="1274">+DT237/DS237-1</f>
        <v>6.7625876370664972E-3</v>
      </c>
      <c r="DU238" s="552">
        <f t="shared" ref="DU238" si="1275">+DU237/DT237-1</f>
        <v>6.7277992578187451E-3</v>
      </c>
      <c r="DV238" s="485"/>
      <c r="DW238" s="485"/>
      <c r="DY238" s="552">
        <v>3.0467360549632394E-2</v>
      </c>
      <c r="DZ238" s="552">
        <v>1.3379544393522513E-2</v>
      </c>
    </row>
    <row r="239" spans="1:130" s="302" customFormat="1">
      <c r="A239" s="485"/>
      <c r="B239" s="485"/>
      <c r="C239" s="536"/>
      <c r="D239" s="536"/>
      <c r="E239" s="536"/>
      <c r="F239" s="536"/>
      <c r="G239" s="545"/>
      <c r="H239" s="545"/>
      <c r="I239" s="545"/>
      <c r="J239" s="545"/>
      <c r="K239" s="545"/>
      <c r="L239" s="537"/>
      <c r="M239" s="537"/>
      <c r="N239" s="537"/>
      <c r="O239" s="537"/>
      <c r="P239" s="537"/>
      <c r="Q239" s="537"/>
      <c r="R239" s="537"/>
      <c r="S239" s="537"/>
      <c r="T239" s="537"/>
      <c r="U239" s="537"/>
      <c r="V239" s="537"/>
      <c r="W239" s="537"/>
      <c r="X239" s="537"/>
      <c r="Y239" s="537"/>
      <c r="Z239" s="537"/>
      <c r="AA239" s="537"/>
      <c r="AB239" s="537"/>
      <c r="AC239" s="537"/>
      <c r="AD239" s="537"/>
      <c r="AE239" s="537"/>
      <c r="AF239" s="537"/>
      <c r="AG239" s="537"/>
      <c r="AH239" s="545"/>
      <c r="AI239" s="545"/>
      <c r="AJ239" s="14"/>
      <c r="AK239" s="14"/>
      <c r="AL239" s="14"/>
      <c r="AM239" s="14"/>
      <c r="AN239" s="14"/>
      <c r="AO239" s="14"/>
      <c r="AP239" s="14"/>
      <c r="AQ239" s="14"/>
      <c r="AR239" s="14"/>
      <c r="AS239" s="14"/>
      <c r="AT239" s="14"/>
      <c r="AU239" s="14"/>
      <c r="AV239" s="14"/>
      <c r="AW239" s="14"/>
      <c r="AX239" s="14"/>
      <c r="AY239" s="14"/>
      <c r="AZ239" s="14"/>
      <c r="BA239" s="14"/>
      <c r="BB239" s="14"/>
      <c r="BC239" s="12"/>
      <c r="BD239" s="14"/>
      <c r="BE239" s="14"/>
      <c r="BF239" s="1584">
        <f>+BF240-BE240</f>
        <v>183002.51461999991</v>
      </c>
      <c r="BG239" s="14"/>
      <c r="BH239" s="14"/>
      <c r="BI239" s="14"/>
      <c r="BJ239" s="1584">
        <f>+BJ240-BI240</f>
        <v>247514</v>
      </c>
      <c r="BK239" s="14"/>
      <c r="BL239" s="14"/>
      <c r="BM239" s="168"/>
      <c r="BN239" s="1584">
        <f>+BN240-BM240</f>
        <v>305539.80582184647</v>
      </c>
      <c r="BO239" s="168"/>
      <c r="BP239" s="168"/>
      <c r="BQ239" s="168"/>
      <c r="BR239" s="1584">
        <f>+BR240-BQ240</f>
        <v>347321.52363000019</v>
      </c>
      <c r="BS239" s="168"/>
      <c r="BT239" s="168"/>
      <c r="BU239" s="168"/>
      <c r="BV239" s="1584">
        <f>+BV240-BU240</f>
        <v>860692</v>
      </c>
      <c r="BW239" s="168"/>
      <c r="BX239" s="168"/>
      <c r="BY239" s="1584"/>
      <c r="BZ239" s="1584"/>
      <c r="CA239" s="1584"/>
      <c r="CB239" s="1584"/>
      <c r="CC239" s="1584"/>
      <c r="CD239" s="1584"/>
      <c r="CE239" s="1584"/>
      <c r="CF239" s="1584"/>
      <c r="CG239" s="1584"/>
      <c r="CH239" s="1584"/>
      <c r="CI239" s="1584"/>
      <c r="CJ239" s="1584"/>
      <c r="CK239" s="1584"/>
      <c r="CL239" s="168"/>
      <c r="CM239" s="168"/>
      <c r="CN239" s="168"/>
      <c r="CO239" s="168"/>
      <c r="CP239" s="168"/>
      <c r="CQ239" s="168"/>
      <c r="CR239" s="168"/>
      <c r="CS239" s="168"/>
      <c r="CT239" s="1133"/>
      <c r="CU239" s="490"/>
      <c r="CV239" s="490"/>
      <c r="CW239" s="495"/>
      <c r="CX239" s="495"/>
      <c r="CY239" s="495"/>
      <c r="CZ239" s="495"/>
      <c r="DA239" s="545"/>
      <c r="DB239" s="545"/>
      <c r="DC239" s="552"/>
      <c r="DD239" s="552"/>
      <c r="DE239" s="552"/>
      <c r="DF239" s="552"/>
      <c r="DG239" s="552"/>
      <c r="DH239" s="552"/>
      <c r="DI239" s="552"/>
      <c r="DJ239" s="552"/>
      <c r="DK239" s="552"/>
      <c r="DL239" s="552"/>
      <c r="DM239" s="552"/>
      <c r="DN239" s="552"/>
      <c r="DO239" s="552"/>
      <c r="DP239" s="552"/>
      <c r="DQ239" s="552"/>
      <c r="DR239" s="552"/>
      <c r="DS239" s="552"/>
      <c r="DT239" s="552"/>
      <c r="DU239" s="552"/>
      <c r="DV239" s="485"/>
      <c r="DW239" s="485"/>
      <c r="DY239" s="552"/>
      <c r="DZ239" s="552"/>
    </row>
    <row r="240" spans="1:130" s="846" customFormat="1" ht="21" customHeight="1">
      <c r="A240" s="545" t="s">
        <v>685</v>
      </c>
      <c r="B240" s="545"/>
      <c r="C240" s="537"/>
      <c r="D240" s="537"/>
      <c r="E240" s="537"/>
      <c r="F240" s="537"/>
      <c r="G240" s="545"/>
      <c r="H240" s="545"/>
      <c r="I240" s="545"/>
      <c r="J240" s="545"/>
      <c r="K240" s="545"/>
      <c r="L240" s="545"/>
      <c r="M240" s="545"/>
      <c r="N240" s="545"/>
      <c r="O240" s="545"/>
      <c r="P240" s="545"/>
      <c r="Q240" s="545"/>
      <c r="R240" s="545"/>
      <c r="S240" s="545"/>
      <c r="T240" s="545"/>
      <c r="U240" s="545"/>
      <c r="V240" s="545"/>
      <c r="W240" s="545"/>
      <c r="X240" s="545"/>
      <c r="Y240" s="545"/>
      <c r="Z240" s="545"/>
      <c r="AA240" s="545"/>
      <c r="AB240" s="545"/>
      <c r="AC240" s="545"/>
      <c r="AD240" s="545"/>
      <c r="AE240" s="545"/>
      <c r="AF240" s="545"/>
      <c r="AG240" s="545"/>
      <c r="AH240" s="546"/>
      <c r="AI240" s="546"/>
      <c r="AJ240" s="545">
        <v>62594</v>
      </c>
      <c r="AK240" s="545">
        <v>80413</v>
      </c>
      <c r="AL240" s="545">
        <v>90713</v>
      </c>
      <c r="AM240" s="545">
        <v>84155</v>
      </c>
      <c r="AN240" s="545">
        <v>93839</v>
      </c>
      <c r="AO240" s="545">
        <v>128667</v>
      </c>
      <c r="AP240" s="545">
        <v>175307</v>
      </c>
      <c r="AQ240" s="545">
        <f t="shared" ref="AQ240:BU240" si="1276">+AQ244+AQ245</f>
        <v>207942</v>
      </c>
      <c r="AR240" s="545">
        <f t="shared" si="1276"/>
        <v>247693</v>
      </c>
      <c r="AS240" s="545">
        <f t="shared" si="1276"/>
        <v>284950</v>
      </c>
      <c r="AT240" s="545">
        <f t="shared" si="1276"/>
        <v>338005</v>
      </c>
      <c r="AU240" s="545">
        <f t="shared" si="1276"/>
        <v>348194</v>
      </c>
      <c r="AV240" s="545">
        <f t="shared" si="1276"/>
        <v>389603</v>
      </c>
      <c r="AW240" s="545">
        <f t="shared" si="1276"/>
        <v>408275</v>
      </c>
      <c r="AX240" s="545">
        <f t="shared" si="1276"/>
        <v>455225</v>
      </c>
      <c r="AY240" s="545">
        <f t="shared" si="1276"/>
        <v>447493</v>
      </c>
      <c r="AZ240" s="545">
        <f t="shared" si="1276"/>
        <v>478719</v>
      </c>
      <c r="BA240" s="545">
        <f t="shared" si="1276"/>
        <v>492064</v>
      </c>
      <c r="BB240" s="545">
        <f t="shared" si="1276"/>
        <v>529464</v>
      </c>
      <c r="BC240" s="545">
        <f t="shared" si="1276"/>
        <v>573821</v>
      </c>
      <c r="BD240" s="545">
        <f t="shared" si="1276"/>
        <v>832579</v>
      </c>
      <c r="BE240" s="545">
        <f t="shared" si="1276"/>
        <v>888130.08537999995</v>
      </c>
      <c r="BF240" s="545">
        <f t="shared" si="1276"/>
        <v>1071132.5999999999</v>
      </c>
      <c r="BG240" s="545">
        <f t="shared" si="1276"/>
        <v>1071354</v>
      </c>
      <c r="BH240" s="545">
        <f t="shared" si="1276"/>
        <v>1155343.1823200001</v>
      </c>
      <c r="BI240" s="545">
        <f t="shared" si="1276"/>
        <v>1209912</v>
      </c>
      <c r="BJ240" s="545">
        <f t="shared" si="1276"/>
        <v>1457426</v>
      </c>
      <c r="BK240" s="545">
        <f t="shared" si="1276"/>
        <v>1456094.9122840315</v>
      </c>
      <c r="BL240" s="545">
        <f t="shared" si="1276"/>
        <v>1597264.5010899999</v>
      </c>
      <c r="BM240" s="545">
        <f t="shared" si="1276"/>
        <v>1772837.8112899999</v>
      </c>
      <c r="BN240" s="545">
        <f t="shared" si="1276"/>
        <v>2078377.6171118463</v>
      </c>
      <c r="BO240" s="545">
        <f t="shared" si="1276"/>
        <v>2080271.1531999994</v>
      </c>
      <c r="BP240" s="545">
        <f t="shared" si="1276"/>
        <v>1866410.8223999999</v>
      </c>
      <c r="BQ240" s="545">
        <f t="shared" si="1276"/>
        <v>2008594.9017600003</v>
      </c>
      <c r="BR240" s="545">
        <f t="shared" si="1276"/>
        <v>2355916.4253900005</v>
      </c>
      <c r="BS240" s="545">
        <f t="shared" si="1276"/>
        <v>2200675</v>
      </c>
      <c r="BT240" s="545">
        <f t="shared" si="1276"/>
        <v>2526867</v>
      </c>
      <c r="BU240" s="545">
        <f t="shared" si="1276"/>
        <v>2833052</v>
      </c>
      <c r="BV240" s="545">
        <f t="shared" ref="BV240:CA240" si="1277">+BV244+BV245</f>
        <v>3693744</v>
      </c>
      <c r="BW240" s="545">
        <f t="shared" si="1277"/>
        <v>3979377</v>
      </c>
      <c r="BX240" s="545">
        <f t="shared" si="1277"/>
        <v>4492034</v>
      </c>
      <c r="BY240" s="545">
        <f t="shared" si="1277"/>
        <v>4759038</v>
      </c>
      <c r="BZ240" s="545">
        <f t="shared" si="1277"/>
        <v>5385932</v>
      </c>
      <c r="CA240" s="545">
        <f t="shared" si="1277"/>
        <v>5352093</v>
      </c>
      <c r="CB240" s="545">
        <f t="shared" ref="CB240:CC240" si="1278">+CB244+CB245</f>
        <v>5418492</v>
      </c>
      <c r="CC240" s="545">
        <f t="shared" si="1278"/>
        <v>5118800</v>
      </c>
      <c r="CD240" s="545">
        <f t="shared" ref="CD240:CE240" si="1279">+CD244+CD245</f>
        <v>5387847</v>
      </c>
      <c r="CE240" s="545">
        <f t="shared" si="1279"/>
        <v>5081760</v>
      </c>
      <c r="CF240" s="545">
        <f t="shared" ref="CF240:CG240" si="1280">+CF244+CF245</f>
        <v>5145610.2715398092</v>
      </c>
      <c r="CG240" s="545">
        <f t="shared" si="1280"/>
        <v>5093517.8538689632</v>
      </c>
      <c r="CH240" s="545">
        <f t="shared" ref="CH240:CI240" si="1281">+CH244+CH245</f>
        <v>5410322.5391678438</v>
      </c>
      <c r="CI240" s="545">
        <f t="shared" si="1281"/>
        <v>5419282.9236400034</v>
      </c>
      <c r="CJ240" s="545">
        <f t="shared" ref="CJ240:CK240" si="1282">+CJ244+CJ245</f>
        <v>5760237</v>
      </c>
      <c r="CK240" s="545">
        <f t="shared" si="1282"/>
        <v>5706888.3584899995</v>
      </c>
      <c r="CL240" s="745">
        <f t="shared" ref="CL240" si="1283">+CH240*(1+CL241)</f>
        <v>5734941.8915179148</v>
      </c>
      <c r="CM240" s="745">
        <f t="shared" ref="CM240" si="1284">+CI240*(1+CM241)</f>
        <v>5744439.8990584044</v>
      </c>
      <c r="CN240" s="745">
        <f t="shared" ref="CN240" si="1285">+CJ240*(1+CN241)</f>
        <v>6105851.2200000007</v>
      </c>
      <c r="CO240" s="745">
        <f t="shared" ref="CO240" si="1286">+CK240*(1+CO241)</f>
        <v>6049301.6599993994</v>
      </c>
      <c r="CP240" s="745">
        <f t="shared" ref="CP240" si="1287">+CL240*(1+CP241)</f>
        <v>6079038.4050089903</v>
      </c>
      <c r="CQ240" s="745"/>
      <c r="CR240" s="745"/>
      <c r="CS240" s="745">
        <v>5454346.8878321983</v>
      </c>
      <c r="CT240" s="1133"/>
      <c r="CU240" s="545"/>
      <c r="CV240" s="545"/>
      <c r="CW240" s="545"/>
      <c r="CX240" s="545"/>
      <c r="CY240" s="545"/>
      <c r="CZ240" s="545"/>
      <c r="DA240" s="545"/>
      <c r="DB240" s="545"/>
      <c r="DC240" s="545"/>
      <c r="DD240" s="545"/>
      <c r="DE240" s="545">
        <f>+AT240</f>
        <v>338005</v>
      </c>
      <c r="DF240" s="545">
        <f>+AX240</f>
        <v>455225</v>
      </c>
      <c r="DG240" s="545">
        <f>+BB240</f>
        <v>529464</v>
      </c>
      <c r="DH240" s="545">
        <f>+BF240</f>
        <v>1071132.5999999999</v>
      </c>
      <c r="DI240" s="545">
        <f>+BJ240</f>
        <v>1457426</v>
      </c>
      <c r="DJ240" s="545">
        <f>+BN240</f>
        <v>2078377.6171118463</v>
      </c>
      <c r="DK240" s="545">
        <f>+BR240</f>
        <v>2355916.4253900005</v>
      </c>
      <c r="DL240" s="545">
        <f>+BV240</f>
        <v>3693744</v>
      </c>
      <c r="DM240" s="545">
        <f>+BZ240</f>
        <v>5385932</v>
      </c>
      <c r="DN240" s="545">
        <f>+CD240</f>
        <v>5387847</v>
      </c>
      <c r="DO240" s="545">
        <f>+CH240</f>
        <v>5410322.5391678438</v>
      </c>
      <c r="DP240" s="545">
        <f>+CL240</f>
        <v>5734941.8915179148</v>
      </c>
      <c r="DQ240" s="545">
        <f>+CP240</f>
        <v>6079038.4050089903</v>
      </c>
      <c r="DR240" s="546">
        <f>+DQ240*(1+DR241)</f>
        <v>6079038.4050089903</v>
      </c>
      <c r="DS240" s="546">
        <f t="shared" ref="DS240:DU240" si="1288">+DR240*(1+DS241)</f>
        <v>6079038.4050089903</v>
      </c>
      <c r="DT240" s="546">
        <f t="shared" si="1288"/>
        <v>6079038.4050089903</v>
      </c>
      <c r="DU240" s="546">
        <f t="shared" si="1288"/>
        <v>6079038.4050089903</v>
      </c>
      <c r="DV240" s="545"/>
      <c r="DW240" s="545"/>
      <c r="DY240" s="546">
        <v>5634713.7862785002</v>
      </c>
      <c r="DZ240" s="546">
        <v>5634713.7862785002</v>
      </c>
    </row>
    <row r="241" spans="1:130" s="302" customFormat="1">
      <c r="A241" s="356" t="s">
        <v>684</v>
      </c>
      <c r="B241" s="356"/>
      <c r="C241" s="553"/>
      <c r="D241" s="553"/>
      <c r="E241" s="553"/>
      <c r="F241" s="553"/>
      <c r="G241" s="356"/>
      <c r="H241" s="356"/>
      <c r="I241" s="356"/>
      <c r="J241" s="356"/>
      <c r="K241" s="356"/>
      <c r="L241" s="356"/>
      <c r="M241" s="356"/>
      <c r="N241" s="356"/>
      <c r="O241" s="356"/>
      <c r="P241" s="356"/>
      <c r="Q241" s="356"/>
      <c r="R241" s="356"/>
      <c r="S241" s="356"/>
      <c r="T241" s="356"/>
      <c r="U241" s="356"/>
      <c r="V241" s="356"/>
      <c r="W241" s="356"/>
      <c r="X241" s="356"/>
      <c r="Y241" s="356"/>
      <c r="Z241" s="356"/>
      <c r="AA241" s="356"/>
      <c r="AB241" s="356"/>
      <c r="AC241" s="356"/>
      <c r="AD241" s="356"/>
      <c r="AE241" s="356"/>
      <c r="AF241" s="356"/>
      <c r="AG241" s="356"/>
      <c r="AH241" s="554"/>
      <c r="AI241" s="554"/>
      <c r="AJ241" s="554"/>
      <c r="AK241" s="14">
        <v>0.28467584752532193</v>
      </c>
      <c r="AL241" s="14">
        <v>0.12808874187009556</v>
      </c>
      <c r="AM241" s="14">
        <v>-7.2293938024318494E-2</v>
      </c>
      <c r="AN241" s="14">
        <v>0.11507337650763483</v>
      </c>
      <c r="AO241" s="14">
        <v>0.3711463250887157</v>
      </c>
      <c r="AP241" s="14">
        <v>0.36248610754894428</v>
      </c>
      <c r="AQ241" s="14">
        <f t="shared" ref="AQ241:BE241" si="1289">+AQ240/AM240-1</f>
        <v>1.4709405264096014</v>
      </c>
      <c r="AR241" s="14">
        <f t="shared" si="1289"/>
        <v>1.6395528511599653</v>
      </c>
      <c r="AS241" s="14">
        <f t="shared" si="1289"/>
        <v>1.214631568311999</v>
      </c>
      <c r="AT241" s="14">
        <f t="shared" si="1289"/>
        <v>0.92807474886912678</v>
      </c>
      <c r="AU241" s="14">
        <f t="shared" si="1289"/>
        <v>0.67447653672658725</v>
      </c>
      <c r="AV241" s="14">
        <f t="shared" si="1289"/>
        <v>0.57292697007989735</v>
      </c>
      <c r="AW241" s="14">
        <f t="shared" si="1289"/>
        <v>0.43279522723284791</v>
      </c>
      <c r="AX241" s="14">
        <f t="shared" si="1289"/>
        <v>0.34679960355616046</v>
      </c>
      <c r="AY241" s="14">
        <f t="shared" si="1289"/>
        <v>0.28518297271061543</v>
      </c>
      <c r="AZ241" s="14">
        <f t="shared" si="1289"/>
        <v>0.22873540501484846</v>
      </c>
      <c r="BA241" s="14">
        <f t="shared" si="1289"/>
        <v>0.20522686914457178</v>
      </c>
      <c r="BB241" s="14">
        <f t="shared" si="1289"/>
        <v>0.16308199242133004</v>
      </c>
      <c r="BC241" s="14">
        <f t="shared" si="1289"/>
        <v>0.28230162259521374</v>
      </c>
      <c r="BD241" s="14">
        <f t="shared" si="1289"/>
        <v>0.73918102268763097</v>
      </c>
      <c r="BE241" s="14">
        <f t="shared" si="1289"/>
        <v>0.80490766522241008</v>
      </c>
      <c r="BF241" s="14">
        <f>+BF240/BB240-1</f>
        <v>1.0230508589819136</v>
      </c>
      <c r="BG241" s="14">
        <f>+BG240/BC240-1</f>
        <v>0.86705261745387507</v>
      </c>
      <c r="BH241" s="14">
        <f t="shared" ref="BH241:BO241" si="1290">+BH240/BD240-1</f>
        <v>0.38766793579948589</v>
      </c>
      <c r="BI241" s="14">
        <f t="shared" si="1290"/>
        <v>0.36231394467660749</v>
      </c>
      <c r="BJ241" s="14">
        <f t="shared" si="1290"/>
        <v>0.36064012989614946</v>
      </c>
      <c r="BK241" s="14">
        <f t="shared" si="1290"/>
        <v>0.3591165126410425</v>
      </c>
      <c r="BL241" s="14">
        <f t="shared" si="1290"/>
        <v>0.38250220846293881</v>
      </c>
      <c r="BM241" s="14">
        <f t="shared" si="1290"/>
        <v>0.46526178043527122</v>
      </c>
      <c r="BN241" s="14">
        <f t="shared" si="1290"/>
        <v>0.42606047724676688</v>
      </c>
      <c r="BO241" s="14">
        <f t="shared" si="1290"/>
        <v>0.42866452979832514</v>
      </c>
      <c r="BP241" s="14">
        <f>+BP240/BL240-1</f>
        <v>0.16850454081107413</v>
      </c>
      <c r="BQ241" s="14">
        <f>+BQ240/BM240-1</f>
        <v>0.13298288708003825</v>
      </c>
      <c r="BR241" s="14">
        <f>+BR240/BN240-1</f>
        <v>0.13353627656163236</v>
      </c>
      <c r="BS241" s="14">
        <f>+BS240/BO240-1</f>
        <v>5.7878919589298805E-2</v>
      </c>
      <c r="BT241" s="14">
        <f t="shared" ref="BT241:CD241" si="1291">+BT240/BP240-1</f>
        <v>0.35386430986867379</v>
      </c>
      <c r="BU241" s="14">
        <f t="shared" si="1291"/>
        <v>0.41046459767351884</v>
      </c>
      <c r="BV241" s="14">
        <f t="shared" si="1291"/>
        <v>0.56785867282560099</v>
      </c>
      <c r="BW241" s="14">
        <f t="shared" si="1291"/>
        <v>0.80825292239880953</v>
      </c>
      <c r="BX241" s="14">
        <f t="shared" si="1291"/>
        <v>0.77770891780216367</v>
      </c>
      <c r="BY241" s="14">
        <f t="shared" si="1291"/>
        <v>0.67982726755456668</v>
      </c>
      <c r="BZ241" s="14">
        <f t="shared" si="1291"/>
        <v>0.45812270693366952</v>
      </c>
      <c r="CA241" s="14">
        <f t="shared" si="1291"/>
        <v>0.34495751470644787</v>
      </c>
      <c r="CB241" s="14">
        <f t="shared" si="1291"/>
        <v>0.20624465442603501</v>
      </c>
      <c r="CC241" s="14">
        <f t="shared" si="1291"/>
        <v>7.5595530020983182E-2</v>
      </c>
      <c r="CD241" s="14">
        <f t="shared" si="1291"/>
        <v>3.5555591864144809E-4</v>
      </c>
      <c r="CE241" s="14">
        <f t="shared" ref="CE241:CK241" si="1292">+CE240/CA240-1</f>
        <v>-5.0509772531979524E-2</v>
      </c>
      <c r="CF241" s="14">
        <f t="shared" si="1292"/>
        <v>-5.0361194306495438E-2</v>
      </c>
      <c r="CG241" s="14">
        <f t="shared" si="1292"/>
        <v>-4.9390767623342935E-3</v>
      </c>
      <c r="CH241" s="14">
        <f t="shared" si="1292"/>
        <v>4.1715251319949243E-3</v>
      </c>
      <c r="CI241" s="14">
        <f t="shared" si="1292"/>
        <v>6.6418509264507541E-2</v>
      </c>
      <c r="CJ241" s="1963">
        <f t="shared" si="1292"/>
        <v>0.11944680922682194</v>
      </c>
      <c r="CK241" s="1963">
        <f t="shared" si="1292"/>
        <v>0.12042178357245348</v>
      </c>
      <c r="CL241" s="2161">
        <v>0.06</v>
      </c>
      <c r="CM241" s="2161">
        <v>0.06</v>
      </c>
      <c r="CN241" s="2161">
        <v>0.06</v>
      </c>
      <c r="CO241" s="2161">
        <v>0.06</v>
      </c>
      <c r="CP241" s="2161">
        <v>0.06</v>
      </c>
      <c r="CQ241" s="745"/>
      <c r="CR241" s="745"/>
      <c r="CS241" s="605">
        <v>0.06</v>
      </c>
      <c r="CT241" s="1133"/>
      <c r="CU241" s="356"/>
      <c r="CV241" s="356"/>
      <c r="CW241" s="356"/>
      <c r="CX241" s="356"/>
      <c r="CY241" s="356"/>
      <c r="CZ241" s="356"/>
      <c r="DA241" s="356"/>
      <c r="DB241" s="356"/>
      <c r="DC241" s="356"/>
      <c r="DD241" s="356"/>
      <c r="DE241" s="552"/>
      <c r="DF241" s="552">
        <f t="shared" ref="DF241:DL241" si="1293">+DF240/DE240-1</f>
        <v>0.34679960355616046</v>
      </c>
      <c r="DG241" s="552">
        <f t="shared" si="1293"/>
        <v>0.16308199242133004</v>
      </c>
      <c r="DH241" s="552">
        <f t="shared" si="1293"/>
        <v>1.0230508589819136</v>
      </c>
      <c r="DI241" s="552">
        <f t="shared" si="1293"/>
        <v>0.36064012989614946</v>
      </c>
      <c r="DJ241" s="552">
        <f t="shared" si="1293"/>
        <v>0.42606047724676688</v>
      </c>
      <c r="DK241" s="552">
        <f t="shared" si="1293"/>
        <v>0.13353627656163236</v>
      </c>
      <c r="DL241" s="552">
        <f t="shared" si="1293"/>
        <v>0.56785867282560099</v>
      </c>
      <c r="DM241" s="552">
        <f>+DM240/DL240-1</f>
        <v>0.45812270693366952</v>
      </c>
      <c r="DN241" s="552">
        <f>+DN240/DM240-1</f>
        <v>3.5555591864144809E-4</v>
      </c>
      <c r="DO241" s="552">
        <f>+DO240/DN240-1</f>
        <v>4.1715251319949243E-3</v>
      </c>
      <c r="DP241" s="552">
        <f>+DP240/DO240-1</f>
        <v>6.0000000000000053E-2</v>
      </c>
      <c r="DQ241" s="552">
        <f>+DQ240/DP240-1</f>
        <v>6.0000000000000053E-2</v>
      </c>
      <c r="DR241" s="555">
        <v>0</v>
      </c>
      <c r="DS241" s="555">
        <v>0</v>
      </c>
      <c r="DT241" s="555">
        <v>0</v>
      </c>
      <c r="DU241" s="555">
        <v>0</v>
      </c>
      <c r="DV241" s="356"/>
      <c r="DW241" s="356"/>
      <c r="DY241" s="555">
        <v>0</v>
      </c>
      <c r="DZ241" s="555">
        <v>0</v>
      </c>
    </row>
    <row r="242" spans="1:130" s="302" customFormat="1">
      <c r="A242" s="356"/>
      <c r="B242" s="356"/>
      <c r="C242" s="553"/>
      <c r="D242" s="553"/>
      <c r="E242" s="553"/>
      <c r="F242" s="553"/>
      <c r="G242" s="356"/>
      <c r="H242" s="356"/>
      <c r="I242" s="356"/>
      <c r="J242" s="356"/>
      <c r="K242" s="356"/>
      <c r="L242" s="356"/>
      <c r="M242" s="356"/>
      <c r="N242" s="356"/>
      <c r="O242" s="356"/>
      <c r="P242" s="356"/>
      <c r="Q242" s="356"/>
      <c r="R242" s="356"/>
      <c r="S242" s="356"/>
      <c r="T242" s="356"/>
      <c r="U242" s="356"/>
      <c r="V242" s="356"/>
      <c r="W242" s="356"/>
      <c r="X242" s="356"/>
      <c r="Y242" s="356"/>
      <c r="Z242" s="356"/>
      <c r="AA242" s="356"/>
      <c r="AB242" s="356"/>
      <c r="AC242" s="356"/>
      <c r="AD242" s="356"/>
      <c r="AE242" s="356"/>
      <c r="AF242" s="356"/>
      <c r="AG242" s="356"/>
      <c r="AH242" s="554"/>
      <c r="AI242" s="554"/>
      <c r="AJ242" s="554"/>
      <c r="AK242" s="14"/>
      <c r="AL242" s="14"/>
      <c r="AM242" s="14"/>
      <c r="AN242" s="14"/>
      <c r="AO242" s="14"/>
      <c r="AP242" s="14"/>
      <c r="AQ242" s="14"/>
      <c r="AR242" s="14"/>
      <c r="AS242" s="14"/>
      <c r="AT242" s="14"/>
      <c r="AU242" s="14"/>
      <c r="AV242" s="14"/>
      <c r="AW242" s="14"/>
      <c r="AX242" s="14"/>
      <c r="AY242" s="14"/>
      <c r="AZ242" s="14"/>
      <c r="BA242" s="14"/>
      <c r="BB242" s="14"/>
      <c r="BC242" s="14"/>
      <c r="BD242" s="14"/>
      <c r="BE242" s="14"/>
      <c r="BF242" s="14">
        <f t="shared" ref="BF242:BI242" si="1294">+BF240/BE240-1</f>
        <v>0.20605372752539908</v>
      </c>
      <c r="BG242" s="14">
        <f t="shared" si="1294"/>
        <v>2.0669709800658076E-4</v>
      </c>
      <c r="BH242" s="14">
        <f t="shared" si="1294"/>
        <v>7.8395359815709886E-2</v>
      </c>
      <c r="BI242" s="14">
        <f t="shared" si="1294"/>
        <v>4.7231695755041603E-2</v>
      </c>
      <c r="BJ242" s="14">
        <f>+BJ240/BI240-1</f>
        <v>0.20457190274995196</v>
      </c>
      <c r="BK242" s="14">
        <f t="shared" ref="BK242:CK242" si="1295">+BK240/BJ240-1</f>
        <v>-9.1331410031691984E-4</v>
      </c>
      <c r="BL242" s="14">
        <f t="shared" si="1295"/>
        <v>9.6950815235340437E-2</v>
      </c>
      <c r="BM242" s="14">
        <f t="shared" si="1295"/>
        <v>0.10992124978686113</v>
      </c>
      <c r="BN242" s="14">
        <f t="shared" si="1295"/>
        <v>0.17234504130951578</v>
      </c>
      <c r="BO242" s="14">
        <f t="shared" si="1295"/>
        <v>9.1106451135880562E-4</v>
      </c>
      <c r="BP242" s="14">
        <f t="shared" si="1295"/>
        <v>-0.10280406497538863</v>
      </c>
      <c r="BQ242" s="14">
        <f t="shared" si="1295"/>
        <v>7.6180483767859464E-2</v>
      </c>
      <c r="BR242" s="14">
        <f t="shared" si="1295"/>
        <v>0.17291765667913683</v>
      </c>
      <c r="BS242" s="14">
        <f t="shared" si="1295"/>
        <v>-6.5894283734747372E-2</v>
      </c>
      <c r="BT242" s="14">
        <f t="shared" si="1295"/>
        <v>0.14822361320958333</v>
      </c>
      <c r="BU242" s="14">
        <f t="shared" si="1295"/>
        <v>0.12117179099651865</v>
      </c>
      <c r="BV242" s="14">
        <f t="shared" si="1295"/>
        <v>0.30380381299037218</v>
      </c>
      <c r="BW242" s="14">
        <f t="shared" si="1295"/>
        <v>7.7328856574792493E-2</v>
      </c>
      <c r="BX242" s="14">
        <f t="shared" si="1295"/>
        <v>0.12882845731882142</v>
      </c>
      <c r="BY242" s="14">
        <f t="shared" si="1295"/>
        <v>5.9439443245532075E-2</v>
      </c>
      <c r="BZ242" s="14">
        <f t="shared" si="1295"/>
        <v>0.13172704231401378</v>
      </c>
      <c r="CA242" s="14">
        <f t="shared" si="1295"/>
        <v>-6.2828494678358604E-3</v>
      </c>
      <c r="CB242" s="14">
        <f t="shared" si="1295"/>
        <v>1.2406174556383931E-2</v>
      </c>
      <c r="CC242" s="14">
        <f t="shared" si="1295"/>
        <v>-5.5309115525131292E-2</v>
      </c>
      <c r="CD242" s="14">
        <f t="shared" si="1295"/>
        <v>5.2560561069000533E-2</v>
      </c>
      <c r="CE242" s="14">
        <f t="shared" si="1295"/>
        <v>-5.6810633264084864E-2</v>
      </c>
      <c r="CF242" s="14">
        <f t="shared" si="1295"/>
        <v>1.2564598001442162E-2</v>
      </c>
      <c r="CG242" s="14">
        <f t="shared" si="1295"/>
        <v>-1.0123661708110188E-2</v>
      </c>
      <c r="CH242" s="14">
        <f t="shared" si="1295"/>
        <v>6.2197619481836108E-2</v>
      </c>
      <c r="CI242" s="14">
        <f t="shared" si="1295"/>
        <v>1.656164564550755E-3</v>
      </c>
      <c r="CJ242" s="14">
        <f t="shared" si="1295"/>
        <v>6.2914979927083392E-2</v>
      </c>
      <c r="CK242" s="14">
        <f t="shared" si="1295"/>
        <v>-9.2615358552088356E-3</v>
      </c>
      <c r="CL242" s="14">
        <f t="shared" ref="CL242" si="1296">+CL240/CK240-1</f>
        <v>4.9157318779822212E-3</v>
      </c>
      <c r="CM242" s="14">
        <f t="shared" ref="CM242" si="1297">+CM240/CL240-1</f>
        <v>1.656164564550755E-3</v>
      </c>
      <c r="CN242" s="14">
        <f t="shared" ref="CN242" si="1298">+CN240/CM240-1</f>
        <v>6.2914979927083392E-2</v>
      </c>
      <c r="CO242" s="14">
        <f t="shared" ref="CO242" si="1299">+CO240/CN240-1</f>
        <v>-9.2615358552089466E-3</v>
      </c>
      <c r="CP242" s="14">
        <f t="shared" ref="CP242" si="1300">+CP240/CO240-1</f>
        <v>4.9157318779824433E-3</v>
      </c>
      <c r="CQ242" s="745"/>
      <c r="CR242" s="745"/>
      <c r="CS242" s="14">
        <v>6.4702221098733581E-3</v>
      </c>
      <c r="CT242" s="1133"/>
      <c r="CU242" s="356"/>
      <c r="CV242" s="356"/>
      <c r="CW242" s="356"/>
      <c r="CX242" s="356"/>
      <c r="CY242" s="356"/>
      <c r="CZ242" s="356"/>
      <c r="DA242" s="356"/>
      <c r="DB242" s="356"/>
      <c r="DC242" s="356"/>
      <c r="DD242" s="356"/>
      <c r="DE242" s="552"/>
      <c r="DF242" s="552"/>
      <c r="DG242" s="552"/>
      <c r="DH242" s="552"/>
      <c r="DI242" s="552"/>
      <c r="DJ242" s="552"/>
      <c r="DK242" s="552"/>
      <c r="DL242" s="552"/>
      <c r="DM242" s="552"/>
      <c r="DN242" s="552"/>
      <c r="DO242" s="552"/>
      <c r="DP242" s="552"/>
      <c r="DQ242" s="552"/>
      <c r="DR242" s="555"/>
      <c r="DS242" s="555"/>
      <c r="DT242" s="555"/>
      <c r="DU242" s="555"/>
      <c r="DV242" s="356"/>
      <c r="DW242" s="356"/>
      <c r="DY242" s="555"/>
      <c r="DZ242" s="555"/>
    </row>
    <row r="243" spans="1:130" s="302" customFormat="1">
      <c r="A243" s="356"/>
      <c r="B243" s="356"/>
      <c r="C243" s="553"/>
      <c r="D243" s="553"/>
      <c r="E243" s="553"/>
      <c r="F243" s="553"/>
      <c r="G243" s="356"/>
      <c r="H243" s="356"/>
      <c r="I243" s="356"/>
      <c r="J243" s="356"/>
      <c r="K243" s="356"/>
      <c r="L243" s="356"/>
      <c r="M243" s="356"/>
      <c r="N243" s="356"/>
      <c r="O243" s="356"/>
      <c r="P243" s="356"/>
      <c r="Q243" s="356"/>
      <c r="R243" s="356"/>
      <c r="S243" s="356"/>
      <c r="T243" s="356"/>
      <c r="U243" s="356"/>
      <c r="V243" s="356"/>
      <c r="W243" s="356"/>
      <c r="X243" s="356"/>
      <c r="Y243" s="356"/>
      <c r="Z243" s="356"/>
      <c r="AA243" s="356"/>
      <c r="AB243" s="356"/>
      <c r="AC243" s="356"/>
      <c r="AD243" s="356"/>
      <c r="AE243" s="356"/>
      <c r="AF243" s="356"/>
      <c r="AG243" s="356"/>
      <c r="AH243" s="554"/>
      <c r="AI243" s="554"/>
      <c r="AJ243" s="554"/>
      <c r="AK243" s="14"/>
      <c r="AL243" s="14"/>
      <c r="AM243" s="14"/>
      <c r="AN243" s="14"/>
      <c r="AO243" s="14"/>
      <c r="AP243" s="14"/>
      <c r="AQ243" s="14"/>
      <c r="AR243" s="14"/>
      <c r="AS243" s="14"/>
      <c r="AT243" s="14"/>
      <c r="AU243" s="14"/>
      <c r="AV243" s="14"/>
      <c r="AW243" s="14"/>
      <c r="AX243" s="14"/>
      <c r="AY243" s="14"/>
      <c r="AZ243" s="14"/>
      <c r="BA243" s="14"/>
      <c r="BB243" s="14"/>
      <c r="BC243" s="14"/>
      <c r="BD243" s="14"/>
      <c r="BE243" s="14"/>
      <c r="BF243" s="14"/>
      <c r="BG243" s="14"/>
      <c r="BH243" s="14"/>
      <c r="BI243" s="14"/>
      <c r="BJ243" s="14"/>
      <c r="BK243" s="14"/>
      <c r="BL243" s="14"/>
      <c r="BM243" s="14"/>
      <c r="BN243" s="14"/>
      <c r="BO243" s="14"/>
      <c r="BP243" s="14"/>
      <c r="BQ243" s="14"/>
      <c r="BR243" s="14"/>
      <c r="BS243" s="14"/>
      <c r="BT243" s="14"/>
      <c r="BU243" s="14"/>
      <c r="BV243" s="14"/>
      <c r="BW243" s="14"/>
      <c r="BX243" s="14"/>
      <c r="BY243" s="14"/>
      <c r="BZ243" s="14"/>
      <c r="CA243" s="14"/>
      <c r="CB243" s="14"/>
      <c r="CC243" s="14"/>
      <c r="CD243" s="14"/>
      <c r="CE243" s="14"/>
      <c r="CF243" s="14"/>
      <c r="CG243" s="14"/>
      <c r="CH243" s="14"/>
      <c r="CI243" s="14"/>
      <c r="CJ243" s="14"/>
      <c r="CK243" s="14"/>
      <c r="CL243" s="14"/>
      <c r="CM243" s="14"/>
      <c r="CN243" s="14"/>
      <c r="CO243" s="14"/>
      <c r="CP243" s="14"/>
      <c r="CQ243" s="745"/>
      <c r="CR243" s="745"/>
      <c r="CS243" s="14"/>
      <c r="CT243" s="1133"/>
      <c r="CU243" s="356"/>
      <c r="CV243" s="356"/>
      <c r="CW243" s="356"/>
      <c r="CX243" s="356"/>
      <c r="CY243" s="356"/>
      <c r="CZ243" s="356"/>
      <c r="DA243" s="356"/>
      <c r="DB243" s="356"/>
      <c r="DC243" s="356"/>
      <c r="DD243" s="356"/>
      <c r="DE243" s="552"/>
      <c r="DF243" s="552"/>
      <c r="DG243" s="552"/>
      <c r="DH243" s="552"/>
      <c r="DI243" s="552"/>
      <c r="DJ243" s="552"/>
      <c r="DK243" s="552"/>
      <c r="DL243" s="552"/>
      <c r="DM243" s="552"/>
      <c r="DN243" s="552"/>
      <c r="DO243" s="552"/>
      <c r="DP243" s="552"/>
      <c r="DQ243" s="552"/>
      <c r="DR243" s="555"/>
      <c r="DS243" s="555"/>
      <c r="DT243" s="555"/>
      <c r="DU243" s="555"/>
      <c r="DV243" s="356"/>
      <c r="DW243" s="356"/>
      <c r="DY243" s="555"/>
      <c r="DZ243" s="555"/>
    </row>
    <row r="244" spans="1:130" s="883" customFormat="1" ht="14.25" customHeight="1">
      <c r="A244" s="1489" t="s">
        <v>686</v>
      </c>
      <c r="B244" s="1489"/>
      <c r="C244" s="1490"/>
      <c r="D244" s="1490"/>
      <c r="E244" s="1490"/>
      <c r="F244" s="1490"/>
      <c r="G244" s="1489"/>
      <c r="H244" s="1489"/>
      <c r="I244" s="1489"/>
      <c r="J244" s="1489"/>
      <c r="K244" s="1489"/>
      <c r="L244" s="1489"/>
      <c r="M244" s="1489"/>
      <c r="N244" s="1489"/>
      <c r="O244" s="1489"/>
      <c r="P244" s="1489"/>
      <c r="Q244" s="1489"/>
      <c r="R244" s="1489"/>
      <c r="S244" s="1489"/>
      <c r="T244" s="1489"/>
      <c r="U244" s="1489"/>
      <c r="V244" s="1489"/>
      <c r="W244" s="1489"/>
      <c r="X244" s="1489"/>
      <c r="Y244" s="1489"/>
      <c r="Z244" s="1489"/>
      <c r="AA244" s="1489"/>
      <c r="AB244" s="1489"/>
      <c r="AC244" s="1489"/>
      <c r="AD244" s="1489"/>
      <c r="AE244" s="1489"/>
      <c r="AF244" s="1489"/>
      <c r="AG244" s="1489"/>
      <c r="AH244" s="1491">
        <v>23829</v>
      </c>
      <c r="AI244" s="1491"/>
      <c r="AJ244" s="1491">
        <v>50259</v>
      </c>
      <c r="AK244" s="1491">
        <v>61153</v>
      </c>
      <c r="AL244" s="1491">
        <v>70405</v>
      </c>
      <c r="AM244" s="1491">
        <v>64322</v>
      </c>
      <c r="AN244" s="1491">
        <v>75643</v>
      </c>
      <c r="AO244" s="1491">
        <v>106558</v>
      </c>
      <c r="AP244" s="1491">
        <v>149517</v>
      </c>
      <c r="AQ244" s="1492">
        <v>169032</v>
      </c>
      <c r="AR244" s="1492">
        <v>193617</v>
      </c>
      <c r="AS244" s="1492">
        <v>223460</v>
      </c>
      <c r="AT244" s="1492">
        <v>281017</v>
      </c>
      <c r="AU244" s="1492">
        <v>267839</v>
      </c>
      <c r="AV244" s="1492">
        <v>296882</v>
      </c>
      <c r="AW244" s="1492">
        <v>315548</v>
      </c>
      <c r="AX244" s="1492">
        <v>374417</v>
      </c>
      <c r="AY244" s="1492">
        <v>342352</v>
      </c>
      <c r="AZ244" s="1492">
        <v>363072</v>
      </c>
      <c r="BA244" s="1492">
        <v>378000</v>
      </c>
      <c r="BB244" s="1492">
        <v>433712</v>
      </c>
      <c r="BC244" s="1493">
        <v>458730</v>
      </c>
      <c r="BD244" s="1493">
        <v>613136</v>
      </c>
      <c r="BE244" s="1493">
        <v>706579</v>
      </c>
      <c r="BF244" s="1493">
        <v>841339.56510000024</v>
      </c>
      <c r="BG244" s="1493">
        <v>822166.2420919094</v>
      </c>
      <c r="BH244" s="1493">
        <v>889002.05926000001</v>
      </c>
      <c r="BI244" s="1493">
        <v>856673</v>
      </c>
      <c r="BJ244" s="1493">
        <v>1089398</v>
      </c>
      <c r="BK244" s="1493">
        <v>1158429.5316440314</v>
      </c>
      <c r="BL244" s="1493">
        <v>1262353.9195399999</v>
      </c>
      <c r="BM244" s="1494">
        <v>1417818.1093499998</v>
      </c>
      <c r="BN244" s="1494">
        <v>1713197.3375818464</v>
      </c>
      <c r="BO244" s="1494">
        <v>1647974.9540099993</v>
      </c>
      <c r="BP244" s="1494">
        <v>1384345.7757899999</v>
      </c>
      <c r="BQ244" s="1494">
        <v>1627036.1244099999</v>
      </c>
      <c r="BR244" s="1494">
        <v>2030498.7735400007</v>
      </c>
      <c r="BS244" s="1494">
        <v>1870036</v>
      </c>
      <c r="BT244" s="1494">
        <v>2146635</v>
      </c>
      <c r="BU244" s="1494">
        <v>2348126</v>
      </c>
      <c r="BV244" s="1494">
        <v>3103516</v>
      </c>
      <c r="BW244" s="1494">
        <v>3148971</v>
      </c>
      <c r="BX244" s="1494">
        <v>3447148</v>
      </c>
      <c r="BY244" s="1494">
        <v>3523793</v>
      </c>
      <c r="BZ244" s="1494">
        <v>4032633</v>
      </c>
      <c r="CA244" s="1494">
        <v>3887350</v>
      </c>
      <c r="CB244" s="1494">
        <v>3900226</v>
      </c>
      <c r="CC244" s="1494">
        <v>3648752</v>
      </c>
      <c r="CD244" s="1494">
        <v>4026247</v>
      </c>
      <c r="CE244" s="1494">
        <v>3783879</v>
      </c>
      <c r="CF244" s="1494">
        <v>3939508.678459784</v>
      </c>
      <c r="CG244" s="1494">
        <v>3970935.5865789396</v>
      </c>
      <c r="CH244" s="1494">
        <v>4352964.9425578527</v>
      </c>
      <c r="CI244" s="1494">
        <v>4076790.91347</v>
      </c>
      <c r="CJ244" s="1494">
        <v>4113593</v>
      </c>
      <c r="CK244" s="1494">
        <v>4063020.7522700001</v>
      </c>
      <c r="CL244" s="368">
        <f t="shared" ref="CL244:CP244" si="1301">+CL240-CL245</f>
        <v>4587322.2212141659</v>
      </c>
      <c r="CM244" s="368">
        <f t="shared" si="1301"/>
        <v>4620721.4046259336</v>
      </c>
      <c r="CN244" s="368">
        <f t="shared" si="1301"/>
        <v>4923952.6693963874</v>
      </c>
      <c r="CO244" s="368">
        <f t="shared" si="1301"/>
        <v>4824599.9295360306</v>
      </c>
      <c r="CP244" s="368">
        <f t="shared" si="1301"/>
        <v>4878376.3879954815</v>
      </c>
      <c r="CQ244" s="745"/>
      <c r="CR244" s="745"/>
      <c r="CS244" s="368">
        <v>4310278.0093371812</v>
      </c>
      <c r="CT244" s="1134"/>
      <c r="CU244" s="1489"/>
      <c r="CV244" s="1489"/>
      <c r="CW244" s="1489"/>
      <c r="CX244" s="1489"/>
      <c r="CY244" s="1489"/>
      <c r="CZ244" s="1489"/>
      <c r="DA244" s="1489"/>
      <c r="DB244" s="1489"/>
      <c r="DC244" s="1489"/>
      <c r="DD244" s="1489"/>
      <c r="DE244" s="1495"/>
      <c r="DF244" s="1489">
        <f>+AX244</f>
        <v>374417</v>
      </c>
      <c r="DG244" s="1489">
        <f>+BB244</f>
        <v>433712</v>
      </c>
      <c r="DH244" s="1489">
        <f>+BF244</f>
        <v>841339.56510000024</v>
      </c>
      <c r="DI244" s="1489">
        <f>+BJ244</f>
        <v>1089398</v>
      </c>
      <c r="DJ244" s="1496">
        <f>+BN244</f>
        <v>1713197.3375818464</v>
      </c>
      <c r="DK244" s="1496">
        <f>+BR244</f>
        <v>2030498.7735400007</v>
      </c>
      <c r="DL244" s="1496">
        <f>+BV244</f>
        <v>3103516</v>
      </c>
      <c r="DM244" s="1496">
        <f>+BZ244</f>
        <v>4032633</v>
      </c>
      <c r="DN244" s="1496">
        <f>+CD244</f>
        <v>4026247</v>
      </c>
      <c r="DO244" s="1496">
        <f>+CH244</f>
        <v>4352964.9425578527</v>
      </c>
      <c r="DP244" s="1496">
        <f>+CL244</f>
        <v>4587322.2212141659</v>
      </c>
      <c r="DQ244" s="1496">
        <f>+CP244</f>
        <v>4878376.3879954815</v>
      </c>
      <c r="DR244" s="1497">
        <f>+DR240-DR245</f>
        <v>4877195.6457430497</v>
      </c>
      <c r="DS244" s="1497">
        <f t="shared" ref="DS244:DU244" si="1302">+DS240-DS245</f>
        <v>4899424.708418848</v>
      </c>
      <c r="DT244" s="1497">
        <f t="shared" si="1302"/>
        <v>4922061.9541015252</v>
      </c>
      <c r="DU244" s="1497">
        <f t="shared" si="1302"/>
        <v>4944735.0471860282</v>
      </c>
      <c r="DV244" s="1489"/>
      <c r="DW244" s="1489"/>
      <c r="DY244" s="1497">
        <v>4434439.6566239474</v>
      </c>
      <c r="DZ244" s="1497">
        <v>4498579.6891979249</v>
      </c>
    </row>
    <row r="245" spans="1:130" s="883" customFormat="1" ht="14.25" customHeight="1">
      <c r="A245" s="1489" t="s">
        <v>687</v>
      </c>
      <c r="B245" s="1489"/>
      <c r="C245" s="1490"/>
      <c r="D245" s="1490"/>
      <c r="E245" s="1490"/>
      <c r="F245" s="1490"/>
      <c r="G245" s="1489"/>
      <c r="H245" s="1489"/>
      <c r="I245" s="1489"/>
      <c r="J245" s="1489"/>
      <c r="K245" s="1489"/>
      <c r="L245" s="1489"/>
      <c r="M245" s="1489"/>
      <c r="N245" s="1489"/>
      <c r="O245" s="1489"/>
      <c r="P245" s="1489"/>
      <c r="Q245" s="1489"/>
      <c r="R245" s="1489"/>
      <c r="S245" s="1489"/>
      <c r="T245" s="1489"/>
      <c r="U245" s="1489"/>
      <c r="V245" s="1489"/>
      <c r="W245" s="1489"/>
      <c r="X245" s="1489"/>
      <c r="Y245" s="1489"/>
      <c r="Z245" s="1489"/>
      <c r="AA245" s="1489"/>
      <c r="AB245" s="1489"/>
      <c r="AC245" s="1489"/>
      <c r="AD245" s="1489"/>
      <c r="AE245" s="1489"/>
      <c r="AF245" s="1489"/>
      <c r="AG245" s="1489"/>
      <c r="AH245" s="1491">
        <v>4807</v>
      </c>
      <c r="AI245" s="1491"/>
      <c r="AJ245" s="1491">
        <v>12335</v>
      </c>
      <c r="AK245" s="1491">
        <v>19260</v>
      </c>
      <c r="AL245" s="1491">
        <v>20308</v>
      </c>
      <c r="AM245" s="1491">
        <v>19833</v>
      </c>
      <c r="AN245" s="1491">
        <v>18196</v>
      </c>
      <c r="AO245" s="1491">
        <v>22109</v>
      </c>
      <c r="AP245" s="1491">
        <v>25790</v>
      </c>
      <c r="AQ245" s="1492">
        <v>38910</v>
      </c>
      <c r="AR245" s="1492">
        <v>54076</v>
      </c>
      <c r="AS245" s="1492">
        <v>61490</v>
      </c>
      <c r="AT245" s="1492">
        <v>56988</v>
      </c>
      <c r="AU245" s="1492">
        <v>80355</v>
      </c>
      <c r="AV245" s="1492">
        <v>92721</v>
      </c>
      <c r="AW245" s="1492">
        <v>92727</v>
      </c>
      <c r="AX245" s="1492">
        <v>80808</v>
      </c>
      <c r="AY245" s="1492">
        <v>105141</v>
      </c>
      <c r="AZ245" s="1492">
        <v>115647</v>
      </c>
      <c r="BA245" s="1492">
        <v>114064</v>
      </c>
      <c r="BB245" s="1492">
        <v>95752</v>
      </c>
      <c r="BC245" s="1493">
        <v>115091</v>
      </c>
      <c r="BD245" s="1492">
        <v>219443</v>
      </c>
      <c r="BE245" s="1492">
        <v>181551.08537999997</v>
      </c>
      <c r="BF245" s="1492">
        <v>229793.03489999962</v>
      </c>
      <c r="BG245" s="1492">
        <v>249187.7579080906</v>
      </c>
      <c r="BH245" s="1492">
        <v>266341.12306000001</v>
      </c>
      <c r="BI245" s="1492">
        <v>353239</v>
      </c>
      <c r="BJ245" s="1492">
        <v>368028</v>
      </c>
      <c r="BK245" s="1492">
        <v>297665.38063999999</v>
      </c>
      <c r="BL245" s="1492">
        <v>334910.58155</v>
      </c>
      <c r="BM245" s="1498">
        <v>355019.70194</v>
      </c>
      <c r="BN245" s="1498">
        <v>365180.27952999994</v>
      </c>
      <c r="BO245" s="1498">
        <v>432296.19919000013</v>
      </c>
      <c r="BP245" s="1498">
        <v>482065.04661000019</v>
      </c>
      <c r="BQ245" s="1498">
        <v>381558.77735000046</v>
      </c>
      <c r="BR245" s="1498">
        <v>325417.65184999979</v>
      </c>
      <c r="BS245" s="1498">
        <v>330639</v>
      </c>
      <c r="BT245" s="1498">
        <v>380232</v>
      </c>
      <c r="BU245" s="1498">
        <v>484926</v>
      </c>
      <c r="BV245" s="1498">
        <v>590228</v>
      </c>
      <c r="BW245" s="1498">
        <v>830406</v>
      </c>
      <c r="BX245" s="1498">
        <v>1044886</v>
      </c>
      <c r="BY245" s="1498">
        <v>1235245</v>
      </c>
      <c r="BZ245" s="1498">
        <v>1353299</v>
      </c>
      <c r="CA245" s="1498">
        <v>1464743</v>
      </c>
      <c r="CB245" s="1498">
        <v>1518266</v>
      </c>
      <c r="CC245" s="1498">
        <v>1470048</v>
      </c>
      <c r="CD245" s="1498">
        <v>1361600</v>
      </c>
      <c r="CE245" s="1498">
        <v>1297881</v>
      </c>
      <c r="CF245" s="1498">
        <v>1206101.5930800254</v>
      </c>
      <c r="CG245" s="1498">
        <v>1122582.2672900239</v>
      </c>
      <c r="CH245" s="1498">
        <v>1057357.5966099906</v>
      </c>
      <c r="CI245" s="1498">
        <v>1342492.0101700036</v>
      </c>
      <c r="CJ245" s="1498">
        <v>1646644</v>
      </c>
      <c r="CK245" s="1498">
        <v>1643867.60622</v>
      </c>
      <c r="CL245" s="1499">
        <f t="shared" ref="CL245:CP245" si="1303">+CL248+CL251</f>
        <v>1147619.6703037485</v>
      </c>
      <c r="CM245" s="1499">
        <f t="shared" si="1303"/>
        <v>1123718.4944324703</v>
      </c>
      <c r="CN245" s="1499">
        <f t="shared" si="1303"/>
        <v>1181898.5506036128</v>
      </c>
      <c r="CO245" s="1499">
        <f t="shared" si="1303"/>
        <v>1224701.7304633691</v>
      </c>
      <c r="CP245" s="1499">
        <f t="shared" si="1303"/>
        <v>1200662.0170135084</v>
      </c>
      <c r="CQ245" s="745"/>
      <c r="CR245" s="745"/>
      <c r="CS245" s="1499">
        <v>1144068.8784950166</v>
      </c>
      <c r="CT245" s="1134"/>
      <c r="CU245" s="1489"/>
      <c r="CV245" s="1489"/>
      <c r="CW245" s="1489"/>
      <c r="CX245" s="1489"/>
      <c r="CY245" s="1489"/>
      <c r="CZ245" s="1489"/>
      <c r="DA245" s="1489"/>
      <c r="DB245" s="1489"/>
      <c r="DC245" s="1489"/>
      <c r="DD245" s="1489"/>
      <c r="DE245" s="1495"/>
      <c r="DF245" s="1489">
        <f>+AX245</f>
        <v>80808</v>
      </c>
      <c r="DG245" s="1489">
        <f>+BB245</f>
        <v>95752</v>
      </c>
      <c r="DH245" s="1489">
        <f>+BF245</f>
        <v>229793.03489999962</v>
      </c>
      <c r="DI245" s="1489">
        <f>+BJ245</f>
        <v>368028</v>
      </c>
      <c r="DJ245" s="1489">
        <f>+BN245</f>
        <v>365180.27952999994</v>
      </c>
      <c r="DK245" s="1489">
        <f>+BR245</f>
        <v>325417.65184999979</v>
      </c>
      <c r="DL245" s="1489">
        <f>+BV245</f>
        <v>590228</v>
      </c>
      <c r="DM245" s="1489">
        <f>+BZ245</f>
        <v>1353299</v>
      </c>
      <c r="DN245" s="1489">
        <f>+CD245</f>
        <v>1361600</v>
      </c>
      <c r="DO245" s="1489">
        <f>+CH245</f>
        <v>1057357.5966099906</v>
      </c>
      <c r="DP245" s="1489">
        <f>+CL245</f>
        <v>1147619.6703037485</v>
      </c>
      <c r="DQ245" s="1489">
        <f>+CP245</f>
        <v>1200662.0170135084</v>
      </c>
      <c r="DR245" s="1499">
        <f>+DR248+DR251</f>
        <v>1201842.7592659402</v>
      </c>
      <c r="DS245" s="1499">
        <f t="shared" ref="DS245:DU245" si="1304">+DS248+DS251</f>
        <v>1179613.6965901423</v>
      </c>
      <c r="DT245" s="1499">
        <f t="shared" si="1304"/>
        <v>1156976.4509074646</v>
      </c>
      <c r="DU245" s="1499">
        <f t="shared" si="1304"/>
        <v>1134303.3578229621</v>
      </c>
      <c r="DV245" s="1489"/>
      <c r="DW245" s="1489"/>
      <c r="DY245" s="1499">
        <v>1200274.1296545528</v>
      </c>
      <c r="DZ245" s="1499">
        <v>1136134.0970805753</v>
      </c>
    </row>
    <row r="246" spans="1:130" s="883" customFormat="1" ht="14.25" customHeight="1">
      <c r="A246" s="1489"/>
      <c r="B246" s="1489"/>
      <c r="C246" s="1490"/>
      <c r="D246" s="1490"/>
      <c r="E246" s="1490"/>
      <c r="F246" s="1490"/>
      <c r="G246" s="1489"/>
      <c r="H246" s="1489"/>
      <c r="I246" s="1489"/>
      <c r="J246" s="1489"/>
      <c r="K246" s="1489"/>
      <c r="L246" s="1489"/>
      <c r="M246" s="1489"/>
      <c r="N246" s="1489"/>
      <c r="O246" s="1489"/>
      <c r="P246" s="1489"/>
      <c r="Q246" s="1489"/>
      <c r="R246" s="1489"/>
      <c r="S246" s="1489"/>
      <c r="T246" s="1489"/>
      <c r="U246" s="1489"/>
      <c r="V246" s="1489"/>
      <c r="W246" s="1489"/>
      <c r="X246" s="1489"/>
      <c r="Y246" s="1489"/>
      <c r="Z246" s="1489"/>
      <c r="AA246" s="1489"/>
      <c r="AB246" s="1489"/>
      <c r="AC246" s="1489"/>
      <c r="AD246" s="1489"/>
      <c r="AE246" s="1489"/>
      <c r="AF246" s="1489"/>
      <c r="AG246" s="1489"/>
      <c r="AH246" s="1491"/>
      <c r="AI246" s="1491"/>
      <c r="AJ246" s="1491"/>
      <c r="AK246" s="1491"/>
      <c r="AL246" s="1491"/>
      <c r="AM246" s="1491"/>
      <c r="AN246" s="1491"/>
      <c r="AO246" s="1491"/>
      <c r="AP246" s="1491"/>
      <c r="AQ246" s="1491"/>
      <c r="AR246" s="1500">
        <f t="shared" ref="AR246:CD246" si="1305">+AR245/AQ240</f>
        <v>0.26005328408883244</v>
      </c>
      <c r="AS246" s="1500">
        <f t="shared" si="1305"/>
        <v>0.24825085892617071</v>
      </c>
      <c r="AT246" s="1500">
        <f t="shared" si="1305"/>
        <v>0.19999298122477627</v>
      </c>
      <c r="AU246" s="1500">
        <f t="shared" si="1305"/>
        <v>0.23773316962766822</v>
      </c>
      <c r="AV246" s="1500">
        <f t="shared" si="1305"/>
        <v>0.26629120547740626</v>
      </c>
      <c r="AW246" s="1500">
        <f t="shared" si="1305"/>
        <v>0.23800381413900817</v>
      </c>
      <c r="AX246" s="1500">
        <f t="shared" si="1305"/>
        <v>0.19792541791684526</v>
      </c>
      <c r="AY246" s="1500">
        <f t="shared" si="1305"/>
        <v>0.23096490746334231</v>
      </c>
      <c r="AZ246" s="1500">
        <f t="shared" si="1305"/>
        <v>0.25843309280815568</v>
      </c>
      <c r="BA246" s="1500">
        <f t="shared" si="1305"/>
        <v>0.23826921429899378</v>
      </c>
      <c r="BB246" s="1500">
        <f t="shared" si="1305"/>
        <v>0.19459257332379529</v>
      </c>
      <c r="BC246" s="1500">
        <f t="shared" si="1305"/>
        <v>0.21737266367496186</v>
      </c>
      <c r="BD246" s="1500">
        <f t="shared" si="1305"/>
        <v>0.38242413574965017</v>
      </c>
      <c r="BE246" s="1500">
        <f t="shared" si="1305"/>
        <v>0.21805868918144702</v>
      </c>
      <c r="BF246" s="1500">
        <f t="shared" si="1305"/>
        <v>0.25873803700916087</v>
      </c>
      <c r="BG246" s="1500">
        <f t="shared" si="1305"/>
        <v>0.23263950505109324</v>
      </c>
      <c r="BH246" s="1500">
        <f t="shared" si="1305"/>
        <v>0.24860235091295688</v>
      </c>
      <c r="BI246" s="1500">
        <f t="shared" si="1305"/>
        <v>0.30574378713229983</v>
      </c>
      <c r="BJ246" s="1500">
        <f t="shared" si="1305"/>
        <v>0.30417749390038284</v>
      </c>
      <c r="BK246" s="1500">
        <f t="shared" si="1305"/>
        <v>0.20424047645643759</v>
      </c>
      <c r="BL246" s="1500">
        <f t="shared" si="1305"/>
        <v>0.23000601040811208</v>
      </c>
      <c r="BM246" s="1500">
        <f t="shared" si="1305"/>
        <v>0.22226732122183185</v>
      </c>
      <c r="BN246" s="1500">
        <f t="shared" si="1305"/>
        <v>0.20598628774973932</v>
      </c>
      <c r="BO246" s="1500">
        <f t="shared" si="1305"/>
        <v>0.20799694705658314</v>
      </c>
      <c r="BP246" s="1500">
        <f t="shared" si="1305"/>
        <v>0.23173183258752517</v>
      </c>
      <c r="BQ246" s="1500">
        <f t="shared" si="1305"/>
        <v>0.20443450754285578</v>
      </c>
      <c r="BR246" s="1500">
        <f t="shared" si="1305"/>
        <v>0.16201258479988057</v>
      </c>
      <c r="BS246" s="1500">
        <f t="shared" si="1305"/>
        <v>0.14034411256556595</v>
      </c>
      <c r="BT246" s="1500">
        <f t="shared" si="1305"/>
        <v>0.17277971531461939</v>
      </c>
      <c r="BU246" s="1500">
        <f t="shared" si="1305"/>
        <v>0.1919080030725796</v>
      </c>
      <c r="BV246" s="1500">
        <f t="shared" si="1305"/>
        <v>0.2083364512899869</v>
      </c>
      <c r="BW246" s="1500">
        <f t="shared" si="1305"/>
        <v>0.22481417228698036</v>
      </c>
      <c r="BX246" s="1500">
        <f t="shared" si="1305"/>
        <v>0.26257527246099077</v>
      </c>
      <c r="BY246" s="1500">
        <f t="shared" si="1305"/>
        <v>0.27498567464093104</v>
      </c>
      <c r="BZ246" s="1500">
        <f t="shared" si="1305"/>
        <v>0.28436398280492825</v>
      </c>
      <c r="CA246" s="1500">
        <f t="shared" si="1305"/>
        <v>0.27195720257886657</v>
      </c>
      <c r="CB246" s="1500">
        <f t="shared" si="1305"/>
        <v>0.28367705867592363</v>
      </c>
      <c r="CC246" s="1500">
        <f t="shared" si="1305"/>
        <v>0.27130205230532778</v>
      </c>
      <c r="CD246" s="1500">
        <f t="shared" si="1305"/>
        <v>0.26599984371337032</v>
      </c>
      <c r="CE246" s="1500">
        <f t="shared" ref="CE246" si="1306">+CE245/CD240</f>
        <v>0.24089047072049374</v>
      </c>
      <c r="CF246" s="1500">
        <f t="shared" ref="CF246" si="1307">+CF245/CE240</f>
        <v>0.23733934563616255</v>
      </c>
      <c r="CG246" s="1500">
        <f t="shared" ref="CG246" si="1308">+CG245/CF240</f>
        <v>0.21816309593032865</v>
      </c>
      <c r="CH246" s="1500">
        <f t="shared" ref="CH246" si="1309">+CH245/CG240</f>
        <v>0.20758886626986825</v>
      </c>
      <c r="CI246" s="1500">
        <f t="shared" ref="CI246" si="1310">+CI245/CH240</f>
        <v>0.2481353007054716</v>
      </c>
      <c r="CJ246" s="1500">
        <f t="shared" ref="CJ246" si="1311">+CJ245/CI240</f>
        <v>0.30384905589944516</v>
      </c>
      <c r="CK246" s="1500">
        <f t="shared" ref="CK246" si="1312">+CK245/CJ240</f>
        <v>0.28538193935770351</v>
      </c>
      <c r="CL246" s="1500">
        <f t="shared" ref="CL246" si="1313">+CL245/CK240</f>
        <v>0.2010937656764325</v>
      </c>
      <c r="CM246" s="1500">
        <f t="shared" ref="CM246" si="1314">+CM245/CL240</f>
        <v>0.19594243772451658</v>
      </c>
      <c r="CN246" s="1500">
        <f t="shared" ref="CN246" si="1315">+CN245/CM240</f>
        <v>0.20574652557464182</v>
      </c>
      <c r="CO246" s="1500">
        <f t="shared" ref="CO246" si="1316">+CO245/CN240</f>
        <v>0.20057837741800871</v>
      </c>
      <c r="CP246" s="1500">
        <f t="shared" ref="CP246" si="1317">+CP245/CO240</f>
        <v>0.19847944184248659</v>
      </c>
      <c r="CQ246" s="1500"/>
      <c r="CR246" s="1501"/>
      <c r="CS246" s="1500">
        <v>0.21111074926617279</v>
      </c>
      <c r="CT246" s="1134"/>
      <c r="CU246" s="1489"/>
      <c r="CV246" s="1489"/>
      <c r="CW246" s="1489"/>
      <c r="CX246" s="1489"/>
      <c r="CY246" s="1489"/>
      <c r="CZ246" s="1489"/>
      <c r="DA246" s="1489"/>
      <c r="DB246" s="1489"/>
      <c r="DC246" s="1489"/>
      <c r="DD246" s="1489"/>
      <c r="DE246" s="1495"/>
      <c r="DF246" s="1500">
        <f t="shared" ref="DF246:DR246" si="1318">+DF245/DE240</f>
        <v>0.23907338648836557</v>
      </c>
      <c r="DG246" s="1500">
        <f t="shared" si="1318"/>
        <v>0.21033994178702839</v>
      </c>
      <c r="DH246" s="1500">
        <f t="shared" si="1318"/>
        <v>0.43401068797878539</v>
      </c>
      <c r="DI246" s="1500">
        <f t="shared" si="1318"/>
        <v>0.34358771266974791</v>
      </c>
      <c r="DJ246" s="1500">
        <f t="shared" si="1318"/>
        <v>0.25056522906137252</v>
      </c>
      <c r="DK246" s="1500">
        <f t="shared" si="1318"/>
        <v>0.15657291974795534</v>
      </c>
      <c r="DL246" s="1500">
        <f t="shared" si="1318"/>
        <v>0.25053010948904658</v>
      </c>
      <c r="DM246" s="1500">
        <f t="shared" si="1318"/>
        <v>0.36637595891864733</v>
      </c>
      <c r="DN246" s="1500">
        <f t="shared" si="1318"/>
        <v>0.25280675656506618</v>
      </c>
      <c r="DO246" s="1500">
        <f t="shared" si="1318"/>
        <v>0.19624863078145882</v>
      </c>
      <c r="DP246" s="1500">
        <f t="shared" si="1318"/>
        <v>0.21211668287714741</v>
      </c>
      <c r="DQ246" s="1500">
        <f t="shared" si="1318"/>
        <v>0.20935905537060623</v>
      </c>
      <c r="DR246" s="1500">
        <f t="shared" si="1318"/>
        <v>0.19770277454994345</v>
      </c>
      <c r="DS246" s="1500">
        <f t="shared" ref="DS246" si="1319">+DS245/DR240</f>
        <v>0.19404610038623335</v>
      </c>
      <c r="DT246" s="1500">
        <f t="shared" ref="DT246" si="1320">+DT245/DS240</f>
        <v>0.19032228023993764</v>
      </c>
      <c r="DU246" s="1500">
        <f t="shared" ref="DU246" si="1321">+DU245/DT240</f>
        <v>0.1865925632067601</v>
      </c>
      <c r="DV246" s="1489"/>
      <c r="DW246" s="1489"/>
      <c r="DY246" s="1500">
        <v>0.21301421424055775</v>
      </c>
      <c r="DZ246" s="1500">
        <v>0.20163119905881605</v>
      </c>
    </row>
    <row r="247" spans="1:130" s="883" customFormat="1" ht="14.25" customHeight="1">
      <c r="A247" s="1489"/>
      <c r="B247" s="1489"/>
      <c r="C247" s="1490"/>
      <c r="D247" s="1490"/>
      <c r="E247" s="1490"/>
      <c r="F247" s="1490"/>
      <c r="G247" s="1489"/>
      <c r="H247" s="1489"/>
      <c r="I247" s="1489"/>
      <c r="J247" s="1489"/>
      <c r="K247" s="1489"/>
      <c r="L247" s="1489"/>
      <c r="M247" s="1489"/>
      <c r="N247" s="1489"/>
      <c r="O247" s="1489"/>
      <c r="P247" s="1489"/>
      <c r="Q247" s="1489"/>
      <c r="R247" s="1489"/>
      <c r="S247" s="1489"/>
      <c r="T247" s="1489"/>
      <c r="U247" s="1489"/>
      <c r="V247" s="1489"/>
      <c r="W247" s="1489"/>
      <c r="X247" s="1489"/>
      <c r="Y247" s="1489"/>
      <c r="Z247" s="1489"/>
      <c r="AA247" s="1489"/>
      <c r="AB247" s="1489"/>
      <c r="AC247" s="1489"/>
      <c r="AD247" s="1489"/>
      <c r="AE247" s="1489"/>
      <c r="AF247" s="1489"/>
      <c r="AG247" s="1489"/>
      <c r="AH247" s="1491"/>
      <c r="AI247" s="1491"/>
      <c r="AJ247" s="1491"/>
      <c r="AK247" s="1491"/>
      <c r="AL247" s="1491"/>
      <c r="AM247" s="1491"/>
      <c r="AN247" s="1491"/>
      <c r="AO247" s="1491"/>
      <c r="AP247" s="1491"/>
      <c r="AQ247" s="1491"/>
      <c r="AR247" s="1500"/>
      <c r="AS247" s="1500"/>
      <c r="AT247" s="1500"/>
      <c r="AU247" s="1500"/>
      <c r="AV247" s="1500"/>
      <c r="AW247" s="1500"/>
      <c r="AX247" s="1500"/>
      <c r="AY247" s="1500"/>
      <c r="AZ247" s="1500"/>
      <c r="BA247" s="1500"/>
      <c r="BB247" s="1500"/>
      <c r="BC247" s="1500"/>
      <c r="BD247" s="1500"/>
      <c r="BE247" s="1500"/>
      <c r="BF247" s="1500"/>
      <c r="BG247" s="1500"/>
      <c r="BH247" s="1500"/>
      <c r="BI247" s="1500"/>
      <c r="BJ247" s="1500"/>
      <c r="BK247" s="1500"/>
      <c r="BL247" s="1500"/>
      <c r="BM247" s="1500"/>
      <c r="BN247" s="1500"/>
      <c r="BO247" s="1500"/>
      <c r="BP247" s="1500"/>
      <c r="BQ247" s="1500"/>
      <c r="BR247" s="1500"/>
      <c r="BS247" s="1500"/>
      <c r="BT247" s="1500"/>
      <c r="BU247" s="1500"/>
      <c r="BV247" s="1500"/>
      <c r="BW247" s="1500"/>
      <c r="BX247" s="1500"/>
      <c r="BY247" s="1500"/>
      <c r="BZ247" s="1500"/>
      <c r="CA247" s="1500"/>
      <c r="CB247" s="1500"/>
      <c r="CC247" s="1500"/>
      <c r="CD247" s="1500"/>
      <c r="CE247" s="1500"/>
      <c r="CF247" s="1500"/>
      <c r="CG247" s="1500"/>
      <c r="CH247" s="1500"/>
      <c r="CI247" s="1500"/>
      <c r="CJ247" s="1500"/>
      <c r="CK247" s="1500"/>
      <c r="CL247" s="1500"/>
      <c r="CM247" s="1500"/>
      <c r="CN247" s="1500"/>
      <c r="CO247" s="1500"/>
      <c r="CP247" s="1500"/>
      <c r="CQ247" s="1500"/>
      <c r="CR247" s="1501"/>
      <c r="CS247" s="1500"/>
      <c r="CT247" s="1134"/>
      <c r="CU247" s="1489"/>
      <c r="CV247" s="1489"/>
      <c r="CW247" s="1489"/>
      <c r="CX247" s="1489"/>
      <c r="CY247" s="1489"/>
      <c r="CZ247" s="1489"/>
      <c r="DA247" s="1489"/>
      <c r="DB247" s="1489"/>
      <c r="DC247" s="1489"/>
      <c r="DD247" s="1489"/>
      <c r="DE247" s="1495"/>
      <c r="DF247" s="1500"/>
      <c r="DG247" s="1500"/>
      <c r="DH247" s="1500"/>
      <c r="DI247" s="1500"/>
      <c r="DJ247" s="1500"/>
      <c r="DK247" s="1500"/>
      <c r="DL247" s="1500"/>
      <c r="DM247" s="1500"/>
      <c r="DN247" s="1500"/>
      <c r="DO247" s="1500"/>
      <c r="DP247" s="1500"/>
      <c r="DQ247" s="1500"/>
      <c r="DR247" s="1500"/>
      <c r="DS247" s="1500"/>
      <c r="DT247" s="1500"/>
      <c r="DU247" s="1500"/>
      <c r="DV247" s="1489"/>
      <c r="DW247" s="1489"/>
      <c r="DY247" s="1500"/>
      <c r="DZ247" s="1500"/>
    </row>
    <row r="248" spans="1:130" s="1510" customFormat="1" ht="14.25" customHeight="1">
      <c r="A248" s="1502" t="s">
        <v>688</v>
      </c>
      <c r="B248" s="1502"/>
      <c r="C248" s="1503"/>
      <c r="D248" s="1503"/>
      <c r="E248" s="1503"/>
      <c r="F248" s="1503"/>
      <c r="G248" s="1502"/>
      <c r="H248" s="1502"/>
      <c r="I248" s="1502"/>
      <c r="J248" s="1502"/>
      <c r="K248" s="1502"/>
      <c r="L248" s="1502"/>
      <c r="M248" s="1502"/>
      <c r="N248" s="1502"/>
      <c r="O248" s="1502"/>
      <c r="P248" s="1502"/>
      <c r="Q248" s="1502"/>
      <c r="R248" s="1502"/>
      <c r="S248" s="1502"/>
      <c r="T248" s="1502"/>
      <c r="U248" s="1502"/>
      <c r="V248" s="1502"/>
      <c r="W248" s="1502"/>
      <c r="X248" s="1502"/>
      <c r="Y248" s="1502"/>
      <c r="Z248" s="1502"/>
      <c r="AA248" s="1502"/>
      <c r="AB248" s="1502"/>
      <c r="AC248" s="1502"/>
      <c r="AD248" s="1502"/>
      <c r="AE248" s="1502"/>
      <c r="AF248" s="1502"/>
      <c r="AG248" s="1502"/>
      <c r="AH248" s="1504"/>
      <c r="AI248" s="1504"/>
      <c r="AJ248" s="1504"/>
      <c r="AK248" s="1504"/>
      <c r="AL248" s="1504"/>
      <c r="AM248" s="1504"/>
      <c r="AN248" s="1504"/>
      <c r="AO248" s="1504"/>
      <c r="AP248" s="1504"/>
      <c r="AQ248" s="1504"/>
      <c r="AR248" s="1502"/>
      <c r="AS248" s="1502"/>
      <c r="AT248" s="1502"/>
      <c r="AU248" s="1505">
        <v>63564.429465599998</v>
      </c>
      <c r="AV248" s="1505">
        <v>66758.732398300053</v>
      </c>
      <c r="AW248" s="1505">
        <v>67162.772229999988</v>
      </c>
      <c r="AX248" s="1505">
        <v>54252.254781799988</v>
      </c>
      <c r="AY248" s="1505">
        <v>79886.16372390007</v>
      </c>
      <c r="AZ248" s="1505">
        <v>80770.059136000142</v>
      </c>
      <c r="BA248" s="1505">
        <v>81010.722194400034</v>
      </c>
      <c r="BB248" s="1505">
        <v>63229.284709299929</v>
      </c>
      <c r="BC248" s="1505">
        <v>89037.018169600036</v>
      </c>
      <c r="BD248" s="1505">
        <v>186962.45896000005</v>
      </c>
      <c r="BE248" s="1505">
        <v>86544.897899999996</v>
      </c>
      <c r="BF248" s="1505">
        <v>84010</v>
      </c>
      <c r="BG248" s="1505">
        <v>100742.94423000001</v>
      </c>
      <c r="BH248" s="1505">
        <v>105863.26884</v>
      </c>
      <c r="BI248" s="1505">
        <v>107497.31062</v>
      </c>
      <c r="BJ248" s="1505">
        <v>93041.759049999993</v>
      </c>
      <c r="BK248" s="1505">
        <v>129846.68956000001</v>
      </c>
      <c r="BL248" s="1505">
        <v>147182.79808000001</v>
      </c>
      <c r="BM248" s="1505">
        <v>144752.36992</v>
      </c>
      <c r="BN248" s="1505">
        <v>133154.67878999998</v>
      </c>
      <c r="BO248" s="1505">
        <v>181356.23506000009</v>
      </c>
      <c r="BP248" s="1505">
        <v>144763.82067000004</v>
      </c>
      <c r="BQ248" s="1505">
        <v>79670.279550000298</v>
      </c>
      <c r="BR248" s="1505">
        <v>84689.074249999772</v>
      </c>
      <c r="BS248" s="1502">
        <f t="shared" ref="BS248:CH248" si="1322">+BS245-BS251-BS254</f>
        <v>160761</v>
      </c>
      <c r="BT248" s="1502">
        <f t="shared" si="1322"/>
        <v>150255</v>
      </c>
      <c r="BU248" s="1502">
        <f t="shared" si="1322"/>
        <v>207244</v>
      </c>
      <c r="BV248" s="1502">
        <f t="shared" si="1322"/>
        <v>234825</v>
      </c>
      <c r="BW248" s="1502">
        <f t="shared" si="1322"/>
        <v>372506</v>
      </c>
      <c r="BX248" s="1502">
        <f t="shared" si="1322"/>
        <v>393231</v>
      </c>
      <c r="BY248" s="1502">
        <f t="shared" si="1322"/>
        <v>416874</v>
      </c>
      <c r="BZ248" s="1502">
        <f t="shared" si="1322"/>
        <v>392496</v>
      </c>
      <c r="CA248" s="1502">
        <f t="shared" si="1322"/>
        <v>457122</v>
      </c>
      <c r="CB248" s="1502">
        <f t="shared" si="1322"/>
        <v>415027</v>
      </c>
      <c r="CC248" s="1502">
        <f t="shared" si="1322"/>
        <v>367517</v>
      </c>
      <c r="CD248" s="1502">
        <f t="shared" si="1322"/>
        <v>303734</v>
      </c>
      <c r="CE248" s="1502">
        <f t="shared" si="1322"/>
        <v>352879</v>
      </c>
      <c r="CF248" s="1502">
        <f t="shared" si="1322"/>
        <v>311224.82565001061</v>
      </c>
      <c r="CG248" s="1502">
        <f t="shared" si="1322"/>
        <v>303269.9576200092</v>
      </c>
      <c r="CH248" s="1502">
        <f t="shared" si="1322"/>
        <v>286153.95222999156</v>
      </c>
      <c r="CI248" s="1502">
        <f>+CI245-CI251-CI254</f>
        <v>330751.01017000369</v>
      </c>
      <c r="CJ248" s="1502">
        <f>+CJ245-CJ251-CJ254</f>
        <v>316597</v>
      </c>
      <c r="CK248" s="1502">
        <f>+CK245-CK251-CK254</f>
        <v>296378.12573999987</v>
      </c>
      <c r="CL248" s="1506">
        <f t="shared" ref="CL248" si="1323">+CK240*CL249</f>
        <v>294999.28231697908</v>
      </c>
      <c r="CM248" s="1506">
        <f t="shared" ref="CM248" si="1324">+CL240*CM249</f>
        <v>296449.41969304654</v>
      </c>
      <c r="CN248" s="1506">
        <f t="shared" ref="CN248" si="1325">+CM240*CN249</f>
        <v>296940.38871712377</v>
      </c>
      <c r="CO248" s="1506">
        <f t="shared" ref="CO248" si="1326">+CN240*CO249</f>
        <v>315622.38731280196</v>
      </c>
      <c r="CP248" s="1506">
        <f t="shared" ref="CP248" si="1327">+CO240*CP249</f>
        <v>312699.23925599782</v>
      </c>
      <c r="CQ248" s="1502"/>
      <c r="CR248" s="1507"/>
      <c r="CS248" s="1506">
        <v>331024.51749812241</v>
      </c>
      <c r="CT248" s="1508"/>
      <c r="CU248" s="1502"/>
      <c r="CV248" s="1502"/>
      <c r="CW248" s="1502"/>
      <c r="CX248" s="1502"/>
      <c r="CY248" s="1502"/>
      <c r="CZ248" s="1502"/>
      <c r="DA248" s="1502"/>
      <c r="DB248" s="1502"/>
      <c r="DC248" s="1502"/>
      <c r="DD248" s="1502"/>
      <c r="DE248" s="1509"/>
      <c r="DF248" s="1489">
        <f>+AX248</f>
        <v>54252.254781799988</v>
      </c>
      <c r="DG248" s="1489">
        <f>+BB248</f>
        <v>63229.284709299929</v>
      </c>
      <c r="DH248" s="1489">
        <f>+BF248</f>
        <v>84010</v>
      </c>
      <c r="DI248" s="1489">
        <f>+BJ248</f>
        <v>93041.759049999993</v>
      </c>
      <c r="DJ248" s="1496">
        <f>+BN248</f>
        <v>133154.67878999998</v>
      </c>
      <c r="DK248" s="1496">
        <f>+BR248</f>
        <v>84689.074249999772</v>
      </c>
      <c r="DL248" s="1496">
        <f>+BV248</f>
        <v>234825</v>
      </c>
      <c r="DM248" s="1496">
        <f>+BZ248</f>
        <v>392496</v>
      </c>
      <c r="DN248" s="1496">
        <f>+CD248</f>
        <v>303734</v>
      </c>
      <c r="DO248" s="1496">
        <f>+CH248</f>
        <v>286153.95222999156</v>
      </c>
      <c r="DP248" s="1496">
        <f>+CL248</f>
        <v>294999.28231697908</v>
      </c>
      <c r="DQ248" s="1496">
        <f>+CP248</f>
        <v>312699.23925599782</v>
      </c>
      <c r="DR248" s="1506">
        <f>+DQ240*DR249</f>
        <v>331461.19361135771</v>
      </c>
      <c r="DS248" s="1506">
        <f t="shared" ref="DS248:DU248" si="1328">+DR240*DS249</f>
        <v>331461.19361135771</v>
      </c>
      <c r="DT248" s="1506">
        <f t="shared" si="1328"/>
        <v>331461.19361135771</v>
      </c>
      <c r="DU248" s="1506">
        <f t="shared" si="1328"/>
        <v>331461.19361135771</v>
      </c>
      <c r="DV248" s="1502"/>
      <c r="DW248" s="1502"/>
      <c r="DY248" s="1506">
        <v>363316.27500390698</v>
      </c>
      <c r="DZ248" s="1506">
        <v>363316.27500390698</v>
      </c>
    </row>
    <row r="249" spans="1:130" s="1510" customFormat="1" ht="14.25" customHeight="1">
      <c r="A249" s="1502" t="s">
        <v>689</v>
      </c>
      <c r="B249" s="1502"/>
      <c r="C249" s="1503"/>
      <c r="D249" s="1503"/>
      <c r="E249" s="1503"/>
      <c r="F249" s="1503"/>
      <c r="G249" s="1502"/>
      <c r="H249" s="1502"/>
      <c r="I249" s="1502"/>
      <c r="J249" s="1502"/>
      <c r="K249" s="1502"/>
      <c r="L249" s="1502"/>
      <c r="M249" s="1502"/>
      <c r="N249" s="1502"/>
      <c r="O249" s="1502"/>
      <c r="P249" s="1502"/>
      <c r="Q249" s="1502"/>
      <c r="R249" s="1502"/>
      <c r="S249" s="1502"/>
      <c r="T249" s="1502"/>
      <c r="U249" s="1502"/>
      <c r="V249" s="1502"/>
      <c r="W249" s="1502"/>
      <c r="X249" s="1502"/>
      <c r="Y249" s="1502"/>
      <c r="Z249" s="1502"/>
      <c r="AA249" s="1502"/>
      <c r="AB249" s="1502"/>
      <c r="AC249" s="1502"/>
      <c r="AD249" s="1502"/>
      <c r="AE249" s="1502"/>
      <c r="AF249" s="1502"/>
      <c r="AG249" s="1502"/>
      <c r="AH249" s="1504"/>
      <c r="AI249" s="1504"/>
      <c r="AJ249" s="1504"/>
      <c r="AK249" s="1504"/>
      <c r="AL249" s="1504"/>
      <c r="AM249" s="1504"/>
      <c r="AN249" s="1504"/>
      <c r="AO249" s="1504"/>
      <c r="AP249" s="1504"/>
      <c r="AQ249" s="1500"/>
      <c r="AR249" s="1500"/>
      <c r="AS249" s="1500"/>
      <c r="AT249" s="1500"/>
      <c r="AU249" s="1500">
        <f t="shared" ref="AU249:BV249" si="1329">+AU248/AVERAGE(AT$240:AU$240)</f>
        <v>0.1852652932038665</v>
      </c>
      <c r="AV249" s="1500">
        <f t="shared" si="1329"/>
        <v>0.180967752371723</v>
      </c>
      <c r="AW249" s="1500">
        <f t="shared" si="1329"/>
        <v>0.16835348820245699</v>
      </c>
      <c r="AX249" s="1500">
        <f t="shared" si="1329"/>
        <v>0.12565664106960042</v>
      </c>
      <c r="AY249" s="1500">
        <f t="shared" si="1329"/>
        <v>0.17699029757665199</v>
      </c>
      <c r="AZ249" s="1500">
        <f t="shared" si="1329"/>
        <v>0.17440944219250051</v>
      </c>
      <c r="BA249" s="1500">
        <f t="shared" si="1329"/>
        <v>0.16689769432386029</v>
      </c>
      <c r="BB249" s="1500">
        <f t="shared" si="1329"/>
        <v>0.1237935420454455</v>
      </c>
      <c r="BC249" s="1500">
        <f t="shared" si="1329"/>
        <v>0.16140347810330066</v>
      </c>
      <c r="BD249" s="1500">
        <f t="shared" si="1329"/>
        <v>0.26587380398179755</v>
      </c>
      <c r="BE249" s="1500">
        <f t="shared" si="1329"/>
        <v>0.10059213220332069</v>
      </c>
      <c r="BF249" s="1500">
        <f t="shared" si="1329"/>
        <v>8.5756749849708117E-2</v>
      </c>
      <c r="BG249" s="1500">
        <f t="shared" si="1329"/>
        <v>9.4043009865265925E-2</v>
      </c>
      <c r="BH249" s="1500">
        <f t="shared" si="1329"/>
        <v>9.5085465307591446E-2</v>
      </c>
      <c r="BI249" s="1500">
        <f t="shared" si="1329"/>
        <v>9.0897008850063674E-2</v>
      </c>
      <c r="BJ249" s="1500">
        <f t="shared" si="1329"/>
        <v>6.9763756261861071E-2</v>
      </c>
      <c r="BK249" s="1500">
        <f t="shared" si="1329"/>
        <v>8.9133864811155747E-2</v>
      </c>
      <c r="BL249" s="1500">
        <f t="shared" si="1329"/>
        <v>9.6407122879359736E-2</v>
      </c>
      <c r="BM249" s="1500">
        <f t="shared" si="1329"/>
        <v>8.5903842971327735E-2</v>
      </c>
      <c r="BN249" s="1500">
        <f t="shared" si="1329"/>
        <v>6.914943153167398E-2</v>
      </c>
      <c r="BO249" s="1500">
        <f t="shared" si="1329"/>
        <v>8.7218827593560255E-2</v>
      </c>
      <c r="BP249" s="1500">
        <f t="shared" si="1329"/>
        <v>7.335975969940782E-2</v>
      </c>
      <c r="BQ249" s="1500">
        <f t="shared" si="1329"/>
        <v>4.1120083541177598E-2</v>
      </c>
      <c r="BR249" s="1500">
        <f t="shared" si="1329"/>
        <v>3.8808044201045173E-2</v>
      </c>
      <c r="BS249" s="1500">
        <f t="shared" si="1329"/>
        <v>7.0561955194936271E-2</v>
      </c>
      <c r="BT249" s="1500">
        <f t="shared" si="1329"/>
        <v>6.3565802271032174E-2</v>
      </c>
      <c r="BU249" s="1500">
        <f t="shared" si="1329"/>
        <v>7.7331019368016563E-2</v>
      </c>
      <c r="BV249" s="1500">
        <f t="shared" si="1329"/>
        <v>7.1957205342406905E-2</v>
      </c>
      <c r="BW249" s="1500">
        <f t="shared" ref="BW249:CK249" si="1330">+BW248/AVERAGE(BV$240:BW$240)</f>
        <v>9.7093737997875962E-2</v>
      </c>
      <c r="BX249" s="1500">
        <f t="shared" si="1330"/>
        <v>9.2837190876466746E-2</v>
      </c>
      <c r="BY249" s="1500">
        <f t="shared" si="1330"/>
        <v>9.0124474223095441E-2</v>
      </c>
      <c r="BZ249" s="1500">
        <f t="shared" si="1330"/>
        <v>7.7377458977207422E-2</v>
      </c>
      <c r="CA249" s="1500">
        <f t="shared" si="1330"/>
        <v>8.514079637549736E-2</v>
      </c>
      <c r="CB249" s="1500">
        <f t="shared" si="1330"/>
        <v>7.7066751713114931E-2</v>
      </c>
      <c r="CC249" s="1500">
        <f t="shared" si="1330"/>
        <v>6.9755493157065404E-2</v>
      </c>
      <c r="CD249" s="1500">
        <f t="shared" si="1330"/>
        <v>5.7817494011172164E-2</v>
      </c>
      <c r="CE249" s="1500">
        <f t="shared" si="1330"/>
        <v>6.7410171174524511E-2</v>
      </c>
      <c r="CF249" s="1500">
        <f t="shared" si="1330"/>
        <v>6.0861163209485189E-2</v>
      </c>
      <c r="CG249" s="1500">
        <f t="shared" si="1330"/>
        <v>5.9237457311904058E-2</v>
      </c>
      <c r="CH249" s="1500">
        <f t="shared" si="1330"/>
        <v>5.448558651361237E-2</v>
      </c>
      <c r="CI249" s="1500">
        <f t="shared" si="1330"/>
        <v>6.1082744206315376E-2</v>
      </c>
      <c r="CJ249" s="1500">
        <f t="shared" si="1330"/>
        <v>5.6638746952009975E-2</v>
      </c>
      <c r="CK249" s="1500">
        <f t="shared" si="1330"/>
        <v>5.1691791355637048E-2</v>
      </c>
      <c r="CL249" s="1511">
        <f t="shared" ref="CL249" si="1331">+CK249</f>
        <v>5.1691791355637048E-2</v>
      </c>
      <c r="CM249" s="1511">
        <f t="shared" ref="CM249" si="1332">+CL249</f>
        <v>5.1691791355637048E-2</v>
      </c>
      <c r="CN249" s="1511">
        <f t="shared" ref="CN249" si="1333">+CM249</f>
        <v>5.1691791355637048E-2</v>
      </c>
      <c r="CO249" s="1511">
        <f t="shared" ref="CO249" si="1334">+CN249</f>
        <v>5.1691791355637048E-2</v>
      </c>
      <c r="CP249" s="1511">
        <f t="shared" ref="CP249" si="1335">+CO249</f>
        <v>5.1691791355637048E-2</v>
      </c>
      <c r="CQ249" s="1502"/>
      <c r="CR249" s="1507"/>
      <c r="CS249" s="1511">
        <v>6.1082715584773552E-2</v>
      </c>
      <c r="CT249" s="1508"/>
      <c r="CU249" s="1502"/>
      <c r="CV249" s="1502"/>
      <c r="CW249" s="1502"/>
      <c r="CX249" s="1502"/>
      <c r="CY249" s="1502"/>
      <c r="CZ249" s="1502"/>
      <c r="DA249" s="1502"/>
      <c r="DB249" s="1502"/>
      <c r="DC249" s="1502"/>
      <c r="DD249" s="1502"/>
      <c r="DE249" s="1509"/>
      <c r="DF249" s="1500">
        <f t="shared" ref="DF249:DQ249" si="1336">+DF248/DE240</f>
        <v>0.16050725516427269</v>
      </c>
      <c r="DG249" s="1500">
        <f t="shared" si="1336"/>
        <v>0.13889677568081701</v>
      </c>
      <c r="DH249" s="1500">
        <f t="shared" si="1336"/>
        <v>0.15866990012540985</v>
      </c>
      <c r="DI249" s="1500">
        <f t="shared" si="1336"/>
        <v>8.6862970140204873E-2</v>
      </c>
      <c r="DJ249" s="1500">
        <f t="shared" si="1336"/>
        <v>9.1362908847516078E-2</v>
      </c>
      <c r="DK249" s="1500">
        <f t="shared" si="1336"/>
        <v>4.0747683939978789E-2</v>
      </c>
      <c r="DL249" s="1500">
        <f t="shared" si="1336"/>
        <v>9.9674588397645245E-2</v>
      </c>
      <c r="DM249" s="1500">
        <f t="shared" si="1336"/>
        <v>0.10625966499031876</v>
      </c>
      <c r="DN249" s="1500">
        <f t="shared" si="1336"/>
        <v>5.6393953729828007E-2</v>
      </c>
      <c r="DO249" s="1500">
        <f t="shared" si="1336"/>
        <v>5.3111001895560797E-2</v>
      </c>
      <c r="DP249" s="1500">
        <f t="shared" si="1336"/>
        <v>5.452526724263515E-2</v>
      </c>
      <c r="DQ249" s="1500">
        <f t="shared" si="1336"/>
        <v>5.452526724263515E-2</v>
      </c>
      <c r="DR249" s="1511">
        <f>+DQ249</f>
        <v>5.452526724263515E-2</v>
      </c>
      <c r="DS249" s="1511">
        <f t="shared" ref="DS249:DU249" si="1337">+DR249</f>
        <v>5.452526724263515E-2</v>
      </c>
      <c r="DT249" s="1511">
        <f t="shared" si="1337"/>
        <v>5.452526724263515E-2</v>
      </c>
      <c r="DU249" s="1511">
        <f t="shared" si="1337"/>
        <v>5.452526724263515E-2</v>
      </c>
      <c r="DV249" s="1502"/>
      <c r="DW249" s="1502"/>
      <c r="DY249" s="1511">
        <v>6.4478212875451593E-2</v>
      </c>
      <c r="DZ249" s="1511">
        <v>6.4478212875451593E-2</v>
      </c>
    </row>
    <row r="250" spans="1:130" s="1510" customFormat="1" ht="14.25" customHeight="1">
      <c r="A250" s="1502" t="s">
        <v>690</v>
      </c>
      <c r="B250" s="1502"/>
      <c r="C250" s="1503"/>
      <c r="D250" s="1503"/>
      <c r="E250" s="1503"/>
      <c r="F250" s="1503"/>
      <c r="G250" s="1502"/>
      <c r="H250" s="1502"/>
      <c r="I250" s="1502"/>
      <c r="J250" s="1502"/>
      <c r="K250" s="1502"/>
      <c r="L250" s="1502"/>
      <c r="M250" s="1502"/>
      <c r="N250" s="1502"/>
      <c r="O250" s="1502"/>
      <c r="P250" s="1502"/>
      <c r="Q250" s="1502"/>
      <c r="R250" s="1502"/>
      <c r="S250" s="1502"/>
      <c r="T250" s="1502"/>
      <c r="U250" s="1502"/>
      <c r="V250" s="1502"/>
      <c r="W250" s="1502"/>
      <c r="X250" s="1502"/>
      <c r="Y250" s="1502"/>
      <c r="Z250" s="1502"/>
      <c r="AA250" s="1502"/>
      <c r="AB250" s="1502"/>
      <c r="AC250" s="1502"/>
      <c r="AD250" s="1502"/>
      <c r="AE250" s="1502"/>
      <c r="AF250" s="1502"/>
      <c r="AG250" s="1502"/>
      <c r="AH250" s="1504"/>
      <c r="AI250" s="1504"/>
      <c r="AJ250" s="1504"/>
      <c r="AK250" s="1504"/>
      <c r="AL250" s="1504"/>
      <c r="AM250" s="1504"/>
      <c r="AN250" s="1504"/>
      <c r="AO250" s="1504"/>
      <c r="AP250" s="1504"/>
      <c r="AQ250" s="1500"/>
      <c r="AR250" s="1500"/>
      <c r="AS250" s="1500"/>
      <c r="AT250" s="1500"/>
      <c r="AU250" s="1500">
        <f t="shared" ref="AU250:BW250" si="1338">+AU248/AU$245</f>
        <v>0.79104510566361763</v>
      </c>
      <c r="AV250" s="1500">
        <f t="shared" si="1338"/>
        <v>0.71999581969888216</v>
      </c>
      <c r="AW250" s="1500">
        <f t="shared" si="1338"/>
        <v>0.72430653671530398</v>
      </c>
      <c r="AX250" s="1500">
        <f t="shared" si="1338"/>
        <v>0.67137232429709914</v>
      </c>
      <c r="AY250" s="1500">
        <f t="shared" si="1338"/>
        <v>0.75980030362941264</v>
      </c>
      <c r="AZ250" s="1500">
        <f t="shared" si="1338"/>
        <v>0.69841897443081224</v>
      </c>
      <c r="BA250" s="1500">
        <f t="shared" si="1338"/>
        <v>0.71022164920044917</v>
      </c>
      <c r="BB250" s="1500">
        <f t="shared" si="1338"/>
        <v>0.66034427175724719</v>
      </c>
      <c r="BC250" s="1500">
        <f t="shared" si="1338"/>
        <v>0.77362276954410025</v>
      </c>
      <c r="BD250" s="1500">
        <f t="shared" si="1338"/>
        <v>0.85198643365247484</v>
      </c>
      <c r="BE250" s="1500">
        <f t="shared" si="1338"/>
        <v>0.47669722116425284</v>
      </c>
      <c r="BF250" s="1500">
        <f t="shared" si="1338"/>
        <v>0.36558984495138908</v>
      </c>
      <c r="BG250" s="1500">
        <f t="shared" si="1338"/>
        <v>0.40428528702905875</v>
      </c>
      <c r="BH250" s="1500">
        <f t="shared" si="1338"/>
        <v>0.39747248800235646</v>
      </c>
      <c r="BI250" s="1500">
        <f t="shared" si="1338"/>
        <v>0.30431891897553781</v>
      </c>
      <c r="BJ250" s="1500">
        <f t="shared" si="1338"/>
        <v>0.25281163131609552</v>
      </c>
      <c r="BK250" s="1500">
        <f t="shared" si="1338"/>
        <v>0.43621696712201186</v>
      </c>
      <c r="BL250" s="1500">
        <f t="shared" si="1338"/>
        <v>0.4394689394369779</v>
      </c>
      <c r="BM250" s="1500">
        <f t="shared" si="1338"/>
        <v>0.40773052630319606</v>
      </c>
      <c r="BN250" s="1500">
        <f t="shared" si="1338"/>
        <v>0.36462724373116423</v>
      </c>
      <c r="BO250" s="1500">
        <f t="shared" si="1338"/>
        <v>0.41951845840840146</v>
      </c>
      <c r="BP250" s="1500">
        <f t="shared" si="1338"/>
        <v>0.30029935106893724</v>
      </c>
      <c r="BQ250" s="1500">
        <f t="shared" si="1338"/>
        <v>0.20880211458723558</v>
      </c>
      <c r="BR250" s="1500">
        <f t="shared" si="1338"/>
        <v>0.26024732760666874</v>
      </c>
      <c r="BS250" s="1500">
        <f t="shared" si="1338"/>
        <v>0.48621306016531624</v>
      </c>
      <c r="BT250" s="1500">
        <f t="shared" si="1338"/>
        <v>0.3951666351069873</v>
      </c>
      <c r="BU250" s="1500">
        <f t="shared" si="1338"/>
        <v>0.42737242383373958</v>
      </c>
      <c r="BV250" s="1500">
        <f t="shared" si="1338"/>
        <v>0.39785472732571142</v>
      </c>
      <c r="BW250" s="1500">
        <f t="shared" si="1338"/>
        <v>0.44858298230022425</v>
      </c>
      <c r="BX250" s="1500">
        <f>+BX248/BX$245</f>
        <v>0.3763386627823514</v>
      </c>
      <c r="BY250" s="1500">
        <f t="shared" ref="BY250:CD250" si="1339">+BY248/BY$245</f>
        <v>0.33748284753227092</v>
      </c>
      <c r="BZ250" s="1500">
        <f t="shared" ref="BZ250" si="1340">+BZ248/BZ$245</f>
        <v>0.29002903275624975</v>
      </c>
      <c r="CA250" s="1500">
        <f t="shared" si="1339"/>
        <v>0.31208341668128814</v>
      </c>
      <c r="CB250" s="1500">
        <f t="shared" si="1339"/>
        <v>0.27335592050404872</v>
      </c>
      <c r="CC250" s="1500">
        <f t="shared" si="1339"/>
        <v>0.250003401249483</v>
      </c>
      <c r="CD250" s="1500">
        <f t="shared" si="1339"/>
        <v>0.22307138660399531</v>
      </c>
      <c r="CE250" s="1500">
        <f t="shared" ref="CE250" si="1341">+CE248/CE$245</f>
        <v>0.27188856297303066</v>
      </c>
      <c r="CF250" s="1500">
        <f t="shared" ref="CF250:CH250" si="1342">+CF248/CF$245</f>
        <v>0.25804196548255509</v>
      </c>
      <c r="CG250" s="1500">
        <f t="shared" si="1342"/>
        <v>0.270153882220249</v>
      </c>
      <c r="CH250" s="1500">
        <f t="shared" si="1342"/>
        <v>0.27063119719140794</v>
      </c>
      <c r="CI250" s="1500">
        <f t="shared" ref="CI250:CL250" si="1343">+CI248/CI$245</f>
        <v>0.24637093380400807</v>
      </c>
      <c r="CJ250" s="1500">
        <f t="shared" ref="CJ250:CK250" si="1344">+CJ248/CJ$245</f>
        <v>0.19226803121986294</v>
      </c>
      <c r="CK250" s="1500">
        <f t="shared" si="1344"/>
        <v>0.18029318457190607</v>
      </c>
      <c r="CL250" s="1500">
        <f t="shared" si="1343"/>
        <v>0.2570531770677123</v>
      </c>
      <c r="CM250" s="1500">
        <f t="shared" ref="CM250:CP250" si="1345">+CM248/CM$245</f>
        <v>0.26381110675122171</v>
      </c>
      <c r="CN250" s="1500">
        <f t="shared" si="1345"/>
        <v>0.25124016656545689</v>
      </c>
      <c r="CO250" s="1500">
        <f t="shared" si="1345"/>
        <v>0.25771367792008054</v>
      </c>
      <c r="CP250" s="1500">
        <f t="shared" si="1345"/>
        <v>0.26043902016139125</v>
      </c>
      <c r="CQ250" s="1502"/>
      <c r="CR250" s="1507"/>
      <c r="CS250" s="1500">
        <v>0.2893396750146493</v>
      </c>
      <c r="CT250" s="1508"/>
      <c r="CU250" s="1502"/>
      <c r="CV250" s="1502"/>
      <c r="CW250" s="1502"/>
      <c r="CX250" s="1502"/>
      <c r="CY250" s="1502"/>
      <c r="CZ250" s="1502"/>
      <c r="DA250" s="1502"/>
      <c r="DB250" s="1502"/>
      <c r="DC250" s="1502"/>
      <c r="DD250" s="1502"/>
      <c r="DE250" s="1509"/>
      <c r="DF250" s="1500"/>
      <c r="DG250" s="1500"/>
      <c r="DH250" s="1500"/>
      <c r="DI250" s="1500"/>
      <c r="DJ250" s="1500"/>
      <c r="DK250" s="1500"/>
      <c r="DL250" s="1500"/>
      <c r="DM250" s="1500"/>
      <c r="DN250" s="1500"/>
      <c r="DO250" s="1500"/>
      <c r="DP250" s="1500"/>
      <c r="DQ250" s="1500"/>
      <c r="DR250" s="1511"/>
      <c r="DS250" s="1511"/>
      <c r="DT250" s="1511"/>
      <c r="DU250" s="1511"/>
      <c r="DV250" s="1502"/>
      <c r="DW250" s="1502"/>
      <c r="DY250" s="1511"/>
      <c r="DZ250" s="1511"/>
    </row>
    <row r="251" spans="1:130" s="1510" customFormat="1" ht="14.25" customHeight="1">
      <c r="A251" s="485" t="s">
        <v>660</v>
      </c>
      <c r="B251" s="1502"/>
      <c r="C251" s="1503"/>
      <c r="D251" s="1503"/>
      <c r="E251" s="1503"/>
      <c r="F251" s="1503"/>
      <c r="G251" s="1502"/>
      <c r="H251" s="1502"/>
      <c r="I251" s="1502"/>
      <c r="J251" s="1502"/>
      <c r="K251" s="1502"/>
      <c r="L251" s="1502"/>
      <c r="M251" s="1502"/>
      <c r="N251" s="1502"/>
      <c r="O251" s="1502"/>
      <c r="P251" s="1502"/>
      <c r="Q251" s="1502"/>
      <c r="R251" s="1502"/>
      <c r="S251" s="1502"/>
      <c r="T251" s="1502"/>
      <c r="U251" s="1502"/>
      <c r="V251" s="1502"/>
      <c r="W251" s="1502"/>
      <c r="X251" s="1502"/>
      <c r="Y251" s="1502"/>
      <c r="Z251" s="1502"/>
      <c r="AA251" s="1502"/>
      <c r="AB251" s="1502"/>
      <c r="AC251" s="1502"/>
      <c r="AD251" s="1502"/>
      <c r="AE251" s="1502"/>
      <c r="AF251" s="1502"/>
      <c r="AG251" s="1502"/>
      <c r="AH251" s="1504"/>
      <c r="AI251" s="1504"/>
      <c r="AJ251" s="1504"/>
      <c r="AK251" s="1504"/>
      <c r="AL251" s="1504"/>
      <c r="AM251" s="1504"/>
      <c r="AN251" s="1504"/>
      <c r="AO251" s="1504"/>
      <c r="AP251" s="1504"/>
      <c r="AQ251" s="1504"/>
      <c r="AR251" s="1502"/>
      <c r="AS251" s="1502"/>
      <c r="AT251" s="1502"/>
      <c r="AU251" s="1505">
        <v>16790.289659999991</v>
      </c>
      <c r="AV251" s="1505">
        <v>25962.736849999983</v>
      </c>
      <c r="AW251" s="1505">
        <v>25564.713480000009</v>
      </c>
      <c r="AX251" s="1505">
        <v>26555.436949999985</v>
      </c>
      <c r="AY251" s="1505">
        <v>25255.006377599999</v>
      </c>
      <c r="AZ251" s="1505">
        <v>34877.022309999971</v>
      </c>
      <c r="BA251" s="1505">
        <v>33052.740529999995</v>
      </c>
      <c r="BB251" s="1505">
        <v>32522.73514999999</v>
      </c>
      <c r="BC251" s="1505">
        <v>26053.796050499997</v>
      </c>
      <c r="BD251" s="1505">
        <v>32480.583376099985</v>
      </c>
      <c r="BE251" s="1505">
        <v>95006.187479999964</v>
      </c>
      <c r="BF251" s="1505">
        <v>157140</v>
      </c>
      <c r="BG251" s="1505">
        <v>148445.64691999997</v>
      </c>
      <c r="BH251" s="1505">
        <v>160477.85422000004</v>
      </c>
      <c r="BI251" s="1505">
        <v>168451.17973999999</v>
      </c>
      <c r="BJ251" s="1505">
        <v>176801.16649999996</v>
      </c>
      <c r="BK251" s="1505">
        <v>167818.69107999996</v>
      </c>
      <c r="BL251" s="1505">
        <v>187727.78346999999</v>
      </c>
      <c r="BM251" s="1505">
        <v>210267.33202</v>
      </c>
      <c r="BN251" s="1505">
        <v>232025.60073999999</v>
      </c>
      <c r="BO251" s="1505">
        <v>250939.96413000004</v>
      </c>
      <c r="BP251" s="1505">
        <v>337301.22594000009</v>
      </c>
      <c r="BQ251" s="1505">
        <v>301888.49780000013</v>
      </c>
      <c r="BR251" s="1505">
        <v>240728.57760000002</v>
      </c>
      <c r="BS251" s="1505">
        <v>169878</v>
      </c>
      <c r="BT251" s="1505">
        <v>229977</v>
      </c>
      <c r="BU251" s="1505">
        <v>277682</v>
      </c>
      <c r="BV251" s="1505">
        <v>355403</v>
      </c>
      <c r="BW251" s="1505">
        <v>457900</v>
      </c>
      <c r="BX251" s="1505">
        <v>651655</v>
      </c>
      <c r="BY251" s="1505">
        <v>818371</v>
      </c>
      <c r="BZ251" s="1505">
        <v>960803</v>
      </c>
      <c r="CA251" s="1505">
        <v>1007621</v>
      </c>
      <c r="CB251" s="1505">
        <v>1103239</v>
      </c>
      <c r="CC251" s="1505">
        <v>1102531</v>
      </c>
      <c r="CD251" s="1505">
        <v>1057866</v>
      </c>
      <c r="CE251" s="1505">
        <v>945002</v>
      </c>
      <c r="CF251" s="1505">
        <v>894876.76743001479</v>
      </c>
      <c r="CG251" s="1505">
        <v>819312.30967001466</v>
      </c>
      <c r="CH251" s="1505">
        <v>771203.64437999902</v>
      </c>
      <c r="CI251" s="1505">
        <v>805979.87109449995</v>
      </c>
      <c r="CJ251" s="1505">
        <v>855591.41952999996</v>
      </c>
      <c r="CK251" s="1505">
        <v>917016.21191000007</v>
      </c>
      <c r="CL251" s="1506">
        <f t="shared" ref="CL251" si="1346">+CK251*CL258/CK258</f>
        <v>852620.38798676932</v>
      </c>
      <c r="CM251" s="1506">
        <f t="shared" ref="CM251" si="1347">+CL251*CM258/CL258</f>
        <v>827269.0747394237</v>
      </c>
      <c r="CN251" s="1506">
        <f t="shared" ref="CN251" si="1348">+CM251*CN258/CM258</f>
        <v>884958.16188648914</v>
      </c>
      <c r="CO251" s="1506">
        <f t="shared" ref="CO251" si="1349">+CN251*CO258/CN258</f>
        <v>909079.34315056715</v>
      </c>
      <c r="CP251" s="1506">
        <f t="shared" ref="CP251" si="1350">+CO251*CP258/CO258</f>
        <v>887962.77775751043</v>
      </c>
      <c r="CQ251" s="1502"/>
      <c r="CR251" s="1507"/>
      <c r="CS251" s="1506">
        <v>813044.36099689431</v>
      </c>
      <c r="CT251" s="1508"/>
      <c r="CU251" s="1502"/>
      <c r="CV251" s="1502"/>
      <c r="CW251" s="1502"/>
      <c r="CX251" s="1502"/>
      <c r="CY251" s="1502"/>
      <c r="CZ251" s="1502"/>
      <c r="DA251" s="1502"/>
      <c r="DB251" s="1502"/>
      <c r="DC251" s="1502"/>
      <c r="DD251" s="1502"/>
      <c r="DE251" s="1509"/>
      <c r="DF251" s="1489">
        <f>+AX251</f>
        <v>26555.436949999985</v>
      </c>
      <c r="DG251" s="1489">
        <f>+BB251</f>
        <v>32522.73514999999</v>
      </c>
      <c r="DH251" s="1489">
        <f>+BF251</f>
        <v>157140</v>
      </c>
      <c r="DI251" s="1489">
        <f>+BJ251</f>
        <v>176801.16649999996</v>
      </c>
      <c r="DJ251" s="1489">
        <f>+BN251</f>
        <v>232025.60073999999</v>
      </c>
      <c r="DK251" s="1489">
        <f>+BR251</f>
        <v>240728.57760000002</v>
      </c>
      <c r="DL251" s="1489">
        <f>+BV251</f>
        <v>355403</v>
      </c>
      <c r="DM251" s="1489">
        <f>+BZ251</f>
        <v>960803</v>
      </c>
      <c r="DN251" s="1489">
        <f>+CD251</f>
        <v>1057866</v>
      </c>
      <c r="DO251" s="1489">
        <f>+CH251</f>
        <v>771203.64437999902</v>
      </c>
      <c r="DP251" s="1489">
        <f>+CL251</f>
        <v>852620.38798676932</v>
      </c>
      <c r="DQ251" s="1489">
        <f>+CP251</f>
        <v>887962.77775751043</v>
      </c>
      <c r="DR251" s="1506">
        <f t="shared" ref="DR251:DU251" si="1351">+DQ251*DR258/DQ258</f>
        <v>870381.56565458234</v>
      </c>
      <c r="DS251" s="1506">
        <f t="shared" si="1351"/>
        <v>848152.50297878473</v>
      </c>
      <c r="DT251" s="1506">
        <f t="shared" si="1351"/>
        <v>825515.25729610678</v>
      </c>
      <c r="DU251" s="1506">
        <f t="shared" si="1351"/>
        <v>802842.16421160439</v>
      </c>
      <c r="DV251" s="1502"/>
      <c r="DW251" s="1502"/>
      <c r="DY251" s="1506">
        <v>836957.85465064575</v>
      </c>
      <c r="DZ251" s="1506">
        <v>772817.82207666838</v>
      </c>
    </row>
    <row r="252" spans="1:130" s="1510" customFormat="1" ht="14.25" customHeight="1">
      <c r="A252" s="1502" t="s">
        <v>689</v>
      </c>
      <c r="B252" s="1502"/>
      <c r="C252" s="1503"/>
      <c r="D252" s="1503"/>
      <c r="E252" s="1503"/>
      <c r="F252" s="1503"/>
      <c r="G252" s="1502"/>
      <c r="H252" s="1502"/>
      <c r="I252" s="1502"/>
      <c r="J252" s="1502"/>
      <c r="K252" s="1502"/>
      <c r="L252" s="1502"/>
      <c r="M252" s="1502"/>
      <c r="N252" s="1502"/>
      <c r="O252" s="1502"/>
      <c r="P252" s="1502"/>
      <c r="Q252" s="1502"/>
      <c r="R252" s="1502"/>
      <c r="S252" s="1502"/>
      <c r="T252" s="1502"/>
      <c r="U252" s="1502"/>
      <c r="V252" s="1502"/>
      <c r="W252" s="1502"/>
      <c r="X252" s="1502"/>
      <c r="Y252" s="1502"/>
      <c r="Z252" s="1502"/>
      <c r="AA252" s="1502"/>
      <c r="AB252" s="1502"/>
      <c r="AC252" s="1502"/>
      <c r="AD252" s="1502"/>
      <c r="AE252" s="1502"/>
      <c r="AF252" s="1502"/>
      <c r="AG252" s="1502"/>
      <c r="AH252" s="1504"/>
      <c r="AI252" s="1504"/>
      <c r="AJ252" s="1504"/>
      <c r="AK252" s="1504"/>
      <c r="AL252" s="1504"/>
      <c r="AM252" s="1504"/>
      <c r="AN252" s="1504"/>
      <c r="AO252" s="1504"/>
      <c r="AP252" s="1504"/>
      <c r="AQ252" s="1500">
        <f t="shared" ref="AQ252:BU252" si="1352">+AQ251/AP$240</f>
        <v>0</v>
      </c>
      <c r="AR252" s="1500">
        <f t="shared" si="1352"/>
        <v>0</v>
      </c>
      <c r="AS252" s="1500">
        <f t="shared" si="1352"/>
        <v>0</v>
      </c>
      <c r="AT252" s="1500">
        <f t="shared" si="1352"/>
        <v>0</v>
      </c>
      <c r="AU252" s="1500">
        <f t="shared" si="1352"/>
        <v>4.967467836274609E-2</v>
      </c>
      <c r="AV252" s="1500">
        <f t="shared" si="1352"/>
        <v>7.4563998374469351E-2</v>
      </c>
      <c r="AW252" s="1500">
        <f t="shared" si="1352"/>
        <v>6.5617342474262291E-2</v>
      </c>
      <c r="AX252" s="1500">
        <f t="shared" si="1352"/>
        <v>6.5043015002143129E-2</v>
      </c>
      <c r="AY252" s="1500">
        <f t="shared" si="1352"/>
        <v>5.5478074309627104E-2</v>
      </c>
      <c r="AZ252" s="1500">
        <f t="shared" si="1352"/>
        <v>7.7938699175182563E-2</v>
      </c>
      <c r="BA252" s="1500">
        <f t="shared" si="1352"/>
        <v>6.9044137646510781E-2</v>
      </c>
      <c r="BB252" s="1500">
        <f t="shared" si="1352"/>
        <v>6.6094522562105726E-2</v>
      </c>
      <c r="BC252" s="1500">
        <f t="shared" si="1352"/>
        <v>4.9207870696591265E-2</v>
      </c>
      <c r="BD252" s="1500">
        <f t="shared" si="1352"/>
        <v>5.6604033968955449E-2</v>
      </c>
      <c r="BE252" s="1500">
        <f t="shared" si="1352"/>
        <v>0.11411071799793168</v>
      </c>
      <c r="BF252" s="1500">
        <f t="shared" si="1352"/>
        <v>0.17693354001487885</v>
      </c>
      <c r="BG252" s="1500">
        <f t="shared" si="1352"/>
        <v>0.13858755388455171</v>
      </c>
      <c r="BH252" s="1500">
        <f t="shared" si="1352"/>
        <v>0.14978975597234903</v>
      </c>
      <c r="BI252" s="1500">
        <f t="shared" si="1352"/>
        <v>0.14580185551598587</v>
      </c>
      <c r="BJ252" s="1500">
        <f t="shared" si="1352"/>
        <v>0.14612729396848692</v>
      </c>
      <c r="BK252" s="1500">
        <f t="shared" si="1352"/>
        <v>0.1151473152530557</v>
      </c>
      <c r="BL252" s="1500">
        <f t="shared" si="1352"/>
        <v>0.12892551294992857</v>
      </c>
      <c r="BM252" s="1500">
        <f t="shared" si="1352"/>
        <v>0.13164214936005281</v>
      </c>
      <c r="BN252" s="1500">
        <f t="shared" si="1352"/>
        <v>0.13087807540113738</v>
      </c>
      <c r="BO252" s="1500">
        <f t="shared" si="1352"/>
        <v>0.12073838847375148</v>
      </c>
      <c r="BP252" s="1500">
        <f t="shared" si="1352"/>
        <v>0.16214291363947572</v>
      </c>
      <c r="BQ252" s="1500">
        <f t="shared" si="1352"/>
        <v>0.16174815007330731</v>
      </c>
      <c r="BR252" s="1500">
        <f t="shared" si="1352"/>
        <v>0.11984924256706284</v>
      </c>
      <c r="BS252" s="1500">
        <f t="shared" si="1352"/>
        <v>7.2106972118876525E-2</v>
      </c>
      <c r="BT252" s="1500">
        <f t="shared" si="1352"/>
        <v>0.10450293659899804</v>
      </c>
      <c r="BU252" s="1500">
        <f t="shared" si="1352"/>
        <v>0.10989181464635851</v>
      </c>
      <c r="BV252" s="1500">
        <f>+BV251/AVERAGE(BU240:BV240)</f>
        <v>0.10890580922094087</v>
      </c>
      <c r="BW252" s="1500">
        <f>+BW251/AVERAGE(BV$240:BW$240)</f>
        <v>0.11935169535316854</v>
      </c>
      <c r="BX252" s="1500">
        <f t="shared" ref="BX252:CD252" si="1353">+BX251/AVERAGE(BW240:BX240)</f>
        <v>0.1538480425515891</v>
      </c>
      <c r="BY252" s="1500">
        <f t="shared" si="1353"/>
        <v>0.17692457695713534</v>
      </c>
      <c r="BZ252" s="1500">
        <f t="shared" si="1353"/>
        <v>0.18941465573579813</v>
      </c>
      <c r="CA252" s="1500">
        <f t="shared" si="1353"/>
        <v>0.18767343156679184</v>
      </c>
      <c r="CB252" s="1500">
        <f t="shared" si="1353"/>
        <v>0.20486148152584099</v>
      </c>
      <c r="CC252" s="1500">
        <f t="shared" si="1353"/>
        <v>0.20926268342948073</v>
      </c>
      <c r="CD252" s="1500">
        <f t="shared" si="1353"/>
        <v>0.20137080840348021</v>
      </c>
      <c r="CE252" s="1500">
        <f t="shared" ref="CE252" si="1354">+CE251/AVERAGE(CD240:CE240)</f>
        <v>0.18052291743138019</v>
      </c>
      <c r="CF252" s="1500">
        <f t="shared" ref="CF252" si="1355">+CF251/AVERAGE(CE240:CF240)</f>
        <v>0.17499645435156114</v>
      </c>
      <c r="CG252" s="1500">
        <f t="shared" ref="CG252" si="1356">+CG251/AVERAGE(CF240:CG240)</f>
        <v>0.16003556155076545</v>
      </c>
      <c r="CH252" s="1500">
        <f t="shared" ref="CH252" si="1357">+CH251/AVERAGE(CG240:CH240)</f>
        <v>0.14684222446701387</v>
      </c>
      <c r="CI252" s="1500">
        <f>+CI251/AVERAGE(CH$240:CI$240)</f>
        <v>0.14884750397647994</v>
      </c>
      <c r="CJ252" s="1500">
        <f t="shared" ref="CJ252" si="1358">+CJ251/AVERAGE(CI240:CJ240)</f>
        <v>0.15306407169073197</v>
      </c>
      <c r="CK252" s="1500">
        <f t="shared" ref="CK252" si="1359">+CK251/AVERAGE(CJ240:CK240)</f>
        <v>0.15993829024133971</v>
      </c>
      <c r="CL252" s="1500">
        <f t="shared" ref="CL252" si="1360">+CL251/AVERAGE(CK240:CL240)</f>
        <v>0.14903566463698928</v>
      </c>
      <c r="CM252" s="1500">
        <f t="shared" ref="CM252" si="1361">+CM251/AVERAGE(CL240:CM240)</f>
        <v>0.14413129379816381</v>
      </c>
      <c r="CN252" s="1500">
        <f t="shared" ref="CN252" si="1362">+CN251/AVERAGE(CM240:CN240)</f>
        <v>0.14935635808359884</v>
      </c>
      <c r="CO252" s="1500">
        <f t="shared" ref="CO252" si="1363">+CO251/AVERAGE(CN240:CO240)</f>
        <v>0.14957925286919338</v>
      </c>
      <c r="CP252" s="1500">
        <f t="shared" ref="CP252" si="1364">+CP251/AVERAGE(CO240:CP240)</f>
        <v>0.14642775070586647</v>
      </c>
      <c r="CQ252" s="1502"/>
      <c r="CR252" s="1507"/>
      <c r="CS252" s="1500">
        <v>0.14954424145267359</v>
      </c>
      <c r="CT252" s="1508"/>
      <c r="CU252" s="1502"/>
      <c r="CV252" s="1502"/>
      <c r="CW252" s="1502"/>
      <c r="CX252" s="1502"/>
      <c r="CY252" s="1502"/>
      <c r="CZ252" s="1502"/>
      <c r="DA252" s="1502"/>
      <c r="DB252" s="1502"/>
      <c r="DC252" s="1502"/>
      <c r="DD252" s="1502"/>
      <c r="DE252" s="1509"/>
      <c r="DF252" s="1500">
        <f t="shared" ref="DF252:DM252" si="1365">+DF251/DE$240</f>
        <v>7.8565219301489575E-2</v>
      </c>
      <c r="DG252" s="1500">
        <f t="shared" si="1365"/>
        <v>7.1443209731451462E-2</v>
      </c>
      <c r="DH252" s="1500">
        <f t="shared" si="1365"/>
        <v>0.29679071664929058</v>
      </c>
      <c r="DI252" s="1500">
        <f t="shared" si="1365"/>
        <v>0.16506001824610697</v>
      </c>
      <c r="DJ252" s="1500">
        <f t="shared" si="1365"/>
        <v>0.15920232021385647</v>
      </c>
      <c r="DK252" s="1500">
        <f t="shared" si="1365"/>
        <v>0.11582523580797656</v>
      </c>
      <c r="DL252" s="1500">
        <f t="shared" si="1365"/>
        <v>0.15085552109140132</v>
      </c>
      <c r="DM252" s="1500">
        <f t="shared" si="1365"/>
        <v>0.26011629392832852</v>
      </c>
      <c r="DN252" s="1500">
        <f>+DN251/DM$240</f>
        <v>0.19641280283523818</v>
      </c>
      <c r="DO252" s="1500">
        <f>+DO251/DN$240</f>
        <v>0.14313762888589804</v>
      </c>
      <c r="DP252" s="1500">
        <f>+DP251/DO$240</f>
        <v>0.15759141563451223</v>
      </c>
      <c r="DQ252" s="1500">
        <f>+DQ251/DP$240</f>
        <v>0.15483378812797105</v>
      </c>
      <c r="DR252" s="1500">
        <f>+DR251/DQ$240</f>
        <v>0.14317750730730827</v>
      </c>
      <c r="DS252" s="1500">
        <f t="shared" ref="DS252:DU252" si="1366">+DS251/DR$240</f>
        <v>0.1395208331435982</v>
      </c>
      <c r="DT252" s="1500">
        <f t="shared" si="1366"/>
        <v>0.13579701299730249</v>
      </c>
      <c r="DU252" s="1500">
        <f t="shared" si="1366"/>
        <v>0.13206729596412495</v>
      </c>
      <c r="DV252" s="1502"/>
      <c r="DW252" s="1502"/>
      <c r="DY252" s="1500">
        <v>0.14853600136510614</v>
      </c>
      <c r="DZ252" s="1500">
        <v>0.13715298618336447</v>
      </c>
    </row>
    <row r="253" spans="1:130" s="1510" customFormat="1" ht="14.25" customHeight="1">
      <c r="A253" s="1502" t="s">
        <v>690</v>
      </c>
      <c r="B253" s="1502"/>
      <c r="C253" s="1503"/>
      <c r="D253" s="1503"/>
      <c r="E253" s="1503"/>
      <c r="F253" s="1503"/>
      <c r="G253" s="1502"/>
      <c r="H253" s="1502"/>
      <c r="I253" s="1502"/>
      <c r="J253" s="1502"/>
      <c r="K253" s="1502"/>
      <c r="L253" s="1502"/>
      <c r="M253" s="1502"/>
      <c r="N253" s="1502"/>
      <c r="O253" s="1502"/>
      <c r="P253" s="1502"/>
      <c r="Q253" s="1502"/>
      <c r="R253" s="1502"/>
      <c r="S253" s="1502"/>
      <c r="T253" s="1502"/>
      <c r="U253" s="1502"/>
      <c r="V253" s="1502"/>
      <c r="W253" s="1502"/>
      <c r="X253" s="1502"/>
      <c r="Y253" s="1502"/>
      <c r="Z253" s="1502"/>
      <c r="AA253" s="1502"/>
      <c r="AB253" s="1502"/>
      <c r="AC253" s="1502"/>
      <c r="AD253" s="1502"/>
      <c r="AE253" s="1502"/>
      <c r="AF253" s="1502"/>
      <c r="AG253" s="1502"/>
      <c r="AH253" s="1504"/>
      <c r="AI253" s="1504"/>
      <c r="AJ253" s="1504"/>
      <c r="AK253" s="1504"/>
      <c r="AL253" s="1504"/>
      <c r="AM253" s="1504"/>
      <c r="AN253" s="1504"/>
      <c r="AO253" s="1504"/>
      <c r="AP253" s="1504"/>
      <c r="AQ253" s="1500"/>
      <c r="AR253" s="1500"/>
      <c r="AS253" s="1500"/>
      <c r="AT253" s="1500"/>
      <c r="AU253" s="1500">
        <f t="shared" ref="AU253:BW253" si="1367">+AU251/AU$245</f>
        <v>0.20895139891730435</v>
      </c>
      <c r="AV253" s="1500">
        <f t="shared" si="1367"/>
        <v>0.28000924116435311</v>
      </c>
      <c r="AW253" s="1500">
        <f t="shared" si="1367"/>
        <v>0.27569870134912172</v>
      </c>
      <c r="AX253" s="1500">
        <f t="shared" si="1367"/>
        <v>0.3286238608801107</v>
      </c>
      <c r="AY253" s="1500">
        <f t="shared" si="1367"/>
        <v>0.24020131421234342</v>
      </c>
      <c r="AZ253" s="1500">
        <f t="shared" si="1367"/>
        <v>0.30158172983302611</v>
      </c>
      <c r="BA253" s="1500">
        <f t="shared" si="1367"/>
        <v>0.2897736405000701</v>
      </c>
      <c r="BB253" s="1500">
        <f t="shared" si="1367"/>
        <v>0.33965593564625274</v>
      </c>
      <c r="BC253" s="1500">
        <f t="shared" si="1367"/>
        <v>0.22637561625583233</v>
      </c>
      <c r="BD253" s="1500">
        <f t="shared" si="1367"/>
        <v>0.14801375927279514</v>
      </c>
      <c r="BE253" s="1500">
        <f t="shared" si="1367"/>
        <v>0.52330277883574705</v>
      </c>
      <c r="BF253" s="1500">
        <f t="shared" si="1367"/>
        <v>0.68383273700346725</v>
      </c>
      <c r="BG253" s="1500">
        <f t="shared" si="1367"/>
        <v>0.59571805680258205</v>
      </c>
      <c r="BH253" s="1500">
        <f t="shared" si="1367"/>
        <v>0.60252751199764365</v>
      </c>
      <c r="BI253" s="1500">
        <f t="shared" si="1367"/>
        <v>0.47687593878365636</v>
      </c>
      <c r="BJ253" s="1500">
        <f t="shared" si="1367"/>
        <v>0.48040140016520472</v>
      </c>
      <c r="BK253" s="1500">
        <f t="shared" si="1367"/>
        <v>0.56378303287798814</v>
      </c>
      <c r="BL253" s="1500">
        <f t="shared" si="1367"/>
        <v>0.56053106056302204</v>
      </c>
      <c r="BM253" s="1500">
        <f t="shared" si="1367"/>
        <v>0.59226947369680394</v>
      </c>
      <c r="BN253" s="1500">
        <f t="shared" si="1367"/>
        <v>0.63537275626883583</v>
      </c>
      <c r="BO253" s="1500">
        <f t="shared" si="1367"/>
        <v>0.58048154159159859</v>
      </c>
      <c r="BP253" s="1500">
        <f t="shared" si="1367"/>
        <v>0.69970064893106265</v>
      </c>
      <c r="BQ253" s="1500">
        <f t="shared" si="1367"/>
        <v>0.79119788541276437</v>
      </c>
      <c r="BR253" s="1500">
        <f t="shared" si="1367"/>
        <v>0.7397526723933312</v>
      </c>
      <c r="BS253" s="1500">
        <f t="shared" si="1367"/>
        <v>0.51378693983468371</v>
      </c>
      <c r="BT253" s="1500">
        <f t="shared" si="1367"/>
        <v>0.60483336489301265</v>
      </c>
      <c r="BU253" s="1500">
        <f t="shared" si="1367"/>
        <v>0.57262757616626037</v>
      </c>
      <c r="BV253" s="1500">
        <f t="shared" si="1367"/>
        <v>0.60214527267428863</v>
      </c>
      <c r="BW253" s="1500">
        <f t="shared" si="1367"/>
        <v>0.5514170176997758</v>
      </c>
      <c r="BX253" s="1500">
        <f>+BX251/BX$245</f>
        <v>0.6236613372176486</v>
      </c>
      <c r="BY253" s="1500">
        <f t="shared" ref="BY253:CD253" si="1368">+BY251/BY$245</f>
        <v>0.66251715246772902</v>
      </c>
      <c r="BZ253" s="1500">
        <f t="shared" ref="BZ253" si="1369">+BZ251/BZ$245</f>
        <v>0.70997096724375031</v>
      </c>
      <c r="CA253" s="1500">
        <f t="shared" si="1368"/>
        <v>0.68791658331871186</v>
      </c>
      <c r="CB253" s="1500">
        <f t="shared" si="1368"/>
        <v>0.72664407949595133</v>
      </c>
      <c r="CC253" s="1500">
        <f t="shared" si="1368"/>
        <v>0.74999659875051694</v>
      </c>
      <c r="CD253" s="1500">
        <f t="shared" si="1368"/>
        <v>0.77692861339600472</v>
      </c>
      <c r="CE253" s="1500">
        <f t="shared" ref="CE253:CH253" si="1370">+CE251/CE$245</f>
        <v>0.72811143702696934</v>
      </c>
      <c r="CF253" s="1500">
        <f t="shared" si="1370"/>
        <v>0.74195803451744491</v>
      </c>
      <c r="CG253" s="1500">
        <f t="shared" si="1370"/>
        <v>0.72984611777975095</v>
      </c>
      <c r="CH253" s="1500">
        <f t="shared" si="1370"/>
        <v>0.72936880280859206</v>
      </c>
      <c r="CI253" s="1500">
        <f t="shared" ref="CI253:CL253" si="1371">+CI251/CI$245</f>
        <v>0.60036101890277649</v>
      </c>
      <c r="CJ253" s="1500">
        <f t="shared" si="1371"/>
        <v>0.51959708323717813</v>
      </c>
      <c r="CK253" s="1500">
        <f t="shared" si="1371"/>
        <v>0.55784067308111129</v>
      </c>
      <c r="CL253" s="1500">
        <f t="shared" si="1371"/>
        <v>0.74294682293228764</v>
      </c>
      <c r="CM253" s="1500">
        <f t="shared" ref="CM253:CP253" si="1372">+CM251/CM$245</f>
        <v>0.73618889324877823</v>
      </c>
      <c r="CN253" s="1500">
        <f t="shared" si="1372"/>
        <v>0.74875983343454322</v>
      </c>
      <c r="CO253" s="1500">
        <f t="shared" si="1372"/>
        <v>0.74228632207991951</v>
      </c>
      <c r="CP253" s="1500">
        <f t="shared" si="1372"/>
        <v>0.73956097983860858</v>
      </c>
      <c r="CQ253" s="1502"/>
      <c r="CR253" s="1507"/>
      <c r="CS253" s="1500">
        <v>0.71066032498535081</v>
      </c>
      <c r="CT253" s="1508"/>
      <c r="CU253" s="1502"/>
      <c r="CV253" s="1502"/>
      <c r="CW253" s="1502"/>
      <c r="CX253" s="1502"/>
      <c r="CY253" s="1502"/>
      <c r="CZ253" s="1502"/>
      <c r="DA253" s="1502"/>
      <c r="DB253" s="1502"/>
      <c r="DC253" s="1502"/>
      <c r="DD253" s="1502"/>
      <c r="DE253" s="1509"/>
      <c r="DF253" s="1500"/>
      <c r="DG253" s="1500"/>
      <c r="DH253" s="1500"/>
      <c r="DI253" s="1500"/>
      <c r="DJ253" s="1500"/>
      <c r="DK253" s="1500"/>
      <c r="DL253" s="1500"/>
      <c r="DM253" s="1500"/>
      <c r="DN253" s="1500"/>
      <c r="DO253" s="1500"/>
      <c r="DP253" s="1500"/>
      <c r="DQ253" s="1500"/>
      <c r="DR253" s="1500"/>
      <c r="DS253" s="1500"/>
      <c r="DT253" s="1500"/>
      <c r="DU253" s="1500"/>
      <c r="DV253" s="1502"/>
      <c r="DW253" s="1502"/>
      <c r="DY253" s="1500"/>
      <c r="DZ253" s="1500"/>
    </row>
    <row r="254" spans="1:130" s="1510" customFormat="1" ht="14.25" customHeight="1">
      <c r="A254" s="485" t="s">
        <v>662</v>
      </c>
      <c r="B254" s="1502"/>
      <c r="C254" s="1503"/>
      <c r="D254" s="1503"/>
      <c r="E254" s="1503"/>
      <c r="F254" s="1503"/>
      <c r="G254" s="1502"/>
      <c r="H254" s="1502"/>
      <c r="I254" s="1502"/>
      <c r="J254" s="1502"/>
      <c r="K254" s="1502"/>
      <c r="L254" s="1502"/>
      <c r="M254" s="1502"/>
      <c r="N254" s="1502"/>
      <c r="O254" s="1502"/>
      <c r="P254" s="1502"/>
      <c r="Q254" s="1502"/>
      <c r="R254" s="1502"/>
      <c r="S254" s="1502"/>
      <c r="T254" s="1502"/>
      <c r="U254" s="1502"/>
      <c r="V254" s="1502"/>
      <c r="W254" s="1502"/>
      <c r="X254" s="1502"/>
      <c r="Y254" s="1502"/>
      <c r="Z254" s="1502"/>
      <c r="AA254" s="1502"/>
      <c r="AB254" s="1502"/>
      <c r="AC254" s="1502"/>
      <c r="AD254" s="1502"/>
      <c r="AE254" s="1502"/>
      <c r="AF254" s="1502"/>
      <c r="AG254" s="1502"/>
      <c r="AH254" s="1504"/>
      <c r="AI254" s="1504"/>
      <c r="AJ254" s="1504"/>
      <c r="AK254" s="1504"/>
      <c r="AL254" s="1504"/>
      <c r="AM254" s="1504"/>
      <c r="AN254" s="1504"/>
      <c r="AO254" s="1504"/>
      <c r="AP254" s="1504"/>
      <c r="AQ254" s="1504"/>
      <c r="AR254" s="1502"/>
      <c r="AS254" s="1502"/>
      <c r="AT254" s="1502"/>
      <c r="AU254" s="1505"/>
      <c r="AV254" s="1505"/>
      <c r="AW254" s="1505"/>
      <c r="AX254" s="1505"/>
      <c r="AY254" s="1505"/>
      <c r="AZ254" s="1505"/>
      <c r="BA254" s="1505"/>
      <c r="BB254" s="1505"/>
      <c r="BC254" s="1505"/>
      <c r="BD254" s="1505"/>
      <c r="BE254" s="1505"/>
      <c r="BF254" s="1505"/>
      <c r="BG254" s="1505"/>
      <c r="BH254" s="1505"/>
      <c r="BI254" s="1505"/>
      <c r="BJ254" s="1505"/>
      <c r="BK254" s="1505"/>
      <c r="BL254" s="1505"/>
      <c r="BM254" s="1505"/>
      <c r="BN254" s="1505"/>
      <c r="BO254" s="1505"/>
      <c r="BP254" s="1505"/>
      <c r="BQ254" s="1505"/>
      <c r="BR254" s="1505"/>
      <c r="BS254" s="1505"/>
      <c r="BT254" s="1505"/>
      <c r="BU254" s="1505"/>
      <c r="BV254" s="1505"/>
      <c r="BW254" s="1505"/>
      <c r="BX254" s="1505"/>
      <c r="BY254" s="1505"/>
      <c r="BZ254" s="1505"/>
      <c r="CA254" s="1505"/>
      <c r="CB254" s="1505"/>
      <c r="CC254" s="1505"/>
      <c r="CD254" s="1505"/>
      <c r="CE254" s="1505"/>
      <c r="CF254" s="1505"/>
      <c r="CG254" s="1505"/>
      <c r="CH254" s="1505"/>
      <c r="CI254" s="1505">
        <v>205761.12890549999</v>
      </c>
      <c r="CJ254" s="1505">
        <v>474455.58047000004</v>
      </c>
      <c r="CK254" s="1505">
        <v>430473.26857000001</v>
      </c>
      <c r="CL254" s="1506">
        <f t="shared" ref="CL254:CP254" si="1373">+CL258-CL251</f>
        <v>400244.05293950054</v>
      </c>
      <c r="CM254" s="1506">
        <f t="shared" si="1373"/>
        <v>388343.43162616889</v>
      </c>
      <c r="CN254" s="1506">
        <f t="shared" si="1373"/>
        <v>415424.31589242665</v>
      </c>
      <c r="CO254" s="1506">
        <f t="shared" si="1373"/>
        <v>426747.47856464342</v>
      </c>
      <c r="CP254" s="1506">
        <f t="shared" si="1373"/>
        <v>416834.76730865811</v>
      </c>
      <c r="CQ254" s="1502"/>
      <c r="CR254" s="1507"/>
      <c r="CS254" s="1506">
        <v>283699.48285015882</v>
      </c>
      <c r="CT254" s="1508"/>
      <c r="CU254" s="1502"/>
      <c r="CV254" s="1502"/>
      <c r="CW254" s="1502"/>
      <c r="CX254" s="1502"/>
      <c r="CY254" s="1502"/>
      <c r="CZ254" s="1502"/>
      <c r="DA254" s="1502"/>
      <c r="DB254" s="1502"/>
      <c r="DC254" s="1502"/>
      <c r="DD254" s="1502"/>
      <c r="DE254" s="1509"/>
      <c r="DF254" s="1489">
        <f>+AX254</f>
        <v>0</v>
      </c>
      <c r="DG254" s="1489">
        <f>+BB254</f>
        <v>0</v>
      </c>
      <c r="DH254" s="1489">
        <f>+BF254</f>
        <v>0</v>
      </c>
      <c r="DI254" s="1489">
        <f>+BJ254</f>
        <v>0</v>
      </c>
      <c r="DJ254" s="1489">
        <f>+BN254</f>
        <v>0</v>
      </c>
      <c r="DK254" s="1489">
        <f>+BR254</f>
        <v>0</v>
      </c>
      <c r="DL254" s="1489">
        <f>+BV254</f>
        <v>0</v>
      </c>
      <c r="DM254" s="1489">
        <f>+BZ254</f>
        <v>0</v>
      </c>
      <c r="DN254" s="1489">
        <f>+CD254</f>
        <v>0</v>
      </c>
      <c r="DO254" s="1489">
        <f>+CH254</f>
        <v>0</v>
      </c>
      <c r="DP254" s="1489">
        <f>+CL254</f>
        <v>400244.05293950054</v>
      </c>
      <c r="DQ254" s="1489">
        <f>+CP254</f>
        <v>416834.76730865811</v>
      </c>
      <c r="DR254" s="1506">
        <f t="shared" ref="DR254:DU254" si="1374">+DR258-DR251</f>
        <v>408581.65057955869</v>
      </c>
      <c r="DS254" s="1506">
        <f t="shared" si="1374"/>
        <v>398146.70172803593</v>
      </c>
      <c r="DT254" s="1506">
        <f t="shared" si="1374"/>
        <v>387520.14026283822</v>
      </c>
      <c r="DU254" s="1506">
        <f t="shared" si="1374"/>
        <v>376876.75101637247</v>
      </c>
      <c r="DV254" s="1502"/>
      <c r="DW254" s="1502"/>
      <c r="DY254" s="1506">
        <v>836957.85465064575</v>
      </c>
      <c r="DZ254" s="1506">
        <v>772817.82207666838</v>
      </c>
    </row>
    <row r="255" spans="1:130" s="1510" customFormat="1" ht="14.25" customHeight="1">
      <c r="A255" s="1502" t="s">
        <v>689</v>
      </c>
      <c r="B255" s="1502"/>
      <c r="C255" s="1503"/>
      <c r="D255" s="1503"/>
      <c r="E255" s="1503"/>
      <c r="F255" s="1503"/>
      <c r="G255" s="1502"/>
      <c r="H255" s="1502"/>
      <c r="I255" s="1502"/>
      <c r="J255" s="1502"/>
      <c r="K255" s="1502"/>
      <c r="L255" s="1502"/>
      <c r="M255" s="1502"/>
      <c r="N255" s="1502"/>
      <c r="O255" s="1502"/>
      <c r="P255" s="1502"/>
      <c r="Q255" s="1502"/>
      <c r="R255" s="1502"/>
      <c r="S255" s="1502"/>
      <c r="T255" s="1502"/>
      <c r="U255" s="1502"/>
      <c r="V255" s="1502"/>
      <c r="W255" s="1502"/>
      <c r="X255" s="1502"/>
      <c r="Y255" s="1502"/>
      <c r="Z255" s="1502"/>
      <c r="AA255" s="1502"/>
      <c r="AB255" s="1502"/>
      <c r="AC255" s="1502"/>
      <c r="AD255" s="1502"/>
      <c r="AE255" s="1502"/>
      <c r="AF255" s="1502"/>
      <c r="AG255" s="1502"/>
      <c r="AH255" s="1504"/>
      <c r="AI255" s="1504"/>
      <c r="AJ255" s="1504"/>
      <c r="AK255" s="1504"/>
      <c r="AL255" s="1504"/>
      <c r="AM255" s="1504"/>
      <c r="AN255" s="1504"/>
      <c r="AO255" s="1504"/>
      <c r="AP255" s="1504"/>
      <c r="AQ255" s="1500">
        <f t="shared" ref="AQ255" si="1375">+AQ254/AP$240</f>
        <v>0</v>
      </c>
      <c r="AR255" s="1500">
        <f t="shared" ref="AR255" si="1376">+AR254/AQ$240</f>
        <v>0</v>
      </c>
      <c r="AS255" s="1500">
        <f t="shared" ref="AS255" si="1377">+AS254/AR$240</f>
        <v>0</v>
      </c>
      <c r="AT255" s="1500">
        <f t="shared" ref="AT255" si="1378">+AT254/AS$240</f>
        <v>0</v>
      </c>
      <c r="AU255" s="1500"/>
      <c r="AV255" s="1500"/>
      <c r="AW255" s="1500"/>
      <c r="AX255" s="1500"/>
      <c r="AY255" s="1500"/>
      <c r="AZ255" s="1500"/>
      <c r="BA255" s="1500"/>
      <c r="BB255" s="1500"/>
      <c r="BC255" s="1500"/>
      <c r="BD255" s="1500"/>
      <c r="BE255" s="1500"/>
      <c r="BF255" s="1500"/>
      <c r="BG255" s="1500"/>
      <c r="BH255" s="1500"/>
      <c r="BI255" s="1500"/>
      <c r="BJ255" s="1500"/>
      <c r="BK255" s="1500"/>
      <c r="BL255" s="1500"/>
      <c r="BM255" s="1500"/>
      <c r="BN255" s="1500"/>
      <c r="BO255" s="1500"/>
      <c r="BP255" s="1500"/>
      <c r="BQ255" s="1500"/>
      <c r="BR255" s="1500"/>
      <c r="BS255" s="1500"/>
      <c r="BT255" s="1500"/>
      <c r="BU255" s="1500"/>
      <c r="BV255" s="1500"/>
      <c r="BW255" s="1500"/>
      <c r="BX255" s="1500"/>
      <c r="BY255" s="1500"/>
      <c r="BZ255" s="1500"/>
      <c r="CA255" s="1500"/>
      <c r="CB255" s="1500"/>
      <c r="CC255" s="1500"/>
      <c r="CD255" s="1500"/>
      <c r="CE255" s="1500"/>
      <c r="CF255" s="1500"/>
      <c r="CG255" s="1500"/>
      <c r="CH255" s="1500"/>
      <c r="CI255" s="1500">
        <f>+CI254/AVERAGE(CH$240:CI$240)</f>
        <v>3.7999746087176704E-2</v>
      </c>
      <c r="CJ255" s="1500">
        <f t="shared" ref="CJ255:CL255" si="1379">+CJ254/AVERAGE(CI$240:CJ$240)</f>
        <v>8.4879419458205027E-2</v>
      </c>
      <c r="CK255" s="1500">
        <f t="shared" si="1379"/>
        <v>7.5079543497148113E-2</v>
      </c>
      <c r="CL255" s="1500">
        <f t="shared" si="1379"/>
        <v>6.9961543598188528E-2</v>
      </c>
      <c r="CM255" s="1500">
        <f t="shared" ref="CM255" si="1380">+CM254/AVERAGE(CL$240:CM$240)</f>
        <v>6.7659293629377962E-2</v>
      </c>
      <c r="CN255" s="1500">
        <f t="shared" ref="CN255" si="1381">+CN254/AVERAGE(CM$240:CN$240)</f>
        <v>7.0112086145177374E-2</v>
      </c>
      <c r="CO255" s="1500">
        <f t="shared" ref="CO255" si="1382">+CO254/AVERAGE(CN$240:CO$240)</f>
        <v>7.0216719242886971E-2</v>
      </c>
      <c r="CP255" s="1500">
        <f t="shared" ref="CP255" si="1383">+CP254/AVERAGE(CO$240:CP$240)</f>
        <v>6.8737315259039075E-2</v>
      </c>
      <c r="CQ255" s="1502"/>
      <c r="CR255" s="1507"/>
      <c r="CS255" s="1500">
        <v>5.218119207090207E-2</v>
      </c>
      <c r="CT255" s="1508"/>
      <c r="CU255" s="1502"/>
      <c r="CV255" s="1502"/>
      <c r="CW255" s="1502"/>
      <c r="CX255" s="1502"/>
      <c r="CY255" s="1502"/>
      <c r="CZ255" s="1502"/>
      <c r="DA255" s="1502"/>
      <c r="DB255" s="1502"/>
      <c r="DC255" s="1502"/>
      <c r="DD255" s="1502"/>
      <c r="DE255" s="1509"/>
      <c r="DF255" s="1500">
        <f t="shared" ref="DF255" si="1384">+DF254/DE$240</f>
        <v>0</v>
      </c>
      <c r="DG255" s="1500">
        <f t="shared" ref="DG255" si="1385">+DG254/DF$240</f>
        <v>0</v>
      </c>
      <c r="DH255" s="1500">
        <f t="shared" ref="DH255" si="1386">+DH254/DG$240</f>
        <v>0</v>
      </c>
      <c r="DI255" s="1500">
        <f t="shared" ref="DI255" si="1387">+DI254/DH$240</f>
        <v>0</v>
      </c>
      <c r="DJ255" s="1500">
        <f t="shared" ref="DJ255" si="1388">+DJ254/DI$240</f>
        <v>0</v>
      </c>
      <c r="DK255" s="1500">
        <f t="shared" ref="DK255" si="1389">+DK254/DJ$240</f>
        <v>0</v>
      </c>
      <c r="DL255" s="1500">
        <f t="shared" ref="DL255" si="1390">+DL254/DK$240</f>
        <v>0</v>
      </c>
      <c r="DM255" s="1500">
        <f t="shared" ref="DM255" si="1391">+DM254/DL$240</f>
        <v>0</v>
      </c>
      <c r="DN255" s="1500">
        <f>+DN254/DM$240</f>
        <v>0</v>
      </c>
      <c r="DO255" s="1500">
        <f>+DO254/DN$240</f>
        <v>0</v>
      </c>
      <c r="DP255" s="1500">
        <f>+DP254/DO$240</f>
        <v>7.3977854377802341E-2</v>
      </c>
      <c r="DQ255" s="1500">
        <f>+DQ254/DP$240</f>
        <v>7.2683346264617685E-2</v>
      </c>
      <c r="DR255" s="1500">
        <f>+DR254/DQ$240</f>
        <v>6.7211559354995454E-2</v>
      </c>
      <c r="DS255" s="1500">
        <f t="shared" ref="DS255" si="1392">+DS254/DR$240</f>
        <v>6.5495013388955081E-2</v>
      </c>
      <c r="DT255" s="1500">
        <f t="shared" ref="DT255" si="1393">+DT254/DS$240</f>
        <v>6.374694720525706E-2</v>
      </c>
      <c r="DU255" s="1500">
        <f t="shared" ref="DU255" si="1394">+DU254/DT$240</f>
        <v>6.1996112856571944E-2</v>
      </c>
      <c r="DV255" s="1502"/>
      <c r="DW255" s="1502"/>
      <c r="DY255" s="1500">
        <v>0.14853600136510614</v>
      </c>
      <c r="DZ255" s="1500">
        <v>0.13715298618336447</v>
      </c>
    </row>
    <row r="256" spans="1:130" s="1510" customFormat="1" ht="14.25" customHeight="1">
      <c r="A256" s="1502" t="s">
        <v>690</v>
      </c>
      <c r="B256" s="1502"/>
      <c r="C256" s="1503"/>
      <c r="D256" s="1503"/>
      <c r="E256" s="1503"/>
      <c r="F256" s="1503"/>
      <c r="G256" s="1502"/>
      <c r="H256" s="1502"/>
      <c r="I256" s="1502"/>
      <c r="J256" s="1502"/>
      <c r="K256" s="1502"/>
      <c r="L256" s="1502"/>
      <c r="M256" s="1502"/>
      <c r="N256" s="1502"/>
      <c r="O256" s="1502"/>
      <c r="P256" s="1502"/>
      <c r="Q256" s="1502"/>
      <c r="R256" s="1502"/>
      <c r="S256" s="1502"/>
      <c r="T256" s="1502"/>
      <c r="U256" s="1502"/>
      <c r="V256" s="1502"/>
      <c r="W256" s="1502"/>
      <c r="X256" s="1502"/>
      <c r="Y256" s="1502"/>
      <c r="Z256" s="1502"/>
      <c r="AA256" s="1502"/>
      <c r="AB256" s="1502"/>
      <c r="AC256" s="1502"/>
      <c r="AD256" s="1502"/>
      <c r="AE256" s="1502"/>
      <c r="AF256" s="1502"/>
      <c r="AG256" s="1502"/>
      <c r="AH256" s="1504"/>
      <c r="AI256" s="1504"/>
      <c r="AJ256" s="1504"/>
      <c r="AK256" s="1504"/>
      <c r="AL256" s="1504"/>
      <c r="AM256" s="1504"/>
      <c r="AN256" s="1504"/>
      <c r="AO256" s="1504"/>
      <c r="AP256" s="1504"/>
      <c r="AQ256" s="1500"/>
      <c r="AR256" s="1500"/>
      <c r="AS256" s="1500"/>
      <c r="AT256" s="1500"/>
      <c r="AU256" s="1500"/>
      <c r="AV256" s="1500"/>
      <c r="AW256" s="1500"/>
      <c r="AX256" s="1500"/>
      <c r="AY256" s="1500"/>
      <c r="AZ256" s="1500"/>
      <c r="BA256" s="1500"/>
      <c r="BB256" s="1500"/>
      <c r="BC256" s="1500"/>
      <c r="BD256" s="1500"/>
      <c r="BE256" s="1500"/>
      <c r="BF256" s="1500"/>
      <c r="BG256" s="1500"/>
      <c r="BH256" s="1500"/>
      <c r="BI256" s="1500"/>
      <c r="BJ256" s="1500"/>
      <c r="BK256" s="1500"/>
      <c r="BL256" s="1500"/>
      <c r="BM256" s="1500"/>
      <c r="BN256" s="1500"/>
      <c r="BO256" s="1500"/>
      <c r="BP256" s="1500"/>
      <c r="BQ256" s="1500"/>
      <c r="BR256" s="1500"/>
      <c r="BS256" s="1500"/>
      <c r="BT256" s="1500"/>
      <c r="BU256" s="1500"/>
      <c r="BV256" s="1500"/>
      <c r="BW256" s="1500"/>
      <c r="BX256" s="1500"/>
      <c r="BY256" s="1500"/>
      <c r="BZ256" s="1500"/>
      <c r="CA256" s="1500"/>
      <c r="CB256" s="1500"/>
      <c r="CC256" s="1500"/>
      <c r="CD256" s="1500"/>
      <c r="CE256" s="1500"/>
      <c r="CF256" s="1500"/>
      <c r="CG256" s="1500"/>
      <c r="CH256" s="1500"/>
      <c r="CI256" s="1500">
        <f>+CI254/CI$245</f>
        <v>0.15326804729321544</v>
      </c>
      <c r="CJ256" s="1500">
        <f t="shared" ref="CJ256:CL256" si="1395">+CJ254/CJ$245</f>
        <v>0.28813488554295891</v>
      </c>
      <c r="CK256" s="1500">
        <f t="shared" si="1395"/>
        <v>0.26186614234698258</v>
      </c>
      <c r="CL256" s="1500">
        <f t="shared" si="1395"/>
        <v>0.34876018884685478</v>
      </c>
      <c r="CM256" s="1500">
        <f t="shared" ref="CM256:CP256" si="1396">+CM254/CM$245</f>
        <v>0.34558782608833027</v>
      </c>
      <c r="CN256" s="1500">
        <f t="shared" si="1396"/>
        <v>0.35148897989617078</v>
      </c>
      <c r="CO256" s="1500">
        <f t="shared" si="1396"/>
        <v>0.34845013112146289</v>
      </c>
      <c r="CP256" s="1500">
        <f t="shared" si="1396"/>
        <v>0.34717077862218104</v>
      </c>
      <c r="CQ256" s="1502"/>
      <c r="CR256" s="1507"/>
      <c r="CS256" s="1500">
        <v>0.24797412829143273</v>
      </c>
      <c r="CT256" s="1508"/>
      <c r="CU256" s="1502"/>
      <c r="CV256" s="1502"/>
      <c r="CW256" s="1502"/>
      <c r="CX256" s="1502"/>
      <c r="CY256" s="1502"/>
      <c r="CZ256" s="1502"/>
      <c r="DA256" s="1502"/>
      <c r="DB256" s="1502"/>
      <c r="DC256" s="1502"/>
      <c r="DD256" s="1502"/>
      <c r="DE256" s="1509"/>
      <c r="DF256" s="1500"/>
      <c r="DG256" s="1500"/>
      <c r="DH256" s="1500"/>
      <c r="DI256" s="1500"/>
      <c r="DJ256" s="1500"/>
      <c r="DK256" s="1500"/>
      <c r="DL256" s="1500"/>
      <c r="DM256" s="1500"/>
      <c r="DN256" s="1500"/>
      <c r="DO256" s="1500"/>
      <c r="DP256" s="1500"/>
      <c r="DQ256" s="1500"/>
      <c r="DR256" s="1500"/>
      <c r="DS256" s="1500"/>
      <c r="DT256" s="1500"/>
      <c r="DU256" s="1500"/>
      <c r="DV256" s="1502"/>
      <c r="DW256" s="1502"/>
      <c r="DY256" s="1500"/>
      <c r="DZ256" s="1500"/>
    </row>
    <row r="257" spans="1:130" s="883" customFormat="1" ht="14.25" customHeight="1">
      <c r="A257" s="1489"/>
      <c r="B257" s="1489"/>
      <c r="C257" s="1490"/>
      <c r="D257" s="1490"/>
      <c r="E257" s="1490"/>
      <c r="F257" s="1490"/>
      <c r="G257" s="1489"/>
      <c r="H257" s="1489"/>
      <c r="I257" s="1489"/>
      <c r="J257" s="1489"/>
      <c r="K257" s="1489"/>
      <c r="L257" s="1489"/>
      <c r="M257" s="1489"/>
      <c r="N257" s="1489"/>
      <c r="O257" s="1489"/>
      <c r="P257" s="1489"/>
      <c r="Q257" s="1489"/>
      <c r="R257" s="1489"/>
      <c r="S257" s="1489"/>
      <c r="T257" s="1489"/>
      <c r="U257" s="1489"/>
      <c r="V257" s="1489"/>
      <c r="W257" s="1489"/>
      <c r="X257" s="1489"/>
      <c r="Y257" s="1489"/>
      <c r="Z257" s="1489"/>
      <c r="AA257" s="1489"/>
      <c r="AB257" s="1489"/>
      <c r="AC257" s="1489"/>
      <c r="AD257" s="1489"/>
      <c r="AE257" s="1489"/>
      <c r="AF257" s="1489"/>
      <c r="AG257" s="1489"/>
      <c r="AH257" s="1491"/>
      <c r="AI257" s="1491"/>
      <c r="AJ257" s="1491"/>
      <c r="AK257" s="1491"/>
      <c r="AL257" s="1491"/>
      <c r="AM257" s="1491"/>
      <c r="AN257" s="1491"/>
      <c r="AO257" s="1491"/>
      <c r="AP257" s="1491"/>
      <c r="AQ257" s="1491"/>
      <c r="AR257" s="1500"/>
      <c r="AS257" s="1500"/>
      <c r="AT257" s="1500"/>
      <c r="AU257" s="1500"/>
      <c r="AV257" s="1500"/>
      <c r="AW257" s="1500"/>
      <c r="AX257" s="1500"/>
      <c r="AY257" s="1500"/>
      <c r="AZ257" s="1500"/>
      <c r="BA257" s="1500"/>
      <c r="BB257" s="1500"/>
      <c r="BC257" s="1500"/>
      <c r="BD257" s="1500"/>
      <c r="BE257" s="1500"/>
      <c r="BF257" s="1500"/>
      <c r="BG257" s="1500"/>
      <c r="BH257" s="1500"/>
      <c r="BI257" s="1500"/>
      <c r="BJ257" s="1500"/>
      <c r="BK257" s="1500"/>
      <c r="BL257" s="1500"/>
      <c r="BM257" s="1500"/>
      <c r="BN257" s="1500"/>
      <c r="BO257" s="1500"/>
      <c r="BP257" s="1565"/>
      <c r="BQ257" s="1565"/>
      <c r="BR257" s="1565"/>
      <c r="BS257" s="1565"/>
      <c r="BT257" s="1565"/>
      <c r="BU257" s="1565"/>
      <c r="BV257" s="1565"/>
      <c r="BW257" s="1565"/>
      <c r="BX257" s="1591"/>
      <c r="BY257" s="1591"/>
      <c r="BZ257" s="1591"/>
      <c r="CA257" s="1591"/>
      <c r="CB257" s="1591"/>
      <c r="CC257" s="1591"/>
      <c r="CD257" s="1591"/>
      <c r="CE257" s="1591"/>
      <c r="CF257" s="1591"/>
      <c r="CG257" s="1591"/>
      <c r="CH257" s="1591"/>
      <c r="CI257" s="1591"/>
      <c r="CJ257" s="1591"/>
      <c r="CK257" s="1591"/>
      <c r="CL257" s="1500"/>
      <c r="CM257" s="1500"/>
      <c r="CN257" s="1500"/>
      <c r="CO257" s="1500"/>
      <c r="CP257" s="1500"/>
      <c r="CQ257" s="1500"/>
      <c r="CR257" s="1501"/>
      <c r="CS257" s="1500"/>
      <c r="CT257" s="1134"/>
      <c r="CU257" s="1489"/>
      <c r="CV257" s="1489"/>
      <c r="CW257" s="1489"/>
      <c r="CX257" s="1489"/>
      <c r="CY257" s="1489"/>
      <c r="CZ257" s="1489"/>
      <c r="DA257" s="1489"/>
      <c r="DB257" s="1489"/>
      <c r="DC257" s="1489"/>
      <c r="DD257" s="1489"/>
      <c r="DE257" s="1495"/>
      <c r="DF257" s="1500"/>
      <c r="DG257" s="1500"/>
      <c r="DH257" s="1500"/>
      <c r="DI257" s="1500"/>
      <c r="DJ257" s="1500"/>
      <c r="DK257" s="1500"/>
      <c r="DL257" s="1500"/>
      <c r="DM257" s="1500"/>
      <c r="DN257" s="1500"/>
      <c r="DO257" s="1500"/>
      <c r="DP257" s="1500"/>
      <c r="DQ257" s="1500"/>
      <c r="DR257" s="1500"/>
      <c r="DS257" s="1500"/>
      <c r="DT257" s="1500"/>
      <c r="DU257" s="1500"/>
      <c r="DV257" s="1489"/>
      <c r="DW257" s="1489"/>
      <c r="DY257" s="1500"/>
      <c r="DZ257" s="1500"/>
    </row>
    <row r="258" spans="1:130" s="2088" customFormat="1" ht="14.25" customHeight="1">
      <c r="A258" s="2082" t="s">
        <v>663</v>
      </c>
      <c r="B258" s="2082"/>
      <c r="C258" s="2083"/>
      <c r="D258" s="2083"/>
      <c r="E258" s="2083"/>
      <c r="F258" s="2083"/>
      <c r="G258" s="2082"/>
      <c r="H258" s="2082"/>
      <c r="I258" s="2082"/>
      <c r="J258" s="2082"/>
      <c r="K258" s="2082"/>
      <c r="L258" s="2082"/>
      <c r="M258" s="2082"/>
      <c r="N258" s="2082"/>
      <c r="O258" s="2082"/>
      <c r="P258" s="2082"/>
      <c r="Q258" s="2082"/>
      <c r="R258" s="2082"/>
      <c r="S258" s="2082"/>
      <c r="T258" s="2082"/>
      <c r="U258" s="2082"/>
      <c r="V258" s="2082"/>
      <c r="W258" s="2082"/>
      <c r="X258" s="2082"/>
      <c r="Y258" s="2082"/>
      <c r="Z258" s="2082"/>
      <c r="AA258" s="2082"/>
      <c r="AB258" s="2082"/>
      <c r="AC258" s="2082"/>
      <c r="AD258" s="2082"/>
      <c r="AE258" s="2082"/>
      <c r="AF258" s="2082"/>
      <c r="AG258" s="2082"/>
      <c r="AH258" s="2084"/>
      <c r="AI258" s="2084"/>
      <c r="AJ258" s="2084"/>
      <c r="AK258" s="2084"/>
      <c r="AL258" s="2084"/>
      <c r="AM258" s="2084"/>
      <c r="AN258" s="2084"/>
      <c r="AO258" s="2084"/>
      <c r="AP258" s="2084"/>
      <c r="AQ258" s="2084"/>
      <c r="AR258" s="2082"/>
      <c r="AS258" s="2082"/>
      <c r="AT258" s="2082"/>
      <c r="AU258" s="2082"/>
      <c r="AV258" s="2082">
        <f>+AV254+AV251</f>
        <v>25962.736849999983</v>
      </c>
      <c r="AW258" s="2082">
        <f t="shared" ref="AW258:CI258" si="1397">+AW254+AW251</f>
        <v>25564.713480000009</v>
      </c>
      <c r="AX258" s="2082">
        <f t="shared" si="1397"/>
        <v>26555.436949999985</v>
      </c>
      <c r="AY258" s="2082">
        <f t="shared" si="1397"/>
        <v>25255.006377599999</v>
      </c>
      <c r="AZ258" s="2082">
        <f t="shared" si="1397"/>
        <v>34877.022309999971</v>
      </c>
      <c r="BA258" s="2082">
        <f t="shared" si="1397"/>
        <v>33052.740529999995</v>
      </c>
      <c r="BB258" s="2082">
        <f t="shared" si="1397"/>
        <v>32522.73514999999</v>
      </c>
      <c r="BC258" s="2082">
        <f t="shared" si="1397"/>
        <v>26053.796050499997</v>
      </c>
      <c r="BD258" s="2082">
        <f t="shared" si="1397"/>
        <v>32480.583376099985</v>
      </c>
      <c r="BE258" s="2082">
        <f t="shared" si="1397"/>
        <v>95006.187479999964</v>
      </c>
      <c r="BF258" s="2082">
        <f t="shared" si="1397"/>
        <v>157140</v>
      </c>
      <c r="BG258" s="2082">
        <f t="shared" si="1397"/>
        <v>148445.64691999997</v>
      </c>
      <c r="BH258" s="2082">
        <f t="shared" si="1397"/>
        <v>160477.85422000004</v>
      </c>
      <c r="BI258" s="2082">
        <f t="shared" si="1397"/>
        <v>168451.17973999999</v>
      </c>
      <c r="BJ258" s="2082">
        <f t="shared" si="1397"/>
        <v>176801.16649999996</v>
      </c>
      <c r="BK258" s="2082">
        <f t="shared" si="1397"/>
        <v>167818.69107999996</v>
      </c>
      <c r="BL258" s="2082">
        <f t="shared" si="1397"/>
        <v>187727.78346999999</v>
      </c>
      <c r="BM258" s="2082">
        <f t="shared" si="1397"/>
        <v>210267.33202</v>
      </c>
      <c r="BN258" s="2082">
        <f t="shared" si="1397"/>
        <v>232025.60073999999</v>
      </c>
      <c r="BO258" s="2082">
        <f t="shared" si="1397"/>
        <v>250939.96413000004</v>
      </c>
      <c r="BP258" s="2082">
        <f t="shared" si="1397"/>
        <v>337301.22594000009</v>
      </c>
      <c r="BQ258" s="2082">
        <f t="shared" si="1397"/>
        <v>301888.49780000013</v>
      </c>
      <c r="BR258" s="2082">
        <f t="shared" si="1397"/>
        <v>240728.57760000002</v>
      </c>
      <c r="BS258" s="2082">
        <f t="shared" si="1397"/>
        <v>169878</v>
      </c>
      <c r="BT258" s="2082">
        <f t="shared" si="1397"/>
        <v>229977</v>
      </c>
      <c r="BU258" s="2082">
        <f t="shared" si="1397"/>
        <v>277682</v>
      </c>
      <c r="BV258" s="2082">
        <f t="shared" si="1397"/>
        <v>355403</v>
      </c>
      <c r="BW258" s="2082">
        <f t="shared" si="1397"/>
        <v>457900</v>
      </c>
      <c r="BX258" s="2082">
        <f t="shared" si="1397"/>
        <v>651655</v>
      </c>
      <c r="BY258" s="2082">
        <f t="shared" si="1397"/>
        <v>818371</v>
      </c>
      <c r="BZ258" s="2082">
        <f t="shared" si="1397"/>
        <v>960803</v>
      </c>
      <c r="CA258" s="2082">
        <f t="shared" si="1397"/>
        <v>1007621</v>
      </c>
      <c r="CB258" s="2082">
        <f t="shared" si="1397"/>
        <v>1103239</v>
      </c>
      <c r="CC258" s="2082">
        <f t="shared" si="1397"/>
        <v>1102531</v>
      </c>
      <c r="CD258" s="2082">
        <f t="shared" si="1397"/>
        <v>1057866</v>
      </c>
      <c r="CE258" s="2082">
        <f t="shared" si="1397"/>
        <v>945002</v>
      </c>
      <c r="CF258" s="2082">
        <f t="shared" si="1397"/>
        <v>894876.76743001479</v>
      </c>
      <c r="CG258" s="2082">
        <f t="shared" si="1397"/>
        <v>819312.30967001466</v>
      </c>
      <c r="CH258" s="2082">
        <f t="shared" si="1397"/>
        <v>771203.64437999902</v>
      </c>
      <c r="CI258" s="2082">
        <f t="shared" si="1397"/>
        <v>1011741</v>
      </c>
      <c r="CJ258" s="2082">
        <f t="shared" ref="CJ258:CK258" si="1398">+CJ254+CJ251</f>
        <v>1330047</v>
      </c>
      <c r="CK258" s="2082">
        <f t="shared" si="1398"/>
        <v>1347489.4804800001</v>
      </c>
      <c r="CL258" s="2089">
        <f t="shared" ref="CL258" si="1399">+CK258+CL273-CL264</f>
        <v>1252864.4409262699</v>
      </c>
      <c r="CM258" s="2089">
        <f t="shared" ref="CM258" si="1400">+CL258+CM273-CM264</f>
        <v>1215612.5063655926</v>
      </c>
      <c r="CN258" s="2089">
        <f t="shared" ref="CN258" si="1401">+CM258+CN273-CN264</f>
        <v>1300382.4777789158</v>
      </c>
      <c r="CO258" s="2089">
        <f t="shared" ref="CO258" si="1402">+CN258+CO273-CO264</f>
        <v>1335826.8217152106</v>
      </c>
      <c r="CP258" s="2089">
        <f t="shared" ref="CP258" si="1403">+CO258+CP273-CP264</f>
        <v>1304797.5450661685</v>
      </c>
      <c r="CQ258" s="2082"/>
      <c r="CR258" s="2085"/>
      <c r="CS258" s="2089">
        <v>1096743.8438470531</v>
      </c>
      <c r="CT258" s="2086"/>
      <c r="CU258" s="2082"/>
      <c r="CV258" s="2082"/>
      <c r="CW258" s="2082"/>
      <c r="CX258" s="2082"/>
      <c r="CY258" s="2082"/>
      <c r="CZ258" s="2082"/>
      <c r="DA258" s="2082"/>
      <c r="DB258" s="2082"/>
      <c r="DC258" s="2082"/>
      <c r="DD258" s="2082"/>
      <c r="DE258" s="2087"/>
      <c r="DF258" s="2082"/>
      <c r="DG258" s="2082"/>
      <c r="DH258" s="2082"/>
      <c r="DI258" s="2082"/>
      <c r="DJ258" s="2082">
        <f t="shared" ref="DJ258:DP258" si="1404">+DJ254+DJ251</f>
        <v>232025.60073999999</v>
      </c>
      <c r="DK258" s="2082">
        <f t="shared" si="1404"/>
        <v>240728.57760000002</v>
      </c>
      <c r="DL258" s="2082">
        <f t="shared" si="1404"/>
        <v>355403</v>
      </c>
      <c r="DM258" s="2082">
        <f t="shared" si="1404"/>
        <v>960803</v>
      </c>
      <c r="DN258" s="2082">
        <f t="shared" si="1404"/>
        <v>1057866</v>
      </c>
      <c r="DO258" s="2082">
        <f t="shared" si="1404"/>
        <v>771203.64437999902</v>
      </c>
      <c r="DP258" s="2082">
        <f t="shared" si="1404"/>
        <v>1252864.4409262699</v>
      </c>
      <c r="DQ258" s="2082">
        <f t="shared" ref="DQ258" si="1405">+DQ254+DQ251</f>
        <v>1304797.5450661685</v>
      </c>
      <c r="DR258" s="2089">
        <f t="shared" ref="DR258:DU258" si="1406">+DQ258+DR273-DR264</f>
        <v>1278963.216234141</v>
      </c>
      <c r="DS258" s="2089">
        <f t="shared" si="1406"/>
        <v>1246299.2047068207</v>
      </c>
      <c r="DT258" s="2089">
        <f t="shared" si="1406"/>
        <v>1213035.397558945</v>
      </c>
      <c r="DU258" s="2089">
        <f t="shared" si="1406"/>
        <v>1179718.9152279769</v>
      </c>
      <c r="DV258" s="2082"/>
      <c r="DW258" s="2082"/>
      <c r="DY258" s="2082"/>
      <c r="DZ258" s="2082"/>
    </row>
    <row r="259" spans="1:130" s="883" customFormat="1" ht="14.25" customHeight="1">
      <c r="A259" s="1489"/>
      <c r="B259" s="1489"/>
      <c r="C259" s="1490"/>
      <c r="D259" s="1490"/>
      <c r="E259" s="1490"/>
      <c r="F259" s="1490"/>
      <c r="G259" s="1489"/>
      <c r="H259" s="1489"/>
      <c r="I259" s="1489"/>
      <c r="J259" s="1489"/>
      <c r="K259" s="1489"/>
      <c r="L259" s="1489"/>
      <c r="M259" s="1489"/>
      <c r="N259" s="1489"/>
      <c r="O259" s="1489"/>
      <c r="P259" s="1489"/>
      <c r="Q259" s="1489"/>
      <c r="R259" s="1489"/>
      <c r="S259" s="1489"/>
      <c r="T259" s="1489"/>
      <c r="U259" s="1489"/>
      <c r="V259" s="1489"/>
      <c r="W259" s="1489"/>
      <c r="X259" s="1489"/>
      <c r="Y259" s="1489"/>
      <c r="Z259" s="1489"/>
      <c r="AA259" s="1489"/>
      <c r="AB259" s="1489"/>
      <c r="AC259" s="1489"/>
      <c r="AD259" s="1489"/>
      <c r="AE259" s="1489"/>
      <c r="AF259" s="1489"/>
      <c r="AG259" s="1489"/>
      <c r="AH259" s="1491"/>
      <c r="AI259" s="1491"/>
      <c r="AJ259" s="1491"/>
      <c r="AK259" s="1491"/>
      <c r="AL259" s="1491"/>
      <c r="AM259" s="1491"/>
      <c r="AN259" s="1491"/>
      <c r="AO259" s="1491"/>
      <c r="AP259" s="1491"/>
      <c r="AQ259" s="1491"/>
      <c r="AR259" s="1500"/>
      <c r="AS259" s="1500"/>
      <c r="AT259" s="1500"/>
      <c r="AU259" s="1500"/>
      <c r="AV259" s="1500"/>
      <c r="AW259" s="1500"/>
      <c r="AX259" s="1500"/>
      <c r="AY259" s="1500"/>
      <c r="AZ259" s="1500"/>
      <c r="BA259" s="1500"/>
      <c r="BB259" s="1500"/>
      <c r="BC259" s="1500"/>
      <c r="BD259" s="1500"/>
      <c r="BE259" s="1500"/>
      <c r="BF259" s="1500"/>
      <c r="BG259" s="1500"/>
      <c r="BH259" s="1500"/>
      <c r="BI259" s="1500"/>
      <c r="BJ259" s="1500"/>
      <c r="BK259" s="1500"/>
      <c r="BL259" s="1500"/>
      <c r="BM259" s="1500"/>
      <c r="BN259" s="1500"/>
      <c r="BO259" s="1500"/>
      <c r="BP259" s="1565"/>
      <c r="BQ259" s="1565"/>
      <c r="BR259" s="1565"/>
      <c r="BS259" s="1565"/>
      <c r="BT259" s="1565"/>
      <c r="BU259" s="1565"/>
      <c r="BV259" s="1565"/>
      <c r="BW259" s="1565"/>
      <c r="BX259" s="1591"/>
      <c r="BY259" s="1591"/>
      <c r="BZ259" s="1591"/>
      <c r="CA259" s="1591"/>
      <c r="CB259" s="1591"/>
      <c r="CC259" s="1591"/>
      <c r="CD259" s="1591"/>
      <c r="CE259" s="1591"/>
      <c r="CF259" s="1591"/>
      <c r="CG259" s="1591"/>
      <c r="CH259" s="1591"/>
      <c r="CI259" s="1591"/>
      <c r="CJ259" s="1591"/>
      <c r="CK259" s="1591"/>
      <c r="CL259" s="1500"/>
      <c r="CM259" s="1500"/>
      <c r="CN259" s="1500"/>
      <c r="CO259" s="1500"/>
      <c r="CP259" s="1500"/>
      <c r="CQ259" s="1500"/>
      <c r="CR259" s="1501"/>
      <c r="CS259" s="1500"/>
      <c r="CT259" s="1134"/>
      <c r="CU259" s="1489"/>
      <c r="CV259" s="1489"/>
      <c r="CW259" s="1489"/>
      <c r="CX259" s="1489"/>
      <c r="CY259" s="1489"/>
      <c r="CZ259" s="1489"/>
      <c r="DA259" s="1489"/>
      <c r="DB259" s="1489"/>
      <c r="DC259" s="1489"/>
      <c r="DD259" s="1489"/>
      <c r="DE259" s="1495"/>
      <c r="DF259" s="1500"/>
      <c r="DG259" s="1500"/>
      <c r="DH259" s="1500"/>
      <c r="DI259" s="1500"/>
      <c r="DJ259" s="1500"/>
      <c r="DK259" s="1500"/>
      <c r="DL259" s="1500"/>
      <c r="DM259" s="1500"/>
      <c r="DN259" s="1500"/>
      <c r="DO259" s="1500"/>
      <c r="DP259" s="1500"/>
      <c r="DQ259" s="1500"/>
      <c r="DR259" s="1500"/>
      <c r="DS259" s="1500"/>
      <c r="DT259" s="1500"/>
      <c r="DU259" s="1500"/>
      <c r="DV259" s="1489"/>
      <c r="DW259" s="1489"/>
      <c r="DY259" s="1500"/>
      <c r="DZ259" s="1500"/>
    </row>
    <row r="260" spans="1:130" s="1512" customFormat="1" ht="14.25" customHeight="1">
      <c r="A260" s="1489" t="s">
        <v>691</v>
      </c>
      <c r="B260" s="1489"/>
      <c r="C260" s="1489"/>
      <c r="D260" s="1489"/>
      <c r="E260" s="1489"/>
      <c r="F260" s="1489"/>
      <c r="G260" s="1489"/>
      <c r="H260" s="1489"/>
      <c r="I260" s="1489"/>
      <c r="J260" s="1489"/>
      <c r="K260" s="1489"/>
      <c r="L260" s="1489"/>
      <c r="M260" s="1489"/>
      <c r="N260" s="1489"/>
      <c r="O260" s="1489"/>
      <c r="P260" s="1489"/>
      <c r="Q260" s="1489"/>
      <c r="R260" s="1489"/>
      <c r="S260" s="1489"/>
      <c r="T260" s="1489"/>
      <c r="U260" s="1489"/>
      <c r="V260" s="1489"/>
      <c r="W260" s="1489"/>
      <c r="X260" s="1489"/>
      <c r="Y260" s="1489"/>
      <c r="Z260" s="1489"/>
      <c r="AA260" s="1489"/>
      <c r="AB260" s="1489"/>
      <c r="AC260" s="1489"/>
      <c r="AD260" s="1489"/>
      <c r="AE260" s="1489"/>
      <c r="AF260" s="1489"/>
      <c r="AG260" s="1489"/>
      <c r="AH260" s="1489">
        <v>-1290</v>
      </c>
      <c r="AI260" s="1489"/>
      <c r="AJ260" s="1489">
        <v>-2522</v>
      </c>
      <c r="AK260" s="1489">
        <v>-3544</v>
      </c>
      <c r="AL260" s="1489">
        <v>-5242</v>
      </c>
      <c r="AM260" s="1489">
        <v>-5191</v>
      </c>
      <c r="AN260" s="1489">
        <v>-4993</v>
      </c>
      <c r="AO260" s="1489">
        <v>-4587</v>
      </c>
      <c r="AP260" s="1489">
        <v>-6170</v>
      </c>
      <c r="AQ260" s="1489">
        <v>-7362</v>
      </c>
      <c r="AR260" s="1489">
        <v>-11499</v>
      </c>
      <c r="AS260" s="1489">
        <v>-12685</v>
      </c>
      <c r="AT260" s="1489">
        <v>-11926</v>
      </c>
      <c r="AU260" s="1489">
        <v>-12697</v>
      </c>
      <c r="AV260" s="1489">
        <v>-18619</v>
      </c>
      <c r="AW260" s="1489">
        <v>-18861</v>
      </c>
      <c r="AX260" s="1489">
        <v>-20151</v>
      </c>
      <c r="AY260" s="1489">
        <f t="shared" ref="AY260:BD260" si="1407">-AY267</f>
        <v>-20151</v>
      </c>
      <c r="AZ260" s="1489">
        <f t="shared" si="1407"/>
        <v>-25053</v>
      </c>
      <c r="BA260" s="1489">
        <f t="shared" si="1407"/>
        <v>-23836</v>
      </c>
      <c r="BB260" s="1489">
        <f t="shared" si="1407"/>
        <v>-24090</v>
      </c>
      <c r="BC260" s="1496">
        <f t="shared" si="1407"/>
        <v>-21029</v>
      </c>
      <c r="BD260" s="1489">
        <f t="shared" si="1407"/>
        <v>-27390</v>
      </c>
      <c r="BE260" s="1489">
        <f t="shared" ref="BE260:BJ260" si="1408">-BE267</f>
        <v>-85723</v>
      </c>
      <c r="BF260" s="1489">
        <f t="shared" si="1408"/>
        <v>-145545</v>
      </c>
      <c r="BG260" s="1489">
        <f t="shared" si="1408"/>
        <v>-178443</v>
      </c>
      <c r="BH260" s="1489">
        <f t="shared" si="1408"/>
        <v>-193231</v>
      </c>
      <c r="BI260" s="1489">
        <f t="shared" si="1408"/>
        <v>-210462</v>
      </c>
      <c r="BJ260" s="1489">
        <f t="shared" si="1408"/>
        <v>-232007</v>
      </c>
      <c r="BK260" s="1489">
        <v>-236753</v>
      </c>
      <c r="BL260" s="1489">
        <v>-255188</v>
      </c>
      <c r="BM260" s="367">
        <v>-276112.37050000002</v>
      </c>
      <c r="BN260" s="367">
        <v>-287892.05350000004</v>
      </c>
      <c r="BO260" s="367">
        <f t="shared" ref="BO260:BV260" si="1409">-BO267</f>
        <v>-362313</v>
      </c>
      <c r="BP260" s="367">
        <f t="shared" si="1409"/>
        <v>-376353</v>
      </c>
      <c r="BQ260" s="367">
        <f t="shared" si="1409"/>
        <v>-387973</v>
      </c>
      <c r="BR260" s="367">
        <f t="shared" si="1409"/>
        <v>-341385</v>
      </c>
      <c r="BS260" s="367">
        <f t="shared" si="1409"/>
        <v>-290840</v>
      </c>
      <c r="BT260" s="367">
        <f t="shared" si="1409"/>
        <v>-279226</v>
      </c>
      <c r="BU260" s="367">
        <f t="shared" si="1409"/>
        <v>-324260</v>
      </c>
      <c r="BV260" s="367">
        <f t="shared" si="1409"/>
        <v>-405250</v>
      </c>
      <c r="BW260" s="367">
        <f>-BW267</f>
        <v>-477519</v>
      </c>
      <c r="BX260" s="367">
        <f t="shared" ref="BX260:CC260" si="1410">-BX267</f>
        <v>-637141</v>
      </c>
      <c r="BY260" s="367">
        <f>-BY267</f>
        <v>-785696</v>
      </c>
      <c r="BZ260" s="367">
        <f t="shared" si="1410"/>
        <v>-917235</v>
      </c>
      <c r="CA260" s="367">
        <f t="shared" si="1410"/>
        <v>-980253</v>
      </c>
      <c r="CB260" s="367">
        <f t="shared" si="1410"/>
        <v>-1060517</v>
      </c>
      <c r="CC260" s="367">
        <f t="shared" si="1410"/>
        <v>-1068253</v>
      </c>
      <c r="CD260" s="367">
        <f>-CD267</f>
        <v>-1039724</v>
      </c>
      <c r="CE260" s="367">
        <f t="shared" ref="CE260:CH260" si="1411">-CE267</f>
        <v>-952715</v>
      </c>
      <c r="CF260" s="367">
        <f t="shared" si="1411"/>
        <v>-909370</v>
      </c>
      <c r="CG260" s="367">
        <f t="shared" si="1411"/>
        <v>-842241</v>
      </c>
      <c r="CH260" s="367">
        <f t="shared" si="1411"/>
        <v>-809235</v>
      </c>
      <c r="CI260" s="367">
        <f t="shared" ref="CI260:CL260" si="1412">-CI267</f>
        <v>-1001416</v>
      </c>
      <c r="CJ260" s="367">
        <f t="shared" ref="CJ260:CK260" si="1413">-CJ267</f>
        <v>-1247755.2850000001</v>
      </c>
      <c r="CK260" s="367">
        <f t="shared" si="1413"/>
        <v>-1261430</v>
      </c>
      <c r="CL260" s="367">
        <f t="shared" si="1412"/>
        <v>-1166804.9604462697</v>
      </c>
      <c r="CM260" s="367">
        <f t="shared" ref="CM260:CP260" si="1414">-CM267</f>
        <v>-1129553.0258855924</v>
      </c>
      <c r="CN260" s="367">
        <f t="shared" si="1414"/>
        <v>-1214322.9972989156</v>
      </c>
      <c r="CO260" s="367">
        <f t="shared" si="1414"/>
        <v>-1249767.3412352102</v>
      </c>
      <c r="CP260" s="367">
        <f t="shared" si="1414"/>
        <v>-1218738.0645861684</v>
      </c>
      <c r="CQ260" s="367"/>
      <c r="CR260" s="367"/>
      <c r="CS260" s="367">
        <v>-1086418.6888670505</v>
      </c>
      <c r="CT260" s="1134"/>
      <c r="CU260" s="1489"/>
      <c r="CV260" s="1489"/>
      <c r="CW260" s="1489"/>
      <c r="CX260" s="1489"/>
      <c r="CY260" s="1489"/>
      <c r="CZ260" s="1489"/>
      <c r="DA260" s="1489"/>
      <c r="DB260" s="1489"/>
      <c r="DC260" s="1489"/>
      <c r="DD260" s="1489"/>
      <c r="DE260" s="1489"/>
      <c r="DF260" s="1489"/>
      <c r="DG260" s="1489">
        <f>-DG267</f>
        <v>-24090</v>
      </c>
      <c r="DH260" s="1489">
        <f>-DH267</f>
        <v>-145545</v>
      </c>
      <c r="DI260" s="1489">
        <f>-DI267</f>
        <v>-232007</v>
      </c>
      <c r="DJ260" s="1489">
        <f>+BN260</f>
        <v>-287892.05350000004</v>
      </c>
      <c r="DK260" s="1489">
        <f>+BR260</f>
        <v>-341385</v>
      </c>
      <c r="DL260" s="1489">
        <f>+BV260</f>
        <v>-405250</v>
      </c>
      <c r="DM260" s="1489">
        <f>+BZ260</f>
        <v>-917235</v>
      </c>
      <c r="DN260" s="1489">
        <f>+CD260</f>
        <v>-1039724</v>
      </c>
      <c r="DO260" s="1489">
        <f>+CH260</f>
        <v>-809235</v>
      </c>
      <c r="DP260" s="1489">
        <f>+CL260</f>
        <v>-1166804.9604462697</v>
      </c>
      <c r="DQ260" s="1489">
        <f>+CP260</f>
        <v>-1218738.0645861684</v>
      </c>
      <c r="DR260" s="1489">
        <f>-DR267</f>
        <v>-1192903.7357541407</v>
      </c>
      <c r="DS260" s="1489">
        <f t="shared" ref="DS260:DU260" si="1415">-DS267</f>
        <v>-1160239.72422682</v>
      </c>
      <c r="DT260" s="1489">
        <f t="shared" si="1415"/>
        <v>-1126975.9170789442</v>
      </c>
      <c r="DU260" s="1489">
        <f t="shared" si="1415"/>
        <v>-1093659.434747976</v>
      </c>
      <c r="DV260" s="1489"/>
      <c r="DW260" s="1489"/>
      <c r="DY260" s="1489">
        <v>-840826.14052064565</v>
      </c>
      <c r="DZ260" s="1489">
        <v>-776686.10794666829</v>
      </c>
    </row>
    <row r="261" spans="1:130" s="1975" customFormat="1" ht="14.25" customHeight="1">
      <c r="A261" s="1971" t="s">
        <v>670</v>
      </c>
      <c r="B261" s="1971"/>
      <c r="C261" s="1971"/>
      <c r="D261" s="1971"/>
      <c r="E261" s="1971"/>
      <c r="F261" s="1971"/>
      <c r="G261" s="1971"/>
      <c r="H261" s="1971"/>
      <c r="I261" s="1971"/>
      <c r="J261" s="1971"/>
      <c r="K261" s="1971"/>
      <c r="L261" s="1971"/>
      <c r="M261" s="1971"/>
      <c r="N261" s="1971"/>
      <c r="O261" s="1971"/>
      <c r="P261" s="1971"/>
      <c r="Q261" s="1971"/>
      <c r="R261" s="1971"/>
      <c r="S261" s="1971"/>
      <c r="T261" s="1971"/>
      <c r="U261" s="1971"/>
      <c r="V261" s="1971"/>
      <c r="W261" s="1971"/>
      <c r="X261" s="1971"/>
      <c r="Y261" s="1971"/>
      <c r="Z261" s="1971"/>
      <c r="AA261" s="1971"/>
      <c r="AB261" s="1971"/>
      <c r="AC261" s="1971"/>
      <c r="AD261" s="1971"/>
      <c r="AE261" s="1971"/>
      <c r="AF261" s="1971"/>
      <c r="AG261" s="1971"/>
      <c r="AH261" s="1971"/>
      <c r="AI261" s="1971"/>
      <c r="AJ261" s="1971"/>
      <c r="AK261" s="1971"/>
      <c r="AL261" s="1971"/>
      <c r="AM261" s="1971"/>
      <c r="AN261" s="1971"/>
      <c r="AO261" s="1971"/>
      <c r="AP261" s="1971"/>
      <c r="AQ261" s="1972" t="e">
        <f t="shared" ref="AQ261:CH261" si="1416">-AQ260/AQ258</f>
        <v>#DIV/0!</v>
      </c>
      <c r="AR261" s="1972" t="e">
        <f t="shared" si="1416"/>
        <v>#DIV/0!</v>
      </c>
      <c r="AS261" s="1972" t="e">
        <f t="shared" si="1416"/>
        <v>#DIV/0!</v>
      </c>
      <c r="AT261" s="1972" t="e">
        <f t="shared" si="1416"/>
        <v>#DIV/0!</v>
      </c>
      <c r="AU261" s="1972" t="e">
        <f t="shared" si="1416"/>
        <v>#DIV/0!</v>
      </c>
      <c r="AV261" s="1972">
        <f t="shared" si="1416"/>
        <v>0.71714319286027095</v>
      </c>
      <c r="AW261" s="1972">
        <f t="shared" si="1416"/>
        <v>0.73777474622414552</v>
      </c>
      <c r="AX261" s="1972">
        <f t="shared" si="1416"/>
        <v>0.75882765694804399</v>
      </c>
      <c r="AY261" s="1972">
        <f t="shared" si="1416"/>
        <v>0.79790120416968047</v>
      </c>
      <c r="AZ261" s="1972">
        <f t="shared" si="1416"/>
        <v>0.71832393767219005</v>
      </c>
      <c r="BA261" s="1972">
        <f t="shared" si="1416"/>
        <v>0.7211504891210303</v>
      </c>
      <c r="BB261" s="1972">
        <f t="shared" si="1416"/>
        <v>0.74071260885325652</v>
      </c>
      <c r="BC261" s="1972">
        <f t="shared" si="1416"/>
        <v>0.8071376608322085</v>
      </c>
      <c r="BD261" s="1972">
        <f t="shared" si="1416"/>
        <v>0.8432730312397726</v>
      </c>
      <c r="BE261" s="1972">
        <f t="shared" si="1416"/>
        <v>0.90228860112975062</v>
      </c>
      <c r="BF261" s="1972">
        <f t="shared" si="1416"/>
        <v>0.9262122947689958</v>
      </c>
      <c r="BG261" s="1972">
        <f t="shared" si="1416"/>
        <v>1.202076340414119</v>
      </c>
      <c r="BH261" s="1972">
        <f t="shared" si="1416"/>
        <v>1.204097605487038</v>
      </c>
      <c r="BI261" s="1972">
        <f t="shared" si="1416"/>
        <v>1.2493946336549415</v>
      </c>
      <c r="BJ261" s="1972">
        <f t="shared" si="1416"/>
        <v>1.3122481293131063</v>
      </c>
      <c r="BK261" s="1972">
        <f t="shared" si="1416"/>
        <v>1.4107665747859917</v>
      </c>
      <c r="BL261" s="1972">
        <f t="shared" si="1416"/>
        <v>1.3593512653431001</v>
      </c>
      <c r="BM261" s="1972">
        <f t="shared" si="1416"/>
        <v>1.3131491603923382</v>
      </c>
      <c r="BN261" s="1972">
        <f t="shared" si="1416"/>
        <v>1.2407771064133655</v>
      </c>
      <c r="BO261" s="1972">
        <f t="shared" si="1416"/>
        <v>1.4438234310590039</v>
      </c>
      <c r="BP261" s="1972">
        <f t="shared" si="1416"/>
        <v>1.1157771483076273</v>
      </c>
      <c r="BQ261" s="1972">
        <f t="shared" si="1416"/>
        <v>1.2851533027171858</v>
      </c>
      <c r="BR261" s="1972">
        <f t="shared" si="1416"/>
        <v>1.418132418691282</v>
      </c>
      <c r="BS261" s="1972">
        <f t="shared" si="1416"/>
        <v>1.7120521786223055</v>
      </c>
      <c r="BT261" s="1972">
        <f t="shared" si="1416"/>
        <v>1.2141475017066925</v>
      </c>
      <c r="BU261" s="1972">
        <f t="shared" si="1416"/>
        <v>1.1677386362817899</v>
      </c>
      <c r="BV261" s="1972">
        <f t="shared" si="1416"/>
        <v>1.1402548656032729</v>
      </c>
      <c r="BW261" s="1972">
        <f t="shared" si="1416"/>
        <v>1.0428455994758681</v>
      </c>
      <c r="BX261" s="1972">
        <f t="shared" si="1416"/>
        <v>0.97772747849705754</v>
      </c>
      <c r="BY261" s="1972">
        <f t="shared" si="1416"/>
        <v>0.96007312087060759</v>
      </c>
      <c r="BZ261" s="1972">
        <f t="shared" si="1416"/>
        <v>0.95465459620754722</v>
      </c>
      <c r="CA261" s="1972">
        <f t="shared" si="1416"/>
        <v>0.97283899402652385</v>
      </c>
      <c r="CB261" s="1972">
        <f t="shared" si="1416"/>
        <v>0.96127584322164106</v>
      </c>
      <c r="CC261" s="1972">
        <f t="shared" si="1416"/>
        <v>0.96890971773129286</v>
      </c>
      <c r="CD261" s="1972">
        <f t="shared" si="1416"/>
        <v>0.98285037991579272</v>
      </c>
      <c r="CE261" s="1972">
        <f t="shared" si="1416"/>
        <v>1.0081618874880689</v>
      </c>
      <c r="CF261" s="1972">
        <f t="shared" si="1416"/>
        <v>1.0161957859422457</v>
      </c>
      <c r="CG261" s="1972">
        <f t="shared" si="1416"/>
        <v>1.027985287245617</v>
      </c>
      <c r="CH261" s="1972">
        <f t="shared" si="1416"/>
        <v>1.0493142841027105</v>
      </c>
      <c r="CI261" s="1972">
        <f>-CI260/CI258</f>
        <v>0.9897948190297714</v>
      </c>
      <c r="CJ261" s="1972">
        <f>-CJ260/CJ258</f>
        <v>0.93812871650400331</v>
      </c>
      <c r="CK261" s="1972">
        <f>-CK260/CK258</f>
        <v>0.93613346766214145</v>
      </c>
      <c r="CL261" s="1972">
        <f t="shared" ref="CL261:CP261" si="1417">-CL260/CL258</f>
        <v>0.9313098227798895</v>
      </c>
      <c r="CM261" s="1972">
        <f t="shared" si="1417"/>
        <v>0.9292048411567444</v>
      </c>
      <c r="CN261" s="1972">
        <f t="shared" si="1417"/>
        <v>0.9338198707298857</v>
      </c>
      <c r="CO261" s="1972">
        <f t="shared" si="1417"/>
        <v>0.93557587025427491</v>
      </c>
      <c r="CP261" s="1972">
        <f t="shared" si="1417"/>
        <v>0.93404380564217271</v>
      </c>
      <c r="CQ261" s="1973"/>
      <c r="CR261" s="1973"/>
      <c r="CS261" s="1972">
        <v>1.3362354392753735</v>
      </c>
      <c r="CT261" s="1974"/>
      <c r="CU261" s="1971"/>
      <c r="CV261" s="1971"/>
      <c r="CW261" s="1971"/>
      <c r="CX261" s="1971"/>
      <c r="CY261" s="1971"/>
      <c r="CZ261" s="1971"/>
      <c r="DA261" s="1971"/>
      <c r="DB261" s="1971"/>
      <c r="DC261" s="1971"/>
      <c r="DD261" s="1971"/>
      <c r="DE261" s="1971"/>
      <c r="DF261" s="1971"/>
      <c r="DG261" s="1972">
        <f t="shared" ref="DG261:DI261" si="1418">-DG260/DG251</f>
        <v>0.74071260885325652</v>
      </c>
      <c r="DH261" s="1972">
        <f t="shared" si="1418"/>
        <v>0.9262122947689958</v>
      </c>
      <c r="DI261" s="1972">
        <f t="shared" si="1418"/>
        <v>1.3122481293131063</v>
      </c>
      <c r="DJ261" s="1972">
        <f t="shared" ref="DJ261:DU261" si="1419">-DJ260/DJ258</f>
        <v>1.2407771064133655</v>
      </c>
      <c r="DK261" s="1972">
        <f t="shared" si="1419"/>
        <v>1.418132418691282</v>
      </c>
      <c r="DL261" s="1972">
        <f t="shared" si="1419"/>
        <v>1.1402548656032729</v>
      </c>
      <c r="DM261" s="1972">
        <f t="shared" si="1419"/>
        <v>0.95465459620754722</v>
      </c>
      <c r="DN261" s="1972">
        <f t="shared" si="1419"/>
        <v>0.98285037991579272</v>
      </c>
      <c r="DO261" s="1972">
        <f t="shared" si="1419"/>
        <v>1.0493142841027105</v>
      </c>
      <c r="DP261" s="1972">
        <f t="shared" si="1419"/>
        <v>0.9313098227798895</v>
      </c>
      <c r="DQ261" s="1972">
        <f t="shared" ref="DQ261" si="1420">-DQ260/DQ258</f>
        <v>0.93404380564217271</v>
      </c>
      <c r="DR261" s="1972">
        <f t="shared" si="1419"/>
        <v>0.93271152806614777</v>
      </c>
      <c r="DS261" s="1972">
        <f t="shared" si="1419"/>
        <v>0.9309479776966999</v>
      </c>
      <c r="DT261" s="1972">
        <f t="shared" si="1419"/>
        <v>0.92905443596025072</v>
      </c>
      <c r="DU261" s="1972">
        <f t="shared" si="1419"/>
        <v>0.92705085985387448</v>
      </c>
      <c r="DV261" s="1971"/>
      <c r="DW261" s="1971"/>
      <c r="DY261" s="1972">
        <v>1.0046218406918643</v>
      </c>
      <c r="DZ261" s="1972">
        <v>1.0050054304643303</v>
      </c>
    </row>
    <row r="262" spans="1:130" s="883" customFormat="1" ht="14.25" customHeight="1">
      <c r="A262" s="1489"/>
      <c r="B262" s="1489"/>
      <c r="C262" s="1490"/>
      <c r="D262" s="1490"/>
      <c r="E262" s="1490"/>
      <c r="F262" s="1490"/>
      <c r="G262" s="1489"/>
      <c r="H262" s="1489"/>
      <c r="I262" s="1489"/>
      <c r="J262" s="1489"/>
      <c r="K262" s="1489"/>
      <c r="L262" s="1489"/>
      <c r="M262" s="1489"/>
      <c r="N262" s="1489"/>
      <c r="O262" s="1489"/>
      <c r="P262" s="1489"/>
      <c r="Q262" s="1489"/>
      <c r="R262" s="1489"/>
      <c r="S262" s="1489"/>
      <c r="T262" s="1489"/>
      <c r="U262" s="1489"/>
      <c r="V262" s="1489"/>
      <c r="W262" s="1489"/>
      <c r="X262" s="1489"/>
      <c r="Y262" s="1489"/>
      <c r="Z262" s="1489"/>
      <c r="AA262" s="1489"/>
      <c r="AB262" s="1489"/>
      <c r="AC262" s="1489"/>
      <c r="AD262" s="1489"/>
      <c r="AE262" s="1489"/>
      <c r="AF262" s="1489"/>
      <c r="AG262" s="1489"/>
      <c r="AH262" s="1491"/>
      <c r="AI262" s="1491"/>
      <c r="AJ262" s="1491"/>
      <c r="AK262" s="1491"/>
      <c r="AL262" s="1491"/>
      <c r="AM262" s="1491"/>
      <c r="AN262" s="1491"/>
      <c r="AO262" s="1491"/>
      <c r="AP262" s="1491"/>
      <c r="AQ262" s="1491"/>
      <c r="AR262" s="1491"/>
      <c r="AS262" s="1491"/>
      <c r="AT262" s="1491"/>
      <c r="AU262" s="1491"/>
      <c r="AV262" s="1491"/>
      <c r="AW262" s="1491"/>
      <c r="AX262" s="1491"/>
      <c r="AY262" s="1491"/>
      <c r="AZ262" s="1491"/>
      <c r="BA262" s="1491"/>
      <c r="BB262" s="1491"/>
      <c r="BC262" s="1497"/>
      <c r="BD262" s="1491"/>
      <c r="BE262" s="1491"/>
      <c r="BF262" s="1491"/>
      <c r="BG262" s="1491"/>
      <c r="BH262" s="1491"/>
      <c r="BI262" s="1491"/>
      <c r="BJ262" s="1491"/>
      <c r="BK262" s="1491"/>
      <c r="BL262" s="1491"/>
      <c r="BM262" s="1499"/>
      <c r="BN262" s="1499"/>
      <c r="BO262" s="1499"/>
      <c r="BP262" s="1499"/>
      <c r="BQ262" s="1499"/>
      <c r="BR262" s="1499"/>
      <c r="BS262" s="1499"/>
      <c r="BT262" s="1499"/>
      <c r="BU262" s="1499"/>
      <c r="BV262" s="1499"/>
      <c r="BW262" s="1499"/>
      <c r="BX262" s="1499"/>
      <c r="BY262" s="1499"/>
      <c r="BZ262" s="1499"/>
      <c r="CA262" s="1499"/>
      <c r="CB262" s="1499"/>
      <c r="CC262" s="1499"/>
      <c r="CD262" s="1499"/>
      <c r="CE262" s="1499"/>
      <c r="CF262" s="1499"/>
      <c r="CG262" s="1499"/>
      <c r="CH262" s="1499"/>
      <c r="CI262" s="1499"/>
      <c r="CJ262" s="1499"/>
      <c r="CK262" s="1499"/>
      <c r="CL262" s="1499"/>
      <c r="CM262" s="1499"/>
      <c r="CN262" s="1499"/>
      <c r="CO262" s="1499"/>
      <c r="CP262" s="1499"/>
      <c r="CQ262" s="1499"/>
      <c r="CR262" s="1499"/>
      <c r="CS262" s="1499"/>
      <c r="CT262" s="1134"/>
      <c r="CU262" s="1489"/>
      <c r="CV262" s="1489"/>
      <c r="CW262" s="1489"/>
      <c r="CX262" s="1489"/>
      <c r="CY262" s="1489"/>
      <c r="CZ262" s="1489"/>
      <c r="DA262" s="1489"/>
      <c r="DB262" s="1489"/>
      <c r="DC262" s="1489"/>
      <c r="DD262" s="1489"/>
      <c r="DE262" s="1495"/>
      <c r="DF262" s="1495"/>
      <c r="DG262" s="1495"/>
      <c r="DH262" s="1495"/>
      <c r="DI262" s="1495"/>
      <c r="DJ262" s="1489"/>
      <c r="DK262" s="1489"/>
      <c r="DL262" s="1489"/>
      <c r="DM262" s="1489"/>
      <c r="DN262" s="1489"/>
      <c r="DO262" s="1489"/>
      <c r="DP262" s="1489"/>
      <c r="DQ262" s="1489"/>
      <c r="DR262" s="1495"/>
      <c r="DS262" s="1495"/>
      <c r="DT262" s="1495"/>
      <c r="DU262" s="1495"/>
      <c r="DV262" s="1489"/>
      <c r="DW262" s="1489"/>
      <c r="DY262" s="1495"/>
      <c r="DZ262" s="1495"/>
    </row>
    <row r="263" spans="1:130" s="656" customFormat="1" ht="14.25" customHeight="1">
      <c r="A263" s="1513" t="s">
        <v>664</v>
      </c>
      <c r="B263" s="1513"/>
      <c r="C263" s="1514"/>
      <c r="D263" s="1514"/>
      <c r="E263" s="1514"/>
      <c r="F263" s="1514"/>
      <c r="G263" s="1515"/>
      <c r="H263" s="1515"/>
      <c r="I263" s="1515"/>
      <c r="J263" s="1515"/>
      <c r="K263" s="1515"/>
      <c r="L263" s="1515"/>
      <c r="M263" s="1515"/>
      <c r="N263" s="1515"/>
      <c r="O263" s="1515"/>
      <c r="P263" s="1515"/>
      <c r="Q263" s="1515"/>
      <c r="R263" s="1515"/>
      <c r="S263" s="1516"/>
      <c r="T263" s="1516"/>
      <c r="U263" s="1516"/>
      <c r="V263" s="1516"/>
      <c r="W263" s="1516"/>
      <c r="X263" s="1516"/>
      <c r="Y263" s="1516"/>
      <c r="Z263" s="1516"/>
      <c r="AA263" s="1514"/>
      <c r="AB263" s="1514"/>
      <c r="AC263" s="1514"/>
      <c r="AD263" s="1514"/>
      <c r="AE263" s="1514"/>
      <c r="AF263" s="1514"/>
      <c r="AG263" s="1514"/>
      <c r="AH263" s="1514"/>
      <c r="AI263" s="1514"/>
      <c r="AJ263" s="1514"/>
      <c r="AK263" s="1514"/>
      <c r="AL263" s="1514"/>
      <c r="AM263" s="1514"/>
      <c r="AN263" s="1514"/>
      <c r="AO263" s="1514"/>
      <c r="AP263" s="1514"/>
      <c r="AQ263" s="1514"/>
      <c r="AR263" s="1514"/>
      <c r="AS263" s="1514"/>
      <c r="AT263" s="1514"/>
      <c r="AU263" s="1514"/>
      <c r="AV263" s="1514"/>
      <c r="AW263" s="1514"/>
      <c r="AX263" s="1514"/>
      <c r="AY263" s="1517">
        <v>20151</v>
      </c>
      <c r="AZ263" s="1518">
        <f t="shared" ref="AZ263:BJ263" si="1421">AY267</f>
        <v>20151</v>
      </c>
      <c r="BA263" s="1518">
        <f t="shared" si="1421"/>
        <v>25053</v>
      </c>
      <c r="BB263" s="1519">
        <f t="shared" si="1421"/>
        <v>23836</v>
      </c>
      <c r="BC263" s="1518">
        <f t="shared" si="1421"/>
        <v>24090</v>
      </c>
      <c r="BD263" s="1519">
        <f t="shared" si="1421"/>
        <v>21029</v>
      </c>
      <c r="BE263" s="1519">
        <f>BD267</f>
        <v>27390</v>
      </c>
      <c r="BF263" s="1519">
        <f t="shared" si="1421"/>
        <v>85723</v>
      </c>
      <c r="BG263" s="1518">
        <f t="shared" si="1421"/>
        <v>145545</v>
      </c>
      <c r="BH263" s="1518">
        <f>BG267</f>
        <v>178443</v>
      </c>
      <c r="BI263" s="1518">
        <f>BH267</f>
        <v>193231</v>
      </c>
      <c r="BJ263" s="1518">
        <f t="shared" si="1421"/>
        <v>210462</v>
      </c>
      <c r="BK263" s="1519">
        <f t="shared" ref="BK263:BV263" si="1422">BJ267</f>
        <v>232007</v>
      </c>
      <c r="BL263" s="1519">
        <f t="shared" si="1422"/>
        <v>236753</v>
      </c>
      <c r="BM263" s="1519">
        <f t="shared" si="1422"/>
        <v>255188</v>
      </c>
      <c r="BN263" s="1519">
        <f t="shared" si="1422"/>
        <v>276112</v>
      </c>
      <c r="BO263" s="1519">
        <f t="shared" si="1422"/>
        <v>287892</v>
      </c>
      <c r="BP263" s="1519">
        <f t="shared" si="1422"/>
        <v>362313</v>
      </c>
      <c r="BQ263" s="1519">
        <f t="shared" si="1422"/>
        <v>376353</v>
      </c>
      <c r="BR263" s="1519">
        <f t="shared" si="1422"/>
        <v>387973</v>
      </c>
      <c r="BS263" s="1519">
        <f t="shared" si="1422"/>
        <v>341385</v>
      </c>
      <c r="BT263" s="1519">
        <f t="shared" si="1422"/>
        <v>290840</v>
      </c>
      <c r="BU263" s="1519">
        <f t="shared" si="1422"/>
        <v>279226</v>
      </c>
      <c r="BV263" s="1519">
        <f t="shared" si="1422"/>
        <v>324260</v>
      </c>
      <c r="BW263" s="1519">
        <f t="shared" ref="BW263:CD263" si="1423">BV267</f>
        <v>405250</v>
      </c>
      <c r="BX263" s="1519">
        <f t="shared" si="1423"/>
        <v>477519</v>
      </c>
      <c r="BY263" s="1519">
        <f t="shared" si="1423"/>
        <v>637141</v>
      </c>
      <c r="BZ263" s="1519">
        <f t="shared" si="1423"/>
        <v>785696</v>
      </c>
      <c r="CA263" s="1519">
        <f t="shared" si="1423"/>
        <v>917235</v>
      </c>
      <c r="CB263" s="1519">
        <f t="shared" si="1423"/>
        <v>980253</v>
      </c>
      <c r="CC263" s="1519">
        <f t="shared" si="1423"/>
        <v>1060517</v>
      </c>
      <c r="CD263" s="1519">
        <f t="shared" si="1423"/>
        <v>1068253</v>
      </c>
      <c r="CE263" s="1519">
        <f t="shared" ref="CE263" si="1424">CD267</f>
        <v>1039724</v>
      </c>
      <c r="CF263" s="1519">
        <f t="shared" ref="CF263" si="1425">CE267</f>
        <v>952715</v>
      </c>
      <c r="CG263" s="1519">
        <f t="shared" ref="CG263" si="1426">CF267</f>
        <v>909370</v>
      </c>
      <c r="CH263" s="1519">
        <f t="shared" ref="CH263" si="1427">CG267</f>
        <v>842241</v>
      </c>
      <c r="CI263" s="1519">
        <f t="shared" ref="CI263" si="1428">CH267</f>
        <v>809235</v>
      </c>
      <c r="CJ263" s="1519">
        <f t="shared" ref="CJ263" si="1429">CI267</f>
        <v>1001416</v>
      </c>
      <c r="CK263" s="1519">
        <f t="shared" ref="CK263" si="1430">CJ267</f>
        <v>1247755.2850000001</v>
      </c>
      <c r="CL263" s="1519">
        <f t="shared" ref="CL263" si="1431">CK267</f>
        <v>1261430</v>
      </c>
      <c r="CM263" s="1519">
        <f t="shared" ref="CM263" si="1432">CL267</f>
        <v>1166804.9604462697</v>
      </c>
      <c r="CN263" s="1519">
        <f t="shared" ref="CN263" si="1433">CM267</f>
        <v>1129553.0258855924</v>
      </c>
      <c r="CO263" s="1519">
        <f t="shared" ref="CO263" si="1434">CN267</f>
        <v>1214322.9972989156</v>
      </c>
      <c r="CP263" s="1519">
        <f t="shared" ref="CP263" si="1435">CO267</f>
        <v>1249767.3412352102</v>
      </c>
      <c r="CQ263" s="1519"/>
      <c r="CR263" s="1519"/>
      <c r="CS263" s="1519">
        <v>1001416</v>
      </c>
      <c r="CT263" s="1134"/>
      <c r="CU263" s="1513"/>
      <c r="CV263" s="1513"/>
      <c r="CW263" s="1515"/>
      <c r="CX263" s="1515"/>
      <c r="CY263" s="1515"/>
      <c r="CZ263" s="1515"/>
      <c r="DA263" s="1520"/>
      <c r="DB263" s="1520"/>
      <c r="DC263" s="1520"/>
      <c r="DD263" s="1520"/>
      <c r="DE263" s="1520"/>
      <c r="DF263" s="1520"/>
      <c r="DG263" s="1519">
        <f>DF267</f>
        <v>0</v>
      </c>
      <c r="DH263" s="1519">
        <f>DG267</f>
        <v>24090</v>
      </c>
      <c r="DI263" s="1519">
        <f>DH267</f>
        <v>145545</v>
      </c>
      <c r="DJ263" s="1519">
        <f>DI267</f>
        <v>232007</v>
      </c>
      <c r="DK263" s="1519">
        <f>DJ267</f>
        <v>287892</v>
      </c>
      <c r="DL263" s="1519">
        <f t="shared" ref="DL263:DR263" si="1436">+DK267</f>
        <v>341385</v>
      </c>
      <c r="DM263" s="1519">
        <f t="shared" si="1436"/>
        <v>405250</v>
      </c>
      <c r="DN263" s="1519">
        <f t="shared" si="1436"/>
        <v>917235</v>
      </c>
      <c r="DO263" s="1519">
        <f t="shared" si="1436"/>
        <v>1039724</v>
      </c>
      <c r="DP263" s="1519">
        <f t="shared" si="1436"/>
        <v>809235</v>
      </c>
      <c r="DQ263" s="1519">
        <f t="shared" si="1436"/>
        <v>1166804.9604462697</v>
      </c>
      <c r="DR263" s="1519">
        <f t="shared" si="1436"/>
        <v>1218738.0645861684</v>
      </c>
      <c r="DS263" s="1519">
        <f t="shared" ref="DS263" si="1437">+DR267</f>
        <v>1192903.7357541407</v>
      </c>
      <c r="DT263" s="1519">
        <f t="shared" ref="DT263" si="1438">+DS267</f>
        <v>1160239.72422682</v>
      </c>
      <c r="DU263" s="1519">
        <f t="shared" ref="DU263" si="1439">+DT267</f>
        <v>1126975.9170789442</v>
      </c>
      <c r="DV263" s="1513"/>
      <c r="DW263" s="1513"/>
      <c r="DY263" s="1519">
        <v>982564.83980349102</v>
      </c>
      <c r="DZ263" s="1519">
        <v>840826.14052064565</v>
      </c>
    </row>
    <row r="264" spans="1:130" s="656" customFormat="1" ht="14.25" customHeight="1">
      <c r="A264" s="1521" t="s">
        <v>692</v>
      </c>
      <c r="B264" s="1521"/>
      <c r="C264" s="1522"/>
      <c r="D264" s="1522"/>
      <c r="E264" s="1522"/>
      <c r="F264" s="1522"/>
      <c r="G264" s="1523"/>
      <c r="H264" s="1523"/>
      <c r="I264" s="1523"/>
      <c r="J264" s="1523"/>
      <c r="K264" s="1523"/>
      <c r="L264" s="1523"/>
      <c r="M264" s="1523"/>
      <c r="N264" s="1523"/>
      <c r="O264" s="1523"/>
      <c r="P264" s="1523"/>
      <c r="Q264" s="1523"/>
      <c r="R264" s="1523"/>
      <c r="S264" s="1524"/>
      <c r="T264" s="1524"/>
      <c r="U264" s="1524"/>
      <c r="V264" s="1524"/>
      <c r="W264" s="1524"/>
      <c r="X264" s="1524"/>
      <c r="Y264" s="1524"/>
      <c r="Z264" s="1524"/>
      <c r="AA264" s="1522"/>
      <c r="AB264" s="1522"/>
      <c r="AC264" s="1522"/>
      <c r="AD264" s="1522"/>
      <c r="AE264" s="1522"/>
      <c r="AF264" s="1522"/>
      <c r="AG264" s="1522"/>
      <c r="AH264" s="1522"/>
      <c r="AI264" s="1522"/>
      <c r="AJ264" s="1522"/>
      <c r="AK264" s="1522"/>
      <c r="AL264" s="1522"/>
      <c r="AM264" s="1522"/>
      <c r="AN264" s="1522"/>
      <c r="AO264" s="1522"/>
      <c r="AP264" s="1522"/>
      <c r="AQ264" s="1522"/>
      <c r="AR264" s="1522"/>
      <c r="AS264" s="1522"/>
      <c r="AT264" s="1522"/>
      <c r="AU264" s="1522"/>
      <c r="AV264" s="1522"/>
      <c r="AW264" s="1522"/>
      <c r="AX264" s="1522"/>
      <c r="AY264" s="1525">
        <v>31273</v>
      </c>
      <c r="AZ264" s="1526">
        <f>60475-AY264</f>
        <v>29202</v>
      </c>
      <c r="BA264" s="1526">
        <f>100160-AZ264-AY264</f>
        <v>39685</v>
      </c>
      <c r="BB264" s="1525">
        <f>138164-BA264-AZ264-AY264</f>
        <v>38004</v>
      </c>
      <c r="BC264" s="1525">
        <v>39592</v>
      </c>
      <c r="BD264" s="1526">
        <f>70319-BC264</f>
        <v>30727</v>
      </c>
      <c r="BE264" s="1526">
        <f>70319-BD264-BC264</f>
        <v>0</v>
      </c>
      <c r="BF264" s="1526">
        <f>70697-BE264-BD264-BC264</f>
        <v>378</v>
      </c>
      <c r="BG264" s="1526">
        <v>27297</v>
      </c>
      <c r="BH264" s="1526">
        <f>70921-BG264</f>
        <v>43624</v>
      </c>
      <c r="BI264" s="1526">
        <f>113915-BH264-BG264</f>
        <v>42994</v>
      </c>
      <c r="BJ264" s="1526">
        <f>153106-BI264-BH264-BG264</f>
        <v>39191</v>
      </c>
      <c r="BK264" s="1526">
        <v>54255</v>
      </c>
      <c r="BL264" s="1526">
        <f>112285-BK264</f>
        <v>58030</v>
      </c>
      <c r="BM264" s="1526">
        <f>167681-BL264-BK264</f>
        <v>55396</v>
      </c>
      <c r="BN264" s="1526">
        <f>224678-BM264-BL264-BK264</f>
        <v>56997</v>
      </c>
      <c r="BO264" s="1526">
        <v>72287</v>
      </c>
      <c r="BP264" s="1526">
        <f>151227-BO264</f>
        <v>78940</v>
      </c>
      <c r="BQ264" s="1526">
        <f>233309-BP264-BO264</f>
        <v>82082</v>
      </c>
      <c r="BR264" s="1526">
        <f>318567-BQ264-BP264-BO264</f>
        <v>85258</v>
      </c>
      <c r="BS264" s="1526">
        <v>122671</v>
      </c>
      <c r="BT264" s="1526">
        <f>199683-BS264</f>
        <v>77012</v>
      </c>
      <c r="BU264" s="1526">
        <f>247618-BT264-BS264</f>
        <v>47935</v>
      </c>
      <c r="BV264" s="1526">
        <f>304038-BU264-BT264-BS264</f>
        <v>56420</v>
      </c>
      <c r="BW264" s="1526">
        <v>95060</v>
      </c>
      <c r="BX264" s="1526">
        <f>190544-BW264</f>
        <v>95484</v>
      </c>
      <c r="BY264" s="1526">
        <f>323089-BX264-BW264</f>
        <v>132545</v>
      </c>
      <c r="BZ264" s="1526">
        <f>503962-BY264-BX264-BW264</f>
        <v>180873</v>
      </c>
      <c r="CA264" s="1526">
        <v>261444</v>
      </c>
      <c r="CB264" s="1526">
        <f>549795-CA264</f>
        <v>288351</v>
      </c>
      <c r="CC264" s="1526">
        <f>862009-CB264-CA264</f>
        <v>312214</v>
      </c>
      <c r="CD264" s="1526">
        <f>1186185-CC264-CB264-CA264</f>
        <v>324176</v>
      </c>
      <c r="CE264" s="1526">
        <v>370511</v>
      </c>
      <c r="CF264" s="1526">
        <f>707058-CE264</f>
        <v>336547</v>
      </c>
      <c r="CG264" s="1526">
        <f>1011220-CF264-CE264</f>
        <v>304162</v>
      </c>
      <c r="CH264" s="1526">
        <f>1276395-CG264-CF264-CE264</f>
        <v>265175</v>
      </c>
      <c r="CI264" s="1526">
        <v>11</v>
      </c>
      <c r="CJ264" s="1526">
        <v>0.71499999999999997</v>
      </c>
      <c r="CK264" s="1526">
        <f>247201-CJ264-CI264</f>
        <v>247189.285</v>
      </c>
      <c r="CL264" s="1527">
        <f>+CL265*AVERAGE(CJ254:CK254)</f>
        <v>316725.09716399998</v>
      </c>
      <c r="CM264" s="1527">
        <f t="shared" ref="CM264:CP264" si="1440">+CM265*AVERAGE(CK254:CL254)</f>
        <v>290751.06252832513</v>
      </c>
      <c r="CN264" s="1527">
        <f t="shared" si="1440"/>
        <v>276005.6195979843</v>
      </c>
      <c r="CO264" s="1527">
        <f t="shared" si="1440"/>
        <v>281318.71163150843</v>
      </c>
      <c r="CP264" s="1527">
        <f t="shared" si="1440"/>
        <v>294760.12805997452</v>
      </c>
      <c r="CQ264" s="1527"/>
      <c r="CR264" s="1527"/>
      <c r="CS264" s="1527">
        <v>179988.72050849957</v>
      </c>
      <c r="CT264" s="1134"/>
      <c r="CU264" s="1521"/>
      <c r="CV264" s="1521"/>
      <c r="CW264" s="1523"/>
      <c r="CX264" s="1523"/>
      <c r="CY264" s="1523"/>
      <c r="CZ264" s="1523"/>
      <c r="DA264" s="1528"/>
      <c r="DB264" s="1528"/>
      <c r="DC264" s="1528"/>
      <c r="DD264" s="1528"/>
      <c r="DE264" s="1528"/>
      <c r="DF264" s="1528"/>
      <c r="DG264" s="1529"/>
      <c r="DH264" s="1529"/>
      <c r="DI264" s="1530">
        <f>+SUM(BG264:BJ264)</f>
        <v>153106</v>
      </c>
      <c r="DJ264" s="1530">
        <f>+SUM(BK264:BN264)</f>
        <v>224678</v>
      </c>
      <c r="DK264" s="1530">
        <f>+SUM(BO264:BR264)</f>
        <v>318567</v>
      </c>
      <c r="DL264" s="1530">
        <f>+SUM(BS264:BV264)</f>
        <v>304038</v>
      </c>
      <c r="DM264" s="1530">
        <f>+SUM(BW264:BZ264)</f>
        <v>503962</v>
      </c>
      <c r="DN264" s="1530">
        <f>+SUM(CA264:CD264)</f>
        <v>1186185</v>
      </c>
      <c r="DO264" s="1530">
        <f>+SUM(CE264:CH264)</f>
        <v>1276395</v>
      </c>
      <c r="DP264" s="1530">
        <f>+SUM(CI264:CL264)</f>
        <v>563926.09716399992</v>
      </c>
      <c r="DQ264" s="1530">
        <f>+SUM(CM264:CP264)</f>
        <v>1142835.5218177924</v>
      </c>
      <c r="DR264" s="1527">
        <f t="shared" ref="DR264:DU264" si="1441">+DR265*DQ258</f>
        <v>1190207.7627646737</v>
      </c>
      <c r="DS264" s="1527">
        <f t="shared" si="1441"/>
        <v>1166642.2534349216</v>
      </c>
      <c r="DT264" s="1527">
        <f t="shared" si="1441"/>
        <v>1136846.857030432</v>
      </c>
      <c r="DU264" s="1527">
        <f t="shared" si="1441"/>
        <v>1106504.3401884793</v>
      </c>
      <c r="DV264" s="1521"/>
      <c r="DW264" s="1521"/>
      <c r="DY264" s="1527">
        <v>1126005.2458466303</v>
      </c>
      <c r="DZ264" s="1527">
        <v>1020233.0102063698</v>
      </c>
    </row>
    <row r="265" spans="1:130" s="656" customFormat="1" ht="14.25" customHeight="1">
      <c r="A265" s="1521" t="s">
        <v>666</v>
      </c>
      <c r="B265" s="1521"/>
      <c r="C265" s="1522"/>
      <c r="D265" s="1522"/>
      <c r="E265" s="1522"/>
      <c r="F265" s="1522"/>
      <c r="G265" s="1523"/>
      <c r="H265" s="1523"/>
      <c r="I265" s="1523"/>
      <c r="J265" s="1523"/>
      <c r="K265" s="1523"/>
      <c r="L265" s="1523"/>
      <c r="M265" s="1523"/>
      <c r="N265" s="1523"/>
      <c r="O265" s="1523"/>
      <c r="P265" s="1523"/>
      <c r="Q265" s="1523"/>
      <c r="R265" s="1523"/>
      <c r="S265" s="1524"/>
      <c r="T265" s="1524"/>
      <c r="U265" s="1524"/>
      <c r="V265" s="1524"/>
      <c r="W265" s="1524"/>
      <c r="X265" s="1524"/>
      <c r="Y265" s="1524"/>
      <c r="Z265" s="1524"/>
      <c r="AA265" s="1522"/>
      <c r="AB265" s="1522"/>
      <c r="AC265" s="1522"/>
      <c r="AD265" s="1522"/>
      <c r="AE265" s="1522"/>
      <c r="AF265" s="1522"/>
      <c r="AG265" s="1522"/>
      <c r="AH265" s="1522"/>
      <c r="AI265" s="1522"/>
      <c r="AJ265" s="1522"/>
      <c r="AK265" s="1522"/>
      <c r="AL265" s="1522"/>
      <c r="AM265" s="1522"/>
      <c r="AN265" s="1522"/>
      <c r="AO265" s="1522"/>
      <c r="AP265" s="1522"/>
      <c r="AQ265" s="1522"/>
      <c r="AR265" s="1522"/>
      <c r="AS265" s="1522"/>
      <c r="AT265" s="1522"/>
      <c r="AU265" s="1522"/>
      <c r="AV265" s="1522"/>
      <c r="AW265" s="1522"/>
      <c r="AX265" s="1522"/>
      <c r="AY265" s="1531">
        <f t="shared" ref="AY265:BE265" si="1442">+AY264/AVERAGE(AX245:AY245)</f>
        <v>0.33636104523283267</v>
      </c>
      <c r="AZ265" s="1531">
        <f t="shared" si="1442"/>
        <v>0.26452524593727922</v>
      </c>
      <c r="BA265" s="1531">
        <f t="shared" si="1442"/>
        <v>0.34552111130942792</v>
      </c>
      <c r="BB265" s="1531">
        <f t="shared" si="1442"/>
        <v>0.36226026613794943</v>
      </c>
      <c r="BC265" s="1531">
        <f t="shared" si="1442"/>
        <v>0.37555906527605848</v>
      </c>
      <c r="BD265" s="1531">
        <f t="shared" si="1442"/>
        <v>0.18370031147805604</v>
      </c>
      <c r="BE265" s="1531">
        <f t="shared" si="1442"/>
        <v>0</v>
      </c>
      <c r="BF265" s="1531">
        <f t="shared" ref="BF265:CJ265" si="1443">+BF264/AVERAGE(BD245:BE245)</f>
        <v>1.8853145908214097E-3</v>
      </c>
      <c r="BG265" s="1531">
        <f t="shared" si="1443"/>
        <v>0.13272099273678248</v>
      </c>
      <c r="BH265" s="1531">
        <f t="shared" si="1443"/>
        <v>0.18215344187080384</v>
      </c>
      <c r="BI265" s="1531">
        <f t="shared" si="1443"/>
        <v>0.16679569889183832</v>
      </c>
      <c r="BJ265" s="1531">
        <f t="shared" si="1443"/>
        <v>0.1265082546755773</v>
      </c>
      <c r="BK265" s="1531">
        <f t="shared" si="1443"/>
        <v>0.1504435943970818</v>
      </c>
      <c r="BL265" s="1531">
        <f t="shared" si="1443"/>
        <v>0.17434453064325126</v>
      </c>
      <c r="BM265" s="1531">
        <f t="shared" si="1443"/>
        <v>0.17514418286846412</v>
      </c>
      <c r="BN265" s="1531">
        <f t="shared" si="1443"/>
        <v>0.16522538976454748</v>
      </c>
      <c r="BO265" s="1531">
        <f t="shared" si="1443"/>
        <v>0.20074146587022962</v>
      </c>
      <c r="BP265" s="1531">
        <f t="shared" si="1443"/>
        <v>0.1979744910513315</v>
      </c>
      <c r="BQ265" s="1531">
        <f t="shared" si="1443"/>
        <v>0.1795395427726908</v>
      </c>
      <c r="BR265" s="1531">
        <f t="shared" si="1443"/>
        <v>0.19744244573769143</v>
      </c>
      <c r="BS265" s="1531">
        <f t="shared" si="1443"/>
        <v>0.34702995724712332</v>
      </c>
      <c r="BT265" s="1531">
        <f t="shared" si="1443"/>
        <v>0.23477240809261074</v>
      </c>
      <c r="BU265" s="1531">
        <f t="shared" si="1443"/>
        <v>0.13486272474190114</v>
      </c>
      <c r="BV265" s="1531">
        <f t="shared" si="1443"/>
        <v>0.13042704338398303</v>
      </c>
      <c r="BW265" s="1531">
        <f t="shared" si="1443"/>
        <v>0.17683048195886356</v>
      </c>
      <c r="BX265" s="1531">
        <f t="shared" si="1443"/>
        <v>0.13442448934771375</v>
      </c>
      <c r="BY265" s="1531">
        <f t="shared" si="1443"/>
        <v>0.14135931897539156</v>
      </c>
      <c r="BZ265" s="1531">
        <f t="shared" si="1443"/>
        <v>0.15865141081806264</v>
      </c>
      <c r="CA265" s="1531">
        <f t="shared" si="1443"/>
        <v>0.20200081590268507</v>
      </c>
      <c r="CB265" s="1531">
        <f t="shared" si="1443"/>
        <v>0.20464634664777884</v>
      </c>
      <c r="CC265" s="1531">
        <f t="shared" si="1443"/>
        <v>0.20932823199661818</v>
      </c>
      <c r="CD265" s="1531">
        <f t="shared" si="1443"/>
        <v>0.21696247449230568</v>
      </c>
      <c r="CE265" s="1531">
        <f t="shared" si="1443"/>
        <v>0.26169283752782829</v>
      </c>
      <c r="CF265" s="1531">
        <f t="shared" si="1443"/>
        <v>0.25309223867363595</v>
      </c>
      <c r="CG265" s="1531">
        <f t="shared" si="1443"/>
        <v>0.24294258341937222</v>
      </c>
      <c r="CH265" s="1531">
        <f t="shared" si="1443"/>
        <v>0.22774667228368325</v>
      </c>
      <c r="CI265" s="1531">
        <f t="shared" si="1443"/>
        <v>1.0092021511382876E-5</v>
      </c>
      <c r="CJ265" s="1531">
        <f t="shared" si="1443"/>
        <v>5.9587067287883374E-7</v>
      </c>
      <c r="CK265" s="1531">
        <f>+CK264/AVERAGE(CI254:CJ254)</f>
        <v>0.72679568611874279</v>
      </c>
      <c r="CL265" s="1532">
        <v>0.7</v>
      </c>
      <c r="CM265" s="1532">
        <v>0.7</v>
      </c>
      <c r="CN265" s="1532">
        <v>0.7</v>
      </c>
      <c r="CO265" s="1532">
        <v>0.7</v>
      </c>
      <c r="CP265" s="1532">
        <v>0.7</v>
      </c>
      <c r="CQ265" s="1532"/>
      <c r="CR265" s="1532"/>
      <c r="CS265" s="1532">
        <v>0.15</v>
      </c>
      <c r="CT265" s="1134"/>
      <c r="CU265" s="1521"/>
      <c r="CV265" s="1521"/>
      <c r="CW265" s="1523"/>
      <c r="CX265" s="1523"/>
      <c r="CY265" s="1523"/>
      <c r="CZ265" s="1523"/>
      <c r="DA265" s="1528"/>
      <c r="DB265" s="1528"/>
      <c r="DC265" s="1528"/>
      <c r="DD265" s="1528"/>
      <c r="DE265" s="1528"/>
      <c r="DF265" s="1528"/>
      <c r="DG265" s="1529"/>
      <c r="DH265" s="1529"/>
      <c r="DI265" s="1531">
        <f t="shared" ref="DI265:DN265" si="1444">+DI264/AVERAGE(DH245)</f>
        <v>0.66627780979796902</v>
      </c>
      <c r="DJ265" s="1531">
        <f t="shared" si="1444"/>
        <v>0.61049159303096501</v>
      </c>
      <c r="DK265" s="1531">
        <f t="shared" si="1444"/>
        <v>0.87235543061089471</v>
      </c>
      <c r="DL265" s="1531">
        <f t="shared" si="1444"/>
        <v>0.93430088463715344</v>
      </c>
      <c r="DM265" s="1531">
        <f t="shared" si="1444"/>
        <v>0.85384292171838683</v>
      </c>
      <c r="DN265" s="1531">
        <f t="shared" si="1444"/>
        <v>0.87651361598582422</v>
      </c>
      <c r="DO265" s="1531">
        <f>+DO264/AVERAGE(DN245)</f>
        <v>0.93742288484136316</v>
      </c>
      <c r="DP265" s="1531">
        <f>+DP264/DO258</f>
        <v>0.73122851697279301</v>
      </c>
      <c r="DQ265" s="1531">
        <f>+DQ264/DP258</f>
        <v>0.91217811319863895</v>
      </c>
      <c r="DR265" s="1532">
        <f>+DQ265</f>
        <v>0.91217811319863895</v>
      </c>
      <c r="DS265" s="1532">
        <f t="shared" ref="DS265:DU265" si="1445">+DR265</f>
        <v>0.91217811319863895</v>
      </c>
      <c r="DT265" s="1532">
        <f t="shared" si="1445"/>
        <v>0.91217811319863895</v>
      </c>
      <c r="DU265" s="1532">
        <f t="shared" si="1445"/>
        <v>0.91217811319863895</v>
      </c>
      <c r="DV265" s="1521"/>
      <c r="DW265" s="1521"/>
      <c r="DY265" s="1532">
        <v>0.85</v>
      </c>
      <c r="DZ265" s="1532">
        <v>0.85</v>
      </c>
    </row>
    <row r="266" spans="1:130" s="656" customFormat="1" ht="14.25" customHeight="1">
      <c r="A266" s="1521" t="s">
        <v>693</v>
      </c>
      <c r="B266" s="1521"/>
      <c r="C266" s="1522"/>
      <c r="D266" s="1522"/>
      <c r="E266" s="1522"/>
      <c r="F266" s="1522"/>
      <c r="G266" s="1523"/>
      <c r="H266" s="1523"/>
      <c r="I266" s="1523"/>
      <c r="J266" s="1523"/>
      <c r="K266" s="1523"/>
      <c r="L266" s="1523"/>
      <c r="M266" s="1523"/>
      <c r="N266" s="1523"/>
      <c r="O266" s="1523"/>
      <c r="P266" s="1523"/>
      <c r="Q266" s="1523"/>
      <c r="R266" s="1523"/>
      <c r="S266" s="1524"/>
      <c r="T266" s="1524"/>
      <c r="U266" s="1524"/>
      <c r="V266" s="1524"/>
      <c r="W266" s="1524"/>
      <c r="X266" s="1524"/>
      <c r="Y266" s="1524"/>
      <c r="Z266" s="1524"/>
      <c r="AA266" s="1522"/>
      <c r="AB266" s="1522"/>
      <c r="AC266" s="1522"/>
      <c r="AD266" s="1522"/>
      <c r="AE266" s="1522"/>
      <c r="AF266" s="1522"/>
      <c r="AG266" s="1522"/>
      <c r="AH266" s="1522"/>
      <c r="AI266" s="1522"/>
      <c r="AJ266" s="1522"/>
      <c r="AK266" s="1522"/>
      <c r="AL266" s="1522"/>
      <c r="AM266" s="1522"/>
      <c r="AN266" s="1522"/>
      <c r="AO266" s="1522"/>
      <c r="AP266" s="1522"/>
      <c r="AQ266" s="1522"/>
      <c r="AR266" s="1522"/>
      <c r="AS266" s="1522"/>
      <c r="AT266" s="1522"/>
      <c r="AU266" s="1522"/>
      <c r="AV266" s="1522"/>
      <c r="AW266" s="1522"/>
      <c r="AX266" s="1522"/>
      <c r="AY266" s="1525">
        <v>-31273</v>
      </c>
      <c r="AZ266" s="1526">
        <f>-65377-AY266</f>
        <v>-34104</v>
      </c>
      <c r="BA266" s="1526">
        <f>-103845-AZ266-AY266</f>
        <v>-38468</v>
      </c>
      <c r="BB266" s="1525">
        <f>-142103-BA266-AZ266-AY266</f>
        <v>-38258</v>
      </c>
      <c r="BC266" s="1525">
        <v>-36531</v>
      </c>
      <c r="BD266" s="1525">
        <f>-73619-BC266</f>
        <v>-37088</v>
      </c>
      <c r="BE266" s="1525">
        <f>-131952-BD266-BC266</f>
        <v>-58333</v>
      </c>
      <c r="BF266" s="1525">
        <f>-192152-BE266-BD266-BC266</f>
        <v>-60200</v>
      </c>
      <c r="BG266" s="1525">
        <f>-15939-44256</f>
        <v>-60195</v>
      </c>
      <c r="BH266" s="1525">
        <f>-15947-102660-BG266</f>
        <v>-58412</v>
      </c>
      <c r="BI266" s="1525">
        <f>-15947-162885-BH266-BG266</f>
        <v>-60225</v>
      </c>
      <c r="BJ266" s="1525">
        <f>-223621-15947-BI266-BH266-BG266</f>
        <v>-60736</v>
      </c>
      <c r="BK266" s="1525">
        <v>-59001</v>
      </c>
      <c r="BL266" s="1525">
        <f>-135466-BK266</f>
        <v>-76465</v>
      </c>
      <c r="BM266" s="1525">
        <f>-211786-BL266-BK266</f>
        <v>-76320</v>
      </c>
      <c r="BN266" s="1525">
        <f>-280563-BM266-BL266-BK266</f>
        <v>-68777</v>
      </c>
      <c r="BO266" s="1525">
        <v>-146708</v>
      </c>
      <c r="BP266" s="1525">
        <f>-239688-BO266</f>
        <v>-92980</v>
      </c>
      <c r="BQ266" s="1525">
        <f>-333390-BP266-BO266</f>
        <v>-93702</v>
      </c>
      <c r="BR266" s="1525">
        <f>-372060-BQ266-BP266-BO266</f>
        <v>-38670</v>
      </c>
      <c r="BS266" s="1525">
        <v>-72126</v>
      </c>
      <c r="BT266" s="1525">
        <f>-137524-BS266</f>
        <v>-65398</v>
      </c>
      <c r="BU266" s="1525">
        <f>-230493-BT266-BS266</f>
        <v>-92969</v>
      </c>
      <c r="BV266" s="1525">
        <f>-367903-BU266-BT266-BS266</f>
        <v>-137410</v>
      </c>
      <c r="BW266" s="1525">
        <v>-167329</v>
      </c>
      <c r="BX266" s="1525">
        <f>-422435-BW266</f>
        <v>-255106</v>
      </c>
      <c r="BY266" s="1525">
        <f>-703535-BX266-BW266</f>
        <v>-281100</v>
      </c>
      <c r="BZ266" s="1525">
        <f>-1015947-BY266-BX266-BW266</f>
        <v>-312412</v>
      </c>
      <c r="CA266" s="1525">
        <v>-324462</v>
      </c>
      <c r="CB266" s="1525">
        <f>-693077-CA266</f>
        <v>-368615</v>
      </c>
      <c r="CC266" s="1525">
        <f>-1013027-CB266-CA266</f>
        <v>-319950</v>
      </c>
      <c r="CD266" s="1525">
        <f>-1308674-CC266-CB266-CA266</f>
        <v>-295647</v>
      </c>
      <c r="CE266" s="1525">
        <v>-283502</v>
      </c>
      <c r="CF266" s="1525">
        <f>-576704-CE266</f>
        <v>-293202</v>
      </c>
      <c r="CG266" s="1525">
        <f>-813737-CF266-CE266</f>
        <v>-237033</v>
      </c>
      <c r="CH266" s="1525">
        <f>-1045906-CG266-CF266-CE266</f>
        <v>-232169</v>
      </c>
      <c r="CI266" s="1525">
        <v>-192192</v>
      </c>
      <c r="CJ266" s="1525">
        <f>-438532-CI266</f>
        <v>-246340</v>
      </c>
      <c r="CK266" s="1525">
        <f>-699396-CJ266-CI266</f>
        <v>-260864</v>
      </c>
      <c r="CL266" s="1533">
        <f t="shared" ref="CL266:CP266" si="1446">+CL278*CL273</f>
        <v>-222100.05761026961</v>
      </c>
      <c r="CM266" s="1533">
        <f t="shared" si="1446"/>
        <v>-253499.12796764786</v>
      </c>
      <c r="CN266" s="1533">
        <f t="shared" si="1446"/>
        <v>-360775.59101130738</v>
      </c>
      <c r="CO266" s="1533">
        <f t="shared" si="1446"/>
        <v>-316763.05556780304</v>
      </c>
      <c r="CP266" s="1533">
        <f t="shared" si="1446"/>
        <v>-263730.85141093266</v>
      </c>
      <c r="CQ266" s="1533"/>
      <c r="CR266" s="1533"/>
      <c r="CS266" s="1533">
        <v>-264991.40937554999</v>
      </c>
      <c r="CT266" s="1134"/>
      <c r="CU266" s="1521"/>
      <c r="CV266" s="1521"/>
      <c r="CW266" s="1523"/>
      <c r="CX266" s="1523"/>
      <c r="CY266" s="1523"/>
      <c r="CZ266" s="1523"/>
      <c r="DA266" s="1528"/>
      <c r="DB266" s="1528"/>
      <c r="DC266" s="1528"/>
      <c r="DD266" s="1528"/>
      <c r="DE266" s="1528"/>
      <c r="DF266" s="1528"/>
      <c r="DG266" s="1529"/>
      <c r="DH266" s="1529"/>
      <c r="DI266" s="1530">
        <f>+SUM(BG266:BJ266)</f>
        <v>-239568</v>
      </c>
      <c r="DJ266" s="1530">
        <f>+SUM(BK266:BN266)</f>
        <v>-280563</v>
      </c>
      <c r="DK266" s="1530">
        <f>+SUM(BO266:BR266)</f>
        <v>-372060</v>
      </c>
      <c r="DL266" s="1530">
        <f>+SUM(BS266:BV266)</f>
        <v>-367903</v>
      </c>
      <c r="DM266" s="1530">
        <f>+SUM(BW266:BZ266)</f>
        <v>-1015947</v>
      </c>
      <c r="DN266" s="1530">
        <f>+SUM(CA266:CD266)</f>
        <v>-1308674</v>
      </c>
      <c r="DO266" s="1530">
        <f>+SUM(CE266:CH266)</f>
        <v>-1045906</v>
      </c>
      <c r="DP266" s="1530">
        <f>+SUM(CI266:CL266)</f>
        <v>-921496.05761026964</v>
      </c>
      <c r="DQ266" s="1530">
        <f>+SUM(CM266:CP266)</f>
        <v>-1194768.6259576909</v>
      </c>
      <c r="DR266" s="1533">
        <f>+DR278*DR273</f>
        <v>-1164373.4339326459</v>
      </c>
      <c r="DS266" s="1533">
        <f t="shared" ref="DS266:DU266" si="1447">+DS278*DS273</f>
        <v>-1133978.241907601</v>
      </c>
      <c r="DT266" s="1533">
        <f t="shared" si="1447"/>
        <v>-1103583.0498825561</v>
      </c>
      <c r="DU266" s="1533">
        <f t="shared" si="1447"/>
        <v>-1073187.8578575111</v>
      </c>
      <c r="DV266" s="1521"/>
      <c r="DW266" s="1521"/>
      <c r="DY266" s="1533">
        <v>-984266.54656378494</v>
      </c>
      <c r="DZ266" s="1533">
        <v>-956092.97763239243</v>
      </c>
    </row>
    <row r="267" spans="1:130" s="656" customFormat="1" ht="14.25" customHeight="1">
      <c r="A267" s="1513" t="s">
        <v>694</v>
      </c>
      <c r="B267" s="1521"/>
      <c r="C267" s="1522"/>
      <c r="D267" s="1522"/>
      <c r="E267" s="1522"/>
      <c r="F267" s="1522"/>
      <c r="G267" s="1523"/>
      <c r="H267" s="1523"/>
      <c r="I267" s="1523"/>
      <c r="J267" s="1523"/>
      <c r="K267" s="1523"/>
      <c r="L267" s="1523"/>
      <c r="M267" s="1523"/>
      <c r="N267" s="1523"/>
      <c r="O267" s="1523"/>
      <c r="P267" s="1523"/>
      <c r="Q267" s="1523"/>
      <c r="R267" s="1523"/>
      <c r="S267" s="1524"/>
      <c r="T267" s="1524"/>
      <c r="U267" s="1524"/>
      <c r="V267" s="1524"/>
      <c r="W267" s="1524"/>
      <c r="X267" s="1524"/>
      <c r="Y267" s="1524"/>
      <c r="Z267" s="1524"/>
      <c r="AA267" s="1522"/>
      <c r="AB267" s="1522"/>
      <c r="AC267" s="1522"/>
      <c r="AD267" s="1522"/>
      <c r="AE267" s="1522"/>
      <c r="AF267" s="1522"/>
      <c r="AG267" s="1522"/>
      <c r="AH267" s="1522"/>
      <c r="AI267" s="1522"/>
      <c r="AJ267" s="1522"/>
      <c r="AK267" s="1522"/>
      <c r="AL267" s="1522"/>
      <c r="AM267" s="1522"/>
      <c r="AN267" s="1522"/>
      <c r="AO267" s="1522"/>
      <c r="AP267" s="1522"/>
      <c r="AQ267" s="1522"/>
      <c r="AR267" s="1522"/>
      <c r="AS267" s="1522"/>
      <c r="AT267" s="1522"/>
      <c r="AU267" s="1522"/>
      <c r="AV267" s="1522"/>
      <c r="AW267" s="1522"/>
      <c r="AX267" s="1522"/>
      <c r="AY267" s="1534">
        <f t="shared" ref="AY267:BI267" si="1448">+AY263-AY264-AY266</f>
        <v>20151</v>
      </c>
      <c r="AZ267" s="1518">
        <f t="shared" si="1448"/>
        <v>25053</v>
      </c>
      <c r="BA267" s="1518">
        <f t="shared" si="1448"/>
        <v>23836</v>
      </c>
      <c r="BB267" s="1519">
        <f t="shared" si="1448"/>
        <v>24090</v>
      </c>
      <c r="BC267" s="1519">
        <f t="shared" si="1448"/>
        <v>21029</v>
      </c>
      <c r="BD267" s="1519">
        <f t="shared" si="1448"/>
        <v>27390</v>
      </c>
      <c r="BE267" s="1519">
        <f t="shared" si="1448"/>
        <v>85723</v>
      </c>
      <c r="BF267" s="1519">
        <f t="shared" si="1448"/>
        <v>145545</v>
      </c>
      <c r="BG267" s="1519">
        <f t="shared" si="1448"/>
        <v>178443</v>
      </c>
      <c r="BH267" s="1519">
        <f t="shared" si="1448"/>
        <v>193231</v>
      </c>
      <c r="BI267" s="1519">
        <f t="shared" si="1448"/>
        <v>210462</v>
      </c>
      <c r="BJ267" s="1519">
        <f t="shared" ref="BJ267:BW267" si="1449">+BJ263-BJ264-BJ266</f>
        <v>232007</v>
      </c>
      <c r="BK267" s="1519">
        <f t="shared" si="1449"/>
        <v>236753</v>
      </c>
      <c r="BL267" s="1519">
        <f t="shared" si="1449"/>
        <v>255188</v>
      </c>
      <c r="BM267" s="1519">
        <f t="shared" si="1449"/>
        <v>276112</v>
      </c>
      <c r="BN267" s="1519">
        <f t="shared" si="1449"/>
        <v>287892</v>
      </c>
      <c r="BO267" s="1519">
        <f t="shared" si="1449"/>
        <v>362313</v>
      </c>
      <c r="BP267" s="1519">
        <f t="shared" si="1449"/>
        <v>376353</v>
      </c>
      <c r="BQ267" s="1519">
        <f t="shared" si="1449"/>
        <v>387973</v>
      </c>
      <c r="BR267" s="1519">
        <f t="shared" si="1449"/>
        <v>341385</v>
      </c>
      <c r="BS267" s="1519">
        <f t="shared" si="1449"/>
        <v>290840</v>
      </c>
      <c r="BT267" s="1519">
        <f t="shared" si="1449"/>
        <v>279226</v>
      </c>
      <c r="BU267" s="1519">
        <f t="shared" si="1449"/>
        <v>324260</v>
      </c>
      <c r="BV267" s="1519">
        <f t="shared" si="1449"/>
        <v>405250</v>
      </c>
      <c r="BW267" s="1519">
        <f t="shared" si="1449"/>
        <v>477519</v>
      </c>
      <c r="BX267" s="1519">
        <f t="shared" ref="BX267:CD267" si="1450">+BX263-BX264-BX266</f>
        <v>637141</v>
      </c>
      <c r="BY267" s="1519">
        <f>+BY263-BY264-BY266</f>
        <v>785696</v>
      </c>
      <c r="BZ267" s="1519">
        <f t="shared" si="1450"/>
        <v>917235</v>
      </c>
      <c r="CA267" s="1519">
        <f t="shared" si="1450"/>
        <v>980253</v>
      </c>
      <c r="CB267" s="1519">
        <f t="shared" si="1450"/>
        <v>1060517</v>
      </c>
      <c r="CC267" s="1519">
        <f t="shared" si="1450"/>
        <v>1068253</v>
      </c>
      <c r="CD267" s="1519">
        <f t="shared" si="1450"/>
        <v>1039724</v>
      </c>
      <c r="CE267" s="1519">
        <f t="shared" ref="CE267:CH267" si="1451">+CE263-CE264-CE266</f>
        <v>952715</v>
      </c>
      <c r="CF267" s="1519">
        <f t="shared" si="1451"/>
        <v>909370</v>
      </c>
      <c r="CG267" s="1519">
        <f t="shared" si="1451"/>
        <v>842241</v>
      </c>
      <c r="CH267" s="1519">
        <f t="shared" si="1451"/>
        <v>809235</v>
      </c>
      <c r="CI267" s="1519">
        <f t="shared" ref="CI267:CL267" si="1452">+CI263-CI264-CI266</f>
        <v>1001416</v>
      </c>
      <c r="CJ267" s="1519">
        <f t="shared" ref="CJ267" si="1453">+CJ263-CJ264-CJ266</f>
        <v>1247755.2850000001</v>
      </c>
      <c r="CK267" s="1519">
        <f t="shared" si="1452"/>
        <v>1261430</v>
      </c>
      <c r="CL267" s="1519">
        <f t="shared" si="1452"/>
        <v>1166804.9604462697</v>
      </c>
      <c r="CM267" s="1519">
        <f t="shared" ref="CM267:CP267" si="1454">+CM263-CM264-CM266</f>
        <v>1129553.0258855924</v>
      </c>
      <c r="CN267" s="1519">
        <f t="shared" si="1454"/>
        <v>1214322.9972989156</v>
      </c>
      <c r="CO267" s="1519">
        <f t="shared" si="1454"/>
        <v>1249767.3412352102</v>
      </c>
      <c r="CP267" s="1519">
        <f t="shared" si="1454"/>
        <v>1218738.0645861684</v>
      </c>
      <c r="CQ267" s="1519"/>
      <c r="CR267" s="1535"/>
      <c r="CS267" s="1519">
        <v>1086418.6888670505</v>
      </c>
      <c r="CT267" s="1134"/>
      <c r="CU267" s="1521"/>
      <c r="CV267" s="1521"/>
      <c r="CW267" s="1523"/>
      <c r="CX267" s="1523"/>
      <c r="CY267" s="1523"/>
      <c r="CZ267" s="1523"/>
      <c r="DA267" s="1528"/>
      <c r="DB267" s="1528"/>
      <c r="DC267" s="1528"/>
      <c r="DD267" s="1528"/>
      <c r="DE267" s="1528"/>
      <c r="DF267" s="1536"/>
      <c r="DG267" s="1536">
        <f>+BB267</f>
        <v>24090</v>
      </c>
      <c r="DH267" s="1536">
        <f>+BF267</f>
        <v>145545</v>
      </c>
      <c r="DI267" s="1536">
        <f>+BJ267</f>
        <v>232007</v>
      </c>
      <c r="DJ267" s="1536">
        <f>+BN267</f>
        <v>287892</v>
      </c>
      <c r="DK267" s="1536">
        <f>+BR267</f>
        <v>341385</v>
      </c>
      <c r="DL267" s="1518">
        <f>+BV267</f>
        <v>405250</v>
      </c>
      <c r="DM267" s="1518">
        <f>+BZ267</f>
        <v>917235</v>
      </c>
      <c r="DN267" s="1518">
        <f>+CD267</f>
        <v>1039724</v>
      </c>
      <c r="DO267" s="1518">
        <f>+CH267</f>
        <v>809235</v>
      </c>
      <c r="DP267" s="1518">
        <f>+CL267</f>
        <v>1166804.9604462697</v>
      </c>
      <c r="DQ267" s="1518">
        <f>+CP267</f>
        <v>1218738.0645861684</v>
      </c>
      <c r="DR267" s="1519">
        <f>+DR263-DR264-DR266</f>
        <v>1192903.7357541407</v>
      </c>
      <c r="DS267" s="1519">
        <f t="shared" ref="DS267:DU267" si="1455">+DS263-DS264-DS266</f>
        <v>1160239.72422682</v>
      </c>
      <c r="DT267" s="1519">
        <f t="shared" si="1455"/>
        <v>1126975.9170789442</v>
      </c>
      <c r="DU267" s="1519">
        <f t="shared" si="1455"/>
        <v>1093659.434747976</v>
      </c>
      <c r="DV267" s="1521"/>
      <c r="DW267" s="1521"/>
      <c r="DY267" s="1519">
        <v>840826.14052064565</v>
      </c>
      <c r="DZ267" s="1519">
        <v>776686.10794666829</v>
      </c>
    </row>
    <row r="268" spans="1:130" s="656" customFormat="1" ht="14.25" customHeight="1">
      <c r="A268" s="1521" t="s">
        <v>669</v>
      </c>
      <c r="B268" s="1521"/>
      <c r="C268" s="1522"/>
      <c r="D268" s="1522"/>
      <c r="E268" s="1522"/>
      <c r="F268" s="1522"/>
      <c r="G268" s="1523"/>
      <c r="H268" s="1523"/>
      <c r="I268" s="1523"/>
      <c r="J268" s="1523"/>
      <c r="K268" s="1523"/>
      <c r="L268" s="1523"/>
      <c r="M268" s="1523"/>
      <c r="N268" s="1523"/>
      <c r="O268" s="1523"/>
      <c r="P268" s="1523"/>
      <c r="Q268" s="1523"/>
      <c r="R268" s="1523"/>
      <c r="S268" s="1524"/>
      <c r="T268" s="1524"/>
      <c r="U268" s="1524"/>
      <c r="V268" s="1524"/>
      <c r="W268" s="1524"/>
      <c r="X268" s="1524"/>
      <c r="Y268" s="1524"/>
      <c r="Z268" s="1524"/>
      <c r="AA268" s="1522"/>
      <c r="AB268" s="1522"/>
      <c r="AC268" s="1522"/>
      <c r="AD268" s="1522"/>
      <c r="AE268" s="1522"/>
      <c r="AF268" s="1522"/>
      <c r="AG268" s="1522"/>
      <c r="AH268" s="1522"/>
      <c r="AI268" s="1522"/>
      <c r="AJ268" s="1522"/>
      <c r="AK268" s="1522"/>
      <c r="AL268" s="1522"/>
      <c r="AM268" s="1522"/>
      <c r="AN268" s="1522"/>
      <c r="AO268" s="1522"/>
      <c r="AP268" s="1522"/>
      <c r="AQ268" s="1522"/>
      <c r="AR268" s="1522"/>
      <c r="AS268" s="1522"/>
      <c r="AT268" s="1522"/>
      <c r="AU268" s="1522"/>
      <c r="AV268" s="1522"/>
      <c r="AW268" s="1522"/>
      <c r="AX268" s="1522"/>
      <c r="AY268" s="1523">
        <f t="shared" ref="AY268:CD268" si="1456">+AY267/AY240</f>
        <v>4.5030871991293721E-2</v>
      </c>
      <c r="AZ268" s="1523">
        <f t="shared" si="1456"/>
        <v>5.2333414800749503E-2</v>
      </c>
      <c r="BA268" s="1523">
        <f t="shared" si="1456"/>
        <v>4.8440853222345058E-2</v>
      </c>
      <c r="BB268" s="1523">
        <f t="shared" si="1456"/>
        <v>4.5498844114047414E-2</v>
      </c>
      <c r="BC268" s="1523">
        <f t="shared" si="1456"/>
        <v>3.6647316846194197E-2</v>
      </c>
      <c r="BD268" s="1523">
        <f t="shared" si="1456"/>
        <v>3.2897779069613817E-2</v>
      </c>
      <c r="BE268" s="1523">
        <f t="shared" si="1456"/>
        <v>9.6520770336613604E-2</v>
      </c>
      <c r="BF268" s="1523">
        <f t="shared" si="1456"/>
        <v>0.13587953536284866</v>
      </c>
      <c r="BG268" s="1523">
        <f t="shared" si="1456"/>
        <v>0.1665583924641155</v>
      </c>
      <c r="BH268" s="1523">
        <f t="shared" si="1456"/>
        <v>0.16724987255473328</v>
      </c>
      <c r="BI268" s="1523">
        <f t="shared" si="1456"/>
        <v>0.17394818796738937</v>
      </c>
      <c r="BJ268" s="1523">
        <f t="shared" si="1456"/>
        <v>0.15918955748010533</v>
      </c>
      <c r="BK268" s="1523">
        <f t="shared" si="1456"/>
        <v>0.1625944833696514</v>
      </c>
      <c r="BL268" s="1523">
        <f t="shared" si="1456"/>
        <v>0.15976564922456829</v>
      </c>
      <c r="BM268" s="1523">
        <f t="shared" si="1456"/>
        <v>0.15574577563814931</v>
      </c>
      <c r="BN268" s="1523">
        <f t="shared" si="1456"/>
        <v>0.13851765801830579</v>
      </c>
      <c r="BO268" s="1523">
        <f t="shared" si="1456"/>
        <v>0.17416623762852654</v>
      </c>
      <c r="BP268" s="1523">
        <f t="shared" si="1456"/>
        <v>0.20164531596320859</v>
      </c>
      <c r="BQ268" s="1523">
        <f t="shared" si="1456"/>
        <v>0.19315641977386513</v>
      </c>
      <c r="BR268" s="1523">
        <f t="shared" si="1456"/>
        <v>0.14490539491165813</v>
      </c>
      <c r="BS268" s="1523">
        <f t="shared" si="1456"/>
        <v>0.13215945107751031</v>
      </c>
      <c r="BT268" s="1523">
        <f t="shared" si="1456"/>
        <v>0.11050284799318683</v>
      </c>
      <c r="BU268" s="1523">
        <f t="shared" si="1456"/>
        <v>0.11445607069690214</v>
      </c>
      <c r="BV268" s="1523">
        <f t="shared" si="1456"/>
        <v>0.10971253015910144</v>
      </c>
      <c r="BW268" s="1523">
        <f t="shared" si="1456"/>
        <v>0.11999843191534755</v>
      </c>
      <c r="BX268" s="1523">
        <f t="shared" si="1456"/>
        <v>0.14183797362174907</v>
      </c>
      <c r="BY268" s="1523">
        <f t="shared" si="1456"/>
        <v>0.16509555082350677</v>
      </c>
      <c r="BZ268" s="1523">
        <f t="shared" si="1456"/>
        <v>0.17030200158486963</v>
      </c>
      <c r="CA268" s="1523">
        <f t="shared" si="1456"/>
        <v>0.18315320753955508</v>
      </c>
      <c r="CB268" s="1523">
        <f t="shared" si="1456"/>
        <v>0.19572179861112649</v>
      </c>
      <c r="CC268" s="1523">
        <f t="shared" si="1456"/>
        <v>0.20869207626787528</v>
      </c>
      <c r="CD268" s="1523">
        <f t="shared" si="1456"/>
        <v>0.19297578420471109</v>
      </c>
      <c r="CE268" s="1523">
        <f t="shared" ref="CE268:CH268" si="1457">+CE267/CE240</f>
        <v>0.18747737004502377</v>
      </c>
      <c r="CF268" s="1523">
        <f t="shared" si="1457"/>
        <v>0.1767273368971789</v>
      </c>
      <c r="CG268" s="1523">
        <f t="shared" si="1457"/>
        <v>0.16535546240605514</v>
      </c>
      <c r="CH268" s="1523">
        <f t="shared" si="1457"/>
        <v>0.14957241350059466</v>
      </c>
      <c r="CI268" s="1523">
        <f t="shared" ref="CI268:CL268" si="1458">+CI267/CI240</f>
        <v>0.18478754737672429</v>
      </c>
      <c r="CJ268" s="1523">
        <f t="shared" ref="CJ268" si="1459">+CJ267/CJ240</f>
        <v>0.21661526860787153</v>
      </c>
      <c r="CK268" s="1523">
        <f t="shared" si="1458"/>
        <v>0.22103638984340759</v>
      </c>
      <c r="CL268" s="1523">
        <f t="shared" si="1458"/>
        <v>0.20345541114758214</v>
      </c>
      <c r="CM268" s="1523">
        <f t="shared" ref="CM268:CP268" si="1460">+CM267/CM240</f>
        <v>0.19663414462230552</v>
      </c>
      <c r="CN268" s="1523">
        <f t="shared" si="1460"/>
        <v>0.19887857622887109</v>
      </c>
      <c r="CO268" s="1523">
        <f t="shared" si="1460"/>
        <v>0.20659696134831773</v>
      </c>
      <c r="CP268" s="1523">
        <f t="shared" si="1460"/>
        <v>0.20048204722344834</v>
      </c>
      <c r="CQ268" s="1523"/>
      <c r="CR268" s="1532"/>
      <c r="CS268" s="1523">
        <v>0.1991840106999212</v>
      </c>
      <c r="CT268" s="1134"/>
      <c r="CU268" s="1521"/>
      <c r="CV268" s="1521"/>
      <c r="CW268" s="1523"/>
      <c r="CX268" s="1523"/>
      <c r="CY268" s="1523"/>
      <c r="CZ268" s="1523"/>
      <c r="DA268" s="1528"/>
      <c r="DB268" s="1528"/>
      <c r="DC268" s="1528"/>
      <c r="DD268" s="1528"/>
      <c r="DE268" s="1528"/>
      <c r="DF268" s="1523"/>
      <c r="DG268" s="1523">
        <f t="shared" ref="DG268:DR268" si="1461">+DG267/DG240</f>
        <v>4.5498844114047414E-2</v>
      </c>
      <c r="DH268" s="1523">
        <f t="shared" si="1461"/>
        <v>0.13587953536284866</v>
      </c>
      <c r="DI268" s="1523">
        <f t="shared" si="1461"/>
        <v>0.15918955748010533</v>
      </c>
      <c r="DJ268" s="1523">
        <f t="shared" si="1461"/>
        <v>0.13851765801830579</v>
      </c>
      <c r="DK268" s="1523">
        <f t="shared" si="1461"/>
        <v>0.14490539491165813</v>
      </c>
      <c r="DL268" s="1523">
        <f t="shared" si="1461"/>
        <v>0.10971253015910144</v>
      </c>
      <c r="DM268" s="1523">
        <f t="shared" si="1461"/>
        <v>0.17030200158486963</v>
      </c>
      <c r="DN268" s="1523">
        <f t="shared" si="1461"/>
        <v>0.19297578420471109</v>
      </c>
      <c r="DO268" s="1523">
        <f t="shared" ref="DO268:DP268" si="1462">+DO267/DO240</f>
        <v>0.14957241350059466</v>
      </c>
      <c r="DP268" s="1523">
        <f t="shared" si="1462"/>
        <v>0.20345541114758214</v>
      </c>
      <c r="DQ268" s="1523">
        <f t="shared" ref="DQ268" si="1463">+DQ267/DQ240</f>
        <v>0.20048204722344834</v>
      </c>
      <c r="DR268" s="1523">
        <f t="shared" si="1461"/>
        <v>0.19623230785500795</v>
      </c>
      <c r="DS268" s="1523">
        <f t="shared" ref="DS268:DU268" si="1464">+DS267/DS240</f>
        <v>0.19085908772525745</v>
      </c>
      <c r="DT268" s="1523">
        <f t="shared" si="1464"/>
        <v>0.18538720139526368</v>
      </c>
      <c r="DU268" s="1523">
        <f t="shared" si="1464"/>
        <v>0.17990665001340103</v>
      </c>
      <c r="DV268" s="1521"/>
      <c r="DW268" s="1521"/>
      <c r="DY268" s="1523">
        <v>0.14922251110042223</v>
      </c>
      <c r="DZ268" s="1523">
        <v>0.13783949591868053</v>
      </c>
    </row>
    <row r="269" spans="1:130" s="656" customFormat="1" ht="14.25" customHeight="1">
      <c r="A269" s="1521"/>
      <c r="B269" s="1521"/>
      <c r="C269" s="1522"/>
      <c r="D269" s="1522"/>
      <c r="E269" s="1522"/>
      <c r="F269" s="1522"/>
      <c r="G269" s="1523"/>
      <c r="H269" s="1523"/>
      <c r="I269" s="1523"/>
      <c r="J269" s="1523"/>
      <c r="K269" s="1523"/>
      <c r="L269" s="1523"/>
      <c r="M269" s="1523"/>
      <c r="N269" s="1523"/>
      <c r="O269" s="1523"/>
      <c r="P269" s="1523"/>
      <c r="Q269" s="1523"/>
      <c r="R269" s="1523"/>
      <c r="S269" s="1524"/>
      <c r="T269" s="1524"/>
      <c r="U269" s="1524"/>
      <c r="V269" s="1524"/>
      <c r="W269" s="1524"/>
      <c r="X269" s="1524"/>
      <c r="Y269" s="1524"/>
      <c r="Z269" s="1524"/>
      <c r="AA269" s="1522"/>
      <c r="AB269" s="1522"/>
      <c r="AC269" s="1522"/>
      <c r="AD269" s="1522"/>
      <c r="AE269" s="1522"/>
      <c r="AF269" s="1522"/>
      <c r="AG269" s="1522"/>
      <c r="AH269" s="1522"/>
      <c r="AI269" s="1522"/>
      <c r="AJ269" s="1522"/>
      <c r="AK269" s="1522"/>
      <c r="AL269" s="1522"/>
      <c r="AM269" s="1522"/>
      <c r="AN269" s="1522"/>
      <c r="AO269" s="1522"/>
      <c r="AP269" s="1522"/>
      <c r="AQ269" s="1522"/>
      <c r="AR269" s="1522"/>
      <c r="AS269" s="1522"/>
      <c r="AT269" s="1522"/>
      <c r="AU269" s="1522"/>
      <c r="AV269" s="1522"/>
      <c r="AW269" s="1522"/>
      <c r="AX269" s="1522"/>
      <c r="AY269" s="1536"/>
      <c r="AZ269" s="1530"/>
      <c r="BA269" s="1530"/>
      <c r="BB269" s="1536"/>
      <c r="BC269" s="1530"/>
      <c r="BD269" s="1536"/>
      <c r="BE269" s="1536"/>
      <c r="BF269" s="1536"/>
      <c r="BG269" s="1536"/>
      <c r="BH269" s="1536"/>
      <c r="BI269" s="1536"/>
      <c r="BJ269" s="1536"/>
      <c r="BK269" s="1536"/>
      <c r="BL269" s="1536"/>
      <c r="BM269" s="1536"/>
      <c r="BN269" s="1536"/>
      <c r="BO269" s="1536"/>
      <c r="BP269" s="1536"/>
      <c r="BQ269" s="1536"/>
      <c r="BR269" s="1536"/>
      <c r="BS269" s="1536"/>
      <c r="BT269" s="1536"/>
      <c r="BU269" s="1536"/>
      <c r="BV269" s="1536"/>
      <c r="BW269" s="1536"/>
      <c r="BX269" s="1536"/>
      <c r="BY269" s="1536"/>
      <c r="BZ269" s="1536"/>
      <c r="CA269" s="1536"/>
      <c r="CB269" s="1536"/>
      <c r="CC269" s="1536"/>
      <c r="CD269" s="1536"/>
      <c r="CE269" s="1536"/>
      <c r="CF269" s="1536"/>
      <c r="CG269" s="1536"/>
      <c r="CH269" s="1536"/>
      <c r="CI269" s="1536"/>
      <c r="CJ269" s="1536"/>
      <c r="CK269" s="1536"/>
      <c r="CL269" s="1536"/>
      <c r="CM269" s="1536"/>
      <c r="CN269" s="1536"/>
      <c r="CO269" s="1536"/>
      <c r="CP269" s="1536"/>
      <c r="CQ269" s="1536"/>
      <c r="CR269" s="1536"/>
      <c r="CS269" s="1536"/>
      <c r="CT269" s="1134"/>
      <c r="CU269" s="1521"/>
      <c r="CV269" s="1521"/>
      <c r="CW269" s="1523"/>
      <c r="CX269" s="1523"/>
      <c r="CY269" s="1523"/>
      <c r="CZ269" s="1523"/>
      <c r="DA269" s="1528"/>
      <c r="DB269" s="1528"/>
      <c r="DC269" s="1528"/>
      <c r="DD269" s="1528"/>
      <c r="DE269" s="1528"/>
      <c r="DF269" s="1528"/>
      <c r="DG269" s="1529"/>
      <c r="DH269" s="1529"/>
      <c r="DI269" s="1529"/>
      <c r="DJ269" s="1529"/>
      <c r="DK269" s="1529"/>
      <c r="DL269" s="1536"/>
      <c r="DM269" s="1536"/>
      <c r="DN269" s="1536"/>
      <c r="DO269" s="1536"/>
      <c r="DP269" s="1536"/>
      <c r="DQ269" s="1536"/>
      <c r="DR269" s="1528"/>
      <c r="DS269" s="1528"/>
      <c r="DT269" s="1528"/>
      <c r="DU269" s="1528"/>
      <c r="DV269" s="1521"/>
      <c r="DW269" s="1521"/>
      <c r="DY269" s="1528"/>
      <c r="DZ269" s="1528"/>
    </row>
    <row r="270" spans="1:130" s="656" customFormat="1" ht="14.25" customHeight="1">
      <c r="A270" s="1521" t="s">
        <v>672</v>
      </c>
      <c r="B270" s="1521"/>
      <c r="C270" s="1522"/>
      <c r="D270" s="1522"/>
      <c r="E270" s="1522"/>
      <c r="F270" s="1522"/>
      <c r="G270" s="1523"/>
      <c r="H270" s="1523"/>
      <c r="I270" s="1523"/>
      <c r="J270" s="1523"/>
      <c r="K270" s="1523"/>
      <c r="L270" s="1523"/>
      <c r="M270" s="1523"/>
      <c r="N270" s="1523"/>
      <c r="O270" s="1523"/>
      <c r="P270" s="1523"/>
      <c r="Q270" s="1523"/>
      <c r="R270" s="1523"/>
      <c r="S270" s="1524"/>
      <c r="T270" s="1524"/>
      <c r="U270" s="1524"/>
      <c r="V270" s="1524"/>
      <c r="W270" s="1524"/>
      <c r="X270" s="1524"/>
      <c r="Y270" s="1524"/>
      <c r="Z270" s="1524"/>
      <c r="AA270" s="1522"/>
      <c r="AB270" s="1522"/>
      <c r="AC270" s="1522"/>
      <c r="AD270" s="1522"/>
      <c r="AE270" s="1522"/>
      <c r="AF270" s="1522"/>
      <c r="AG270" s="1522"/>
      <c r="AH270" s="1522"/>
      <c r="AI270" s="1522"/>
      <c r="AJ270" s="1522"/>
      <c r="AK270" s="1522"/>
      <c r="AL270" s="1522"/>
      <c r="AM270" s="1522"/>
      <c r="AN270" s="1522"/>
      <c r="AO270" s="1522"/>
      <c r="AP270" s="1522"/>
      <c r="AQ270" s="1522"/>
      <c r="AR270" s="1522"/>
      <c r="AS270" s="1522"/>
      <c r="AT270" s="1522"/>
      <c r="AU270" s="1522"/>
      <c r="AV270" s="1522"/>
      <c r="AW270" s="1522"/>
      <c r="AX270" s="1522"/>
      <c r="AY270" s="1536">
        <f t="shared" ref="AY270:CI270" si="1465">-AY266+AY117*1000</f>
        <v>8893</v>
      </c>
      <c r="AZ270" s="1530">
        <f t="shared" si="1465"/>
        <v>9504</v>
      </c>
      <c r="BA270" s="1530">
        <f t="shared" si="1465"/>
        <v>8198</v>
      </c>
      <c r="BB270" s="1536">
        <f t="shared" si="1465"/>
        <v>11976</v>
      </c>
      <c r="BC270" s="1536">
        <f t="shared" si="1465"/>
        <v>12961</v>
      </c>
      <c r="BD270" s="1536">
        <f t="shared" si="1465"/>
        <v>13336</v>
      </c>
      <c r="BE270" s="1536">
        <f t="shared" si="1465"/>
        <v>11750</v>
      </c>
      <c r="BF270" s="1536">
        <f t="shared" si="1465"/>
        <v>14993</v>
      </c>
      <c r="BG270" s="1536">
        <f t="shared" si="1465"/>
        <v>22320</v>
      </c>
      <c r="BH270" s="1536">
        <f t="shared" si="1465"/>
        <v>14640</v>
      </c>
      <c r="BI270" s="1536">
        <f t="shared" si="1465"/>
        <v>8119.3188000000009</v>
      </c>
      <c r="BJ270" s="1536">
        <f t="shared" si="1465"/>
        <v>13164</v>
      </c>
      <c r="BK270" s="1536">
        <f t="shared" si="1465"/>
        <v>15187.232780000006</v>
      </c>
      <c r="BL270" s="1536">
        <f t="shared" si="1465"/>
        <v>18106</v>
      </c>
      <c r="BM270" s="1536">
        <f t="shared" si="1465"/>
        <v>20206</v>
      </c>
      <c r="BN270" s="1536">
        <f t="shared" si="1465"/>
        <v>14543.074480000003</v>
      </c>
      <c r="BO270" s="1536">
        <f t="shared" si="1465"/>
        <v>14829</v>
      </c>
      <c r="BP270" s="1536">
        <f t="shared" si="1465"/>
        <v>15820.117140000002</v>
      </c>
      <c r="BQ270" s="1536">
        <f t="shared" si="1465"/>
        <v>16113.630510000003</v>
      </c>
      <c r="BR270" s="1536">
        <f t="shared" si="1465"/>
        <v>19770</v>
      </c>
      <c r="BS270" s="1536">
        <f t="shared" si="1465"/>
        <v>15526</v>
      </c>
      <c r="BT270" s="1536">
        <f t="shared" si="1465"/>
        <v>16650.11</v>
      </c>
      <c r="BU270" s="1536">
        <f t="shared" si="1465"/>
        <v>18369</v>
      </c>
      <c r="BV270" s="1536">
        <f t="shared" si="1465"/>
        <v>18965.839999999997</v>
      </c>
      <c r="BW270" s="1536">
        <f t="shared" si="1465"/>
        <v>18918</v>
      </c>
      <c r="BX270" s="1536">
        <f t="shared" si="1465"/>
        <v>19404</v>
      </c>
      <c r="BY270" s="1536">
        <f t="shared" si="1465"/>
        <v>51077.369999999995</v>
      </c>
      <c r="BZ270" s="1536">
        <f t="shared" si="1465"/>
        <v>6103</v>
      </c>
      <c r="CA270" s="1536">
        <f t="shared" si="1465"/>
        <v>13467</v>
      </c>
      <c r="CB270" s="1536">
        <f t="shared" si="1465"/>
        <v>14199</v>
      </c>
      <c r="CC270" s="1536">
        <f t="shared" si="1465"/>
        <v>17805</v>
      </c>
      <c r="CD270" s="1536">
        <f t="shared" si="1465"/>
        <v>25393</v>
      </c>
      <c r="CE270" s="1536">
        <f t="shared" si="1465"/>
        <v>23230</v>
      </c>
      <c r="CF270" s="1536">
        <f t="shared" si="1465"/>
        <v>36478</v>
      </c>
      <c r="CG270" s="1536">
        <f t="shared" si="1465"/>
        <v>21714.296719999926</v>
      </c>
      <c r="CH270" s="1536">
        <f t="shared" si="1465"/>
        <v>27469</v>
      </c>
      <c r="CI270" s="1536">
        <f t="shared" si="1465"/>
        <v>23660.606129999971</v>
      </c>
      <c r="CJ270" s="1536">
        <f t="shared" ref="CJ270:CK270" si="1466">-CJ266+CJ117*1000</f>
        <v>12153.591000000015</v>
      </c>
      <c r="CK270" s="1536">
        <f t="shared" si="1466"/>
        <v>13274.52105000001</v>
      </c>
      <c r="CL270" s="1533">
        <f t="shared" ref="CL270" si="1467">+CL271*CK267</f>
        <v>26687.931543745446</v>
      </c>
      <c r="CM270" s="1533">
        <f t="shared" ref="CM270" si="1468">+CM271*CL267</f>
        <v>21343.853485398758</v>
      </c>
      <c r="CN270" s="1533">
        <f t="shared" ref="CN270" si="1469">+CN271*CM267</f>
        <v>17571.489886270218</v>
      </c>
      <c r="CO270" s="1533">
        <f t="shared" ref="CO270" si="1470">+CO271*CN267</f>
        <v>19928.350562487292</v>
      </c>
      <c r="CP270" s="1533">
        <f t="shared" ref="CP270" si="1471">+CP271*CO267</f>
        <v>22313.556421814726</v>
      </c>
      <c r="CQ270" s="1533"/>
      <c r="CR270" s="1533"/>
      <c r="CS270" s="1533">
        <v>31048.724149324265</v>
      </c>
      <c r="CT270" s="1134"/>
      <c r="CU270" s="1521"/>
      <c r="CV270" s="1521"/>
      <c r="CW270" s="1523"/>
      <c r="CX270" s="1523"/>
      <c r="CY270" s="1523"/>
      <c r="CZ270" s="1523"/>
      <c r="DA270" s="1528"/>
      <c r="DB270" s="1528"/>
      <c r="DC270" s="1528"/>
      <c r="DD270" s="1528"/>
      <c r="DE270" s="1528"/>
      <c r="DF270" s="1528"/>
      <c r="DG270" s="1529"/>
      <c r="DH270" s="1529"/>
      <c r="DI270" s="1530">
        <f>+SUM(BG270:BJ270)</f>
        <v>58243.318800000001</v>
      </c>
      <c r="DJ270" s="1530">
        <f>+SUM(BK270:BN270)</f>
        <v>68042.307260000001</v>
      </c>
      <c r="DK270" s="1530">
        <f>+SUM(BO270:BR270)</f>
        <v>66532.747650000005</v>
      </c>
      <c r="DL270" s="1536">
        <f>+SUM(BS270:BV270)</f>
        <v>69510.95</v>
      </c>
      <c r="DM270" s="1536">
        <f>+SUM(BW270:BZ270)</f>
        <v>95502.37</v>
      </c>
      <c r="DN270" s="1536">
        <f>+SUM(CA270:CD270)</f>
        <v>70864</v>
      </c>
      <c r="DO270" s="1536">
        <f>+SUM(CE270:CH270)</f>
        <v>108891.29671999993</v>
      </c>
      <c r="DP270" s="1536">
        <f>+SUM(CI270:CL270)</f>
        <v>75776.649723745446</v>
      </c>
      <c r="DQ270" s="1536">
        <f>+SUM(CM270:CP270)</f>
        <v>81157.250355970988</v>
      </c>
      <c r="DR270" s="1533">
        <f t="shared" ref="DR270:DU270" si="1472">+DR271*AVERAGE(DQ264:DR264)</f>
        <v>110937.21339429532</v>
      </c>
      <c r="DS270" s="1533">
        <f t="shared" si="1472"/>
        <v>112069.23374003137</v>
      </c>
      <c r="DT270" s="1533">
        <f t="shared" si="1472"/>
        <v>109531.89968134848</v>
      </c>
      <c r="DU270" s="1533">
        <f t="shared" si="1472"/>
        <v>106672.31599552666</v>
      </c>
      <c r="DV270" s="1521"/>
      <c r="DW270" s="1521"/>
      <c r="DY270" s="1533">
        <v>122572.31124498541</v>
      </c>
      <c r="DZ270" s="1533">
        <v>111058.37963960652</v>
      </c>
    </row>
    <row r="271" spans="1:130" s="656" customFormat="1" ht="14.25" customHeight="1">
      <c r="A271" s="1521" t="s">
        <v>673</v>
      </c>
      <c r="B271" s="1521"/>
      <c r="C271" s="1522"/>
      <c r="D271" s="1522"/>
      <c r="E271" s="1522"/>
      <c r="F271" s="1522"/>
      <c r="G271" s="1523"/>
      <c r="H271" s="1523"/>
      <c r="I271" s="1523"/>
      <c r="J271" s="1523"/>
      <c r="K271" s="1523"/>
      <c r="L271" s="1523"/>
      <c r="M271" s="1523"/>
      <c r="N271" s="1523"/>
      <c r="O271" s="1523"/>
      <c r="P271" s="1523"/>
      <c r="Q271" s="1523"/>
      <c r="R271" s="1523"/>
      <c r="S271" s="1524"/>
      <c r="T271" s="1524"/>
      <c r="U271" s="1524"/>
      <c r="V271" s="1524"/>
      <c r="W271" s="1524"/>
      <c r="X271" s="1524"/>
      <c r="Y271" s="1524"/>
      <c r="Z271" s="1524"/>
      <c r="AA271" s="1522"/>
      <c r="AB271" s="1522"/>
      <c r="AC271" s="1522"/>
      <c r="AD271" s="1522"/>
      <c r="AE271" s="1522"/>
      <c r="AF271" s="1522"/>
      <c r="AG271" s="1522"/>
      <c r="AH271" s="1522"/>
      <c r="AI271" s="1522"/>
      <c r="AJ271" s="1522"/>
      <c r="AK271" s="1522"/>
      <c r="AL271" s="1522"/>
      <c r="AM271" s="1522"/>
      <c r="AN271" s="1522"/>
      <c r="AO271" s="1522"/>
      <c r="AP271" s="1522"/>
      <c r="AQ271" s="1522"/>
      <c r="AR271" s="1522"/>
      <c r="AS271" s="1522"/>
      <c r="AT271" s="1522"/>
      <c r="AU271" s="1522"/>
      <c r="AV271" s="1522"/>
      <c r="AW271" s="1522"/>
      <c r="AX271" s="1522"/>
      <c r="AY271" s="1523"/>
      <c r="AZ271" s="1523"/>
      <c r="BA271" s="1523"/>
      <c r="BB271" s="1523">
        <f t="shared" ref="BB271:CH271" si="1473">+BB270/BA267</f>
        <v>0.50243329417687532</v>
      </c>
      <c r="BC271" s="1523">
        <f t="shared" si="1473"/>
        <v>0.53802407638024075</v>
      </c>
      <c r="BD271" s="1523">
        <f t="shared" si="1473"/>
        <v>0.63417185791050457</v>
      </c>
      <c r="BE271" s="1523">
        <f t="shared" si="1473"/>
        <v>0.4289886820007302</v>
      </c>
      <c r="BF271" s="1523">
        <f t="shared" si="1473"/>
        <v>0.17490055177723599</v>
      </c>
      <c r="BG271" s="1523">
        <f t="shared" si="1473"/>
        <v>0.15335463258785942</v>
      </c>
      <c r="BH271" s="1523">
        <f t="shared" si="1473"/>
        <v>8.2043005329432928E-2</v>
      </c>
      <c r="BI271" s="1523">
        <f t="shared" si="1473"/>
        <v>4.2018717493569877E-2</v>
      </c>
      <c r="BJ271" s="1523">
        <f t="shared" si="1473"/>
        <v>6.2548108447130601E-2</v>
      </c>
      <c r="BK271" s="1523">
        <f t="shared" si="1473"/>
        <v>6.5460235165318306E-2</v>
      </c>
      <c r="BL271" s="1523">
        <f t="shared" si="1473"/>
        <v>7.6476327649491235E-2</v>
      </c>
      <c r="BM271" s="1523">
        <f t="shared" si="1473"/>
        <v>7.9180839224414948E-2</v>
      </c>
      <c r="BN271" s="1523">
        <f t="shared" si="1473"/>
        <v>5.2670925131830575E-2</v>
      </c>
      <c r="BO271" s="1523">
        <f t="shared" si="1473"/>
        <v>5.1508899170522281E-2</v>
      </c>
      <c r="BP271" s="1523">
        <f t="shared" si="1473"/>
        <v>4.3664227173742048E-2</v>
      </c>
      <c r="BQ271" s="1523">
        <f t="shared" si="1473"/>
        <v>4.281520410359424E-2</v>
      </c>
      <c r="BR271" s="1523">
        <f t="shared" si="1473"/>
        <v>5.0957154234959647E-2</v>
      </c>
      <c r="BS271" s="1523">
        <f t="shared" si="1473"/>
        <v>4.5479444029468193E-2</v>
      </c>
      <c r="BT271" s="1523">
        <f t="shared" si="1473"/>
        <v>5.7248349608031907E-2</v>
      </c>
      <c r="BU271" s="1523">
        <f t="shared" si="1473"/>
        <v>6.578542112840495E-2</v>
      </c>
      <c r="BV271" s="1523">
        <f t="shared" si="1473"/>
        <v>5.8489607105409229E-2</v>
      </c>
      <c r="BW271" s="1523">
        <f t="shared" si="1473"/>
        <v>4.6682294879703885E-2</v>
      </c>
      <c r="BX271" s="1523">
        <f t="shared" si="1473"/>
        <v>4.0635032323321163E-2</v>
      </c>
      <c r="BY271" s="1523">
        <f t="shared" si="1473"/>
        <v>8.0166509453951318E-2</v>
      </c>
      <c r="BZ271" s="1523">
        <f t="shared" si="1473"/>
        <v>7.7676353195128903E-3</v>
      </c>
      <c r="CA271" s="1523">
        <f t="shared" si="1473"/>
        <v>1.4682169782007882E-2</v>
      </c>
      <c r="CB271" s="1523">
        <f t="shared" si="1473"/>
        <v>1.4485036006010693E-2</v>
      </c>
      <c r="CC271" s="1523">
        <f t="shared" si="1473"/>
        <v>1.6788981223309008E-2</v>
      </c>
      <c r="CD271" s="1523">
        <f t="shared" si="1473"/>
        <v>2.3770586181363403E-2</v>
      </c>
      <c r="CE271" s="1523">
        <f t="shared" si="1473"/>
        <v>2.2342467808764633E-2</v>
      </c>
      <c r="CF271" s="1523">
        <f t="shared" si="1473"/>
        <v>3.8288470319035602E-2</v>
      </c>
      <c r="CG271" s="1523">
        <f t="shared" si="1473"/>
        <v>2.3878395724512492E-2</v>
      </c>
      <c r="CH271" s="1523">
        <f t="shared" si="1473"/>
        <v>3.2614180501780367E-2</v>
      </c>
      <c r="CI271" s="1523">
        <f>+CI270/CH267</f>
        <v>2.9238238743998925E-2</v>
      </c>
      <c r="CJ271" s="1523">
        <f>+CJ270/CI267</f>
        <v>1.2136405849317381E-2</v>
      </c>
      <c r="CK271" s="1523">
        <f>+CK270/CJ267</f>
        <v>1.063872155829018E-2</v>
      </c>
      <c r="CL271" s="1532">
        <f t="shared" ref="CL271" si="1474">+AVERAGE(CH271:CK271)</f>
        <v>2.1156886663346714E-2</v>
      </c>
      <c r="CM271" s="1532">
        <f t="shared" ref="CM271" si="1475">+AVERAGE(CI271:CL271)</f>
        <v>1.8292563203738302E-2</v>
      </c>
      <c r="CN271" s="1532">
        <f t="shared" ref="CN271" si="1476">+AVERAGE(CJ271:CM271)</f>
        <v>1.5556144318673144E-2</v>
      </c>
      <c r="CO271" s="1532">
        <f t="shared" ref="CO271" si="1477">+AVERAGE(CK271:CN271)</f>
        <v>1.6411078936012083E-2</v>
      </c>
      <c r="CP271" s="1532">
        <f t="shared" ref="CP271" si="1478">+AVERAGE(CL271:CO271)</f>
        <v>1.7854168280442562E-2</v>
      </c>
      <c r="CQ271" s="1532"/>
      <c r="CR271" s="1532"/>
      <c r="CS271" s="1532">
        <v>3.1004821322331844E-2</v>
      </c>
      <c r="CT271" s="1134"/>
      <c r="CU271" s="1521"/>
      <c r="CV271" s="1521"/>
      <c r="CW271" s="1523"/>
      <c r="CX271" s="1523"/>
      <c r="CY271" s="1523"/>
      <c r="CZ271" s="1523"/>
      <c r="DA271" s="1528"/>
      <c r="DB271" s="1528"/>
      <c r="DC271" s="1528"/>
      <c r="DD271" s="1528"/>
      <c r="DE271" s="1528"/>
      <c r="DF271" s="1528"/>
      <c r="DG271" s="1529"/>
      <c r="DH271" s="1529"/>
      <c r="DI271" s="1531">
        <f t="shared" ref="DI271" si="1479">+DI270/SUM(DI264)</f>
        <v>0.38041173304769244</v>
      </c>
      <c r="DJ271" s="1531">
        <f t="shared" ref="DJ271:DO271" si="1480">+DJ270/AVERAGE(DI264:DJ264)</f>
        <v>0.36021804660864409</v>
      </c>
      <c r="DK271" s="1531">
        <f t="shared" si="1480"/>
        <v>0.24494564202155567</v>
      </c>
      <c r="DL271" s="1531">
        <f t="shared" si="1480"/>
        <v>0.22329068992378795</v>
      </c>
      <c r="DM271" s="1531">
        <f t="shared" si="1480"/>
        <v>0.23639200495049503</v>
      </c>
      <c r="DN271" s="1531">
        <f t="shared" si="1480"/>
        <v>8.3855427959816514E-2</v>
      </c>
      <c r="DO271" s="1531">
        <f t="shared" si="1480"/>
        <v>8.8436758781440541E-2</v>
      </c>
      <c r="DP271" s="1531">
        <f>+DP270/AVERAGE(DO264:DP264)</f>
        <v>8.2351552498659011E-2</v>
      </c>
      <c r="DQ271" s="1531">
        <f>+DQ270/AVERAGE(DP264:DQ264)</f>
        <v>9.5100861717744983E-2</v>
      </c>
      <c r="DR271" s="1532">
        <f>+DQ271</f>
        <v>9.5100861717744983E-2</v>
      </c>
      <c r="DS271" s="1532">
        <f t="shared" ref="DS271:DU271" si="1481">+DR271</f>
        <v>9.5100861717744983E-2</v>
      </c>
      <c r="DT271" s="1532">
        <f t="shared" si="1481"/>
        <v>9.5100861717744983E-2</v>
      </c>
      <c r="DU271" s="1532">
        <f t="shared" si="1481"/>
        <v>9.5100861717744983E-2</v>
      </c>
      <c r="DV271" s="1521"/>
      <c r="DW271" s="1521"/>
      <c r="DY271" s="1532">
        <v>0.10885589716131802</v>
      </c>
      <c r="DZ271" s="1532">
        <v>0.10885589716131802</v>
      </c>
    </row>
    <row r="272" spans="1:130" s="656" customFormat="1" ht="14.25" customHeight="1">
      <c r="A272" s="1521"/>
      <c r="B272" s="1521"/>
      <c r="C272" s="1522"/>
      <c r="D272" s="1522"/>
      <c r="E272" s="1522"/>
      <c r="F272" s="1522"/>
      <c r="G272" s="1523"/>
      <c r="H272" s="1523"/>
      <c r="I272" s="1523"/>
      <c r="J272" s="1523"/>
      <c r="K272" s="1523"/>
      <c r="L272" s="1523"/>
      <c r="M272" s="1523"/>
      <c r="N272" s="1523"/>
      <c r="O272" s="1523"/>
      <c r="P272" s="1523"/>
      <c r="Q272" s="1523"/>
      <c r="R272" s="1523"/>
      <c r="S272" s="1524"/>
      <c r="T272" s="1524"/>
      <c r="U272" s="1524"/>
      <c r="V272" s="1524"/>
      <c r="W272" s="1524"/>
      <c r="X272" s="1524"/>
      <c r="Y272" s="1524"/>
      <c r="Z272" s="1524"/>
      <c r="AA272" s="1522"/>
      <c r="AB272" s="1522"/>
      <c r="AC272" s="1522"/>
      <c r="AD272" s="1522"/>
      <c r="AE272" s="1522"/>
      <c r="AF272" s="1522"/>
      <c r="AG272" s="1522"/>
      <c r="AH272" s="1522"/>
      <c r="AI272" s="1522"/>
      <c r="AJ272" s="1522"/>
      <c r="AK272" s="1522"/>
      <c r="AL272" s="1522"/>
      <c r="AM272" s="1522"/>
      <c r="AN272" s="1522"/>
      <c r="AO272" s="1522"/>
      <c r="AP272" s="1522"/>
      <c r="AQ272" s="1522"/>
      <c r="AR272" s="1522"/>
      <c r="AS272" s="1522"/>
      <c r="AT272" s="1522"/>
      <c r="AU272" s="1522"/>
      <c r="AV272" s="1522"/>
      <c r="AW272" s="1522"/>
      <c r="AX272" s="1522"/>
      <c r="AY272" s="1523"/>
      <c r="AZ272" s="1523"/>
      <c r="BA272" s="1523"/>
      <c r="BB272" s="1523"/>
      <c r="BC272" s="1523"/>
      <c r="BD272" s="1532"/>
      <c r="BE272" s="1532"/>
      <c r="BF272" s="1532"/>
      <c r="BG272" s="1532"/>
      <c r="BH272" s="1532"/>
      <c r="BI272" s="1532"/>
      <c r="BJ272" s="1532"/>
      <c r="BK272" s="1532"/>
      <c r="BL272" s="1532"/>
      <c r="BM272" s="1532"/>
      <c r="BN272" s="1532"/>
      <c r="BO272" s="1532"/>
      <c r="BP272" s="1532"/>
      <c r="BQ272" s="1532"/>
      <c r="BR272" s="1532"/>
      <c r="BS272" s="1532"/>
      <c r="BT272" s="1532"/>
      <c r="BU272" s="1532"/>
      <c r="BV272" s="1532"/>
      <c r="BW272" s="1532"/>
      <c r="BX272" s="1586"/>
      <c r="BY272" s="1586"/>
      <c r="BZ272" s="1586"/>
      <c r="CA272" s="1586"/>
      <c r="CB272" s="1586"/>
      <c r="CC272" s="1586"/>
      <c r="CD272" s="1586"/>
      <c r="CE272" s="1586"/>
      <c r="CF272" s="1586"/>
      <c r="CG272" s="1586"/>
      <c r="CH272" s="1586"/>
      <c r="CI272" s="1586"/>
      <c r="CJ272" s="1586"/>
      <c r="CK272" s="1586"/>
      <c r="CL272" s="1532"/>
      <c r="CM272" s="1532"/>
      <c r="CN272" s="1532"/>
      <c r="CO272" s="1532"/>
      <c r="CP272" s="1532"/>
      <c r="CQ272" s="1532"/>
      <c r="CR272" s="1532"/>
      <c r="CS272" s="1532"/>
      <c r="CT272" s="1134"/>
      <c r="CU272" s="1521"/>
      <c r="CV272" s="1521"/>
      <c r="CW272" s="1523"/>
      <c r="CX272" s="1523"/>
      <c r="CY272" s="1523"/>
      <c r="CZ272" s="1523"/>
      <c r="DA272" s="1528"/>
      <c r="DB272" s="1528"/>
      <c r="DC272" s="1528"/>
      <c r="DD272" s="1528"/>
      <c r="DE272" s="1528"/>
      <c r="DF272" s="1528"/>
      <c r="DG272" s="1529"/>
      <c r="DH272" s="1529"/>
      <c r="DI272" s="1529"/>
      <c r="DJ272" s="1529"/>
      <c r="DK272" s="1529"/>
      <c r="DL272" s="1531"/>
      <c r="DM272" s="1531"/>
      <c r="DN272" s="1531"/>
      <c r="DO272" s="1531"/>
      <c r="DP272" s="1531"/>
      <c r="DQ272" s="1531"/>
      <c r="DR272" s="1528"/>
      <c r="DS272" s="1528"/>
      <c r="DT272" s="1528"/>
      <c r="DU272" s="1528"/>
      <c r="DV272" s="1521"/>
      <c r="DW272" s="1521"/>
      <c r="DY272" s="1528"/>
      <c r="DZ272" s="1528"/>
    </row>
    <row r="273" spans="1:130" s="1407" customFormat="1" ht="14.25" customHeight="1">
      <c r="A273" s="1513" t="s">
        <v>695</v>
      </c>
      <c r="B273" s="1513"/>
      <c r="C273" s="1514"/>
      <c r="D273" s="1514"/>
      <c r="E273" s="1514"/>
      <c r="F273" s="1514"/>
      <c r="G273" s="1515"/>
      <c r="H273" s="1515"/>
      <c r="I273" s="1515"/>
      <c r="J273" s="1515"/>
      <c r="K273" s="1515"/>
      <c r="L273" s="1515"/>
      <c r="M273" s="1515"/>
      <c r="N273" s="1515"/>
      <c r="O273" s="1515"/>
      <c r="P273" s="1515"/>
      <c r="Q273" s="1515"/>
      <c r="R273" s="1515"/>
      <c r="S273" s="1516"/>
      <c r="T273" s="1516"/>
      <c r="U273" s="1516"/>
      <c r="V273" s="1516"/>
      <c r="W273" s="1516"/>
      <c r="X273" s="1516"/>
      <c r="Y273" s="1516"/>
      <c r="Z273" s="1516"/>
      <c r="AA273" s="1514"/>
      <c r="AB273" s="1514"/>
      <c r="AC273" s="1514"/>
      <c r="AD273" s="1514"/>
      <c r="AE273" s="1514"/>
      <c r="AF273" s="1514"/>
      <c r="AG273" s="1514"/>
      <c r="AH273" s="1514"/>
      <c r="AI273" s="1514"/>
      <c r="AJ273" s="1514"/>
      <c r="AK273" s="1514"/>
      <c r="AL273" s="1514"/>
      <c r="AM273" s="1514"/>
      <c r="AN273" s="1514"/>
      <c r="AO273" s="1514"/>
      <c r="AP273" s="1514"/>
      <c r="AQ273" s="1519"/>
      <c r="AR273" s="1519"/>
      <c r="AS273" s="1519"/>
      <c r="AT273" s="1519"/>
      <c r="AU273" s="1519"/>
      <c r="AV273" s="1519"/>
      <c r="AW273" s="1519"/>
      <c r="AX273" s="1519"/>
      <c r="AY273" s="1519">
        <f t="shared" ref="AY273:CH273" si="1482">+AY258-AX258+AY264</f>
        <v>29972.569427600014</v>
      </c>
      <c r="AZ273" s="1519">
        <f t="shared" si="1482"/>
        <v>38824.015932399969</v>
      </c>
      <c r="BA273" s="1519">
        <f t="shared" si="1482"/>
        <v>37860.718220000024</v>
      </c>
      <c r="BB273" s="1519">
        <f t="shared" si="1482"/>
        <v>37473.994619999998</v>
      </c>
      <c r="BC273" s="1519">
        <f t="shared" si="1482"/>
        <v>33123.060900500008</v>
      </c>
      <c r="BD273" s="1519">
        <f t="shared" si="1482"/>
        <v>37153.787325599988</v>
      </c>
      <c r="BE273" s="1519">
        <f t="shared" si="1482"/>
        <v>62525.604103899983</v>
      </c>
      <c r="BF273" s="1519">
        <f t="shared" si="1482"/>
        <v>62511.812520000036</v>
      </c>
      <c r="BG273" s="1519">
        <f t="shared" si="1482"/>
        <v>18602.64691999997</v>
      </c>
      <c r="BH273" s="1519">
        <f t="shared" si="1482"/>
        <v>55656.207300000067</v>
      </c>
      <c r="BI273" s="1519">
        <f t="shared" si="1482"/>
        <v>50967.325519999955</v>
      </c>
      <c r="BJ273" s="1519">
        <f t="shared" si="1482"/>
        <v>47540.986759999971</v>
      </c>
      <c r="BK273" s="1519">
        <f t="shared" si="1482"/>
        <v>45272.524579999998</v>
      </c>
      <c r="BL273" s="1519">
        <f t="shared" si="1482"/>
        <v>77939.092390000034</v>
      </c>
      <c r="BM273" s="1519">
        <f t="shared" si="1482"/>
        <v>77935.548550000007</v>
      </c>
      <c r="BN273" s="1519">
        <f t="shared" si="1482"/>
        <v>78755.268719999993</v>
      </c>
      <c r="BO273" s="1519">
        <f t="shared" si="1482"/>
        <v>91201.363390000042</v>
      </c>
      <c r="BP273" s="1519">
        <f t="shared" si="1482"/>
        <v>165301.26181000005</v>
      </c>
      <c r="BQ273" s="1519">
        <f t="shared" si="1482"/>
        <v>46669.271860000037</v>
      </c>
      <c r="BR273" s="1519">
        <f t="shared" si="1482"/>
        <v>24098.07979999989</v>
      </c>
      <c r="BS273" s="1519">
        <f t="shared" si="1482"/>
        <v>51820.422399999981</v>
      </c>
      <c r="BT273" s="1519">
        <f t="shared" si="1482"/>
        <v>137111</v>
      </c>
      <c r="BU273" s="1519">
        <f t="shared" si="1482"/>
        <v>95640</v>
      </c>
      <c r="BV273" s="1519">
        <f t="shared" si="1482"/>
        <v>134141</v>
      </c>
      <c r="BW273" s="1519">
        <f t="shared" si="1482"/>
        <v>197557</v>
      </c>
      <c r="BX273" s="1519">
        <f t="shared" si="1482"/>
        <v>289239</v>
      </c>
      <c r="BY273" s="1519">
        <f t="shared" si="1482"/>
        <v>299261</v>
      </c>
      <c r="BZ273" s="1519">
        <f t="shared" si="1482"/>
        <v>323305</v>
      </c>
      <c r="CA273" s="1519">
        <f t="shared" si="1482"/>
        <v>308262</v>
      </c>
      <c r="CB273" s="1519">
        <f t="shared" si="1482"/>
        <v>383969</v>
      </c>
      <c r="CC273" s="1519">
        <f t="shared" si="1482"/>
        <v>311506</v>
      </c>
      <c r="CD273" s="1519">
        <f t="shared" si="1482"/>
        <v>279511</v>
      </c>
      <c r="CE273" s="1519">
        <f t="shared" si="1482"/>
        <v>257647</v>
      </c>
      <c r="CF273" s="1519">
        <f t="shared" si="1482"/>
        <v>286421.76743001479</v>
      </c>
      <c r="CG273" s="1519">
        <f t="shared" si="1482"/>
        <v>228597.54223999986</v>
      </c>
      <c r="CH273" s="1519">
        <f t="shared" si="1482"/>
        <v>217066.33470998437</v>
      </c>
      <c r="CI273" s="1519">
        <f>+CI258-CH258+CI264</f>
        <v>240548.35562000098</v>
      </c>
      <c r="CJ273" s="1519">
        <f>+CJ258-CI258+CJ264</f>
        <v>318306.71500000003</v>
      </c>
      <c r="CK273" s="1519">
        <f>+CK258-CJ258+CK264</f>
        <v>264631.76548000018</v>
      </c>
      <c r="CL273" s="1988">
        <f t="shared" ref="CL273" si="1483">+CL274*CK244</f>
        <v>222100.05761026961</v>
      </c>
      <c r="CM273" s="1988">
        <f t="shared" ref="CM273" si="1484">+CM274*CL244</f>
        <v>253499.12796764786</v>
      </c>
      <c r="CN273" s="1988">
        <f t="shared" ref="CN273" si="1485">+CN274*CM244</f>
        <v>360775.59101130738</v>
      </c>
      <c r="CO273" s="1988">
        <f t="shared" ref="CO273" si="1486">+CO274*CN244</f>
        <v>316763.05556780304</v>
      </c>
      <c r="CP273" s="1988">
        <f t="shared" ref="CP273" si="1487">+CP274*CO244</f>
        <v>263730.85141093266</v>
      </c>
      <c r="CQ273" s="1988"/>
      <c r="CR273" s="1989"/>
      <c r="CS273" s="1988">
        <v>264991.40937554999</v>
      </c>
      <c r="CT273" s="1990"/>
      <c r="CU273" s="1513"/>
      <c r="CV273" s="1513"/>
      <c r="CW273" s="1515"/>
      <c r="CX273" s="1515"/>
      <c r="CY273" s="1515"/>
      <c r="CZ273" s="1515"/>
      <c r="DA273" s="1520"/>
      <c r="DB273" s="1520"/>
      <c r="DC273" s="1520"/>
      <c r="DD273" s="1520"/>
      <c r="DE273" s="1520"/>
      <c r="DF273" s="1520"/>
      <c r="DG273" s="1991"/>
      <c r="DH273" s="1991"/>
      <c r="DI273" s="1991"/>
      <c r="DJ273" s="1519">
        <f>+SUM(BK273:BN273)</f>
        <v>279902.43424000003</v>
      </c>
      <c r="DK273" s="1519">
        <f>+SUM(BO273:BR273)</f>
        <v>327269.97686</v>
      </c>
      <c r="DL273" s="1519">
        <f>+SUM(BS273:BV273)</f>
        <v>418712.42239999998</v>
      </c>
      <c r="DM273" s="1519">
        <f>+SUM(BW273:BZ273)</f>
        <v>1109362</v>
      </c>
      <c r="DN273" s="1519">
        <f>+SUM(CA273:CD273)</f>
        <v>1283248</v>
      </c>
      <c r="DO273" s="1519">
        <f>+SUM(CE273:CH273)</f>
        <v>989732.64437999902</v>
      </c>
      <c r="DP273" s="1519">
        <f>+SUM(CI273:CL273)</f>
        <v>1045586.8937102709</v>
      </c>
      <c r="DQ273" s="1519">
        <f>+SUM(CM273:CP273)</f>
        <v>1194768.6259576909</v>
      </c>
      <c r="DR273" s="1988">
        <f>+DR274*DR240</f>
        <v>1164373.4339326459</v>
      </c>
      <c r="DS273" s="1988">
        <f t="shared" ref="DS273:DU273" si="1488">+DS274*DS240</f>
        <v>1133978.241907601</v>
      </c>
      <c r="DT273" s="1988">
        <f t="shared" si="1488"/>
        <v>1103583.0498825561</v>
      </c>
      <c r="DU273" s="1988">
        <f t="shared" si="1488"/>
        <v>1073187.8578575111</v>
      </c>
      <c r="DV273" s="1513"/>
      <c r="DW273" s="1513"/>
      <c r="DY273" s="1988">
        <v>984266.54656378494</v>
      </c>
      <c r="DZ273" s="1988">
        <v>956092.97763239243</v>
      </c>
    </row>
    <row r="274" spans="1:130" s="1407" customFormat="1" ht="14.25" customHeight="1">
      <c r="A274" s="1513" t="s">
        <v>696</v>
      </c>
      <c r="B274" s="1513"/>
      <c r="C274" s="1514"/>
      <c r="D274" s="1514"/>
      <c r="E274" s="1514"/>
      <c r="F274" s="1514"/>
      <c r="G274" s="1515"/>
      <c r="H274" s="1515"/>
      <c r="I274" s="1515"/>
      <c r="J274" s="1515"/>
      <c r="K274" s="1515"/>
      <c r="L274" s="1515"/>
      <c r="M274" s="1515"/>
      <c r="N274" s="1515"/>
      <c r="O274" s="1515"/>
      <c r="P274" s="1515"/>
      <c r="Q274" s="1515"/>
      <c r="R274" s="1515"/>
      <c r="S274" s="1516"/>
      <c r="T274" s="1516"/>
      <c r="U274" s="1516"/>
      <c r="V274" s="1516"/>
      <c r="W274" s="1516"/>
      <c r="X274" s="1516"/>
      <c r="Y274" s="1516"/>
      <c r="Z274" s="1516"/>
      <c r="AA274" s="1514"/>
      <c r="AB274" s="1514"/>
      <c r="AC274" s="1514"/>
      <c r="AD274" s="1514"/>
      <c r="AE274" s="1514"/>
      <c r="AF274" s="1514"/>
      <c r="AG274" s="1514"/>
      <c r="AH274" s="1514"/>
      <c r="AI274" s="1514"/>
      <c r="AJ274" s="1514"/>
      <c r="AK274" s="1514"/>
      <c r="AL274" s="1514"/>
      <c r="AM274" s="1514"/>
      <c r="AN274" s="1514"/>
      <c r="AO274" s="1514"/>
      <c r="AP274" s="1514"/>
      <c r="AQ274" s="1515"/>
      <c r="AR274" s="1515"/>
      <c r="AS274" s="1515"/>
      <c r="AT274" s="1515"/>
      <c r="AU274" s="1515"/>
      <c r="AV274" s="1515"/>
      <c r="AW274" s="1515"/>
      <c r="AX274" s="1515"/>
      <c r="AY274" s="1515">
        <f t="shared" ref="AY274:CH274" si="1489">+AY273/AX244</f>
        <v>8.0051304902288123E-2</v>
      </c>
      <c r="AZ274" s="1515">
        <f t="shared" si="1489"/>
        <v>0.11340379472706445</v>
      </c>
      <c r="BA274" s="1515">
        <f t="shared" si="1489"/>
        <v>0.10427881582716382</v>
      </c>
      <c r="BB274" s="1515">
        <f t="shared" si="1489"/>
        <v>9.9137551904761895E-2</v>
      </c>
      <c r="BC274" s="1515">
        <f t="shared" si="1489"/>
        <v>7.6371096258577145E-2</v>
      </c>
      <c r="BD274" s="1515">
        <f t="shared" si="1489"/>
        <v>8.0992713198613536E-2</v>
      </c>
      <c r="BE274" s="1515">
        <f t="shared" si="1489"/>
        <v>0.10197672963893815</v>
      </c>
      <c r="BF274" s="1515">
        <f t="shared" si="1489"/>
        <v>8.8471087479248658E-2</v>
      </c>
      <c r="BG274" s="1515">
        <f t="shared" si="1489"/>
        <v>2.211074777850117E-2</v>
      </c>
      <c r="BH274" s="1515">
        <f t="shared" si="1489"/>
        <v>6.7694590765961293E-2</v>
      </c>
      <c r="BI274" s="1515">
        <f t="shared" si="1489"/>
        <v>5.7330942025516626E-2</v>
      </c>
      <c r="BJ274" s="1515">
        <f t="shared" si="1489"/>
        <v>5.5494905010429849E-2</v>
      </c>
      <c r="BK274" s="1515">
        <f t="shared" si="1489"/>
        <v>4.1557378093222123E-2</v>
      </c>
      <c r="BL274" s="1515">
        <f t="shared" si="1489"/>
        <v>6.7279959860302996E-2</v>
      </c>
      <c r="BM274" s="1515">
        <f t="shared" si="1489"/>
        <v>6.1738271132710243E-2</v>
      </c>
      <c r="BN274" s="1515">
        <f t="shared" si="1489"/>
        <v>5.5546806886325795E-2</v>
      </c>
      <c r="BO274" s="1515">
        <f t="shared" si="1489"/>
        <v>5.3234593230648761E-2</v>
      </c>
      <c r="BP274" s="1515">
        <f t="shared" si="1489"/>
        <v>0.10030568814639708</v>
      </c>
      <c r="BQ274" s="1515">
        <f t="shared" si="1489"/>
        <v>3.3712149577201866E-2</v>
      </c>
      <c r="BR274" s="1515">
        <f t="shared" si="1489"/>
        <v>1.4811029354826647E-2</v>
      </c>
      <c r="BS274" s="1515">
        <f t="shared" si="1489"/>
        <v>2.5521031125596554E-2</v>
      </c>
      <c r="BT274" s="1515">
        <f t="shared" si="1489"/>
        <v>7.3319978866716998E-2</v>
      </c>
      <c r="BU274" s="1515">
        <f t="shared" si="1489"/>
        <v>4.4553452263659171E-2</v>
      </c>
      <c r="BV274" s="1515">
        <f t="shared" si="1489"/>
        <v>5.7126832205767496E-2</v>
      </c>
      <c r="BW274" s="1515">
        <f t="shared" si="1489"/>
        <v>6.365586644309229E-2</v>
      </c>
      <c r="BX274" s="1515">
        <f t="shared" si="1489"/>
        <v>9.1851909719079666E-2</v>
      </c>
      <c r="BY274" s="1515">
        <f t="shared" si="1489"/>
        <v>8.6814085150971179E-2</v>
      </c>
      <c r="BZ274" s="1515">
        <f t="shared" si="1489"/>
        <v>9.1749146445321839E-2</v>
      </c>
      <c r="CA274" s="1515">
        <f t="shared" si="1489"/>
        <v>7.6441868129333859E-2</v>
      </c>
      <c r="CB274" s="1515">
        <f t="shared" si="1489"/>
        <v>9.8773971986057335E-2</v>
      </c>
      <c r="CC274" s="1515">
        <f t="shared" si="1489"/>
        <v>7.9868705044271793E-2</v>
      </c>
      <c r="CD274" s="1515">
        <f t="shared" si="1489"/>
        <v>7.6604548623748617E-2</v>
      </c>
      <c r="CE274" s="1515">
        <f t="shared" si="1489"/>
        <v>6.3991851468625752E-2</v>
      </c>
      <c r="CF274" s="1515">
        <f t="shared" si="1489"/>
        <v>7.5695276574651249E-2</v>
      </c>
      <c r="CG274" s="1515">
        <f t="shared" si="1489"/>
        <v>5.8026916780235104E-2</v>
      </c>
      <c r="CH274" s="1515">
        <f t="shared" si="1489"/>
        <v>5.4663776326070411E-2</v>
      </c>
      <c r="CI274" s="1515">
        <f>+CI273/CH244</f>
        <v>5.5260807011841447E-2</v>
      </c>
      <c r="CJ274" s="1515">
        <f>+CJ273/CI244</f>
        <v>7.8077763063171227E-2</v>
      </c>
      <c r="CK274" s="1515">
        <f>+CK273/CJ244</f>
        <v>6.4331052070537895E-2</v>
      </c>
      <c r="CL274" s="1992">
        <f t="shared" ref="CL274" si="1490">+CH274</f>
        <v>5.4663776326070411E-2</v>
      </c>
      <c r="CM274" s="1992">
        <f t="shared" ref="CM274" si="1491">+CI274</f>
        <v>5.5260807011841447E-2</v>
      </c>
      <c r="CN274" s="1992">
        <f t="shared" ref="CN274" si="1492">+CJ274</f>
        <v>7.8077763063171227E-2</v>
      </c>
      <c r="CO274" s="1992">
        <f t="shared" ref="CO274" si="1493">+CK274</f>
        <v>6.4331052070537895E-2</v>
      </c>
      <c r="CP274" s="1992">
        <f t="shared" ref="CP274" si="1494">+CL274</f>
        <v>5.4663776326070411E-2</v>
      </c>
      <c r="CQ274" s="1992"/>
      <c r="CR274" s="1992"/>
      <c r="CS274" s="1992">
        <v>6.5000000000000002E-2</v>
      </c>
      <c r="CT274" s="1990"/>
      <c r="CU274" s="1513"/>
      <c r="CV274" s="1513"/>
      <c r="CW274" s="1515"/>
      <c r="CX274" s="1515"/>
      <c r="CY274" s="1515"/>
      <c r="CZ274" s="1515"/>
      <c r="DA274" s="1520"/>
      <c r="DB274" s="1520"/>
      <c r="DC274" s="1520"/>
      <c r="DD274" s="1520"/>
      <c r="DE274" s="1520"/>
      <c r="DF274" s="1520"/>
      <c r="DG274" s="1991"/>
      <c r="DH274" s="1991"/>
      <c r="DI274" s="1991"/>
      <c r="DJ274" s="1515">
        <f t="shared" ref="DJ274:DO274" si="1495">+DJ273/DJ240</f>
        <v>0.13467352223940798</v>
      </c>
      <c r="DK274" s="1515">
        <f t="shared" si="1495"/>
        <v>0.13891408597222349</v>
      </c>
      <c r="DL274" s="1515">
        <f t="shared" si="1495"/>
        <v>0.11335718512165434</v>
      </c>
      <c r="DM274" s="1515">
        <f t="shared" si="1495"/>
        <v>0.20597400784116843</v>
      </c>
      <c r="DN274" s="1515">
        <f t="shared" si="1495"/>
        <v>0.23817454356072101</v>
      </c>
      <c r="DO274" s="1515">
        <f t="shared" si="1495"/>
        <v>0.18293412956711241</v>
      </c>
      <c r="DP274" s="1515">
        <f t="shared" ref="DP274:DQ274" si="1496">+DP273/DP240</f>
        <v>0.18231865526950033</v>
      </c>
      <c r="DQ274" s="1515">
        <f t="shared" si="1496"/>
        <v>0.19653908173589241</v>
      </c>
      <c r="DR274" s="1992">
        <f>+DQ274-0.5%</f>
        <v>0.1915390817358924</v>
      </c>
      <c r="DS274" s="1992">
        <f t="shared" ref="DS274:DU274" si="1497">+DR274-0.5%</f>
        <v>0.1865390817358924</v>
      </c>
      <c r="DT274" s="1992">
        <f t="shared" si="1497"/>
        <v>0.18153908173589239</v>
      </c>
      <c r="DU274" s="1992">
        <f t="shared" si="1497"/>
        <v>0.17653908173589239</v>
      </c>
      <c r="DV274" s="1513"/>
      <c r="DW274" s="1513"/>
      <c r="DY274" s="1992">
        <v>0.17467906692273238</v>
      </c>
      <c r="DZ274" s="1992">
        <v>0.16967906692273238</v>
      </c>
    </row>
    <row r="275" spans="1:130" s="656" customFormat="1" ht="14.25" customHeight="1">
      <c r="A275" s="1521"/>
      <c r="B275" s="1521"/>
      <c r="C275" s="1522"/>
      <c r="D275" s="1522"/>
      <c r="E275" s="1522"/>
      <c r="F275" s="1522"/>
      <c r="G275" s="1523"/>
      <c r="H275" s="1523"/>
      <c r="I275" s="1523"/>
      <c r="J275" s="1523"/>
      <c r="K275" s="1523"/>
      <c r="L275" s="1523"/>
      <c r="M275" s="1523"/>
      <c r="N275" s="1523"/>
      <c r="O275" s="1523"/>
      <c r="P275" s="1523"/>
      <c r="Q275" s="1523"/>
      <c r="R275" s="1523"/>
      <c r="S275" s="1524"/>
      <c r="T275" s="1524"/>
      <c r="U275" s="1524"/>
      <c r="V275" s="1524"/>
      <c r="W275" s="1524"/>
      <c r="X275" s="1524"/>
      <c r="Y275" s="1524"/>
      <c r="Z275" s="1524"/>
      <c r="AA275" s="1522"/>
      <c r="AB275" s="1522"/>
      <c r="AC275" s="1522"/>
      <c r="AD275" s="1522"/>
      <c r="AE275" s="1522"/>
      <c r="AF275" s="1522"/>
      <c r="AG275" s="1522"/>
      <c r="AH275" s="1522"/>
      <c r="AI275" s="1522"/>
      <c r="AJ275" s="1522"/>
      <c r="AK275" s="1522"/>
      <c r="AL275" s="1522"/>
      <c r="AM275" s="1522"/>
      <c r="AN275" s="1522"/>
      <c r="AO275" s="1522"/>
      <c r="AP275" s="1522"/>
      <c r="AQ275" s="1523"/>
      <c r="AR275" s="1523"/>
      <c r="AS275" s="1523"/>
      <c r="AT275" s="1523"/>
      <c r="AU275" s="1523"/>
      <c r="AV275" s="1523"/>
      <c r="AW275" s="1523"/>
      <c r="AX275" s="1523"/>
      <c r="AY275" s="1523"/>
      <c r="AZ275" s="1523"/>
      <c r="BA275" s="1523"/>
      <c r="BB275" s="1523"/>
      <c r="BC275" s="1523"/>
      <c r="BD275" s="1523"/>
      <c r="BE275" s="1523"/>
      <c r="BF275" s="1523"/>
      <c r="BG275" s="1523"/>
      <c r="BH275" s="1523"/>
      <c r="BI275" s="1523"/>
      <c r="BJ275" s="1523"/>
      <c r="BK275" s="1523"/>
      <c r="BL275" s="1523"/>
      <c r="BM275" s="1523"/>
      <c r="BN275" s="1523"/>
      <c r="BO275" s="1523"/>
      <c r="BP275" s="1523"/>
      <c r="BQ275" s="1523"/>
      <c r="BR275" s="1523"/>
      <c r="BS275" s="1523"/>
      <c r="BT275" s="1523"/>
      <c r="BU275" s="1523"/>
      <c r="BV275" s="1523"/>
      <c r="BW275" s="1523"/>
      <c r="BX275" s="1523"/>
      <c r="BY275" s="1523"/>
      <c r="BZ275" s="1523"/>
      <c r="CA275" s="1523"/>
      <c r="CB275" s="1523"/>
      <c r="CC275" s="1523"/>
      <c r="CD275" s="1523"/>
      <c r="CE275" s="1523"/>
      <c r="CF275" s="1523"/>
      <c r="CG275" s="1523"/>
      <c r="CH275" s="1523"/>
      <c r="CI275" s="1523"/>
      <c r="CJ275" s="1523"/>
      <c r="CK275" s="1523"/>
      <c r="CL275" s="1537"/>
      <c r="CM275" s="1537"/>
      <c r="CN275" s="1537"/>
      <c r="CO275" s="1537"/>
      <c r="CP275" s="1537"/>
      <c r="CQ275" s="1537"/>
      <c r="CR275" s="1537"/>
      <c r="CS275" s="1537"/>
      <c r="CT275" s="1134"/>
      <c r="CU275" s="1521"/>
      <c r="CV275" s="1521"/>
      <c r="CW275" s="1523"/>
      <c r="CX275" s="1523"/>
      <c r="CY275" s="1523"/>
      <c r="CZ275" s="1523"/>
      <c r="DA275" s="1528"/>
      <c r="DB275" s="1528"/>
      <c r="DC275" s="1528"/>
      <c r="DD275" s="1528"/>
      <c r="DE275" s="1528"/>
      <c r="DF275" s="1528"/>
      <c r="DG275" s="1529"/>
      <c r="DH275" s="1529"/>
      <c r="DI275" s="1529"/>
      <c r="DJ275" s="1523"/>
      <c r="DK275" s="1523"/>
      <c r="DL275" s="1523"/>
      <c r="DM275" s="1523"/>
      <c r="DN275" s="1523"/>
      <c r="DO275" s="1523"/>
      <c r="DP275" s="1523"/>
      <c r="DQ275" s="1523"/>
      <c r="DR275" s="1537"/>
      <c r="DS275" s="1537"/>
      <c r="DT275" s="1537"/>
      <c r="DU275" s="1537"/>
      <c r="DV275" s="1521"/>
      <c r="DW275" s="1521"/>
      <c r="DY275" s="1537"/>
      <c r="DZ275" s="1537"/>
    </row>
    <row r="276" spans="1:130" s="656" customFormat="1" ht="14.25" customHeight="1">
      <c r="A276" s="1521" t="s">
        <v>697</v>
      </c>
      <c r="B276" s="1521"/>
      <c r="C276" s="1522"/>
      <c r="D276" s="1522"/>
      <c r="E276" s="1522"/>
      <c r="F276" s="1522"/>
      <c r="G276" s="1523"/>
      <c r="H276" s="1523"/>
      <c r="I276" s="1523"/>
      <c r="J276" s="1523"/>
      <c r="K276" s="1523"/>
      <c r="L276" s="1523"/>
      <c r="M276" s="1523"/>
      <c r="N276" s="1523"/>
      <c r="O276" s="1523"/>
      <c r="P276" s="1523"/>
      <c r="Q276" s="1523"/>
      <c r="R276" s="1523"/>
      <c r="S276" s="1524"/>
      <c r="T276" s="1524"/>
      <c r="U276" s="1524"/>
      <c r="V276" s="1524"/>
      <c r="W276" s="1524"/>
      <c r="X276" s="1524"/>
      <c r="Y276" s="1524"/>
      <c r="Z276" s="1524"/>
      <c r="AA276" s="1522"/>
      <c r="AB276" s="1522"/>
      <c r="AC276" s="1522"/>
      <c r="AD276" s="1522"/>
      <c r="AE276" s="1522"/>
      <c r="AF276" s="1522"/>
      <c r="AG276" s="1522"/>
      <c r="AH276" s="1522"/>
      <c r="AI276" s="1522"/>
      <c r="AJ276" s="1522"/>
      <c r="AK276" s="1522"/>
      <c r="AL276" s="1522"/>
      <c r="AM276" s="1522"/>
      <c r="AN276" s="1522"/>
      <c r="AO276" s="1522"/>
      <c r="AP276" s="1522"/>
      <c r="AQ276" s="1523"/>
      <c r="AR276" s="1523"/>
      <c r="AS276" s="1523"/>
      <c r="AT276" s="1523"/>
      <c r="AU276" s="1523"/>
      <c r="AV276" s="1523"/>
      <c r="AW276" s="1523"/>
      <c r="AX276" s="1523"/>
      <c r="AY276" s="1523"/>
      <c r="AZ276" s="1523"/>
      <c r="BA276" s="1523"/>
      <c r="BB276" s="1523"/>
      <c r="BC276" s="1523"/>
      <c r="BD276" s="1523"/>
      <c r="BE276" s="1523"/>
      <c r="BF276" s="1523"/>
      <c r="BG276" s="1523"/>
      <c r="BH276" s="1523"/>
      <c r="BI276" s="1523"/>
      <c r="BJ276" s="1523"/>
      <c r="BK276" s="1523"/>
      <c r="BL276" s="1523"/>
      <c r="BM276" s="1523"/>
      <c r="BN276" s="1523"/>
      <c r="BO276" s="1523"/>
      <c r="BP276" s="1523"/>
      <c r="BQ276" s="1523"/>
      <c r="BR276" s="1523"/>
      <c r="BS276" s="1523"/>
      <c r="BT276" s="1582">
        <f t="shared" ref="BT276:CK276" si="1498">+BT248-BS248</f>
        <v>-10506</v>
      </c>
      <c r="BU276" s="1582">
        <f t="shared" si="1498"/>
        <v>56989</v>
      </c>
      <c r="BV276" s="1582">
        <f t="shared" si="1498"/>
        <v>27581</v>
      </c>
      <c r="BW276" s="1582">
        <f t="shared" si="1498"/>
        <v>137681</v>
      </c>
      <c r="BX276" s="1582">
        <f t="shared" si="1498"/>
        <v>20725</v>
      </c>
      <c r="BY276" s="1582">
        <f t="shared" si="1498"/>
        <v>23643</v>
      </c>
      <c r="BZ276" s="1582">
        <f t="shared" si="1498"/>
        <v>-24378</v>
      </c>
      <c r="CA276" s="1582">
        <f t="shared" si="1498"/>
        <v>64626</v>
      </c>
      <c r="CB276" s="1582">
        <f t="shared" si="1498"/>
        <v>-42095</v>
      </c>
      <c r="CC276" s="1582">
        <f t="shared" si="1498"/>
        <v>-47510</v>
      </c>
      <c r="CD276" s="1582">
        <f t="shared" si="1498"/>
        <v>-63783</v>
      </c>
      <c r="CE276" s="1582">
        <f t="shared" si="1498"/>
        <v>49145</v>
      </c>
      <c r="CF276" s="1582">
        <f t="shared" si="1498"/>
        <v>-41654.174349989393</v>
      </c>
      <c r="CG276" s="1582">
        <f t="shared" si="1498"/>
        <v>-7954.8680300014094</v>
      </c>
      <c r="CH276" s="1582">
        <f t="shared" si="1498"/>
        <v>-17116.005390017643</v>
      </c>
      <c r="CI276" s="1582">
        <f t="shared" si="1498"/>
        <v>44597.057940012135</v>
      </c>
      <c r="CJ276" s="1582">
        <f t="shared" si="1498"/>
        <v>-14154.01017000369</v>
      </c>
      <c r="CK276" s="1582">
        <f t="shared" si="1498"/>
        <v>-20218.874260000128</v>
      </c>
      <c r="CL276" s="1582">
        <f t="shared" ref="CL276" si="1499">+CL248-CK248</f>
        <v>-1378.8434230207931</v>
      </c>
      <c r="CM276" s="1582">
        <f t="shared" ref="CM276" si="1500">+CM248-CL248</f>
        <v>1450.1373760674614</v>
      </c>
      <c r="CN276" s="1582">
        <f t="shared" ref="CN276" si="1501">+CN248-CM248</f>
        <v>490.96902407723246</v>
      </c>
      <c r="CO276" s="1582">
        <f t="shared" ref="CO276" si="1502">+CO248-CN248</f>
        <v>18681.998595678189</v>
      </c>
      <c r="CP276" s="1582">
        <f t="shared" ref="CP276" si="1503">+CP248-CO248</f>
        <v>-2923.1480568041443</v>
      </c>
      <c r="CQ276" s="1537"/>
      <c r="CR276" s="1537"/>
      <c r="CS276" s="1582">
        <v>273.66230812156573</v>
      </c>
      <c r="CT276" s="1134"/>
      <c r="CU276" s="1521"/>
      <c r="CV276" s="1521"/>
      <c r="CW276" s="1523"/>
      <c r="CX276" s="1523"/>
      <c r="CY276" s="1523"/>
      <c r="CZ276" s="1523"/>
      <c r="DA276" s="1528"/>
      <c r="DB276" s="1528"/>
      <c r="DC276" s="1528"/>
      <c r="DD276" s="1528"/>
      <c r="DE276" s="1528"/>
      <c r="DF276" s="1528"/>
      <c r="DG276" s="1529"/>
      <c r="DH276" s="1529"/>
      <c r="DI276" s="1529"/>
      <c r="DJ276" s="1523"/>
      <c r="DK276" s="1523"/>
      <c r="DL276" s="1523"/>
      <c r="DM276" s="1523"/>
      <c r="DN276" s="1523"/>
      <c r="DO276" s="1523"/>
      <c r="DP276" s="1523"/>
      <c r="DQ276" s="1523"/>
      <c r="DR276" s="1537"/>
      <c r="DS276" s="1537"/>
      <c r="DT276" s="1537"/>
      <c r="DU276" s="1537"/>
      <c r="DV276" s="1521"/>
      <c r="DW276" s="1521"/>
      <c r="DY276" s="1537"/>
      <c r="DZ276" s="1537"/>
    </row>
    <row r="277" spans="1:130" s="656" customFormat="1" ht="14.25" customHeight="1">
      <c r="A277" s="1521"/>
      <c r="B277" s="1521"/>
      <c r="C277" s="1522"/>
      <c r="D277" s="1522"/>
      <c r="E277" s="1522"/>
      <c r="F277" s="1522"/>
      <c r="G277" s="1523"/>
      <c r="H277" s="1523"/>
      <c r="I277" s="1523"/>
      <c r="J277" s="1523"/>
      <c r="K277" s="1523"/>
      <c r="L277" s="1523"/>
      <c r="M277" s="1523"/>
      <c r="N277" s="1523"/>
      <c r="O277" s="1523"/>
      <c r="P277" s="1523"/>
      <c r="Q277" s="1523"/>
      <c r="R277" s="1523"/>
      <c r="S277" s="1524"/>
      <c r="T277" s="1524"/>
      <c r="U277" s="1524"/>
      <c r="V277" s="1524"/>
      <c r="W277" s="1524"/>
      <c r="X277" s="1524"/>
      <c r="Y277" s="1524"/>
      <c r="Z277" s="1524"/>
      <c r="AA277" s="1522"/>
      <c r="AB277" s="1522"/>
      <c r="AC277" s="1522"/>
      <c r="AD277" s="1522"/>
      <c r="AE277" s="1522"/>
      <c r="AF277" s="1522"/>
      <c r="AG277" s="1522"/>
      <c r="AH277" s="1522"/>
      <c r="AI277" s="1522"/>
      <c r="AJ277" s="1522"/>
      <c r="AK277" s="1522"/>
      <c r="AL277" s="1522"/>
      <c r="AM277" s="1522"/>
      <c r="AN277" s="1522"/>
      <c r="AO277" s="1522"/>
      <c r="AP277" s="1522"/>
      <c r="AQ277" s="1523"/>
      <c r="AR277" s="1523"/>
      <c r="AS277" s="1523"/>
      <c r="AT277" s="1523"/>
      <c r="AU277" s="1523"/>
      <c r="AV277" s="1523"/>
      <c r="AW277" s="1523"/>
      <c r="AX277" s="1523"/>
      <c r="AY277" s="1523"/>
      <c r="AZ277" s="1523"/>
      <c r="BA277" s="1523"/>
      <c r="BB277" s="1523"/>
      <c r="BC277" s="1523"/>
      <c r="BD277" s="1523"/>
      <c r="BE277" s="1523"/>
      <c r="BF277" s="1523"/>
      <c r="BG277" s="1523"/>
      <c r="BH277" s="1523"/>
      <c r="BI277" s="1523"/>
      <c r="BJ277" s="1523"/>
      <c r="BK277" s="1523"/>
      <c r="BL277" s="1523"/>
      <c r="BM277" s="1523"/>
      <c r="BN277" s="1523"/>
      <c r="BO277" s="1523"/>
      <c r="BP277" s="1523"/>
      <c r="BQ277" s="1523"/>
      <c r="BR277" s="1523"/>
      <c r="BS277" s="1523"/>
      <c r="BT277" s="1523"/>
      <c r="BU277" s="1523"/>
      <c r="BV277" s="1523"/>
      <c r="BW277" s="1523"/>
      <c r="BX277" s="1523"/>
      <c r="BY277" s="1523"/>
      <c r="BZ277" s="1523"/>
      <c r="CA277" s="1523"/>
      <c r="CB277" s="1523"/>
      <c r="CC277" s="1523"/>
      <c r="CD277" s="1523"/>
      <c r="CE277" s="1523"/>
      <c r="CF277" s="1523"/>
      <c r="CG277" s="1523"/>
      <c r="CH277" s="1523"/>
      <c r="CI277" s="2149">
        <f>+CI266+CI273</f>
        <v>48356.355620000977</v>
      </c>
      <c r="CJ277" s="2149">
        <f>+CJ266+CJ273</f>
        <v>71966.715000000026</v>
      </c>
      <c r="CK277" s="2149">
        <f>+CK266+CK273</f>
        <v>3767.7654800001765</v>
      </c>
      <c r="CL277" s="1537"/>
      <c r="CM277" s="1537"/>
      <c r="CN277" s="1537"/>
      <c r="CO277" s="1537"/>
      <c r="CP277" s="1537"/>
      <c r="CQ277" s="1537"/>
      <c r="CR277" s="1537"/>
      <c r="CS277" s="1537"/>
      <c r="CT277" s="1134"/>
      <c r="CU277" s="1521"/>
      <c r="CV277" s="1521"/>
      <c r="CW277" s="1523"/>
      <c r="CX277" s="1523"/>
      <c r="CY277" s="1523"/>
      <c r="CZ277" s="1523"/>
      <c r="DA277" s="1528"/>
      <c r="DB277" s="1528"/>
      <c r="DC277" s="1528"/>
      <c r="DD277" s="1528"/>
      <c r="DE277" s="1528"/>
      <c r="DF277" s="1528"/>
      <c r="DG277" s="1529"/>
      <c r="DH277" s="1529"/>
      <c r="DI277" s="1529"/>
      <c r="DJ277" s="1523"/>
      <c r="DK277" s="1523"/>
      <c r="DL277" s="1523"/>
      <c r="DM277" s="1523"/>
      <c r="DN277" s="1523"/>
      <c r="DO277" s="1523"/>
      <c r="DP277" s="1523"/>
      <c r="DQ277" s="1523"/>
      <c r="DR277" s="1537"/>
      <c r="DS277" s="1537"/>
      <c r="DT277" s="1537"/>
      <c r="DU277" s="1537"/>
      <c r="DV277" s="1521"/>
      <c r="DW277" s="1521"/>
      <c r="DY277" s="1537"/>
      <c r="DZ277" s="1537"/>
    </row>
    <row r="278" spans="1:130" s="1538" customFormat="1" ht="14.25" customHeight="1">
      <c r="A278" s="1521" t="s">
        <v>698</v>
      </c>
      <c r="B278" s="1521"/>
      <c r="C278" s="1522"/>
      <c r="D278" s="1522"/>
      <c r="E278" s="1522"/>
      <c r="F278" s="1522"/>
      <c r="G278" s="1523"/>
      <c r="H278" s="1523"/>
      <c r="I278" s="1523"/>
      <c r="J278" s="1523"/>
      <c r="K278" s="1523"/>
      <c r="L278" s="1523"/>
      <c r="M278" s="1523"/>
      <c r="N278" s="1523"/>
      <c r="O278" s="1523"/>
      <c r="P278" s="1523"/>
      <c r="Q278" s="1523"/>
      <c r="R278" s="1523"/>
      <c r="S278" s="1524"/>
      <c r="T278" s="1524"/>
      <c r="U278" s="1524"/>
      <c r="V278" s="1524"/>
      <c r="W278" s="1524"/>
      <c r="X278" s="1524"/>
      <c r="Y278" s="1524"/>
      <c r="Z278" s="1524"/>
      <c r="AA278" s="1522"/>
      <c r="AB278" s="1522"/>
      <c r="AC278" s="1522"/>
      <c r="AD278" s="1522"/>
      <c r="AE278" s="1522"/>
      <c r="AF278" s="1522"/>
      <c r="AG278" s="1522"/>
      <c r="AH278" s="1522"/>
      <c r="AI278" s="1522"/>
      <c r="AJ278" s="1522"/>
      <c r="AK278" s="1522"/>
      <c r="AL278" s="1522"/>
      <c r="AM278" s="1522"/>
      <c r="AN278" s="1522"/>
      <c r="AO278" s="1522"/>
      <c r="AP278" s="1522"/>
      <c r="AQ278" s="1523"/>
      <c r="AR278" s="1523"/>
      <c r="AS278" s="1523"/>
      <c r="AT278" s="1523"/>
      <c r="AU278" s="1523"/>
      <c r="AV278" s="1523"/>
      <c r="AW278" s="1523"/>
      <c r="AX278" s="1523"/>
      <c r="AY278" s="1523">
        <f t="shared" ref="AY278:BM278" si="1504">+AY266/AY273</f>
        <v>-1.0433873570813217</v>
      </c>
      <c r="AZ278" s="1523">
        <f t="shared" si="1504"/>
        <v>-0.87842535556809942</v>
      </c>
      <c r="BA278" s="1523">
        <f t="shared" si="1504"/>
        <v>-1.0160398906452646</v>
      </c>
      <c r="BB278" s="1523">
        <f t="shared" si="1504"/>
        <v>-1.0209213185823958</v>
      </c>
      <c r="BC278" s="1523">
        <f t="shared" si="1504"/>
        <v>-1.1028872032611137</v>
      </c>
      <c r="BD278" s="1523">
        <f t="shared" si="1504"/>
        <v>-0.99822932383653229</v>
      </c>
      <c r="BE278" s="1523">
        <f t="shared" si="1504"/>
        <v>-0.93294580413916428</v>
      </c>
      <c r="BF278" s="1523">
        <f t="shared" si="1504"/>
        <v>-0.96301798929185756</v>
      </c>
      <c r="BG278" s="1523">
        <f t="shared" si="1504"/>
        <v>-3.2358298396387615</v>
      </c>
      <c r="BH278" s="1523">
        <f t="shared" si="1504"/>
        <v>-1.0495145615141463</v>
      </c>
      <c r="BI278" s="1523">
        <f t="shared" si="1504"/>
        <v>-1.181639401038755</v>
      </c>
      <c r="BJ278" s="1523">
        <f t="shared" si="1504"/>
        <v>-1.2775502600863566</v>
      </c>
      <c r="BK278" s="1523">
        <f t="shared" si="1504"/>
        <v>-1.3032407745616381</v>
      </c>
      <c r="BL278" s="1523">
        <f t="shared" si="1504"/>
        <v>-0.98108661077776205</v>
      </c>
      <c r="BM278" s="1523">
        <f t="shared" si="1504"/>
        <v>-0.97927071047734349</v>
      </c>
      <c r="BN278" s="1523">
        <f t="shared" ref="BN278:BX278" si="1505">+BN266/BN273</f>
        <v>-0.87330030254260305</v>
      </c>
      <c r="BO278" s="1523">
        <f t="shared" si="1505"/>
        <v>-1.6086163029453799</v>
      </c>
      <c r="BP278" s="1523">
        <f t="shared" si="1505"/>
        <v>-0.56248814426397253</v>
      </c>
      <c r="BQ278" s="1523">
        <f t="shared" si="1505"/>
        <v>-2.0077879140923867</v>
      </c>
      <c r="BR278" s="1523">
        <f t="shared" si="1505"/>
        <v>-1.6046921713654618</v>
      </c>
      <c r="BS278" s="1523">
        <f t="shared" si="1505"/>
        <v>-1.3918450807533369</v>
      </c>
      <c r="BT278" s="1523">
        <f t="shared" si="1505"/>
        <v>-0.4769712131047108</v>
      </c>
      <c r="BU278" s="1523">
        <f t="shared" si="1505"/>
        <v>-0.97207235466332076</v>
      </c>
      <c r="BV278" s="1523">
        <f t="shared" si="1505"/>
        <v>-1.0243698794552001</v>
      </c>
      <c r="BW278" s="1523">
        <f t="shared" si="1505"/>
        <v>-0.84699099500397357</v>
      </c>
      <c r="BX278" s="1523">
        <f t="shared" si="1505"/>
        <v>-0.88199032633911745</v>
      </c>
      <c r="BY278" s="1523">
        <f t="shared" ref="BY278:CD278" si="1506">+BY266/BY273</f>
        <v>-0.93931384310017008</v>
      </c>
      <c r="BZ278" s="1523">
        <f t="shared" si="1506"/>
        <v>-0.96630735683023772</v>
      </c>
      <c r="CA278" s="1523">
        <f t="shared" si="1506"/>
        <v>-1.0525526986783968</v>
      </c>
      <c r="CB278" s="1523">
        <f t="shared" si="1506"/>
        <v>-0.96001239683411943</v>
      </c>
      <c r="CC278" s="1523">
        <f t="shared" si="1506"/>
        <v>-1.0271070220156273</v>
      </c>
      <c r="CD278" s="1523">
        <f t="shared" si="1506"/>
        <v>-1.0577293916876258</v>
      </c>
      <c r="CE278" s="1523">
        <f t="shared" ref="CE278:CF278" si="1507">+CE266/CE273</f>
        <v>-1.1003504795320729</v>
      </c>
      <c r="CF278" s="1523">
        <f t="shared" si="1507"/>
        <v>-1.0236721972314549</v>
      </c>
      <c r="CG278" s="1523">
        <f t="shared" ref="CG278:CH278" si="1508">+CG266/CG273</f>
        <v>-1.036900911870452</v>
      </c>
      <c r="CH278" s="1523">
        <f t="shared" si="1508"/>
        <v>-1.0695762671360063</v>
      </c>
      <c r="CI278" s="1523">
        <f t="shared" ref="CI278:CJ278" si="1509">+CI266/CI273</f>
        <v>-0.79897449103168894</v>
      </c>
      <c r="CJ278" s="1523">
        <f t="shared" si="1509"/>
        <v>-0.77390764439261039</v>
      </c>
      <c r="CK278" s="1523">
        <f t="shared" ref="CK278" si="1510">+CK266/CK273</f>
        <v>-0.98576223276458874</v>
      </c>
      <c r="CL278" s="1537">
        <v>-1</v>
      </c>
      <c r="CM278" s="1537">
        <v>-1</v>
      </c>
      <c r="CN278" s="1537">
        <v>-1</v>
      </c>
      <c r="CO278" s="1537">
        <v>-1</v>
      </c>
      <c r="CP278" s="1537">
        <v>-1</v>
      </c>
      <c r="CQ278" s="1537"/>
      <c r="CR278" s="1537"/>
      <c r="CS278" s="1537">
        <v>-1</v>
      </c>
      <c r="CT278" s="1134"/>
      <c r="CU278" s="1521"/>
      <c r="CV278" s="1521"/>
      <c r="CW278" s="1523"/>
      <c r="CX278" s="1523"/>
      <c r="CY278" s="1523"/>
      <c r="CZ278" s="1523"/>
      <c r="DA278" s="1528"/>
      <c r="DB278" s="1528"/>
      <c r="DC278" s="1528"/>
      <c r="DD278" s="1528"/>
      <c r="DE278" s="1528"/>
      <c r="DF278" s="1528"/>
      <c r="DG278" s="1529"/>
      <c r="DH278" s="1529"/>
      <c r="DI278" s="1529"/>
      <c r="DJ278" s="1523">
        <f t="shared" ref="DJ278:DO278" si="1511">+DJ266/DJ273</f>
        <v>-1.0023599857635879</v>
      </c>
      <c r="DK278" s="1523">
        <f t="shared" si="1511"/>
        <v>-1.1368595542119049</v>
      </c>
      <c r="DL278" s="1523">
        <f t="shared" si="1511"/>
        <v>-0.87865317654353892</v>
      </c>
      <c r="DM278" s="1523">
        <f t="shared" si="1511"/>
        <v>-0.91579394282479476</v>
      </c>
      <c r="DN278" s="1523">
        <f t="shared" si="1511"/>
        <v>-1.0198137850205105</v>
      </c>
      <c r="DO278" s="1523">
        <f t="shared" si="1511"/>
        <v>-1.0567560905856448</v>
      </c>
      <c r="DP278" s="1523">
        <f t="shared" ref="DP278:DQ278" si="1512">+DP266/DP273</f>
        <v>-0.88131944188812061</v>
      </c>
      <c r="DQ278" s="1523">
        <f t="shared" si="1512"/>
        <v>-1</v>
      </c>
      <c r="DR278" s="1537">
        <v>-1</v>
      </c>
      <c r="DS278" s="1537">
        <v>-1</v>
      </c>
      <c r="DT278" s="1537">
        <v>-1</v>
      </c>
      <c r="DU278" s="1537">
        <v>-1</v>
      </c>
      <c r="DV278" s="1521"/>
      <c r="DW278" s="1521"/>
      <c r="DY278" s="1537">
        <v>-1</v>
      </c>
      <c r="DZ278" s="1537">
        <v>-1</v>
      </c>
    </row>
    <row r="279" spans="1:130" s="1538" customFormat="1" ht="14.25" customHeight="1">
      <c r="A279" s="1521" t="s">
        <v>699</v>
      </c>
      <c r="B279" s="1521"/>
      <c r="C279" s="1522"/>
      <c r="D279" s="1522"/>
      <c r="E279" s="1522"/>
      <c r="F279" s="1522"/>
      <c r="G279" s="1523"/>
      <c r="H279" s="1523"/>
      <c r="I279" s="1523"/>
      <c r="J279" s="1523"/>
      <c r="K279" s="1523"/>
      <c r="L279" s="1523"/>
      <c r="M279" s="1523"/>
      <c r="N279" s="1523"/>
      <c r="O279" s="1523"/>
      <c r="P279" s="1523"/>
      <c r="Q279" s="1523"/>
      <c r="R279" s="1523"/>
      <c r="S279" s="1524"/>
      <c r="T279" s="1524"/>
      <c r="U279" s="1524"/>
      <c r="V279" s="1524"/>
      <c r="W279" s="1524"/>
      <c r="X279" s="1524"/>
      <c r="Y279" s="1524"/>
      <c r="Z279" s="1524"/>
      <c r="AA279" s="1522"/>
      <c r="AB279" s="1522"/>
      <c r="AC279" s="1522"/>
      <c r="AD279" s="1522"/>
      <c r="AE279" s="1522"/>
      <c r="AF279" s="1522"/>
      <c r="AG279" s="1522"/>
      <c r="AH279" s="1522"/>
      <c r="AI279" s="1522"/>
      <c r="AJ279" s="1522"/>
      <c r="AK279" s="1522"/>
      <c r="AL279" s="1522"/>
      <c r="AM279" s="1522"/>
      <c r="AN279" s="1522"/>
      <c r="AO279" s="1522"/>
      <c r="AP279" s="1522"/>
      <c r="AQ279" s="1523" t="e">
        <f t="shared" ref="AQ279:CL279" si="1513">+AQ117*1000/AQ266</f>
        <v>#DIV/0!</v>
      </c>
      <c r="AR279" s="1523" t="e">
        <f t="shared" si="1513"/>
        <v>#DIV/0!</v>
      </c>
      <c r="AS279" s="1523" t="e">
        <f t="shared" si="1513"/>
        <v>#DIV/0!</v>
      </c>
      <c r="AT279" s="1523" t="e">
        <f t="shared" si="1513"/>
        <v>#DIV/0!</v>
      </c>
      <c r="AU279" s="1523" t="e">
        <f t="shared" si="1513"/>
        <v>#DIV/0!</v>
      </c>
      <c r="AV279" s="1523" t="e">
        <f t="shared" si="1513"/>
        <v>#DIV/0!</v>
      </c>
      <c r="AW279" s="1523" t="e">
        <f t="shared" si="1513"/>
        <v>#DIV/0!</v>
      </c>
      <c r="AX279" s="1523" t="e">
        <f t="shared" si="1513"/>
        <v>#DIV/0!</v>
      </c>
      <c r="AY279" s="1523">
        <f t="shared" si="1513"/>
        <v>0.71563329389569275</v>
      </c>
      <c r="AZ279" s="1523">
        <f t="shared" si="1513"/>
        <v>0.72132301196340609</v>
      </c>
      <c r="BA279" s="1523">
        <f t="shared" si="1513"/>
        <v>0.7868878028491213</v>
      </c>
      <c r="BB279" s="1523">
        <f t="shared" si="1513"/>
        <v>0.68696743164828267</v>
      </c>
      <c r="BC279" s="1523">
        <f t="shared" si="1513"/>
        <v>0.64520544195340945</v>
      </c>
      <c r="BD279" s="1523">
        <f t="shared" si="1513"/>
        <v>0.64042277825711824</v>
      </c>
      <c r="BE279" s="1523">
        <f t="shared" si="1513"/>
        <v>0.7985702775444431</v>
      </c>
      <c r="BF279" s="1523">
        <f t="shared" si="1513"/>
        <v>0.7509468438538206</v>
      </c>
      <c r="BG279" s="1523">
        <f t="shared" si="1513"/>
        <v>0.62920508347869419</v>
      </c>
      <c r="BH279" s="1523">
        <f t="shared" si="1513"/>
        <v>0.74936656851331918</v>
      </c>
      <c r="BI279" s="1523">
        <f t="shared" si="1513"/>
        <v>0.86518358156911579</v>
      </c>
      <c r="BJ279" s="1523">
        <f t="shared" si="1513"/>
        <v>0.78325869336143306</v>
      </c>
      <c r="BK279" s="1523">
        <f t="shared" si="1513"/>
        <v>0.74259363773495357</v>
      </c>
      <c r="BL279" s="1523">
        <f t="shared" si="1513"/>
        <v>0.7632119270254365</v>
      </c>
      <c r="BM279" s="1523">
        <f t="shared" si="1513"/>
        <v>0.73524633123689731</v>
      </c>
      <c r="BN279" s="1523">
        <f t="shared" si="1513"/>
        <v>0.78854741439725484</v>
      </c>
      <c r="BO279" s="1523">
        <f t="shared" si="1513"/>
        <v>0.89892166753005975</v>
      </c>
      <c r="BP279" s="1523">
        <f t="shared" si="1513"/>
        <v>0.82985462314476233</v>
      </c>
      <c r="BQ279" s="1523">
        <f t="shared" si="1513"/>
        <v>0.82803322757251707</v>
      </c>
      <c r="BR279" s="1523">
        <f t="shared" si="1513"/>
        <v>0.48875096974398757</v>
      </c>
      <c r="BS279" s="1523">
        <f t="shared" si="1513"/>
        <v>0.78473781992624014</v>
      </c>
      <c r="BT279" s="1523">
        <f t="shared" si="1513"/>
        <v>0.74540337625003816</v>
      </c>
      <c r="BU279" s="1523">
        <f t="shared" si="1513"/>
        <v>0.8024180103045101</v>
      </c>
      <c r="BV279" s="1523">
        <f t="shared" si="1513"/>
        <v>0.8619762753802489</v>
      </c>
      <c r="BW279" s="1523">
        <f t="shared" si="1513"/>
        <v>0.88694129529250754</v>
      </c>
      <c r="BX279" s="1523">
        <f t="shared" si="1513"/>
        <v>0.92393750048999235</v>
      </c>
      <c r="BY279" s="1523">
        <f t="shared" si="1513"/>
        <v>0.81829466382070437</v>
      </c>
      <c r="BZ279" s="1523">
        <f t="shared" si="1513"/>
        <v>0.98046489891553457</v>
      </c>
      <c r="CA279" s="1523">
        <f t="shared" si="1513"/>
        <v>0.95849436914029995</v>
      </c>
      <c r="CB279" s="1523">
        <f t="shared" si="1513"/>
        <v>0.96148013510030794</v>
      </c>
      <c r="CC279" s="1523">
        <f t="shared" si="1513"/>
        <v>0.94435067979371778</v>
      </c>
      <c r="CD279" s="1523">
        <f t="shared" si="1513"/>
        <v>0.91411040869685811</v>
      </c>
      <c r="CE279" s="1523">
        <f t="shared" si="1513"/>
        <v>0.91806054278276694</v>
      </c>
      <c r="CF279" s="1523">
        <f t="shared" si="1513"/>
        <v>0.87558747893943423</v>
      </c>
      <c r="CG279" s="1523">
        <f t="shared" si="1513"/>
        <v>0.90839125050098546</v>
      </c>
      <c r="CH279" s="1523">
        <f t="shared" si="1513"/>
        <v>0.88168532405273747</v>
      </c>
      <c r="CI279" s="1523">
        <f t="shared" si="1513"/>
        <v>0.8768907856206295</v>
      </c>
      <c r="CJ279" s="1523">
        <f t="shared" ref="CJ279:CK279" si="1514">+CJ117*1000/CJ266</f>
        <v>0.9506633474060241</v>
      </c>
      <c r="CK279" s="1523">
        <f t="shared" si="1514"/>
        <v>0.94911325039100836</v>
      </c>
      <c r="CL279" s="1523">
        <f t="shared" si="1513"/>
        <v>0.87983825024225737</v>
      </c>
      <c r="CM279" s="1523">
        <f t="shared" ref="CM279:CP279" si="1515">+CM117*1000/CM266</f>
        <v>0.91580304967312276</v>
      </c>
      <c r="CN279" s="1523">
        <f t="shared" si="1515"/>
        <v>0.95129523636281843</v>
      </c>
      <c r="CO279" s="1523">
        <f t="shared" si="1515"/>
        <v>0.9370875163242588</v>
      </c>
      <c r="CP279" s="1523">
        <f t="shared" si="1515"/>
        <v>0.91539269561206238</v>
      </c>
      <c r="CQ279" s="1537"/>
      <c r="CR279" s="1537"/>
      <c r="CS279" s="1523">
        <v>0.88283120489645184</v>
      </c>
      <c r="CT279" s="1134"/>
      <c r="CU279" s="1521"/>
      <c r="CV279" s="1521"/>
      <c r="CW279" s="1523"/>
      <c r="CX279" s="1523"/>
      <c r="CY279" s="1523"/>
      <c r="CZ279" s="1523"/>
      <c r="DA279" s="1528"/>
      <c r="DB279" s="1528"/>
      <c r="DC279" s="1528"/>
      <c r="DD279" s="1528"/>
      <c r="DE279" s="1528"/>
      <c r="DF279" s="1528"/>
      <c r="DG279" s="1529"/>
      <c r="DH279" s="1529"/>
      <c r="DI279" s="1529"/>
      <c r="DJ279" s="1523">
        <f t="shared" ref="DJ279:DP279" si="1516">+DJ117*1000/DJ266</f>
        <v>0.75747939942187681</v>
      </c>
      <c r="DK279" s="1523">
        <f t="shared" si="1516"/>
        <v>0.82117737018222858</v>
      </c>
      <c r="DL279" s="1523">
        <f t="shared" si="1516"/>
        <v>0.81106174725403157</v>
      </c>
      <c r="DM279" s="1523">
        <f t="shared" si="1516"/>
        <v>0.90599670061528803</v>
      </c>
      <c r="DN279" s="1523">
        <f t="shared" si="1516"/>
        <v>0.94585053267658714</v>
      </c>
      <c r="DO279" s="1523">
        <f t="shared" si="1516"/>
        <v>0.89588806573439683</v>
      </c>
      <c r="DP279" s="1523">
        <f t="shared" si="1516"/>
        <v>0.91776779824727828</v>
      </c>
      <c r="DQ279" s="1523">
        <f t="shared" ref="DQ279" si="1517">+DQ117*1000/DQ266</f>
        <v>0.93207283101285165</v>
      </c>
      <c r="DR279" s="1523">
        <f t="shared" ref="DR279:DU279" si="1518">+DR117*1000/DR266</f>
        <v>0.9047236821441319</v>
      </c>
      <c r="DS279" s="1523">
        <f t="shared" si="1518"/>
        <v>0.90117161899728671</v>
      </c>
      <c r="DT279" s="1523">
        <f t="shared" si="1518"/>
        <v>0.90074883834705066</v>
      </c>
      <c r="DU279" s="1523">
        <f t="shared" si="1518"/>
        <v>0.90060238269142845</v>
      </c>
      <c r="DV279" s="1521"/>
      <c r="DW279" s="1521"/>
      <c r="DY279" s="1537"/>
      <c r="DZ279" s="1537"/>
    </row>
    <row r="280" spans="1:130">
      <c r="CT280" s="1133"/>
    </row>
    <row r="281" spans="1:130" s="794" customFormat="1" ht="12.75">
      <c r="A281" s="779" t="s">
        <v>106</v>
      </c>
      <c r="B281" s="779"/>
      <c r="C281" s="780">
        <v>0</v>
      </c>
      <c r="D281" s="780">
        <v>0</v>
      </c>
      <c r="E281" s="780">
        <v>0</v>
      </c>
      <c r="F281" s="780">
        <v>0</v>
      </c>
      <c r="G281" s="780">
        <v>0</v>
      </c>
      <c r="H281" s="780">
        <v>0</v>
      </c>
      <c r="I281" s="780">
        <v>-0.70000000000000018</v>
      </c>
      <c r="J281" s="780">
        <v>7.6999999999999993</v>
      </c>
      <c r="K281" s="780">
        <v>4.3999999999999995</v>
      </c>
      <c r="L281" s="780">
        <v>-3.7</v>
      </c>
      <c r="M281" s="780">
        <v>-2.7</v>
      </c>
      <c r="N281" s="780">
        <v>1.1999999999999997</v>
      </c>
      <c r="O281" s="780">
        <v>-3.1000000000000005</v>
      </c>
      <c r="P281" s="780">
        <v>-4.1999999999999993</v>
      </c>
      <c r="Q281" s="780">
        <v>-3</v>
      </c>
      <c r="R281" s="780">
        <v>-3.7</v>
      </c>
      <c r="S281" s="780">
        <v>-1.5</v>
      </c>
      <c r="T281" s="780">
        <v>-0.80000000000000071</v>
      </c>
      <c r="U281" s="780">
        <v>-3.9000000000000004</v>
      </c>
      <c r="V281" s="780">
        <v>0</v>
      </c>
      <c r="W281" s="780">
        <v>-4.4000000000000004</v>
      </c>
      <c r="X281" s="780">
        <v>-3.7</v>
      </c>
      <c r="Y281" s="780">
        <v>-4.2000000000000011</v>
      </c>
      <c r="Z281" s="780">
        <v>0.49999999999999911</v>
      </c>
      <c r="AA281" s="780">
        <v>1.9380000000000006</v>
      </c>
      <c r="AB281" s="780">
        <v>3.6000000000000023</v>
      </c>
      <c r="AC281" s="780">
        <v>4.8000000000000007</v>
      </c>
      <c r="AD281" s="780">
        <v>6.2</v>
      </c>
      <c r="AE281" s="780">
        <v>5.7700000000000005</v>
      </c>
      <c r="AF281" s="780">
        <v>1.3650000000000004</v>
      </c>
      <c r="AG281" s="780">
        <v>1.6669999999999998</v>
      </c>
      <c r="AH281" s="780">
        <v>-2.8889999999999953</v>
      </c>
      <c r="AI281" s="780">
        <v>-4.0069999999999997</v>
      </c>
      <c r="AJ281" s="780">
        <v>-6.5179999999999998</v>
      </c>
      <c r="AK281" s="780">
        <v>-14.866999999999999</v>
      </c>
      <c r="AL281" s="780">
        <v>-25.038000000000011</v>
      </c>
      <c r="AM281" s="780">
        <v>-17.73</v>
      </c>
      <c r="AN281" s="780">
        <v>-19.425999999999998</v>
      </c>
      <c r="AO281" s="780">
        <v>-9.9329999999999998</v>
      </c>
      <c r="AP281" s="780">
        <v>-20.634999999999991</v>
      </c>
      <c r="AQ281" s="780">
        <f t="shared" ref="AQ281:BV281" si="1519">+AQ284+AQ297+AQ312</f>
        <v>-15.246000000000002</v>
      </c>
      <c r="AR281" s="780">
        <f t="shared" si="1519"/>
        <v>-21.291000000000004</v>
      </c>
      <c r="AS281" s="780">
        <f t="shared" si="1519"/>
        <v>-22.373999999999999</v>
      </c>
      <c r="AT281" s="780">
        <f t="shared" si="1519"/>
        <v>-34.963999999999999</v>
      </c>
      <c r="AU281" s="780">
        <f t="shared" si="1519"/>
        <v>-27.984999999999992</v>
      </c>
      <c r="AV281" s="780">
        <f t="shared" si="1519"/>
        <v>-25.784999999999989</v>
      </c>
      <c r="AW281" s="780">
        <f t="shared" si="1519"/>
        <v>-26.922999999999998</v>
      </c>
      <c r="AX281" s="780">
        <f t="shared" si="1519"/>
        <v>-23.893000000000008</v>
      </c>
      <c r="AY281" s="780">
        <f t="shared" si="1519"/>
        <v>-24.080000000000002</v>
      </c>
      <c r="AZ281" s="780">
        <f t="shared" si="1519"/>
        <v>-27.109000000000002</v>
      </c>
      <c r="BA281" s="781">
        <f t="shared" si="1519"/>
        <v>-26.239000000000004</v>
      </c>
      <c r="BB281" s="780">
        <f t="shared" si="1519"/>
        <v>-25.881999999999984</v>
      </c>
      <c r="BC281" s="781">
        <f t="shared" si="1519"/>
        <v>-24.934000000000005</v>
      </c>
      <c r="BD281" s="781">
        <f t="shared" si="1519"/>
        <v>-22.442999999999998</v>
      </c>
      <c r="BE281" s="781">
        <f t="shared" si="1519"/>
        <v>-21.305000000000007</v>
      </c>
      <c r="BF281" s="781">
        <f t="shared" si="1519"/>
        <v>-14.418999999999995</v>
      </c>
      <c r="BG281" s="781">
        <f t="shared" si="1519"/>
        <v>-13.881000000000002</v>
      </c>
      <c r="BH281" s="781">
        <f t="shared" si="1519"/>
        <v>-13.318</v>
      </c>
      <c r="BI281" s="781">
        <f t="shared" si="1519"/>
        <v>-17.462</v>
      </c>
      <c r="BJ281" s="781">
        <f t="shared" si="1519"/>
        <v>-8.9670000000000041</v>
      </c>
      <c r="BK281" s="799">
        <f t="shared" si="1519"/>
        <v>-45.180999999999997</v>
      </c>
      <c r="BL281" s="781">
        <f t="shared" si="1519"/>
        <v>-53.57</v>
      </c>
      <c r="BM281" s="799">
        <f t="shared" si="1519"/>
        <v>-22.800000000000004</v>
      </c>
      <c r="BN281" s="781">
        <f t="shared" si="1519"/>
        <v>-46</v>
      </c>
      <c r="BO281" s="799">
        <f t="shared" si="1519"/>
        <v>-36.299999999999997</v>
      </c>
      <c r="BP281" s="781">
        <f t="shared" si="1519"/>
        <v>493.59999999999997</v>
      </c>
      <c r="BQ281" s="781">
        <f t="shared" si="1519"/>
        <v>-57.4</v>
      </c>
      <c r="BR281" s="781">
        <f t="shared" si="1519"/>
        <v>-42.6</v>
      </c>
      <c r="BS281" s="781">
        <f t="shared" si="1519"/>
        <v>-78.2</v>
      </c>
      <c r="BT281" s="781">
        <f t="shared" si="1519"/>
        <v>-51.3</v>
      </c>
      <c r="BU281" s="781">
        <f t="shared" si="1519"/>
        <v>-18.499999999999989</v>
      </c>
      <c r="BV281" s="781">
        <f t="shared" si="1519"/>
        <v>-26.1</v>
      </c>
      <c r="BW281" s="781">
        <f t="shared" ref="BW281:CD281" si="1520">+BW284+BW297+BW312</f>
        <v>16.984999999999985</v>
      </c>
      <c r="BX281" s="781">
        <f t="shared" si="1520"/>
        <v>-3.3999999999999826</v>
      </c>
      <c r="BY281" s="781">
        <f t="shared" si="1520"/>
        <v>-9.9999999999994316E-2</v>
      </c>
      <c r="BZ281" s="781">
        <f t="shared" si="1520"/>
        <v>-36.600999999999942</v>
      </c>
      <c r="CA281" s="781">
        <f t="shared" si="1520"/>
        <v>-15.000000000000005</v>
      </c>
      <c r="CB281" s="781">
        <f t="shared" si="1520"/>
        <v>-28.699999999999996</v>
      </c>
      <c r="CC281" s="781">
        <f t="shared" si="1520"/>
        <v>-15.399999999999991</v>
      </c>
      <c r="CD281" s="781">
        <f t="shared" si="1520"/>
        <v>11.300000000000029</v>
      </c>
      <c r="CE281" s="781">
        <f>+CE284+CE297+CE312</f>
        <v>35.626000000000019</v>
      </c>
      <c r="CF281" s="781">
        <f t="shared" ref="CF281:CH281" si="1521">+CF284+CF297+CF312</f>
        <v>29.599999999999991</v>
      </c>
      <c r="CG281" s="781">
        <f t="shared" si="1521"/>
        <v>6.6469999999999914</v>
      </c>
      <c r="CH281" s="781">
        <f t="shared" si="1521"/>
        <v>-10.219000000000108</v>
      </c>
      <c r="CI281" s="781">
        <f t="shared" ref="CI281:CL281" si="1522">+CI284+CI297+CI312</f>
        <v>-18.483999999999995</v>
      </c>
      <c r="CJ281" s="781">
        <f t="shared" si="1522"/>
        <v>-45.84</v>
      </c>
      <c r="CK281" s="781">
        <f t="shared" si="1522"/>
        <v>-19.104000000000006</v>
      </c>
      <c r="CL281" s="782">
        <f t="shared" si="1522"/>
        <v>-34.708618158119535</v>
      </c>
      <c r="CM281" s="782">
        <f t="shared" ref="CM281:CP281" si="1523">+CM284+CM297+CM312</f>
        <v>-34.908604333526348</v>
      </c>
      <c r="CN281" s="782">
        <f t="shared" si="1523"/>
        <v>-31.620373183196399</v>
      </c>
      <c r="CO281" s="782">
        <f t="shared" si="1523"/>
        <v>-34.079861690355102</v>
      </c>
      <c r="CP281" s="782">
        <f t="shared" si="1523"/>
        <v>-41.612136648905789</v>
      </c>
      <c r="CQ281" s="782"/>
      <c r="CR281" s="782"/>
      <c r="CS281" s="782">
        <v>-24.452268530094678</v>
      </c>
      <c r="CT281" s="1133"/>
      <c r="CU281" s="783">
        <f>SUM(C281:F281)</f>
        <v>0</v>
      </c>
      <c r="CV281" s="783">
        <f>SUM(G281:J281)</f>
        <v>6.9999999999999991</v>
      </c>
      <c r="CW281" s="783"/>
      <c r="CX281" s="783">
        <f>SUM(O281:R281)</f>
        <v>-14</v>
      </c>
      <c r="CY281" s="783">
        <f>SUM(S281:V281)</f>
        <v>-6.2000000000000011</v>
      </c>
      <c r="CZ281" s="783">
        <f>SUM(W281:Z281)</f>
        <v>-11.800000000000004</v>
      </c>
      <c r="DA281" s="783">
        <f>SUM(AA281:AD281)</f>
        <v>16.538000000000004</v>
      </c>
      <c r="DB281" s="783">
        <f>SUM(AE281:AH281)</f>
        <v>5.9130000000000038</v>
      </c>
      <c r="DC281" s="783">
        <f>+SUM(AI281:AL281)</f>
        <v>-50.430000000000007</v>
      </c>
      <c r="DD281" s="783">
        <f>+SUM(AM281:AP281)</f>
        <v>-67.72399999999999</v>
      </c>
      <c r="DE281" s="780">
        <f>+SUM(AQ281:AT281)</f>
        <v>-93.875</v>
      </c>
      <c r="DF281" s="780">
        <f>+SUM(AU281:AX281)</f>
        <v>-104.58599999999998</v>
      </c>
      <c r="DG281" s="780">
        <f>+SUM(AY281:BB281)</f>
        <v>-103.31</v>
      </c>
      <c r="DH281" s="780">
        <f>+SUM(BC281:BF281)</f>
        <v>-83.101000000000013</v>
      </c>
      <c r="DI281" s="780">
        <f t="shared" ref="DI281:DL281" si="1524">+DI284+DI297+DI312</f>
        <v>-53.628000000000007</v>
      </c>
      <c r="DJ281" s="780">
        <f t="shared" si="1524"/>
        <v>-167.55099999999999</v>
      </c>
      <c r="DK281" s="780">
        <f t="shared" si="1524"/>
        <v>357.29999999999995</v>
      </c>
      <c r="DL281" s="780">
        <f t="shared" si="1524"/>
        <v>-174.09999999999997</v>
      </c>
      <c r="DM281" s="780">
        <f t="shared" ref="DM281:DR281" si="1525">+DM284+DM297+DM312</f>
        <v>-23.116000000000014</v>
      </c>
      <c r="DN281" s="780">
        <f t="shared" si="1525"/>
        <v>-47.800000000000011</v>
      </c>
      <c r="DO281" s="780">
        <f t="shared" si="1525"/>
        <v>61.653999999999968</v>
      </c>
      <c r="DP281" s="780">
        <f t="shared" si="1525"/>
        <v>-118.13661815811952</v>
      </c>
      <c r="DQ281" s="780">
        <f t="shared" ref="DQ281" si="1526">+DQ284+DQ297+DQ312</f>
        <v>-142.22097585598362</v>
      </c>
      <c r="DR281" s="780">
        <f t="shared" si="1525"/>
        <v>-97.684773259753811</v>
      </c>
      <c r="DS281" s="780">
        <f t="shared" ref="DS281:DU281" si="1527">+DS284+DS297+DS312</f>
        <v>-17.676055809772564</v>
      </c>
      <c r="DT281" s="780">
        <f t="shared" si="1527"/>
        <v>-1.4700307739317822</v>
      </c>
      <c r="DU281" s="780">
        <f t="shared" si="1527"/>
        <v>3.9809084698292097</v>
      </c>
      <c r="DV281" s="779"/>
      <c r="DW281" s="779"/>
      <c r="DY281" s="780">
        <v>-139.70465799234833</v>
      </c>
      <c r="DZ281" s="780">
        <v>-116.97299676055607</v>
      </c>
    </row>
    <row r="282" spans="1:130" s="2163" customFormat="1" ht="11.25">
      <c r="A282" s="2164"/>
      <c r="B282" s="2164"/>
      <c r="C282" s="2165"/>
      <c r="D282" s="2165"/>
      <c r="E282" s="2165"/>
      <c r="F282" s="2165"/>
      <c r="G282" s="2165"/>
      <c r="H282" s="2165"/>
      <c r="I282" s="2165"/>
      <c r="J282" s="2165"/>
      <c r="K282" s="2165"/>
      <c r="L282" s="2165"/>
      <c r="M282" s="2165"/>
      <c r="N282" s="2165"/>
      <c r="O282" s="2165"/>
      <c r="P282" s="2165"/>
      <c r="Q282" s="2165"/>
      <c r="R282" s="2165"/>
      <c r="S282" s="2165"/>
      <c r="T282" s="2165"/>
      <c r="U282" s="2165"/>
      <c r="V282" s="2165"/>
      <c r="W282" s="2165"/>
      <c r="X282" s="2165"/>
      <c r="Y282" s="2165"/>
      <c r="Z282" s="2165"/>
      <c r="AA282" s="2165"/>
      <c r="AB282" s="2165"/>
      <c r="AC282" s="2165"/>
      <c r="AD282" s="2165"/>
      <c r="AE282" s="2165"/>
      <c r="AF282" s="2165"/>
      <c r="AG282" s="2165"/>
      <c r="AH282" s="2165"/>
      <c r="AI282" s="2165"/>
      <c r="AJ282" s="2165"/>
      <c r="AK282" s="2165"/>
      <c r="AL282" s="2165"/>
      <c r="AM282" s="2165"/>
      <c r="AN282" s="2165"/>
      <c r="AO282" s="2165"/>
      <c r="AP282" s="2165"/>
      <c r="AQ282" s="2166">
        <f>+AQ281-PROJ!AQ18/1000</f>
        <v>0</v>
      </c>
      <c r="AR282" s="2166">
        <f>+AR281-PROJ!AR18/1000</f>
        <v>0</v>
      </c>
      <c r="AS282" s="2166">
        <f>+AS281-PROJ!AS18/1000</f>
        <v>0</v>
      </c>
      <c r="AT282" s="2166">
        <f>+AT281-PROJ!AT18/1000</f>
        <v>-9.9999999999766942E-4</v>
      </c>
      <c r="AU282" s="2166">
        <f>+AU281-PROJ!AU18/1000</f>
        <v>0</v>
      </c>
      <c r="AV282" s="2166">
        <f>+AV281-PROJ!AV18/1000</f>
        <v>0</v>
      </c>
      <c r="AW282" s="2166">
        <f>+AW281-PROJ!AW18/1000</f>
        <v>0</v>
      </c>
      <c r="AX282" s="2166">
        <f>+AX281-PROJ!AX18/1000</f>
        <v>0</v>
      </c>
      <c r="AY282" s="2166">
        <f>+AY281-PROJ!AY18/1000</f>
        <v>0</v>
      </c>
      <c r="AZ282" s="2166">
        <f>+AZ281-PROJ!AZ18/1000</f>
        <v>0</v>
      </c>
      <c r="BA282" s="2166">
        <f>+BA281-PROJ!BA18/1000</f>
        <v>0</v>
      </c>
      <c r="BB282" s="2166">
        <f>+BB281-PROJ!BB18/1000</f>
        <v>0</v>
      </c>
      <c r="BC282" s="2166">
        <f>+BC281-PROJ!BC18/1000</f>
        <v>0</v>
      </c>
      <c r="BD282" s="2166">
        <f>+BD281-PROJ!BD18/1000</f>
        <v>0</v>
      </c>
      <c r="BE282" s="2166">
        <f>+BE281-PROJ!BE18/1000</f>
        <v>0</v>
      </c>
      <c r="BF282" s="2166">
        <f>+BF281-PROJ!BF18/1000</f>
        <v>0</v>
      </c>
      <c r="BG282" s="2166">
        <f>+BG281-PROJ!BG18/1000</f>
        <v>0</v>
      </c>
      <c r="BH282" s="2166">
        <f>+BH281-PROJ!BH18/1000</f>
        <v>0</v>
      </c>
      <c r="BI282" s="2166">
        <f>+BI281-PROJ!BI18/1000</f>
        <v>0</v>
      </c>
      <c r="BJ282" s="2166">
        <f>+BJ281-PROJ!BJ18/1000</f>
        <v>0</v>
      </c>
      <c r="BK282" s="2166">
        <f>+BK281-PROJ!BK18/1000</f>
        <v>-5.9999999999995168E-2</v>
      </c>
      <c r="BL282" s="2166">
        <f>+BL281-PROJ!BL18/1000</f>
        <v>1.1000000000002785E-2</v>
      </c>
      <c r="BM282" s="2166">
        <f>+BM281-PROJ!BM18/1000</f>
        <v>17.835999999999999</v>
      </c>
      <c r="BN282" s="2166">
        <f>+BN281-PROJ!BN18/1000</f>
        <v>-0.94299999999999784</v>
      </c>
      <c r="BO282" s="2166">
        <f>+BO281-PROJ!BO18/1000</f>
        <v>13.467000000000006</v>
      </c>
      <c r="BP282" s="2166">
        <f>+BP281-PROJ!BP18/1000</f>
        <v>-5.0000000000522959E-3</v>
      </c>
      <c r="BQ282" s="2166">
        <f>+BQ281-PROJ!BQ18/1000</f>
        <v>-1.3999999999995794E-2</v>
      </c>
      <c r="BR282" s="2166">
        <f>+BR281-PROJ!BR18/1000</f>
        <v>0</v>
      </c>
      <c r="BS282" s="2166">
        <f>+BS281-PROJ!BS18/1000</f>
        <v>1.5999999999991132E-2</v>
      </c>
      <c r="BT282" s="2166">
        <f>+BT281-PROJ!BT18/1000</f>
        <v>-4.9999999999997158E-2</v>
      </c>
      <c r="BU282" s="2166">
        <f>+BU281-PROJ!BU18/1000</f>
        <v>-2.9999999999990479E-2</v>
      </c>
      <c r="BV282" s="2166">
        <f>+BV281-PROJ!BV18/1000</f>
        <v>5.4999999999999716E-2</v>
      </c>
      <c r="BW282" s="2166">
        <f>+BW281-PROJ!BW18/1000</f>
        <v>0</v>
      </c>
      <c r="BX282" s="2166">
        <f>+BX281-PROJ!BX18/1000</f>
        <v>7.3000000000017273E-2</v>
      </c>
      <c r="BY282" s="2166">
        <f>+BY281-PROJ!BY18/1000</f>
        <v>3.0000000000005689E-2</v>
      </c>
      <c r="BZ282" s="2166">
        <f>+BZ281-PROJ!BZ18/1000</f>
        <v>-0.10299999999994469</v>
      </c>
      <c r="CA282" s="2166">
        <f>+CA281-PROJ!CA18/1000</f>
        <v>3.3999999999995367E-2</v>
      </c>
      <c r="CB282" s="2166">
        <f>+CB281-PROJ!CB18/1000</f>
        <v>-3.7999999999996703E-2</v>
      </c>
      <c r="CC282" s="2166">
        <f>+CC281-PROJ!CC18/1000</f>
        <v>5.2000000000008484E-2</v>
      </c>
      <c r="CD282" s="2166">
        <f>+CD281-PROJ!CD18/1000</f>
        <v>0.56200000000002959</v>
      </c>
      <c r="CE282" s="2166">
        <f>+CE281-PROJ!CE18/1000</f>
        <v>0</v>
      </c>
      <c r="CF282" s="2166">
        <f>+CF281-PROJ!CF18/1000</f>
        <v>1.5999999999991132E-2</v>
      </c>
      <c r="CG282" s="2166">
        <f>+CG281-PROJ!CG18/1000</f>
        <v>-8.8817841970012523E-15</v>
      </c>
      <c r="CH282" s="2166">
        <f>+CH281-PROJ!CH18/1000</f>
        <v>-1.6000000000108372E-2</v>
      </c>
      <c r="CI282" s="2166">
        <f>+CI281-PROJ!CI18/1000</f>
        <v>0</v>
      </c>
      <c r="CJ282" s="2166">
        <f>+CJ281-PROJ!CJ18/1000</f>
        <v>0</v>
      </c>
      <c r="CK282" s="2166">
        <f>+CK281-PROJ!CK18/1000</f>
        <v>0</v>
      </c>
      <c r="CL282" s="2165"/>
      <c r="CM282" s="2165"/>
      <c r="CN282" s="2165"/>
      <c r="CO282" s="2165"/>
      <c r="CP282" s="2165"/>
      <c r="CQ282" s="2165"/>
      <c r="CR282" s="2165"/>
      <c r="CS282" s="2165"/>
      <c r="CT282" s="2162"/>
      <c r="CU282" s="2167"/>
      <c r="CV282" s="2167"/>
      <c r="CW282" s="2167"/>
      <c r="CX282" s="2167"/>
      <c r="CY282" s="2167"/>
      <c r="CZ282" s="2167"/>
      <c r="DA282" s="2167"/>
      <c r="DB282" s="2167"/>
      <c r="DC282" s="2167"/>
      <c r="DD282" s="2167"/>
      <c r="DE282" s="2165"/>
      <c r="DF282" s="2165"/>
      <c r="DG282" s="2165"/>
      <c r="DH282" s="2165"/>
      <c r="DI282" s="2165"/>
      <c r="DJ282" s="2165"/>
      <c r="DK282" s="2165"/>
      <c r="DL282" s="2165"/>
      <c r="DM282" s="2165"/>
      <c r="DN282" s="2165"/>
      <c r="DO282" s="2165"/>
      <c r="DP282" s="2165"/>
      <c r="DQ282" s="2165"/>
      <c r="DR282" s="2165"/>
      <c r="DS282" s="2165"/>
      <c r="DT282" s="2165"/>
      <c r="DU282" s="2165"/>
      <c r="DV282" s="2164"/>
      <c r="DW282" s="2164"/>
      <c r="DY282" s="2165"/>
      <c r="DZ282" s="2165"/>
    </row>
    <row r="283" spans="1:130" s="794" customFormat="1" ht="12.75">
      <c r="A283" s="878"/>
      <c r="B283" s="878"/>
      <c r="C283" s="879"/>
      <c r="D283" s="879"/>
      <c r="E283" s="879"/>
      <c r="F283" s="879"/>
      <c r="G283" s="879"/>
      <c r="H283" s="879"/>
      <c r="I283" s="879"/>
      <c r="J283" s="879"/>
      <c r="K283" s="879"/>
      <c r="L283" s="879"/>
      <c r="M283" s="879"/>
      <c r="N283" s="879"/>
      <c r="O283" s="879"/>
      <c r="P283" s="879"/>
      <c r="Q283" s="879"/>
      <c r="R283" s="879"/>
      <c r="S283" s="879"/>
      <c r="T283" s="879"/>
      <c r="U283" s="879"/>
      <c r="V283" s="879"/>
      <c r="W283" s="879"/>
      <c r="X283" s="879"/>
      <c r="Y283" s="879"/>
      <c r="Z283" s="879"/>
      <c r="AA283" s="879"/>
      <c r="AB283" s="879"/>
      <c r="AC283" s="879"/>
      <c r="AD283" s="879"/>
      <c r="AE283" s="879"/>
      <c r="AF283" s="879"/>
      <c r="AG283" s="879"/>
      <c r="AH283" s="879"/>
      <c r="AI283" s="879"/>
      <c r="AJ283" s="879"/>
      <c r="AK283" s="879"/>
      <c r="AL283" s="879"/>
      <c r="AM283" s="879"/>
      <c r="AN283" s="879"/>
      <c r="AO283" s="879"/>
      <c r="AP283" s="879"/>
      <c r="AQ283" s="879"/>
      <c r="AR283" s="879"/>
      <c r="AS283" s="879"/>
      <c r="AT283" s="879"/>
      <c r="AU283" s="879"/>
      <c r="AV283" s="879"/>
      <c r="AW283" s="879"/>
      <c r="AX283" s="879"/>
      <c r="AY283" s="879"/>
      <c r="AZ283" s="879"/>
      <c r="BA283" s="880"/>
      <c r="BB283" s="879"/>
      <c r="BC283" s="880"/>
      <c r="BD283" s="880"/>
      <c r="BE283" s="880"/>
      <c r="BF283" s="880"/>
      <c r="BG283" s="880"/>
      <c r="BH283" s="880"/>
      <c r="BI283" s="880"/>
      <c r="BJ283" s="880"/>
      <c r="BK283" s="880"/>
      <c r="BL283" s="880"/>
      <c r="BM283" s="880"/>
      <c r="BN283" s="880"/>
      <c r="BO283" s="880"/>
      <c r="BP283" s="880"/>
      <c r="BQ283" s="880"/>
      <c r="BR283" s="880"/>
      <c r="BS283" s="880"/>
      <c r="BT283" s="880"/>
      <c r="BU283" s="880"/>
      <c r="BV283" s="880"/>
      <c r="BW283" s="880"/>
      <c r="BX283" s="880"/>
      <c r="BY283" s="880"/>
      <c r="BZ283" s="880"/>
      <c r="CA283" s="880"/>
      <c r="CB283" s="880"/>
      <c r="CC283" s="880"/>
      <c r="CD283" s="880"/>
      <c r="CE283" s="880"/>
      <c r="CF283" s="880"/>
      <c r="CG283" s="880"/>
      <c r="CH283" s="880"/>
      <c r="CI283" s="880"/>
      <c r="CJ283" s="880"/>
      <c r="CK283" s="880"/>
      <c r="CL283" s="881"/>
      <c r="CM283" s="881"/>
      <c r="CN283" s="881"/>
      <c r="CO283" s="881"/>
      <c r="CP283" s="881"/>
      <c r="CQ283" s="881"/>
      <c r="CR283" s="881"/>
      <c r="CS283" s="881"/>
      <c r="CT283" s="1133"/>
      <c r="CU283" s="882"/>
      <c r="CV283" s="882"/>
      <c r="CW283" s="882"/>
      <c r="CX283" s="882"/>
      <c r="CY283" s="882"/>
      <c r="CZ283" s="882"/>
      <c r="DA283" s="882"/>
      <c r="DB283" s="882"/>
      <c r="DC283" s="882"/>
      <c r="DD283" s="882"/>
      <c r="DE283" s="879"/>
      <c r="DF283" s="879"/>
      <c r="DG283" s="879"/>
      <c r="DH283" s="879"/>
      <c r="DI283" s="879"/>
      <c r="DJ283" s="879"/>
      <c r="DK283" s="879"/>
      <c r="DL283" s="879"/>
      <c r="DM283" s="879"/>
      <c r="DN283" s="879"/>
      <c r="DO283" s="879"/>
      <c r="DP283" s="879"/>
      <c r="DQ283" s="879"/>
      <c r="DR283" s="879"/>
      <c r="DS283" s="879"/>
      <c r="DT283" s="879"/>
      <c r="DU283" s="879"/>
      <c r="DV283" s="878"/>
      <c r="DW283" s="878"/>
      <c r="DY283" s="879"/>
      <c r="DZ283" s="879"/>
    </row>
    <row r="284" spans="1:130" s="794" customFormat="1" ht="12.75">
      <c r="A284" s="789" t="s">
        <v>700</v>
      </c>
      <c r="B284" s="789"/>
      <c r="C284" s="790">
        <v>0</v>
      </c>
      <c r="D284" s="790">
        <v>0</v>
      </c>
      <c r="E284" s="790">
        <v>0</v>
      </c>
      <c r="F284" s="790">
        <v>0</v>
      </c>
      <c r="G284" s="790">
        <v>0</v>
      </c>
      <c r="H284" s="790">
        <v>0</v>
      </c>
      <c r="I284" s="790">
        <v>7.7</v>
      </c>
      <c r="J284" s="790">
        <v>9.6</v>
      </c>
      <c r="K284" s="790">
        <v>7.1</v>
      </c>
      <c r="L284" s="790">
        <v>5.7</v>
      </c>
      <c r="M284" s="790">
        <v>5.8</v>
      </c>
      <c r="N284" s="790">
        <v>6.6</v>
      </c>
      <c r="O284" s="790">
        <v>4.8</v>
      </c>
      <c r="P284" s="790">
        <v>3.3</v>
      </c>
      <c r="Q284" s="790">
        <v>4.5999999999999996</v>
      </c>
      <c r="R284" s="790">
        <v>6.1</v>
      </c>
      <c r="S284" s="790">
        <v>4.3</v>
      </c>
      <c r="T284" s="790">
        <v>6.6</v>
      </c>
      <c r="U284" s="790">
        <v>5.2</v>
      </c>
      <c r="V284" s="790">
        <v>11.4</v>
      </c>
      <c r="W284" s="790">
        <v>4.8</v>
      </c>
      <c r="X284" s="790">
        <v>5.7</v>
      </c>
      <c r="Y284" s="790">
        <v>7.2</v>
      </c>
      <c r="Z284" s="790">
        <v>13.2</v>
      </c>
      <c r="AA284" s="790">
        <v>10.403</v>
      </c>
      <c r="AB284" s="790">
        <v>11.8</v>
      </c>
      <c r="AC284" s="790">
        <v>13.9</v>
      </c>
      <c r="AD284" s="790">
        <v>9.6</v>
      </c>
      <c r="AE284" s="790">
        <v>9.375</v>
      </c>
      <c r="AF284" s="790">
        <v>4.34</v>
      </c>
      <c r="AG284" s="790">
        <v>13.33</v>
      </c>
      <c r="AH284" s="790">
        <v>13.898000000000003</v>
      </c>
      <c r="AI284" s="790">
        <v>6.923</v>
      </c>
      <c r="AJ284" s="790">
        <v>4.6260000000000003</v>
      </c>
      <c r="AK284" s="790">
        <v>9.82</v>
      </c>
      <c r="AL284" s="790">
        <v>8.177999999999999</v>
      </c>
      <c r="AM284" s="790">
        <v>5.7290000000000001</v>
      </c>
      <c r="AN284" s="790">
        <v>4.8659999999999997</v>
      </c>
      <c r="AO284" s="790">
        <v>10.355</v>
      </c>
      <c r="AP284" s="790">
        <v>11.780000000000005</v>
      </c>
      <c r="AQ284" s="795">
        <f>15.147+0.008</f>
        <v>15.154999999999999</v>
      </c>
      <c r="AR284" s="795">
        <f>13.686+0.032</f>
        <v>13.718</v>
      </c>
      <c r="AS284" s="795">
        <f>13.423+0.026</f>
        <v>13.449</v>
      </c>
      <c r="AT284" s="795">
        <f>57.156+0.1-AS284-AR284-AQ284</f>
        <v>14.934000000000003</v>
      </c>
      <c r="AU284" s="795">
        <f>13.891+0.144</f>
        <v>14.035</v>
      </c>
      <c r="AV284" s="795">
        <f>15.459+0.028</f>
        <v>15.487</v>
      </c>
      <c r="AW284" s="795">
        <f>13.31+0.192</f>
        <v>13.502000000000001</v>
      </c>
      <c r="AX284" s="795">
        <f>55.96+0.863-AW284-AV284-AU284</f>
        <v>13.798999999999996</v>
      </c>
      <c r="AY284" s="795">
        <f>15.823+1.371</f>
        <v>17.193999999999999</v>
      </c>
      <c r="AZ284" s="795">
        <f>17.896+0.117</f>
        <v>18.013000000000002</v>
      </c>
      <c r="BA284" s="795">
        <f>17.938+0.268</f>
        <v>18.206</v>
      </c>
      <c r="BB284" s="795">
        <f>67.487+2.306-BA284-AZ284-AY284</f>
        <v>16.379999999999985</v>
      </c>
      <c r="BC284" s="796">
        <f>18.463+0.066</f>
        <v>18.529</v>
      </c>
      <c r="BD284" s="795">
        <f>14.488+0.091</f>
        <v>14.578999999999999</v>
      </c>
      <c r="BE284" s="795">
        <f>10.649+0.593</f>
        <v>11.241999999999999</v>
      </c>
      <c r="BF284" s="795">
        <f>53.996-BE284-BD284-BC284</f>
        <v>9.6460000000000043</v>
      </c>
      <c r="BG284" s="795">
        <v>10.206</v>
      </c>
      <c r="BH284" s="795">
        <v>7.8959999999999999</v>
      </c>
      <c r="BI284" s="795">
        <v>7.0110000000000001</v>
      </c>
      <c r="BJ284" s="795">
        <f>31.291-BI284-BH284-BG284</f>
        <v>6.1780000000000008</v>
      </c>
      <c r="BK284" s="795">
        <v>7.6</v>
      </c>
      <c r="BL284" s="795">
        <v>10.1</v>
      </c>
      <c r="BM284" s="795">
        <v>11.2</v>
      </c>
      <c r="BN284" s="795">
        <v>6.9</v>
      </c>
      <c r="BO284" s="795">
        <v>10.3</v>
      </c>
      <c r="BP284" s="795">
        <v>564.79999999999995</v>
      </c>
      <c r="BQ284" s="795">
        <f>7.5+4.6</f>
        <v>12.1</v>
      </c>
      <c r="BR284" s="795">
        <v>11.4</v>
      </c>
      <c r="BS284" s="795">
        <v>12.4</v>
      </c>
      <c r="BT284" s="795">
        <v>36.299999999999997</v>
      </c>
      <c r="BU284" s="795">
        <v>75.400000000000006</v>
      </c>
      <c r="BV284" s="795">
        <v>105.1</v>
      </c>
      <c r="BW284" s="795">
        <v>191.215</v>
      </c>
      <c r="BX284" s="795">
        <v>144.9</v>
      </c>
      <c r="BY284" s="795">
        <v>240.5</v>
      </c>
      <c r="BZ284" s="795">
        <f>703.939-BY284-BX284-BW284</f>
        <v>127.32399999999998</v>
      </c>
      <c r="CA284" s="795">
        <v>88.6</v>
      </c>
      <c r="CB284" s="795">
        <v>75.8</v>
      </c>
      <c r="CC284" s="795">
        <f>85.9+20.8</f>
        <v>106.7</v>
      </c>
      <c r="CD284" s="795">
        <f>298.1+111.8-CC284-CB284-CA284</f>
        <v>138.80000000000004</v>
      </c>
      <c r="CE284" s="795">
        <v>158.08000000000001</v>
      </c>
      <c r="CF284" s="795">
        <v>95.3</v>
      </c>
      <c r="CG284" s="795">
        <v>115.20099999999999</v>
      </c>
      <c r="CH284" s="795">
        <f>547.367-CG284-CF284-CE284</f>
        <v>178.78599999999992</v>
      </c>
      <c r="CI284" s="795">
        <v>88.171000000000006</v>
      </c>
      <c r="CJ284" s="795">
        <v>27.5</v>
      </c>
      <c r="CK284" s="795">
        <v>68.891999999999996</v>
      </c>
      <c r="CL284" s="792">
        <f t="shared" ref="CL284:CP284" si="1528">+CL289+CL294</f>
        <v>63.347000000000001</v>
      </c>
      <c r="CM284" s="792">
        <f t="shared" si="1528"/>
        <v>58.951759225780464</v>
      </c>
      <c r="CN284" s="792">
        <f t="shared" si="1528"/>
        <v>57.04632839196416</v>
      </c>
      <c r="CO284" s="792">
        <f t="shared" si="1528"/>
        <v>55.608975646439745</v>
      </c>
      <c r="CP284" s="792">
        <f t="shared" si="1528"/>
        <v>54.646751876051496</v>
      </c>
      <c r="CQ284" s="792"/>
      <c r="CR284" s="792"/>
      <c r="CS284" s="792">
        <v>50.174535832565219</v>
      </c>
      <c r="CT284" s="1133"/>
      <c r="CU284" s="789">
        <f>SUM(C284:F284)</f>
        <v>0</v>
      </c>
      <c r="CV284" s="789">
        <f>SUM(G284:J284)</f>
        <v>17.3</v>
      </c>
      <c r="CW284" s="789"/>
      <c r="CX284" s="789">
        <f>SUM(O284:R284)</f>
        <v>18.799999999999997</v>
      </c>
      <c r="CY284" s="789">
        <f>SUM(S284:V284)</f>
        <v>27.5</v>
      </c>
      <c r="CZ284" s="789">
        <f>SUM(W284:Z284)</f>
        <v>30.9</v>
      </c>
      <c r="DA284" s="789">
        <f>SUM(AA284:AD284)</f>
        <v>45.703000000000003</v>
      </c>
      <c r="DB284" s="789">
        <f>SUM(AE284:AH284)</f>
        <v>40.943000000000005</v>
      </c>
      <c r="DC284" s="789">
        <f>+SUM(AI284:AL284)</f>
        <v>29.546999999999997</v>
      </c>
      <c r="DD284" s="789">
        <f>+SUM(AM284:AP284)</f>
        <v>32.730000000000004</v>
      </c>
      <c r="DE284" s="789">
        <f>+SUM(AQ284:AT284)</f>
        <v>57.256</v>
      </c>
      <c r="DF284" s="790">
        <f>+SUM(AU284:AX284)</f>
        <v>56.822999999999993</v>
      </c>
      <c r="DG284" s="790">
        <f>+SUM(AY284:BB284)</f>
        <v>69.792999999999978</v>
      </c>
      <c r="DH284" s="790">
        <f>+SUM(BC284:BF284)</f>
        <v>53.995999999999995</v>
      </c>
      <c r="DI284" s="790">
        <f>+SUM(BG284:BJ284)</f>
        <v>31.291</v>
      </c>
      <c r="DJ284" s="790">
        <f>+SUM(BK284:BN284)</f>
        <v>35.799999999999997</v>
      </c>
      <c r="DK284" s="790">
        <f>+SUM(BO284:BR284)</f>
        <v>598.59999999999991</v>
      </c>
      <c r="DL284" s="790">
        <f>+SUM(BS284:BV284)</f>
        <v>229.2</v>
      </c>
      <c r="DM284" s="790">
        <f>+SUM(BW284:BZ284)</f>
        <v>703.93899999999996</v>
      </c>
      <c r="DN284" s="790">
        <f>+SUM(CA284:CD284)</f>
        <v>409.9</v>
      </c>
      <c r="DO284" s="790">
        <f>+SUM(CE284:CH284)</f>
        <v>547.36699999999996</v>
      </c>
      <c r="DP284" s="790">
        <f>+SUM(CI284:CL284)</f>
        <v>247.91</v>
      </c>
      <c r="DQ284" s="790">
        <f>+SUM(CM284:CP284)</f>
        <v>226.25381514023587</v>
      </c>
      <c r="DR284" s="792">
        <f t="shared" ref="DR284:DU284" si="1529">+DR289+DR294</f>
        <v>254.18115267520349</v>
      </c>
      <c r="DS284" s="792">
        <f t="shared" si="1529"/>
        <v>322.07776479958727</v>
      </c>
      <c r="DT284" s="792">
        <f t="shared" si="1529"/>
        <v>365.82537732169891</v>
      </c>
      <c r="DU284" s="792">
        <f t="shared" si="1529"/>
        <v>397.31395371114661</v>
      </c>
      <c r="DV284" s="789"/>
      <c r="DW284" s="789"/>
      <c r="DY284" s="792">
        <v>205.38718566559768</v>
      </c>
      <c r="DZ284" s="792">
        <v>218.43903280923666</v>
      </c>
    </row>
    <row r="285" spans="1:130">
      <c r="A285" s="185" t="s">
        <v>701</v>
      </c>
      <c r="B285" s="185"/>
      <c r="C285" s="180"/>
      <c r="D285" s="180"/>
      <c r="E285" s="180"/>
      <c r="F285" s="180"/>
      <c r="G285" s="180"/>
      <c r="H285" s="180"/>
      <c r="I285" s="168">
        <v>3.4803125049436258E-2</v>
      </c>
      <c r="J285" s="168">
        <v>3.0860675302297996E-2</v>
      </c>
      <c r="K285" s="168">
        <v>2.8382573100116527E-2</v>
      </c>
      <c r="L285" s="168">
        <v>2.735091949472775E-2</v>
      </c>
      <c r="M285" s="168">
        <v>2.4822603976752348E-2</v>
      </c>
      <c r="N285" s="168">
        <v>2.4671882651554514E-2</v>
      </c>
      <c r="O285" s="168">
        <v>1.9686775203686349E-2</v>
      </c>
      <c r="P285" s="168">
        <v>1.5626368787038637E-2</v>
      </c>
      <c r="Q285" s="168">
        <v>1.7826348117576392E-2</v>
      </c>
      <c r="R285" s="168">
        <v>2.0611791217656956E-2</v>
      </c>
      <c r="S285" s="168">
        <v>1.6466685258828571E-2</v>
      </c>
      <c r="T285" s="168">
        <v>2.984347840201958E-2</v>
      </c>
      <c r="U285" s="168">
        <v>2.5218834334136513E-2</v>
      </c>
      <c r="V285" s="168">
        <v>5.935497394997119E-2</v>
      </c>
      <c r="W285" s="168">
        <v>3.0646799016669744E-2</v>
      </c>
      <c r="X285" s="168">
        <v>3.7685743414428187E-2</v>
      </c>
      <c r="Y285" s="168">
        <v>2.7806483550082715E-2</v>
      </c>
      <c r="Z285" s="168">
        <v>3.5922988716620703E-2</v>
      </c>
      <c r="AA285" s="168">
        <v>2.533417799340832E-2</v>
      </c>
      <c r="AB285" s="168">
        <v>3.0702792836955036E-2</v>
      </c>
      <c r="AC285" s="168">
        <v>3.5771498868318347E-2</v>
      </c>
      <c r="AD285" s="168">
        <v>1.7422073756299193E-2</v>
      </c>
      <c r="AE285" s="168">
        <v>1.5523109769060153E-2</v>
      </c>
      <c r="AF285" s="168">
        <v>1.132614556925814E-2</v>
      </c>
      <c r="AG285" s="168">
        <v>2.8924150201021931E-2</v>
      </c>
      <c r="AH285" s="168">
        <v>2.2229373870481454E-2</v>
      </c>
      <c r="AI285" s="168">
        <v>1.270129567432538E-2</v>
      </c>
      <c r="AJ285" s="168">
        <v>1.0648207261736386E-2</v>
      </c>
      <c r="AK285" s="168">
        <v>1.9381602157971176E-2</v>
      </c>
      <c r="AL285" s="168">
        <v>1.2198959683907331E-2</v>
      </c>
      <c r="AM285" s="168">
        <v>9.4261302455939736E-3</v>
      </c>
      <c r="AN285" s="168">
        <v>9.9225169915831586E-3</v>
      </c>
      <c r="AO285" s="168">
        <v>1.6195159752979173E-2</v>
      </c>
      <c r="AP285" s="168">
        <v>1.4439405012143219E-2</v>
      </c>
      <c r="AQ285" s="168">
        <f>+AQ284/(AVERAGE(PROJ!AP278:AQ278)/1000)</f>
        <v>1.9492136906698838E-2</v>
      </c>
      <c r="AR285" s="168">
        <f>+AR284/(AVERAGE(PROJ!AQ278:AR278)/1000)</f>
        <v>1.8625642641017827E-2</v>
      </c>
      <c r="AS285" s="168">
        <f>+AS284/(AVERAGE(PROJ!AR278:AS278)/1000)</f>
        <v>1.9982319161423085E-2</v>
      </c>
      <c r="AT285" s="168">
        <f>+AT284/(AVERAGE(PROJ!AS278:AT278)/1000)</f>
        <v>2.0446316780998921E-2</v>
      </c>
      <c r="AU285" s="168">
        <f>+AU284/(AVERAGE(PROJ!AT278:AU278)/1000)</f>
        <v>1.7736904894298914E-2</v>
      </c>
      <c r="AV285" s="168">
        <f>+AV284/(AVERAGE(PROJ!AU278:AV278)/1000)</f>
        <v>2.1437771700950906E-2</v>
      </c>
      <c r="AW285" s="168">
        <f>+AW284/(AVERAGE(PROJ!AV278:AW278)/1000)</f>
        <v>2.1496337407479939E-2</v>
      </c>
      <c r="AX285" s="168">
        <f>+AX284/(AVERAGE(PROJ!AW278:AX278)/1000)</f>
        <v>2.1275972444077137E-2</v>
      </c>
      <c r="AY285" s="168">
        <f>+AY284/(AVERAGE(PROJ!AX278:AY278)/1000)</f>
        <v>2.197723539825271E-2</v>
      </c>
      <c r="AZ285" s="168">
        <f>+AZ284/(AVERAGE(PROJ!AY278:AZ278)/1000)</f>
        <v>2.2350174236563439E-2</v>
      </c>
      <c r="BA285" s="168">
        <f>+BA284/(AVERAGE(PROJ!AZ278:BA278)/1000)</f>
        <v>2.4234582666935556E-2</v>
      </c>
      <c r="BB285" s="168">
        <f>+BB284/(AVERAGE(PROJ!BA278:BB278)/1000)</f>
        <v>2.0314313778015874E-2</v>
      </c>
      <c r="BC285" s="168">
        <f>+BC284/(AVERAGE(PROJ!BB278:BC278)/1000)</f>
        <v>2.0583535282450115E-2</v>
      </c>
      <c r="BD285" s="168">
        <f>+BD284/(AVERAGE(PROJ!BC278:BD278)/1000)</f>
        <v>1.5544069072430947E-2</v>
      </c>
      <c r="BE285" s="168">
        <f>+BE284/(AVERAGE(PROJ!BD278:BE278)/1000)</f>
        <v>1.22651462336662E-2</v>
      </c>
      <c r="BF285" s="168">
        <f>+BF284/(AVERAGE(PROJ!BE278:BF278)/1000)</f>
        <v>9.6216716033509318E-3</v>
      </c>
      <c r="BG285" s="168">
        <f>+BG284/(AVERAGE(PROJ!BF278:BG278)/1000)</f>
        <v>1.0069617105917453E-2</v>
      </c>
      <c r="BH285" s="168">
        <f>+BH284/(AVERAGE(PROJ!BG278:BH278)/1000)</f>
        <v>9.1244787601062905E-3</v>
      </c>
      <c r="BI285" s="168">
        <f>+BI284/(AVERAGE(PROJ!BH278:BI278)/1000)</f>
        <v>7.7881178715143847E-3</v>
      </c>
      <c r="BJ285" s="168">
        <f>+BJ284/(AVERAGE(PROJ!BI278:BJ278)/1000)</f>
        <v>5.2827687933559219E-3</v>
      </c>
      <c r="BK285" s="168">
        <f>+BK284/(AVERAGE(PROJ!BJ278:BK278)/1000)</f>
        <v>5.6093901190593046E-3</v>
      </c>
      <c r="BL285" s="168">
        <f>+BL284/(AVERAGE(PROJ!BK278:BL278)/1000)</f>
        <v>8.8866716203261937E-3</v>
      </c>
      <c r="BM285" s="168">
        <f>+BM284/(AVERAGE(PROJ!BL278:BM278)/1000)</f>
        <v>1.1279435423973331E-2</v>
      </c>
      <c r="BN285" s="168">
        <f>+BN284/(AVERAGE(PROJ!BM278:BN278)/1000)</f>
        <v>5.7248868297733952E-3</v>
      </c>
      <c r="BO285" s="168">
        <f>+BO284/(AVERAGE(PROJ!BN278:BO278)/1000)</f>
        <v>6.6111628521968646E-3</v>
      </c>
      <c r="BP285" s="168">
        <f>+BP284/(AVERAGE(PROJ!BO278:BP278)/1000)</f>
        <v>0.276672058375453</v>
      </c>
      <c r="BQ285" s="168">
        <f>+BQ284/(AVERAGE(PROJ!BP278:BQ278)/1000)</f>
        <v>5.666757209894813E-3</v>
      </c>
      <c r="BR285" s="168">
        <f>+BR284/(AVERAGE(PROJ!BQ278:BR278)/1000)</f>
        <v>4.9525371000419009E-3</v>
      </c>
      <c r="BS285" s="168">
        <f>+BS284/(AVERAGE(PROJ!BR278:BS278)/1000)</f>
        <v>4.4728308889372638E-3</v>
      </c>
      <c r="BT285" s="168">
        <f>+BT284/(AVERAGE(PROJ!BS278:BT278)/1000)</f>
        <v>8.5542604635631507E-3</v>
      </c>
      <c r="BU285" s="168">
        <f>+BU284/(AVERAGE(PROJ!BT278:BU278)/1000)</f>
        <v>1.3221709837127473E-2</v>
      </c>
      <c r="BV285" s="168">
        <f>+BV284/(AVERAGE(PROJ!BU278:BV278)/1000)</f>
        <v>1.8634527101446294E-2</v>
      </c>
      <c r="BW285" s="168">
        <f>+BW284/(AVERAGE(PROJ!BV278:BW278)/1000)</f>
        <v>3.5402626068915283E-2</v>
      </c>
      <c r="BX285" s="168">
        <f>+BX284/(AVERAGE(PROJ!BW278:BX278)/1000)</f>
        <v>2.9942637841005631E-2</v>
      </c>
      <c r="BY285" s="168">
        <f>+BY284/(AVERAGE(PROJ!BX278:BY278)/1000)</f>
        <v>5.7911164754855776E-2</v>
      </c>
      <c r="BZ285" s="168">
        <f>+BZ284/(AVERAGE(PROJ!BY278:BZ278)/1000)</f>
        <v>3.7511346424400606E-2</v>
      </c>
      <c r="CA285" s="168">
        <f>+CA284/(AVERAGE(PROJ!BZ278:CA278)/1000)</f>
        <v>3.5032534420142189E-2</v>
      </c>
      <c r="CB285" s="168">
        <f>+CB284/(AVERAGE(PROJ!CA278:CB278)/1000)</f>
        <v>3.3467519838225601E-2</v>
      </c>
      <c r="CC285" s="168">
        <f>+CC284/(AVERAGE(PROJ!CB278:CC278)/1000)</f>
        <v>4.2956338123146198E-2</v>
      </c>
      <c r="CD285" s="168">
        <f>+CD284/(AVERAGE(PROJ!CC278:CD278)/1000)</f>
        <v>5.3590100546290764E-2</v>
      </c>
      <c r="CE285" s="168">
        <f>+CE284/(AVERAGE(PROJ!CD278:CE278)/1000)</f>
        <v>7.0288064115035701E-2</v>
      </c>
      <c r="CF285" s="168">
        <f>+CF284/(AVERAGE(PROJ!CE278:CF278)/1000)</f>
        <v>5.0176277599154565E-2</v>
      </c>
      <c r="CG285" s="168">
        <f>+CG284/(AVERAGE(PROJ!CF278:CG278)/1000)</f>
        <v>6.3697972492335705E-2</v>
      </c>
      <c r="CH285" s="168">
        <f>+CH284/(AVERAGE(PROJ!CG278:CH278)/1000)</f>
        <v>9.6368202794411564E-2</v>
      </c>
      <c r="CI285" s="168">
        <f>+CI284/(AVERAGE(PROJ!CH278:CI278)/1000)</f>
        <v>6.2055544607415337E-2</v>
      </c>
      <c r="CJ285" s="168">
        <f>+CJ284/(AVERAGE(PROJ!CI278:CJ278)/1000)</f>
        <v>3.1445785750142077E-2</v>
      </c>
      <c r="CK285" s="168">
        <f>+CK284/(AVERAGE(PROJ!CJ278:CK278)/1000)</f>
        <v>8.1032585586639949E-2</v>
      </c>
      <c r="CL285" s="168">
        <f>+CL284/(AVERAGE(PROJ!CK278:CL278)/1000)</f>
        <v>8.8748922984977843E-2</v>
      </c>
      <c r="CM285" s="168">
        <f>+CM284/(AVERAGE(PROJ!CL278:CM278)/1000)</f>
        <v>0.10514438373246689</v>
      </c>
      <c r="CN285" s="168">
        <f>+CN284/(AVERAGE(PROJ!CM278:CN278)/1000)</f>
        <v>0.10174592110136627</v>
      </c>
      <c r="CO285" s="168">
        <f>+CO284/(AVERAGE(PROJ!CN278:CO278)/1000)</f>
        <v>9.9182306874765841E-2</v>
      </c>
      <c r="CP285" s="168">
        <f>+CP284/(AVERAGE(PROJ!CO278:CP278)/1000)</f>
        <v>9.7466116778339357E-2</v>
      </c>
      <c r="CQ285" s="194"/>
      <c r="CR285" s="194"/>
      <c r="CS285" s="168">
        <v>3.730534589418516E-2</v>
      </c>
      <c r="CT285" s="1133"/>
      <c r="CU285" s="190"/>
      <c r="CV285" s="190"/>
      <c r="CW285" s="190"/>
      <c r="CX285" s="190"/>
      <c r="CY285" s="190"/>
      <c r="CZ285" s="190"/>
      <c r="DA285" s="182"/>
      <c r="DB285" s="168"/>
      <c r="DC285" s="168"/>
      <c r="DD285" s="168"/>
      <c r="DE285" s="168">
        <f>+DE284/(AVERAGE(PROJ!DD278:DE278)/1000)</f>
        <v>6.9998019477582191E-2</v>
      </c>
      <c r="DF285" s="168">
        <f>+DF284/(AVERAGE(PROJ!DE278:DF278)/1000)</f>
        <v>7.2300010115359623E-2</v>
      </c>
      <c r="DG285" s="168">
        <f>+DG284/(AVERAGE(PROJ!DF278:DG278)/1000)</f>
        <v>8.5509259939916954E-2</v>
      </c>
      <c r="DH285" s="168">
        <f>+DH284/(AVERAGE(PROJ!DG278:DH278)/1000)</f>
        <v>5.3012251646201436E-2</v>
      </c>
      <c r="DI285" s="168">
        <f>+DI284/(AVERAGE(PROJ!DH278:DI278)/1000)</f>
        <v>2.4769284535681786E-2</v>
      </c>
      <c r="DJ285" s="168">
        <f>+DJ284/(AVERAGE(PROJ!DI278:DJ278)/1000)</f>
        <v>2.5973404104813566E-2</v>
      </c>
      <c r="DK285" s="168">
        <f>+DK284/(AVERAGE(PROJ!DJ278:DK278)/1000)</f>
        <v>0.29599557935102</v>
      </c>
      <c r="DL285" s="168">
        <f>+DL284/(AVERAGE(PROJ!DK278:DL278)/1000)</f>
        <v>5.6164287893434875E-2</v>
      </c>
      <c r="DM285" s="168">
        <f>+DM284/(AVERAGE(PROJ!DL278:DM278)/1000)</f>
        <v>0.16885549557804871</v>
      </c>
      <c r="DN285" s="168">
        <f>+DN284/(AVERAGE(PROJ!DM278:DN278)/1000)</f>
        <v>0.15236393160700451</v>
      </c>
      <c r="DO285" s="168">
        <f>+DO284/(AVERAGE(PROJ!DN278:DO278)/1000)</f>
        <v>0.24554980374397886</v>
      </c>
      <c r="DP285" s="168">
        <f>+DP284/(AVERAGE(PROJ!DO278:DP278)/1000)</f>
        <v>0.17820506514376366</v>
      </c>
      <c r="DQ285" s="168">
        <f>+DQ284/(AVERAGE(PROJ!DP278:DQ278)/1000)</f>
        <v>0.2642564676923041</v>
      </c>
      <c r="DR285" s="168">
        <f>+DR284/(AVERAGE(PROJ!DQ278:DR278)/1000)</f>
        <v>0.18860473456444837</v>
      </c>
      <c r="DS285" s="168">
        <f>+DS284/(AVERAGE(PROJ!DR278:DS278)/1000)</f>
        <v>0.14123617177822306</v>
      </c>
      <c r="DT285" s="168">
        <f>+DT284/(AVERAGE(PROJ!DS278:DT278)/1000)</f>
        <v>0.11436651707315253</v>
      </c>
      <c r="DU285" s="168">
        <f>+DU284/(AVERAGE(PROJ!DT278:DU278)/1000)</f>
        <v>9.4618608135002821E-2</v>
      </c>
      <c r="DV285" s="185"/>
      <c r="DW285" s="185"/>
      <c r="DY285" s="168">
        <v>9.5000000000000015E-2</v>
      </c>
      <c r="DZ285" s="168">
        <v>0.09</v>
      </c>
    </row>
    <row r="286" spans="1:130" s="810" customFormat="1">
      <c r="A286" s="807" t="s">
        <v>702</v>
      </c>
      <c r="B286" s="807"/>
      <c r="C286" s="808"/>
      <c r="D286" s="808"/>
      <c r="E286" s="808"/>
      <c r="F286" s="808"/>
      <c r="G286" s="808"/>
      <c r="H286" s="808"/>
      <c r="I286" s="575">
        <v>4.6609973397407245E-2</v>
      </c>
      <c r="J286" s="575">
        <v>4.2383974607679287E-2</v>
      </c>
      <c r="K286" s="575">
        <v>3.8918503659524317E-2</v>
      </c>
      <c r="L286" s="575">
        <v>3.6681852358877665E-2</v>
      </c>
      <c r="M286" s="575">
        <v>3.5200000000000002E-2</v>
      </c>
      <c r="N286" s="575">
        <v>3.0874785591766596E-2</v>
      </c>
      <c r="O286" s="575">
        <v>3.04E-2</v>
      </c>
      <c r="P286" s="575">
        <v>2.9100000000000001E-2</v>
      </c>
      <c r="Q286" s="575">
        <v>2.7587273226534093E-2</v>
      </c>
      <c r="R286" s="575">
        <v>2.7010786450877289E-2</v>
      </c>
      <c r="S286" s="575">
        <v>2.7010786450877289E-2</v>
      </c>
      <c r="T286" s="575">
        <v>2.8262449650589883E-2</v>
      </c>
      <c r="U286" s="575">
        <v>3.0934731419459904E-2</v>
      </c>
      <c r="V286" s="575">
        <v>3.2732516378310317E-2</v>
      </c>
      <c r="W286" s="575">
        <v>2.9310936996617354E-2</v>
      </c>
      <c r="X286" s="575">
        <v>2.3919673031582711E-2</v>
      </c>
      <c r="Y286" s="575">
        <v>2.1191794292683586E-2</v>
      </c>
      <c r="Z286" s="575">
        <v>2.1191794292683586E-2</v>
      </c>
      <c r="AA286" s="575">
        <v>2.1191794292683586E-2</v>
      </c>
      <c r="AB286" s="575">
        <v>2.3531309725231653E-2</v>
      </c>
      <c r="AC286" s="575">
        <v>2.5854891781707856E-2</v>
      </c>
      <c r="AD286" s="575">
        <v>2.5854891781707856E-2</v>
      </c>
      <c r="AE286" s="575">
        <v>2.7395218779641572E-2</v>
      </c>
      <c r="AF286" s="575">
        <v>2.8928648746103791E-2</v>
      </c>
      <c r="AG286" s="575">
        <v>2.9501921500057149E-2</v>
      </c>
      <c r="AH286" s="575">
        <v>2.7203056568155359E-2</v>
      </c>
      <c r="AI286" s="575">
        <v>2.504527687291791E-2</v>
      </c>
      <c r="AJ286" s="575">
        <v>2.172147788820955E-2</v>
      </c>
      <c r="AK286" s="575">
        <v>1.9186796815084506E-2</v>
      </c>
      <c r="AL286" s="575">
        <v>1.7728593758837619E-2</v>
      </c>
      <c r="AM286" s="575">
        <v>1.7652081440606482E-2</v>
      </c>
      <c r="AN286" s="575">
        <v>1.9426546908273501E-2</v>
      </c>
      <c r="AO286" s="575">
        <v>2.1778180864641117E-2</v>
      </c>
      <c r="AP286" s="575">
        <v>2.4113689084445111E-2</v>
      </c>
      <c r="AQ286" s="575">
        <f>+MACRO!BD6</f>
        <v>2.5298671682920659E-2</v>
      </c>
      <c r="AR286" s="575">
        <f>+MACRO!BE6</f>
        <v>2.6433327247938676E-2</v>
      </c>
      <c r="AS286" s="575">
        <f>+MACRO!BF6</f>
        <v>2.6433327247938676E-2</v>
      </c>
      <c r="AT286" s="575">
        <f>+MACRO!BG6</f>
        <v>2.7195367836196249E-2</v>
      </c>
      <c r="AU286" s="575">
        <f>+MACRO!BH6</f>
        <v>2.9379703664283552E-2</v>
      </c>
      <c r="AV286" s="575">
        <f>+MACRO!BI6</f>
        <v>3.1595770003753909E-2</v>
      </c>
      <c r="AW286" s="575">
        <f>+MACRO!BJ6</f>
        <v>3.386552139124821E-2</v>
      </c>
      <c r="AX286" s="575">
        <f>+MACRO!BK6</f>
        <v>3.386552139124821E-2</v>
      </c>
      <c r="AY286" s="575">
        <f>+MACRO!BL6</f>
        <v>3.386552139124821E-2</v>
      </c>
      <c r="AZ286" s="575">
        <f>+MACRO!BM6</f>
        <v>3.386552139124821E-2</v>
      </c>
      <c r="BA286" s="575">
        <f>+MACRO!BN6</f>
        <v>3.386552139124821E-2</v>
      </c>
      <c r="BB286" s="575">
        <f>+MACRO!BO6</f>
        <v>3.3208832524481258E-2</v>
      </c>
      <c r="BC286" s="575">
        <f>+MACRO!BP6</f>
        <v>3.0500946736911727E-2</v>
      </c>
      <c r="BD286" s="575">
        <f>+MACRO!BQ6</f>
        <v>2.6479559859692303E-2</v>
      </c>
      <c r="BE286" s="575">
        <f>+MACRO!BR6</f>
        <v>2.2363559609957839E-2</v>
      </c>
      <c r="BF286" s="575">
        <f>+MACRO!BS6</f>
        <v>1.8362980987926658E-2</v>
      </c>
      <c r="BG286" s="575">
        <f>+MACRO!BT6</f>
        <v>1.6642416339083699E-2</v>
      </c>
      <c r="BH286" s="575">
        <f>+MACRO!BU6</f>
        <v>1.586828478278357E-2</v>
      </c>
      <c r="BI286" s="575">
        <f>+MACRO!BV6</f>
        <v>1.586828478278357E-2</v>
      </c>
      <c r="BJ286" s="575">
        <f>+MACRO!BW6</f>
        <v>1.586828478278357E-2</v>
      </c>
      <c r="BK286" s="575">
        <f>+MACRO!BX6</f>
        <v>1.586828478278357E-2</v>
      </c>
      <c r="BL286" s="575">
        <f>+MACRO!BY6</f>
        <v>1.586828478278357E-2</v>
      </c>
      <c r="BM286" s="575">
        <f>+MACRO!BZ6</f>
        <v>1.4913071423088509E-2</v>
      </c>
      <c r="BN286" s="575">
        <f>+MACRO!CA6</f>
        <v>1.2392721514959071E-2</v>
      </c>
      <c r="BO286" s="575">
        <f>+MACRO!CB6</f>
        <v>1.0508203112448822E-2</v>
      </c>
      <c r="BP286" s="575">
        <f>+MACRO!CC6</f>
        <v>7.8324965478326902E-3</v>
      </c>
      <c r="BQ286" s="575">
        <f>+MACRO!CD6</f>
        <v>5.1845412595541429E-3</v>
      </c>
      <c r="BR286" s="575">
        <f>+MACRO!CE6</f>
        <v>4.9629315732038215E-3</v>
      </c>
      <c r="BS286" s="575">
        <f>+MACRO!CF6</f>
        <v>5.2829874231419272E-3</v>
      </c>
      <c r="BT286" s="575">
        <f>+MACRO!CG6</f>
        <v>8.2717988664033903E-3</v>
      </c>
      <c r="BU286" s="575">
        <f>+MACRO!CH6</f>
        <v>1.2248131848348498E-2</v>
      </c>
      <c r="BV286" s="575">
        <f>+MACRO!CI6</f>
        <v>1.8670575645447718E-2</v>
      </c>
      <c r="BW286" s="575">
        <f>+MACRO!CJ6</f>
        <v>2.5089855568062536E-2</v>
      </c>
      <c r="BX286" s="575">
        <f>+MACRO!CK6</f>
        <v>2.9860684889043698E-2</v>
      </c>
      <c r="BY286" s="575">
        <f>+MACRO!CL6</f>
        <v>3.2391886619581145E-2</v>
      </c>
      <c r="BZ286" s="575">
        <f>+MACRO!CM6</f>
        <v>3.2732516378310317E-2</v>
      </c>
      <c r="CA286" s="575">
        <f>+MACRO!CN6</f>
        <v>3.2732516378310317E-2</v>
      </c>
      <c r="CB286" s="575">
        <f>+MACRO!CO6</f>
        <v>3.2732516378310317E-2</v>
      </c>
      <c r="CC286" s="575">
        <f>+MACRO!CP6</f>
        <v>3.1846176683566041E-2</v>
      </c>
      <c r="CD286" s="575">
        <f>+MACRO!CQ6</f>
        <v>2.9494284160460849E-2</v>
      </c>
      <c r="CE286" s="575">
        <f>+MACRO!CR6</f>
        <v>2.7241497638393453E-2</v>
      </c>
      <c r="CF286" s="575">
        <f>+MACRO!CS6</f>
        <v>2.5507360290891512E-2</v>
      </c>
      <c r="CG286" s="575">
        <f>+MACRO!CT6</f>
        <v>2.5345057941852822E-2</v>
      </c>
      <c r="CH286" s="575">
        <f>+MACRO!CU6</f>
        <v>2.70569411275976E-2</v>
      </c>
      <c r="CI286" s="575">
        <f>+MACRO!CV6</f>
        <v>3.2354018049627786E-2</v>
      </c>
      <c r="CJ286" s="575">
        <f>+MACRO!CW6</f>
        <v>3.4994813649531054E-2</v>
      </c>
      <c r="CK286" s="575">
        <f>+MACRO!CX6</f>
        <v>3.5558076341622114E-2</v>
      </c>
      <c r="CL286" s="575">
        <f>+MACRO!CY6</f>
        <v>3.5558076341622114E-2</v>
      </c>
      <c r="CM286" s="575">
        <f>+MACRO!CZ6</f>
        <v>3.4430629840220384E-2</v>
      </c>
      <c r="CN286" s="575">
        <f>+MACRO!DA6</f>
        <v>3.2164612662692438E-2</v>
      </c>
      <c r="CO286" s="575">
        <f>+MACRO!DB6</f>
        <v>3.0455253312711816E-2</v>
      </c>
      <c r="CP286" s="575">
        <f>+MACRO!DC6</f>
        <v>2.9310936996617354E-2</v>
      </c>
      <c r="CQ286" s="575"/>
      <c r="CR286" s="575"/>
      <c r="CS286" s="575">
        <v>3.4994813649531054E-2</v>
      </c>
      <c r="CT286" s="1133"/>
      <c r="CU286" s="809"/>
      <c r="CV286" s="809"/>
      <c r="CW286" s="809"/>
      <c r="CX286" s="809"/>
      <c r="CY286" s="575">
        <f>+CY285/MACRO!DQ6</f>
        <v>0</v>
      </c>
      <c r="CZ286" s="575">
        <f>+CZ285/MACRO!DR6</f>
        <v>0</v>
      </c>
      <c r="DA286" s="575">
        <f>+DA285/MACRO!DS6</f>
        <v>0</v>
      </c>
      <c r="DB286" s="575"/>
      <c r="DC286" s="575"/>
      <c r="DD286" s="575"/>
      <c r="DE286" s="575">
        <f>+MACRO!DW6</f>
        <v>0.1096</v>
      </c>
      <c r="DF286" s="575">
        <f>+MACRO!DX6</f>
        <v>0.135075</v>
      </c>
      <c r="DG286" s="575">
        <f>+MACRO!DY6</f>
        <v>0.14177499999999998</v>
      </c>
      <c r="DH286" s="575">
        <f>+MACRO!DZ6</f>
        <v>0.10147500000000001</v>
      </c>
      <c r="DI286" s="575">
        <f>+MACRO!EA6</f>
        <v>6.5812499999999996E-2</v>
      </c>
      <c r="DJ286" s="575">
        <f>+MACRO!EB6</f>
        <v>6.0374999999999998E-2</v>
      </c>
      <c r="DK286" s="575">
        <f>+MACRO!EC6</f>
        <v>2.8825E-2</v>
      </c>
      <c r="DL286" s="575">
        <f>+MACRO!ED6</f>
        <v>4.5374999999999999E-2</v>
      </c>
      <c r="DM286" s="575">
        <f>+MACRO!EE6</f>
        <v>0.12564999999999998</v>
      </c>
      <c r="DN286" s="575">
        <f>+MACRO!EF$6</f>
        <v>0.13297500000000001</v>
      </c>
      <c r="DO286" s="575">
        <f>+MACRO!EG$6</f>
        <v>0.109375</v>
      </c>
      <c r="DP286" s="575">
        <f>+MACRO!EH$6</f>
        <v>0.14583333333333334</v>
      </c>
      <c r="DQ286" s="575">
        <f>+MACRO!EI$6</f>
        <v>0.13250000000000001</v>
      </c>
      <c r="DR286" s="575">
        <f>+MACRO!EJ$6</f>
        <v>0.115</v>
      </c>
      <c r="DS286" s="575">
        <f>+MACRO!EK$6</f>
        <v>0.11</v>
      </c>
      <c r="DT286" s="575">
        <f>+MACRO!EL$6</f>
        <v>0.1</v>
      </c>
      <c r="DU286" s="575">
        <f>+MACRO!EM$6</f>
        <v>0.09</v>
      </c>
      <c r="DV286" s="807"/>
      <c r="DW286" s="807"/>
      <c r="DY286" s="575">
        <v>9.5000000000000001E-2</v>
      </c>
      <c r="DZ286" s="575">
        <v>0.09</v>
      </c>
    </row>
    <row r="287" spans="1:130">
      <c r="A287" s="193" t="s">
        <v>703</v>
      </c>
      <c r="B287" s="193"/>
      <c r="C287" s="193"/>
      <c r="D287" s="193"/>
      <c r="E287" s="193"/>
      <c r="F287" s="193"/>
      <c r="G287" s="193"/>
      <c r="H287" s="193"/>
      <c r="I287" s="193">
        <v>0.7466883697335952</v>
      </c>
      <c r="J287" s="193">
        <v>0.72812131443440753</v>
      </c>
      <c r="K287" s="193">
        <v>0.7292822290502069</v>
      </c>
      <c r="L287" s="193">
        <v>0.7456253633851273</v>
      </c>
      <c r="M287" s="193">
        <v>0.70518761297591892</v>
      </c>
      <c r="N287" s="193">
        <v>0.79909486588090783</v>
      </c>
      <c r="O287" s="193">
        <v>0.64759128959494572</v>
      </c>
      <c r="P287" s="193">
        <v>0.53698861811129339</v>
      </c>
      <c r="Q287" s="193">
        <v>0.64618014151650871</v>
      </c>
      <c r="R287" s="193">
        <v>0.76309481973589488</v>
      </c>
      <c r="S287" s="193">
        <v>0.60963368426074638</v>
      </c>
      <c r="T287" s="193">
        <v>1.055940966582021</v>
      </c>
      <c r="U287" s="193">
        <v>0.81522719535467725</v>
      </c>
      <c r="V287" s="193">
        <v>1.8133336668641162</v>
      </c>
      <c r="W287" s="193">
        <v>1.0455755481377671</v>
      </c>
      <c r="X287" s="193">
        <v>1.5755124814904129</v>
      </c>
      <c r="Y287" s="193">
        <v>1.3121344595008095</v>
      </c>
      <c r="Z287" s="193">
        <v>1.6951367222842015</v>
      </c>
      <c r="AA287" s="193">
        <v>1.1954711169575143</v>
      </c>
      <c r="AB287" s="193">
        <v>1.3047634490159168</v>
      </c>
      <c r="AC287" s="193">
        <v>1.3835485822310196</v>
      </c>
      <c r="AD287" s="193">
        <v>0.6738405212983789</v>
      </c>
      <c r="AE287" s="193">
        <v>0.56663572917314919</v>
      </c>
      <c r="AF287" s="193">
        <v>0.39152003498896865</v>
      </c>
      <c r="AG287" s="193">
        <v>0.98041580786410476</v>
      </c>
      <c r="AH287" s="193">
        <v>0.81716456438589202</v>
      </c>
      <c r="AI287" s="193">
        <v>0.50713337044636997</v>
      </c>
      <c r="AJ287" s="193">
        <v>0.49021559750850324</v>
      </c>
      <c r="AK287" s="193">
        <v>1.0101530935446981</v>
      </c>
      <c r="AL287" s="193">
        <v>0.68809516704201135</v>
      </c>
      <c r="AM287" s="193">
        <v>0.53399539750084646</v>
      </c>
      <c r="AN287" s="193">
        <v>0.51077101033108951</v>
      </c>
      <c r="AO287" s="193">
        <v>0.74364153065114391</v>
      </c>
      <c r="AP287" s="193">
        <v>0.59880530770621776</v>
      </c>
      <c r="AQ287" s="193">
        <f t="shared" ref="AQ287:BD287" si="1530">+AQ285/AQ286</f>
        <v>0.77048064621741141</v>
      </c>
      <c r="AR287" s="193">
        <f t="shared" si="1530"/>
        <v>0.70462724825798428</v>
      </c>
      <c r="AS287" s="193">
        <f t="shared" si="1530"/>
        <v>0.75595171860104549</v>
      </c>
      <c r="AT287" s="193">
        <f t="shared" si="1530"/>
        <v>0.75183085973139385</v>
      </c>
      <c r="AU287" s="193">
        <f t="shared" si="1530"/>
        <v>0.6037128589510381</v>
      </c>
      <c r="AV287" s="193">
        <f t="shared" si="1530"/>
        <v>0.67850132148714448</v>
      </c>
      <c r="AW287" s="193">
        <f t="shared" si="1530"/>
        <v>0.63475583792532986</v>
      </c>
      <c r="AX287" s="193">
        <f t="shared" si="1530"/>
        <v>0.62824877840432236</v>
      </c>
      <c r="AY287" s="193">
        <f t="shared" si="1530"/>
        <v>0.64895606195899991</v>
      </c>
      <c r="AZ287" s="193">
        <f t="shared" si="1530"/>
        <v>0.65996840793773648</v>
      </c>
      <c r="BA287" s="193">
        <f t="shared" si="1530"/>
        <v>0.71561227086846046</v>
      </c>
      <c r="BB287" s="193">
        <f t="shared" si="1530"/>
        <v>0.61171418064878802</v>
      </c>
      <c r="BC287" s="193">
        <f t="shared" si="1530"/>
        <v>0.67484906157159608</v>
      </c>
      <c r="BD287" s="193">
        <f t="shared" si="1530"/>
        <v>0.58702142916251521</v>
      </c>
      <c r="BE287" s="193">
        <f t="shared" ref="BE287:BN287" si="1531">+BE285/BE286</f>
        <v>0.54844338055221264</v>
      </c>
      <c r="BF287" s="193">
        <f t="shared" si="1531"/>
        <v>0.52397111393172024</v>
      </c>
      <c r="BG287" s="193">
        <f t="shared" si="1531"/>
        <v>0.60505739675972248</v>
      </c>
      <c r="BH287" s="193">
        <f t="shared" si="1531"/>
        <v>0.57501354966895801</v>
      </c>
      <c r="BI287" s="193">
        <f t="shared" si="1531"/>
        <v>0.49079771242599385</v>
      </c>
      <c r="BJ287" s="193">
        <f t="shared" si="1531"/>
        <v>0.33291366178955312</v>
      </c>
      <c r="BK287" s="193">
        <f t="shared" si="1531"/>
        <v>0.35349694033379458</v>
      </c>
      <c r="BL287" s="193">
        <f t="shared" si="1531"/>
        <v>0.56002723306099622</v>
      </c>
      <c r="BM287" s="193">
        <f t="shared" si="1531"/>
        <v>0.75634556450326118</v>
      </c>
      <c r="BN287" s="193">
        <f t="shared" si="1531"/>
        <v>0.46195557794653652</v>
      </c>
      <c r="BO287" s="193">
        <f t="shared" ref="BO287:BY287" si="1532">+BO285/BO286</f>
        <v>0.62914304010404742</v>
      </c>
      <c r="BP287" s="193">
        <f t="shared" si="1532"/>
        <v>35.323610637531679</v>
      </c>
      <c r="BQ287" s="193">
        <f t="shared" si="1532"/>
        <v>1.0930103409731837</v>
      </c>
      <c r="BR287" s="193">
        <f t="shared" si="1532"/>
        <v>0.99790557798176327</v>
      </c>
      <c r="BS287" s="193">
        <f t="shared" si="1532"/>
        <v>0.84664802898151847</v>
      </c>
      <c r="BT287" s="193">
        <f t="shared" si="1532"/>
        <v>1.0341475417526171</v>
      </c>
      <c r="BU287" s="193">
        <f t="shared" si="1532"/>
        <v>1.0794878762601048</v>
      </c>
      <c r="BV287" s="193">
        <f t="shared" si="1532"/>
        <v>0.99806923232116773</v>
      </c>
      <c r="BW287" s="193">
        <f t="shared" si="1532"/>
        <v>1.411033474181498</v>
      </c>
      <c r="BX287" s="193">
        <f t="shared" si="1532"/>
        <v>1.002744510123142</v>
      </c>
      <c r="BY287" s="193">
        <f t="shared" si="1532"/>
        <v>1.787829323897671</v>
      </c>
      <c r="BZ287" s="193">
        <f t="shared" ref="BZ287:CA287" si="1533">+BZ285/BZ286</f>
        <v>1.145996415028357</v>
      </c>
      <c r="CA287" s="193">
        <f t="shared" si="1533"/>
        <v>1.0702670706782551</v>
      </c>
      <c r="CB287" s="193">
        <f t="shared" ref="CB287:CC287" si="1534">+CB285/CB286</f>
        <v>1.0224548412783296</v>
      </c>
      <c r="CC287" s="193">
        <f t="shared" si="1534"/>
        <v>1.3488695534780935</v>
      </c>
      <c r="CD287" s="193">
        <f t="shared" ref="CD287:CE287" si="1535">+CD285/CD286</f>
        <v>1.8169656281447253</v>
      </c>
      <c r="CE287" s="193">
        <f t="shared" si="1535"/>
        <v>2.5801835511412392</v>
      </c>
      <c r="CF287" s="193">
        <f t="shared" ref="CF287:CL287" si="1536">+CF285/CF286</f>
        <v>1.9671293707750754</v>
      </c>
      <c r="CG287" s="193">
        <f t="shared" si="1536"/>
        <v>2.5132304940266055</v>
      </c>
      <c r="CH287" s="193">
        <f t="shared" si="1536"/>
        <v>3.5616813571035091</v>
      </c>
      <c r="CI287" s="193">
        <f t="shared" si="1536"/>
        <v>1.9180166281736142</v>
      </c>
      <c r="CJ287" s="193">
        <f t="shared" ref="CJ287" si="1537">+CJ285/CJ286</f>
        <v>0.89858417493140341</v>
      </c>
      <c r="CK287" s="193">
        <f t="shared" si="1536"/>
        <v>2.2788799036293241</v>
      </c>
      <c r="CL287" s="193">
        <f t="shared" si="1536"/>
        <v>2.495886507816897</v>
      </c>
      <c r="CM287" s="193">
        <f t="shared" ref="CM287:CP287" si="1538">+CM285/CM286</f>
        <v>3.0538036690122272</v>
      </c>
      <c r="CN287" s="193">
        <f t="shared" si="1538"/>
        <v>3.1632876219703654</v>
      </c>
      <c r="CO287" s="193">
        <f t="shared" si="1538"/>
        <v>3.2566567697326563</v>
      </c>
      <c r="CP287" s="193">
        <f t="shared" si="1538"/>
        <v>3.3252473910877529</v>
      </c>
      <c r="CQ287" s="591"/>
      <c r="CR287" s="591"/>
      <c r="CS287" s="193">
        <v>1.0660249906684407</v>
      </c>
      <c r="CT287" s="1133"/>
      <c r="CU287" s="193"/>
      <c r="CV287" s="193"/>
      <c r="CW287" s="193"/>
      <c r="CX287" s="193"/>
      <c r="CY287" s="193"/>
      <c r="CZ287" s="193"/>
      <c r="DA287" s="193"/>
      <c r="DB287" s="193"/>
      <c r="DC287" s="193"/>
      <c r="DD287" s="193"/>
      <c r="DE287" s="193">
        <f t="shared" ref="DE287:DL287" si="1539">+DE285/DE286</f>
        <v>0.63866806092684481</v>
      </c>
      <c r="DF287" s="193">
        <f t="shared" si="1539"/>
        <v>0.53525826478148897</v>
      </c>
      <c r="DG287" s="193">
        <f t="shared" si="1539"/>
        <v>0.60313355626815002</v>
      </c>
      <c r="DH287" s="193">
        <f t="shared" si="1539"/>
        <v>0.52241686766397077</v>
      </c>
      <c r="DI287" s="193">
        <f t="shared" si="1539"/>
        <v>0.37636139845290467</v>
      </c>
      <c r="DJ287" s="193">
        <f t="shared" si="1539"/>
        <v>0.43020131022465535</v>
      </c>
      <c r="DK287" s="193">
        <f t="shared" si="1539"/>
        <v>10.268710471848049</v>
      </c>
      <c r="DL287" s="193">
        <f t="shared" si="1539"/>
        <v>1.237780449442091</v>
      </c>
      <c r="DM287" s="193">
        <f>+DM285/DM286</f>
        <v>1.3438559138722541</v>
      </c>
      <c r="DN287" s="193">
        <f>+DN285/DN286</f>
        <v>1.1458088483324271</v>
      </c>
      <c r="DO287" s="193">
        <f>+DO285/DO286</f>
        <v>2.2450267770878067</v>
      </c>
      <c r="DP287" s="193">
        <f>+DP285/DP286</f>
        <v>1.2219775895572365</v>
      </c>
      <c r="DQ287" s="193">
        <f>+DQ285/DQ286</f>
        <v>1.9943884354136157</v>
      </c>
      <c r="DR287" s="193">
        <f t="shared" ref="DR287:DU287" si="1540">+DR285/DR286</f>
        <v>1.6400411701256379</v>
      </c>
      <c r="DS287" s="193">
        <f t="shared" si="1540"/>
        <v>1.283965197983846</v>
      </c>
      <c r="DT287" s="193">
        <f t="shared" si="1540"/>
        <v>1.1436651707315253</v>
      </c>
      <c r="DU287" s="193">
        <f t="shared" si="1540"/>
        <v>1.0513178681666981</v>
      </c>
      <c r="DV287" s="193"/>
      <c r="DW287" s="193"/>
      <c r="DY287" s="193">
        <v>1.0000000000000002</v>
      </c>
      <c r="DZ287" s="193">
        <v>1</v>
      </c>
    </row>
    <row r="288" spans="1:130">
      <c r="A288" s="159"/>
      <c r="B288" s="159"/>
      <c r="C288" s="159"/>
      <c r="D288" s="159"/>
      <c r="E288" s="159"/>
      <c r="F288" s="159"/>
      <c r="G288" s="159"/>
      <c r="H288" s="159"/>
      <c r="I288" s="159"/>
      <c r="J288" s="159"/>
      <c r="K288" s="159"/>
      <c r="L288" s="159"/>
      <c r="M288" s="159"/>
      <c r="N288" s="159"/>
      <c r="O288" s="159"/>
      <c r="P288" s="159"/>
      <c r="Q288" s="159"/>
      <c r="R288" s="159"/>
      <c r="S288" s="159"/>
      <c r="T288" s="159"/>
      <c r="U288" s="159"/>
      <c r="V288" s="159"/>
      <c r="W288" s="159"/>
      <c r="X288" s="159"/>
      <c r="Y288" s="159"/>
      <c r="Z288" s="159"/>
      <c r="AA288" s="159"/>
      <c r="AB288" s="159"/>
      <c r="AC288" s="159"/>
      <c r="AD288" s="159"/>
      <c r="AE288" s="159"/>
      <c r="AF288" s="159"/>
      <c r="AG288" s="159"/>
      <c r="AH288" s="159"/>
      <c r="AI288" s="159"/>
      <c r="AJ288" s="159"/>
      <c r="AK288" s="159"/>
      <c r="AL288" s="159"/>
      <c r="AM288" s="159"/>
      <c r="AN288" s="159"/>
      <c r="AO288" s="159"/>
      <c r="AP288" s="159"/>
      <c r="AQ288" s="159"/>
      <c r="AR288" s="159"/>
      <c r="AS288" s="159"/>
      <c r="AT288" s="159"/>
      <c r="AU288" s="159"/>
      <c r="AV288" s="159"/>
      <c r="AW288" s="159"/>
      <c r="AX288" s="159"/>
      <c r="AY288" s="159"/>
      <c r="AZ288" s="159"/>
      <c r="BA288" s="159"/>
      <c r="BB288" s="159"/>
      <c r="BC288" s="159"/>
      <c r="BD288" s="159"/>
      <c r="BE288" s="159"/>
      <c r="BF288" s="159"/>
      <c r="BG288" s="159"/>
      <c r="BH288" s="159"/>
      <c r="BI288" s="159"/>
      <c r="BJ288" s="159"/>
      <c r="BK288" s="159"/>
      <c r="BL288" s="159"/>
      <c r="BM288" s="159"/>
      <c r="BN288" s="600"/>
      <c r="BO288" s="159"/>
      <c r="BP288" s="159"/>
      <c r="BQ288" s="159"/>
      <c r="BR288" s="159"/>
      <c r="BS288" s="159"/>
      <c r="BT288" s="159"/>
      <c r="BU288" s="159"/>
      <c r="BV288" s="159"/>
      <c r="BW288" s="159"/>
      <c r="BX288" s="159"/>
      <c r="BY288" s="159"/>
      <c r="BZ288" s="159"/>
      <c r="CA288" s="159"/>
      <c r="CB288" s="159"/>
      <c r="CC288" s="159"/>
      <c r="CD288" s="159"/>
      <c r="CE288" s="159"/>
      <c r="CF288" s="159"/>
      <c r="CG288" s="159"/>
      <c r="CH288" s="159"/>
      <c r="CI288" s="159"/>
      <c r="CJ288" s="159"/>
      <c r="CK288" s="159"/>
      <c r="CL288" s="159"/>
      <c r="CM288" s="159"/>
      <c r="CN288" s="159"/>
      <c r="CO288" s="159"/>
      <c r="CP288" s="159"/>
      <c r="CQ288" s="159"/>
      <c r="CR288" s="159"/>
      <c r="CS288" s="159"/>
      <c r="CT288" s="1133"/>
      <c r="CU288" s="159"/>
      <c r="CV288" s="159"/>
      <c r="CW288" s="159"/>
      <c r="CX288" s="159"/>
      <c r="CY288" s="159"/>
      <c r="CZ288" s="159"/>
      <c r="DA288" s="159"/>
      <c r="DB288" s="159"/>
      <c r="DC288" s="159"/>
      <c r="DD288" s="159"/>
      <c r="DE288" s="159"/>
      <c r="DF288" s="159"/>
      <c r="DG288" s="159"/>
      <c r="DH288" s="159"/>
      <c r="DI288" s="159"/>
      <c r="DJ288" s="159"/>
      <c r="DK288" s="159"/>
      <c r="DL288" s="159"/>
      <c r="DM288" s="159"/>
      <c r="DN288" s="159"/>
      <c r="DO288" s="159"/>
      <c r="DP288" s="159"/>
      <c r="DQ288" s="159"/>
      <c r="DR288" s="159"/>
      <c r="DS288" s="159"/>
      <c r="DT288" s="159"/>
      <c r="DU288" s="159"/>
      <c r="DV288" s="159"/>
      <c r="DW288" s="159"/>
      <c r="DY288" s="159"/>
      <c r="DZ288" s="159"/>
    </row>
    <row r="289" spans="1:130">
      <c r="A289" s="159" t="s">
        <v>704</v>
      </c>
      <c r="B289" s="159"/>
      <c r="C289" s="159"/>
      <c r="D289" s="159"/>
      <c r="E289" s="159"/>
      <c r="F289" s="159"/>
      <c r="G289" s="159"/>
      <c r="H289" s="159"/>
      <c r="I289" s="159"/>
      <c r="J289" s="159"/>
      <c r="K289" s="159"/>
      <c r="L289" s="159"/>
      <c r="M289" s="159"/>
      <c r="N289" s="159"/>
      <c r="O289" s="159"/>
      <c r="P289" s="159"/>
      <c r="Q289" s="159"/>
      <c r="R289" s="159"/>
      <c r="S289" s="159"/>
      <c r="T289" s="159"/>
      <c r="U289" s="159"/>
      <c r="V289" s="159"/>
      <c r="W289" s="159"/>
      <c r="X289" s="159"/>
      <c r="Y289" s="159"/>
      <c r="Z289" s="159"/>
      <c r="AA289" s="159"/>
      <c r="AB289" s="159"/>
      <c r="AC289" s="159"/>
      <c r="AD289" s="159"/>
      <c r="AE289" s="159"/>
      <c r="AF289" s="159"/>
      <c r="AG289" s="159"/>
      <c r="AH289" s="159"/>
      <c r="AI289" s="159"/>
      <c r="AJ289" s="159"/>
      <c r="AK289" s="159"/>
      <c r="AL289" s="159"/>
      <c r="AM289" s="159"/>
      <c r="AN289" s="159"/>
      <c r="AO289" s="159"/>
      <c r="AP289" s="159"/>
      <c r="AQ289" s="159"/>
      <c r="AR289" s="159"/>
      <c r="AS289" s="159"/>
      <c r="AT289" s="159"/>
      <c r="AU289" s="159"/>
      <c r="AV289" s="159"/>
      <c r="AW289" s="159"/>
      <c r="AX289" s="159"/>
      <c r="AY289" s="159"/>
      <c r="AZ289" s="159"/>
      <c r="BA289" s="159"/>
      <c r="BB289" s="159"/>
      <c r="BC289" s="159"/>
      <c r="BD289" s="159"/>
      <c r="BE289" s="159"/>
      <c r="BF289" s="159"/>
      <c r="BG289" s="159"/>
      <c r="BH289" s="159"/>
      <c r="BI289" s="159"/>
      <c r="BJ289" s="159"/>
      <c r="BK289" s="159"/>
      <c r="BL289" s="159"/>
      <c r="BM289" s="159"/>
      <c r="BN289" s="600"/>
      <c r="BO289" s="159"/>
      <c r="BP289" s="159"/>
      <c r="BQ289" s="159"/>
      <c r="BR289" s="159"/>
      <c r="BS289" s="159"/>
      <c r="BT289" s="159"/>
      <c r="BU289" s="159"/>
      <c r="BV289" s="159"/>
      <c r="BW289" s="1917">
        <v>124.477</v>
      </c>
      <c r="BX289" s="1917">
        <v>129.61600000000001</v>
      </c>
      <c r="BY289" s="1917">
        <v>135.572</v>
      </c>
      <c r="BZ289" s="1918">
        <f>+DM289-BY289-BX289-BW289</f>
        <v>99.246999999999957</v>
      </c>
      <c r="CA289" s="786">
        <v>78.209000000000003</v>
      </c>
      <c r="CB289" s="786">
        <v>72.400000000000006</v>
      </c>
      <c r="CC289" s="786">
        <v>85.891999999999996</v>
      </c>
      <c r="CD289" s="786">
        <f>298.056-CC289-CB289-CA289</f>
        <v>61.554999999999978</v>
      </c>
      <c r="CE289" s="786">
        <v>57.731000000000002</v>
      </c>
      <c r="CF289" s="786">
        <v>47.2</v>
      </c>
      <c r="CG289" s="786">
        <v>48.722000000000001</v>
      </c>
      <c r="CH289" s="786">
        <f>197.333-CG289-CF289-CE289</f>
        <v>43.679999999999986</v>
      </c>
      <c r="CI289" s="786">
        <v>42.738</v>
      </c>
      <c r="CJ289" s="786">
        <v>26.1</v>
      </c>
      <c r="CK289" s="786">
        <v>33.347000000000001</v>
      </c>
      <c r="CL289" s="1911">
        <f>+CL290*AVERAGE(PROJ!CK270:CL270)/1000</f>
        <v>33.347000000000001</v>
      </c>
      <c r="CM289" s="1911">
        <f>+CM290*AVERAGE(PROJ!CL270:CM270)/1000</f>
        <v>28.95175922578046</v>
      </c>
      <c r="CN289" s="1911">
        <f>+CN290*AVERAGE(PROJ!CM270:CN270)/1000</f>
        <v>27.04632839196416</v>
      </c>
      <c r="CO289" s="1911">
        <f>+CO290*AVERAGE(PROJ!CN270:CO270)/1000</f>
        <v>25.608975646439742</v>
      </c>
      <c r="CP289" s="1911">
        <f>+CP290*AVERAGE(PROJ!CO270:CP270)/1000</f>
        <v>24.646751876051493</v>
      </c>
      <c r="CQ289" s="159"/>
      <c r="CR289" s="159"/>
      <c r="CS289" s="1911">
        <v>20.174535832565219</v>
      </c>
      <c r="CT289" s="1133"/>
      <c r="CU289" s="159"/>
      <c r="CV289" s="159"/>
      <c r="CW289" s="159"/>
      <c r="CX289" s="159"/>
      <c r="CY289" s="159"/>
      <c r="CZ289" s="159"/>
      <c r="DA289" s="159"/>
      <c r="DB289" s="159"/>
      <c r="DC289" s="159"/>
      <c r="DD289" s="159"/>
      <c r="DE289" s="159"/>
      <c r="DF289" s="159"/>
      <c r="DG289" s="159"/>
      <c r="DH289" s="159"/>
      <c r="DI289" s="159"/>
      <c r="DJ289" s="159"/>
      <c r="DK289" s="159"/>
      <c r="DL289" s="785"/>
      <c r="DM289" s="786">
        <v>488.91199999999998</v>
      </c>
      <c r="DN289" s="786">
        <f>+SUM(CA289:CD289)</f>
        <v>298.05599999999998</v>
      </c>
      <c r="DO289" s="786">
        <f>+SUM(CE289:CH289)</f>
        <v>197.333</v>
      </c>
      <c r="DP289" s="785">
        <f>+SUM(CI289:CL289)</f>
        <v>135.53200000000001</v>
      </c>
      <c r="DQ289" s="785">
        <f>+SUM(CM289:CP289)</f>
        <v>106.25381514023586</v>
      </c>
      <c r="DR289" s="1916">
        <f>+DR290*AVERAGE(PROJ!DQ270:DR270)/1000</f>
        <v>154.18115267520349</v>
      </c>
      <c r="DS289" s="1916">
        <f>+DS290*AVERAGE(PROJ!DR270:DS270)/1000</f>
        <v>222.07776479958727</v>
      </c>
      <c r="DT289" s="1916">
        <f>+DT290*AVERAGE(PROJ!DS270:DT270)/1000</f>
        <v>265.82537732169891</v>
      </c>
      <c r="DU289" s="1916">
        <f>+DU290*AVERAGE(PROJ!DT270:DU270)/1000</f>
        <v>297.31395371114661</v>
      </c>
      <c r="DV289" s="159"/>
      <c r="DW289" s="159"/>
      <c r="DY289" s="1916">
        <v>205.38718566559768</v>
      </c>
      <c r="DZ289" s="1916">
        <v>218.43903280923666</v>
      </c>
    </row>
    <row r="290" spans="1:130">
      <c r="A290" s="185" t="s">
        <v>701</v>
      </c>
      <c r="B290" s="185"/>
      <c r="C290" s="180"/>
      <c r="D290" s="180"/>
      <c r="E290" s="180"/>
      <c r="F290" s="180"/>
      <c r="G290" s="180"/>
      <c r="H290" s="180"/>
      <c r="I290" s="168">
        <v>3.4803125049436258E-2</v>
      </c>
      <c r="J290" s="168">
        <v>3.0860675302297996E-2</v>
      </c>
      <c r="K290" s="168">
        <v>2.8382573100116527E-2</v>
      </c>
      <c r="L290" s="168">
        <v>2.735091949472775E-2</v>
      </c>
      <c r="M290" s="168">
        <v>2.4822603976752348E-2</v>
      </c>
      <c r="N290" s="168">
        <v>2.4671882651554514E-2</v>
      </c>
      <c r="O290" s="168">
        <v>1.9686775203686349E-2</v>
      </c>
      <c r="P290" s="168">
        <v>1.5626368787038637E-2</v>
      </c>
      <c r="Q290" s="168">
        <v>1.7826348117576392E-2</v>
      </c>
      <c r="R290" s="168">
        <v>2.0611791217656956E-2</v>
      </c>
      <c r="S290" s="168">
        <v>1.6466685258828571E-2</v>
      </c>
      <c r="T290" s="168">
        <v>2.984347840201958E-2</v>
      </c>
      <c r="U290" s="168">
        <v>2.5218834334136513E-2</v>
      </c>
      <c r="V290" s="168">
        <v>5.935497394997119E-2</v>
      </c>
      <c r="W290" s="168">
        <v>3.0646799016669744E-2</v>
      </c>
      <c r="X290" s="168">
        <v>3.7685743414428187E-2</v>
      </c>
      <c r="Y290" s="168">
        <v>2.7806483550082715E-2</v>
      </c>
      <c r="Z290" s="168">
        <v>3.5922988716620703E-2</v>
      </c>
      <c r="AA290" s="168">
        <v>2.533417799340832E-2</v>
      </c>
      <c r="AB290" s="168">
        <v>3.0702792836955036E-2</v>
      </c>
      <c r="AC290" s="168">
        <v>3.5771498868318347E-2</v>
      </c>
      <c r="AD290" s="168">
        <v>1.7422073756299193E-2</v>
      </c>
      <c r="AE290" s="168">
        <v>1.5523109769060153E-2</v>
      </c>
      <c r="AF290" s="168">
        <v>1.132614556925814E-2</v>
      </c>
      <c r="AG290" s="168">
        <v>2.8924150201021931E-2</v>
      </c>
      <c r="AH290" s="168">
        <v>2.2229373870481454E-2</v>
      </c>
      <c r="AI290" s="168">
        <v>1.270129567432538E-2</v>
      </c>
      <c r="AJ290" s="168">
        <v>1.0648207261736386E-2</v>
      </c>
      <c r="AK290" s="168">
        <v>1.9381602157971176E-2</v>
      </c>
      <c r="AL290" s="168">
        <v>1.2198959683907331E-2</v>
      </c>
      <c r="AM290" s="168">
        <v>9.4261302455939736E-3</v>
      </c>
      <c r="AN290" s="168">
        <v>9.9225169915831586E-3</v>
      </c>
      <c r="AO290" s="168">
        <v>1.6195159752979173E-2</v>
      </c>
      <c r="AP290" s="168">
        <v>1.4439405012143219E-2</v>
      </c>
      <c r="AQ290" s="168"/>
      <c r="AR290" s="168"/>
      <c r="AS290" s="168"/>
      <c r="AT290" s="168"/>
      <c r="AU290" s="168"/>
      <c r="AV290" s="168"/>
      <c r="AW290" s="168"/>
      <c r="AX290" s="168"/>
      <c r="AY290" s="168"/>
      <c r="AZ290" s="168"/>
      <c r="BA290" s="168"/>
      <c r="BB290" s="168"/>
      <c r="BC290" s="168"/>
      <c r="BD290" s="168"/>
      <c r="BE290" s="168"/>
      <c r="BF290" s="168"/>
      <c r="BG290" s="168"/>
      <c r="BH290" s="168"/>
      <c r="BI290" s="168"/>
      <c r="BJ290" s="168"/>
      <c r="BK290" s="168"/>
      <c r="BL290" s="168"/>
      <c r="BM290" s="168"/>
      <c r="BN290" s="168"/>
      <c r="BO290" s="168"/>
      <c r="BP290" s="168"/>
      <c r="BQ290" s="168"/>
      <c r="BR290" s="168"/>
      <c r="BS290" s="168"/>
      <c r="BT290" s="168"/>
      <c r="BU290" s="168"/>
      <c r="BV290" s="168"/>
      <c r="BW290" s="168">
        <f>+BW289/(AVERAGE(PROJ!BW270:BX270)/1000)</f>
        <v>2.3989683878960187E-2</v>
      </c>
      <c r="BX290" s="168">
        <f>+BX289/(AVERAGE(PROJ!BX270:BY270)/1000)</f>
        <v>2.8403968526327192E-2</v>
      </c>
      <c r="BY290" s="168">
        <f>+BY289/(AVERAGE(PROJ!BY270:BZ270)/1000)</f>
        <v>3.4279510046508886E-2</v>
      </c>
      <c r="BZ290" s="168">
        <f>+BZ289/(AVERAGE(PROJ!BZ270:CA270)/1000)</f>
        <v>3.1672839201841781E-2</v>
      </c>
      <c r="CA290" s="168">
        <f>+CA289/(AVERAGE(PROJ!CA270:CB270)/1000)</f>
        <v>2.7611453409798609E-2</v>
      </c>
      <c r="CB290" s="168">
        <f>+CB289/(AVERAGE(PROJ!CB270:CC270)/1000)</f>
        <v>2.3448447180024645E-2</v>
      </c>
      <c r="CC290" s="168">
        <f>+CC289/(AVERAGE(PROJ!CC270:CD270)/1000)</f>
        <v>2.69353089405488E-2</v>
      </c>
      <c r="CD290" s="168">
        <f>+CD289/(AVERAGE(PROJ!CD270:CE270)/1000)</f>
        <v>2.222852571122344E-2</v>
      </c>
      <c r="CE290" s="168">
        <f>+CE289/(AVERAGE(PROJ!CE270:CF270)/1000)</f>
        <v>2.3873404090787666E-2</v>
      </c>
      <c r="CF290" s="168">
        <f>+CF289/(AVERAGE(PROJ!CF270:CG270)/1000)</f>
        <v>1.8950145859915061E-2</v>
      </c>
      <c r="CG290" s="168">
        <f>+CG289/(AVERAGE(PROJ!CG270:CH270)/1000)</f>
        <v>1.8210741055536741E-2</v>
      </c>
      <c r="CH290" s="168">
        <f>+CH289/(AVERAGE(PROJ!CH270:CI270)/1000)</f>
        <v>1.9845010828888118E-2</v>
      </c>
      <c r="CI290" s="168">
        <f>+CI289/(AVERAGE(PROJ!CI270:CJ270)/1000)</f>
        <v>2.4981346407945072E-2</v>
      </c>
      <c r="CJ290" s="168">
        <f>+CJ289/(AVERAGE(PROJ!CJ270:CK270)/1000)</f>
        <v>1.524107171011832E-2</v>
      </c>
      <c r="CK290" s="168">
        <f>+CK289/(AVERAGE(PROJ!CK270:CL270)/1000)</f>
        <v>2.2515529205596879E-2</v>
      </c>
      <c r="CL290" s="194">
        <f t="shared" ref="CL290:CP290" si="1541">+CL291*CL292</f>
        <v>2.2515529205596879E-2</v>
      </c>
      <c r="CM290" s="194">
        <f t="shared" si="1541"/>
        <v>2.1801625157858939E-2</v>
      </c>
      <c r="CN290" s="194">
        <f t="shared" si="1541"/>
        <v>2.0366773186373265E-2</v>
      </c>
      <c r="CO290" s="194">
        <f t="shared" si="1541"/>
        <v>1.9284399381964218E-2</v>
      </c>
      <c r="CP290" s="194">
        <f t="shared" si="1541"/>
        <v>1.8559813293899968E-2</v>
      </c>
      <c r="CQ290" s="194"/>
      <c r="CR290" s="194"/>
      <c r="CS290" s="194">
        <v>1.4999999999999999E-2</v>
      </c>
      <c r="CT290" s="1133"/>
      <c r="CU290" s="190"/>
      <c r="CV290" s="190"/>
      <c r="CW290" s="190"/>
      <c r="CX290" s="190"/>
      <c r="CY290" s="190"/>
      <c r="CZ290" s="190"/>
      <c r="DA290" s="182"/>
      <c r="DB290" s="168"/>
      <c r="DC290" s="168"/>
      <c r="DD290" s="168"/>
      <c r="DE290" s="168"/>
      <c r="DF290" s="168"/>
      <c r="DG290" s="168"/>
      <c r="DH290" s="168"/>
      <c r="DI290" s="168"/>
      <c r="DJ290" s="168"/>
      <c r="DK290" s="168"/>
      <c r="DL290" s="168"/>
      <c r="DM290" s="168">
        <f>+DM289/(AVERAGE(PROJ!DL76:DM270)/1000)</f>
        <v>0.37889146848311578</v>
      </c>
      <c r="DN290" s="168">
        <f>+DN289/(AVERAGE(PROJ!DM76:DN270)/1000)</f>
        <v>0.23234823688950765</v>
      </c>
      <c r="DO290" s="168">
        <f>+DO289/(AVERAGE(PROJ!DN76:DO270)/1000)</f>
        <v>0.15687910546971534</v>
      </c>
      <c r="DP290" s="168">
        <f>+DP289/(AVERAGE(PROJ!DO76:DP270)/1000)</f>
        <v>0.10762832229663415</v>
      </c>
      <c r="DQ290" s="168">
        <f>+DQ289/(AVERAGE(PROJ!DP76:DQ270)/1000)</f>
        <v>8.2134909804125911E-2</v>
      </c>
      <c r="DR290" s="194">
        <f t="shared" ref="DR290:DU290" si="1542">+DR291*DR292</f>
        <v>8.0500000000000002E-2</v>
      </c>
      <c r="DS290" s="194">
        <f t="shared" si="1542"/>
        <v>7.6999999999999999E-2</v>
      </c>
      <c r="DT290" s="194">
        <f t="shared" si="1542"/>
        <v>6.9999999999999993E-2</v>
      </c>
      <c r="DU290" s="194">
        <f t="shared" si="1542"/>
        <v>6.3E-2</v>
      </c>
      <c r="DV290" s="185"/>
      <c r="DW290" s="185"/>
      <c r="DY290" s="194">
        <v>9.5000000000000001E-2</v>
      </c>
      <c r="DZ290" s="194">
        <v>0.09</v>
      </c>
    </row>
    <row r="291" spans="1:130" s="810" customFormat="1">
      <c r="A291" s="807" t="s">
        <v>702</v>
      </c>
      <c r="B291" s="807"/>
      <c r="C291" s="808"/>
      <c r="D291" s="808"/>
      <c r="E291" s="808"/>
      <c r="F291" s="808"/>
      <c r="G291" s="808"/>
      <c r="H291" s="808"/>
      <c r="I291" s="575">
        <v>4.6609973397407245E-2</v>
      </c>
      <c r="J291" s="575">
        <v>4.2383974607679287E-2</v>
      </c>
      <c r="K291" s="575">
        <v>3.8918603669624303E-2</v>
      </c>
      <c r="L291" s="575">
        <v>3.6681862368877702E-2</v>
      </c>
      <c r="M291" s="575">
        <v>3.6200000000000003E-2</v>
      </c>
      <c r="N291" s="575">
        <v>3.08747866917666E-2</v>
      </c>
      <c r="O291" s="575">
        <v>3.04E-2</v>
      </c>
      <c r="P291" s="575">
        <v>2.9100000000000001E-2</v>
      </c>
      <c r="Q291" s="575">
        <v>2.7687273226634099E-2</v>
      </c>
      <c r="R291" s="575">
        <v>2.70107864608773E-2</v>
      </c>
      <c r="S291" s="575">
        <v>2.70107864608773E-2</v>
      </c>
      <c r="T291" s="575">
        <v>2.8262449660689901E-2</v>
      </c>
      <c r="U291" s="575">
        <v>3.09347314194699E-2</v>
      </c>
      <c r="V291" s="575">
        <v>3.2732616378310299E-2</v>
      </c>
      <c r="W291" s="575">
        <v>2.9310936996617354E-2</v>
      </c>
      <c r="X291" s="575">
        <v>2.3919673031682701E-2</v>
      </c>
      <c r="Y291" s="575">
        <v>2.6917942926836001E-2</v>
      </c>
      <c r="Z291" s="575">
        <v>2.6917942926836001E-2</v>
      </c>
      <c r="AA291" s="575">
        <v>2.6917942926836001E-2</v>
      </c>
      <c r="AB291" s="575">
        <v>2.3631309726231699E-2</v>
      </c>
      <c r="AC291" s="575">
        <v>2.6864891781707902E-2</v>
      </c>
      <c r="AD291" s="575">
        <v>2.6864891781707902E-2</v>
      </c>
      <c r="AE291" s="575">
        <v>2.7396218779641601E-2</v>
      </c>
      <c r="AF291" s="575">
        <v>2.8928648746103791E-2</v>
      </c>
      <c r="AG291" s="575">
        <v>2.96019216000671E-2</v>
      </c>
      <c r="AH291" s="575">
        <v>2.7203066668166399E-2</v>
      </c>
      <c r="AI291" s="575">
        <v>2.6046276872917901E-2</v>
      </c>
      <c r="AJ291" s="575">
        <v>2.172147788820955E-2</v>
      </c>
      <c r="AK291" s="575">
        <v>1.9186796816084602E-2</v>
      </c>
      <c r="AL291" s="575">
        <v>1.7728693768837601E-2</v>
      </c>
      <c r="AM291" s="575">
        <v>1.7662081440606599E-2</v>
      </c>
      <c r="AN291" s="575">
        <v>1.9426646908273601E-2</v>
      </c>
      <c r="AO291" s="575">
        <v>2.1778180864645998E-2</v>
      </c>
      <c r="AP291" s="575">
        <v>2.4636890844460999E-2</v>
      </c>
      <c r="AQ291" s="575"/>
      <c r="AR291" s="575"/>
      <c r="AS291" s="575"/>
      <c r="AT291" s="575"/>
      <c r="AU291" s="575"/>
      <c r="AV291" s="575"/>
      <c r="AW291" s="575"/>
      <c r="AX291" s="575"/>
      <c r="AY291" s="575"/>
      <c r="AZ291" s="575"/>
      <c r="BA291" s="575"/>
      <c r="BB291" s="575"/>
      <c r="BC291" s="575"/>
      <c r="BD291" s="575"/>
      <c r="BE291" s="575"/>
      <c r="BF291" s="575"/>
      <c r="BG291" s="575"/>
      <c r="BH291" s="575"/>
      <c r="BI291" s="575"/>
      <c r="BJ291" s="575"/>
      <c r="BK291" s="575"/>
      <c r="BL291" s="575"/>
      <c r="BM291" s="575"/>
      <c r="BN291" s="575"/>
      <c r="BO291" s="575"/>
      <c r="BP291" s="575"/>
      <c r="BQ291" s="575"/>
      <c r="BR291" s="575"/>
      <c r="BS291" s="575"/>
      <c r="BT291" s="575"/>
      <c r="BU291" s="575"/>
      <c r="BV291" s="575"/>
      <c r="BW291" s="575">
        <f>+MACRO!CJ6</f>
        <v>2.5089855568062536E-2</v>
      </c>
      <c r="BX291" s="575">
        <f>+MACRO!CK6</f>
        <v>2.9860684889043698E-2</v>
      </c>
      <c r="BY291" s="575">
        <f>+MACRO!CL6</f>
        <v>3.2391886619581145E-2</v>
      </c>
      <c r="BZ291" s="575">
        <f>+MACRO!CM6</f>
        <v>3.2732516378310317E-2</v>
      </c>
      <c r="CA291" s="575">
        <f>+MACRO!CN6</f>
        <v>3.2732516378310317E-2</v>
      </c>
      <c r="CB291" s="575">
        <f>+MACRO!CO6</f>
        <v>3.2732516378310317E-2</v>
      </c>
      <c r="CC291" s="575">
        <f>+MACRO!CP6</f>
        <v>3.1846176683566041E-2</v>
      </c>
      <c r="CD291" s="575">
        <f>+MACRO!CQ6</f>
        <v>2.9494284160460849E-2</v>
      </c>
      <c r="CE291" s="575">
        <f>+MACRO!CR6</f>
        <v>2.7241497638393453E-2</v>
      </c>
      <c r="CF291" s="575">
        <f>+MACRO!CS6</f>
        <v>2.5507360290891512E-2</v>
      </c>
      <c r="CG291" s="575">
        <f>+MACRO!CT6</f>
        <v>2.5345057941852822E-2</v>
      </c>
      <c r="CH291" s="575">
        <f>+MACRO!CU6</f>
        <v>2.70569411275976E-2</v>
      </c>
      <c r="CI291" s="575">
        <f>+MACRO!CV6</f>
        <v>3.2354018049627786E-2</v>
      </c>
      <c r="CJ291" s="575">
        <f>+MACRO!CW6</f>
        <v>3.4994813649531054E-2</v>
      </c>
      <c r="CK291" s="575">
        <f>+MACRO!CX6</f>
        <v>3.5558076341622114E-2</v>
      </c>
      <c r="CL291" s="575">
        <f>+MACRO!CY6</f>
        <v>3.5558076341622114E-2</v>
      </c>
      <c r="CM291" s="575">
        <f>+MACRO!CZ6</f>
        <v>3.4430629840220384E-2</v>
      </c>
      <c r="CN291" s="575">
        <f>+MACRO!DA6</f>
        <v>3.2164612662692438E-2</v>
      </c>
      <c r="CO291" s="575">
        <f>+MACRO!DB6</f>
        <v>3.0455253312711816E-2</v>
      </c>
      <c r="CP291" s="575">
        <f>+MACRO!DC6</f>
        <v>2.9310936996617354E-2</v>
      </c>
      <c r="CQ291" s="575"/>
      <c r="CR291" s="575"/>
      <c r="CS291" s="575">
        <v>1.6E-2</v>
      </c>
      <c r="CT291" s="1133"/>
      <c r="CU291" s="809"/>
      <c r="CV291" s="809"/>
      <c r="CW291" s="809"/>
      <c r="CX291" s="809"/>
      <c r="CY291" s="575">
        <f>+CY290/MACRO!DQ6</f>
        <v>0</v>
      </c>
      <c r="CZ291" s="575">
        <f>+CZ290/MACRO!DR6</f>
        <v>0</v>
      </c>
      <c r="DA291" s="575">
        <f>+DA290/MACRO!DS6</f>
        <v>0</v>
      </c>
      <c r="DB291" s="575"/>
      <c r="DC291" s="575"/>
      <c r="DD291" s="575"/>
      <c r="DE291" s="575"/>
      <c r="DF291" s="575"/>
      <c r="DG291" s="575"/>
      <c r="DH291" s="575"/>
      <c r="DI291" s="575"/>
      <c r="DJ291" s="575"/>
      <c r="DK291" s="575"/>
      <c r="DL291" s="575"/>
      <c r="DM291" s="575">
        <f>+MACRO!EE6</f>
        <v>0.12564999999999998</v>
      </c>
      <c r="DN291" s="575">
        <f>+MACRO!EF$6</f>
        <v>0.13297500000000001</v>
      </c>
      <c r="DO291" s="575">
        <f>+MACRO!EG$6</f>
        <v>0.109375</v>
      </c>
      <c r="DP291" s="575">
        <f>+MACRO!EH$6</f>
        <v>0.14583333333333334</v>
      </c>
      <c r="DQ291" s="575">
        <f>+MACRO!EI$6</f>
        <v>0.13250000000000001</v>
      </c>
      <c r="DR291" s="575">
        <f>+MACRO!EJ$6</f>
        <v>0.115</v>
      </c>
      <c r="DS291" s="575">
        <f>+MACRO!EK$6</f>
        <v>0.11</v>
      </c>
      <c r="DT291" s="575">
        <f>+MACRO!EL$6</f>
        <v>0.1</v>
      </c>
      <c r="DU291" s="575">
        <f>+MACRO!EM$6</f>
        <v>0.09</v>
      </c>
      <c r="DV291" s="807"/>
      <c r="DW291" s="807"/>
      <c r="DY291" s="575">
        <v>9.6000000000000002E-2</v>
      </c>
      <c r="DZ291" s="575">
        <v>0.09</v>
      </c>
    </row>
    <row r="292" spans="1:130">
      <c r="A292" s="193" t="s">
        <v>703</v>
      </c>
      <c r="B292" s="193"/>
      <c r="C292" s="193"/>
      <c r="D292" s="193"/>
      <c r="E292" s="193"/>
      <c r="F292" s="193"/>
      <c r="G292" s="193"/>
      <c r="H292" s="193"/>
      <c r="I292" s="193">
        <v>0.7466883697335952</v>
      </c>
      <c r="J292" s="193">
        <v>0.72812131443440753</v>
      </c>
      <c r="K292" s="193">
        <v>0.7292822290502069</v>
      </c>
      <c r="L292" s="193">
        <v>0.7456253633851273</v>
      </c>
      <c r="M292" s="193">
        <v>0.70518761297591892</v>
      </c>
      <c r="N292" s="193">
        <v>0.79909486588090783</v>
      </c>
      <c r="O292" s="193">
        <v>0.64759128959494572</v>
      </c>
      <c r="P292" s="193">
        <v>0.53698861811129339</v>
      </c>
      <c r="Q292" s="193">
        <v>0.64618014151650871</v>
      </c>
      <c r="R292" s="193">
        <v>0.76309481973589488</v>
      </c>
      <c r="S292" s="193">
        <v>0.60963368426074638</v>
      </c>
      <c r="T292" s="193">
        <v>1.055940966582021</v>
      </c>
      <c r="U292" s="193">
        <v>0.81522719535467725</v>
      </c>
      <c r="V292" s="193">
        <v>1.8133336668641162</v>
      </c>
      <c r="W292" s="193">
        <v>1.0455755481377671</v>
      </c>
      <c r="X292" s="193">
        <v>1.5755124814904129</v>
      </c>
      <c r="Y292" s="193">
        <v>1.3121344595008095</v>
      </c>
      <c r="Z292" s="193">
        <v>1.6951367222842015</v>
      </c>
      <c r="AA292" s="193">
        <v>1.1954711169575143</v>
      </c>
      <c r="AB292" s="193">
        <v>1.3047634490159168</v>
      </c>
      <c r="AC292" s="193">
        <v>1.3835485822310196</v>
      </c>
      <c r="AD292" s="193">
        <v>0.6738405212983789</v>
      </c>
      <c r="AE292" s="193">
        <v>0.56663572917314919</v>
      </c>
      <c r="AF292" s="193">
        <v>0.39152003498896865</v>
      </c>
      <c r="AG292" s="193">
        <v>0.98041580786410476</v>
      </c>
      <c r="AH292" s="193">
        <v>0.81716456438589202</v>
      </c>
      <c r="AI292" s="193">
        <v>0.50713337044636997</v>
      </c>
      <c r="AJ292" s="193">
        <v>0.49021559750850324</v>
      </c>
      <c r="AK292" s="193">
        <v>1.0101530935446981</v>
      </c>
      <c r="AL292" s="193">
        <v>0.68809516704201135</v>
      </c>
      <c r="AM292" s="193">
        <v>0.53399539750084646</v>
      </c>
      <c r="AN292" s="193">
        <v>0.51077101033108951</v>
      </c>
      <c r="AO292" s="193">
        <v>0.74364153065114391</v>
      </c>
      <c r="AP292" s="193">
        <v>0.59880530770621776</v>
      </c>
      <c r="AQ292" s="193"/>
      <c r="AR292" s="193"/>
      <c r="AS292" s="193"/>
      <c r="AT292" s="193"/>
      <c r="AU292" s="193"/>
      <c r="AV292" s="193"/>
      <c r="AW292" s="193"/>
      <c r="AX292" s="193"/>
      <c r="AY292" s="193"/>
      <c r="AZ292" s="193"/>
      <c r="BA292" s="193"/>
      <c r="BB292" s="193"/>
      <c r="BC292" s="193"/>
      <c r="BD292" s="193"/>
      <c r="BE292" s="193"/>
      <c r="BF292" s="193"/>
      <c r="BG292" s="193"/>
      <c r="BH292" s="193"/>
      <c r="BI292" s="193"/>
      <c r="BJ292" s="193"/>
      <c r="BK292" s="193"/>
      <c r="BL292" s="193"/>
      <c r="BM292" s="193"/>
      <c r="BN292" s="193"/>
      <c r="BO292" s="193"/>
      <c r="BP292" s="193"/>
      <c r="BQ292" s="193"/>
      <c r="BR292" s="193"/>
      <c r="BS292" s="193"/>
      <c r="BT292" s="193"/>
      <c r="BU292" s="193"/>
      <c r="BV292" s="193"/>
      <c r="BW292" s="193">
        <f t="shared" ref="BW292:CE292" si="1543">+BW290/BW291</f>
        <v>0.95615073645530335</v>
      </c>
      <c r="BX292" s="193">
        <f t="shared" si="1543"/>
        <v>0.95121624409723449</v>
      </c>
      <c r="BY292" s="193">
        <f t="shared" si="1543"/>
        <v>1.0582745750223348</v>
      </c>
      <c r="BZ292" s="193">
        <f t="shared" si="1543"/>
        <v>0.96762616218621322</v>
      </c>
      <c r="CA292" s="193">
        <f t="shared" si="1543"/>
        <v>0.84354814309647463</v>
      </c>
      <c r="CB292" s="193">
        <f t="shared" si="1543"/>
        <v>0.71636555249881084</v>
      </c>
      <c r="CC292" s="193">
        <f t="shared" si="1543"/>
        <v>0.84579411865313636</v>
      </c>
      <c r="CD292" s="193">
        <f t="shared" si="1543"/>
        <v>0.75365537235252977</v>
      </c>
      <c r="CE292" s="193">
        <f t="shared" si="1543"/>
        <v>0.87636165998234683</v>
      </c>
      <c r="CF292" s="193">
        <f t="shared" ref="CF292:CG292" si="1544">+CF290/CF291</f>
        <v>0.74292853685381222</v>
      </c>
      <c r="CG292" s="193">
        <f t="shared" si="1544"/>
        <v>0.71851250438315095</v>
      </c>
      <c r="CH292" s="193">
        <f t="shared" ref="CH292:CI292" si="1545">+CH290/CH291</f>
        <v>0.73345359829484047</v>
      </c>
      <c r="CI292" s="193">
        <f t="shared" si="1545"/>
        <v>0.77212500684230989</v>
      </c>
      <c r="CJ292" s="193">
        <f t="shared" ref="CJ292:CK292" si="1546">+CJ290/CJ291</f>
        <v>0.43552372825173075</v>
      </c>
      <c r="CK292" s="193">
        <f t="shared" si="1546"/>
        <v>0.63320436654897372</v>
      </c>
      <c r="CL292" s="591">
        <f t="shared" ref="CL292" si="1547">+CK292</f>
        <v>0.63320436654897372</v>
      </c>
      <c r="CM292" s="591">
        <f t="shared" ref="CM292" si="1548">+CL292</f>
        <v>0.63320436654897372</v>
      </c>
      <c r="CN292" s="591">
        <f t="shared" ref="CN292" si="1549">+CM292</f>
        <v>0.63320436654897372</v>
      </c>
      <c r="CO292" s="591">
        <f t="shared" ref="CO292" si="1550">+CN292</f>
        <v>0.63320436654897372</v>
      </c>
      <c r="CP292" s="591">
        <f t="shared" ref="CP292" si="1551">+CO292</f>
        <v>0.63320436654897372</v>
      </c>
      <c r="CQ292" s="591"/>
      <c r="CR292" s="591"/>
      <c r="CS292" s="591">
        <v>1</v>
      </c>
      <c r="CT292" s="1133"/>
      <c r="CU292" s="193"/>
      <c r="CV292" s="193"/>
      <c r="CW292" s="193"/>
      <c r="CX292" s="193"/>
      <c r="CY292" s="193"/>
      <c r="CZ292" s="193"/>
      <c r="DA292" s="193"/>
      <c r="DB292" s="193"/>
      <c r="DC292" s="193"/>
      <c r="DD292" s="193"/>
      <c r="DE292" s="193"/>
      <c r="DF292" s="193"/>
      <c r="DG292" s="193"/>
      <c r="DH292" s="193"/>
      <c r="DI292" s="193"/>
      <c r="DJ292" s="193"/>
      <c r="DK292" s="193"/>
      <c r="DL292" s="193"/>
      <c r="DM292" s="193">
        <f>+DM290/DM291</f>
        <v>3.0154514005819006</v>
      </c>
      <c r="DN292" s="193">
        <f>+DN290/DN291</f>
        <v>1.7473076660237461</v>
      </c>
      <c r="DO292" s="193">
        <f>+DO290/DO291</f>
        <v>1.4343232500088259</v>
      </c>
      <c r="DP292" s="193">
        <f>+DP290/DP291</f>
        <v>0.73802278146263411</v>
      </c>
      <c r="DQ292" s="193">
        <f>+DQ290/DQ291</f>
        <v>0.61988611172925212</v>
      </c>
      <c r="DR292" s="591">
        <v>0.7</v>
      </c>
      <c r="DS292" s="591">
        <v>0.7</v>
      </c>
      <c r="DT292" s="591">
        <v>0.7</v>
      </c>
      <c r="DU292" s="591">
        <v>0.7</v>
      </c>
      <c r="DV292" s="193"/>
      <c r="DW292" s="193"/>
      <c r="DY292" s="591">
        <v>1</v>
      </c>
      <c r="DZ292" s="591">
        <v>1</v>
      </c>
    </row>
    <row r="293" spans="1:130">
      <c r="A293" s="159"/>
      <c r="B293" s="159"/>
      <c r="C293" s="159"/>
      <c r="D293" s="159"/>
      <c r="E293" s="159"/>
      <c r="F293" s="159"/>
      <c r="G293" s="159"/>
      <c r="H293" s="159"/>
      <c r="I293" s="159"/>
      <c r="J293" s="159"/>
      <c r="K293" s="159"/>
      <c r="L293" s="159"/>
      <c r="M293" s="159"/>
      <c r="N293" s="159"/>
      <c r="O293" s="159"/>
      <c r="P293" s="159"/>
      <c r="Q293" s="159"/>
      <c r="R293" s="159"/>
      <c r="S293" s="159"/>
      <c r="T293" s="159"/>
      <c r="U293" s="159"/>
      <c r="V293" s="159"/>
      <c r="W293" s="159"/>
      <c r="X293" s="159"/>
      <c r="Y293" s="159"/>
      <c r="Z293" s="159"/>
      <c r="AA293" s="159"/>
      <c r="AB293" s="159"/>
      <c r="AC293" s="159"/>
      <c r="AD293" s="159"/>
      <c r="AE293" s="159"/>
      <c r="AF293" s="159"/>
      <c r="AG293" s="159"/>
      <c r="AH293" s="159"/>
      <c r="AI293" s="159"/>
      <c r="AJ293" s="159"/>
      <c r="AK293" s="159"/>
      <c r="AL293" s="159"/>
      <c r="AM293" s="159"/>
      <c r="AN293" s="159"/>
      <c r="AO293" s="159"/>
      <c r="AP293" s="159"/>
      <c r="AQ293" s="159"/>
      <c r="AR293" s="159"/>
      <c r="AS293" s="159"/>
      <c r="AT293" s="159"/>
      <c r="AU293" s="159"/>
      <c r="AV293" s="159"/>
      <c r="AW293" s="159"/>
      <c r="AX293" s="159"/>
      <c r="AY293" s="159"/>
      <c r="AZ293" s="159"/>
      <c r="BA293" s="159"/>
      <c r="BB293" s="159"/>
      <c r="BC293" s="159"/>
      <c r="BD293" s="159"/>
      <c r="BE293" s="159"/>
      <c r="BF293" s="159"/>
      <c r="BG293" s="159"/>
      <c r="BH293" s="159"/>
      <c r="BI293" s="159"/>
      <c r="BJ293" s="159"/>
      <c r="BK293" s="159"/>
      <c r="BL293" s="159"/>
      <c r="BM293" s="159"/>
      <c r="BN293" s="600"/>
      <c r="BO293" s="159"/>
      <c r="BP293" s="159"/>
      <c r="BQ293" s="159"/>
      <c r="BR293" s="159"/>
      <c r="BS293" s="159"/>
      <c r="BT293" s="159"/>
      <c r="BU293" s="159"/>
      <c r="BV293" s="159"/>
      <c r="BW293" s="159"/>
      <c r="BX293" s="159"/>
      <c r="BY293" s="159"/>
      <c r="BZ293" s="159"/>
      <c r="CA293" s="159"/>
      <c r="CB293" s="159"/>
      <c r="CC293" s="159"/>
      <c r="CD293" s="159"/>
      <c r="CE293" s="159"/>
      <c r="CF293" s="159"/>
      <c r="CG293" s="159"/>
      <c r="CH293" s="159"/>
      <c r="CI293" s="159"/>
      <c r="CJ293" s="159"/>
      <c r="CK293" s="159"/>
      <c r="CL293" s="159"/>
      <c r="CM293" s="159"/>
      <c r="CN293" s="159"/>
      <c r="CO293" s="159"/>
      <c r="CP293" s="159"/>
      <c r="CQ293" s="159"/>
      <c r="CR293" s="159"/>
      <c r="CS293" s="159"/>
      <c r="CT293" s="1133"/>
      <c r="CU293" s="159"/>
      <c r="CV293" s="159"/>
      <c r="CW293" s="159"/>
      <c r="CX293" s="159"/>
      <c r="CY293" s="159"/>
      <c r="CZ293" s="159"/>
      <c r="DA293" s="159"/>
      <c r="DB293" s="159"/>
      <c r="DC293" s="159"/>
      <c r="DD293" s="159"/>
      <c r="DE293" s="159"/>
      <c r="DF293" s="159"/>
      <c r="DG293" s="159"/>
      <c r="DH293" s="159"/>
      <c r="DI293" s="159"/>
      <c r="DJ293" s="159"/>
      <c r="DK293" s="159"/>
      <c r="DL293" s="159"/>
      <c r="DM293" s="159"/>
      <c r="DN293" s="159"/>
      <c r="DO293" s="159"/>
      <c r="DP293" s="159"/>
      <c r="DQ293" s="159"/>
      <c r="DR293" s="159"/>
      <c r="DS293" s="159"/>
      <c r="DT293" s="159"/>
      <c r="DU293" s="159"/>
      <c r="DV293" s="159"/>
      <c r="DW293" s="159"/>
      <c r="DY293" s="159"/>
      <c r="DZ293" s="159"/>
    </row>
    <row r="294" spans="1:130">
      <c r="A294" s="159" t="s">
        <v>206</v>
      </c>
      <c r="B294" s="159"/>
      <c r="C294" s="159"/>
      <c r="D294" s="159"/>
      <c r="E294" s="159"/>
      <c r="F294" s="159"/>
      <c r="G294" s="159"/>
      <c r="H294" s="159"/>
      <c r="I294" s="159"/>
      <c r="J294" s="159"/>
      <c r="K294" s="159"/>
      <c r="L294" s="159"/>
      <c r="M294" s="159"/>
      <c r="N294" s="159"/>
      <c r="O294" s="159"/>
      <c r="P294" s="159"/>
      <c r="Q294" s="159"/>
      <c r="R294" s="159"/>
      <c r="S294" s="159"/>
      <c r="T294" s="159"/>
      <c r="U294" s="159"/>
      <c r="V294" s="159"/>
      <c r="W294" s="159"/>
      <c r="X294" s="159"/>
      <c r="Y294" s="159"/>
      <c r="Z294" s="159"/>
      <c r="AA294" s="159"/>
      <c r="AB294" s="159"/>
      <c r="AC294" s="159"/>
      <c r="AD294" s="159"/>
      <c r="AE294" s="159"/>
      <c r="AF294" s="159"/>
      <c r="AG294" s="159"/>
      <c r="AH294" s="159"/>
      <c r="AI294" s="159"/>
      <c r="AJ294" s="159"/>
      <c r="AK294" s="159"/>
      <c r="AL294" s="159"/>
      <c r="AM294" s="159"/>
      <c r="AN294" s="159"/>
      <c r="AO294" s="159"/>
      <c r="AP294" s="159"/>
      <c r="AQ294" s="159"/>
      <c r="AR294" s="159"/>
      <c r="AS294" s="159"/>
      <c r="AT294" s="159"/>
      <c r="AU294" s="159"/>
      <c r="AV294" s="159"/>
      <c r="AW294" s="159"/>
      <c r="AX294" s="159"/>
      <c r="AY294" s="159"/>
      <c r="AZ294" s="159"/>
      <c r="BA294" s="159"/>
      <c r="BB294" s="159"/>
      <c r="BC294" s="159"/>
      <c r="BD294" s="159"/>
      <c r="BE294" s="159"/>
      <c r="BF294" s="159"/>
      <c r="BG294" s="159"/>
      <c r="BH294" s="159"/>
      <c r="BI294" s="159"/>
      <c r="BJ294" s="159"/>
      <c r="BK294" s="159"/>
      <c r="BL294" s="159"/>
      <c r="BM294" s="159"/>
      <c r="BN294" s="600"/>
      <c r="BO294" s="159"/>
      <c r="BP294" s="159"/>
      <c r="BQ294" s="159"/>
      <c r="BR294" s="159"/>
      <c r="BS294" s="159"/>
      <c r="BT294" s="159"/>
      <c r="BU294" s="159"/>
      <c r="BV294" s="159"/>
      <c r="BW294" s="784">
        <f t="shared" ref="BW294:CD294" si="1552">+BW284-BW289</f>
        <v>66.738</v>
      </c>
      <c r="BX294" s="784">
        <f t="shared" si="1552"/>
        <v>15.283999999999992</v>
      </c>
      <c r="BY294" s="784">
        <f t="shared" si="1552"/>
        <v>104.928</v>
      </c>
      <c r="BZ294" s="784">
        <f t="shared" si="1552"/>
        <v>28.077000000000027</v>
      </c>
      <c r="CA294" s="784">
        <f t="shared" si="1552"/>
        <v>10.390999999999991</v>
      </c>
      <c r="CB294" s="784">
        <f t="shared" si="1552"/>
        <v>3.3999999999999915</v>
      </c>
      <c r="CC294" s="784">
        <f t="shared" si="1552"/>
        <v>20.808000000000007</v>
      </c>
      <c r="CD294" s="784">
        <f t="shared" si="1552"/>
        <v>77.245000000000061</v>
      </c>
      <c r="CE294" s="784">
        <f t="shared" ref="CE294:CJ294" si="1553">+CE284-CE289</f>
        <v>100.34900000000002</v>
      </c>
      <c r="CF294" s="784">
        <f t="shared" si="1553"/>
        <v>48.099999999999994</v>
      </c>
      <c r="CG294" s="784">
        <f t="shared" si="1553"/>
        <v>66.478999999999985</v>
      </c>
      <c r="CH294" s="784">
        <f t="shared" si="1553"/>
        <v>135.10599999999994</v>
      </c>
      <c r="CI294" s="784">
        <f t="shared" si="1553"/>
        <v>45.433000000000007</v>
      </c>
      <c r="CJ294" s="784">
        <f t="shared" si="1553"/>
        <v>1.3999999999999986</v>
      </c>
      <c r="CK294" s="784">
        <f t="shared" ref="CK294" si="1554">+CK284-CK289</f>
        <v>35.544999999999995</v>
      </c>
      <c r="CL294" s="1919">
        <v>30</v>
      </c>
      <c r="CM294" s="1919">
        <v>30</v>
      </c>
      <c r="CN294" s="1919">
        <v>30</v>
      </c>
      <c r="CO294" s="1919">
        <v>30</v>
      </c>
      <c r="CP294" s="1919">
        <v>30</v>
      </c>
      <c r="CQ294" s="159"/>
      <c r="CR294" s="159"/>
      <c r="CS294" s="1919">
        <v>30</v>
      </c>
      <c r="CT294" s="1133"/>
      <c r="CU294" s="159"/>
      <c r="CV294" s="159"/>
      <c r="CW294" s="159"/>
      <c r="CX294" s="159"/>
      <c r="CY294" s="159"/>
      <c r="CZ294" s="159"/>
      <c r="DA294" s="159"/>
      <c r="DB294" s="159"/>
      <c r="DC294" s="159"/>
      <c r="DD294" s="159"/>
      <c r="DE294" s="159"/>
      <c r="DF294" s="159"/>
      <c r="DG294" s="159"/>
      <c r="DH294" s="159"/>
      <c r="DI294" s="159"/>
      <c r="DJ294" s="159"/>
      <c r="DK294" s="159"/>
      <c r="DL294" s="785"/>
      <c r="DM294" s="785">
        <f>+SUM(BW294:BZ294)</f>
        <v>215.02700000000002</v>
      </c>
      <c r="DN294" s="785">
        <f>+SUM(CA294:CD294)</f>
        <v>111.84400000000005</v>
      </c>
      <c r="DO294" s="785">
        <f>+SUM(CE294:CH294)</f>
        <v>350.03399999999993</v>
      </c>
      <c r="DP294" s="785">
        <f>+SUM(CI294:CL294)</f>
        <v>112.378</v>
      </c>
      <c r="DQ294" s="785">
        <f>+SUM(CM294:CP294)</f>
        <v>120</v>
      </c>
      <c r="DR294" s="1920">
        <v>100</v>
      </c>
      <c r="DS294" s="1920">
        <v>100</v>
      </c>
      <c r="DT294" s="1920">
        <v>100</v>
      </c>
      <c r="DU294" s="1920">
        <v>100</v>
      </c>
      <c r="DV294" s="159"/>
      <c r="DW294" s="159"/>
      <c r="DY294" s="1920"/>
      <c r="DZ294" s="1920"/>
    </row>
    <row r="295" spans="1:130">
      <c r="A295" s="159"/>
      <c r="B295" s="159"/>
      <c r="C295" s="159"/>
      <c r="D295" s="159"/>
      <c r="E295" s="159"/>
      <c r="F295" s="159"/>
      <c r="G295" s="159"/>
      <c r="H295" s="159"/>
      <c r="I295" s="159"/>
      <c r="J295" s="159"/>
      <c r="K295" s="159"/>
      <c r="L295" s="159"/>
      <c r="M295" s="159"/>
      <c r="N295" s="159"/>
      <c r="O295" s="159"/>
      <c r="P295" s="159"/>
      <c r="Q295" s="159"/>
      <c r="R295" s="159"/>
      <c r="S295" s="159"/>
      <c r="T295" s="159"/>
      <c r="U295" s="159"/>
      <c r="V295" s="159"/>
      <c r="W295" s="159"/>
      <c r="X295" s="159"/>
      <c r="Y295" s="159"/>
      <c r="Z295" s="159"/>
      <c r="AA295" s="159"/>
      <c r="AB295" s="159"/>
      <c r="AC295" s="159"/>
      <c r="AD295" s="159"/>
      <c r="AE295" s="159"/>
      <c r="AF295" s="159"/>
      <c r="AG295" s="159"/>
      <c r="AH295" s="159"/>
      <c r="AI295" s="159"/>
      <c r="AJ295" s="159"/>
      <c r="AK295" s="159"/>
      <c r="AL295" s="159"/>
      <c r="AM295" s="159"/>
      <c r="AN295" s="159"/>
      <c r="AO295" s="159"/>
      <c r="AP295" s="159"/>
      <c r="AQ295" s="159"/>
      <c r="AR295" s="159"/>
      <c r="AS295" s="159"/>
      <c r="AT295" s="159"/>
      <c r="AU295" s="159"/>
      <c r="AV295" s="159"/>
      <c r="AW295" s="159"/>
      <c r="AX295" s="159"/>
      <c r="AY295" s="159"/>
      <c r="AZ295" s="159"/>
      <c r="BA295" s="159"/>
      <c r="BB295" s="159"/>
      <c r="BC295" s="159"/>
      <c r="BD295" s="159"/>
      <c r="BE295" s="159"/>
      <c r="BF295" s="159"/>
      <c r="BG295" s="159"/>
      <c r="BH295" s="159"/>
      <c r="BI295" s="159"/>
      <c r="BJ295" s="159"/>
      <c r="BK295" s="159"/>
      <c r="BL295" s="159"/>
      <c r="BM295" s="159"/>
      <c r="BN295" s="600"/>
      <c r="BO295" s="159"/>
      <c r="BP295" s="159"/>
      <c r="BQ295" s="159"/>
      <c r="BR295" s="159"/>
      <c r="BS295" s="159"/>
      <c r="BT295" s="159"/>
      <c r="BU295" s="159"/>
      <c r="BV295" s="159"/>
      <c r="BW295" s="159"/>
      <c r="BX295" s="159"/>
      <c r="BY295" s="159"/>
      <c r="BZ295" s="159"/>
      <c r="CA295" s="159"/>
      <c r="CB295" s="159"/>
      <c r="CC295" s="159"/>
      <c r="CD295" s="159"/>
      <c r="CE295" s="159"/>
      <c r="CF295" s="159"/>
      <c r="CG295" s="159"/>
      <c r="CH295" s="159"/>
      <c r="CI295" s="159"/>
      <c r="CJ295" s="159"/>
      <c r="CK295" s="159"/>
      <c r="CL295" s="159"/>
      <c r="CM295" s="159"/>
      <c r="CN295" s="159"/>
      <c r="CO295" s="159"/>
      <c r="CP295" s="159"/>
      <c r="CQ295" s="159"/>
      <c r="CR295" s="159"/>
      <c r="CS295" s="159"/>
      <c r="CT295" s="1133"/>
      <c r="CU295" s="159"/>
      <c r="CV295" s="159"/>
      <c r="CW295" s="159"/>
      <c r="CX295" s="159"/>
      <c r="CY295" s="159"/>
      <c r="CZ295" s="159"/>
      <c r="DA295" s="159"/>
      <c r="DB295" s="159"/>
      <c r="DC295" s="159"/>
      <c r="DD295" s="159"/>
      <c r="DE295" s="159"/>
      <c r="DF295" s="159"/>
      <c r="DG295" s="159"/>
      <c r="DH295" s="159"/>
      <c r="DI295" s="159"/>
      <c r="DJ295" s="159"/>
      <c r="DK295" s="159"/>
      <c r="DL295" s="159"/>
      <c r="DM295" s="159"/>
      <c r="DN295" s="159"/>
      <c r="DO295" s="159"/>
      <c r="DP295" s="159"/>
      <c r="DQ295" s="159"/>
      <c r="DR295" s="159"/>
      <c r="DS295" s="159"/>
      <c r="DT295" s="159"/>
      <c r="DU295" s="159"/>
      <c r="DV295" s="159"/>
      <c r="DW295" s="159"/>
      <c r="DY295" s="159"/>
      <c r="DZ295" s="159"/>
    </row>
    <row r="296" spans="1:130">
      <c r="A296" s="159"/>
      <c r="B296" s="159"/>
      <c r="C296" s="159"/>
      <c r="D296" s="159"/>
      <c r="E296" s="159"/>
      <c r="F296" s="159"/>
      <c r="G296" s="159"/>
      <c r="H296" s="159"/>
      <c r="I296" s="159"/>
      <c r="J296" s="159"/>
      <c r="K296" s="159"/>
      <c r="L296" s="159"/>
      <c r="M296" s="159"/>
      <c r="N296" s="159"/>
      <c r="O296" s="159"/>
      <c r="P296" s="159"/>
      <c r="Q296" s="159"/>
      <c r="R296" s="159"/>
      <c r="S296" s="159"/>
      <c r="T296" s="159"/>
      <c r="U296" s="159"/>
      <c r="V296" s="159"/>
      <c r="W296" s="159"/>
      <c r="X296" s="159"/>
      <c r="Y296" s="159"/>
      <c r="Z296" s="159"/>
      <c r="AA296" s="159"/>
      <c r="AB296" s="159"/>
      <c r="AC296" s="159"/>
      <c r="AD296" s="159"/>
      <c r="AE296" s="159"/>
      <c r="AF296" s="159"/>
      <c r="AG296" s="159"/>
      <c r="AH296" s="159"/>
      <c r="AI296" s="159"/>
      <c r="AJ296" s="159"/>
      <c r="AK296" s="159"/>
      <c r="AL296" s="159"/>
      <c r="AM296" s="159"/>
      <c r="AN296" s="159"/>
      <c r="AO296" s="159"/>
      <c r="AP296" s="159"/>
      <c r="AQ296" s="159"/>
      <c r="AR296" s="159"/>
      <c r="AS296" s="159"/>
      <c r="AT296" s="159"/>
      <c r="AU296" s="159"/>
      <c r="AV296" s="159"/>
      <c r="AW296" s="159"/>
      <c r="AX296" s="159"/>
      <c r="AY296" s="159"/>
      <c r="AZ296" s="159"/>
      <c r="BA296" s="159"/>
      <c r="BB296" s="159"/>
      <c r="BC296" s="159"/>
      <c r="BD296" s="159"/>
      <c r="BE296" s="159"/>
      <c r="BF296" s="159"/>
      <c r="BG296" s="159"/>
      <c r="BH296" s="159"/>
      <c r="BI296" s="159"/>
      <c r="BJ296" s="159"/>
      <c r="BK296" s="159"/>
      <c r="BL296" s="159"/>
      <c r="BM296" s="159"/>
      <c r="BN296" s="600"/>
      <c r="BO296" s="159"/>
      <c r="BP296" s="159"/>
      <c r="BQ296" s="159"/>
      <c r="BR296" s="159"/>
      <c r="BS296" s="159"/>
      <c r="BT296" s="159"/>
      <c r="BU296" s="159"/>
      <c r="BV296" s="159"/>
      <c r="BW296" s="159"/>
      <c r="BX296" s="159"/>
      <c r="BY296" s="159"/>
      <c r="BZ296" s="159"/>
      <c r="CA296" s="159"/>
      <c r="CB296" s="159"/>
      <c r="CC296" s="159"/>
      <c r="CD296" s="159"/>
      <c r="CE296" s="159"/>
      <c r="CF296" s="159"/>
      <c r="CG296" s="159"/>
      <c r="CH296" s="159"/>
      <c r="CI296" s="159"/>
      <c r="CJ296" s="159"/>
      <c r="CK296" s="159"/>
      <c r="CL296" s="159"/>
      <c r="CM296" s="159"/>
      <c r="CN296" s="159"/>
      <c r="CO296" s="159"/>
      <c r="CP296" s="159"/>
      <c r="CQ296" s="159"/>
      <c r="CR296" s="159"/>
      <c r="CS296" s="159"/>
      <c r="CT296" s="1133"/>
      <c r="CU296" s="159"/>
      <c r="CV296" s="159"/>
      <c r="CW296" s="159"/>
      <c r="CX296" s="159"/>
      <c r="CY296" s="159"/>
      <c r="CZ296" s="159"/>
      <c r="DA296" s="159"/>
      <c r="DB296" s="159"/>
      <c r="DC296" s="159"/>
      <c r="DD296" s="159"/>
      <c r="DE296" s="159"/>
      <c r="DF296" s="159"/>
      <c r="DG296" s="159"/>
      <c r="DH296" s="159"/>
      <c r="DI296" s="159"/>
      <c r="DJ296" s="159"/>
      <c r="DK296" s="159"/>
      <c r="DL296" s="159"/>
      <c r="DM296" s="159"/>
      <c r="DN296" s="159"/>
      <c r="DO296" s="159"/>
      <c r="DP296" s="159"/>
      <c r="DQ296" s="159"/>
      <c r="DR296" s="159"/>
      <c r="DS296" s="159"/>
      <c r="DT296" s="159"/>
      <c r="DU296" s="159"/>
      <c r="DV296" s="159"/>
      <c r="DW296" s="159"/>
      <c r="DY296" s="159"/>
      <c r="DZ296" s="159"/>
    </row>
    <row r="297" spans="1:130" s="794" customFormat="1" ht="12.75">
      <c r="A297" s="789" t="s">
        <v>705</v>
      </c>
      <c r="B297" s="789"/>
      <c r="C297" s="790"/>
      <c r="D297" s="790"/>
      <c r="E297" s="790"/>
      <c r="F297" s="790"/>
      <c r="G297" s="790"/>
      <c r="H297" s="790"/>
      <c r="I297" s="790">
        <v>-2.6</v>
      </c>
      <c r="J297" s="790">
        <v>-1.7</v>
      </c>
      <c r="K297" s="790">
        <v>-2</v>
      </c>
      <c r="L297" s="790">
        <v>-2.2000000000000002</v>
      </c>
      <c r="M297" s="790">
        <v>-1.8</v>
      </c>
      <c r="N297" s="790">
        <v>-2.5</v>
      </c>
      <c r="O297" s="790">
        <v>-4.9000000000000004</v>
      </c>
      <c r="P297" s="790">
        <v>-4.5999999999999996</v>
      </c>
      <c r="Q297" s="790">
        <v>-4.0999999999999996</v>
      </c>
      <c r="R297" s="790">
        <v>-4.7</v>
      </c>
      <c r="S297" s="790">
        <v>-2</v>
      </c>
      <c r="T297" s="790">
        <v>-6</v>
      </c>
      <c r="U297" s="790">
        <v>-2.6</v>
      </c>
      <c r="V297" s="790">
        <v>-2.1</v>
      </c>
      <c r="W297" s="790">
        <v>-1.9</v>
      </c>
      <c r="X297" s="790">
        <v>-2.5999999999999996</v>
      </c>
      <c r="Y297" s="790">
        <v>-2</v>
      </c>
      <c r="Z297" s="790">
        <v>-6.4</v>
      </c>
      <c r="AA297" s="790">
        <v>-3.0649999999999999</v>
      </c>
      <c r="AB297" s="790">
        <v>-2.2000000000000002</v>
      </c>
      <c r="AC297" s="790">
        <v>-2.1</v>
      </c>
      <c r="AD297" s="790">
        <v>-4.2</v>
      </c>
      <c r="AE297" s="790">
        <v>-1.222</v>
      </c>
      <c r="AF297" s="790">
        <v>-1.51</v>
      </c>
      <c r="AG297" s="790">
        <v>-9.3510000000000009</v>
      </c>
      <c r="AH297" s="790">
        <v>-16.102999999999998</v>
      </c>
      <c r="AI297" s="790">
        <v>-11</v>
      </c>
      <c r="AJ297" s="790">
        <v>-9.327</v>
      </c>
      <c r="AK297" s="790">
        <v>-16.309999999999999</v>
      </c>
      <c r="AL297" s="790">
        <v>-17.672000000000011</v>
      </c>
      <c r="AM297" s="790">
        <v>-15.836</v>
      </c>
      <c r="AN297" s="790">
        <v>-19.890999999999998</v>
      </c>
      <c r="AO297" s="790">
        <v>-20.818999999999999</v>
      </c>
      <c r="AP297" s="790">
        <v>-28.975000000000001</v>
      </c>
      <c r="AQ297" s="790">
        <f t="shared" ref="AQ297:BC297" si="1555">+AQ299</f>
        <v>-29.810000000000002</v>
      </c>
      <c r="AR297" s="790">
        <f t="shared" si="1555"/>
        <v>-31.083000000000002</v>
      </c>
      <c r="AS297" s="790">
        <f t="shared" si="1555"/>
        <v>-32.195999999999998</v>
      </c>
      <c r="AT297" s="790">
        <f t="shared" si="1555"/>
        <v>-34.775000000000006</v>
      </c>
      <c r="AU297" s="790">
        <f t="shared" si="1555"/>
        <v>-44.133999999999993</v>
      </c>
      <c r="AV297" s="790">
        <f t="shared" si="1555"/>
        <v>-39.786999999999992</v>
      </c>
      <c r="AW297" s="790">
        <f t="shared" si="1555"/>
        <v>-40.889000000000003</v>
      </c>
      <c r="AX297" s="790">
        <f t="shared" si="1555"/>
        <v>-31.749000000000002</v>
      </c>
      <c r="AY297" s="790">
        <f t="shared" si="1555"/>
        <v>-36.405000000000001</v>
      </c>
      <c r="AZ297" s="790">
        <f t="shared" si="1555"/>
        <v>-42.486000000000004</v>
      </c>
      <c r="BA297" s="790">
        <f t="shared" si="1555"/>
        <v>-37.395000000000003</v>
      </c>
      <c r="BB297" s="790">
        <f t="shared" si="1555"/>
        <v>-36.650999999999968</v>
      </c>
      <c r="BC297" s="791">
        <f t="shared" si="1555"/>
        <v>-35.804000000000002</v>
      </c>
      <c r="BD297" s="790">
        <f>-32.503-2.208-0.153</f>
        <v>-34.863999999999997</v>
      </c>
      <c r="BE297" s="790">
        <f>-25.231-1.908-0.332</f>
        <v>-27.471000000000004</v>
      </c>
      <c r="BF297" s="790">
        <f>-112.47-8.233-BE297-BD297-BC297</f>
        <v>-22.564</v>
      </c>
      <c r="BG297" s="790">
        <f>-19.567-2.018</f>
        <v>-21.585000000000001</v>
      </c>
      <c r="BH297" s="790">
        <v>-21.968</v>
      </c>
      <c r="BI297" s="790">
        <v>-23.285</v>
      </c>
      <c r="BJ297" s="790">
        <f>-81.525-BI297-BH297-BG297</f>
        <v>-14.687000000000005</v>
      </c>
      <c r="BK297" s="790">
        <f>+BK299+BK307</f>
        <v>-50.881</v>
      </c>
      <c r="BL297" s="790">
        <f t="shared" ref="BL297:BV297" si="1556">+BL299+BL307</f>
        <v>-57.07</v>
      </c>
      <c r="BM297" s="790">
        <f t="shared" si="1556"/>
        <v>-29.6</v>
      </c>
      <c r="BN297" s="790">
        <f t="shared" si="1556"/>
        <v>-46.5</v>
      </c>
      <c r="BO297" s="790">
        <f t="shared" si="1556"/>
        <v>-32.9</v>
      </c>
      <c r="BP297" s="790">
        <f t="shared" si="1556"/>
        <v>-58.2</v>
      </c>
      <c r="BQ297" s="790">
        <f t="shared" si="1556"/>
        <v>-61.6</v>
      </c>
      <c r="BR297" s="790">
        <f t="shared" si="1556"/>
        <v>-57.2</v>
      </c>
      <c r="BS297" s="790">
        <f t="shared" si="1556"/>
        <v>-69.8</v>
      </c>
      <c r="BT297" s="790">
        <f t="shared" si="1556"/>
        <v>-82.6</v>
      </c>
      <c r="BU297" s="790">
        <f t="shared" si="1556"/>
        <v>-97.1</v>
      </c>
      <c r="BV297" s="790">
        <f t="shared" si="1556"/>
        <v>-119.1</v>
      </c>
      <c r="BW297" s="790">
        <f t="shared" ref="BW297:CD297" si="1557">+BW299+BW307</f>
        <v>-129.94400000000002</v>
      </c>
      <c r="BX297" s="790">
        <f t="shared" si="1557"/>
        <v>-143.69999999999999</v>
      </c>
      <c r="BY297" s="790">
        <f t="shared" si="1557"/>
        <v>-145.69999999999999</v>
      </c>
      <c r="BZ297" s="790">
        <f t="shared" ref="BZ297" si="1558">+BZ299+BZ307</f>
        <v>-123.78799999999993</v>
      </c>
      <c r="CA297" s="790">
        <f t="shared" si="1557"/>
        <v>-93</v>
      </c>
      <c r="CB297" s="790">
        <f t="shared" si="1557"/>
        <v>-99.6</v>
      </c>
      <c r="CC297" s="790">
        <f t="shared" si="1557"/>
        <v>-100.6</v>
      </c>
      <c r="CD297" s="790">
        <f t="shared" si="1557"/>
        <v>-103.00000000000001</v>
      </c>
      <c r="CE297" s="790">
        <f t="shared" ref="CE297:CH297" si="1559">+CE299+CE307</f>
        <v>-87.337999999999994</v>
      </c>
      <c r="CF297" s="790">
        <f t="shared" si="1559"/>
        <v>-76.900000000000006</v>
      </c>
      <c r="CG297" s="790">
        <f t="shared" si="1559"/>
        <v>-73.991</v>
      </c>
      <c r="CH297" s="790">
        <f t="shared" si="1559"/>
        <v>-79.290999999999997</v>
      </c>
      <c r="CI297" s="790">
        <f t="shared" ref="CI297:CL297" si="1560">+CI299+CI307</f>
        <v>-72.739000000000004</v>
      </c>
      <c r="CJ297" s="790">
        <f t="shared" ref="CJ297" si="1561">+CJ299+CJ307</f>
        <v>-62.04</v>
      </c>
      <c r="CK297" s="790">
        <f t="shared" si="1560"/>
        <v>-58.2</v>
      </c>
      <c r="CL297" s="792">
        <f t="shared" si="1560"/>
        <v>-77.092618158119535</v>
      </c>
      <c r="CM297" s="792">
        <f t="shared" ref="CM297:CP297" si="1562">+CM299+CM307</f>
        <v>-81.218863559306811</v>
      </c>
      <c r="CN297" s="792">
        <f t="shared" si="1562"/>
        <v>-77.725576575160559</v>
      </c>
      <c r="CO297" s="792">
        <f t="shared" si="1562"/>
        <v>-75.337431086794851</v>
      </c>
      <c r="CP297" s="792">
        <f t="shared" si="1562"/>
        <v>-81.534630712457286</v>
      </c>
      <c r="CQ297" s="792"/>
      <c r="CR297" s="792"/>
      <c r="CS297" s="792">
        <v>-74.626804362659897</v>
      </c>
      <c r="CT297" s="1133"/>
      <c r="CU297" s="789">
        <f>SUM(C297:F297)</f>
        <v>0</v>
      </c>
      <c r="CV297" s="789">
        <f>SUM(G297:J297)</f>
        <v>-4.3</v>
      </c>
      <c r="CW297" s="789"/>
      <c r="CX297" s="789">
        <f>SUM(O297:R297)</f>
        <v>-18.3</v>
      </c>
      <c r="CY297" s="789">
        <f>SUM(S297:V297)</f>
        <v>-12.7</v>
      </c>
      <c r="CZ297" s="789">
        <f>SUM(W297:Z297)</f>
        <v>-12.9</v>
      </c>
      <c r="DA297" s="789">
        <f>SUM(AA297:AD297)</f>
        <v>-11.565000000000001</v>
      </c>
      <c r="DB297" s="789">
        <f>SUM(AE297:AH297)</f>
        <v>-28.186</v>
      </c>
      <c r="DC297" s="789">
        <f>+SUM(AI297:AL297)</f>
        <v>-54.309000000000012</v>
      </c>
      <c r="DD297" s="789">
        <f>+SUM(AM297:AP297)</f>
        <v>-85.520999999999987</v>
      </c>
      <c r="DE297" s="789">
        <f>+SUM(AQ297:AT297)</f>
        <v>-127.864</v>
      </c>
      <c r="DF297" s="790">
        <f>+SUM(AU297:AX297)</f>
        <v>-156.559</v>
      </c>
      <c r="DG297" s="790">
        <f>+SUM(AY297:BB297)</f>
        <v>-152.93699999999995</v>
      </c>
      <c r="DH297" s="790">
        <f>+SUM(BC297:BF297)</f>
        <v>-120.703</v>
      </c>
      <c r="DI297" s="790">
        <f>+SUM(BG297:BJ297)</f>
        <v>-81.525000000000006</v>
      </c>
      <c r="DJ297" s="790">
        <f>+SUM(BK297:BN297)</f>
        <v>-184.05099999999999</v>
      </c>
      <c r="DK297" s="790">
        <f>+SUM(BO297:BR297)</f>
        <v>-209.89999999999998</v>
      </c>
      <c r="DL297" s="790">
        <f>+SUM(BS297:BV297)</f>
        <v>-368.59999999999997</v>
      </c>
      <c r="DM297" s="790">
        <f>+SUM(BW297:BZ297)</f>
        <v>-543.13199999999995</v>
      </c>
      <c r="DN297" s="790">
        <f>+SUM(CA297:CD297)</f>
        <v>-396.2</v>
      </c>
      <c r="DO297" s="790">
        <f>+SUM(CE297:CH297)</f>
        <v>-317.52</v>
      </c>
      <c r="DP297" s="790">
        <f>+SUM(CI297:CL297)</f>
        <v>-270.07161815811952</v>
      </c>
      <c r="DQ297" s="790">
        <f>+SUM(CM297:CP297)</f>
        <v>-315.81650193371951</v>
      </c>
      <c r="DR297" s="792">
        <f>+DR299+DR307</f>
        <v>-297.1013053099573</v>
      </c>
      <c r="DS297" s="792">
        <f t="shared" ref="DS297:DU297" si="1563">+DS299+DS307</f>
        <v>-282.79861515935983</v>
      </c>
      <c r="DT297" s="792">
        <f t="shared" si="1563"/>
        <v>-308.06199442763068</v>
      </c>
      <c r="DU297" s="792">
        <f t="shared" si="1563"/>
        <v>-331.73029502659739</v>
      </c>
      <c r="DV297" s="789"/>
      <c r="DW297" s="789"/>
      <c r="DY297" s="792">
        <v>-320.21920365794603</v>
      </c>
      <c r="DZ297" s="792">
        <v>-309.54448396979274</v>
      </c>
    </row>
    <row r="298" spans="1:130">
      <c r="A298" s="159"/>
      <c r="B298" s="159"/>
      <c r="C298" s="174"/>
      <c r="D298" s="174"/>
      <c r="E298" s="174"/>
      <c r="F298" s="174"/>
      <c r="G298" s="174"/>
      <c r="H298" s="174"/>
      <c r="I298" s="174"/>
      <c r="J298" s="174"/>
      <c r="K298" s="174"/>
      <c r="L298" s="174"/>
      <c r="M298" s="174"/>
      <c r="N298" s="174"/>
      <c r="O298" s="174"/>
      <c r="P298" s="174"/>
      <c r="Q298" s="174"/>
      <c r="R298" s="174"/>
      <c r="S298" s="174"/>
      <c r="T298" s="174"/>
      <c r="U298" s="174"/>
      <c r="V298" s="174"/>
      <c r="W298" s="174"/>
      <c r="X298" s="174"/>
      <c r="Y298" s="179"/>
      <c r="Z298" s="174"/>
      <c r="AA298" s="174"/>
      <c r="AB298" s="174"/>
      <c r="AC298" s="174"/>
      <c r="AD298" s="174"/>
      <c r="AE298" s="174"/>
      <c r="AF298" s="174"/>
      <c r="AG298" s="174"/>
      <c r="AH298" s="174"/>
      <c r="AI298" s="174"/>
      <c r="AJ298" s="174"/>
      <c r="AK298" s="174"/>
      <c r="AL298" s="174"/>
      <c r="AM298" s="174"/>
      <c r="AN298" s="174"/>
      <c r="AO298" s="174"/>
      <c r="AP298" s="174"/>
      <c r="AQ298" s="174"/>
      <c r="AR298" s="174"/>
      <c r="AS298" s="174"/>
      <c r="AT298" s="174"/>
      <c r="AU298" s="174"/>
      <c r="AV298" s="174"/>
      <c r="AW298" s="174"/>
      <c r="AX298" s="174"/>
      <c r="AY298" s="174"/>
      <c r="AZ298" s="174"/>
      <c r="BA298" s="174"/>
      <c r="BB298" s="174"/>
      <c r="BC298" s="181"/>
      <c r="BD298" s="174"/>
      <c r="BE298" s="178"/>
      <c r="BF298" s="178"/>
      <c r="BG298" s="178"/>
      <c r="BH298" s="178"/>
      <c r="BI298" s="178"/>
      <c r="BJ298" s="178"/>
      <c r="BK298" s="178"/>
      <c r="BL298" s="178"/>
      <c r="BM298" s="178"/>
      <c r="BN298" s="183"/>
      <c r="BO298" s="178"/>
      <c r="BP298" s="178"/>
      <c r="BQ298" s="178"/>
      <c r="BR298" s="178"/>
      <c r="BS298" s="178"/>
      <c r="BT298" s="178"/>
      <c r="BU298" s="178"/>
      <c r="BV298" s="178"/>
      <c r="BW298" s="178"/>
      <c r="BX298" s="178"/>
      <c r="BY298" s="178"/>
      <c r="BZ298" s="178"/>
      <c r="CA298" s="178"/>
      <c r="CB298" s="178"/>
      <c r="CC298" s="178"/>
      <c r="CD298" s="178"/>
      <c r="CE298" s="178"/>
      <c r="CF298" s="178"/>
      <c r="CG298" s="178"/>
      <c r="CH298" s="178"/>
      <c r="CI298" s="178"/>
      <c r="CJ298" s="178"/>
      <c r="CK298" s="178"/>
      <c r="CL298" s="178"/>
      <c r="CM298" s="178"/>
      <c r="CN298" s="178"/>
      <c r="CO298" s="178"/>
      <c r="CP298" s="178"/>
      <c r="CQ298" s="178"/>
      <c r="CR298" s="178"/>
      <c r="CS298" s="178"/>
      <c r="CT298" s="1133"/>
      <c r="CU298" s="163"/>
      <c r="CV298" s="163"/>
      <c r="CW298" s="163"/>
      <c r="CX298" s="163"/>
      <c r="CY298" s="163"/>
      <c r="CZ298" s="163"/>
      <c r="DA298" s="163"/>
      <c r="DB298" s="163"/>
      <c r="DC298" s="163"/>
      <c r="DD298" s="163"/>
      <c r="DE298" s="174"/>
      <c r="DF298" s="174"/>
      <c r="DG298" s="174"/>
      <c r="DH298" s="174"/>
      <c r="DI298" s="174"/>
      <c r="DJ298" s="174"/>
      <c r="DK298" s="174"/>
      <c r="DL298" s="174"/>
      <c r="DM298" s="174"/>
      <c r="DN298" s="174"/>
      <c r="DO298" s="174"/>
      <c r="DP298" s="174"/>
      <c r="DQ298" s="174"/>
      <c r="DR298" s="174"/>
      <c r="DS298" s="174"/>
      <c r="DT298" s="174"/>
      <c r="DU298" s="174"/>
      <c r="DV298" s="159"/>
      <c r="DW298" s="159"/>
      <c r="DY298" s="174"/>
      <c r="DZ298" s="174"/>
    </row>
    <row r="299" spans="1:130" s="794" customFormat="1" ht="12.75">
      <c r="A299" s="784" t="s">
        <v>706</v>
      </c>
      <c r="B299" s="784"/>
      <c r="C299" s="785"/>
      <c r="D299" s="785"/>
      <c r="E299" s="785"/>
      <c r="F299" s="785"/>
      <c r="G299" s="785"/>
      <c r="H299" s="785"/>
      <c r="I299" s="785"/>
      <c r="J299" s="785"/>
      <c r="K299" s="785"/>
      <c r="L299" s="785"/>
      <c r="M299" s="785"/>
      <c r="N299" s="785"/>
      <c r="O299" s="785">
        <v>-1.7</v>
      </c>
      <c r="P299" s="785">
        <v>-1.8</v>
      </c>
      <c r="Q299" s="785">
        <v>-1.4</v>
      </c>
      <c r="R299" s="785">
        <v>-1.5</v>
      </c>
      <c r="S299" s="785">
        <v>-1.8</v>
      </c>
      <c r="T299" s="785">
        <v>-6</v>
      </c>
      <c r="U299" s="785">
        <v>-2.6</v>
      </c>
      <c r="V299" s="785">
        <v>-2.1</v>
      </c>
      <c r="W299" s="785">
        <v>-1.9</v>
      </c>
      <c r="X299" s="785">
        <v>-2.5999999999999996</v>
      </c>
      <c r="Y299" s="785">
        <v>-2</v>
      </c>
      <c r="Z299" s="785">
        <v>-6.4</v>
      </c>
      <c r="AA299" s="785">
        <v>-3.0649999999999999</v>
      </c>
      <c r="AB299" s="785">
        <v>-2.2000000000000002</v>
      </c>
      <c r="AC299" s="785">
        <v>-2.1</v>
      </c>
      <c r="AD299" s="785">
        <v>-4.2</v>
      </c>
      <c r="AE299" s="785">
        <v>-1.222</v>
      </c>
      <c r="AF299" s="785">
        <v>-1.51</v>
      </c>
      <c r="AG299" s="785">
        <v>-9.3510000000000009</v>
      </c>
      <c r="AH299" s="785">
        <v>-16.102999999999998</v>
      </c>
      <c r="AI299" s="785">
        <v>-11</v>
      </c>
      <c r="AJ299" s="785">
        <v>-9.327</v>
      </c>
      <c r="AK299" s="785">
        <v>-16.309999999999999</v>
      </c>
      <c r="AL299" s="785">
        <v>-17.672000000000011</v>
      </c>
      <c r="AM299" s="785">
        <v>-15.836</v>
      </c>
      <c r="AN299" s="785">
        <v>-19.890999999999998</v>
      </c>
      <c r="AO299" s="785">
        <v>-20.818999999999999</v>
      </c>
      <c r="AP299" s="785">
        <v>-28.975000000000001</v>
      </c>
      <c r="AQ299" s="786">
        <f>-29.544-0.266</f>
        <v>-29.810000000000002</v>
      </c>
      <c r="AR299" s="786">
        <f>-30.829-0.254</f>
        <v>-31.083000000000002</v>
      </c>
      <c r="AS299" s="786">
        <f>-31.921-0.275</f>
        <v>-32.195999999999998</v>
      </c>
      <c r="AT299" s="786">
        <f>-126.912-0.952-AS299-AR299-AQ299</f>
        <v>-34.775000000000006</v>
      </c>
      <c r="AU299" s="786">
        <f>-42.504-1.437-0.193</f>
        <v>-44.133999999999993</v>
      </c>
      <c r="AV299" s="786">
        <f>-38.016-1.41-0.361</f>
        <v>-39.786999999999992</v>
      </c>
      <c r="AW299" s="786">
        <f>-39.461-1.399-0.029</f>
        <v>-40.889000000000003</v>
      </c>
      <c r="AX299" s="786">
        <f>-149.868-5.792-0.899-AW299-AV299-AU299</f>
        <v>-31.749000000000002</v>
      </c>
      <c r="AY299" s="786">
        <f>-34.845-1.457-0.103</f>
        <v>-36.405000000000001</v>
      </c>
      <c r="AZ299" s="786">
        <f>-39.523-1.662-1.301</f>
        <v>-42.486000000000004</v>
      </c>
      <c r="BA299" s="786">
        <f>-34.356-2.769-0.27</f>
        <v>-37.395000000000003</v>
      </c>
      <c r="BB299" s="786">
        <f>-142.713-8.184-2.04-BA299-AZ299-AY299</f>
        <v>-36.650999999999968</v>
      </c>
      <c r="BC299" s="787">
        <f>-33.469-2.14-0.195</f>
        <v>-35.804000000000002</v>
      </c>
      <c r="BD299" s="786">
        <f t="shared" ref="BD299:BJ299" si="1564">+BD297</f>
        <v>-34.863999999999997</v>
      </c>
      <c r="BE299" s="786">
        <f t="shared" si="1564"/>
        <v>-27.471000000000004</v>
      </c>
      <c r="BF299" s="786">
        <f t="shared" si="1564"/>
        <v>-22.564</v>
      </c>
      <c r="BG299" s="786">
        <f t="shared" si="1564"/>
        <v>-21.585000000000001</v>
      </c>
      <c r="BH299" s="786">
        <f t="shared" si="1564"/>
        <v>-21.968</v>
      </c>
      <c r="BI299" s="786">
        <f t="shared" si="1564"/>
        <v>-23.285</v>
      </c>
      <c r="BJ299" s="786">
        <f t="shared" si="1564"/>
        <v>-14.687000000000005</v>
      </c>
      <c r="BK299" s="786">
        <v>-16.100000000000001</v>
      </c>
      <c r="BL299" s="786">
        <v>-23</v>
      </c>
      <c r="BM299" s="786">
        <v>-14.9</v>
      </c>
      <c r="BN299" s="786">
        <v>-13.3</v>
      </c>
      <c r="BO299" s="786">
        <v>-14.6</v>
      </c>
      <c r="BP299" s="786">
        <v>-25.5</v>
      </c>
      <c r="BQ299" s="786">
        <v>-24.5</v>
      </c>
      <c r="BR299" s="786">
        <v>-23</v>
      </c>
      <c r="BS299" s="786">
        <v>-26.9</v>
      </c>
      <c r="BT299" s="786">
        <v>-32.799999999999997</v>
      </c>
      <c r="BU299" s="786">
        <v>-44.5</v>
      </c>
      <c r="BV299" s="786">
        <v>-62.6</v>
      </c>
      <c r="BW299" s="786">
        <v>-79.802000000000007</v>
      </c>
      <c r="BX299" s="786">
        <v>-85.3</v>
      </c>
      <c r="BY299" s="786">
        <v>-89</v>
      </c>
      <c r="BZ299" s="786">
        <f>-316.027-BY299-BX299-BW299</f>
        <v>-61.924999999999969</v>
      </c>
      <c r="CA299" s="786">
        <v>-40.799999999999997</v>
      </c>
      <c r="CB299" s="786">
        <v>-39.700000000000003</v>
      </c>
      <c r="CC299" s="786">
        <v>-41.5</v>
      </c>
      <c r="CD299" s="786">
        <f>-156.8-CC299-CB299-CA299</f>
        <v>-34.800000000000011</v>
      </c>
      <c r="CE299" s="786">
        <v>-25.7</v>
      </c>
      <c r="CF299" s="786">
        <v>-15.9</v>
      </c>
      <c r="CG299" s="786">
        <v>-15.967000000000001</v>
      </c>
      <c r="CH299" s="786">
        <f>-73.437-CG299-CF299-CE299</f>
        <v>-15.870000000000001</v>
      </c>
      <c r="CI299" s="786">
        <v>-9.6479999999999997</v>
      </c>
      <c r="CJ299" s="786">
        <v>-0.04</v>
      </c>
      <c r="CK299" s="786">
        <v>-5.0000000000000001E-3</v>
      </c>
      <c r="CL299" s="788">
        <f t="shared" ref="CL299:CP299" si="1565">+CL300*CL301</f>
        <v>-11.149330301661292</v>
      </c>
      <c r="CM299" s="788">
        <f t="shared" si="1565"/>
        <v>-10.821416522328533</v>
      </c>
      <c r="CN299" s="788">
        <f t="shared" si="1565"/>
        <v>-10.159881595541403</v>
      </c>
      <c r="CO299" s="788">
        <f t="shared" si="1565"/>
        <v>-9.6606089836751536</v>
      </c>
      <c r="CP299" s="788">
        <f t="shared" si="1565"/>
        <v>-9.3271771401299493</v>
      </c>
      <c r="CQ299" s="788"/>
      <c r="CR299" s="788"/>
      <c r="CS299" s="788">
        <v>-10.377500285553303</v>
      </c>
      <c r="CT299" s="1133"/>
      <c r="CU299" s="784"/>
      <c r="CV299" s="784"/>
      <c r="CW299" s="784"/>
      <c r="CX299" s="784">
        <f>+SUM(O299:R299)</f>
        <v>-6.4</v>
      </c>
      <c r="CY299" s="784">
        <f>+SUM(S299:V299)</f>
        <v>-12.5</v>
      </c>
      <c r="CZ299" s="784">
        <f>+SUM(W299:Z299)</f>
        <v>-12.9</v>
      </c>
      <c r="DA299" s="784">
        <f>+SUM(AA299:AD299)</f>
        <v>-11.565000000000001</v>
      </c>
      <c r="DB299" s="784">
        <f>+SUM(AE299:AH299)</f>
        <v>-28.186</v>
      </c>
      <c r="DC299" s="784">
        <f>+SUM(AI299:AL299)</f>
        <v>-54.309000000000012</v>
      </c>
      <c r="DD299" s="784">
        <f>+SUM(AM299:AP299)</f>
        <v>-85.520999999999987</v>
      </c>
      <c r="DE299" s="784">
        <f>+SUM(AQ299:AT299)</f>
        <v>-127.864</v>
      </c>
      <c r="DF299" s="785">
        <f>+SUM(AU299:AX299)</f>
        <v>-156.559</v>
      </c>
      <c r="DG299" s="785">
        <f>+SUM(AY299:BB299)</f>
        <v>-152.93699999999995</v>
      </c>
      <c r="DH299" s="785">
        <f>+SUM(BC299:BF299)</f>
        <v>-120.703</v>
      </c>
      <c r="DI299" s="785">
        <f>+SUM(BG299:BJ299)</f>
        <v>-81.525000000000006</v>
      </c>
      <c r="DJ299" s="785">
        <f>+SUM(BK299:BN299)</f>
        <v>-67.3</v>
      </c>
      <c r="DK299" s="785">
        <f>+SUM(BO299:BR299)</f>
        <v>-87.6</v>
      </c>
      <c r="DL299" s="790">
        <f>+SUM(BS299:BV299)</f>
        <v>-166.79999999999998</v>
      </c>
      <c r="DM299" s="790">
        <f>+SUM(BW299:BZ299)</f>
        <v>-316.02699999999999</v>
      </c>
      <c r="DN299" s="790">
        <f>+SUM(CA299:CD299)</f>
        <v>-156.80000000000001</v>
      </c>
      <c r="DO299" s="790">
        <f>+SUM(CE299:CH299)</f>
        <v>-73.436999999999998</v>
      </c>
      <c r="DP299" s="790">
        <f>+SUM(CI299:CL299)</f>
        <v>-20.842330301661292</v>
      </c>
      <c r="DQ299" s="790">
        <f>+SUM(CM299:CP299)</f>
        <v>-39.969084241675041</v>
      </c>
      <c r="DR299" s="788">
        <f>+DR300*DR301</f>
        <v>-36.535984698079822</v>
      </c>
      <c r="DS299" s="788">
        <f t="shared" ref="DS299:DU299" si="1566">+DS300*DS301</f>
        <v>-35.100663284927208</v>
      </c>
      <c r="DT299" s="788">
        <f t="shared" si="1566"/>
        <v>-32.214576735586185</v>
      </c>
      <c r="DU299" s="788">
        <f t="shared" si="1566"/>
        <v>-29.32913439983141</v>
      </c>
      <c r="DV299" s="784"/>
      <c r="DW299" s="784"/>
      <c r="DY299" s="788">
        <v>-68.917295982318947</v>
      </c>
      <c r="DZ299" s="788">
        <v>-65.678475058541693</v>
      </c>
    </row>
    <row r="300" spans="1:130" s="778" customFormat="1">
      <c r="A300" s="774" t="s">
        <v>707</v>
      </c>
      <c r="B300" s="774"/>
      <c r="C300" s="775"/>
      <c r="D300" s="775"/>
      <c r="E300" s="775"/>
      <c r="F300" s="775"/>
      <c r="G300" s="775"/>
      <c r="H300" s="775"/>
      <c r="I300" s="775"/>
      <c r="J300" s="775"/>
      <c r="K300" s="775"/>
      <c r="L300" s="775"/>
      <c r="M300" s="775"/>
      <c r="N300" s="775"/>
      <c r="O300" s="775">
        <v>-3.1149769639999993</v>
      </c>
      <c r="P300" s="775">
        <v>-3.178606968</v>
      </c>
      <c r="Q300" s="775">
        <v>-3.4326079218626164</v>
      </c>
      <c r="R300" s="775">
        <v>-5.8453483835064004</v>
      </c>
      <c r="S300" s="775">
        <v>-5.5777246335005488</v>
      </c>
      <c r="T300" s="775">
        <v>-4.11972437276326</v>
      </c>
      <c r="U300" s="775">
        <v>-6.3119546936104456</v>
      </c>
      <c r="V300" s="775">
        <v>-10.41997188463508</v>
      </c>
      <c r="W300" s="775">
        <v>-11.50185730312468</v>
      </c>
      <c r="X300" s="775">
        <v>-8.5095863347621634</v>
      </c>
      <c r="Y300" s="775">
        <v>-8.022666570917254</v>
      </c>
      <c r="Z300" s="775">
        <v>-9.3264959531334704</v>
      </c>
      <c r="AA300" s="775">
        <v>-10.587437382060152</v>
      </c>
      <c r="AB300" s="775">
        <v>-12.003382272245952</v>
      </c>
      <c r="AC300" s="775">
        <v>-13.222884568265146</v>
      </c>
      <c r="AD300" s="775">
        <v>-7.2271972158273723</v>
      </c>
      <c r="AE300" s="775">
        <v>-1.5507775865904396</v>
      </c>
      <c r="AF300" s="775">
        <v>-1.6730768287714151</v>
      </c>
      <c r="AG300" s="775">
        <v>-6.7357379386333527</v>
      </c>
      <c r="AH300" s="775">
        <v>-11.049499322145921</v>
      </c>
      <c r="AI300" s="775">
        <v>-10.53639099497771</v>
      </c>
      <c r="AJ300" s="775">
        <v>-9.9663289729645772</v>
      </c>
      <c r="AK300" s="775">
        <v>-12.193954959031524</v>
      </c>
      <c r="AL300" s="775">
        <v>-17.457970292046241</v>
      </c>
      <c r="AM300" s="775">
        <v>-18.656040885023824</v>
      </c>
      <c r="AN300" s="775">
        <v>-17.767602168236021</v>
      </c>
      <c r="AO300" s="775">
        <v>-21.703272545985691</v>
      </c>
      <c r="AP300" s="775">
        <v>-32.695400771161061</v>
      </c>
      <c r="AQ300" s="775">
        <f>-(PROJ!AQ295)/1000</f>
        <v>-33.508202638327532</v>
      </c>
      <c r="AR300" s="775">
        <f>-(PROJ!AR295)/1000</f>
        <v>-32.631110164640852</v>
      </c>
      <c r="AS300" s="775">
        <f>-(PROJ!AS295)/1000</f>
        <v>-30.16857988893004</v>
      </c>
      <c r="AT300" s="775">
        <f>-(PROJ!AT295)/1000</f>
        <v>-38.196374030332017</v>
      </c>
      <c r="AU300" s="775">
        <f>-(PROJ!AU295)/1000</f>
        <v>-41.065428587583874</v>
      </c>
      <c r="AV300" s="775">
        <f>-(PROJ!AV295)/1000</f>
        <v>-42.041920697751557</v>
      </c>
      <c r="AW300" s="775">
        <f>-(PROJ!AW295)/1000</f>
        <v>-40.643722707764319</v>
      </c>
      <c r="AX300" s="775">
        <f>-(PROJ!AX295)/1000</f>
        <v>-39.603642996037344</v>
      </c>
      <c r="AY300" s="775">
        <f>-(PROJ!AY295)/1000</f>
        <v>-47.090744022858821</v>
      </c>
      <c r="AZ300" s="775">
        <f>-(PROJ!AZ295)/1000</f>
        <v>-49.041248992484917</v>
      </c>
      <c r="BA300" s="775">
        <f>-(PROJ!BA295)/1000</f>
        <v>-44.000622410264874</v>
      </c>
      <c r="BB300" s="775">
        <f>-(PROJ!BB295)/1000</f>
        <v>-40.099352475448264</v>
      </c>
      <c r="BC300" s="776">
        <f>-(PROJ!BC295)/1000</f>
        <v>-41.76412237612977</v>
      </c>
      <c r="BD300" s="776">
        <f>-(PROJ!BD295)/1000</f>
        <v>-37.055588219432273</v>
      </c>
      <c r="BE300" s="776">
        <f>-(PROJ!BE295)/1000</f>
        <v>-29.319350854878429</v>
      </c>
      <c r="BF300" s="776">
        <f>-(PROJ!BF295)/1000</f>
        <v>-22.825305314191919</v>
      </c>
      <c r="BG300" s="776">
        <f>-(PROJ!BG295)/1000</f>
        <v>-20.634270497359243</v>
      </c>
      <c r="BH300" s="776">
        <f>-(PROJ!BH295)/1000</f>
        <v>-20.345397753703626</v>
      </c>
      <c r="BI300" s="776">
        <f>-(PROJ!BI295)/1000</f>
        <v>-19.277974426637265</v>
      </c>
      <c r="BJ300" s="776">
        <f>-(PROJ!BJ295)/1000</f>
        <v>-17.925231100190754</v>
      </c>
      <c r="BK300" s="776">
        <f>-(PROJ!BK295)/1000</f>
        <v>-35.721799394803071</v>
      </c>
      <c r="BL300" s="776">
        <f>-(PROJ!BL295)/1000</f>
        <v>-32.381055667583006</v>
      </c>
      <c r="BM300" s="776">
        <f>-(PROJ!BM295)/1000</f>
        <v>-27.503326685746735</v>
      </c>
      <c r="BN300" s="776">
        <f>-(PROJ!BN295)/1000</f>
        <v>-21.80249971822003</v>
      </c>
      <c r="BO300" s="776">
        <f>-(PROJ!BO295)/1000</f>
        <v>-23.017257312152324</v>
      </c>
      <c r="BP300" s="776">
        <f>-(PROJ!BP295)/1000</f>
        <v>-24.644509257633736</v>
      </c>
      <c r="BQ300" s="776">
        <f>-Divida!AA157/1000</f>
        <v>-31.823412618236219</v>
      </c>
      <c r="BR300" s="776">
        <f>-Divida!AB157/1000</f>
        <v>-30.006253928606565</v>
      </c>
      <c r="BS300" s="776">
        <f>-Divida!AC157/1000</f>
        <v>-36.466675961613198</v>
      </c>
      <c r="BT300" s="776">
        <f>-Divida!AD157/1000</f>
        <v>-41.742482154134549</v>
      </c>
      <c r="BU300" s="776">
        <f>-Divida!AE157/1000</f>
        <v>-54.528030839493077</v>
      </c>
      <c r="BV300" s="776">
        <f>-Divida!AF157/1000</f>
        <v>-70.397661938335332</v>
      </c>
      <c r="BW300" s="776">
        <f>-Divida!AG157/1000</f>
        <v>-94.567514050211145</v>
      </c>
      <c r="BX300" s="776">
        <f>-Divida!AH157/1000</f>
        <v>-119.66034334469744</v>
      </c>
      <c r="BY300" s="776">
        <f>-Divida!AI157/1000</f>
        <v>-126.40581196077977</v>
      </c>
      <c r="BZ300" s="776">
        <f>-Divida!AJ157/1000</f>
        <v>-86.007200852203468</v>
      </c>
      <c r="CA300" s="776">
        <f>-Divida!AK157/1000</f>
        <v>-85.958457541836609</v>
      </c>
      <c r="CB300" s="776">
        <f>-Divida!AL157/1000</f>
        <v>-85.897747968339146</v>
      </c>
      <c r="CC300" s="776">
        <f>-Divida!AM157/1000</f>
        <v>-83.794675305062754</v>
      </c>
      <c r="CD300" s="776">
        <f>-Divida!AN157/1000</f>
        <v>-78.03363180686911</v>
      </c>
      <c r="CE300" s="776">
        <f>-Divida!AO157/1000</f>
        <v>-72.585737630123418</v>
      </c>
      <c r="CF300" s="776">
        <f>-Divida!AP157/1000</f>
        <v>-68.481097617359339</v>
      </c>
      <c r="CG300" s="776">
        <f>-Divida!AQ157/1000</f>
        <v>-68.057303600724651</v>
      </c>
      <c r="CH300" s="776">
        <f>-Divida!AR157/1000</f>
        <v>-72.372208729176066</v>
      </c>
      <c r="CI300" s="776">
        <f>-Divida!AS157/1000</f>
        <v>-85.187239588305161</v>
      </c>
      <c r="CJ300" s="776">
        <f>-Divida!AT157/1000</f>
        <v>-91.555642163880407</v>
      </c>
      <c r="CK300" s="776">
        <f>-Divida!AU157/1000</f>
        <v>-92.893257454598242</v>
      </c>
      <c r="CL300" s="776">
        <f>-Divida!AV157/1000</f>
        <v>-92.911085847177446</v>
      </c>
      <c r="CM300" s="776">
        <f>-Divida!AW157/1000</f>
        <v>-90.178471019404455</v>
      </c>
      <c r="CN300" s="776">
        <f>-Divida!AX157/1000</f>
        <v>-84.665679962845033</v>
      </c>
      <c r="CO300" s="776">
        <f>-Divida!AY157/1000</f>
        <v>-80.505074863959621</v>
      </c>
      <c r="CP300" s="776">
        <f>-Divida!AZ157/1000</f>
        <v>-77.726476167749581</v>
      </c>
      <c r="CQ300" s="776"/>
      <c r="CR300" s="776"/>
      <c r="CS300" s="776">
        <v>-91.640129006706161</v>
      </c>
      <c r="CT300" s="1133"/>
      <c r="CU300" s="777"/>
      <c r="CV300" s="777"/>
      <c r="CW300" s="777"/>
      <c r="CX300" s="777"/>
      <c r="CY300" s="777"/>
      <c r="CZ300" s="777"/>
      <c r="DA300" s="777">
        <f>-(PROJ!DA295)/1000</f>
        <v>-43.04090143839862</v>
      </c>
      <c r="DB300" s="777">
        <f>-(PROJ!DB295)/1000</f>
        <v>-21.009091676141129</v>
      </c>
      <c r="DC300" s="777">
        <f>-(PROJ!DC295)/1000</f>
        <v>-50.154645219020054</v>
      </c>
      <c r="DD300" s="777">
        <f>-(PROJ!DD295)/1000</f>
        <v>-90.822316370406597</v>
      </c>
      <c r="DE300" s="777">
        <f>+SUM(AQ300:AT300)</f>
        <v>-134.50426672223045</v>
      </c>
      <c r="DF300" s="777">
        <f>+SUM(AU300:AX300)</f>
        <v>-163.35471498913708</v>
      </c>
      <c r="DG300" s="777">
        <f>+SUM(AY300:BB300)</f>
        <v>-180.23196790105686</v>
      </c>
      <c r="DH300" s="777">
        <f>+SUM(BC300:BF300)</f>
        <v>-130.96436676463239</v>
      </c>
      <c r="DI300" s="777">
        <f>+SUM(BG300:BJ300)</f>
        <v>-78.18287377789089</v>
      </c>
      <c r="DJ300" s="777">
        <f>+SUM(BK300:BN300)</f>
        <v>-117.40868146635286</v>
      </c>
      <c r="DK300" s="777">
        <f>+SUM(BO300:BR300)</f>
        <v>-109.49143311662884</v>
      </c>
      <c r="DL300" s="777">
        <f>+SUM(BS300:BV300)</f>
        <v>-203.13485089357619</v>
      </c>
      <c r="DM300" s="777">
        <f>+SUM(BW300:BZ300)</f>
        <v>-426.64087020789185</v>
      </c>
      <c r="DN300" s="777">
        <f>+SUM(CA300:CD300)</f>
        <v>-333.6845126221076</v>
      </c>
      <c r="DO300" s="777">
        <f>+SUM(CE300:CH300)</f>
        <v>-281.49634757738346</v>
      </c>
      <c r="DP300" s="777">
        <f>+SUM(CI300:CL300)</f>
        <v>-362.54722505396126</v>
      </c>
      <c r="DQ300" s="777">
        <f>+SUM(CM300:CP300)</f>
        <v>-333.07570201395868</v>
      </c>
      <c r="DR300" s="777">
        <f>-Divida!BL157/1000</f>
        <v>-304.4665391506652</v>
      </c>
      <c r="DS300" s="777">
        <f>-Divida!BM157/1000</f>
        <v>-292.50552737439341</v>
      </c>
      <c r="DT300" s="777">
        <f>-Divida!BN157/1000</f>
        <v>-268.4548061298849</v>
      </c>
      <c r="DU300" s="777">
        <f>-Divida!BO157/1000</f>
        <v>-244.40945333192843</v>
      </c>
      <c r="DV300" s="774"/>
      <c r="DW300" s="774"/>
      <c r="DY300" s="777">
        <v>-255.5553328960784</v>
      </c>
      <c r="DZ300" s="777">
        <v>-243.54531498157652</v>
      </c>
    </row>
    <row r="301" spans="1:130">
      <c r="A301" s="185"/>
      <c r="B301" s="185"/>
      <c r="C301" s="180"/>
      <c r="D301" s="180"/>
      <c r="E301" s="180"/>
      <c r="F301" s="180"/>
      <c r="G301" s="180"/>
      <c r="H301" s="180"/>
      <c r="I301" s="180"/>
      <c r="J301" s="180"/>
      <c r="K301" s="180"/>
      <c r="L301" s="180"/>
      <c r="M301" s="180"/>
      <c r="N301" s="180"/>
      <c r="O301" s="180"/>
      <c r="P301" s="180"/>
      <c r="Q301" s="180"/>
      <c r="R301" s="180"/>
      <c r="S301" s="180"/>
      <c r="T301" s="180"/>
      <c r="U301" s="180"/>
      <c r="V301" s="180"/>
      <c r="W301" s="180"/>
      <c r="X301" s="180"/>
      <c r="Y301" s="180"/>
      <c r="Z301" s="180"/>
      <c r="AA301" s="180"/>
      <c r="AB301" s="182"/>
      <c r="AC301" s="182"/>
      <c r="AD301" s="182"/>
      <c r="AE301" s="182"/>
      <c r="AF301" s="182"/>
      <c r="AG301" s="182"/>
      <c r="AH301" s="182"/>
      <c r="AI301" s="182"/>
      <c r="AJ301" s="182"/>
      <c r="AK301" s="182"/>
      <c r="AL301" s="182"/>
      <c r="AM301" s="182"/>
      <c r="AN301" s="182"/>
      <c r="AO301" s="182"/>
      <c r="AP301" s="182"/>
      <c r="AQ301" s="192">
        <f t="shared" ref="AQ301:BC301" si="1567">+AQ300/AQ299-1</f>
        <v>0.12405912909518713</v>
      </c>
      <c r="AR301" s="192">
        <f t="shared" si="1567"/>
        <v>4.9805686859082154E-2</v>
      </c>
      <c r="AS301" s="192">
        <f t="shared" si="1567"/>
        <v>-6.2971179993476123E-2</v>
      </c>
      <c r="AT301" s="192">
        <f t="shared" si="1567"/>
        <v>9.8386025315083003E-2</v>
      </c>
      <c r="AU301" s="192">
        <f t="shared" si="1567"/>
        <v>-6.9528513445781481E-2</v>
      </c>
      <c r="AV301" s="192">
        <f t="shared" si="1567"/>
        <v>5.6674810811359722E-2</v>
      </c>
      <c r="AW301" s="192">
        <f t="shared" si="1567"/>
        <v>-5.998613129097885E-3</v>
      </c>
      <c r="AX301" s="192">
        <f t="shared" si="1567"/>
        <v>0.24739812265070849</v>
      </c>
      <c r="AY301" s="192">
        <f t="shared" si="1567"/>
        <v>0.29352407699104033</v>
      </c>
      <c r="AZ301" s="192">
        <f t="shared" si="1567"/>
        <v>0.15429197835722142</v>
      </c>
      <c r="BA301" s="192">
        <f t="shared" si="1567"/>
        <v>0.17664453564018912</v>
      </c>
      <c r="BB301" s="192">
        <f t="shared" si="1567"/>
        <v>9.4086177060606735E-2</v>
      </c>
      <c r="BC301" s="192">
        <f t="shared" si="1567"/>
        <v>0.16646526578398402</v>
      </c>
      <c r="BD301" s="192">
        <f t="shared" ref="BD301:BM301" si="1568">+BD299/BD300</f>
        <v>0.94085674186429491</v>
      </c>
      <c r="BE301" s="192">
        <f t="shared" si="1568"/>
        <v>0.93695798846205081</v>
      </c>
      <c r="BF301" s="192">
        <f t="shared" si="1568"/>
        <v>0.98855194659633105</v>
      </c>
      <c r="BG301" s="192">
        <f t="shared" si="1568"/>
        <v>1.0460752660367825</v>
      </c>
      <c r="BH301" s="192">
        <f t="shared" si="1568"/>
        <v>1.0797527905789406</v>
      </c>
      <c r="BI301" s="192">
        <f t="shared" si="1568"/>
        <v>1.2078551140635421</v>
      </c>
      <c r="BJ301" s="192">
        <f t="shared" si="1568"/>
        <v>0.81934787439609136</v>
      </c>
      <c r="BK301" s="192">
        <f t="shared" si="1568"/>
        <v>0.45070517926771303</v>
      </c>
      <c r="BL301" s="192">
        <f t="shared" si="1568"/>
        <v>0.71029185200486</v>
      </c>
      <c r="BM301" s="192">
        <f t="shared" si="1568"/>
        <v>0.54175264578890903</v>
      </c>
      <c r="BN301" s="192">
        <f t="shared" ref="BN301:BS301" si="1569">+BN299/BN300</f>
        <v>0.61002179437642123</v>
      </c>
      <c r="BO301" s="192">
        <f t="shared" si="1569"/>
        <v>0.63430667702931309</v>
      </c>
      <c r="BP301" s="192">
        <f t="shared" si="1569"/>
        <v>1.0347132391001566</v>
      </c>
      <c r="BQ301" s="192">
        <f t="shared" si="1569"/>
        <v>0.7698734354454625</v>
      </c>
      <c r="BR301" s="192">
        <f t="shared" si="1569"/>
        <v>0.76650687735708556</v>
      </c>
      <c r="BS301" s="192">
        <f t="shared" si="1569"/>
        <v>0.73765977541568084</v>
      </c>
      <c r="BT301" s="192">
        <f t="shared" ref="BT301:BY301" si="1570">+BT299/BT300</f>
        <v>0.78577023471880891</v>
      </c>
      <c r="BU301" s="192">
        <f t="shared" si="1570"/>
        <v>0.81609402200840042</v>
      </c>
      <c r="BV301" s="192">
        <f t="shared" si="1570"/>
        <v>0.88923407789926778</v>
      </c>
      <c r="BW301" s="192">
        <f t="shared" si="1570"/>
        <v>0.84386272391202644</v>
      </c>
      <c r="BX301" s="192">
        <f t="shared" si="1570"/>
        <v>0.71285103832839647</v>
      </c>
      <c r="BY301" s="192">
        <f t="shared" si="1570"/>
        <v>0.70408154988644223</v>
      </c>
      <c r="BZ301" s="192">
        <f t="shared" ref="BZ301:CA301" si="1571">+BZ299/BZ300</f>
        <v>0.71999785351011658</v>
      </c>
      <c r="CA301" s="192">
        <f t="shared" si="1571"/>
        <v>0.4746478841845474</v>
      </c>
      <c r="CB301" s="192">
        <f t="shared" ref="CB301:CC301" si="1572">+CB299/CB300</f>
        <v>0.46217742535733225</v>
      </c>
      <c r="CC301" s="192">
        <f t="shared" si="1572"/>
        <v>0.49525819927000336</v>
      </c>
      <c r="CD301" s="192">
        <f t="shared" ref="CD301:CE301" si="1573">+CD299/CD300</f>
        <v>0.44596155778227731</v>
      </c>
      <c r="CE301" s="192">
        <f t="shared" si="1573"/>
        <v>0.35406404672719588</v>
      </c>
      <c r="CF301" s="192">
        <f t="shared" ref="CF301:CG301" si="1574">+CF299/CF300</f>
        <v>0.23218085797692434</v>
      </c>
      <c r="CG301" s="192">
        <f t="shared" si="1574"/>
        <v>0.23461111673883578</v>
      </c>
      <c r="CH301" s="192">
        <f t="shared" ref="CH301:CJ301" si="1575">+CH299/CH300</f>
        <v>0.21928306844118997</v>
      </c>
      <c r="CI301" s="192">
        <f t="shared" si="1575"/>
        <v>0.1132563990408314</v>
      </c>
      <c r="CJ301" s="192">
        <f t="shared" si="1575"/>
        <v>4.3689279059833179E-4</v>
      </c>
      <c r="CK301" s="192">
        <f t="shared" ref="CK301" si="1576">+CK299/CK300</f>
        <v>5.3825219795352316E-5</v>
      </c>
      <c r="CL301" s="567">
        <v>0.12</v>
      </c>
      <c r="CM301" s="567">
        <v>0.12</v>
      </c>
      <c r="CN301" s="567">
        <v>0.12</v>
      </c>
      <c r="CO301" s="567">
        <v>0.12</v>
      </c>
      <c r="CP301" s="567">
        <v>0.12</v>
      </c>
      <c r="CQ301" s="191"/>
      <c r="CR301" s="191"/>
      <c r="CS301" s="191">
        <v>0.11324187774543491</v>
      </c>
      <c r="CT301" s="1133"/>
      <c r="CU301" s="190"/>
      <c r="CV301" s="190"/>
      <c r="CW301" s="190"/>
      <c r="CX301" s="190"/>
      <c r="CY301" s="190"/>
      <c r="CZ301" s="190"/>
      <c r="DA301" s="190"/>
      <c r="DB301" s="190"/>
      <c r="DC301" s="190"/>
      <c r="DD301" s="190"/>
      <c r="DE301" s="192">
        <f>+DE300/DE299-1</f>
        <v>5.1932261795583301E-2</v>
      </c>
      <c r="DF301" s="192">
        <f>+DF300/DF299-1</f>
        <v>4.3406734771792577E-2</v>
      </c>
      <c r="DG301" s="192">
        <f t="shared" ref="DG301:DN301" si="1577">+DG299/DG300</f>
        <v>0.84855645633275667</v>
      </c>
      <c r="DH301" s="192">
        <f t="shared" si="1577"/>
        <v>0.92164764341529637</v>
      </c>
      <c r="DI301" s="192">
        <f t="shared" si="1577"/>
        <v>1.0427475489274509</v>
      </c>
      <c r="DJ301" s="192">
        <f t="shared" si="1577"/>
        <v>0.57321144535029056</v>
      </c>
      <c r="DK301" s="192">
        <f t="shared" si="1577"/>
        <v>0.80006259399938273</v>
      </c>
      <c r="DL301" s="192">
        <f t="shared" si="1577"/>
        <v>0.82112940869702222</v>
      </c>
      <c r="DM301" s="192">
        <f t="shared" si="1577"/>
        <v>0.74073306630470637</v>
      </c>
      <c r="DN301" s="192">
        <f t="shared" si="1577"/>
        <v>0.46990493735492456</v>
      </c>
      <c r="DO301" s="192">
        <f t="shared" ref="DO301:DP301" si="1578">+DO299/DO300</f>
        <v>0.26088082716530497</v>
      </c>
      <c r="DP301" s="192">
        <f t="shared" si="1578"/>
        <v>5.7488594206062768E-2</v>
      </c>
      <c r="DQ301" s="192">
        <f t="shared" ref="DQ301" si="1579">+DQ299/DQ300</f>
        <v>0.12</v>
      </c>
      <c r="DR301" s="567">
        <f>+DQ301</f>
        <v>0.12</v>
      </c>
      <c r="DS301" s="567">
        <f t="shared" ref="DS301:DU301" si="1580">+DR301</f>
        <v>0.12</v>
      </c>
      <c r="DT301" s="567">
        <f t="shared" si="1580"/>
        <v>0.12</v>
      </c>
      <c r="DU301" s="567">
        <f t="shared" si="1580"/>
        <v>0.12</v>
      </c>
      <c r="DV301" s="185"/>
      <c r="DW301" s="185"/>
      <c r="DY301" s="567">
        <v>0.26967661054580366</v>
      </c>
      <c r="DZ301" s="567">
        <v>0.26967661054580366</v>
      </c>
    </row>
    <row r="302" spans="1:130">
      <c r="A302" s="185"/>
      <c r="B302" s="185"/>
      <c r="C302" s="180"/>
      <c r="D302" s="180"/>
      <c r="E302" s="180"/>
      <c r="F302" s="180"/>
      <c r="G302" s="180"/>
      <c r="H302" s="180"/>
      <c r="I302" s="180"/>
      <c r="J302" s="180"/>
      <c r="K302" s="180"/>
      <c r="L302" s="180"/>
      <c r="M302" s="180"/>
      <c r="N302" s="180"/>
      <c r="O302" s="180"/>
      <c r="P302" s="180"/>
      <c r="Q302" s="180"/>
      <c r="R302" s="180"/>
      <c r="S302" s="180"/>
      <c r="T302" s="180"/>
      <c r="U302" s="180"/>
      <c r="V302" s="180"/>
      <c r="W302" s="180"/>
      <c r="X302" s="180"/>
      <c r="Y302" s="180"/>
      <c r="Z302" s="180"/>
      <c r="AA302" s="180"/>
      <c r="AB302" s="182"/>
      <c r="AC302" s="182"/>
      <c r="AD302" s="182"/>
      <c r="AE302" s="182"/>
      <c r="AF302" s="182"/>
      <c r="AG302" s="182"/>
      <c r="AH302" s="182"/>
      <c r="AI302" s="182"/>
      <c r="AJ302" s="182"/>
      <c r="AK302" s="182"/>
      <c r="AL302" s="182"/>
      <c r="AM302" s="182"/>
      <c r="AN302" s="182"/>
      <c r="AO302" s="182"/>
      <c r="AP302" s="182"/>
      <c r="AQ302" s="192"/>
      <c r="AR302" s="192"/>
      <c r="AS302" s="192"/>
      <c r="AT302" s="192"/>
      <c r="AU302" s="192"/>
      <c r="AV302" s="192"/>
      <c r="AW302" s="192"/>
      <c r="AX302" s="192"/>
      <c r="AY302" s="192"/>
      <c r="AZ302" s="192"/>
      <c r="BA302" s="192"/>
      <c r="BB302" s="192"/>
      <c r="BC302" s="192"/>
      <c r="BD302" s="192"/>
      <c r="BE302" s="192"/>
      <c r="BF302" s="192"/>
      <c r="BG302" s="192"/>
      <c r="BH302" s="192"/>
      <c r="BI302" s="192"/>
      <c r="BJ302" s="192"/>
      <c r="BK302" s="192"/>
      <c r="BL302" s="192"/>
      <c r="BM302" s="192"/>
      <c r="BN302" s="192"/>
      <c r="BO302" s="192"/>
      <c r="BP302" s="192"/>
      <c r="BQ302" s="192"/>
      <c r="BR302" s="192"/>
      <c r="BS302" s="192"/>
      <c r="BT302" s="192"/>
      <c r="BU302" s="192"/>
      <c r="BV302" s="192"/>
      <c r="BW302" s="192"/>
      <c r="BX302" s="192"/>
      <c r="BY302" s="192"/>
      <c r="BZ302" s="192"/>
      <c r="CA302" s="192"/>
      <c r="CB302" s="192"/>
      <c r="CC302" s="192"/>
      <c r="CD302" s="192"/>
      <c r="CE302" s="192"/>
      <c r="CF302" s="192"/>
      <c r="CG302" s="192"/>
      <c r="CH302" s="192"/>
      <c r="CI302" s="192"/>
      <c r="CJ302" s="192"/>
      <c r="CK302" s="192"/>
      <c r="CL302" s="191"/>
      <c r="CM302" s="191"/>
      <c r="CN302" s="191"/>
      <c r="CO302" s="191"/>
      <c r="CP302" s="191"/>
      <c r="CQ302" s="191"/>
      <c r="CR302" s="191"/>
      <c r="CS302" s="191"/>
      <c r="CT302" s="1133"/>
      <c r="CU302" s="190"/>
      <c r="CV302" s="190"/>
      <c r="CW302" s="190"/>
      <c r="CX302" s="190"/>
      <c r="CY302" s="190"/>
      <c r="CZ302" s="190"/>
      <c r="DA302" s="190"/>
      <c r="DB302" s="190"/>
      <c r="DC302" s="190"/>
      <c r="DD302" s="190"/>
      <c r="DE302" s="192"/>
      <c r="DF302" s="192"/>
      <c r="DG302" s="192"/>
      <c r="DH302" s="192"/>
      <c r="DI302" s="192"/>
      <c r="DJ302" s="192"/>
      <c r="DK302" s="192"/>
      <c r="DL302" s="192"/>
      <c r="DM302" s="192"/>
      <c r="DN302" s="192"/>
      <c r="DO302" s="192"/>
      <c r="DP302" s="192"/>
      <c r="DQ302" s="192"/>
      <c r="DR302" s="567"/>
      <c r="DS302" s="567"/>
      <c r="DT302" s="567"/>
      <c r="DU302" s="567"/>
      <c r="DV302" s="185"/>
      <c r="DW302" s="185"/>
      <c r="DY302" s="567"/>
      <c r="DZ302" s="567"/>
    </row>
    <row r="303" spans="1:130">
      <c r="A303" s="185" t="s">
        <v>708</v>
      </c>
      <c r="B303" s="185"/>
      <c r="C303" s="180"/>
      <c r="D303" s="180"/>
      <c r="E303" s="180"/>
      <c r="F303" s="180"/>
      <c r="G303" s="180"/>
      <c r="H303" s="180"/>
      <c r="I303" s="180"/>
      <c r="J303" s="180"/>
      <c r="K303" s="180"/>
      <c r="L303" s="180"/>
      <c r="M303" s="180"/>
      <c r="N303" s="180"/>
      <c r="O303" s="180"/>
      <c r="P303" s="180"/>
      <c r="Q303" s="180"/>
      <c r="R303" s="180"/>
      <c r="S303" s="180"/>
      <c r="T303" s="180"/>
      <c r="U303" s="180"/>
      <c r="V303" s="180"/>
      <c r="W303" s="180"/>
      <c r="X303" s="180"/>
      <c r="Y303" s="180"/>
      <c r="Z303" s="180"/>
      <c r="AA303" s="180"/>
      <c r="AB303" s="182"/>
      <c r="AC303" s="182"/>
      <c r="AD303" s="182"/>
      <c r="AE303" s="182"/>
      <c r="AF303" s="182"/>
      <c r="AG303" s="182"/>
      <c r="AH303" s="182"/>
      <c r="AI303" s="182"/>
      <c r="AJ303" s="182"/>
      <c r="AK303" s="182"/>
      <c r="AL303" s="182"/>
      <c r="AM303" s="182"/>
      <c r="AN303" s="182"/>
      <c r="AO303" s="182"/>
      <c r="AP303" s="182"/>
      <c r="AQ303" s="192">
        <f>-AQ299/(PROJ!AQ142/1000)</f>
        <v>1.6452805945749344E-2</v>
      </c>
      <c r="AR303" s="192">
        <f>-AR299/(PROJ!AR142/1000)</f>
        <v>1.6307452909429448E-2</v>
      </c>
      <c r="AS303" s="192">
        <f>-AS299/(PROJ!AS142/1000)</f>
        <v>1.7581068624924097E-2</v>
      </c>
      <c r="AT303" s="192">
        <f>-AT299/(PROJ!AT142/1000)</f>
        <v>1.778766919385414E-2</v>
      </c>
      <c r="AU303" s="192">
        <f>-AU299/(PROJ!AU142/1000)</f>
        <v>2.207959640975176E-2</v>
      </c>
      <c r="AV303" s="192">
        <f>-AV299/(PROJ!AV142/1000)</f>
        <v>1.9355438174195536E-2</v>
      </c>
      <c r="AW303" s="192">
        <f>-AW299/(PROJ!AW142/1000)</f>
        <v>2.1224059713268347E-2</v>
      </c>
      <c r="AX303" s="192">
        <f>-AX299/(PROJ!AX142/1000)</f>
        <v>1.6683552179387204E-2</v>
      </c>
      <c r="AY303" s="192">
        <f>-AY299/(PROJ!AY142/1000)</f>
        <v>1.8084426777569253E-2</v>
      </c>
      <c r="AZ303" s="192">
        <f>-AZ299/(PROJ!AZ142/1000)</f>
        <v>2.0415822334388743E-2</v>
      </c>
      <c r="BA303" s="192">
        <f>-BA299/(PROJ!BA142/1000)</f>
        <v>1.9784248785804228E-2</v>
      </c>
      <c r="BB303" s="192">
        <f>-BB299/(PROJ!BB142/1000)</f>
        <v>1.9537613544287586E-2</v>
      </c>
      <c r="BC303" s="192">
        <f>-BC299/(PROJ!BC142/1000)</f>
        <v>1.721083854047244E-2</v>
      </c>
      <c r="BD303" s="192">
        <f>-BD299/(PROJ!BD142/1000)</f>
        <v>1.6227656368763995E-2</v>
      </c>
      <c r="BE303" s="192">
        <f>-BE299/(PROJ!BE142/1000)</f>
        <v>1.5496682465524382E-2</v>
      </c>
      <c r="BF303" s="192">
        <f>-BF299/(PROJ!BF142/1000)</f>
        <v>1.2061047158031576E-2</v>
      </c>
      <c r="BG303" s="192">
        <f>-BG299/(PROJ!BG142/1000)</f>
        <v>1.1522729966144474E-2</v>
      </c>
      <c r="BH303" s="192">
        <f>-BH299/(PROJ!BH142/1000)</f>
        <v>1.1404234642335418E-2</v>
      </c>
      <c r="BI303" s="192">
        <f>-BI299/(PROJ!BI142/1000)</f>
        <v>1.3024212674178219E-2</v>
      </c>
      <c r="BJ303" s="192">
        <f>-BJ299/(PROJ!BJ142/1000)</f>
        <v>7.6352108663601589E-3</v>
      </c>
      <c r="BK303" s="192">
        <f>-BK299/(PROJ!BK142/1000)</f>
        <v>7.7624366529723153E-3</v>
      </c>
      <c r="BL303" s="192">
        <f>-BL299/(PROJ!BL142/1000)</f>
        <v>1.2724131425893829E-2</v>
      </c>
      <c r="BM303" s="192">
        <f>-BM299/(PROJ!BM142/1000)</f>
        <v>8.7764870255248508E-3</v>
      </c>
      <c r="BN303" s="192">
        <f>-BN299/(PROJ!BN142/1000)</f>
        <v>8.0849638517010956E-3</v>
      </c>
      <c r="BO303" s="192">
        <f>-BO299/(PROJ!BO142/1000)</f>
        <v>5.8124837021540027E-3</v>
      </c>
      <c r="BP303" s="192">
        <f>-BP299/(PROJ!BP142/1000)</f>
        <v>7.3796808157817508E-3</v>
      </c>
      <c r="BQ303" s="192">
        <f>-BQ299/(PROJ!BQ142/1000)</f>
        <v>8.0752973687055526E-3</v>
      </c>
      <c r="BR303" s="192">
        <f>-BR299/(PROJ!BR142/1000)</f>
        <v>6.7947245758393183E-3</v>
      </c>
      <c r="BS303" s="192">
        <f>-BS299/(PROJ!BS142/1000)</f>
        <v>6.9914948075805467E-3</v>
      </c>
      <c r="BT303" s="192">
        <f>-BT299/(PROJ!BT142/1000)</f>
        <v>9.67869391927202E-3</v>
      </c>
      <c r="BU303" s="192">
        <f>-BU299/(PROJ!BU142/1000)</f>
        <v>1.3207491170272756E-2</v>
      </c>
      <c r="BV303" s="192">
        <f>-BV299/(PROJ!BV142/1000)</f>
        <v>1.8055424962980612E-2</v>
      </c>
      <c r="BW303" s="192">
        <f>-BW299/(PROJ!BW142/1000)</f>
        <v>2.1642546770324095E-2</v>
      </c>
      <c r="BX303" s="192">
        <f>-BX299/(PROJ!BX142/1000)</f>
        <v>2.4779713287387737E-2</v>
      </c>
      <c r="BY303" s="192">
        <f>-BY299/(PROJ!BY142/1000)</f>
        <v>2.6117291877463533E-2</v>
      </c>
      <c r="BZ303" s="192">
        <f>-BZ299/(PROJ!BZ142/1000)</f>
        <v>2.5744426544717546E-2</v>
      </c>
      <c r="CA303" s="192">
        <f>-CA299/(PROJ!CA142/1000)</f>
        <v>1.7061713640045512E-2</v>
      </c>
      <c r="CB303" s="192">
        <f>-CB299/(PROJ!CB142/1000)</f>
        <v>1.7063650856212739E-2</v>
      </c>
      <c r="CC303" s="192">
        <f>-CC299/(PROJ!CC142/1000)</f>
        <v>1.9205698585303615E-2</v>
      </c>
      <c r="CD303" s="192">
        <f>-CD299/(PROJ!CD142/1000)</f>
        <v>1.806009652810214E-2</v>
      </c>
      <c r="CE303" s="192">
        <f>-CE299/(PROJ!CE142/1000)</f>
        <v>1.8168000989696551E-2</v>
      </c>
      <c r="CF303" s="192">
        <f>-CF299/(PROJ!CF142/1000)</f>
        <v>1.2669231854114194E-2</v>
      </c>
      <c r="CG303" s="192">
        <f>-CG299/(PROJ!CG142/1000)</f>
        <v>1.3461935696008296E-2</v>
      </c>
      <c r="CH303" s="192">
        <f>-CH299/(PROJ!CH142/1000)</f>
        <v>1.6784769962982549E-2</v>
      </c>
      <c r="CI303" s="192">
        <f>-CI299/(PROJ!CI142/1000)</f>
        <v>2.2730271217746949E-2</v>
      </c>
      <c r="CJ303" s="192">
        <f>-CJ299/(PROJ!CJ142/1000)</f>
        <v>6.7728078537479877E-5</v>
      </c>
      <c r="CK303" s="192">
        <f>-CK299/(PROJ!CK142/1000)</f>
        <v>1.3373310616536365E-5</v>
      </c>
      <c r="CL303" s="1166">
        <f>+CL304*CL305</f>
        <v>2.4890653439135477E-2</v>
      </c>
      <c r="CM303" s="1166">
        <f t="shared" ref="CM303:CP303" si="1581">+CM304*CM305</f>
        <v>2.4101440888154267E-2</v>
      </c>
      <c r="CN303" s="1166">
        <f t="shared" si="1581"/>
        <v>2.2515228863884705E-2</v>
      </c>
      <c r="CO303" s="1166">
        <f t="shared" si="1581"/>
        <v>2.131867731889827E-2</v>
      </c>
      <c r="CP303" s="1166">
        <f t="shared" si="1581"/>
        <v>2.0517655897632145E-2</v>
      </c>
      <c r="CQ303" s="191"/>
      <c r="CR303" s="191"/>
      <c r="CS303" s="192">
        <v>2.4448942376956159E-2</v>
      </c>
      <c r="CT303" s="1133"/>
      <c r="CU303" s="190"/>
      <c r="CV303" s="190"/>
      <c r="CW303" s="190"/>
      <c r="CX303" s="190"/>
      <c r="CY303" s="190"/>
      <c r="CZ303" s="190"/>
      <c r="DA303" s="190"/>
      <c r="DB303" s="190"/>
      <c r="DC303" s="190"/>
      <c r="DD303" s="190"/>
      <c r="DE303" s="192">
        <f>-DE299/(PROJ!DE142/1000)</f>
        <v>6.5403379836174419E-2</v>
      </c>
      <c r="DF303" s="192">
        <f>-DF299/(PROJ!DF142/1000)</f>
        <v>8.2269055581362605E-2</v>
      </c>
      <c r="DG303" s="192">
        <f>-DG299/(PROJ!DG142/1000)</f>
        <v>8.1526397714188209E-2</v>
      </c>
      <c r="DH303" s="192">
        <f>-DH299/(PROJ!DH142/1000)</f>
        <v>6.4518905119477277E-2</v>
      </c>
      <c r="DI303" s="192">
        <f>-DI299/(PROJ!DI142/1000)</f>
        <v>4.2381736629673303E-2</v>
      </c>
      <c r="DJ303" s="192">
        <f>-DJ299/(PROJ!DJ142/1000)</f>
        <v>4.0911132873645388E-2</v>
      </c>
      <c r="DK303" s="192">
        <f>-DK299/(PROJ!DK142/1000)</f>
        <v>2.5879037949718447E-2</v>
      </c>
      <c r="DL303" s="192">
        <f>-DL299/(PROJ!DL142/1000)</f>
        <v>4.8109343192095297E-2</v>
      </c>
      <c r="DM303" s="192">
        <f>-DM299/(PROJ!DM142/1000)</f>
        <v>0.13138367198461778</v>
      </c>
      <c r="DN303" s="192">
        <f>-DN299/(PROJ!DN142/1000)</f>
        <v>8.1374228034667082E-2</v>
      </c>
      <c r="DO303" s="192">
        <f>-DO299/(PROJ!DO142/1000)</f>
        <v>7.7670015864621897E-2</v>
      </c>
      <c r="DP303" s="192">
        <f>-DP299/(PROJ!DP142/1000)</f>
        <v>5.5746191419312911E-2</v>
      </c>
      <c r="DQ303" s="192">
        <f>-DQ299/(PROJ!DQ142/1000)</f>
        <v>0.10690379572448583</v>
      </c>
      <c r="DR303" s="192">
        <f>-DR299/(PROJ!DR142/1000)</f>
        <v>9.772141440968822E-2</v>
      </c>
      <c r="DS303" s="192">
        <f>-DS299/(PROJ!DS142/1000)</f>
        <v>9.3882414591157051E-2</v>
      </c>
      <c r="DT303" s="192">
        <f>-DT299/(PROJ!DT142/1000)</f>
        <v>8.6163108213048026E-2</v>
      </c>
      <c r="DU303" s="192">
        <f>-DU299/(PROJ!DU142/1000)</f>
        <v>7.844552488861746E-2</v>
      </c>
      <c r="DV303" s="185"/>
      <c r="DW303" s="185"/>
      <c r="DY303" s="192">
        <v>5.491378626154788E-2</v>
      </c>
      <c r="DZ303" s="192">
        <v>5.2333070964862956E-2</v>
      </c>
    </row>
    <row r="304" spans="1:130" s="810" customFormat="1">
      <c r="A304" s="807" t="s">
        <v>702</v>
      </c>
      <c r="B304" s="807"/>
      <c r="C304" s="808"/>
      <c r="D304" s="808"/>
      <c r="E304" s="808"/>
      <c r="F304" s="808"/>
      <c r="G304" s="808"/>
      <c r="H304" s="808"/>
      <c r="I304" s="575">
        <v>4.6609973397407245E-2</v>
      </c>
      <c r="J304" s="575">
        <v>4.2383974607679287E-2</v>
      </c>
      <c r="K304" s="575">
        <v>3.8918503659524317E-2</v>
      </c>
      <c r="L304" s="575">
        <v>3.6681852358877665E-2</v>
      </c>
      <c r="M304" s="575">
        <v>3.5200000000000002E-2</v>
      </c>
      <c r="N304" s="575">
        <v>3.0874785591766596E-2</v>
      </c>
      <c r="O304" s="575">
        <v>3.04E-2</v>
      </c>
      <c r="P304" s="575">
        <v>2.9100000000000001E-2</v>
      </c>
      <c r="Q304" s="575">
        <v>2.7587273226534093E-2</v>
      </c>
      <c r="R304" s="575">
        <v>2.7010786450877289E-2</v>
      </c>
      <c r="S304" s="575">
        <v>2.7010786450877289E-2</v>
      </c>
      <c r="T304" s="575">
        <v>2.8262449650589883E-2</v>
      </c>
      <c r="U304" s="575">
        <v>3.0934731419459904E-2</v>
      </c>
      <c r="V304" s="575">
        <v>3.2732516378310317E-2</v>
      </c>
      <c r="W304" s="575">
        <v>2.9310936996617354E-2</v>
      </c>
      <c r="X304" s="575">
        <v>2.3919673031582711E-2</v>
      </c>
      <c r="Y304" s="575">
        <v>2.1191794292683586E-2</v>
      </c>
      <c r="Z304" s="575">
        <v>2.1191794292683586E-2</v>
      </c>
      <c r="AA304" s="575">
        <v>2.1191794292683586E-2</v>
      </c>
      <c r="AB304" s="575">
        <v>2.3531309725231653E-2</v>
      </c>
      <c r="AC304" s="575">
        <v>2.5854891781707856E-2</v>
      </c>
      <c r="AD304" s="575">
        <v>2.5854891781707856E-2</v>
      </c>
      <c r="AE304" s="575">
        <v>2.7395218779641572E-2</v>
      </c>
      <c r="AF304" s="575">
        <v>2.8928648746103791E-2</v>
      </c>
      <c r="AG304" s="575">
        <v>2.9501921500057149E-2</v>
      </c>
      <c r="AH304" s="575">
        <v>2.7203056568155359E-2</v>
      </c>
      <c r="AI304" s="575">
        <v>2.504527687291791E-2</v>
      </c>
      <c r="AJ304" s="575">
        <v>2.172147788820955E-2</v>
      </c>
      <c r="AK304" s="575">
        <v>1.9186796815084506E-2</v>
      </c>
      <c r="AL304" s="575">
        <v>1.7728593758837619E-2</v>
      </c>
      <c r="AM304" s="575">
        <v>1.7652081440606482E-2</v>
      </c>
      <c r="AN304" s="575">
        <v>1.9426546908273501E-2</v>
      </c>
      <c r="AO304" s="575">
        <v>2.1778180864641117E-2</v>
      </c>
      <c r="AP304" s="575">
        <v>2.4113689084445111E-2</v>
      </c>
      <c r="AQ304" s="575">
        <f>+MACRO!BD$6</f>
        <v>2.5298671682920659E-2</v>
      </c>
      <c r="AR304" s="575">
        <f>+MACRO!BE$6</f>
        <v>2.6433327247938676E-2</v>
      </c>
      <c r="AS304" s="575">
        <f>+MACRO!BF$6</f>
        <v>2.6433327247938676E-2</v>
      </c>
      <c r="AT304" s="575">
        <f>+MACRO!BG$6</f>
        <v>2.7195367836196249E-2</v>
      </c>
      <c r="AU304" s="575">
        <f>+MACRO!BH$6</f>
        <v>2.9379703664283552E-2</v>
      </c>
      <c r="AV304" s="575">
        <f>+MACRO!BI$6</f>
        <v>3.1595770003753909E-2</v>
      </c>
      <c r="AW304" s="575">
        <f>+MACRO!BJ$6</f>
        <v>3.386552139124821E-2</v>
      </c>
      <c r="AX304" s="575">
        <f>+MACRO!BK$6</f>
        <v>3.386552139124821E-2</v>
      </c>
      <c r="AY304" s="575">
        <f>+MACRO!BL$6</f>
        <v>3.386552139124821E-2</v>
      </c>
      <c r="AZ304" s="575">
        <f>+MACRO!BM$6</f>
        <v>3.386552139124821E-2</v>
      </c>
      <c r="BA304" s="575">
        <f>+MACRO!BN$6</f>
        <v>3.386552139124821E-2</v>
      </c>
      <c r="BB304" s="575">
        <f>+MACRO!BO$6</f>
        <v>3.3208832524481258E-2</v>
      </c>
      <c r="BC304" s="575">
        <f>+MACRO!BP$6</f>
        <v>3.0500946736911727E-2</v>
      </c>
      <c r="BD304" s="575">
        <f>+MACRO!BQ$6</f>
        <v>2.6479559859692303E-2</v>
      </c>
      <c r="BE304" s="575">
        <f>+MACRO!BR$6</f>
        <v>2.2363559609957839E-2</v>
      </c>
      <c r="BF304" s="575">
        <f>+MACRO!BS$6</f>
        <v>1.8362980987926658E-2</v>
      </c>
      <c r="BG304" s="575">
        <f>+MACRO!BT$6</f>
        <v>1.6642416339083699E-2</v>
      </c>
      <c r="BH304" s="575">
        <f>+MACRO!BU$6</f>
        <v>1.586828478278357E-2</v>
      </c>
      <c r="BI304" s="575">
        <f>+MACRO!BV$6</f>
        <v>1.586828478278357E-2</v>
      </c>
      <c r="BJ304" s="575">
        <f>+MACRO!BW$6</f>
        <v>1.586828478278357E-2</v>
      </c>
      <c r="BK304" s="575">
        <f>+MACRO!BX$6</f>
        <v>1.586828478278357E-2</v>
      </c>
      <c r="BL304" s="575">
        <f>+MACRO!BY$6</f>
        <v>1.586828478278357E-2</v>
      </c>
      <c r="BM304" s="575">
        <f>+MACRO!BZ$6</f>
        <v>1.4913071423088509E-2</v>
      </c>
      <c r="BN304" s="575">
        <f>+MACRO!CA$6</f>
        <v>1.2392721514959071E-2</v>
      </c>
      <c r="BO304" s="575">
        <f>+MACRO!CB$6</f>
        <v>1.0508203112448822E-2</v>
      </c>
      <c r="BP304" s="575">
        <f>+MACRO!CC$6</f>
        <v>7.8324965478326902E-3</v>
      </c>
      <c r="BQ304" s="575">
        <f>+MACRO!CD$6</f>
        <v>5.1845412595541429E-3</v>
      </c>
      <c r="BR304" s="575">
        <f>+MACRO!CE$6</f>
        <v>4.9629315732038215E-3</v>
      </c>
      <c r="BS304" s="575">
        <f>+MACRO!CF$6</f>
        <v>5.2829874231419272E-3</v>
      </c>
      <c r="BT304" s="575">
        <f>+MACRO!CG$6</f>
        <v>8.2717988664033903E-3</v>
      </c>
      <c r="BU304" s="575">
        <f>+MACRO!CH$6</f>
        <v>1.2248131848348498E-2</v>
      </c>
      <c r="BV304" s="575">
        <f>+MACRO!CI$6</f>
        <v>1.8670575645447718E-2</v>
      </c>
      <c r="BW304" s="575">
        <f>+MACRO!CJ$6</f>
        <v>2.5089855568062536E-2</v>
      </c>
      <c r="BX304" s="575">
        <f>+MACRO!CK$6</f>
        <v>2.9860684889043698E-2</v>
      </c>
      <c r="BY304" s="575">
        <f>+MACRO!CL$6</f>
        <v>3.2391886619581145E-2</v>
      </c>
      <c r="BZ304" s="575">
        <f>+MACRO!CM$6</f>
        <v>3.2732516378310317E-2</v>
      </c>
      <c r="CA304" s="575">
        <f>+MACRO!CN$6</f>
        <v>3.2732516378310317E-2</v>
      </c>
      <c r="CB304" s="575">
        <f>+MACRO!CO$6</f>
        <v>3.2732516378310317E-2</v>
      </c>
      <c r="CC304" s="575">
        <f>+MACRO!CP$6</f>
        <v>3.1846176683566041E-2</v>
      </c>
      <c r="CD304" s="575">
        <f>+MACRO!CQ$6</f>
        <v>2.9494284160460849E-2</v>
      </c>
      <c r="CE304" s="575">
        <f>+MACRO!CR$6</f>
        <v>2.7241497638393453E-2</v>
      </c>
      <c r="CF304" s="575">
        <f>+MACRO!CS$6</f>
        <v>2.5507360290891512E-2</v>
      </c>
      <c r="CG304" s="575">
        <f>+MACRO!CT$6</f>
        <v>2.5345057941852822E-2</v>
      </c>
      <c r="CH304" s="575">
        <f>+MACRO!CU$6</f>
        <v>2.70569411275976E-2</v>
      </c>
      <c r="CI304" s="575">
        <f>+MACRO!CV$6</f>
        <v>3.2354018049627786E-2</v>
      </c>
      <c r="CJ304" s="575">
        <f>+MACRO!CW$6</f>
        <v>3.4994813649531054E-2</v>
      </c>
      <c r="CK304" s="575">
        <f>+MACRO!CX$6</f>
        <v>3.5558076341622114E-2</v>
      </c>
      <c r="CL304" s="575">
        <f>+MACRO!CY$6</f>
        <v>3.5558076341622114E-2</v>
      </c>
      <c r="CM304" s="575">
        <f>+MACRO!CZ$6</f>
        <v>3.4430629840220384E-2</v>
      </c>
      <c r="CN304" s="575">
        <f>+MACRO!DA$6</f>
        <v>3.2164612662692438E-2</v>
      </c>
      <c r="CO304" s="575">
        <f>+MACRO!DB$6</f>
        <v>3.0455253312711816E-2</v>
      </c>
      <c r="CP304" s="575">
        <f>+MACRO!DC$6</f>
        <v>2.9310936996617354E-2</v>
      </c>
      <c r="CQ304" s="575"/>
      <c r="CR304" s="575"/>
      <c r="CS304" s="575">
        <v>3.4994813649531054E-2</v>
      </c>
      <c r="CT304" s="1133"/>
      <c r="CU304" s="809"/>
      <c r="CV304" s="809"/>
      <c r="CW304" s="809"/>
      <c r="CX304" s="809"/>
      <c r="CY304" s="575" t="e">
        <f>+CY303/MACRO!#REF!</f>
        <v>#REF!</v>
      </c>
      <c r="CZ304" s="575" t="e">
        <f>+CZ303/MACRO!#REF!</f>
        <v>#REF!</v>
      </c>
      <c r="DA304" s="575" t="e">
        <f>+DA303/MACRO!#REF!</f>
        <v>#REF!</v>
      </c>
      <c r="DB304" s="575"/>
      <c r="DC304" s="575"/>
      <c r="DD304" s="575"/>
      <c r="DE304" s="575">
        <f>+MACRO!DW$6</f>
        <v>0.1096</v>
      </c>
      <c r="DF304" s="575">
        <f>+MACRO!DX$6</f>
        <v>0.135075</v>
      </c>
      <c r="DG304" s="575">
        <f>+MACRO!DY$6</f>
        <v>0.14177499999999998</v>
      </c>
      <c r="DH304" s="575">
        <f>+MACRO!DZ$6</f>
        <v>0.10147500000000001</v>
      </c>
      <c r="DI304" s="575">
        <f>+MACRO!EA$6</f>
        <v>6.5812499999999996E-2</v>
      </c>
      <c r="DJ304" s="575">
        <f>+MACRO!EB$6</f>
        <v>6.0374999999999998E-2</v>
      </c>
      <c r="DK304" s="575">
        <f>+MACRO!EC$6</f>
        <v>2.8825E-2</v>
      </c>
      <c r="DL304" s="575">
        <f>+MACRO!ED$6</f>
        <v>4.5374999999999999E-2</v>
      </c>
      <c r="DM304" s="575">
        <f>+MACRO!EE$6</f>
        <v>0.12564999999999998</v>
      </c>
      <c r="DN304" s="575">
        <f>+MACRO!EF$6</f>
        <v>0.13297500000000001</v>
      </c>
      <c r="DO304" s="575">
        <f>+MACRO!EG$6</f>
        <v>0.109375</v>
      </c>
      <c r="DP304" s="575">
        <f>+MACRO!EH$6</f>
        <v>0.14583333333333334</v>
      </c>
      <c r="DQ304" s="575">
        <f>+MACRO!EI$6</f>
        <v>0.13250000000000001</v>
      </c>
      <c r="DR304" s="575">
        <f>+MACRO!EJ$6</f>
        <v>0.115</v>
      </c>
      <c r="DS304" s="575">
        <f>+MACRO!EK$6</f>
        <v>0.11</v>
      </c>
      <c r="DT304" s="575">
        <f>+MACRO!EL$6</f>
        <v>0.1</v>
      </c>
      <c r="DU304" s="575">
        <f>+MACRO!EM$6</f>
        <v>0.09</v>
      </c>
      <c r="DV304" s="807"/>
      <c r="DW304" s="807"/>
      <c r="DY304" s="575">
        <v>9.5000000000000001E-2</v>
      </c>
      <c r="DZ304" s="575">
        <v>0.09</v>
      </c>
    </row>
    <row r="305" spans="1:130" s="810" customFormat="1">
      <c r="A305" s="185" t="s">
        <v>709</v>
      </c>
      <c r="B305" s="807"/>
      <c r="C305" s="808"/>
      <c r="D305" s="808"/>
      <c r="E305" s="808"/>
      <c r="F305" s="808"/>
      <c r="G305" s="808"/>
      <c r="H305" s="808"/>
      <c r="I305" s="575"/>
      <c r="J305" s="575"/>
      <c r="K305" s="575"/>
      <c r="L305" s="575"/>
      <c r="M305" s="575"/>
      <c r="N305" s="575"/>
      <c r="O305" s="575"/>
      <c r="P305" s="575"/>
      <c r="Q305" s="575"/>
      <c r="R305" s="575"/>
      <c r="S305" s="575"/>
      <c r="T305" s="575"/>
      <c r="U305" s="575"/>
      <c r="V305" s="575"/>
      <c r="W305" s="575"/>
      <c r="X305" s="575"/>
      <c r="Y305" s="575"/>
      <c r="Z305" s="575"/>
      <c r="AA305" s="575"/>
      <c r="AB305" s="575"/>
      <c r="AC305" s="575"/>
      <c r="AD305" s="575"/>
      <c r="AE305" s="575"/>
      <c r="AF305" s="575"/>
      <c r="AG305" s="575"/>
      <c r="AH305" s="575"/>
      <c r="AI305" s="575"/>
      <c r="AJ305" s="575"/>
      <c r="AK305" s="575"/>
      <c r="AL305" s="575"/>
      <c r="AM305" s="575"/>
      <c r="AN305" s="575"/>
      <c r="AO305" s="575"/>
      <c r="AP305" s="575"/>
      <c r="AQ305" s="168">
        <f t="shared" ref="AQ305:CD305" si="1582">+AQ303/AQ304</f>
        <v>0.65034268012010954</v>
      </c>
      <c r="AR305" s="168">
        <f t="shared" si="1582"/>
        <v>0.61692774263599892</v>
      </c>
      <c r="AS305" s="168">
        <f t="shared" si="1582"/>
        <v>0.66510993716445987</v>
      </c>
      <c r="AT305" s="168">
        <f t="shared" si="1582"/>
        <v>0.65406981442550172</v>
      </c>
      <c r="AU305" s="168">
        <f t="shared" si="1582"/>
        <v>0.75152549739953922</v>
      </c>
      <c r="AV305" s="168">
        <f t="shared" si="1582"/>
        <v>0.61259586874749072</v>
      </c>
      <c r="AW305" s="168">
        <f t="shared" si="1582"/>
        <v>0.62671587034101395</v>
      </c>
      <c r="AX305" s="168">
        <f t="shared" si="1582"/>
        <v>0.49264123196693782</v>
      </c>
      <c r="AY305" s="168">
        <f t="shared" si="1582"/>
        <v>0.53400703826880314</v>
      </c>
      <c r="AZ305" s="168">
        <f t="shared" si="1582"/>
        <v>0.60284978632175312</v>
      </c>
      <c r="BA305" s="168">
        <f t="shared" si="1582"/>
        <v>0.58420033039612451</v>
      </c>
      <c r="BB305" s="168">
        <f t="shared" si="1582"/>
        <v>0.5883258175331707</v>
      </c>
      <c r="BC305" s="168">
        <f t="shared" si="1582"/>
        <v>0.56427227288798143</v>
      </c>
      <c r="BD305" s="168">
        <f t="shared" si="1582"/>
        <v>0.61283708848446705</v>
      </c>
      <c r="BE305" s="168">
        <f t="shared" si="1582"/>
        <v>0.69294346409075958</v>
      </c>
      <c r="BF305" s="168">
        <f t="shared" si="1582"/>
        <v>0.65681313758161086</v>
      </c>
      <c r="BG305" s="168">
        <f t="shared" si="1582"/>
        <v>0.69237121169021865</v>
      </c>
      <c r="BH305" s="168">
        <f t="shared" si="1582"/>
        <v>0.71868099157815335</v>
      </c>
      <c r="BI305" s="168">
        <f t="shared" si="1582"/>
        <v>0.82077003611057875</v>
      </c>
      <c r="BJ305" s="168">
        <f t="shared" si="1582"/>
        <v>0.48116169900379185</v>
      </c>
      <c r="BK305" s="168">
        <f t="shared" si="1582"/>
        <v>0.48917931327992276</v>
      </c>
      <c r="BL305" s="168">
        <f t="shared" si="1582"/>
        <v>0.80185928095385473</v>
      </c>
      <c r="BM305" s="168">
        <f t="shared" si="1582"/>
        <v>0.58850968901932832</v>
      </c>
      <c r="BN305" s="168">
        <f t="shared" si="1582"/>
        <v>0.65239615381834049</v>
      </c>
      <c r="BO305" s="168">
        <f t="shared" si="1582"/>
        <v>0.55313773819884482</v>
      </c>
      <c r="BP305" s="168">
        <f t="shared" si="1582"/>
        <v>0.94218756059634179</v>
      </c>
      <c r="BQ305" s="168">
        <f t="shared" si="1582"/>
        <v>1.5575722063787776</v>
      </c>
      <c r="BR305" s="168">
        <f t="shared" si="1582"/>
        <v>1.3690949543866031</v>
      </c>
      <c r="BS305" s="168">
        <f t="shared" si="1582"/>
        <v>1.323397965506139</v>
      </c>
      <c r="BT305" s="168">
        <f t="shared" si="1582"/>
        <v>1.1700833247509019</v>
      </c>
      <c r="BU305" s="168">
        <f t="shared" si="1582"/>
        <v>1.0783269917243432</v>
      </c>
      <c r="BV305" s="168">
        <f t="shared" si="1582"/>
        <v>0.96705239869681836</v>
      </c>
      <c r="BW305" s="168">
        <f t="shared" si="1582"/>
        <v>0.86260148894094868</v>
      </c>
      <c r="BX305" s="168">
        <f t="shared" ref="BX305:CC305" si="1583">+BX303/BX304</f>
        <v>0.82984410369233563</v>
      </c>
      <c r="BY305" s="168">
        <f t="shared" si="1583"/>
        <v>0.80629116124639155</v>
      </c>
      <c r="BZ305" s="168">
        <f t="shared" si="1583"/>
        <v>0.78650923892232993</v>
      </c>
      <c r="CA305" s="168">
        <f t="shared" si="1583"/>
        <v>0.5212466234753399</v>
      </c>
      <c r="CB305" s="168">
        <f t="shared" si="1583"/>
        <v>0.5213058067090649</v>
      </c>
      <c r="CC305" s="168">
        <f t="shared" si="1583"/>
        <v>0.60307705933235489</v>
      </c>
      <c r="CD305" s="168">
        <f t="shared" si="1582"/>
        <v>0.61232530445044542</v>
      </c>
      <c r="CE305" s="168">
        <f t="shared" ref="CE305" si="1584">+CE303/CE304</f>
        <v>0.66692372170063974</v>
      </c>
      <c r="CF305" s="168">
        <f t="shared" ref="CF305:CH305" si="1585">+CF303/CF304</f>
        <v>0.49668925790954083</v>
      </c>
      <c r="CG305" s="168">
        <f t="shared" si="1585"/>
        <v>0.53114637681606247</v>
      </c>
      <c r="CH305" s="168">
        <f t="shared" si="1585"/>
        <v>0.62034987191742752</v>
      </c>
      <c r="CI305" s="168">
        <f t="shared" ref="CI305:CJ305" si="1586">+CI303/CI304</f>
        <v>0.70254863500666331</v>
      </c>
      <c r="CJ305" s="168">
        <f t="shared" si="1586"/>
        <v>1.9353747448341524E-3</v>
      </c>
      <c r="CK305" s="168">
        <f t="shared" ref="CK305" si="1587">+CK303/CK304</f>
        <v>3.7609769685100722E-4</v>
      </c>
      <c r="CL305" s="191">
        <v>0.7</v>
      </c>
      <c r="CM305" s="191">
        <v>0.7</v>
      </c>
      <c r="CN305" s="191">
        <v>0.7</v>
      </c>
      <c r="CO305" s="191">
        <v>0.7</v>
      </c>
      <c r="CP305" s="191">
        <v>0.7</v>
      </c>
      <c r="CQ305" s="575"/>
      <c r="CR305" s="575"/>
      <c r="CS305" s="168">
        <v>0.69864473695472262</v>
      </c>
      <c r="CT305" s="1133"/>
      <c r="CU305" s="809"/>
      <c r="CV305" s="809"/>
      <c r="CW305" s="809"/>
      <c r="CX305" s="809"/>
      <c r="CY305" s="575"/>
      <c r="CZ305" s="575"/>
      <c r="DA305" s="575"/>
      <c r="DB305" s="575"/>
      <c r="DC305" s="575"/>
      <c r="DD305" s="575"/>
      <c r="DE305" s="168">
        <f>+DE303/DE304</f>
        <v>0.59674616638845268</v>
      </c>
      <c r="DF305" s="168">
        <f t="shared" ref="DF305:DR305" si="1588">+DF303/DF304</f>
        <v>0.609062043911624</v>
      </c>
      <c r="DG305" s="168">
        <f t="shared" si="1588"/>
        <v>0.57504071743387919</v>
      </c>
      <c r="DH305" s="168">
        <f t="shared" si="1588"/>
        <v>0.635810841285807</v>
      </c>
      <c r="DI305" s="168">
        <f t="shared" si="1588"/>
        <v>0.6439770048193475</v>
      </c>
      <c r="DJ305" s="168">
        <f t="shared" si="1588"/>
        <v>0.67761710763801886</v>
      </c>
      <c r="DK305" s="168">
        <f t="shared" si="1588"/>
        <v>0.89779836772657229</v>
      </c>
      <c r="DL305" s="168">
        <f t="shared" si="1588"/>
        <v>1.060261006988326</v>
      </c>
      <c r="DM305" s="168">
        <f t="shared" si="1588"/>
        <v>1.0456320890140693</v>
      </c>
      <c r="DN305" s="168">
        <f t="shared" si="1588"/>
        <v>0.61195132945792119</v>
      </c>
      <c r="DO305" s="168">
        <f t="shared" ref="DO305:DP305" si="1589">+DO303/DO304</f>
        <v>0.71012585933368588</v>
      </c>
      <c r="DP305" s="168">
        <f t="shared" si="1589"/>
        <v>0.38225959830385992</v>
      </c>
      <c r="DQ305" s="168">
        <f t="shared" ref="DQ305" si="1590">+DQ303/DQ304</f>
        <v>0.80682109980744021</v>
      </c>
      <c r="DR305" s="168">
        <f t="shared" si="1588"/>
        <v>0.84975142964946271</v>
      </c>
      <c r="DS305" s="168">
        <f t="shared" ref="DS305:DU305" si="1591">+DS303/DS304</f>
        <v>0.85347649628324596</v>
      </c>
      <c r="DT305" s="168">
        <f t="shared" si="1591"/>
        <v>0.86163108213048023</v>
      </c>
      <c r="DU305" s="168">
        <f t="shared" si="1591"/>
        <v>0.87161694320686067</v>
      </c>
      <c r="DV305" s="807"/>
      <c r="DW305" s="807"/>
      <c r="DY305" s="168">
        <v>0.57803985538471447</v>
      </c>
      <c r="DZ305" s="168">
        <v>0.58147856627625505</v>
      </c>
    </row>
    <row r="306" spans="1:130">
      <c r="A306" s="185"/>
      <c r="B306" s="185"/>
      <c r="C306" s="180">
        <v>0</v>
      </c>
      <c r="D306" s="180">
        <v>0</v>
      </c>
      <c r="E306" s="180">
        <v>0</v>
      </c>
      <c r="F306" s="180">
        <v>0</v>
      </c>
      <c r="G306" s="180">
        <v>0</v>
      </c>
      <c r="H306" s="180">
        <v>0</v>
      </c>
      <c r="I306" s="180">
        <v>-2.6</v>
      </c>
      <c r="J306" s="180">
        <v>-1.7</v>
      </c>
      <c r="K306" s="180">
        <v>-2</v>
      </c>
      <c r="L306" s="180">
        <v>-2.2000000000000002</v>
      </c>
      <c r="M306" s="180">
        <v>-1.8</v>
      </c>
      <c r="N306" s="180">
        <v>-2.5</v>
      </c>
      <c r="O306" s="180">
        <v>-3.2</v>
      </c>
      <c r="P306" s="180">
        <v>-2.8</v>
      </c>
      <c r="Q306" s="180">
        <v>-2.7</v>
      </c>
      <c r="R306" s="180">
        <v>-3.2</v>
      </c>
      <c r="S306" s="180">
        <v>-0.2</v>
      </c>
      <c r="T306" s="188">
        <v>0</v>
      </c>
      <c r="U306" s="180">
        <v>0</v>
      </c>
      <c r="V306" s="188">
        <v>0</v>
      </c>
      <c r="W306" s="188">
        <v>0</v>
      </c>
      <c r="X306" s="188">
        <v>0</v>
      </c>
      <c r="Y306" s="188">
        <v>0</v>
      </c>
      <c r="Z306" s="188">
        <v>0</v>
      </c>
      <c r="AA306" s="188">
        <v>0</v>
      </c>
      <c r="AB306" s="188">
        <v>0</v>
      </c>
      <c r="AC306" s="188">
        <v>0</v>
      </c>
      <c r="AD306" s="180">
        <v>0</v>
      </c>
      <c r="AE306" s="180">
        <v>0</v>
      </c>
      <c r="AF306" s="180">
        <v>0</v>
      </c>
      <c r="AG306" s="188"/>
      <c r="AH306" s="188"/>
      <c r="AI306" s="188"/>
      <c r="AJ306" s="188"/>
      <c r="AK306" s="188"/>
      <c r="AL306" s="188"/>
      <c r="AM306" s="188"/>
      <c r="AN306" s="188"/>
      <c r="AO306" s="188"/>
      <c r="AP306" s="188"/>
      <c r="AQ306" s="188"/>
      <c r="AR306" s="188"/>
      <c r="AS306" s="188"/>
      <c r="AT306" s="188"/>
      <c r="AU306" s="188"/>
      <c r="AV306" s="188"/>
      <c r="AW306" s="188"/>
      <c r="AX306" s="188"/>
      <c r="AY306" s="188"/>
      <c r="AZ306" s="188"/>
      <c r="BA306" s="188"/>
      <c r="BB306" s="188"/>
      <c r="BC306" s="189"/>
      <c r="BD306" s="188"/>
      <c r="BE306" s="188"/>
      <c r="BF306" s="188"/>
      <c r="BG306" s="188"/>
      <c r="BH306" s="188"/>
      <c r="BI306" s="188"/>
      <c r="BJ306" s="188"/>
      <c r="BK306" s="188"/>
      <c r="BL306" s="188"/>
      <c r="BM306" s="188"/>
      <c r="BN306" s="188"/>
      <c r="BO306" s="188"/>
      <c r="BP306" s="188"/>
      <c r="BQ306" s="188"/>
      <c r="BR306" s="188"/>
      <c r="BS306" s="188"/>
      <c r="BT306" s="188"/>
      <c r="BU306" s="188"/>
      <c r="BV306" s="188"/>
      <c r="BW306" s="188"/>
      <c r="BX306" s="188"/>
      <c r="BY306" s="188"/>
      <c r="BZ306" s="188"/>
      <c r="CA306" s="188"/>
      <c r="CB306" s="188"/>
      <c r="CC306" s="188"/>
      <c r="CD306" s="188"/>
      <c r="CE306" s="188"/>
      <c r="CF306" s="188"/>
      <c r="CG306" s="188"/>
      <c r="CH306" s="188"/>
      <c r="CI306" s="188"/>
      <c r="CJ306" s="188"/>
      <c r="CK306" s="188"/>
      <c r="CL306" s="188"/>
      <c r="CM306" s="188"/>
      <c r="CN306" s="188"/>
      <c r="CO306" s="188"/>
      <c r="CP306" s="188"/>
      <c r="CQ306" s="188"/>
      <c r="CR306" s="188"/>
      <c r="CS306" s="188"/>
      <c r="CT306" s="1133"/>
      <c r="CU306" s="163">
        <f>SUM(C306:F306)</f>
        <v>0</v>
      </c>
      <c r="CV306" s="163">
        <f>SUM(G306:J306)</f>
        <v>-4.3</v>
      </c>
      <c r="CW306" s="163"/>
      <c r="CX306" s="163">
        <f>SUM(O306:R306)</f>
        <v>-11.899999999999999</v>
      </c>
      <c r="CY306" s="163">
        <f>SUM(S306:V306)</f>
        <v>-0.2</v>
      </c>
      <c r="CZ306" s="163">
        <f>SUM(W306:Z306)</f>
        <v>0</v>
      </c>
      <c r="DA306" s="163">
        <f>SUM(AA306:AD306)</f>
        <v>0</v>
      </c>
      <c r="DB306" s="187">
        <v>0</v>
      </c>
      <c r="DC306" s="187">
        <v>0</v>
      </c>
      <c r="DD306" s="187">
        <v>0</v>
      </c>
      <c r="DE306" s="187"/>
      <c r="DF306" s="187"/>
      <c r="DG306" s="187"/>
      <c r="DH306" s="187"/>
      <c r="DI306" s="187"/>
      <c r="DJ306" s="187"/>
      <c r="DK306" s="187"/>
      <c r="DL306" s="187"/>
      <c r="DM306" s="187"/>
      <c r="DN306" s="187"/>
      <c r="DO306" s="187"/>
      <c r="DP306" s="187"/>
      <c r="DQ306" s="187"/>
      <c r="DR306" s="187"/>
      <c r="DS306" s="187"/>
      <c r="DT306" s="187"/>
      <c r="DU306" s="187"/>
      <c r="DV306" s="185"/>
      <c r="DW306" s="185"/>
      <c r="DY306" s="187"/>
      <c r="DZ306" s="187"/>
    </row>
    <row r="307" spans="1:130" s="794" customFormat="1" ht="12.75">
      <c r="A307" s="784" t="s">
        <v>710</v>
      </c>
      <c r="B307" s="784"/>
      <c r="C307" s="785"/>
      <c r="D307" s="785"/>
      <c r="E307" s="785"/>
      <c r="F307" s="785"/>
      <c r="G307" s="785"/>
      <c r="H307" s="785"/>
      <c r="I307" s="785"/>
      <c r="J307" s="785"/>
      <c r="K307" s="785"/>
      <c r="L307" s="785"/>
      <c r="M307" s="785"/>
      <c r="N307" s="785"/>
      <c r="O307" s="785"/>
      <c r="P307" s="785"/>
      <c r="Q307" s="785"/>
      <c r="R307" s="785"/>
      <c r="S307" s="785"/>
      <c r="T307" s="785"/>
      <c r="U307" s="785"/>
      <c r="V307" s="785"/>
      <c r="W307" s="785"/>
      <c r="X307" s="785"/>
      <c r="Y307" s="785"/>
      <c r="Z307" s="785"/>
      <c r="AA307" s="785"/>
      <c r="AB307" s="785"/>
      <c r="AC307" s="785"/>
      <c r="AD307" s="785"/>
      <c r="AE307" s="785"/>
      <c r="AF307" s="785"/>
      <c r="AG307" s="785"/>
      <c r="AH307" s="785"/>
      <c r="AI307" s="785"/>
      <c r="AJ307" s="785"/>
      <c r="AK307" s="785"/>
      <c r="AL307" s="785"/>
      <c r="AM307" s="785"/>
      <c r="AN307" s="785"/>
      <c r="AO307" s="785"/>
      <c r="AP307" s="785"/>
      <c r="AQ307" s="785"/>
      <c r="AR307" s="785"/>
      <c r="AS307" s="785"/>
      <c r="AT307" s="785"/>
      <c r="AU307" s="785"/>
      <c r="AV307" s="785"/>
      <c r="AW307" s="785"/>
      <c r="AX307" s="785"/>
      <c r="AY307" s="785"/>
      <c r="AZ307" s="785"/>
      <c r="BA307" s="785"/>
      <c r="BB307" s="785"/>
      <c r="BC307" s="797"/>
      <c r="BD307" s="785"/>
      <c r="BE307" s="785"/>
      <c r="BF307" s="785"/>
      <c r="BG307" s="785"/>
      <c r="BH307" s="785"/>
      <c r="BI307" s="785"/>
      <c r="BJ307" s="785"/>
      <c r="BK307" s="786">
        <f>-68.851-BL307</f>
        <v>-34.780999999999999</v>
      </c>
      <c r="BL307" s="786">
        <v>-34.07</v>
      </c>
      <c r="BM307" s="786">
        <v>-14.7</v>
      </c>
      <c r="BN307" s="786">
        <v>-33.200000000000003</v>
      </c>
      <c r="BO307" s="786">
        <v>-18.3</v>
      </c>
      <c r="BP307" s="786">
        <v>-32.700000000000003</v>
      </c>
      <c r="BQ307" s="786">
        <v>-37.1</v>
      </c>
      <c r="BR307" s="786">
        <v>-34.200000000000003</v>
      </c>
      <c r="BS307" s="786">
        <v>-42.9</v>
      </c>
      <c r="BT307" s="786">
        <v>-49.8</v>
      </c>
      <c r="BU307" s="786">
        <v>-52.6</v>
      </c>
      <c r="BV307" s="786">
        <v>-56.5</v>
      </c>
      <c r="BW307" s="786">
        <v>-50.142000000000003</v>
      </c>
      <c r="BX307" s="786">
        <v>-58.4</v>
      </c>
      <c r="BY307" s="786">
        <v>-56.7</v>
      </c>
      <c r="BZ307" s="786">
        <f>-227.105-BY307-BX307-BW307</f>
        <v>-61.862999999999964</v>
      </c>
      <c r="CA307" s="786">
        <v>-52.2</v>
      </c>
      <c r="CB307" s="786">
        <v>-59.9</v>
      </c>
      <c r="CC307" s="786">
        <v>-59.1</v>
      </c>
      <c r="CD307" s="786">
        <f>-239.4-CC307-CB307-CA307</f>
        <v>-68.2</v>
      </c>
      <c r="CE307" s="786">
        <v>-61.637999999999998</v>
      </c>
      <c r="CF307" s="786">
        <v>-61</v>
      </c>
      <c r="CG307" s="786">
        <v>-58.024000000000001</v>
      </c>
      <c r="CH307" s="786">
        <f>-244.083-CG307-CF307-CE307</f>
        <v>-63.420999999999999</v>
      </c>
      <c r="CI307" s="786">
        <v>-63.091000000000001</v>
      </c>
      <c r="CJ307" s="786">
        <v>-62</v>
      </c>
      <c r="CK307" s="786">
        <v>-58.195</v>
      </c>
      <c r="CL307" s="798">
        <f t="shared" ref="CL307" si="1592">+CL309*AVERAGE(CK308:CL308)/1000</f>
        <v>-65.943287856458241</v>
      </c>
      <c r="CM307" s="798">
        <f t="shared" ref="CM307" si="1593">+CM309*AVERAGE(CL308:CM308)/1000</f>
        <v>-70.397447036978278</v>
      </c>
      <c r="CN307" s="798">
        <f t="shared" ref="CN307" si="1594">+CN309*AVERAGE(CM308:CN308)/1000</f>
        <v>-67.565694979619153</v>
      </c>
      <c r="CO307" s="798">
        <f t="shared" ref="CO307" si="1595">+CO309*AVERAGE(CN308:CO308)/1000</f>
        <v>-65.67682210311969</v>
      </c>
      <c r="CP307" s="798">
        <f t="shared" ref="CP307" si="1596">+CP309*AVERAGE(CO308:CP308)/1000</f>
        <v>-72.207453572327339</v>
      </c>
      <c r="CQ307" s="798"/>
      <c r="CR307" s="798"/>
      <c r="CS307" s="798">
        <v>-64.249304077106601</v>
      </c>
      <c r="CT307" s="1133"/>
      <c r="CU307" s="785"/>
      <c r="CV307" s="785"/>
      <c r="CW307" s="785"/>
      <c r="CX307" s="785"/>
      <c r="CY307" s="784"/>
      <c r="CZ307" s="784"/>
      <c r="DA307" s="784"/>
      <c r="DB307" s="784"/>
      <c r="DC307" s="784"/>
      <c r="DD307" s="784"/>
      <c r="DE307" s="784"/>
      <c r="DF307" s="784"/>
      <c r="DG307" s="784"/>
      <c r="DH307" s="784"/>
      <c r="DI307" s="790"/>
      <c r="DJ307" s="790">
        <f>+SUM(BK307:BN307)</f>
        <v>-116.751</v>
      </c>
      <c r="DK307" s="790">
        <f>+SUM(BO307:BR307)</f>
        <v>-122.3</v>
      </c>
      <c r="DL307" s="790">
        <f>+SUM(BS307:BV307)</f>
        <v>-201.79999999999998</v>
      </c>
      <c r="DM307" s="790">
        <f>+SUM(BW307:BZ307)</f>
        <v>-227.10499999999999</v>
      </c>
      <c r="DN307" s="790">
        <f>+SUM(CA307:CD307)</f>
        <v>-239.39999999999998</v>
      </c>
      <c r="DO307" s="790">
        <f>+SUM(CE307:CH307)</f>
        <v>-244.083</v>
      </c>
      <c r="DP307" s="790">
        <f>+SUM(CI307:CL307)</f>
        <v>-249.22928785645826</v>
      </c>
      <c r="DQ307" s="790">
        <f>+SUM(CM307:CP307)</f>
        <v>-275.84741769204447</v>
      </c>
      <c r="DR307" s="811">
        <f>+DR309*AVERAGE(DQ308:DR308)/1000</f>
        <v>-260.5653206118775</v>
      </c>
      <c r="DS307" s="811">
        <f t="shared" ref="DS307:DU307" si="1597">+DS309*AVERAGE(DR308:DS308)/1000</f>
        <v>-247.69795187443262</v>
      </c>
      <c r="DT307" s="811">
        <f t="shared" si="1597"/>
        <v>-275.84741769204447</v>
      </c>
      <c r="DU307" s="811">
        <f t="shared" si="1597"/>
        <v>-302.401160626766</v>
      </c>
      <c r="DV307" s="784"/>
      <c r="DW307" s="784"/>
      <c r="DY307" s="811">
        <v>-251.30190767562706</v>
      </c>
      <c r="DZ307" s="811">
        <v>-243.86600891125104</v>
      </c>
    </row>
    <row r="308" spans="1:130">
      <c r="A308" s="185" t="s">
        <v>711</v>
      </c>
      <c r="B308" s="185"/>
      <c r="C308" s="182"/>
      <c r="D308" s="182"/>
      <c r="E308" s="182"/>
      <c r="F308" s="182"/>
      <c r="G308" s="182"/>
      <c r="H308" s="182"/>
      <c r="I308" s="182"/>
      <c r="J308" s="182"/>
      <c r="K308" s="182"/>
      <c r="L308" s="182"/>
      <c r="M308" s="182"/>
      <c r="N308" s="182"/>
      <c r="O308" s="182"/>
      <c r="P308" s="182"/>
      <c r="Q308" s="182"/>
      <c r="R308" s="182"/>
      <c r="S308" s="182"/>
      <c r="T308" s="182"/>
      <c r="U308" s="182"/>
      <c r="V308" s="182"/>
      <c r="W308" s="182"/>
      <c r="X308" s="182"/>
      <c r="Y308" s="182"/>
      <c r="Z308" s="182"/>
      <c r="AA308" s="182"/>
      <c r="AB308" s="182"/>
      <c r="AC308" s="182"/>
      <c r="AD308" s="182"/>
      <c r="AE308" s="182"/>
      <c r="AF308" s="182"/>
      <c r="AG308" s="182"/>
      <c r="AH308" s="182"/>
      <c r="AI308" s="182"/>
      <c r="AJ308" s="182"/>
      <c r="AK308" s="182"/>
      <c r="AL308" s="182"/>
      <c r="AM308" s="182"/>
      <c r="AN308" s="182"/>
      <c r="AO308" s="182"/>
      <c r="AP308" s="182"/>
      <c r="AQ308" s="182"/>
      <c r="AR308" s="182"/>
      <c r="AS308" s="182"/>
      <c r="AT308" s="182"/>
      <c r="AU308" s="182"/>
      <c r="AV308" s="182"/>
      <c r="AW308" s="182"/>
      <c r="AX308" s="182"/>
      <c r="AY308" s="182"/>
      <c r="AZ308" s="182"/>
      <c r="BA308" s="182"/>
      <c r="BB308" s="182"/>
      <c r="BC308" s="186"/>
      <c r="BD308" s="182"/>
      <c r="BE308" s="182"/>
      <c r="BF308" s="182"/>
      <c r="BG308" s="182"/>
      <c r="BH308" s="182"/>
      <c r="BI308" s="182"/>
      <c r="BJ308" s="182"/>
      <c r="BK308" s="610">
        <f>+PROJ!BK112+PROJ!BK122</f>
        <v>1707740</v>
      </c>
      <c r="BL308" s="610">
        <f>+PROJ!BL112+PROJ!BL122</f>
        <v>1692440</v>
      </c>
      <c r="BM308" s="610">
        <f>+PROJ!BM112+PROJ!BM122</f>
        <v>1676697</v>
      </c>
      <c r="BN308" s="610">
        <f>+PROJ!BN112+PROJ!BN122</f>
        <v>1739361</v>
      </c>
      <c r="BO308" s="610">
        <f>+PROJ!BO112+PROJ!BO122</f>
        <v>1702412</v>
      </c>
      <c r="BP308" s="610">
        <f>+PROJ!BP112+PROJ!BP122</f>
        <v>1655578</v>
      </c>
      <c r="BQ308" s="610">
        <f>+PROJ!BQ112+PROJ!BQ122</f>
        <v>1791966</v>
      </c>
      <c r="BR308" s="610">
        <f>+PROJ!BR112+PROJ!BR122</f>
        <v>1862387</v>
      </c>
      <c r="BS308" s="610">
        <f>+PROJ!BS112+PROJ!BS122</f>
        <v>2262639</v>
      </c>
      <c r="BT308" s="610">
        <f>+PROJ!BT112+PROJ!BT122</f>
        <v>2487161</v>
      </c>
      <c r="BU308" s="610">
        <f>+PROJ!BU112+PROJ!BU122</f>
        <v>2508979</v>
      </c>
      <c r="BV308" s="610">
        <f>+PROJ!BV112+PROJ!BV122</f>
        <v>2661036</v>
      </c>
      <c r="BW308" s="610">
        <f>+PROJ!BW112+PROJ!BW122</f>
        <v>2643744</v>
      </c>
      <c r="BX308" s="610">
        <f>+PROJ!BX112+PROJ!BX122</f>
        <v>2762255</v>
      </c>
      <c r="BY308" s="610">
        <f>+PROJ!BY112+PROJ!BY122</f>
        <v>2792274</v>
      </c>
      <c r="BZ308" s="610">
        <f>+PROJ!BZ112+PROJ!BZ122</f>
        <v>2909910</v>
      </c>
      <c r="CA308" s="610">
        <f>+PROJ!CA112+PROJ!CA122</f>
        <v>2802358</v>
      </c>
      <c r="CB308" s="610">
        <f>+PROJ!CB112+PROJ!CB122</f>
        <v>2797088</v>
      </c>
      <c r="CC308" s="610">
        <f>+PROJ!CC112+PROJ!CC122</f>
        <v>2743033</v>
      </c>
      <c r="CD308" s="610">
        <f>+PROJ!CD112+PROJ!CD122</f>
        <v>2742267</v>
      </c>
      <c r="CE308" s="610">
        <f>+PROJ!CE112+PROJ!CE122</f>
        <v>2693504</v>
      </c>
      <c r="CF308" s="610">
        <f>+PROJ!CF112+PROJ!CF122</f>
        <v>2641435</v>
      </c>
      <c r="CG308" s="610">
        <f>+PROJ!CG112+PROJ!CG122</f>
        <v>2556683</v>
      </c>
      <c r="CH308" s="610">
        <f>+PROJ!CH112+PROJ!CH122</f>
        <v>2631411</v>
      </c>
      <c r="CI308" s="610">
        <f>+PROJ!CI112+PROJ!CI122</f>
        <v>2566500</v>
      </c>
      <c r="CJ308" s="610">
        <f>+PROJ!CJ112+PROJ!CJ122</f>
        <v>2510901</v>
      </c>
      <c r="CK308" s="610">
        <f>+PROJ!CK112+PROJ!CK122</f>
        <v>2495273</v>
      </c>
      <c r="CL308" s="610">
        <f>+PROJ!CL112+PROJ!CL122</f>
        <v>2977458.6342753493</v>
      </c>
      <c r="CM308" s="610">
        <f>+PROJ!CM112+PROJ!CM122</f>
        <v>2886209.22382438</v>
      </c>
      <c r="CN308" s="610">
        <f>+PROJ!CN112+PROJ!CN122</f>
        <v>2757110.0630707191</v>
      </c>
      <c r="CO308" s="610">
        <f>+PROJ!CO112+PROJ!CO122</f>
        <v>2755874.4222478387</v>
      </c>
      <c r="CP308" s="610">
        <f>+PROJ!CP112+PROJ!CP122</f>
        <v>3268827.1871371209</v>
      </c>
      <c r="CQ308" s="610"/>
      <c r="CR308" s="610"/>
      <c r="CS308" s="610">
        <v>2906340.2262412906</v>
      </c>
      <c r="CT308" s="1133"/>
      <c r="CU308" s="182"/>
      <c r="CV308" s="182"/>
      <c r="CW308" s="182"/>
      <c r="CX308" s="182"/>
      <c r="CY308" s="185"/>
      <c r="CZ308" s="185"/>
      <c r="DA308" s="185"/>
      <c r="DB308" s="185"/>
      <c r="DC308" s="185"/>
      <c r="DD308" s="185"/>
      <c r="DE308" s="185"/>
      <c r="DF308" s="185"/>
      <c r="DG308" s="185"/>
      <c r="DH308" s="185"/>
      <c r="DI308" s="610"/>
      <c r="DJ308" s="610">
        <f>+PROJ!DJ112+PROJ!DJ122</f>
        <v>1739361</v>
      </c>
      <c r="DK308" s="610">
        <f>+PROJ!DK112+PROJ!DK122</f>
        <v>1862387</v>
      </c>
      <c r="DL308" s="610">
        <f>+PROJ!DL112+PROJ!DL122</f>
        <v>2661036</v>
      </c>
      <c r="DM308" s="610">
        <f>+PROJ!DM112+PROJ!DM122</f>
        <v>2909910</v>
      </c>
      <c r="DN308" s="610">
        <f>+PROJ!DN112+PROJ!DN122</f>
        <v>2742267</v>
      </c>
      <c r="DO308" s="610">
        <f>+PROJ!DO112+PROJ!DO122</f>
        <v>2631411</v>
      </c>
      <c r="DP308" s="610">
        <f>+PROJ!DP112+PROJ!DP122</f>
        <v>2977458.6342753493</v>
      </c>
      <c r="DQ308" s="610">
        <f>+PROJ!DQ112+PROJ!DQ122</f>
        <v>3268827.1871371209</v>
      </c>
      <c r="DR308" s="610">
        <f>+PROJ!DR112+PROJ!DR122</f>
        <v>2631411</v>
      </c>
      <c r="DS308" s="610">
        <f>+PROJ!DS112+PROJ!DS122</f>
        <v>2977458.6342753493</v>
      </c>
      <c r="DT308" s="610">
        <f>+PROJ!DT112+PROJ!DT122</f>
        <v>3268827.1871371209</v>
      </c>
      <c r="DU308" s="610">
        <f>+PROJ!DU112+PROJ!DU122</f>
        <v>3578741.2904129932</v>
      </c>
      <c r="DV308" s="185"/>
      <c r="DW308" s="185"/>
      <c r="DY308" s="610">
        <v>2643744</v>
      </c>
      <c r="DZ308" s="610">
        <v>2742267</v>
      </c>
    </row>
    <row r="309" spans="1:130">
      <c r="A309" s="185"/>
      <c r="B309" s="185"/>
      <c r="C309" s="182"/>
      <c r="D309" s="182"/>
      <c r="E309" s="182"/>
      <c r="F309" s="182"/>
      <c r="G309" s="182"/>
      <c r="H309" s="182"/>
      <c r="I309" s="182"/>
      <c r="J309" s="182"/>
      <c r="K309" s="182"/>
      <c r="L309" s="182"/>
      <c r="M309" s="182"/>
      <c r="N309" s="182"/>
      <c r="O309" s="182"/>
      <c r="P309" s="182"/>
      <c r="Q309" s="182"/>
      <c r="R309" s="182"/>
      <c r="S309" s="182"/>
      <c r="T309" s="182"/>
      <c r="U309" s="182"/>
      <c r="V309" s="182"/>
      <c r="W309" s="182"/>
      <c r="X309" s="182"/>
      <c r="Y309" s="182"/>
      <c r="Z309" s="182"/>
      <c r="AA309" s="182"/>
      <c r="AB309" s="182"/>
      <c r="AC309" s="182"/>
      <c r="AD309" s="182"/>
      <c r="AE309" s="182"/>
      <c r="AF309" s="182"/>
      <c r="AG309" s="182"/>
      <c r="AH309" s="182"/>
      <c r="AI309" s="182"/>
      <c r="AJ309" s="182"/>
      <c r="AK309" s="182"/>
      <c r="AL309" s="182"/>
      <c r="AM309" s="182"/>
      <c r="AN309" s="182"/>
      <c r="AO309" s="182"/>
      <c r="AP309" s="182"/>
      <c r="AQ309" s="182"/>
      <c r="AR309" s="182"/>
      <c r="AS309" s="182"/>
      <c r="AT309" s="182"/>
      <c r="AU309" s="182"/>
      <c r="AV309" s="182"/>
      <c r="AW309" s="182"/>
      <c r="AX309" s="182"/>
      <c r="AY309" s="182"/>
      <c r="AZ309" s="182"/>
      <c r="BA309" s="182"/>
      <c r="BB309" s="182"/>
      <c r="BC309" s="186"/>
      <c r="BD309" s="182"/>
      <c r="BE309" s="182"/>
      <c r="BF309" s="182"/>
      <c r="BG309" s="182"/>
      <c r="BH309" s="182"/>
      <c r="BI309" s="182"/>
      <c r="BJ309" s="182"/>
      <c r="BK309" s="168">
        <f>+BK307/AVERAGE(BJ308:BK308)*1000</f>
        <v>-2.0366683452984643E-2</v>
      </c>
      <c r="BL309" s="168">
        <f>+BL307/AVERAGE(BK308:BL308)*1000</f>
        <v>-2.0040115523295824E-2</v>
      </c>
      <c r="BM309" s="168">
        <f>+BM307/AVERAGE(BL308:BM308)*1000</f>
        <v>-8.7262702585261444E-3</v>
      </c>
      <c r="BN309" s="168">
        <f>+BN307/AVERAGE(BM308:BN308)*1000</f>
        <v>-1.943760908040789E-2</v>
      </c>
      <c r="BO309" s="168">
        <f t="shared" ref="BO309:CK309" si="1598">+BO307/AVERAGE(BN308:BO308)*1000</f>
        <v>-1.0634054018088934E-2</v>
      </c>
      <c r="BP309" s="168">
        <f t="shared" si="1598"/>
        <v>-1.9475936497726321E-2</v>
      </c>
      <c r="BQ309" s="168">
        <f t="shared" si="1598"/>
        <v>-2.1522567949821672E-2</v>
      </c>
      <c r="BR309" s="168">
        <f t="shared" si="1598"/>
        <v>-1.871740360058265E-2</v>
      </c>
      <c r="BS309" s="168">
        <f t="shared" si="1598"/>
        <v>-2.0799868897796038E-2</v>
      </c>
      <c r="BT309" s="168">
        <f t="shared" si="1598"/>
        <v>-2.0969303970693499E-2</v>
      </c>
      <c r="BU309" s="168">
        <f t="shared" si="1598"/>
        <v>-2.1056255429191338E-2</v>
      </c>
      <c r="BV309" s="168">
        <f t="shared" si="1598"/>
        <v>-2.1856803123395191E-2</v>
      </c>
      <c r="BW309" s="168">
        <f t="shared" si="1598"/>
        <v>-1.8904459751394025E-2</v>
      </c>
      <c r="BX309" s="168">
        <f t="shared" si="1598"/>
        <v>-2.1605627378029481E-2</v>
      </c>
      <c r="BY309" s="168">
        <f t="shared" si="1598"/>
        <v>-2.0415772426428957E-2</v>
      </c>
      <c r="BZ309" s="168">
        <f t="shared" si="1598"/>
        <v>-2.1698002028696362E-2</v>
      </c>
      <c r="CA309" s="168">
        <f t="shared" si="1598"/>
        <v>-1.8276453415701086E-2</v>
      </c>
      <c r="CB309" s="168">
        <f t="shared" si="1598"/>
        <v>-2.1394973717042721E-2</v>
      </c>
      <c r="CC309" s="168">
        <f t="shared" si="1598"/>
        <v>-2.1335274085168901E-2</v>
      </c>
      <c r="CD309" s="168">
        <f t="shared" si="1598"/>
        <v>-2.4866461269210435E-2</v>
      </c>
      <c r="CE309" s="168">
        <f t="shared" si="1598"/>
        <v>-2.2678659568256279E-2</v>
      </c>
      <c r="CF309" s="168">
        <f t="shared" si="1598"/>
        <v>-2.2868115268047114E-2</v>
      </c>
      <c r="CG309" s="168">
        <f t="shared" si="1598"/>
        <v>-2.2325003010705027E-2</v>
      </c>
      <c r="CH309" s="168">
        <f t="shared" si="1598"/>
        <v>-2.4448670359480767E-2</v>
      </c>
      <c r="CI309" s="168">
        <f t="shared" si="1598"/>
        <v>-2.4275521454676697E-2</v>
      </c>
      <c r="CJ309" s="168">
        <f t="shared" si="1598"/>
        <v>-2.4421943431294869E-2</v>
      </c>
      <c r="CK309" s="168">
        <f t="shared" si="1598"/>
        <v>-2.3249291774516827E-2</v>
      </c>
      <c r="CL309" s="611">
        <f t="shared" ref="CL309" si="1599">+AVERAGE(CH309:CK309)</f>
        <v>-2.4098856754992289E-2</v>
      </c>
      <c r="CM309" s="611">
        <f t="shared" ref="CM309" si="1600">+AVERAGE(CI309:CL309)</f>
        <v>-2.4011403353870173E-2</v>
      </c>
      <c r="CN309" s="611">
        <f t="shared" ref="CN309" si="1601">+AVERAGE(CJ309:CM309)</f>
        <v>-2.3945373828668539E-2</v>
      </c>
      <c r="CO309" s="611">
        <f t="shared" ref="CO309" si="1602">+AVERAGE(CK309:CN309)</f>
        <v>-2.3826231428011959E-2</v>
      </c>
      <c r="CP309" s="611">
        <f t="shared" ref="CP309" si="1603">+AVERAGE(CL309:CO309)</f>
        <v>-2.3970466341385742E-2</v>
      </c>
      <c r="CQ309" s="611"/>
      <c r="CR309" s="611"/>
      <c r="CS309" s="611">
        <v>-2.34793275232274E-2</v>
      </c>
      <c r="CT309" s="1133"/>
      <c r="CU309" s="182"/>
      <c r="CV309" s="182"/>
      <c r="CW309" s="182"/>
      <c r="CX309" s="182"/>
      <c r="CY309" s="185"/>
      <c r="CZ309" s="185"/>
      <c r="DA309" s="185"/>
      <c r="DB309" s="185"/>
      <c r="DC309" s="185"/>
      <c r="DD309" s="185"/>
      <c r="DE309" s="185"/>
      <c r="DF309" s="185"/>
      <c r="DG309" s="185"/>
      <c r="DH309" s="185"/>
      <c r="DI309" s="185"/>
      <c r="DJ309" s="168">
        <f t="shared" ref="DJ309:DQ309" si="1604">+DJ307/AVERAGE(DI308:DJ308)*1000</f>
        <v>-6.7122926178061953E-2</v>
      </c>
      <c r="DK309" s="168">
        <f t="shared" si="1604"/>
        <v>-6.7911469653068449E-2</v>
      </c>
      <c r="DL309" s="168">
        <f t="shared" si="1604"/>
        <v>-8.9224465631447675E-2</v>
      </c>
      <c r="DM309" s="168">
        <f t="shared" si="1604"/>
        <v>-8.1531933714668922E-2</v>
      </c>
      <c r="DN309" s="168">
        <f t="shared" si="1604"/>
        <v>-8.4710722965682064E-2</v>
      </c>
      <c r="DO309" s="168">
        <f t="shared" si="1604"/>
        <v>-9.0843924775544801E-2</v>
      </c>
      <c r="DP309" s="168">
        <f t="shared" si="1604"/>
        <v>-8.8869702491724267E-2</v>
      </c>
      <c r="DQ309" s="168">
        <f t="shared" si="1604"/>
        <v>-8.832366163790667E-2</v>
      </c>
      <c r="DR309" s="617">
        <f>+DQ309</f>
        <v>-8.832366163790667E-2</v>
      </c>
      <c r="DS309" s="617">
        <f t="shared" ref="DS309:DU309" si="1605">+DR309</f>
        <v>-8.832366163790667E-2</v>
      </c>
      <c r="DT309" s="617">
        <f t="shared" si="1605"/>
        <v>-8.832366163790667E-2</v>
      </c>
      <c r="DU309" s="617">
        <f t="shared" si="1605"/>
        <v>-8.832366163790667E-2</v>
      </c>
      <c r="DV309" s="185"/>
      <c r="DW309" s="185"/>
      <c r="DY309" s="617">
        <v>-9.0555332661315033E-2</v>
      </c>
      <c r="DZ309" s="617">
        <v>-9.0555332661315033E-2</v>
      </c>
    </row>
    <row r="310" spans="1:130">
      <c r="A310" s="159"/>
      <c r="B310" s="159"/>
      <c r="C310" s="174"/>
      <c r="D310" s="174"/>
      <c r="E310" s="174"/>
      <c r="F310" s="174"/>
      <c r="G310" s="174"/>
      <c r="H310" s="174"/>
      <c r="I310" s="174"/>
      <c r="J310" s="174"/>
      <c r="K310" s="174"/>
      <c r="L310" s="174"/>
      <c r="M310" s="174"/>
      <c r="N310" s="174"/>
      <c r="O310" s="174"/>
      <c r="P310" s="174"/>
      <c r="Q310" s="174"/>
      <c r="R310" s="174"/>
      <c r="S310" s="174"/>
      <c r="T310" s="174"/>
      <c r="U310" s="174"/>
      <c r="V310" s="174"/>
      <c r="W310" s="174"/>
      <c r="X310" s="174"/>
      <c r="Y310" s="174"/>
      <c r="Z310" s="174"/>
      <c r="AA310" s="174"/>
      <c r="AB310" s="174"/>
      <c r="AC310" s="174"/>
      <c r="AD310" s="174"/>
      <c r="AE310" s="174"/>
      <c r="AF310" s="174"/>
      <c r="AG310" s="174"/>
      <c r="AH310" s="174"/>
      <c r="AI310" s="174"/>
      <c r="AJ310" s="174"/>
      <c r="AK310" s="174"/>
      <c r="AL310" s="174"/>
      <c r="AM310" s="174"/>
      <c r="AN310" s="174"/>
      <c r="AO310" s="174"/>
      <c r="AP310" s="174"/>
      <c r="AQ310" s="174"/>
      <c r="AR310" s="174"/>
      <c r="AS310" s="174"/>
      <c r="AT310" s="174"/>
      <c r="AU310" s="174"/>
      <c r="AV310" s="174"/>
      <c r="AW310" s="174"/>
      <c r="AX310" s="174"/>
      <c r="AY310" s="174"/>
      <c r="AZ310" s="174"/>
      <c r="BA310" s="174"/>
      <c r="BB310" s="174"/>
      <c r="BC310" s="181"/>
      <c r="BD310" s="174"/>
      <c r="BE310" s="174"/>
      <c r="BF310" s="174"/>
      <c r="BG310" s="174"/>
      <c r="BH310" s="174"/>
      <c r="BI310" s="174"/>
      <c r="BJ310" s="174"/>
      <c r="BK310" s="174"/>
      <c r="BL310" s="174"/>
      <c r="BM310" s="174"/>
      <c r="BN310" s="174"/>
      <c r="BO310" s="174"/>
      <c r="BP310" s="174"/>
      <c r="BQ310" s="174"/>
      <c r="BR310" s="174"/>
      <c r="BS310" s="174"/>
      <c r="BT310" s="174"/>
      <c r="BU310" s="174"/>
      <c r="BV310" s="174"/>
      <c r="BW310" s="174"/>
      <c r="BX310" s="174"/>
      <c r="BY310" s="174"/>
      <c r="BZ310" s="174"/>
      <c r="CA310" s="174"/>
      <c r="CB310" s="174"/>
      <c r="CC310" s="174"/>
      <c r="CD310" s="174"/>
      <c r="CE310" s="174"/>
      <c r="CF310" s="174"/>
      <c r="CG310" s="174"/>
      <c r="CH310" s="174"/>
      <c r="CI310" s="174"/>
      <c r="CJ310" s="174"/>
      <c r="CK310" s="174"/>
      <c r="CL310" s="174"/>
      <c r="CM310" s="174"/>
      <c r="CN310" s="174"/>
      <c r="CO310" s="174"/>
      <c r="CP310" s="174"/>
      <c r="CQ310" s="174"/>
      <c r="CR310" s="174"/>
      <c r="CS310" s="174"/>
      <c r="CT310" s="1133"/>
      <c r="CU310" s="174"/>
      <c r="CV310" s="174"/>
      <c r="CW310" s="174"/>
      <c r="CX310" s="174"/>
      <c r="CY310" s="159"/>
      <c r="CZ310" s="159"/>
      <c r="DA310" s="159"/>
      <c r="DB310" s="159"/>
      <c r="DC310" s="159"/>
      <c r="DD310" s="159"/>
      <c r="DE310" s="159"/>
      <c r="DF310" s="159"/>
      <c r="DG310" s="159"/>
      <c r="DH310" s="159"/>
      <c r="DI310" s="159"/>
      <c r="DJ310" s="159"/>
      <c r="DK310" s="159"/>
      <c r="DL310" s="159"/>
      <c r="DM310" s="159"/>
      <c r="DN310" s="159"/>
      <c r="DO310" s="159"/>
      <c r="DP310" s="159"/>
      <c r="DQ310" s="159"/>
      <c r="DR310" s="159"/>
      <c r="DS310" s="159"/>
      <c r="DT310" s="159"/>
      <c r="DU310" s="159"/>
      <c r="DV310" s="159"/>
      <c r="DW310" s="159"/>
      <c r="DY310" s="159"/>
      <c r="DZ310" s="159"/>
    </row>
    <row r="311" spans="1:130">
      <c r="A311" s="159"/>
      <c r="B311" s="159"/>
      <c r="C311" s="174"/>
      <c r="D311" s="174"/>
      <c r="E311" s="174"/>
      <c r="F311" s="174"/>
      <c r="G311" s="174"/>
      <c r="H311" s="174"/>
      <c r="I311" s="174"/>
      <c r="J311" s="174"/>
      <c r="K311" s="174"/>
      <c r="L311" s="174"/>
      <c r="M311" s="174"/>
      <c r="N311" s="174"/>
      <c r="O311" s="174"/>
      <c r="P311" s="174"/>
      <c r="Q311" s="174"/>
      <c r="R311" s="174"/>
      <c r="S311" s="174"/>
      <c r="T311" s="174"/>
      <c r="U311" s="174"/>
      <c r="V311" s="174"/>
      <c r="W311" s="174"/>
      <c r="X311" s="174"/>
      <c r="Y311" s="174"/>
      <c r="Z311" s="174"/>
      <c r="AA311" s="174"/>
      <c r="AB311" s="174"/>
      <c r="AC311" s="174"/>
      <c r="AD311" s="174"/>
      <c r="AE311" s="174"/>
      <c r="AF311" s="174"/>
      <c r="AG311" s="174"/>
      <c r="AH311" s="174"/>
      <c r="AI311" s="174"/>
      <c r="AJ311" s="174"/>
      <c r="AK311" s="174"/>
      <c r="AL311" s="174"/>
      <c r="AM311" s="174"/>
      <c r="AN311" s="174"/>
      <c r="AO311" s="174"/>
      <c r="AP311" s="174"/>
      <c r="AQ311" s="174"/>
      <c r="AR311" s="174"/>
      <c r="AS311" s="174"/>
      <c r="AT311" s="174"/>
      <c r="AU311" s="174"/>
      <c r="AV311" s="174"/>
      <c r="AW311" s="174"/>
      <c r="AX311" s="174"/>
      <c r="AY311" s="174"/>
      <c r="AZ311" s="174"/>
      <c r="BA311" s="174"/>
      <c r="BB311" s="174"/>
      <c r="BC311" s="181"/>
      <c r="BD311" s="174"/>
      <c r="BE311" s="174"/>
      <c r="BF311" s="174"/>
      <c r="BG311" s="174"/>
      <c r="BH311" s="174"/>
      <c r="BI311" s="174"/>
      <c r="BJ311" s="174"/>
      <c r="BK311" s="174"/>
      <c r="BL311" s="174"/>
      <c r="BM311" s="174"/>
      <c r="BN311" s="174"/>
      <c r="BO311" s="174"/>
      <c r="BP311" s="174"/>
      <c r="BQ311" s="174"/>
      <c r="BR311" s="174"/>
      <c r="BS311" s="174"/>
      <c r="BT311" s="174"/>
      <c r="BU311" s="174"/>
      <c r="BV311" s="174"/>
      <c r="BW311" s="174"/>
      <c r="BX311" s="174"/>
      <c r="BY311" s="174"/>
      <c r="BZ311" s="174"/>
      <c r="CA311" s="174"/>
      <c r="CB311" s="174"/>
      <c r="CC311" s="174"/>
      <c r="CD311" s="174"/>
      <c r="CE311" s="174"/>
      <c r="CF311" s="174"/>
      <c r="CG311" s="174"/>
      <c r="CH311" s="174"/>
      <c r="CI311" s="174"/>
      <c r="CJ311" s="174"/>
      <c r="CK311" s="174"/>
      <c r="CL311" s="174"/>
      <c r="CM311" s="174"/>
      <c r="CN311" s="174"/>
      <c r="CO311" s="174"/>
      <c r="CP311" s="174"/>
      <c r="CQ311" s="174"/>
      <c r="CR311" s="174"/>
      <c r="CS311" s="174"/>
      <c r="CT311" s="1133"/>
      <c r="CU311" s="174"/>
      <c r="CV311" s="174"/>
      <c r="CW311" s="174"/>
      <c r="CX311" s="174"/>
      <c r="CY311" s="159"/>
      <c r="CZ311" s="159"/>
      <c r="DA311" s="159"/>
      <c r="DB311" s="159"/>
      <c r="DC311" s="159"/>
      <c r="DD311" s="159"/>
      <c r="DE311" s="159"/>
      <c r="DF311" s="159"/>
      <c r="DG311" s="159"/>
      <c r="DH311" s="159"/>
      <c r="DI311" s="159"/>
      <c r="DJ311" s="159"/>
      <c r="DK311" s="159"/>
      <c r="DL311" s="159"/>
      <c r="DM311" s="159"/>
      <c r="DN311" s="159"/>
      <c r="DO311" s="159"/>
      <c r="DP311" s="159"/>
      <c r="DQ311" s="159"/>
      <c r="DR311" s="159"/>
      <c r="DS311" s="159"/>
      <c r="DT311" s="159"/>
      <c r="DU311" s="159"/>
      <c r="DV311" s="159"/>
      <c r="DW311" s="159"/>
      <c r="DY311" s="159"/>
      <c r="DZ311" s="159"/>
    </row>
    <row r="312" spans="1:130" s="794" customFormat="1" ht="12.75">
      <c r="A312" s="789" t="s">
        <v>712</v>
      </c>
      <c r="B312" s="789"/>
      <c r="C312" s="790"/>
      <c r="D312" s="790"/>
      <c r="E312" s="790"/>
      <c r="F312" s="790"/>
      <c r="G312" s="790"/>
      <c r="H312" s="790"/>
      <c r="I312" s="790"/>
      <c r="J312" s="790"/>
      <c r="K312" s="790"/>
      <c r="L312" s="790"/>
      <c r="M312" s="790"/>
      <c r="N312" s="790"/>
      <c r="O312" s="790">
        <v>-3</v>
      </c>
      <c r="P312" s="790">
        <v>-2.9</v>
      </c>
      <c r="Q312" s="790">
        <v>-3.5</v>
      </c>
      <c r="R312" s="790">
        <v>-5.0999999999999996</v>
      </c>
      <c r="S312" s="790">
        <v>-3.8</v>
      </c>
      <c r="T312" s="790">
        <v>-1.4000000000000004</v>
      </c>
      <c r="U312" s="790">
        <v>-6.5</v>
      </c>
      <c r="V312" s="790">
        <v>-9.3000000000000007</v>
      </c>
      <c r="W312" s="790">
        <v>-7.3000000000000007</v>
      </c>
      <c r="X312" s="790">
        <v>-6.8000000000000007</v>
      </c>
      <c r="Y312" s="790">
        <v>-9.4</v>
      </c>
      <c r="Z312" s="790">
        <v>-6.3</v>
      </c>
      <c r="AA312" s="790">
        <v>-5.4</v>
      </c>
      <c r="AB312" s="790">
        <v>-6</v>
      </c>
      <c r="AC312" s="790">
        <v>-7</v>
      </c>
      <c r="AD312" s="790">
        <v>0.8</v>
      </c>
      <c r="AE312" s="790">
        <v>-2.383</v>
      </c>
      <c r="AF312" s="790">
        <v>-1.4649999999999996</v>
      </c>
      <c r="AG312" s="790">
        <v>-2.3119999999999994</v>
      </c>
      <c r="AH312" s="790">
        <v>-0.6840000000000005</v>
      </c>
      <c r="AI312" s="790">
        <v>6.999999999999984E-2</v>
      </c>
      <c r="AJ312" s="790">
        <v>-1.8170000000000002</v>
      </c>
      <c r="AK312" s="790">
        <v>-8.3770000000000007</v>
      </c>
      <c r="AL312" s="790">
        <v>-15.544</v>
      </c>
      <c r="AM312" s="790">
        <v>-7.6230000000000002</v>
      </c>
      <c r="AN312" s="790">
        <v>-4.4009999999999998</v>
      </c>
      <c r="AO312" s="790">
        <v>0.53099999999999969</v>
      </c>
      <c r="AP312" s="790">
        <v>-3.4399999999999959</v>
      </c>
      <c r="AQ312" s="790">
        <f t="shared" ref="AQ312:BJ312" si="1606">+AQ314+AQ316+AQ318+AQ321</f>
        <v>-0.59099999999999997</v>
      </c>
      <c r="AR312" s="790">
        <f t="shared" si="1606"/>
        <v>-3.9260000000000002</v>
      </c>
      <c r="AS312" s="790">
        <f t="shared" si="1606"/>
        <v>-3.6269999999999998</v>
      </c>
      <c r="AT312" s="790">
        <f t="shared" si="1606"/>
        <v>-15.123000000000001</v>
      </c>
      <c r="AU312" s="790">
        <f t="shared" si="1606"/>
        <v>2.1139999999999999</v>
      </c>
      <c r="AV312" s="790">
        <f t="shared" si="1606"/>
        <v>-1.4850000000000003</v>
      </c>
      <c r="AW312" s="790">
        <f t="shared" si="1606"/>
        <v>0.4640000000000013</v>
      </c>
      <c r="AX312" s="790">
        <f t="shared" si="1606"/>
        <v>-5.9430000000000032</v>
      </c>
      <c r="AY312" s="790">
        <f t="shared" si="1606"/>
        <v>-4.8689999999999998</v>
      </c>
      <c r="AZ312" s="790">
        <f t="shared" si="1606"/>
        <v>-2.6360000000000001</v>
      </c>
      <c r="BA312" s="790">
        <f t="shared" si="1606"/>
        <v>-7.05</v>
      </c>
      <c r="BB312" s="790">
        <f t="shared" si="1606"/>
        <v>-5.6110000000000007</v>
      </c>
      <c r="BC312" s="791">
        <f t="shared" si="1606"/>
        <v>-7.6590000000000007</v>
      </c>
      <c r="BD312" s="791">
        <f t="shared" si="1606"/>
        <v>-2.1579999999999995</v>
      </c>
      <c r="BE312" s="791">
        <f t="shared" si="1606"/>
        <v>-5.0759999999999996</v>
      </c>
      <c r="BF312" s="791">
        <f t="shared" si="1606"/>
        <v>-1.5009999999999994</v>
      </c>
      <c r="BG312" s="791">
        <f t="shared" si="1606"/>
        <v>-2.5020000000000002</v>
      </c>
      <c r="BH312" s="791">
        <f t="shared" si="1606"/>
        <v>0.754</v>
      </c>
      <c r="BI312" s="791">
        <f t="shared" si="1606"/>
        <v>-1.1880000000000002</v>
      </c>
      <c r="BJ312" s="790">
        <f t="shared" si="1606"/>
        <v>-0.45800000000000007</v>
      </c>
      <c r="BK312" s="790">
        <f>+BK314+BK316+BK318+BK321</f>
        <v>-1.9000000000000001</v>
      </c>
      <c r="BL312" s="790">
        <f>+BL314+BL316+BL318+BL321</f>
        <v>-6.6</v>
      </c>
      <c r="BM312" s="790">
        <f>+BM314+BM316+BM318+BM321</f>
        <v>-4.4000000000000004</v>
      </c>
      <c r="BN312" s="790">
        <f>+BN314+BN316+BN318+BN321</f>
        <v>-6.4</v>
      </c>
      <c r="BO312" s="790">
        <f>+BO314+BO316+BO318+BO321</f>
        <v>-13.7</v>
      </c>
      <c r="BP312" s="790">
        <f t="shared" ref="BP312:BV312" si="1607">+BP314+BP316+BP318+BP321</f>
        <v>-13</v>
      </c>
      <c r="BQ312" s="790">
        <f t="shared" si="1607"/>
        <v>-7.9</v>
      </c>
      <c r="BR312" s="790">
        <f t="shared" si="1607"/>
        <v>3.2</v>
      </c>
      <c r="BS312" s="790">
        <f t="shared" si="1607"/>
        <v>-20.8</v>
      </c>
      <c r="BT312" s="790">
        <f t="shared" si="1607"/>
        <v>-5</v>
      </c>
      <c r="BU312" s="790">
        <f t="shared" si="1607"/>
        <v>3.1999999999999997</v>
      </c>
      <c r="BV312" s="790">
        <f t="shared" si="1607"/>
        <v>-12.1</v>
      </c>
      <c r="BW312" s="790">
        <f t="shared" ref="BW312:CD312" si="1608">+BW314+BW316+BW318+BW321</f>
        <v>-44.286000000000001</v>
      </c>
      <c r="BX312" s="790">
        <f t="shared" si="1608"/>
        <v>-4.5999999999999996</v>
      </c>
      <c r="BY312" s="790">
        <f t="shared" si="1608"/>
        <v>-94.9</v>
      </c>
      <c r="BZ312" s="790">
        <f t="shared" si="1608"/>
        <v>-40.137</v>
      </c>
      <c r="CA312" s="790">
        <f t="shared" si="1608"/>
        <v>-10.6</v>
      </c>
      <c r="CB312" s="790">
        <f t="shared" si="1608"/>
        <v>-4.9000000000000004</v>
      </c>
      <c r="CC312" s="790">
        <f t="shared" si="1608"/>
        <v>-21.5</v>
      </c>
      <c r="CD312" s="790">
        <f t="shared" si="1608"/>
        <v>-24.499999999999996</v>
      </c>
      <c r="CE312" s="790">
        <f t="shared" ref="CE312:CG312" si="1609">+CE314+CE316+CE318+CE321</f>
        <v>-35.116</v>
      </c>
      <c r="CF312" s="790">
        <f t="shared" si="1609"/>
        <v>11.2</v>
      </c>
      <c r="CG312" s="790">
        <f t="shared" si="1609"/>
        <v>-34.563000000000002</v>
      </c>
      <c r="CH312" s="790">
        <f t="shared" ref="CH312:CI312" si="1610">+CH314+CH316+CH318+CH321</f>
        <v>-109.71400000000003</v>
      </c>
      <c r="CI312" s="790">
        <f t="shared" si="1610"/>
        <v>-33.915999999999997</v>
      </c>
      <c r="CJ312" s="790">
        <f t="shared" ref="CJ312" si="1611">+CJ314+CJ316+CJ318+CJ321</f>
        <v>-11.3</v>
      </c>
      <c r="CK312" s="790">
        <f t="shared" ref="CK312:CL312" si="1612">+CK314+CK316+CK318+CK321</f>
        <v>-29.795999999999999</v>
      </c>
      <c r="CL312" s="792">
        <f t="shared" si="1612"/>
        <v>-20.963000000000001</v>
      </c>
      <c r="CM312" s="792">
        <f t="shared" ref="CM312:CP312" si="1613">+CM314+CM316+CM318+CM321</f>
        <v>-12.641500000000001</v>
      </c>
      <c r="CN312" s="792">
        <f t="shared" si="1613"/>
        <v>-10.941125</v>
      </c>
      <c r="CO312" s="792">
        <f t="shared" si="1613"/>
        <v>-14.35140625</v>
      </c>
      <c r="CP312" s="792">
        <f t="shared" si="1613"/>
        <v>-14.724257812499999</v>
      </c>
      <c r="CQ312" s="792"/>
      <c r="CR312" s="792"/>
      <c r="CS312" s="792">
        <v>0</v>
      </c>
      <c r="CT312" s="1133"/>
      <c r="CU312" s="790"/>
      <c r="CV312" s="790"/>
      <c r="CW312" s="790"/>
      <c r="CX312" s="789">
        <f>SUM(O312:R312)</f>
        <v>-14.5</v>
      </c>
      <c r="CY312" s="789">
        <f>SUM(S312:V312)</f>
        <v>-21</v>
      </c>
      <c r="CZ312" s="789">
        <f>SUM(W312:Z312)</f>
        <v>-29.8</v>
      </c>
      <c r="DA312" s="789">
        <f>SUM(AA312:AD312)</f>
        <v>-17.599999999999998</v>
      </c>
      <c r="DB312" s="789">
        <f>SUM(AE312:AH312)</f>
        <v>-6.8439999999999994</v>
      </c>
      <c r="DC312" s="789">
        <f>+SUM(AI312:AL312)</f>
        <v>-25.667999999999999</v>
      </c>
      <c r="DD312" s="789">
        <f>+SUM(AM312:AP312)</f>
        <v>-14.932999999999998</v>
      </c>
      <c r="DE312" s="789">
        <f>+SUM(AQ312:AT312)</f>
        <v>-23.267000000000003</v>
      </c>
      <c r="DF312" s="790">
        <f>+SUM(AU312:AX312)</f>
        <v>-4.8500000000000023</v>
      </c>
      <c r="DG312" s="790">
        <f>+SUM(AY312:BB312)</f>
        <v>-20.166</v>
      </c>
      <c r="DH312" s="790">
        <f>+SUM(BC312:BF312)</f>
        <v>-16.393999999999998</v>
      </c>
      <c r="DI312" s="790">
        <f>+SUM(BG312:BJ312)</f>
        <v>-3.3940000000000006</v>
      </c>
      <c r="DJ312" s="790">
        <f t="shared" ref="DJ312:DL312" si="1614">+DJ314+DJ316+DJ318+DJ321</f>
        <v>-19.3</v>
      </c>
      <c r="DK312" s="790">
        <f t="shared" si="1614"/>
        <v>-31.4</v>
      </c>
      <c r="DL312" s="790">
        <f t="shared" si="1614"/>
        <v>-34.700000000000003</v>
      </c>
      <c r="DM312" s="790">
        <f t="shared" ref="DM312:DR312" si="1615">+DM314+DM316+DM318+DM321</f>
        <v>-183.92300000000003</v>
      </c>
      <c r="DN312" s="790">
        <f t="shared" si="1615"/>
        <v>-61.5</v>
      </c>
      <c r="DO312" s="790">
        <f t="shared" si="1615"/>
        <v>-168.19300000000001</v>
      </c>
      <c r="DP312" s="790">
        <f t="shared" si="1615"/>
        <v>-95.974999999999994</v>
      </c>
      <c r="DQ312" s="790">
        <f t="shared" ref="DQ312" si="1616">+DQ314+DQ316+DQ318+DQ321</f>
        <v>-52.658289062500003</v>
      </c>
      <c r="DR312" s="812">
        <f t="shared" si="1615"/>
        <v>-54.764620625000006</v>
      </c>
      <c r="DS312" s="812">
        <f t="shared" ref="DS312:DU312" si="1617">+DS314+DS316+DS318+DS321</f>
        <v>-56.955205450000008</v>
      </c>
      <c r="DT312" s="812">
        <f t="shared" si="1617"/>
        <v>-59.233413668000011</v>
      </c>
      <c r="DU312" s="812">
        <f t="shared" si="1617"/>
        <v>-61.602750214720011</v>
      </c>
      <c r="DV312" s="789"/>
      <c r="DW312" s="789"/>
      <c r="DY312" s="812">
        <v>-24.872640000000001</v>
      </c>
      <c r="DZ312" s="812">
        <v>-25.8675456</v>
      </c>
    </row>
    <row r="313" spans="1:130">
      <c r="A313" s="159"/>
      <c r="B313" s="159"/>
      <c r="C313" s="174"/>
      <c r="D313" s="174"/>
      <c r="E313" s="174"/>
      <c r="F313" s="174"/>
      <c r="G313" s="174"/>
      <c r="H313" s="174"/>
      <c r="I313" s="174"/>
      <c r="J313" s="174"/>
      <c r="K313" s="174"/>
      <c r="L313" s="174"/>
      <c r="M313" s="174"/>
      <c r="N313" s="174"/>
      <c r="O313" s="174"/>
      <c r="P313" s="174"/>
      <c r="Q313" s="174"/>
      <c r="R313" s="174"/>
      <c r="S313" s="174"/>
      <c r="T313" s="174"/>
      <c r="U313" s="174"/>
      <c r="V313" s="174"/>
      <c r="W313" s="174"/>
      <c r="X313" s="174"/>
      <c r="Y313" s="174"/>
      <c r="Z313" s="174"/>
      <c r="AA313" s="174"/>
      <c r="AB313" s="174"/>
      <c r="AC313" s="174"/>
      <c r="AD313" s="174"/>
      <c r="AE313" s="174"/>
      <c r="AF313" s="174"/>
      <c r="AG313" s="174"/>
      <c r="AH313" s="174"/>
      <c r="AI313" s="174"/>
      <c r="AJ313" s="174"/>
      <c r="AK313" s="174"/>
      <c r="AL313" s="174"/>
      <c r="AM313" s="174"/>
      <c r="AN313" s="174"/>
      <c r="AO313" s="174"/>
      <c r="AP313" s="174"/>
      <c r="AQ313" s="174"/>
      <c r="AR313" s="174"/>
      <c r="AS313" s="174"/>
      <c r="AT313" s="174"/>
      <c r="AU313" s="174"/>
      <c r="AV313" s="174"/>
      <c r="AW313" s="174"/>
      <c r="AX313" s="174"/>
      <c r="AY313" s="174"/>
      <c r="AZ313" s="174"/>
      <c r="BA313" s="174"/>
      <c r="BB313" s="174"/>
      <c r="BC313" s="181"/>
      <c r="BD313" s="174"/>
      <c r="BE313" s="174"/>
      <c r="BF313" s="174"/>
      <c r="BG313" s="174"/>
      <c r="BH313" s="174"/>
      <c r="BI313" s="174"/>
      <c r="BJ313" s="174"/>
      <c r="BK313" s="174"/>
      <c r="BL313" s="174"/>
      <c r="BM313" s="174"/>
      <c r="BN313" s="174"/>
      <c r="BO313" s="174"/>
      <c r="BP313" s="174"/>
      <c r="BQ313" s="174"/>
      <c r="BR313" s="174"/>
      <c r="BS313" s="174"/>
      <c r="BT313" s="174"/>
      <c r="BU313" s="174"/>
      <c r="BV313" s="174"/>
      <c r="BW313" s="174"/>
      <c r="BX313" s="174"/>
      <c r="BY313" s="174"/>
      <c r="BZ313" s="174"/>
      <c r="CA313" s="174"/>
      <c r="CB313" s="174"/>
      <c r="CC313" s="174"/>
      <c r="CD313" s="174"/>
      <c r="CE313" s="174"/>
      <c r="CF313" s="174"/>
      <c r="CG313" s="174"/>
      <c r="CH313" s="174"/>
      <c r="CI313" s="174"/>
      <c r="CJ313" s="174"/>
      <c r="CK313" s="174"/>
      <c r="CL313" s="174"/>
      <c r="CM313" s="174"/>
      <c r="CN313" s="174"/>
      <c r="CO313" s="174"/>
      <c r="CP313" s="174"/>
      <c r="CQ313" s="174"/>
      <c r="CR313" s="174"/>
      <c r="CS313" s="174"/>
      <c r="CT313" s="1133"/>
      <c r="CU313" s="174"/>
      <c r="CV313" s="174"/>
      <c r="CW313" s="174"/>
      <c r="CX313" s="174"/>
      <c r="CY313" s="159"/>
      <c r="CZ313" s="159"/>
      <c r="DA313" s="159"/>
      <c r="DB313" s="159"/>
      <c r="DC313" s="159"/>
      <c r="DD313" s="159"/>
      <c r="DE313" s="159"/>
      <c r="DF313" s="159"/>
      <c r="DG313" s="159"/>
      <c r="DH313" s="159"/>
      <c r="DI313" s="159"/>
      <c r="DJ313" s="159"/>
      <c r="DK313" s="159"/>
      <c r="DL313" s="159"/>
      <c r="DM313" s="159"/>
      <c r="DN313" s="159"/>
      <c r="DO313" s="159"/>
      <c r="DP313" s="159"/>
      <c r="DQ313" s="159"/>
      <c r="DR313" s="159"/>
      <c r="DS313" s="159"/>
      <c r="DT313" s="159"/>
      <c r="DU313" s="159"/>
      <c r="DV313" s="159"/>
      <c r="DW313" s="159"/>
      <c r="DY313" s="159"/>
      <c r="DZ313" s="159"/>
    </row>
    <row r="314" spans="1:130" s="794" customFormat="1" ht="12.75">
      <c r="A314" s="784" t="s">
        <v>713</v>
      </c>
      <c r="B314" s="784"/>
      <c r="C314" s="785">
        <v>0</v>
      </c>
      <c r="D314" s="785">
        <v>0</v>
      </c>
      <c r="E314" s="785">
        <v>0</v>
      </c>
      <c r="F314" s="785">
        <v>0</v>
      </c>
      <c r="G314" s="785">
        <v>0</v>
      </c>
      <c r="H314" s="785">
        <v>0</v>
      </c>
      <c r="I314" s="785">
        <v>-0.1</v>
      </c>
      <c r="J314" s="785">
        <v>0</v>
      </c>
      <c r="K314" s="785">
        <v>0</v>
      </c>
      <c r="L314" s="785">
        <v>0</v>
      </c>
      <c r="M314" s="785">
        <v>0</v>
      </c>
      <c r="N314" s="785">
        <v>0</v>
      </c>
      <c r="O314" s="785">
        <v>0</v>
      </c>
      <c r="P314" s="785">
        <v>0</v>
      </c>
      <c r="Q314" s="785">
        <v>0</v>
      </c>
      <c r="R314" s="785">
        <v>0</v>
      </c>
      <c r="S314" s="785">
        <v>0</v>
      </c>
      <c r="T314" s="785"/>
      <c r="U314" s="785"/>
      <c r="V314" s="785">
        <v>1.3</v>
      </c>
      <c r="W314" s="785">
        <v>-0.4</v>
      </c>
      <c r="X314" s="785">
        <v>1.8</v>
      </c>
      <c r="Y314" s="785">
        <v>-1.1000000000000001</v>
      </c>
      <c r="Z314" s="785">
        <v>-0.4</v>
      </c>
      <c r="AA314" s="785">
        <v>0.3</v>
      </c>
      <c r="AB314" s="785">
        <v>0</v>
      </c>
      <c r="AC314" s="785">
        <v>-0.2</v>
      </c>
      <c r="AD314" s="785">
        <v>-0.1</v>
      </c>
      <c r="AE314" s="785">
        <v>-8.0000000000000002E-3</v>
      </c>
      <c r="AF314" s="785">
        <v>1.7000000000000001E-2</v>
      </c>
      <c r="AG314" s="785">
        <v>-1.1029999999999998</v>
      </c>
      <c r="AH314" s="785">
        <v>-0.6990000000000004</v>
      </c>
      <c r="AI314" s="785">
        <v>1.403</v>
      </c>
      <c r="AJ314" s="785">
        <v>0.16500000000000001</v>
      </c>
      <c r="AK314" s="785">
        <v>0.27899999999999991</v>
      </c>
      <c r="AL314" s="785">
        <v>-0.12800000000000056</v>
      </c>
      <c r="AM314" s="785">
        <v>1.655</v>
      </c>
      <c r="AN314" s="785">
        <v>-1.3220000000000001</v>
      </c>
      <c r="AO314" s="785">
        <v>2.6509999999999998</v>
      </c>
      <c r="AP314" s="785">
        <v>-0.78599999999999937</v>
      </c>
      <c r="AQ314" s="786">
        <f>2.61-0.776</f>
        <v>1.8339999999999999</v>
      </c>
      <c r="AR314" s="786">
        <f>1.847-3.611</f>
        <v>-1.7640000000000002</v>
      </c>
      <c r="AS314" s="786">
        <f>15.018-15</f>
        <v>1.8000000000000682E-2</v>
      </c>
      <c r="AT314" s="786">
        <f>26.933-25.07-AS314-AR314-AQ314</f>
        <v>1.7749999999999992</v>
      </c>
      <c r="AU314" s="786">
        <f>11.761-12.338</f>
        <v>-0.57699999999999996</v>
      </c>
      <c r="AV314" s="786">
        <f>8.508-5.249</f>
        <v>3.2589999999999995</v>
      </c>
      <c r="AW314" s="786">
        <f>3.7-2.877</f>
        <v>0.8230000000000004</v>
      </c>
      <c r="AX314" s="786">
        <f>31.77-27.93-AW314-AV314-AU314</f>
        <v>0.33499999999999996</v>
      </c>
      <c r="AY314" s="786">
        <f>0.459-0.763</f>
        <v>-0.30399999999999999</v>
      </c>
      <c r="AZ314" s="786">
        <f>0.256-0.508</f>
        <v>-0.252</v>
      </c>
      <c r="BA314" s="786">
        <f>-0.222-0.552+0.453+0.428</f>
        <v>0.10699999999999998</v>
      </c>
      <c r="BB314" s="786">
        <f>-1.927-3.328+1.841+0.768-BA314-AZ314-AY314</f>
        <v>-2.1970000000000005</v>
      </c>
      <c r="BC314" s="787">
        <f>0.697-0.956</f>
        <v>-0.25900000000000001</v>
      </c>
      <c r="BD314" s="786">
        <f>1.236+0.078-0.414-0.758</f>
        <v>0.14200000000000013</v>
      </c>
      <c r="BE314" s="786">
        <f>-1.059-0.469+0.567+0.001</f>
        <v>-0.96000000000000008</v>
      </c>
      <c r="BF314" s="786">
        <f>-3.407-2.264-BE314-BD314-BC314+3.722+0.27</f>
        <v>-0.60199999999999942</v>
      </c>
      <c r="BG314" s="786">
        <f>-0.837-0.371+1.539+0.023</f>
        <v>0.35399999999999998</v>
      </c>
      <c r="BH314" s="786">
        <f>3.75-1.713</f>
        <v>2.0369999999999999</v>
      </c>
      <c r="BI314" s="786">
        <f>1.168-0.409</f>
        <v>0.7589999999999999</v>
      </c>
      <c r="BJ314" s="786">
        <f>7.079-3.666-BI314-BH314-BG314</f>
        <v>0.26300000000000001</v>
      </c>
      <c r="BK314" s="786">
        <v>1.3</v>
      </c>
      <c r="BL314" s="786">
        <v>-3.2</v>
      </c>
      <c r="BM314" s="786">
        <v>-0.2</v>
      </c>
      <c r="BN314" s="786">
        <v>-2.2000000000000002</v>
      </c>
      <c r="BO314" s="786">
        <v>-9.5</v>
      </c>
      <c r="BP314" s="786">
        <v>-9.8000000000000007</v>
      </c>
      <c r="BQ314" s="786">
        <v>-4.3</v>
      </c>
      <c r="BR314" s="786">
        <v>7.8</v>
      </c>
      <c r="BS314" s="786">
        <v>-16.8</v>
      </c>
      <c r="BT314" s="786">
        <v>-0.9</v>
      </c>
      <c r="BU314" s="786">
        <v>6.1</v>
      </c>
      <c r="BV314" s="786">
        <v>6.6</v>
      </c>
      <c r="BW314" s="786">
        <v>-17.501999999999999</v>
      </c>
      <c r="BX314" s="786">
        <v>-1.6</v>
      </c>
      <c r="BY314" s="786">
        <v>-91.5</v>
      </c>
      <c r="BZ314" s="786">
        <f>-80.592-94.02-BY314-BX314-BW314</f>
        <v>-64.010000000000005</v>
      </c>
      <c r="CA314" s="786">
        <v>-7.8</v>
      </c>
      <c r="CB314" s="786">
        <v>-4.9000000000000004</v>
      </c>
      <c r="CC314" s="786">
        <v>-28.3</v>
      </c>
      <c r="CD314" s="786">
        <f>-58.5-CC314-CB314-CA314</f>
        <v>-17.499999999999996</v>
      </c>
      <c r="CE314" s="786">
        <v>-13.170999999999999</v>
      </c>
      <c r="CF314" s="786">
        <v>10.199999999999999</v>
      </c>
      <c r="CG314" s="786">
        <v>-18.992999999999999</v>
      </c>
      <c r="CH314" s="786">
        <f>-77.429-CG314-CF314-CE314</f>
        <v>-55.465000000000011</v>
      </c>
      <c r="CI314" s="786">
        <v>-14.473000000000001</v>
      </c>
      <c r="CJ314" s="786">
        <v>-14</v>
      </c>
      <c r="CK314" s="786">
        <v>-16.936</v>
      </c>
      <c r="CL314" s="793"/>
      <c r="CM314" s="793"/>
      <c r="CN314" s="793"/>
      <c r="CO314" s="793"/>
      <c r="CP314" s="793"/>
      <c r="CQ314" s="793"/>
      <c r="CR314" s="793"/>
      <c r="CS314" s="793"/>
      <c r="CT314" s="1133"/>
      <c r="CU314" s="784">
        <f>SUM(C314:F314)</f>
        <v>0</v>
      </c>
      <c r="CV314" s="784">
        <f>SUM(G314:J314)</f>
        <v>-0.1</v>
      </c>
      <c r="CW314" s="784"/>
      <c r="CX314" s="784">
        <f>SUM(O314:R314)</f>
        <v>0</v>
      </c>
      <c r="CY314" s="784">
        <f>SUM(S314:V314)</f>
        <v>1.3</v>
      </c>
      <c r="CZ314" s="784">
        <f>SUM(W314:Z314)</f>
        <v>-0.1000000000000002</v>
      </c>
      <c r="DA314" s="784">
        <f>SUM(AA314:AD314)</f>
        <v>0</v>
      </c>
      <c r="DB314" s="784">
        <f>SUM(AE314:AH314)</f>
        <v>-1.7930000000000001</v>
      </c>
      <c r="DC314" s="784">
        <f>+SUM(AI314:AL314)</f>
        <v>1.7189999999999994</v>
      </c>
      <c r="DD314" s="784">
        <f>+SUM(AM314:AP314)</f>
        <v>2.1980000000000004</v>
      </c>
      <c r="DE314" s="784">
        <f>+SUM(AQ314:AT314)</f>
        <v>1.8629999999999995</v>
      </c>
      <c r="DF314" s="785">
        <f>+SUM(AU314:AX314)</f>
        <v>3.84</v>
      </c>
      <c r="DG314" s="785">
        <f>+SUM(AY314:BB314)</f>
        <v>-2.6460000000000008</v>
      </c>
      <c r="DH314" s="785">
        <f>+SUM(BC314:BF314)</f>
        <v>-1.6789999999999994</v>
      </c>
      <c r="DI314" s="785">
        <f>+SUM(BG314:BJ314)</f>
        <v>3.4129999999999998</v>
      </c>
      <c r="DJ314" s="785">
        <f>+SUM(BK314:BN314)</f>
        <v>-4.3000000000000007</v>
      </c>
      <c r="DK314" s="785">
        <f>+SUM(BO314:BR314)</f>
        <v>-15.8</v>
      </c>
      <c r="DL314" s="785">
        <f>+SUM(BS314:BV314)</f>
        <v>-5</v>
      </c>
      <c r="DM314" s="785">
        <f>+SUM(BW314:BZ314)</f>
        <v>-174.61200000000002</v>
      </c>
      <c r="DN314" s="785">
        <f>+SUM(CA314:CD314)</f>
        <v>-58.5</v>
      </c>
      <c r="DO314" s="785">
        <f>+SUM(CE314:CH314)</f>
        <v>-77.429000000000002</v>
      </c>
      <c r="DP314" s="785">
        <f>+SUM(CI314:CL314)</f>
        <v>-45.408999999999999</v>
      </c>
      <c r="DQ314" s="785">
        <f>+SUM(CM314:CP314)</f>
        <v>0</v>
      </c>
      <c r="DR314" s="793">
        <f>+DQ314*1.04</f>
        <v>0</v>
      </c>
      <c r="DS314" s="793">
        <f t="shared" ref="DS314:DU314" si="1618">+DR314*1.04</f>
        <v>0</v>
      </c>
      <c r="DT314" s="793">
        <f t="shared" si="1618"/>
        <v>0</v>
      </c>
      <c r="DU314" s="793">
        <f t="shared" si="1618"/>
        <v>0</v>
      </c>
      <c r="DV314" s="784"/>
      <c r="DW314" s="784"/>
      <c r="DY314" s="793">
        <v>-3.0898400000000001</v>
      </c>
      <c r="DZ314" s="793">
        <v>-3.2134336000000001</v>
      </c>
    </row>
    <row r="315" spans="1:130">
      <c r="A315" s="159"/>
      <c r="B315" s="159"/>
      <c r="C315" s="174"/>
      <c r="D315" s="174"/>
      <c r="E315" s="174"/>
      <c r="F315" s="174"/>
      <c r="G315" s="174"/>
      <c r="H315" s="174"/>
      <c r="I315" s="174"/>
      <c r="J315" s="174"/>
      <c r="K315" s="174"/>
      <c r="L315" s="174"/>
      <c r="M315" s="174"/>
      <c r="N315" s="174"/>
      <c r="O315" s="174"/>
      <c r="P315" s="174"/>
      <c r="Q315" s="174"/>
      <c r="R315" s="174"/>
      <c r="S315" s="174"/>
      <c r="T315" s="174"/>
      <c r="U315" s="174"/>
      <c r="V315" s="174"/>
      <c r="W315" s="174"/>
      <c r="X315" s="174"/>
      <c r="Y315" s="174"/>
      <c r="Z315" s="179"/>
      <c r="AA315" s="174"/>
      <c r="AB315" s="174"/>
      <c r="AC315" s="174"/>
      <c r="AD315" s="174"/>
      <c r="AE315" s="174"/>
      <c r="AF315" s="174"/>
      <c r="AG315" s="174"/>
      <c r="AH315" s="174"/>
      <c r="AI315" s="174"/>
      <c r="AJ315" s="174"/>
      <c r="AK315" s="174"/>
      <c r="AL315" s="174"/>
      <c r="AM315" s="174"/>
      <c r="AN315" s="174"/>
      <c r="AO315" s="174"/>
      <c r="AP315" s="174"/>
      <c r="AQ315" s="174"/>
      <c r="AR315" s="174"/>
      <c r="AS315" s="174"/>
      <c r="AT315" s="174"/>
      <c r="AU315" s="174"/>
      <c r="AV315" s="174"/>
      <c r="AW315" s="174"/>
      <c r="AX315" s="174"/>
      <c r="AY315" s="174"/>
      <c r="AZ315" s="174"/>
      <c r="BA315" s="174"/>
      <c r="BB315" s="174"/>
      <c r="BC315" s="181"/>
      <c r="BD315" s="174"/>
      <c r="BE315" s="174"/>
      <c r="BF315" s="174"/>
      <c r="BG315" s="174"/>
      <c r="BH315" s="174"/>
      <c r="BI315" s="174"/>
      <c r="BJ315" s="174"/>
      <c r="BK315" s="174"/>
      <c r="BL315" s="174"/>
      <c r="BM315" s="174"/>
      <c r="BN315" s="174"/>
      <c r="BO315" s="174"/>
      <c r="BP315" s="174"/>
      <c r="BQ315" s="174"/>
      <c r="BR315" s="174"/>
      <c r="BS315" s="174"/>
      <c r="BT315" s="174"/>
      <c r="BU315" s="174"/>
      <c r="BV315" s="174"/>
      <c r="BW315" s="174"/>
      <c r="BX315" s="174"/>
      <c r="BY315" s="174"/>
      <c r="BZ315" s="174"/>
      <c r="CA315" s="174"/>
      <c r="CB315" s="174"/>
      <c r="CC315" s="174"/>
      <c r="CD315" s="174"/>
      <c r="CE315" s="174"/>
      <c r="CF315" s="174"/>
      <c r="CG315" s="174"/>
      <c r="CH315" s="174"/>
      <c r="CI315" s="174"/>
      <c r="CJ315" s="174"/>
      <c r="CK315" s="174"/>
      <c r="CL315" s="174"/>
      <c r="CM315" s="174"/>
      <c r="CN315" s="174"/>
      <c r="CO315" s="174"/>
      <c r="CP315" s="174"/>
      <c r="CQ315" s="174"/>
      <c r="CR315" s="174"/>
      <c r="CS315" s="174"/>
      <c r="CT315" s="1133"/>
      <c r="CU315" s="174"/>
      <c r="CV315" s="174"/>
      <c r="CW315" s="174"/>
      <c r="CX315" s="174"/>
      <c r="CY315" s="159"/>
      <c r="CZ315" s="159"/>
      <c r="DA315" s="159"/>
      <c r="DB315" s="159"/>
      <c r="DC315" s="159"/>
      <c r="DD315" s="159"/>
      <c r="DE315" s="159"/>
      <c r="DF315" s="159"/>
      <c r="DG315" s="159"/>
      <c r="DH315" s="159"/>
      <c r="DI315" s="159"/>
      <c r="DJ315" s="159"/>
      <c r="DK315" s="159"/>
      <c r="DL315" s="159"/>
      <c r="DM315" s="159"/>
      <c r="DN315" s="159"/>
      <c r="DO315" s="159"/>
      <c r="DP315" s="159"/>
      <c r="DQ315" s="159"/>
      <c r="DR315" s="159"/>
      <c r="DS315" s="159"/>
      <c r="DT315" s="159"/>
      <c r="DU315" s="159"/>
      <c r="DV315" s="159"/>
      <c r="DW315" s="159"/>
      <c r="DY315" s="159"/>
      <c r="DZ315" s="159"/>
    </row>
    <row r="316" spans="1:130" hidden="1">
      <c r="A316" s="159" t="s">
        <v>714</v>
      </c>
      <c r="B316" s="159"/>
      <c r="C316" s="180">
        <v>0</v>
      </c>
      <c r="D316" s="180">
        <v>0</v>
      </c>
      <c r="E316" s="180">
        <v>0</v>
      </c>
      <c r="F316" s="180">
        <v>0</v>
      </c>
      <c r="G316" s="180">
        <v>0</v>
      </c>
      <c r="H316" s="180">
        <v>0</v>
      </c>
      <c r="I316" s="179">
        <v>-5.7</v>
      </c>
      <c r="J316" s="179">
        <v>-0.2</v>
      </c>
      <c r="K316" s="179">
        <v>-0.7</v>
      </c>
      <c r="L316" s="179">
        <v>-7.2</v>
      </c>
      <c r="M316" s="179">
        <v>-6.7</v>
      </c>
      <c r="N316" s="179">
        <v>-2.9</v>
      </c>
      <c r="O316" s="179">
        <v>-3</v>
      </c>
      <c r="P316" s="179">
        <v>-2.9</v>
      </c>
      <c r="Q316" s="179">
        <v>-3.5</v>
      </c>
      <c r="R316" s="179">
        <v>-5.0999999999999996</v>
      </c>
      <c r="S316" s="179">
        <v>-3.8</v>
      </c>
      <c r="T316" s="179">
        <v>-4.4000000000000004</v>
      </c>
      <c r="U316" s="179">
        <v>-7.2</v>
      </c>
      <c r="V316" s="179">
        <v>-10.8</v>
      </c>
      <c r="W316" s="179">
        <v>-6.4</v>
      </c>
      <c r="X316" s="179">
        <v>-7.9</v>
      </c>
      <c r="Y316" s="179">
        <v>-8.3000000000000007</v>
      </c>
      <c r="Z316" s="179">
        <v>-6.6</v>
      </c>
      <c r="AA316" s="179">
        <v>-6</v>
      </c>
      <c r="AB316" s="179">
        <v>-6.8</v>
      </c>
      <c r="AC316" s="179">
        <v>-7.5</v>
      </c>
      <c r="AD316" s="178">
        <v>0</v>
      </c>
      <c r="AE316" s="177">
        <v>0</v>
      </c>
      <c r="AF316" s="177">
        <v>0</v>
      </c>
      <c r="AG316" s="177">
        <v>0</v>
      </c>
      <c r="AH316" s="177">
        <v>0</v>
      </c>
      <c r="AI316" s="177">
        <v>0</v>
      </c>
      <c r="AJ316" s="177">
        <v>0</v>
      </c>
      <c r="AK316" s="175">
        <v>0</v>
      </c>
      <c r="AL316" s="175">
        <v>0</v>
      </c>
      <c r="AM316" s="175"/>
      <c r="AN316" s="175"/>
      <c r="AO316" s="175"/>
      <c r="AP316" s="175"/>
      <c r="AQ316" s="175"/>
      <c r="AR316" s="175"/>
      <c r="AS316" s="175"/>
      <c r="AT316" s="175"/>
      <c r="AU316" s="175"/>
      <c r="AV316" s="175"/>
      <c r="AW316" s="175"/>
      <c r="AX316" s="175"/>
      <c r="AY316" s="175"/>
      <c r="AZ316" s="175"/>
      <c r="BA316" s="175"/>
      <c r="BB316" s="175"/>
      <c r="BC316" s="176"/>
      <c r="BD316" s="175"/>
      <c r="BE316" s="175"/>
      <c r="BF316" s="175"/>
      <c r="BG316" s="175"/>
      <c r="BH316" s="175"/>
      <c r="BI316" s="175"/>
      <c r="BJ316" s="175"/>
      <c r="BK316" s="175"/>
      <c r="BL316" s="175"/>
      <c r="BM316" s="175"/>
      <c r="BN316" s="175"/>
      <c r="BO316" s="175"/>
      <c r="BP316" s="175"/>
      <c r="BQ316" s="175"/>
      <c r="BR316" s="175"/>
      <c r="BS316" s="175"/>
      <c r="BT316" s="175"/>
      <c r="BU316" s="175"/>
      <c r="BV316" s="175"/>
      <c r="BW316" s="175"/>
      <c r="BX316" s="175"/>
      <c r="BY316" s="175"/>
      <c r="BZ316" s="175"/>
      <c r="CA316" s="175"/>
      <c r="CB316" s="175"/>
      <c r="CC316" s="175"/>
      <c r="CD316" s="175"/>
      <c r="CE316" s="175"/>
      <c r="CF316" s="175"/>
      <c r="CG316" s="175"/>
      <c r="CH316" s="175"/>
      <c r="CI316" s="175"/>
      <c r="CJ316" s="175"/>
      <c r="CK316" s="175"/>
      <c r="CL316" s="175"/>
      <c r="CM316" s="175"/>
      <c r="CN316" s="175"/>
      <c r="CO316" s="175"/>
      <c r="CP316" s="175"/>
      <c r="CQ316" s="175"/>
      <c r="CR316" s="175"/>
      <c r="CS316" s="175"/>
      <c r="CT316" s="1133"/>
      <c r="CU316" s="163">
        <f>SUM(C316:F316)</f>
        <v>0</v>
      </c>
      <c r="CV316" s="163">
        <f>SUM(G316:J316)</f>
        <v>-5.9</v>
      </c>
      <c r="CW316" s="163"/>
      <c r="CX316" s="163">
        <f>SUM(O316:R316)</f>
        <v>-14.5</v>
      </c>
      <c r="CY316" s="163">
        <f>SUM(S316:V316)</f>
        <v>-26.2</v>
      </c>
      <c r="CZ316" s="163">
        <f>SUM(W316:Z316)</f>
        <v>-29.200000000000003</v>
      </c>
      <c r="DA316" s="163">
        <f>SUM(AA316:AD316)</f>
        <v>-20.3</v>
      </c>
      <c r="DB316" s="163">
        <f>SUM(AE300:AH300)</f>
        <v>-21.009091676141129</v>
      </c>
      <c r="DC316" s="163">
        <f>+SUM(AI316:AL316)</f>
        <v>0</v>
      </c>
      <c r="DD316" s="163">
        <f>+SUM(AM316:AP316)</f>
        <v>0</v>
      </c>
      <c r="DE316" s="162">
        <f>+SUM(AQ316:AT316)</f>
        <v>0</v>
      </c>
      <c r="DF316" s="161">
        <f>+SUM(AU316:AX316)</f>
        <v>0</v>
      </c>
      <c r="DG316" s="159"/>
      <c r="DH316" s="159"/>
      <c r="DI316" s="159"/>
      <c r="DJ316" s="159"/>
      <c r="DK316" s="159"/>
      <c r="DL316" s="159"/>
      <c r="DM316" s="159"/>
      <c r="DN316" s="159"/>
      <c r="DO316" s="159"/>
      <c r="DP316" s="159"/>
      <c r="DQ316" s="159"/>
      <c r="DR316" s="159"/>
      <c r="DS316" s="159"/>
      <c r="DT316" s="159"/>
      <c r="DU316" s="159"/>
      <c r="DV316" s="159"/>
      <c r="DW316" s="159"/>
      <c r="DY316" s="159"/>
      <c r="DZ316" s="159"/>
    </row>
    <row r="317" spans="1:130" hidden="1">
      <c r="A317" s="159"/>
      <c r="B317" s="159"/>
      <c r="C317" s="159"/>
      <c r="D317" s="159"/>
      <c r="E317" s="159"/>
      <c r="F317" s="159"/>
      <c r="G317" s="159"/>
      <c r="H317" s="159"/>
      <c r="I317" s="159"/>
      <c r="J317" s="159"/>
      <c r="K317" s="159"/>
      <c r="L317" s="159"/>
      <c r="M317" s="159"/>
      <c r="N317" s="159"/>
      <c r="O317" s="159"/>
      <c r="P317" s="159"/>
      <c r="Q317" s="159"/>
      <c r="R317" s="159"/>
      <c r="S317" s="159"/>
      <c r="T317" s="159"/>
      <c r="U317" s="159"/>
      <c r="V317" s="159"/>
      <c r="W317" s="159"/>
      <c r="X317" s="159"/>
      <c r="Y317" s="159"/>
      <c r="Z317" s="159"/>
      <c r="AA317" s="159"/>
      <c r="AB317" s="159"/>
      <c r="AC317" s="159"/>
      <c r="AD317" s="159"/>
      <c r="AE317" s="159"/>
      <c r="AF317" s="159"/>
      <c r="AG317" s="159"/>
      <c r="AH317" s="159"/>
      <c r="AI317" s="159"/>
      <c r="AJ317" s="159"/>
      <c r="AK317" s="159"/>
      <c r="AL317" s="159"/>
      <c r="AM317" s="159"/>
      <c r="AN317" s="159"/>
      <c r="AO317" s="159"/>
      <c r="AP317" s="159"/>
      <c r="AQ317" s="159"/>
      <c r="AR317" s="159"/>
      <c r="AS317" s="159"/>
      <c r="AT317" s="159"/>
      <c r="AU317" s="159"/>
      <c r="AV317" s="159"/>
      <c r="AW317" s="159"/>
      <c r="AX317" s="159"/>
      <c r="AY317" s="159"/>
      <c r="AZ317" s="159"/>
      <c r="BA317" s="159"/>
      <c r="BB317" s="159"/>
      <c r="BC317" s="159"/>
      <c r="BD317" s="159"/>
      <c r="BE317" s="159"/>
      <c r="BF317" s="159"/>
      <c r="BG317" s="159"/>
      <c r="BH317" s="159"/>
      <c r="BI317" s="159"/>
      <c r="BJ317" s="159"/>
      <c r="BK317" s="159"/>
      <c r="BL317" s="159"/>
      <c r="BM317" s="159"/>
      <c r="BN317" s="159"/>
      <c r="BO317" s="159"/>
      <c r="BP317" s="159"/>
      <c r="BQ317" s="159"/>
      <c r="BR317" s="159"/>
      <c r="BS317" s="159"/>
      <c r="BT317" s="159"/>
      <c r="BU317" s="159"/>
      <c r="BV317" s="159"/>
      <c r="BW317" s="159"/>
      <c r="BX317" s="159"/>
      <c r="BY317" s="159"/>
      <c r="BZ317" s="159"/>
      <c r="CA317" s="159"/>
      <c r="CB317" s="159"/>
      <c r="CC317" s="159"/>
      <c r="CD317" s="159"/>
      <c r="CE317" s="159"/>
      <c r="CF317" s="159"/>
      <c r="CG317" s="159"/>
      <c r="CH317" s="159"/>
      <c r="CI317" s="159"/>
      <c r="CJ317" s="159"/>
      <c r="CK317" s="159"/>
      <c r="CL317" s="159"/>
      <c r="CM317" s="159"/>
      <c r="CN317" s="159"/>
      <c r="CO317" s="159"/>
      <c r="CP317" s="159"/>
      <c r="CQ317" s="159"/>
      <c r="CR317" s="159"/>
      <c r="CS317" s="159"/>
      <c r="CT317" s="1133"/>
      <c r="CU317" s="159"/>
      <c r="CV317" s="159"/>
      <c r="CW317" s="159"/>
      <c r="CX317" s="159"/>
      <c r="CY317" s="159"/>
      <c r="CZ317" s="159"/>
      <c r="DA317" s="159"/>
      <c r="DB317" s="159"/>
      <c r="DC317" s="159"/>
      <c r="DD317" s="159"/>
      <c r="DE317" s="159"/>
      <c r="DF317" s="159"/>
      <c r="DG317" s="159"/>
      <c r="DH317" s="159"/>
      <c r="DI317" s="159"/>
      <c r="DJ317" s="159"/>
      <c r="DK317" s="159"/>
      <c r="DL317" s="159"/>
      <c r="DM317" s="159"/>
      <c r="DN317" s="159"/>
      <c r="DO317" s="159"/>
      <c r="DP317" s="159"/>
      <c r="DQ317" s="159"/>
      <c r="DR317" s="159"/>
      <c r="DS317" s="159"/>
      <c r="DT317" s="159"/>
      <c r="DU317" s="159"/>
      <c r="DV317" s="159"/>
      <c r="DW317" s="159"/>
      <c r="DY317" s="159"/>
      <c r="DZ317" s="159"/>
    </row>
    <row r="318" spans="1:130" hidden="1">
      <c r="A318" s="159" t="s">
        <v>715</v>
      </c>
      <c r="B318" s="159"/>
      <c r="C318" s="159"/>
      <c r="D318" s="159"/>
      <c r="E318" s="159"/>
      <c r="F318" s="159"/>
      <c r="G318" s="159"/>
      <c r="H318" s="159"/>
      <c r="I318" s="159"/>
      <c r="J318" s="159"/>
      <c r="K318" s="159"/>
      <c r="L318" s="159"/>
      <c r="M318" s="159"/>
      <c r="N318" s="159"/>
      <c r="O318" s="159"/>
      <c r="P318" s="159"/>
      <c r="Q318" s="159"/>
      <c r="R318" s="159"/>
      <c r="S318" s="173">
        <v>0</v>
      </c>
      <c r="T318" s="173">
        <v>3</v>
      </c>
      <c r="U318" s="173">
        <v>0.7</v>
      </c>
      <c r="V318" s="172">
        <v>0.2</v>
      </c>
      <c r="W318" s="173">
        <v>-0.5</v>
      </c>
      <c r="X318" s="173">
        <v>-0.7</v>
      </c>
      <c r="Y318" s="173">
        <v>0</v>
      </c>
      <c r="Z318" s="172">
        <v>0.7</v>
      </c>
      <c r="AA318" s="172">
        <v>0.3</v>
      </c>
      <c r="AB318" s="172">
        <v>0.8</v>
      </c>
      <c r="AC318" s="172">
        <v>0.7</v>
      </c>
      <c r="AD318" s="172">
        <v>0.9</v>
      </c>
      <c r="AE318" s="172">
        <v>1.071</v>
      </c>
      <c r="AF318" s="172">
        <v>-0.3909999999999999</v>
      </c>
      <c r="AG318" s="172">
        <v>0.21999999999999997</v>
      </c>
      <c r="AH318" s="171">
        <v>1.4999999999999902E-2</v>
      </c>
      <c r="AI318" s="171">
        <v>0.39500000000000002</v>
      </c>
      <c r="AJ318" s="171">
        <v>-0.38100000000000001</v>
      </c>
      <c r="AK318" s="171">
        <v>-1.756</v>
      </c>
      <c r="AL318" s="171">
        <v>-5.1910000000000007</v>
      </c>
      <c r="AM318" s="171">
        <v>0</v>
      </c>
      <c r="AN318" s="171">
        <v>0</v>
      </c>
      <c r="AO318" s="171">
        <v>0</v>
      </c>
      <c r="AP318" s="171">
        <v>5.7430000000000003</v>
      </c>
      <c r="AQ318" s="171">
        <v>0</v>
      </c>
      <c r="AR318" s="171">
        <v>0</v>
      </c>
      <c r="AS318" s="171">
        <v>0</v>
      </c>
      <c r="AT318" s="171">
        <v>0</v>
      </c>
      <c r="AU318" s="171">
        <f>+AU319*PROJ!AU92/1000</f>
        <v>0</v>
      </c>
      <c r="AV318" s="171">
        <f>+AV319*PROJ!AV92/1000</f>
        <v>0</v>
      </c>
      <c r="AW318" s="171">
        <f>+AW319*PROJ!AW92/1000</f>
        <v>0</v>
      </c>
      <c r="AX318" s="171"/>
      <c r="AY318" s="171"/>
      <c r="AZ318" s="171"/>
      <c r="BA318" s="171"/>
      <c r="BB318" s="171"/>
      <c r="BC318" s="171"/>
      <c r="BD318" s="160"/>
      <c r="BE318" s="160"/>
      <c r="BF318" s="160"/>
      <c r="BG318" s="160"/>
      <c r="BH318" s="160"/>
      <c r="BI318" s="160"/>
      <c r="BJ318" s="160"/>
      <c r="BK318" s="160"/>
      <c r="BL318" s="160"/>
      <c r="BM318" s="160"/>
      <c r="BN318" s="160"/>
      <c r="BO318" s="160"/>
      <c r="BP318" s="160"/>
      <c r="BQ318" s="160"/>
      <c r="BR318" s="160"/>
      <c r="BS318" s="160"/>
      <c r="BT318" s="160"/>
      <c r="BU318" s="160"/>
      <c r="BV318" s="160"/>
      <c r="BW318" s="160"/>
      <c r="BX318" s="160"/>
      <c r="BY318" s="160"/>
      <c r="BZ318" s="160"/>
      <c r="CA318" s="160"/>
      <c r="CB318" s="160"/>
      <c r="CC318" s="160"/>
      <c r="CD318" s="160"/>
      <c r="CE318" s="160"/>
      <c r="CF318" s="160"/>
      <c r="CG318" s="160"/>
      <c r="CH318" s="160"/>
      <c r="CI318" s="160"/>
      <c r="CJ318" s="160"/>
      <c r="CK318" s="160"/>
      <c r="CL318" s="160"/>
      <c r="CM318" s="160"/>
      <c r="CN318" s="160"/>
      <c r="CO318" s="160"/>
      <c r="CP318" s="160"/>
      <c r="CQ318" s="160"/>
      <c r="CR318" s="160"/>
      <c r="CS318" s="160"/>
      <c r="CT318" s="1133"/>
      <c r="CU318" s="159"/>
      <c r="CV318" s="159"/>
      <c r="CW318" s="159"/>
      <c r="CX318" s="159"/>
      <c r="CY318" s="163"/>
      <c r="CZ318" s="163"/>
      <c r="DA318" s="163"/>
      <c r="DB318" s="163"/>
      <c r="DC318" s="163"/>
      <c r="DD318" s="163"/>
      <c r="DE318" s="162"/>
      <c r="DF318" s="161"/>
      <c r="DG318" s="160"/>
      <c r="DH318" s="160"/>
      <c r="DI318" s="160"/>
      <c r="DJ318" s="160"/>
      <c r="DK318" s="160"/>
      <c r="DL318" s="160"/>
      <c r="DM318" s="160"/>
      <c r="DN318" s="160"/>
      <c r="DO318" s="160"/>
      <c r="DP318" s="160"/>
      <c r="DQ318" s="160"/>
      <c r="DR318" s="160"/>
      <c r="DS318" s="160"/>
      <c r="DT318" s="160"/>
      <c r="DU318" s="160"/>
      <c r="DV318" s="159"/>
      <c r="DW318" s="159"/>
      <c r="DY318" s="160"/>
      <c r="DZ318" s="160"/>
    </row>
    <row r="319" spans="1:130" hidden="1">
      <c r="A319" s="168" t="s">
        <v>716</v>
      </c>
      <c r="B319" s="168"/>
      <c r="C319" s="168"/>
      <c r="D319" s="168"/>
      <c r="E319" s="168"/>
      <c r="F319" s="168"/>
      <c r="G319" s="168"/>
      <c r="H319" s="168"/>
      <c r="I319" s="168"/>
      <c r="J319" s="168"/>
      <c r="K319" s="168"/>
      <c r="L319" s="168"/>
      <c r="M319" s="168"/>
      <c r="N319" s="168"/>
      <c r="O319" s="168"/>
      <c r="P319" s="168"/>
      <c r="Q319" s="168"/>
      <c r="R319" s="168"/>
      <c r="S319" s="168">
        <v>0</v>
      </c>
      <c r="T319" s="168">
        <v>8.0718067932325967E-3</v>
      </c>
      <c r="U319" s="168">
        <v>2.1116457261798815E-3</v>
      </c>
      <c r="V319" s="168">
        <v>3.0920551189745509E-4</v>
      </c>
      <c r="W319" s="168">
        <v>-9.9302302025965571E-4</v>
      </c>
      <c r="X319" s="168">
        <v>-1.2319562409143225E-3</v>
      </c>
      <c r="Y319" s="168">
        <v>0</v>
      </c>
      <c r="Z319" s="168">
        <v>9.1096963608064418E-4</v>
      </c>
      <c r="AA319" s="168">
        <v>4.7980347249766491E-4</v>
      </c>
      <c r="AB319" s="168">
        <v>1.1591515011011939E-3</v>
      </c>
      <c r="AC319" s="168">
        <v>1.0912469523031547E-3</v>
      </c>
      <c r="AD319" s="168">
        <v>1.0422782813525994E-3</v>
      </c>
      <c r="AE319" s="168">
        <v>1.4870435602405373E-3</v>
      </c>
      <c r="AF319" s="168">
        <v>-4.7396352299147341E-4</v>
      </c>
      <c r="AG319" s="168">
        <v>2.9579116068451447E-4</v>
      </c>
      <c r="AH319" s="168">
        <v>1.4905869434520903E-5</v>
      </c>
      <c r="AI319" s="168">
        <v>4.6523844353595355E-4</v>
      </c>
      <c r="AJ319" s="168">
        <v>-3.9649296251008143E-4</v>
      </c>
      <c r="AK319" s="168">
        <v>-1.8447374033114926E-3</v>
      </c>
      <c r="AL319" s="168">
        <v>-4.056425812965247E-3</v>
      </c>
      <c r="AM319" s="168">
        <v>0</v>
      </c>
      <c r="AN319" s="168">
        <v>0</v>
      </c>
      <c r="AO319" s="168">
        <v>0</v>
      </c>
      <c r="AP319" s="168">
        <v>3.6522786517539903E-3</v>
      </c>
      <c r="AQ319" s="168">
        <f>+AQ318/PROJ!AQ92*1000</f>
        <v>0</v>
      </c>
      <c r="AR319" s="168">
        <f>+AR318/PROJ!AR92*1000</f>
        <v>0</v>
      </c>
      <c r="AS319" s="168">
        <f>+AS318/PROJ!AS92*1000</f>
        <v>0</v>
      </c>
      <c r="AT319" s="168">
        <f>+AT318/PROJ!AT92*1000</f>
        <v>0</v>
      </c>
      <c r="AU319" s="168">
        <f>+AT319</f>
        <v>0</v>
      </c>
      <c r="AV319" s="168">
        <f>+AU319</f>
        <v>0</v>
      </c>
      <c r="AW319" s="168">
        <f>+AV319</f>
        <v>0</v>
      </c>
      <c r="AX319" s="168"/>
      <c r="AY319" s="168"/>
      <c r="AZ319" s="168"/>
      <c r="BA319" s="168"/>
      <c r="BB319" s="168"/>
      <c r="BC319" s="168"/>
      <c r="BD319" s="168"/>
      <c r="BE319" s="168"/>
      <c r="BF319" s="169"/>
      <c r="BG319" s="169"/>
      <c r="BH319" s="169"/>
      <c r="BI319" s="169"/>
      <c r="BJ319" s="169"/>
      <c r="BK319" s="168"/>
      <c r="BL319" s="169"/>
      <c r="BM319" s="169"/>
      <c r="BN319" s="169"/>
      <c r="BO319" s="169"/>
      <c r="BP319" s="169"/>
      <c r="BQ319" s="169"/>
      <c r="BR319" s="169"/>
      <c r="BS319" s="169"/>
      <c r="BT319" s="169"/>
      <c r="BU319" s="169"/>
      <c r="BV319" s="169"/>
      <c r="BW319" s="169"/>
      <c r="BX319" s="169"/>
      <c r="BY319" s="169"/>
      <c r="BZ319" s="169"/>
      <c r="CA319" s="169"/>
      <c r="CB319" s="169"/>
      <c r="CC319" s="169"/>
      <c r="CD319" s="169"/>
      <c r="CE319" s="169"/>
      <c r="CF319" s="169"/>
      <c r="CG319" s="169"/>
      <c r="CH319" s="169"/>
      <c r="CI319" s="169"/>
      <c r="CJ319" s="169"/>
      <c r="CK319" s="169"/>
      <c r="CL319" s="169"/>
      <c r="CM319" s="169"/>
      <c r="CN319" s="169"/>
      <c r="CO319" s="169"/>
      <c r="CP319" s="169"/>
      <c r="CQ319" s="169"/>
      <c r="CR319" s="169"/>
      <c r="CS319" s="169"/>
      <c r="CT319" s="1133"/>
      <c r="CU319" s="168"/>
      <c r="CV319" s="168"/>
      <c r="CW319" s="168"/>
      <c r="CX319" s="168"/>
      <c r="CY319" s="168"/>
      <c r="CZ319" s="168"/>
      <c r="DA319" s="168"/>
      <c r="DB319" s="168"/>
      <c r="DC319" s="168"/>
      <c r="DD319" s="168"/>
      <c r="DE319" s="168"/>
      <c r="DF319" s="168"/>
      <c r="DG319" s="168"/>
      <c r="DH319" s="168"/>
      <c r="DI319" s="169"/>
      <c r="DJ319" s="169"/>
      <c r="DK319" s="169"/>
      <c r="DL319" s="169"/>
      <c r="DM319" s="169"/>
      <c r="DN319" s="169"/>
      <c r="DO319" s="169"/>
      <c r="DP319" s="169"/>
      <c r="DQ319" s="169"/>
      <c r="DR319" s="169"/>
      <c r="DS319" s="169"/>
      <c r="DT319" s="169"/>
      <c r="DU319" s="169"/>
      <c r="DV319" s="168"/>
      <c r="DW319" s="168"/>
      <c r="DY319" s="169"/>
      <c r="DZ319" s="169"/>
    </row>
    <row r="320" spans="1:130" hidden="1">
      <c r="A320" s="168"/>
      <c r="B320" s="168"/>
      <c r="C320" s="168"/>
      <c r="D320" s="168"/>
      <c r="E320" s="168"/>
      <c r="F320" s="168"/>
      <c r="G320" s="168"/>
      <c r="H320" s="168"/>
      <c r="I320" s="168"/>
      <c r="J320" s="168"/>
      <c r="K320" s="168"/>
      <c r="L320" s="168"/>
      <c r="M320" s="168"/>
      <c r="N320" s="168"/>
      <c r="O320" s="168"/>
      <c r="P320" s="168"/>
      <c r="Q320" s="168"/>
      <c r="R320" s="168"/>
      <c r="S320" s="168"/>
      <c r="T320" s="168"/>
      <c r="U320" s="168"/>
      <c r="V320" s="168"/>
      <c r="W320" s="168"/>
      <c r="X320" s="168"/>
      <c r="Y320" s="168"/>
      <c r="Z320" s="168"/>
      <c r="AA320" s="168"/>
      <c r="AB320" s="168"/>
      <c r="AC320" s="168"/>
      <c r="AD320" s="168"/>
      <c r="AE320" s="168"/>
      <c r="AF320" s="168"/>
      <c r="AG320" s="168"/>
      <c r="AH320" s="168"/>
      <c r="AI320" s="168"/>
      <c r="AJ320" s="168"/>
      <c r="AK320" s="168"/>
      <c r="AL320" s="169"/>
      <c r="AM320" s="169"/>
      <c r="AN320" s="169"/>
      <c r="AO320" s="169"/>
      <c r="AP320" s="169"/>
      <c r="AQ320" s="169"/>
      <c r="AR320" s="169"/>
      <c r="AS320" s="169"/>
      <c r="AT320" s="169"/>
      <c r="AU320" s="169"/>
      <c r="AV320" s="169"/>
      <c r="AW320" s="169"/>
      <c r="AX320" s="169"/>
      <c r="AY320" s="169"/>
      <c r="AZ320" s="169"/>
      <c r="BA320" s="169"/>
      <c r="BB320" s="169"/>
      <c r="BC320" s="170"/>
      <c r="BD320" s="168"/>
      <c r="BE320" s="168"/>
      <c r="BF320" s="169"/>
      <c r="BG320" s="169"/>
      <c r="BH320" s="169"/>
      <c r="BI320" s="169"/>
      <c r="BJ320" s="169"/>
      <c r="BK320" s="168"/>
      <c r="BL320" s="169"/>
      <c r="BM320" s="169"/>
      <c r="BN320" s="169"/>
      <c r="BO320" s="169"/>
      <c r="BP320" s="169"/>
      <c r="BQ320" s="169"/>
      <c r="BR320" s="169"/>
      <c r="BS320" s="169"/>
      <c r="BT320" s="169"/>
      <c r="BU320" s="169"/>
      <c r="BV320" s="169"/>
      <c r="BW320" s="169"/>
      <c r="BX320" s="169"/>
      <c r="BY320" s="169"/>
      <c r="BZ320" s="169"/>
      <c r="CA320" s="169"/>
      <c r="CB320" s="169"/>
      <c r="CC320" s="169"/>
      <c r="CD320" s="169"/>
      <c r="CE320" s="169"/>
      <c r="CF320" s="169"/>
      <c r="CG320" s="169"/>
      <c r="CH320" s="169"/>
      <c r="CI320" s="169"/>
      <c r="CJ320" s="169"/>
      <c r="CK320" s="169"/>
      <c r="CL320" s="169"/>
      <c r="CM320" s="169"/>
      <c r="CN320" s="169"/>
      <c r="CO320" s="169"/>
      <c r="CP320" s="169"/>
      <c r="CQ320" s="169"/>
      <c r="CR320" s="169"/>
      <c r="CS320" s="169"/>
      <c r="CT320" s="1133"/>
      <c r="CU320" s="168"/>
      <c r="CV320" s="168"/>
      <c r="CW320" s="168"/>
      <c r="CX320" s="168"/>
      <c r="CY320" s="168"/>
      <c r="CZ320" s="168"/>
      <c r="DA320" s="168"/>
      <c r="DB320" s="168"/>
      <c r="DC320" s="168"/>
      <c r="DD320" s="168"/>
      <c r="DE320" s="169"/>
      <c r="DF320" s="169"/>
      <c r="DG320" s="168"/>
      <c r="DH320" s="168"/>
      <c r="DI320" s="169"/>
      <c r="DJ320" s="169"/>
      <c r="DK320" s="169"/>
      <c r="DL320" s="169"/>
      <c r="DM320" s="169"/>
      <c r="DN320" s="169"/>
      <c r="DO320" s="169"/>
      <c r="DP320" s="169"/>
      <c r="DQ320" s="169"/>
      <c r="DR320" s="169"/>
      <c r="DS320" s="169"/>
      <c r="DT320" s="169"/>
      <c r="DU320" s="169"/>
      <c r="DV320" s="168"/>
      <c r="DW320" s="168"/>
      <c r="DY320" s="169"/>
      <c r="DZ320" s="169"/>
    </row>
    <row r="321" spans="1:130">
      <c r="A321" s="159" t="s">
        <v>206</v>
      </c>
      <c r="B321" s="159"/>
      <c r="C321" s="159"/>
      <c r="D321" s="159"/>
      <c r="E321" s="159"/>
      <c r="F321" s="159"/>
      <c r="G321" s="159"/>
      <c r="H321" s="159"/>
      <c r="I321" s="159"/>
      <c r="J321" s="159"/>
      <c r="K321" s="159"/>
      <c r="L321" s="159"/>
      <c r="M321" s="159"/>
      <c r="N321" s="159"/>
      <c r="O321" s="159"/>
      <c r="P321" s="159"/>
      <c r="Q321" s="159"/>
      <c r="R321" s="159"/>
      <c r="S321" s="167"/>
      <c r="T321" s="167"/>
      <c r="U321" s="167"/>
      <c r="V321" s="165"/>
      <c r="W321" s="167"/>
      <c r="X321" s="167"/>
      <c r="Y321" s="167"/>
      <c r="Z321" s="165"/>
      <c r="AA321" s="165"/>
      <c r="AB321" s="165"/>
      <c r="AC321" s="165"/>
      <c r="AD321" s="165"/>
      <c r="AE321" s="166">
        <v>-3.4459999999999997</v>
      </c>
      <c r="AF321" s="165">
        <v>-1.0909999999999997</v>
      </c>
      <c r="AG321" s="165">
        <v>-1.4289999999999998</v>
      </c>
      <c r="AH321" s="160">
        <v>-3.1530000000000022</v>
      </c>
      <c r="AI321" s="160">
        <v>-1.7280000000000002</v>
      </c>
      <c r="AJ321" s="160">
        <v>-1.6010000000000002</v>
      </c>
      <c r="AK321" s="159">
        <v>-6.9</v>
      </c>
      <c r="AL321" s="160">
        <v>-10.225</v>
      </c>
      <c r="AM321" s="160">
        <v>-9.2780000000000005</v>
      </c>
      <c r="AN321" s="160">
        <v>-3.0790000000000002</v>
      </c>
      <c r="AO321" s="160">
        <v>-2.12</v>
      </c>
      <c r="AP321" s="160">
        <v>-8.3969999999999967</v>
      </c>
      <c r="AQ321" s="639">
        <f>1.677+0.012+0.066-0.89-0.354-2.936</f>
        <v>-2.4249999999999998</v>
      </c>
      <c r="AR321" s="639">
        <f>0.27+1.401+0.061-0.6-3.504+0.21</f>
        <v>-2.1619999999999999</v>
      </c>
      <c r="AS321" s="639">
        <f>0.095+1.049+2.39-4.514-2.289-0.376</f>
        <v>-3.6450000000000005</v>
      </c>
      <c r="AT321" s="639">
        <f>0.631+1.049+7.146+0.073-4.558-2.375-10.35-13.313-3.433-AS321-AR321-AQ321</f>
        <v>-16.898</v>
      </c>
      <c r="AU321" s="639">
        <f>1.649+4.304-0.014-0.556-2.692</f>
        <v>2.6909999999999998</v>
      </c>
      <c r="AV321" s="639">
        <f>0.007+0.881+3.151+0.001-0.646-5.966-2.172</f>
        <v>-4.7439999999999998</v>
      </c>
      <c r="AW321" s="639">
        <f>0.028+1.375+5.458-0.566-3.638-3.016</f>
        <v>-0.3589999999999991</v>
      </c>
      <c r="AX321" s="639">
        <f>1.092+2.256+1.912-2.55-1.42-9.98-AW321-AV321-AU321</f>
        <v>-6.2780000000000031</v>
      </c>
      <c r="AY321" s="639">
        <f>0.009+0.039+12.802-1.023-13.395-2.583-0.414</f>
        <v>-4.5649999999999995</v>
      </c>
      <c r="AZ321" s="639">
        <f>0.229+1.607-0.804-0.089-3.327</f>
        <v>-2.3839999999999999</v>
      </c>
      <c r="BA321" s="639">
        <f>0.621-6.333-1.445</f>
        <v>-7.157</v>
      </c>
      <c r="BB321" s="639">
        <f>14.408+0.66+0.002-8.51-13.484-10.596-BA321-AZ321-AY321</f>
        <v>-3.4139999999999997</v>
      </c>
      <c r="BC321" s="640">
        <f>0.016+0.082-0.698-3.815-2.985</f>
        <v>-7.4</v>
      </c>
      <c r="BD321" s="639">
        <f>0.009-0.025-2.284</f>
        <v>-2.2999999999999998</v>
      </c>
      <c r="BE321" s="639">
        <f>-4.221+0.105</f>
        <v>-4.1159999999999997</v>
      </c>
      <c r="BF321" s="639">
        <f>-11.945-BE321-BD321-BC321+1.07-3.84</f>
        <v>-0.89900000000000002</v>
      </c>
      <c r="BG321" s="639">
        <f>0.505-3.361</f>
        <v>-2.8560000000000003</v>
      </c>
      <c r="BH321" s="639">
        <f>-2.246+0.963</f>
        <v>-1.2829999999999999</v>
      </c>
      <c r="BI321" s="639">
        <f>-6.654+4.707</f>
        <v>-1.9470000000000001</v>
      </c>
      <c r="BJ321" s="639">
        <f>9.824+0.97-7.384-10.217-BI321-BH321-BG321</f>
        <v>-0.72100000000000009</v>
      </c>
      <c r="BK321" s="639">
        <v>-3.2</v>
      </c>
      <c r="BL321" s="639">
        <v>-3.4</v>
      </c>
      <c r="BM321" s="639">
        <v>-4.2</v>
      </c>
      <c r="BN321" s="639">
        <v>-4.2</v>
      </c>
      <c r="BO321" s="639">
        <v>-4.2</v>
      </c>
      <c r="BP321" s="639">
        <v>-3.2</v>
      </c>
      <c r="BQ321" s="639">
        <v>-3.6</v>
      </c>
      <c r="BR321" s="639">
        <v>-4.5999999999999996</v>
      </c>
      <c r="BS321" s="639">
        <v>-4</v>
      </c>
      <c r="BT321" s="639">
        <v>-4.0999999999999996</v>
      </c>
      <c r="BU321" s="639">
        <v>-2.9</v>
      </c>
      <c r="BV321" s="639">
        <v>-18.7</v>
      </c>
      <c r="BW321" s="639">
        <f>-22.984-3.8</f>
        <v>-26.784000000000002</v>
      </c>
      <c r="BX321" s="639">
        <v>-3</v>
      </c>
      <c r="BY321" s="639">
        <v>-3.4</v>
      </c>
      <c r="BZ321" s="639">
        <f>-9.311-BY321-BX321-BW321</f>
        <v>23.873000000000005</v>
      </c>
      <c r="CA321" s="639">
        <v>-2.8</v>
      </c>
      <c r="CB321" s="639">
        <v>0</v>
      </c>
      <c r="CC321" s="639">
        <v>6.8</v>
      </c>
      <c r="CD321" s="639">
        <f>-3-CC321-CB321-CA321</f>
        <v>-7.0000000000000009</v>
      </c>
      <c r="CE321" s="639">
        <f>-14.431-7.514</f>
        <v>-21.945</v>
      </c>
      <c r="CF321" s="639">
        <v>1</v>
      </c>
      <c r="CG321" s="639">
        <f>-11.14-4.43</f>
        <v>-15.57</v>
      </c>
      <c r="CH321" s="639">
        <f>-70.185-20.579-CG321-CF321-CE321</f>
        <v>-54.249000000000017</v>
      </c>
      <c r="CI321" s="639">
        <f>-6.349-13.094</f>
        <v>-19.442999999999998</v>
      </c>
      <c r="CJ321" s="639">
        <v>2.7</v>
      </c>
      <c r="CK321" s="639">
        <f>-7.906-4.954</f>
        <v>-12.86</v>
      </c>
      <c r="CL321" s="164">
        <f t="shared" ref="CL321" si="1619">+AVERAGE(CH321:CK321)</f>
        <v>-20.963000000000001</v>
      </c>
      <c r="CM321" s="164">
        <f t="shared" ref="CM321" si="1620">+AVERAGE(CI321:CL321)</f>
        <v>-12.641500000000001</v>
      </c>
      <c r="CN321" s="164">
        <f t="shared" ref="CN321" si="1621">+AVERAGE(CJ321:CM321)</f>
        <v>-10.941125</v>
      </c>
      <c r="CO321" s="164">
        <f t="shared" ref="CO321" si="1622">+AVERAGE(CK321:CN321)</f>
        <v>-14.35140625</v>
      </c>
      <c r="CP321" s="164">
        <f t="shared" ref="CP321" si="1623">+AVERAGE(CL321:CO321)</f>
        <v>-14.724257812499999</v>
      </c>
      <c r="CQ321" s="164"/>
      <c r="CR321" s="164"/>
      <c r="CS321" s="164"/>
      <c r="CT321" s="1133"/>
      <c r="CU321" s="159"/>
      <c r="CV321" s="159"/>
      <c r="CW321" s="159"/>
      <c r="CX321" s="159"/>
      <c r="CY321" s="163">
        <f>SUM(S321:V321)</f>
        <v>0</v>
      </c>
      <c r="CZ321" s="163">
        <f>SUM(W321:Z321)</f>
        <v>0</v>
      </c>
      <c r="DA321" s="163">
        <f>SUM(AA321:AD321)</f>
        <v>0</v>
      </c>
      <c r="DB321" s="163">
        <f>SUM(AE321:AH321)</f>
        <v>-9.1190000000000015</v>
      </c>
      <c r="DC321" s="163">
        <f>+SUM(AI321:AL321)</f>
        <v>-20.454000000000001</v>
      </c>
      <c r="DD321" s="163">
        <f>+SUM(AM321:AP321)</f>
        <v>-22.873999999999995</v>
      </c>
      <c r="DE321" s="162">
        <f>+SUM(AQ321:AT321)</f>
        <v>-25.13</v>
      </c>
      <c r="DF321" s="161">
        <f>+SUM(AU321:AX321)</f>
        <v>-8.6900000000000013</v>
      </c>
      <c r="DG321" s="160">
        <f>+SUM(AY321:BB321)</f>
        <v>-17.52</v>
      </c>
      <c r="DH321" s="160">
        <f>+SUM(BC321:BF321)</f>
        <v>-14.715</v>
      </c>
      <c r="DI321" s="160">
        <f>+SUM(BG321:BJ321)</f>
        <v>-6.8070000000000004</v>
      </c>
      <c r="DJ321" s="160">
        <f>+SUM(BK321:BN321)</f>
        <v>-15</v>
      </c>
      <c r="DK321" s="160">
        <f>+SUM(BO321:BR321)</f>
        <v>-15.6</v>
      </c>
      <c r="DL321" s="160">
        <f>+SUM(BS321:BV321)</f>
        <v>-29.7</v>
      </c>
      <c r="DM321" s="160">
        <f>+SUM(BW321:BZ321)</f>
        <v>-9.3109999999999999</v>
      </c>
      <c r="DN321" s="160">
        <f>+SUM(CA321:CD321)</f>
        <v>-3.0000000000000009</v>
      </c>
      <c r="DO321" s="160">
        <f>+SUM(CE321:CH321)</f>
        <v>-90.76400000000001</v>
      </c>
      <c r="DP321" s="160">
        <f>+SUM(CI321:CL321)</f>
        <v>-50.566000000000003</v>
      </c>
      <c r="DQ321" s="160">
        <f>+SUM(CM321:CP321)</f>
        <v>-52.658289062500003</v>
      </c>
      <c r="DR321" s="164">
        <f>+DQ321*(1+4%)</f>
        <v>-54.764620625000006</v>
      </c>
      <c r="DS321" s="164">
        <f t="shared" ref="DS321:DU321" si="1624">+DR321*(1+4%)</f>
        <v>-56.955205450000008</v>
      </c>
      <c r="DT321" s="164">
        <f t="shared" si="1624"/>
        <v>-59.233413668000011</v>
      </c>
      <c r="DU321" s="164">
        <f t="shared" si="1624"/>
        <v>-61.602750214720011</v>
      </c>
      <c r="DV321" s="159"/>
      <c r="DW321" s="159"/>
      <c r="DY321" s="164">
        <v>-21.782800000000002</v>
      </c>
      <c r="DZ321" s="164">
        <v>-22.654112000000001</v>
      </c>
    </row>
    <row r="322" spans="1:130">
      <c r="A322" s="6"/>
      <c r="B322" s="6"/>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c r="AG322" s="31"/>
      <c r="AH322" s="31"/>
      <c r="AI322" s="31"/>
      <c r="AJ322" s="31"/>
      <c r="AK322" s="31"/>
      <c r="AL322" s="31"/>
      <c r="AM322" s="31"/>
      <c r="AN322" s="31"/>
      <c r="AO322" s="31"/>
      <c r="AP322" s="31"/>
      <c r="AQ322" s="31"/>
      <c r="AR322" s="31"/>
      <c r="AS322" s="31"/>
      <c r="AT322" s="31"/>
      <c r="AU322" s="31"/>
      <c r="AV322" s="31"/>
      <c r="AW322" s="31"/>
      <c r="AX322" s="31"/>
      <c r="AY322" s="31"/>
      <c r="AZ322" s="32"/>
      <c r="BA322" s="32"/>
      <c r="BB322" s="31"/>
      <c r="BC322" s="32"/>
      <c r="BD322" s="31"/>
      <c r="BE322" s="31"/>
      <c r="BF322" s="31"/>
      <c r="BG322" s="31"/>
      <c r="BH322" s="31"/>
      <c r="BI322" s="31"/>
      <c r="BJ322" s="31"/>
      <c r="BK322" s="31"/>
      <c r="BL322" s="31"/>
      <c r="BM322" s="31"/>
      <c r="BN322" s="31"/>
      <c r="BO322" s="31"/>
      <c r="BP322" s="31"/>
      <c r="BQ322" s="31"/>
      <c r="BR322" s="31"/>
      <c r="BS322" s="31"/>
      <c r="BT322" s="31"/>
      <c r="BU322" s="31"/>
      <c r="BV322" s="31"/>
      <c r="BW322" s="31"/>
      <c r="BX322" s="31"/>
      <c r="BY322" s="31"/>
      <c r="BZ322" s="31"/>
      <c r="CA322" s="31"/>
      <c r="CB322" s="31"/>
      <c r="CC322" s="31"/>
      <c r="CD322" s="31"/>
      <c r="CE322" s="31"/>
      <c r="CF322" s="31"/>
      <c r="CG322" s="31"/>
      <c r="CH322" s="31"/>
      <c r="CI322" s="31"/>
      <c r="CJ322" s="31"/>
      <c r="CK322" s="31"/>
      <c r="CL322" s="31"/>
      <c r="CM322" s="31"/>
      <c r="CN322" s="31"/>
      <c r="CO322" s="31"/>
      <c r="CP322" s="31"/>
      <c r="CQ322" s="31"/>
      <c r="CR322" s="31"/>
      <c r="CS322" s="31"/>
      <c r="CT322" s="1133"/>
      <c r="CU322" s="31"/>
      <c r="CV322" s="31"/>
      <c r="CW322" s="31"/>
      <c r="CX322" s="31"/>
      <c r="CY322" s="6"/>
      <c r="CZ322" s="6"/>
      <c r="DA322" s="6"/>
      <c r="DB322" s="6"/>
      <c r="DC322" s="6"/>
      <c r="DD322" s="6"/>
      <c r="DE322" s="6"/>
      <c r="DF322" s="6"/>
      <c r="DG322" s="6"/>
      <c r="DH322" s="6"/>
      <c r="DI322" s="6"/>
      <c r="DJ322" s="6"/>
      <c r="DK322" s="6"/>
      <c r="DL322" s="6"/>
      <c r="DM322" s="6"/>
      <c r="DN322" s="6"/>
      <c r="DO322" s="6"/>
      <c r="DP322" s="6"/>
      <c r="DQ322" s="6"/>
      <c r="DR322" s="6"/>
      <c r="DS322" s="6"/>
      <c r="DT322" s="6"/>
      <c r="DU322" s="6"/>
      <c r="DV322" s="6"/>
      <c r="DW322" s="6"/>
      <c r="DY322" s="6"/>
      <c r="DZ322" s="6"/>
    </row>
    <row r="323" spans="1:130">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c r="BU323" s="6"/>
      <c r="BV323" s="6"/>
      <c r="BW323" s="6"/>
      <c r="BX323" s="6"/>
      <c r="BY323" s="6"/>
      <c r="BZ323" s="6"/>
      <c r="CA323" s="6"/>
      <c r="CB323" s="6"/>
      <c r="CC323" s="6"/>
      <c r="CD323" s="6"/>
      <c r="CE323" s="6"/>
      <c r="CF323" s="6"/>
      <c r="CG323" s="6"/>
      <c r="CH323" s="6"/>
      <c r="CI323" s="6"/>
      <c r="CJ323" s="6"/>
      <c r="CK323" s="6"/>
      <c r="CL323" s="6"/>
      <c r="CM323" s="6"/>
      <c r="CN323" s="6"/>
      <c r="CO323" s="6"/>
      <c r="CP323" s="6"/>
      <c r="CQ323" s="6"/>
      <c r="CR323" s="6"/>
      <c r="CS323" s="6"/>
      <c r="CT323" s="1133"/>
      <c r="CU323" s="6"/>
      <c r="CV323" s="6"/>
      <c r="CW323" s="6"/>
      <c r="CX323" s="6"/>
      <c r="CY323" s="6"/>
      <c r="CZ323" s="6"/>
      <c r="DA323" s="6"/>
      <c r="DB323" s="6"/>
      <c r="DC323" s="6"/>
      <c r="DD323" s="6"/>
      <c r="DE323" s="6"/>
      <c r="DF323" s="6"/>
      <c r="DG323" s="6"/>
      <c r="DH323" s="6"/>
      <c r="DI323" s="6"/>
      <c r="DJ323" s="6"/>
      <c r="DK323" s="6"/>
      <c r="DL323" s="6"/>
      <c r="DM323" s="6"/>
      <c r="DN323" s="6"/>
      <c r="DO323" s="6"/>
      <c r="DP323" s="6"/>
      <c r="DQ323" s="6"/>
      <c r="DR323" s="6"/>
      <c r="DS323" s="6"/>
      <c r="DT323" s="6"/>
      <c r="DU323" s="6"/>
      <c r="DV323" s="6"/>
      <c r="DW323" s="6"/>
      <c r="DY323" s="6"/>
      <c r="DZ323" s="6"/>
    </row>
    <row r="324" spans="1:130">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c r="BV324" s="6"/>
      <c r="BW324" s="6"/>
      <c r="BX324" s="6"/>
      <c r="BY324" s="6"/>
      <c r="BZ324" s="6"/>
      <c r="CA324" s="6"/>
      <c r="CB324" s="6"/>
      <c r="CC324" s="6"/>
      <c r="CD324" s="6"/>
      <c r="CE324" s="6"/>
      <c r="CF324" s="6"/>
      <c r="CG324" s="6"/>
      <c r="CH324" s="6"/>
      <c r="CI324" s="6"/>
      <c r="CJ324" s="6">
        <f>+CJ299-3.163-5.455</f>
        <v>-8.6579999999999995</v>
      </c>
      <c r="CK324" s="6"/>
      <c r="CL324" s="6"/>
      <c r="CM324" s="6"/>
      <c r="CN324" s="6"/>
      <c r="CO324" s="6"/>
      <c r="CP324" s="6"/>
      <c r="CQ324" s="6"/>
      <c r="CR324" s="6"/>
      <c r="CS324" s="6"/>
      <c r="CT324" s="1133"/>
      <c r="CU324" s="6"/>
      <c r="CV324" s="6"/>
      <c r="CW324" s="6"/>
      <c r="CX324" s="6"/>
      <c r="CY324" s="6"/>
      <c r="CZ324" s="6"/>
      <c r="DA324" s="6"/>
      <c r="DB324" s="6"/>
      <c r="DC324" s="6"/>
      <c r="DD324" s="6"/>
      <c r="DE324" s="6"/>
      <c r="DF324" s="6"/>
      <c r="DG324" s="6"/>
      <c r="DH324" s="6"/>
      <c r="DI324" s="6"/>
      <c r="DJ324" s="6"/>
      <c r="DK324" s="6"/>
      <c r="DL324" s="6"/>
      <c r="DM324" s="6"/>
      <c r="DN324" s="6"/>
      <c r="DO324" s="6"/>
      <c r="DP324" s="6"/>
      <c r="DQ324" s="6"/>
      <c r="DR324" s="6"/>
      <c r="DS324" s="6"/>
      <c r="DT324" s="6"/>
      <c r="DU324" s="6"/>
      <c r="DV324" s="6"/>
      <c r="DW324" s="6"/>
      <c r="DY324" s="6"/>
      <c r="DZ324" s="6"/>
    </row>
    <row r="325" spans="1:130">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c r="BU325" s="6"/>
      <c r="BV325" s="6"/>
      <c r="BW325" s="6"/>
      <c r="BX325" s="6"/>
      <c r="BY325" s="6"/>
      <c r="BZ325" s="6"/>
      <c r="CA325" s="6"/>
      <c r="CB325" s="6"/>
      <c r="CC325" s="6"/>
      <c r="CD325" s="6"/>
      <c r="CE325" s="6"/>
      <c r="CF325" s="6"/>
      <c r="CG325" s="6"/>
      <c r="CH325" s="6"/>
      <c r="CI325" s="6"/>
      <c r="CJ325" s="6">
        <f>+CJ324/(PROJ!CJ142/1000)</f>
        <v>-1.4659742599437519E-2</v>
      </c>
      <c r="CK325" s="6"/>
      <c r="CL325" s="6"/>
      <c r="CM325" s="6"/>
      <c r="CN325" s="6"/>
      <c r="CO325" s="6"/>
      <c r="CP325" s="6"/>
      <c r="CQ325" s="6"/>
      <c r="CR325" s="6"/>
      <c r="CS325" s="6"/>
      <c r="CT325" s="1133"/>
      <c r="CU325" s="6"/>
      <c r="CV325" s="6"/>
      <c r="CW325" s="6"/>
      <c r="CX325" s="6"/>
      <c r="CY325" s="6"/>
      <c r="CZ325" s="6"/>
      <c r="DA325" s="6"/>
      <c r="DB325" s="6"/>
      <c r="DC325" s="6"/>
      <c r="DD325" s="6"/>
      <c r="DE325" s="6"/>
      <c r="DF325" s="6"/>
      <c r="DG325" s="6"/>
      <c r="DH325" s="6"/>
      <c r="DI325" s="6"/>
      <c r="DJ325" s="6"/>
      <c r="DK325" s="6"/>
      <c r="DL325" s="6"/>
      <c r="DM325" s="6"/>
      <c r="DN325" s="6"/>
      <c r="DO325" s="6"/>
      <c r="DP325" s="6"/>
      <c r="DQ325" s="6"/>
      <c r="DR325" s="6"/>
      <c r="DS325" s="6"/>
      <c r="DT325" s="6"/>
      <c r="DU325" s="6"/>
      <c r="DV325" s="6"/>
      <c r="DW325" s="6"/>
      <c r="DY325" s="6"/>
      <c r="DZ325" s="6"/>
    </row>
    <row r="326" spans="1:130">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c r="BU326" s="6"/>
      <c r="BV326" s="6"/>
      <c r="BW326" s="6"/>
      <c r="BX326" s="6"/>
      <c r="BY326" s="6"/>
      <c r="BZ326" s="6"/>
      <c r="CA326" s="6"/>
      <c r="CB326" s="6"/>
      <c r="CC326" s="6"/>
      <c r="CD326" s="6"/>
      <c r="CE326" s="6"/>
      <c r="CF326" s="6"/>
      <c r="CG326" s="6"/>
      <c r="CH326" s="6"/>
      <c r="CI326" s="6"/>
      <c r="CJ326" s="6"/>
      <c r="CK326" s="6"/>
      <c r="CL326" s="6"/>
      <c r="CM326" s="6"/>
      <c r="CN326" s="6"/>
      <c r="CO326" s="6"/>
      <c r="CP326" s="6"/>
      <c r="CQ326" s="6"/>
      <c r="CR326" s="6"/>
      <c r="CS326" s="6"/>
      <c r="CT326" s="1133"/>
      <c r="CU326" s="6"/>
      <c r="CV326" s="6"/>
      <c r="CW326" s="6"/>
      <c r="CX326" s="6"/>
      <c r="CY326" s="6"/>
      <c r="CZ326" s="6"/>
      <c r="DA326" s="6"/>
      <c r="DB326" s="6"/>
      <c r="DC326" s="6"/>
      <c r="DD326" s="6"/>
      <c r="DE326" s="6"/>
      <c r="DF326" s="6"/>
      <c r="DG326" s="6"/>
      <c r="DH326" s="6"/>
      <c r="DI326" s="6"/>
      <c r="DJ326" s="6"/>
      <c r="DK326" s="6"/>
      <c r="DL326" s="6"/>
      <c r="DM326" s="6"/>
      <c r="DN326" s="6"/>
      <c r="DO326" s="6"/>
      <c r="DP326" s="6"/>
      <c r="DQ326" s="6"/>
      <c r="DR326" s="6"/>
      <c r="DS326" s="6"/>
      <c r="DT326" s="6"/>
      <c r="DU326" s="6"/>
      <c r="DV326" s="6"/>
      <c r="DW326" s="6"/>
      <c r="DY326" s="6"/>
      <c r="DZ326" s="6"/>
    </row>
    <row r="327" spans="1:130">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c r="BU327" s="6"/>
      <c r="BV327" s="6"/>
      <c r="BW327" s="6"/>
      <c r="BX327" s="6"/>
      <c r="BY327" s="6"/>
      <c r="BZ327" s="6"/>
      <c r="CA327" s="6"/>
      <c r="CB327" s="6"/>
      <c r="CC327" s="6"/>
      <c r="CD327" s="6"/>
      <c r="CE327" s="6"/>
      <c r="CF327" s="6"/>
      <c r="CG327" s="6"/>
      <c r="CH327" s="6"/>
      <c r="CI327" s="6"/>
      <c r="CJ327" s="6"/>
      <c r="CK327" s="6"/>
      <c r="CL327" s="6"/>
      <c r="CM327" s="6"/>
      <c r="CN327" s="6"/>
      <c r="CO327" s="6"/>
      <c r="CP327" s="6"/>
      <c r="CQ327" s="6"/>
      <c r="CR327" s="6"/>
      <c r="CS327" s="6"/>
      <c r="CT327" s="1133"/>
      <c r="CU327" s="6"/>
      <c r="CV327" s="6"/>
      <c r="CW327" s="6"/>
      <c r="CX327" s="6"/>
      <c r="CY327" s="6"/>
      <c r="CZ327" s="6"/>
      <c r="DA327" s="6"/>
      <c r="DB327" s="6"/>
      <c r="DC327" s="6"/>
      <c r="DD327" s="6"/>
      <c r="DE327" s="6"/>
      <c r="DF327" s="6"/>
      <c r="DG327" s="6"/>
      <c r="DH327" s="6"/>
      <c r="DI327" s="6"/>
      <c r="DJ327" s="6"/>
      <c r="DK327" s="6"/>
      <c r="DL327" s="6"/>
      <c r="DM327" s="6"/>
      <c r="DN327" s="6"/>
      <c r="DO327" s="6"/>
      <c r="DP327" s="6"/>
      <c r="DQ327" s="6"/>
      <c r="DR327" s="6"/>
      <c r="DS327" s="6"/>
      <c r="DT327" s="6"/>
      <c r="DU327" s="6"/>
      <c r="DV327" s="6"/>
      <c r="DW327" s="6"/>
      <c r="DY327" s="6"/>
      <c r="DZ327" s="6"/>
    </row>
    <row r="328" spans="1:130">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c r="BU328" s="6"/>
      <c r="BV328" s="6"/>
      <c r="BW328" s="6"/>
      <c r="BX328" s="6"/>
      <c r="BY328" s="6"/>
      <c r="BZ328" s="6"/>
      <c r="CA328" s="6"/>
      <c r="CB328" s="6"/>
      <c r="CC328" s="6"/>
      <c r="CD328" s="6"/>
      <c r="CE328" s="6"/>
      <c r="CF328" s="6"/>
      <c r="CG328" s="6"/>
      <c r="CH328" s="6"/>
      <c r="CI328" s="6"/>
      <c r="CJ328" s="6"/>
      <c r="CK328" s="6"/>
      <c r="CL328" s="6"/>
      <c r="CM328" s="6"/>
      <c r="CN328" s="6"/>
      <c r="CO328" s="6"/>
      <c r="CP328" s="6"/>
      <c r="CQ328" s="6"/>
      <c r="CR328" s="6"/>
      <c r="CS328" s="6"/>
      <c r="CT328" s="1133"/>
      <c r="CU328" s="6"/>
      <c r="CV328" s="6"/>
      <c r="CW328" s="6"/>
      <c r="CX328" s="6"/>
      <c r="CY328" s="6"/>
      <c r="CZ328" s="6"/>
      <c r="DA328" s="6"/>
      <c r="DB328" s="6"/>
      <c r="DC328" s="6"/>
      <c r="DD328" s="6"/>
      <c r="DE328" s="6"/>
      <c r="DF328" s="6"/>
      <c r="DG328" s="6"/>
      <c r="DH328" s="6"/>
      <c r="DI328" s="6"/>
      <c r="DJ328" s="6"/>
      <c r="DK328" s="6"/>
      <c r="DL328" s="6"/>
      <c r="DM328" s="6"/>
      <c r="DN328" s="6"/>
      <c r="DO328" s="6"/>
      <c r="DP328" s="6"/>
      <c r="DQ328" s="6"/>
      <c r="DR328" s="6"/>
      <c r="DS328" s="6"/>
      <c r="DT328" s="6"/>
      <c r="DU328" s="6"/>
      <c r="DV328" s="6"/>
      <c r="DW328" s="6"/>
      <c r="DY328" s="6"/>
      <c r="DZ328" s="6"/>
    </row>
    <row r="329" spans="1:130">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c r="BU329" s="6"/>
      <c r="BV329" s="6"/>
      <c r="BW329" s="6"/>
      <c r="BX329" s="6"/>
      <c r="BY329" s="6"/>
      <c r="BZ329" s="6"/>
      <c r="CA329" s="6"/>
      <c r="CB329" s="6"/>
      <c r="CC329" s="6"/>
      <c r="CD329" s="6"/>
      <c r="CE329" s="6"/>
      <c r="CF329" s="6"/>
      <c r="CG329" s="6"/>
      <c r="CH329" s="6"/>
      <c r="CI329" s="6"/>
      <c r="CJ329" s="6"/>
      <c r="CK329" s="6"/>
      <c r="CL329" s="6"/>
      <c r="CM329" s="6"/>
      <c r="CN329" s="6"/>
      <c r="CO329" s="6"/>
      <c r="CP329" s="6"/>
      <c r="CQ329" s="6"/>
      <c r="CR329" s="6"/>
      <c r="CS329" s="6"/>
      <c r="CT329" s="1133"/>
      <c r="CU329" s="6"/>
      <c r="CV329" s="6"/>
      <c r="CW329" s="6"/>
      <c r="CX329" s="6"/>
      <c r="CY329" s="6"/>
      <c r="CZ329" s="6"/>
      <c r="DA329" s="6"/>
      <c r="DB329" s="6"/>
      <c r="DC329" s="6"/>
      <c r="DD329" s="6"/>
      <c r="DE329" s="6"/>
      <c r="DF329" s="6"/>
      <c r="DG329" s="6"/>
      <c r="DH329" s="6"/>
      <c r="DI329" s="6"/>
      <c r="DJ329" s="6"/>
      <c r="DK329" s="6"/>
      <c r="DL329" s="6"/>
      <c r="DM329" s="6"/>
      <c r="DN329" s="6"/>
      <c r="DO329" s="6"/>
      <c r="DP329" s="6"/>
      <c r="DQ329" s="6"/>
      <c r="DR329" s="6"/>
      <c r="DS329" s="6"/>
      <c r="DT329" s="6"/>
      <c r="DU329" s="6"/>
      <c r="DV329" s="6"/>
      <c r="DW329" s="6"/>
      <c r="DY329" s="6"/>
      <c r="DZ329" s="6"/>
    </row>
    <row r="330" spans="1:1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c r="BU330" s="6"/>
      <c r="BV330" s="6"/>
      <c r="BW330" s="6"/>
      <c r="BX330" s="6"/>
      <c r="BY330" s="6"/>
      <c r="BZ330" s="6"/>
      <c r="CA330" s="6"/>
      <c r="CB330" s="6"/>
      <c r="CC330" s="6"/>
      <c r="CD330" s="6"/>
      <c r="CE330" s="6"/>
      <c r="CF330" s="6"/>
      <c r="CG330" s="6"/>
      <c r="CH330" s="6"/>
      <c r="CI330" s="6"/>
      <c r="CJ330" s="6"/>
      <c r="CK330" s="6"/>
      <c r="CL330" s="6"/>
      <c r="CM330" s="6"/>
      <c r="CN330" s="6"/>
      <c r="CO330" s="6"/>
      <c r="CP330" s="6"/>
      <c r="CQ330" s="6"/>
      <c r="CR330" s="6"/>
      <c r="CS330" s="6"/>
      <c r="CT330" s="1133"/>
      <c r="CU330" s="6"/>
      <c r="CV330" s="6"/>
      <c r="CW330" s="6"/>
      <c r="CX330" s="6"/>
      <c r="CY330" s="6"/>
      <c r="CZ330" s="6"/>
      <c r="DA330" s="6"/>
      <c r="DB330" s="6"/>
      <c r="DC330" s="6"/>
      <c r="DD330" s="6"/>
      <c r="DE330" s="6"/>
      <c r="DF330" s="6"/>
      <c r="DG330" s="6"/>
      <c r="DH330" s="6"/>
      <c r="DI330" s="6"/>
      <c r="DJ330" s="6"/>
      <c r="DK330" s="6"/>
      <c r="DL330" s="6"/>
      <c r="DM330" s="6"/>
      <c r="DN330" s="6"/>
      <c r="DO330" s="6"/>
      <c r="DP330" s="6"/>
      <c r="DQ330" s="6"/>
      <c r="DR330" s="6"/>
      <c r="DS330" s="6"/>
      <c r="DT330" s="6"/>
      <c r="DU330" s="6"/>
      <c r="DV330" s="6"/>
      <c r="DW330" s="6"/>
      <c r="DY330" s="6"/>
      <c r="DZ330" s="6"/>
    </row>
    <row r="331" spans="1:130">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c r="BU331" s="6"/>
      <c r="BV331" s="6"/>
      <c r="BW331" s="6"/>
      <c r="BX331" s="6"/>
      <c r="BY331" s="6"/>
      <c r="BZ331" s="6"/>
      <c r="CA331" s="6"/>
      <c r="CB331" s="6"/>
      <c r="CC331" s="6"/>
      <c r="CD331" s="6"/>
      <c r="CE331" s="6"/>
      <c r="CF331" s="6"/>
      <c r="CG331" s="6"/>
      <c r="CH331" s="6"/>
      <c r="CI331" s="6"/>
      <c r="CJ331" s="6"/>
      <c r="CK331" s="6"/>
      <c r="CL331" s="6"/>
      <c r="CM331" s="6"/>
      <c r="CN331" s="6"/>
      <c r="CO331" s="6"/>
      <c r="CP331" s="6"/>
      <c r="CQ331" s="6"/>
      <c r="CR331" s="6"/>
      <c r="CS331" s="6"/>
      <c r="CT331" s="1133"/>
      <c r="CU331" s="6"/>
      <c r="CV331" s="6"/>
      <c r="CW331" s="6"/>
      <c r="CX331" s="6"/>
      <c r="CY331" s="6"/>
      <c r="CZ331" s="6"/>
      <c r="DA331" s="6"/>
      <c r="DB331" s="6"/>
      <c r="DC331" s="6"/>
      <c r="DD331" s="6"/>
      <c r="DE331" s="6"/>
      <c r="DF331" s="6"/>
      <c r="DG331" s="6"/>
      <c r="DH331" s="6"/>
      <c r="DI331" s="6"/>
      <c r="DJ331" s="6"/>
      <c r="DK331" s="6"/>
      <c r="DL331" s="6"/>
      <c r="DM331" s="6"/>
      <c r="DN331" s="6"/>
      <c r="DO331" s="6"/>
      <c r="DP331" s="6"/>
      <c r="DQ331" s="6"/>
      <c r="DR331" s="6"/>
      <c r="DS331" s="6"/>
      <c r="DT331" s="6"/>
      <c r="DU331" s="6"/>
      <c r="DV331" s="6"/>
      <c r="DW331" s="6"/>
      <c r="DY331" s="6"/>
      <c r="DZ331" s="6"/>
    </row>
    <row r="332" spans="1:130">
      <c r="A332" s="6"/>
      <c r="B332" s="6"/>
      <c r="C332" s="6"/>
      <c r="D332" s="6"/>
      <c r="E332" s="6"/>
      <c r="F332" s="6"/>
      <c r="G332" s="6"/>
      <c r="H332" s="6"/>
      <c r="I332" s="6"/>
      <c r="J332" s="6"/>
      <c r="K332" s="6"/>
      <c r="L332" s="6"/>
      <c r="M332" s="6"/>
      <c r="N332" s="6"/>
      <c r="O332" s="6"/>
      <c r="P332" s="6"/>
      <c r="Q332" s="6"/>
      <c r="R332" s="6" t="s">
        <v>717</v>
      </c>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c r="BU332" s="6"/>
      <c r="BV332" s="6"/>
      <c r="BW332" s="6"/>
      <c r="BX332" s="6"/>
      <c r="BY332" s="6"/>
      <c r="BZ332" s="6"/>
      <c r="CA332" s="6"/>
      <c r="CB332" s="6"/>
      <c r="CC332" s="6"/>
      <c r="CD332" s="6"/>
      <c r="CE332" s="6"/>
      <c r="CF332" s="6"/>
      <c r="CG332" s="6"/>
      <c r="CH332" s="6"/>
      <c r="CI332" s="6"/>
      <c r="CJ332" s="6"/>
      <c r="CK332" s="6"/>
      <c r="CL332" s="6"/>
      <c r="CM332" s="6"/>
      <c r="CN332" s="6"/>
      <c r="CO332" s="6"/>
      <c r="CP332" s="6"/>
      <c r="CQ332" s="6"/>
      <c r="CR332" s="6"/>
      <c r="CS332" s="6"/>
      <c r="CT332" s="1133"/>
      <c r="CU332" s="6"/>
      <c r="CV332" s="6"/>
      <c r="CW332" s="6"/>
      <c r="CX332" s="6"/>
      <c r="CY332" s="6"/>
      <c r="CZ332" s="6"/>
      <c r="DA332" s="6"/>
      <c r="DB332" s="6"/>
      <c r="DC332" s="6"/>
      <c r="DD332" s="6"/>
      <c r="DE332" s="6"/>
      <c r="DF332" s="6"/>
      <c r="DG332" s="6"/>
      <c r="DH332" s="6"/>
      <c r="DI332" s="6"/>
      <c r="DJ332" s="6"/>
      <c r="DK332" s="6"/>
      <c r="DL332" s="6"/>
      <c r="DM332" s="6"/>
      <c r="DN332" s="6"/>
      <c r="DO332" s="6"/>
      <c r="DP332" s="6"/>
      <c r="DQ332" s="6"/>
      <c r="DR332" s="6"/>
      <c r="DS332" s="6"/>
      <c r="DT332" s="6"/>
      <c r="DU332" s="6"/>
      <c r="DV332" s="6"/>
      <c r="DW332" s="6"/>
      <c r="DY332" s="6"/>
      <c r="DZ332" s="6"/>
    </row>
    <row r="333" spans="1:130">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c r="BU333" s="6"/>
      <c r="BV333" s="6"/>
      <c r="BW333" s="6"/>
      <c r="BX333" s="6"/>
      <c r="BY333" s="6"/>
      <c r="BZ333" s="6"/>
      <c r="CA333" s="6"/>
      <c r="CB333" s="6"/>
      <c r="CC333" s="6"/>
      <c r="CD333" s="6"/>
      <c r="CE333" s="6"/>
      <c r="CF333" s="6"/>
      <c r="CG333" s="6"/>
      <c r="CH333" s="6"/>
      <c r="CI333" s="6"/>
      <c r="CJ333" s="6"/>
      <c r="CK333" s="6"/>
      <c r="CL333" s="6"/>
      <c r="CM333" s="6"/>
      <c r="CN333" s="6"/>
      <c r="CO333" s="6"/>
      <c r="CP333" s="6"/>
      <c r="CQ333" s="6"/>
      <c r="CR333" s="6"/>
      <c r="CS333" s="6"/>
      <c r="CT333" s="1133"/>
      <c r="CU333" s="6"/>
      <c r="CV333" s="6"/>
      <c r="CW333" s="6"/>
      <c r="CX333" s="6"/>
      <c r="CY333" s="6"/>
      <c r="CZ333" s="6"/>
      <c r="DA333" s="6"/>
      <c r="DB333" s="6"/>
      <c r="DC333" s="6"/>
      <c r="DD333" s="6"/>
      <c r="DE333" s="6"/>
      <c r="DF333" s="6"/>
      <c r="DG333" s="6"/>
      <c r="DH333" s="6"/>
      <c r="DI333" s="6"/>
      <c r="DJ333" s="6"/>
      <c r="DK333" s="6"/>
      <c r="DL333" s="6"/>
      <c r="DM333" s="6"/>
      <c r="DN333" s="6"/>
      <c r="DO333" s="6"/>
      <c r="DP333" s="6"/>
      <c r="DQ333" s="6"/>
      <c r="DR333" s="6"/>
      <c r="DS333" s="6"/>
      <c r="DT333" s="6"/>
      <c r="DU333" s="6"/>
      <c r="DV333" s="6"/>
      <c r="DW333" s="6"/>
      <c r="DY333" s="6"/>
      <c r="DZ333" s="6"/>
    </row>
    <row r="334" spans="1:130">
      <c r="A334" s="6"/>
      <c r="B334" s="6"/>
      <c r="C334" s="6"/>
      <c r="D334" s="6"/>
      <c r="E334" s="6"/>
      <c r="F334" s="6"/>
      <c r="G334" s="6"/>
      <c r="H334" s="6"/>
      <c r="I334" s="6"/>
      <c r="J334" s="6"/>
      <c r="K334" s="6"/>
      <c r="L334" s="6"/>
      <c r="M334" s="6"/>
      <c r="N334" s="6"/>
      <c r="O334" s="6"/>
      <c r="P334" s="6"/>
      <c r="Q334" s="6"/>
      <c r="R334" s="6" t="s">
        <v>718</v>
      </c>
      <c r="S334" s="6" t="s">
        <v>719</v>
      </c>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c r="BU334" s="6"/>
      <c r="BV334" s="6"/>
      <c r="BW334" s="6"/>
      <c r="BX334" s="6"/>
      <c r="BY334" s="6"/>
      <c r="BZ334" s="6"/>
      <c r="CA334" s="6"/>
      <c r="CB334" s="6"/>
      <c r="CC334" s="6"/>
      <c r="CD334" s="6"/>
      <c r="CE334" s="6"/>
      <c r="CF334" s="6"/>
      <c r="CG334" s="6"/>
      <c r="CH334" s="6"/>
      <c r="CI334" s="6"/>
      <c r="CJ334" s="6"/>
      <c r="CK334" s="6"/>
      <c r="CL334" s="6"/>
      <c r="CM334" s="6"/>
      <c r="CN334" s="6"/>
      <c r="CO334" s="6"/>
      <c r="CP334" s="6"/>
      <c r="CQ334" s="6"/>
      <c r="CR334" s="6"/>
      <c r="CS334" s="6"/>
      <c r="CT334" s="1133"/>
      <c r="CU334" s="6"/>
      <c r="CV334" s="6"/>
      <c r="CW334" s="6"/>
      <c r="CX334" s="6"/>
      <c r="CY334" s="6"/>
      <c r="CZ334" s="6"/>
      <c r="DA334" s="6"/>
      <c r="DB334" s="6"/>
      <c r="DC334" s="6"/>
      <c r="DD334" s="6"/>
      <c r="DE334" s="6"/>
      <c r="DF334" s="6"/>
      <c r="DG334" s="6"/>
      <c r="DH334" s="6"/>
      <c r="DI334" s="6"/>
      <c r="DJ334" s="6"/>
      <c r="DK334" s="6"/>
      <c r="DL334" s="6"/>
      <c r="DM334" s="6"/>
      <c r="DN334" s="6"/>
      <c r="DO334" s="6"/>
      <c r="DP334" s="6"/>
      <c r="DQ334" s="6"/>
      <c r="DR334" s="6"/>
      <c r="DS334" s="6"/>
      <c r="DT334" s="6"/>
      <c r="DU334" s="6"/>
      <c r="DV334" s="6"/>
      <c r="DW334" s="6"/>
      <c r="DY334" s="6"/>
      <c r="DZ334" s="6"/>
    </row>
    <row r="335" spans="1:130">
      <c r="A335" s="6"/>
      <c r="B335" s="6"/>
      <c r="C335" s="6"/>
      <c r="D335" s="6"/>
      <c r="E335" s="6"/>
      <c r="F335" s="6"/>
      <c r="G335" s="6"/>
      <c r="H335" s="6"/>
      <c r="I335" s="6"/>
      <c r="J335" s="6"/>
      <c r="K335" s="6"/>
      <c r="L335" s="6"/>
      <c r="M335" s="6"/>
      <c r="N335" s="6"/>
      <c r="O335" s="6"/>
      <c r="P335" s="6"/>
      <c r="Q335" s="6"/>
      <c r="R335" s="6" t="s">
        <v>635</v>
      </c>
      <c r="S335" s="6" t="s">
        <v>720</v>
      </c>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c r="BU335" s="6"/>
      <c r="BV335" s="6"/>
      <c r="BW335" s="6"/>
      <c r="BX335" s="6"/>
      <c r="BY335" s="6"/>
      <c r="BZ335" s="6"/>
      <c r="CA335" s="6"/>
      <c r="CB335" s="6"/>
      <c r="CC335" s="6"/>
      <c r="CD335" s="6"/>
      <c r="CE335" s="6"/>
      <c r="CF335" s="6"/>
      <c r="CG335" s="6"/>
      <c r="CH335" s="6"/>
      <c r="CI335" s="6"/>
      <c r="CJ335" s="6"/>
      <c r="CK335" s="6"/>
      <c r="CL335" s="6"/>
      <c r="CM335" s="6"/>
      <c r="CN335" s="6"/>
      <c r="CO335" s="6"/>
      <c r="CP335" s="6"/>
      <c r="CQ335" s="6"/>
      <c r="CR335" s="6"/>
      <c r="CS335" s="6"/>
      <c r="CT335" s="1133"/>
      <c r="CU335" s="6"/>
      <c r="CV335" s="6"/>
      <c r="CW335" s="6"/>
      <c r="CX335" s="6"/>
      <c r="CY335" s="6"/>
      <c r="CZ335" s="6"/>
      <c r="DA335" s="6"/>
      <c r="DB335" s="6"/>
      <c r="DC335" s="6"/>
      <c r="DD335" s="6"/>
      <c r="DE335" s="6"/>
      <c r="DF335" s="6"/>
      <c r="DG335" s="6"/>
      <c r="DH335" s="6"/>
      <c r="DI335" s="6"/>
      <c r="DJ335" s="6"/>
      <c r="DK335" s="6"/>
      <c r="DL335" s="6"/>
      <c r="DM335" s="6"/>
      <c r="DN335" s="6"/>
      <c r="DO335" s="6"/>
      <c r="DP335" s="6"/>
      <c r="DQ335" s="6"/>
      <c r="DR335" s="6"/>
      <c r="DS335" s="6"/>
      <c r="DT335" s="6"/>
      <c r="DU335" s="6"/>
      <c r="DV335" s="6"/>
      <c r="DW335" s="6"/>
      <c r="DY335" s="6"/>
      <c r="DZ335" s="6"/>
    </row>
    <row r="336" spans="1:130">
      <c r="A336" s="6"/>
      <c r="B336" s="6"/>
      <c r="C336" s="6"/>
      <c r="D336" s="6"/>
      <c r="E336" s="6"/>
      <c r="F336" s="6"/>
      <c r="G336" s="6"/>
      <c r="H336" s="6"/>
      <c r="I336" s="6"/>
      <c r="J336" s="6"/>
      <c r="K336" s="6"/>
      <c r="L336" s="6"/>
      <c r="M336" s="6"/>
      <c r="N336" s="6"/>
      <c r="O336" s="6"/>
      <c r="P336" s="6"/>
      <c r="Q336" s="6"/>
      <c r="R336" s="6"/>
      <c r="S336" s="6" t="s">
        <v>721</v>
      </c>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c r="BU336" s="6"/>
      <c r="BV336" s="6"/>
      <c r="BW336" s="6"/>
      <c r="BX336" s="6"/>
      <c r="BY336" s="6"/>
      <c r="BZ336" s="6"/>
      <c r="CA336" s="6"/>
      <c r="CB336" s="6"/>
      <c r="CC336" s="6"/>
      <c r="CD336" s="6"/>
      <c r="CE336" s="6"/>
      <c r="CF336" s="6"/>
      <c r="CG336" s="6"/>
      <c r="CH336" s="6"/>
      <c r="CI336" s="6"/>
      <c r="CJ336" s="6"/>
      <c r="CK336" s="6"/>
      <c r="CL336" s="6"/>
      <c r="CM336" s="6"/>
      <c r="CN336" s="6"/>
      <c r="CO336" s="6"/>
      <c r="CP336" s="6"/>
      <c r="CQ336" s="6"/>
      <c r="CR336" s="6"/>
      <c r="CS336" s="6"/>
      <c r="CT336" s="1133"/>
      <c r="CU336" s="6"/>
      <c r="CV336" s="6"/>
      <c r="CW336" s="6"/>
      <c r="CX336" s="6"/>
      <c r="CY336" s="6"/>
      <c r="CZ336" s="6"/>
      <c r="DA336" s="6"/>
      <c r="DB336" s="6"/>
      <c r="DC336" s="6"/>
      <c r="DD336" s="6"/>
      <c r="DE336" s="6"/>
      <c r="DF336" s="6"/>
      <c r="DG336" s="6"/>
      <c r="DH336" s="6"/>
      <c r="DI336" s="6"/>
      <c r="DJ336" s="6"/>
      <c r="DK336" s="6"/>
      <c r="DL336" s="6"/>
      <c r="DM336" s="6"/>
      <c r="DN336" s="6"/>
      <c r="DO336" s="6"/>
      <c r="DP336" s="6"/>
      <c r="DQ336" s="6"/>
      <c r="DR336" s="6"/>
      <c r="DS336" s="6"/>
      <c r="DT336" s="6"/>
      <c r="DU336" s="6"/>
      <c r="DV336" s="6"/>
      <c r="DW336" s="6"/>
      <c r="DY336" s="6"/>
      <c r="DZ336" s="6"/>
    </row>
    <row r="337" spans="1:130" ht="18.75">
      <c r="A337" s="6"/>
      <c r="B337" s="6"/>
      <c r="C337" s="6"/>
      <c r="D337" s="6"/>
      <c r="E337" s="6"/>
      <c r="F337" s="6"/>
      <c r="G337" s="6"/>
      <c r="H337" s="6"/>
      <c r="I337" s="6"/>
      <c r="J337" s="6"/>
      <c r="K337" s="6"/>
      <c r="L337" s="6"/>
      <c r="M337" s="6"/>
      <c r="N337" s="6"/>
      <c r="O337" s="6"/>
      <c r="P337" s="6"/>
      <c r="Q337" s="158" t="s">
        <v>635</v>
      </c>
      <c r="R337" s="157" t="s">
        <v>722</v>
      </c>
      <c r="S337" s="157" t="s">
        <v>723</v>
      </c>
      <c r="T337" s="156"/>
      <c r="U337" s="156"/>
      <c r="V337" s="155"/>
      <c r="W337" s="155"/>
      <c r="X337" s="155"/>
      <c r="Y337" s="155"/>
      <c r="Z337" s="154"/>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c r="BU337" s="6"/>
      <c r="BV337" s="6"/>
      <c r="BW337" s="6"/>
      <c r="BX337" s="6"/>
      <c r="BY337" s="6"/>
      <c r="BZ337" s="6"/>
      <c r="CA337" s="6"/>
      <c r="CB337" s="6"/>
      <c r="CC337" s="6"/>
      <c r="CD337" s="6"/>
      <c r="CE337" s="6"/>
      <c r="CF337" s="6"/>
      <c r="CG337" s="6"/>
      <c r="CH337" s="6"/>
      <c r="CI337" s="6"/>
      <c r="CJ337" s="6"/>
      <c r="CK337" s="6"/>
      <c r="CL337" s="6"/>
      <c r="CM337" s="6"/>
      <c r="CN337" s="6"/>
      <c r="CO337" s="6"/>
      <c r="CP337" s="6"/>
      <c r="CQ337" s="6"/>
      <c r="CR337" s="6"/>
      <c r="CS337" s="6"/>
      <c r="CT337" s="1133"/>
      <c r="CU337" s="6"/>
      <c r="CV337" s="6"/>
      <c r="CW337" s="6"/>
      <c r="CX337" s="6"/>
      <c r="CY337" s="6"/>
      <c r="CZ337" s="6"/>
      <c r="DA337" s="6"/>
      <c r="DB337" s="6"/>
      <c r="DC337" s="6"/>
      <c r="DD337" s="6"/>
      <c r="DE337" s="6"/>
      <c r="DF337" s="6"/>
      <c r="DG337" s="6"/>
      <c r="DH337" s="6"/>
      <c r="DI337" s="6"/>
      <c r="DJ337" s="6"/>
      <c r="DK337" s="6"/>
      <c r="DL337" s="6"/>
      <c r="DM337" s="6"/>
      <c r="DN337" s="6"/>
      <c r="DO337" s="6"/>
      <c r="DP337" s="6"/>
      <c r="DQ337" s="6"/>
      <c r="DR337" s="6"/>
      <c r="DS337" s="6"/>
      <c r="DT337" s="6"/>
      <c r="DU337" s="6"/>
      <c r="DV337" s="6"/>
      <c r="DW337" s="6"/>
      <c r="DY337" s="6"/>
      <c r="DZ337" s="6"/>
    </row>
    <row r="338" spans="1:130">
      <c r="A338" s="6"/>
      <c r="B338" s="6"/>
      <c r="C338" s="6"/>
      <c r="D338" s="6"/>
      <c r="E338" s="6"/>
      <c r="F338" s="6"/>
      <c r="G338" s="6"/>
      <c r="H338" s="6"/>
      <c r="I338" s="6"/>
      <c r="J338" s="6"/>
      <c r="K338" s="6"/>
      <c r="L338" s="6"/>
      <c r="M338" s="6"/>
      <c r="N338" s="6"/>
      <c r="O338" s="6"/>
      <c r="P338" s="6"/>
      <c r="Q338" s="145"/>
      <c r="R338" s="153" t="s">
        <v>724</v>
      </c>
      <c r="S338" s="153" t="s">
        <v>725</v>
      </c>
      <c r="T338" s="152"/>
      <c r="U338" s="152"/>
      <c r="V338" s="6"/>
      <c r="W338" s="6"/>
      <c r="X338" s="6"/>
      <c r="Y338" s="6"/>
      <c r="Z338" s="151"/>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c r="BU338" s="6"/>
      <c r="BV338" s="6"/>
      <c r="BW338" s="6"/>
      <c r="BX338" s="6"/>
      <c r="BY338" s="6"/>
      <c r="BZ338" s="6"/>
      <c r="CA338" s="6"/>
      <c r="CB338" s="6"/>
      <c r="CC338" s="6"/>
      <c r="CD338" s="6"/>
      <c r="CE338" s="6"/>
      <c r="CF338" s="6"/>
      <c r="CG338" s="6"/>
      <c r="CH338" s="6"/>
      <c r="CI338" s="6"/>
      <c r="CJ338" s="6"/>
      <c r="CK338" s="6"/>
      <c r="CL338" s="6"/>
      <c r="CM338" s="6"/>
      <c r="CN338" s="6"/>
      <c r="CO338" s="6"/>
      <c r="CP338" s="6"/>
      <c r="CQ338" s="6"/>
      <c r="CR338" s="6"/>
      <c r="CS338" s="6"/>
      <c r="CT338" s="1133"/>
      <c r="CU338" s="6"/>
      <c r="CV338" s="6"/>
      <c r="CW338" s="6"/>
      <c r="CX338" s="6"/>
      <c r="CY338" s="6"/>
      <c r="CZ338" s="6"/>
      <c r="DA338" s="6"/>
      <c r="DB338" s="6"/>
      <c r="DC338" s="6"/>
      <c r="DD338" s="6"/>
      <c r="DE338" s="6"/>
      <c r="DF338" s="6"/>
      <c r="DG338" s="6"/>
      <c r="DH338" s="6"/>
      <c r="DI338" s="6"/>
      <c r="DJ338" s="6"/>
      <c r="DK338" s="6"/>
      <c r="DL338" s="6"/>
      <c r="DM338" s="6"/>
      <c r="DN338" s="6"/>
      <c r="DO338" s="6"/>
      <c r="DP338" s="6"/>
      <c r="DQ338" s="6"/>
      <c r="DR338" s="6"/>
      <c r="DS338" s="6"/>
      <c r="DT338" s="6"/>
      <c r="DU338" s="6"/>
      <c r="DV338" s="6"/>
      <c r="DW338" s="6"/>
      <c r="DY338" s="6"/>
      <c r="DZ338" s="6"/>
    </row>
    <row r="339" spans="1:130">
      <c r="A339" s="6"/>
      <c r="B339" s="6"/>
      <c r="C339" s="6"/>
      <c r="D339" s="6"/>
      <c r="E339" s="6"/>
      <c r="F339" s="6"/>
      <c r="G339" s="6"/>
      <c r="H339" s="6"/>
      <c r="I339" s="6"/>
      <c r="J339" s="6"/>
      <c r="K339" s="6"/>
      <c r="L339" s="6"/>
      <c r="M339" s="6"/>
      <c r="N339" s="6"/>
      <c r="O339" s="6"/>
      <c r="P339" s="6"/>
      <c r="Q339" s="145"/>
      <c r="R339" s="153" t="s">
        <v>726</v>
      </c>
      <c r="S339" s="153" t="s">
        <v>727</v>
      </c>
      <c r="T339" s="152"/>
      <c r="U339" s="152"/>
      <c r="V339" s="6"/>
      <c r="W339" s="6"/>
      <c r="X339" s="6"/>
      <c r="Y339" s="6"/>
      <c r="Z339" s="151"/>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c r="BU339" s="6"/>
      <c r="BV339" s="6"/>
      <c r="BW339" s="6"/>
      <c r="BX339" s="6"/>
      <c r="BY339" s="6"/>
      <c r="BZ339" s="6"/>
      <c r="CA339" s="6"/>
      <c r="CB339" s="6"/>
      <c r="CC339" s="6"/>
      <c r="CD339" s="6"/>
      <c r="CE339" s="6"/>
      <c r="CF339" s="6"/>
      <c r="CG339" s="6"/>
      <c r="CH339" s="6"/>
      <c r="CI339" s="6"/>
      <c r="CJ339" s="6"/>
      <c r="CK339" s="6"/>
      <c r="CL339" s="6"/>
      <c r="CM339" s="6"/>
      <c r="CN339" s="6"/>
      <c r="CO339" s="6"/>
      <c r="CP339" s="6"/>
      <c r="CQ339" s="6"/>
      <c r="CR339" s="6"/>
      <c r="CS339" s="6"/>
      <c r="CT339" s="1136"/>
      <c r="CU339" s="6"/>
      <c r="CV339" s="6"/>
      <c r="CW339" s="6"/>
      <c r="CX339" s="6"/>
      <c r="CY339" s="6"/>
      <c r="CZ339" s="6"/>
      <c r="DA339" s="6"/>
      <c r="DB339" s="6"/>
      <c r="DC339" s="6"/>
      <c r="DD339" s="6"/>
      <c r="DE339" s="6"/>
      <c r="DF339" s="6"/>
      <c r="DG339" s="6"/>
      <c r="DH339" s="6"/>
      <c r="DI339" s="6"/>
      <c r="DJ339" s="6"/>
      <c r="DK339" s="6"/>
      <c r="DL339" s="6"/>
      <c r="DM339" s="6"/>
      <c r="DN339" s="6"/>
      <c r="DO339" s="6"/>
      <c r="DP339" s="6"/>
      <c r="DQ339" s="6"/>
      <c r="DR339" s="6"/>
      <c r="DS339" s="6"/>
      <c r="DT339" s="6"/>
      <c r="DU339" s="6"/>
      <c r="DV339" s="6"/>
      <c r="DW339" s="6"/>
      <c r="DY339" s="6"/>
      <c r="DZ339" s="6"/>
    </row>
    <row r="340" spans="1:130">
      <c r="A340" s="6"/>
      <c r="B340" s="6"/>
      <c r="C340" s="6"/>
      <c r="D340" s="6"/>
      <c r="E340" s="6"/>
      <c r="F340" s="6"/>
      <c r="G340" s="6"/>
      <c r="H340" s="6"/>
      <c r="I340" s="6"/>
      <c r="J340" s="6"/>
      <c r="K340" s="6"/>
      <c r="L340" s="6"/>
      <c r="M340" s="6"/>
      <c r="N340" s="6"/>
      <c r="O340" s="6"/>
      <c r="P340" s="6"/>
      <c r="Q340" s="145"/>
      <c r="R340" s="6" t="s">
        <v>179</v>
      </c>
      <c r="S340" s="6"/>
      <c r="T340" s="6"/>
      <c r="U340" s="6"/>
      <c r="V340" s="6"/>
      <c r="W340" s="6"/>
      <c r="X340" s="6"/>
      <c r="Y340" s="6"/>
      <c r="Z340" s="151"/>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c r="BU340" s="6"/>
      <c r="BV340" s="6"/>
      <c r="BW340" s="6"/>
      <c r="BX340" s="6"/>
      <c r="BY340" s="6"/>
      <c r="BZ340" s="6"/>
      <c r="CA340" s="6"/>
      <c r="CB340" s="6"/>
      <c r="CC340" s="6"/>
      <c r="CD340" s="6"/>
      <c r="CE340" s="6"/>
      <c r="CF340" s="6"/>
      <c r="CG340" s="6"/>
      <c r="CH340" s="6"/>
      <c r="CI340" s="6"/>
      <c r="CJ340" s="6"/>
      <c r="CK340" s="6"/>
      <c r="CL340" s="6"/>
      <c r="CM340" s="6"/>
      <c r="CN340" s="6"/>
      <c r="CO340" s="6"/>
      <c r="CP340" s="6"/>
      <c r="CQ340" s="6"/>
      <c r="CR340" s="6"/>
      <c r="CS340" s="6"/>
      <c r="CT340" s="1136"/>
      <c r="CU340" s="6"/>
      <c r="CV340" s="6"/>
      <c r="CW340" s="6"/>
      <c r="CX340" s="6"/>
      <c r="CY340" s="6"/>
      <c r="CZ340" s="6"/>
      <c r="DA340" s="6"/>
      <c r="DB340" s="6"/>
      <c r="DC340" s="6"/>
      <c r="DD340" s="6"/>
      <c r="DE340" s="6"/>
      <c r="DF340" s="6"/>
      <c r="DG340" s="6"/>
      <c r="DH340" s="6"/>
      <c r="DI340" s="6"/>
      <c r="DJ340" s="6"/>
      <c r="DK340" s="6"/>
      <c r="DL340" s="6"/>
      <c r="DM340" s="6"/>
      <c r="DN340" s="6"/>
      <c r="DO340" s="6"/>
      <c r="DP340" s="6"/>
      <c r="DQ340" s="6"/>
      <c r="DR340" s="6"/>
      <c r="DS340" s="6"/>
      <c r="DT340" s="6"/>
      <c r="DU340" s="6"/>
      <c r="DV340" s="6"/>
      <c r="DW340" s="6"/>
      <c r="DY340" s="6"/>
      <c r="DZ340" s="6"/>
    </row>
    <row r="341" spans="1:130">
      <c r="A341" s="6"/>
      <c r="B341" s="6"/>
      <c r="C341" s="6"/>
      <c r="D341" s="6"/>
      <c r="E341" s="6"/>
      <c r="F341" s="6"/>
      <c r="G341" s="6"/>
      <c r="H341" s="6"/>
      <c r="I341" s="6"/>
      <c r="J341" s="6"/>
      <c r="K341" s="6"/>
      <c r="L341" s="6"/>
      <c r="M341" s="6"/>
      <c r="N341" s="6"/>
      <c r="O341" s="6"/>
      <c r="P341" s="6"/>
      <c r="Q341" s="145"/>
      <c r="R341" s="6"/>
      <c r="S341" s="6"/>
      <c r="T341" s="6"/>
      <c r="U341" s="6"/>
      <c r="V341" s="6"/>
      <c r="W341" s="6"/>
      <c r="X341" s="6"/>
      <c r="Y341" s="6"/>
      <c r="Z341" s="151"/>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c r="BU341" s="6"/>
      <c r="BV341" s="6"/>
      <c r="BW341" s="6"/>
      <c r="BX341" s="6"/>
      <c r="BY341" s="6"/>
      <c r="BZ341" s="6"/>
      <c r="CA341" s="6"/>
      <c r="CB341" s="6"/>
      <c r="CC341" s="6"/>
      <c r="CD341" s="6"/>
      <c r="CE341" s="6"/>
      <c r="CF341" s="6"/>
      <c r="CG341" s="6"/>
      <c r="CH341" s="6"/>
      <c r="CI341" s="6"/>
      <c r="CJ341" s="6"/>
      <c r="CK341" s="6"/>
      <c r="CL341" s="6"/>
      <c r="CM341" s="6"/>
      <c r="CN341" s="6"/>
      <c r="CO341" s="6"/>
      <c r="CP341" s="6"/>
      <c r="CQ341" s="6"/>
      <c r="CR341" s="6"/>
      <c r="CS341" s="6"/>
      <c r="CT341" s="1133"/>
      <c r="CU341" s="6"/>
      <c r="CV341" s="6"/>
      <c r="CW341" s="6"/>
      <c r="CX341" s="6"/>
      <c r="CY341" s="6"/>
      <c r="CZ341" s="6"/>
      <c r="DA341" s="6"/>
      <c r="DB341" s="6"/>
      <c r="DC341" s="6"/>
      <c r="DD341" s="6"/>
      <c r="DE341" s="6"/>
      <c r="DF341" s="6"/>
      <c r="DG341" s="6"/>
      <c r="DH341" s="6"/>
      <c r="DI341" s="6"/>
      <c r="DJ341" s="6"/>
      <c r="DK341" s="6"/>
      <c r="DL341" s="6"/>
      <c r="DM341" s="6"/>
      <c r="DN341" s="6"/>
      <c r="DO341" s="6"/>
      <c r="DP341" s="6"/>
      <c r="DQ341" s="6"/>
      <c r="DR341" s="6"/>
      <c r="DS341" s="6"/>
      <c r="DT341" s="6"/>
      <c r="DU341" s="6"/>
      <c r="DV341" s="6"/>
      <c r="DW341" s="6"/>
      <c r="DY341" s="6"/>
      <c r="DZ341" s="6"/>
    </row>
    <row r="342" spans="1:130">
      <c r="A342" s="6"/>
      <c r="B342" s="6"/>
      <c r="C342" s="6"/>
      <c r="D342" s="6"/>
      <c r="E342" s="6"/>
      <c r="F342" s="6"/>
      <c r="G342" s="6"/>
      <c r="H342" s="6"/>
      <c r="I342" s="6"/>
      <c r="J342" s="6"/>
      <c r="K342" s="6"/>
      <c r="L342" s="6"/>
      <c r="M342" s="6"/>
      <c r="N342" s="6"/>
      <c r="O342" s="6"/>
      <c r="P342" s="6"/>
      <c r="Q342" s="145"/>
      <c r="R342" s="144"/>
      <c r="S342" s="144"/>
      <c r="T342" s="143"/>
      <c r="U342" s="143"/>
      <c r="V342" s="144"/>
      <c r="W342" s="144"/>
      <c r="X342" s="143"/>
      <c r="Y342" s="143"/>
      <c r="Z342" s="142"/>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c r="BU342" s="6"/>
      <c r="BV342" s="6"/>
      <c r="BW342" s="6"/>
      <c r="BX342" s="6"/>
      <c r="BY342" s="6"/>
      <c r="BZ342" s="6"/>
      <c r="CA342" s="6"/>
      <c r="CB342" s="6"/>
      <c r="CC342" s="6"/>
      <c r="CD342" s="6"/>
      <c r="CE342" s="6"/>
      <c r="CF342" s="6"/>
      <c r="CG342" s="6"/>
      <c r="CH342" s="6"/>
      <c r="CI342" s="6"/>
      <c r="CJ342" s="6"/>
      <c r="CK342" s="6"/>
      <c r="CL342" s="6"/>
      <c r="CM342" s="6"/>
      <c r="CN342" s="6"/>
      <c r="CO342" s="6"/>
      <c r="CP342" s="6"/>
      <c r="CQ342" s="6"/>
      <c r="CR342" s="6"/>
      <c r="CS342" s="6"/>
      <c r="CT342" s="1133"/>
      <c r="CU342" s="6"/>
      <c r="CV342" s="6"/>
      <c r="CW342" s="6"/>
      <c r="CX342" s="6"/>
      <c r="CY342" s="6"/>
      <c r="CZ342" s="6"/>
      <c r="DA342" s="6"/>
      <c r="DB342" s="6"/>
      <c r="DC342" s="6"/>
      <c r="DD342" s="6"/>
      <c r="DE342" s="6"/>
      <c r="DF342" s="6"/>
      <c r="DG342" s="6"/>
      <c r="DH342" s="6"/>
      <c r="DI342" s="6"/>
      <c r="DJ342" s="6"/>
      <c r="DK342" s="6"/>
      <c r="DL342" s="6"/>
      <c r="DM342" s="6"/>
      <c r="DN342" s="6"/>
      <c r="DO342" s="6"/>
      <c r="DP342" s="6"/>
      <c r="DQ342" s="6"/>
      <c r="DR342" s="6"/>
      <c r="DS342" s="6"/>
      <c r="DT342" s="6"/>
      <c r="DU342" s="6"/>
      <c r="DV342" s="6"/>
      <c r="DW342" s="6"/>
      <c r="DY342" s="6"/>
      <c r="DZ342" s="6"/>
    </row>
    <row r="343" spans="1:130">
      <c r="A343" s="6"/>
      <c r="B343" s="6"/>
      <c r="C343" s="6"/>
      <c r="D343" s="6"/>
      <c r="E343" s="6"/>
      <c r="F343" s="6"/>
      <c r="G343" s="6"/>
      <c r="H343" s="6"/>
      <c r="I343" s="6"/>
      <c r="J343" s="6"/>
      <c r="K343" s="6"/>
      <c r="L343" s="6"/>
      <c r="M343" s="6"/>
      <c r="N343" s="6"/>
      <c r="O343" s="6"/>
      <c r="P343" s="6"/>
      <c r="Q343" s="145"/>
      <c r="R343" s="150" t="s">
        <v>728</v>
      </c>
      <c r="S343" s="144"/>
      <c r="T343" s="150"/>
      <c r="U343" s="150"/>
      <c r="V343" s="150" t="s">
        <v>58</v>
      </c>
      <c r="W343" s="144"/>
      <c r="X343" s="143"/>
      <c r="Y343" s="143"/>
      <c r="Z343" s="142"/>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c r="BV343" s="6"/>
      <c r="BW343" s="6"/>
      <c r="BX343" s="6"/>
      <c r="BY343" s="6"/>
      <c r="BZ343" s="6"/>
      <c r="CA343" s="6"/>
      <c r="CB343" s="6"/>
      <c r="CC343" s="6"/>
      <c r="CD343" s="6"/>
      <c r="CE343" s="6"/>
      <c r="CF343" s="6"/>
      <c r="CG343" s="6"/>
      <c r="CH343" s="6"/>
      <c r="CI343" s="6"/>
      <c r="CJ343" s="6"/>
      <c r="CK343" s="6"/>
      <c r="CL343" s="6"/>
      <c r="CM343" s="6"/>
      <c r="CN343" s="6"/>
      <c r="CO343" s="6"/>
      <c r="CP343" s="6"/>
      <c r="CQ343" s="6"/>
      <c r="CR343" s="6"/>
      <c r="CS343" s="6"/>
      <c r="CT343" s="1136"/>
      <c r="CU343" s="6"/>
      <c r="CV343" s="6"/>
      <c r="CW343" s="6"/>
      <c r="CX343" s="6"/>
      <c r="CY343" s="6"/>
      <c r="CZ343" s="6"/>
      <c r="DA343" s="6"/>
      <c r="DB343" s="6"/>
      <c r="DC343" s="6"/>
      <c r="DD343" s="6"/>
      <c r="DE343" s="6"/>
      <c r="DF343" s="6"/>
      <c r="DG343" s="6"/>
      <c r="DH343" s="6"/>
      <c r="DI343" s="6"/>
      <c r="DJ343" s="6"/>
      <c r="DK343" s="6"/>
      <c r="DL343" s="6"/>
      <c r="DM343" s="6"/>
      <c r="DN343" s="6"/>
      <c r="DO343" s="6"/>
      <c r="DP343" s="6"/>
      <c r="DQ343" s="6"/>
      <c r="DR343" s="6"/>
      <c r="DS343" s="6"/>
      <c r="DT343" s="6"/>
      <c r="DU343" s="6"/>
      <c r="DV343" s="6"/>
      <c r="DW343" s="6"/>
      <c r="DY343" s="6"/>
      <c r="DZ343" s="6"/>
    </row>
    <row r="344" spans="1:130">
      <c r="A344" s="6"/>
      <c r="B344" s="6"/>
      <c r="C344" s="6"/>
      <c r="D344" s="6"/>
      <c r="E344" s="6"/>
      <c r="F344" s="6"/>
      <c r="G344" s="6"/>
      <c r="H344" s="6"/>
      <c r="I344" s="6"/>
      <c r="J344" s="6"/>
      <c r="K344" s="6"/>
      <c r="L344" s="6"/>
      <c r="M344" s="6"/>
      <c r="N344" s="6"/>
      <c r="O344" s="6"/>
      <c r="P344" s="6"/>
      <c r="Q344" s="145"/>
      <c r="R344" s="144"/>
      <c r="S344" s="144"/>
      <c r="T344" s="143"/>
      <c r="U344" s="143"/>
      <c r="V344" s="143"/>
      <c r="W344" s="144"/>
      <c r="X344" s="143"/>
      <c r="Y344" s="143"/>
      <c r="Z344" s="142"/>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6"/>
      <c r="BW344" s="6"/>
      <c r="BX344" s="6"/>
      <c r="BY344" s="6"/>
      <c r="BZ344" s="6"/>
      <c r="CA344" s="6"/>
      <c r="CB344" s="6"/>
      <c r="CC344" s="6"/>
      <c r="CD344" s="6"/>
      <c r="CE344" s="6"/>
      <c r="CF344" s="6"/>
      <c r="CG344" s="6"/>
      <c r="CH344" s="6"/>
      <c r="CI344" s="6"/>
      <c r="CJ344" s="6"/>
      <c r="CK344" s="6"/>
      <c r="CL344" s="6"/>
      <c r="CM344" s="6"/>
      <c r="CN344" s="6"/>
      <c r="CO344" s="6"/>
      <c r="CP344" s="6"/>
      <c r="CQ344" s="6"/>
      <c r="CR344" s="6"/>
      <c r="CS344" s="6"/>
      <c r="CT344" s="1136"/>
      <c r="CU344" s="6"/>
      <c r="CV344" s="6"/>
      <c r="CW344" s="6"/>
      <c r="CX344" s="6"/>
      <c r="CY344" s="6"/>
      <c r="CZ344" s="6"/>
      <c r="DA344" s="6"/>
      <c r="DB344" s="6"/>
      <c r="DC344" s="6"/>
      <c r="DD344" s="6"/>
      <c r="DE344" s="6"/>
      <c r="DF344" s="6"/>
      <c r="DG344" s="6"/>
      <c r="DH344" s="6"/>
      <c r="DI344" s="6"/>
      <c r="DJ344" s="6"/>
      <c r="DK344" s="6"/>
      <c r="DL344" s="6"/>
      <c r="DM344" s="6"/>
      <c r="DN344" s="6"/>
      <c r="DO344" s="6"/>
      <c r="DP344" s="6"/>
      <c r="DQ344" s="6"/>
      <c r="DR344" s="6"/>
      <c r="DS344" s="6"/>
      <c r="DT344" s="6"/>
      <c r="DU344" s="6"/>
      <c r="DV344" s="6"/>
      <c r="DW344" s="6"/>
      <c r="DY344" s="6"/>
      <c r="DZ344" s="6"/>
    </row>
    <row r="345" spans="1:130">
      <c r="A345" s="6"/>
      <c r="B345" s="6"/>
      <c r="C345" s="6"/>
      <c r="D345" s="6"/>
      <c r="E345" s="6"/>
      <c r="F345" s="6"/>
      <c r="G345" s="6"/>
      <c r="H345" s="6"/>
      <c r="I345" s="6"/>
      <c r="J345" s="6"/>
      <c r="K345" s="6"/>
      <c r="L345" s="6"/>
      <c r="M345" s="6"/>
      <c r="N345" s="6"/>
      <c r="O345" s="6"/>
      <c r="P345" s="6"/>
      <c r="Q345" s="145"/>
      <c r="R345" s="144" t="s">
        <v>729</v>
      </c>
      <c r="S345" s="149">
        <v>115</v>
      </c>
      <c r="T345" s="144"/>
      <c r="U345" s="144"/>
      <c r="V345" s="144" t="s">
        <v>730</v>
      </c>
      <c r="W345" s="144"/>
      <c r="X345" s="147"/>
      <c r="Y345" s="147"/>
      <c r="Z345" s="148">
        <v>100</v>
      </c>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6"/>
      <c r="BW345" s="6"/>
      <c r="BX345" s="6"/>
      <c r="BY345" s="6"/>
      <c r="BZ345" s="6"/>
      <c r="CA345" s="6"/>
      <c r="CB345" s="6"/>
      <c r="CC345" s="6"/>
      <c r="CD345" s="6"/>
      <c r="CE345" s="6"/>
      <c r="CF345" s="6"/>
      <c r="CG345" s="6"/>
      <c r="CH345" s="6"/>
      <c r="CI345" s="6"/>
      <c r="CJ345" s="6"/>
      <c r="CK345" s="6"/>
      <c r="CL345" s="6"/>
      <c r="CM345" s="6"/>
      <c r="CN345" s="6"/>
      <c r="CO345" s="6"/>
      <c r="CP345" s="6"/>
      <c r="CQ345" s="6"/>
      <c r="CR345" s="6"/>
      <c r="CS345" s="6"/>
      <c r="CT345" s="1136"/>
      <c r="CU345" s="6"/>
      <c r="CV345" s="6"/>
      <c r="CW345" s="6"/>
      <c r="CX345" s="6"/>
      <c r="CY345" s="6"/>
      <c r="CZ345" s="6"/>
      <c r="DA345" s="6"/>
      <c r="DB345" s="6"/>
      <c r="DC345" s="6"/>
      <c r="DD345" s="6"/>
      <c r="DE345" s="6"/>
      <c r="DF345" s="6"/>
      <c r="DG345" s="6"/>
      <c r="DH345" s="6"/>
      <c r="DI345" s="6"/>
      <c r="DJ345" s="6"/>
      <c r="DK345" s="6"/>
      <c r="DL345" s="6"/>
      <c r="DM345" s="6"/>
      <c r="DN345" s="6"/>
      <c r="DO345" s="6"/>
      <c r="DP345" s="6"/>
      <c r="DQ345" s="6"/>
      <c r="DR345" s="6"/>
      <c r="DS345" s="6"/>
      <c r="DT345" s="6"/>
      <c r="DU345" s="6"/>
      <c r="DV345" s="6"/>
      <c r="DW345" s="6"/>
      <c r="DY345" s="6"/>
      <c r="DZ345" s="6"/>
    </row>
    <row r="346" spans="1:130">
      <c r="A346" s="6"/>
      <c r="B346" s="6"/>
      <c r="C346" s="6"/>
      <c r="D346" s="6"/>
      <c r="E346" s="6"/>
      <c r="F346" s="6"/>
      <c r="G346" s="6"/>
      <c r="H346" s="6"/>
      <c r="I346" s="6"/>
      <c r="J346" s="6"/>
      <c r="K346" s="6"/>
      <c r="L346" s="6"/>
      <c r="M346" s="6"/>
      <c r="N346" s="6"/>
      <c r="O346" s="6"/>
      <c r="P346" s="6"/>
      <c r="Q346" s="145"/>
      <c r="R346" s="144"/>
      <c r="S346" s="147">
        <v>0</v>
      </c>
      <c r="T346" s="144"/>
      <c r="U346" s="144"/>
      <c r="V346" s="144" t="s">
        <v>731</v>
      </c>
      <c r="W346" s="144"/>
      <c r="X346" s="147"/>
      <c r="Y346" s="147"/>
      <c r="Z346" s="146">
        <v>15</v>
      </c>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c r="BW346" s="6"/>
      <c r="BX346" s="6"/>
      <c r="BY346" s="6"/>
      <c r="BZ346" s="6"/>
      <c r="CA346" s="6"/>
      <c r="CB346" s="6"/>
      <c r="CC346" s="6"/>
      <c r="CD346" s="6"/>
      <c r="CE346" s="6"/>
      <c r="CF346" s="6"/>
      <c r="CG346" s="6"/>
      <c r="CH346" s="6"/>
      <c r="CI346" s="6"/>
      <c r="CJ346" s="6"/>
      <c r="CK346" s="6"/>
      <c r="CL346" s="6"/>
      <c r="CM346" s="6"/>
      <c r="CN346" s="6"/>
      <c r="CO346" s="6"/>
      <c r="CP346" s="6"/>
      <c r="CQ346" s="6"/>
      <c r="CR346" s="6"/>
      <c r="CS346" s="6"/>
      <c r="CT346" s="1133"/>
      <c r="CU346" s="6"/>
      <c r="CV346" s="6"/>
      <c r="CW346" s="6"/>
      <c r="CX346" s="6"/>
      <c r="CY346" s="6"/>
      <c r="CZ346" s="6"/>
      <c r="DA346" s="6"/>
      <c r="DB346" s="6"/>
      <c r="DC346" s="6"/>
      <c r="DD346" s="6"/>
      <c r="DE346" s="6"/>
      <c r="DF346" s="6"/>
      <c r="DG346" s="6"/>
      <c r="DH346" s="6"/>
      <c r="DI346" s="6"/>
      <c r="DJ346" s="6"/>
      <c r="DK346" s="6"/>
      <c r="DL346" s="6"/>
      <c r="DM346" s="6"/>
      <c r="DN346" s="6"/>
      <c r="DO346" s="6"/>
      <c r="DP346" s="6"/>
      <c r="DQ346" s="6"/>
      <c r="DR346" s="6"/>
      <c r="DS346" s="6"/>
      <c r="DT346" s="6"/>
      <c r="DU346" s="6"/>
      <c r="DV346" s="6"/>
      <c r="DW346" s="6"/>
      <c r="DY346" s="6"/>
      <c r="DZ346" s="6"/>
    </row>
    <row r="347" spans="1:130">
      <c r="A347" s="6"/>
      <c r="B347" s="6"/>
      <c r="C347" s="6"/>
      <c r="D347" s="6"/>
      <c r="E347" s="6"/>
      <c r="F347" s="6"/>
      <c r="G347" s="6"/>
      <c r="H347" s="6"/>
      <c r="I347" s="6"/>
      <c r="J347" s="6"/>
      <c r="K347" s="6"/>
      <c r="L347" s="6"/>
      <c r="M347" s="6"/>
      <c r="N347" s="6"/>
      <c r="O347" s="6"/>
      <c r="P347" s="6"/>
      <c r="Q347" s="145"/>
      <c r="R347" s="144"/>
      <c r="S347" s="144"/>
      <c r="T347" s="143"/>
      <c r="U347" s="143"/>
      <c r="V347" s="144"/>
      <c r="W347" s="144"/>
      <c r="X347" s="143"/>
      <c r="Y347" s="143"/>
      <c r="Z347" s="142"/>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c r="BW347" s="6"/>
      <c r="BX347" s="6"/>
      <c r="BY347" s="6"/>
      <c r="BZ347" s="6"/>
      <c r="CA347" s="6"/>
      <c r="CB347" s="6"/>
      <c r="CC347" s="6"/>
      <c r="CD347" s="6"/>
      <c r="CE347" s="6"/>
      <c r="CF347" s="6"/>
      <c r="CG347" s="6"/>
      <c r="CH347" s="6"/>
      <c r="CI347" s="6"/>
      <c r="CJ347" s="6"/>
      <c r="CK347" s="6"/>
      <c r="CL347" s="6"/>
      <c r="CM347" s="6"/>
      <c r="CN347" s="6"/>
      <c r="CO347" s="6"/>
      <c r="CP347" s="6"/>
      <c r="CQ347" s="6"/>
      <c r="CR347" s="6"/>
      <c r="CS347" s="6"/>
      <c r="CT347" s="1133"/>
      <c r="CU347" s="6"/>
      <c r="CV347" s="6"/>
      <c r="CW347" s="6"/>
      <c r="CX347" s="6"/>
      <c r="CY347" s="6"/>
      <c r="CZ347" s="6"/>
      <c r="DA347" s="6"/>
      <c r="DB347" s="6"/>
      <c r="DC347" s="6"/>
      <c r="DD347" s="6"/>
      <c r="DE347" s="6"/>
      <c r="DF347" s="6"/>
      <c r="DG347" s="6"/>
      <c r="DH347" s="6"/>
      <c r="DI347" s="6"/>
      <c r="DJ347" s="6"/>
      <c r="DK347" s="6"/>
      <c r="DL347" s="6"/>
      <c r="DM347" s="6"/>
      <c r="DN347" s="6"/>
      <c r="DO347" s="6"/>
      <c r="DP347" s="6"/>
      <c r="DQ347" s="6"/>
      <c r="DR347" s="6"/>
      <c r="DS347" s="6"/>
      <c r="DT347" s="6"/>
      <c r="DU347" s="6"/>
      <c r="DV347" s="6"/>
      <c r="DW347" s="6"/>
      <c r="DY347" s="6"/>
      <c r="DZ347" s="6"/>
    </row>
    <row r="348" spans="1:130">
      <c r="CT348" s="1133"/>
    </row>
    <row r="349" spans="1:130">
      <c r="CT349" s="1133"/>
    </row>
    <row r="350" spans="1:130">
      <c r="CT350" s="1133"/>
    </row>
    <row r="351" spans="1:130">
      <c r="CT351" s="1133"/>
    </row>
    <row r="352" spans="1:130">
      <c r="CT352" s="1133"/>
    </row>
    <row r="353" spans="98:98">
      <c r="CT353" s="1133"/>
    </row>
    <row r="354" spans="98:98">
      <c r="CT354" s="1133"/>
    </row>
    <row r="355" spans="98:98">
      <c r="CT355" s="1136"/>
    </row>
    <row r="356" spans="98:98">
      <c r="CT356" s="1133"/>
    </row>
    <row r="357" spans="98:98">
      <c r="CT357" s="1133"/>
    </row>
    <row r="358" spans="98:98">
      <c r="CT358" s="1133"/>
    </row>
    <row r="359" spans="98:98">
      <c r="CT359" s="1133"/>
    </row>
    <row r="360" spans="98:98">
      <c r="CT360" s="1136"/>
    </row>
    <row r="361" spans="98:98">
      <c r="CT361" s="1133"/>
    </row>
    <row r="362" spans="98:98">
      <c r="CT362" s="1133"/>
    </row>
    <row r="363" spans="98:98">
      <c r="CT363" s="1133"/>
    </row>
    <row r="364" spans="98:98">
      <c r="CT364" s="1133"/>
    </row>
    <row r="365" spans="98:98">
      <c r="CT365" s="1133"/>
    </row>
    <row r="366" spans="98:98">
      <c r="CT366" s="1133"/>
    </row>
    <row r="367" spans="98:98">
      <c r="CT367" s="1133"/>
    </row>
    <row r="368" spans="98:98">
      <c r="CT368" s="1133"/>
    </row>
    <row r="369" spans="98:98">
      <c r="CT369" s="1133"/>
    </row>
    <row r="370" spans="98:98">
      <c r="CT370" s="1133"/>
    </row>
    <row r="371" spans="98:98">
      <c r="CT371" s="1136"/>
    </row>
    <row r="372" spans="98:98">
      <c r="CT372" s="1133"/>
    </row>
    <row r="373" spans="98:98">
      <c r="CT373" s="1133"/>
    </row>
    <row r="374" spans="98:98">
      <c r="CT374" s="1133"/>
    </row>
    <row r="375" spans="98:98">
      <c r="CT375" s="1133"/>
    </row>
    <row r="376" spans="98:98">
      <c r="CT376" s="1133"/>
    </row>
    <row r="377" spans="98:98">
      <c r="CT377" s="1144"/>
    </row>
    <row r="378" spans="98:98">
      <c r="CT378" s="1133"/>
    </row>
    <row r="379" spans="98:98">
      <c r="CT379" s="1133"/>
    </row>
    <row r="380" spans="98:98">
      <c r="CT380" s="1133"/>
    </row>
    <row r="381" spans="98:98">
      <c r="CT381" s="1133"/>
    </row>
    <row r="382" spans="98:98">
      <c r="CT382" s="1133"/>
    </row>
    <row r="383" spans="98:98">
      <c r="CT383" s="1133"/>
    </row>
    <row r="384" spans="98:98">
      <c r="CT384" s="1133"/>
    </row>
    <row r="385" spans="98:98">
      <c r="CT385" s="1133"/>
    </row>
    <row r="386" spans="98:98">
      <c r="CT386" s="1133"/>
    </row>
    <row r="387" spans="98:98">
      <c r="CT387" s="1133"/>
    </row>
    <row r="388" spans="98:98">
      <c r="CT388" s="1133"/>
    </row>
    <row r="389" spans="98:98">
      <c r="CT389" s="1133"/>
    </row>
    <row r="390" spans="98:98">
      <c r="CT390" s="1133"/>
    </row>
    <row r="391" spans="98:98">
      <c r="CT391" s="1133"/>
    </row>
    <row r="392" spans="98:98">
      <c r="CT392" s="1133"/>
    </row>
  </sheetData>
  <pageMargins left="0.7" right="0.7" top="0.75" bottom="0.75" header="0.3" footer="0.3"/>
  <pageSetup paperSize="9" orientation="portrait" r:id="rId1"/>
  <ignoredErrors>
    <ignoredError sqref="CU9:DC10 CU55:DC55 DE117:DE121 DE123:DK124 DJ314:DK321 DJ299 CU284:DK285 DJ41 A75:BU83 A88:BU88 A285:BQ285 A92:BU92 A89:BP89 A98:BU98 A94:BN94 A284:BP284 B265:BD265 BL118:BN121 CU75:DK83 DF121:DJ121 CU98:DK98 B84:BP85 CU85:DK85 B90:AP90 B87:BU87 CU92:DK94 DF114:DK120 CR265 CU84:DJ84 CU87:DK89 CU265:DH265 DV284:DW285 DV265:DW265 DV98:DW98 DV87:DW90 DV92:DW94 DV75:DW85 CU53:DC53 BF265:BQ265 CU90:DD90 B93:BN93 DX284:DX285 DX265 DX98 DX87:DX90 DX92:DX94 DX75:DX85 EA284:XFD285 EA265:XFD265 EA98:XFD98 EA87:XFD90 EA92:XFD94 EA75:XFD85" formulaRange="1"/>
    <ignoredError sqref="CU38:DC52 DE122:DJ122 DJ42:DJ45 BL122:BN122 DE41:DI45 DE39:DG39 DE47:DI47 CU15:DC15 CU11:DC14" evalError="1" formulaRange="1"/>
    <ignoredError sqref="DD12:DJ12 DD38:DD48 DD15 DD13:DI13 DJ47 DD50:DJ52 DD49:DI49 DV122:DW122 CU122:DD122 A122:BK122 DD11:DG11 DD14:DJ14 DX122 EA122:XFD122" evalError="1"/>
    <ignoredError sqref="DK211 A211:AP211 CU211:DD211 DV211:DW211 DI265:DK265 DX211 EA211:XFD211" formula="1" formulaRange="1"/>
    <ignoredError sqref="CR211 DE211:DJ211" formula="1"/>
  </ignoredErrors>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O161"/>
  <sheetViews>
    <sheetView showGridLines="0" workbookViewId="0">
      <pane xSplit="3" ySplit="4" topLeftCell="AS94" activePane="bottomRight" state="frozen"/>
      <selection pane="bottomRight" activeCell="AV98" sqref="AV1:AZ1048576"/>
      <selection pane="bottomLeft" activeCell="A5" sqref="A5"/>
      <selection pane="topRight" activeCell="D1" sqref="D1"/>
    </sheetView>
  </sheetViews>
  <sheetFormatPr defaultColWidth="9.140625" defaultRowHeight="15"/>
  <cols>
    <col min="3" max="3" width="29.5703125" customWidth="1"/>
    <col min="15" max="24" width="8.85546875" customWidth="1"/>
    <col min="25" max="25" width="10.28515625" bestFit="1" customWidth="1"/>
    <col min="26" max="35" width="13.28515625" bestFit="1" customWidth="1"/>
    <col min="36" max="52" width="10.5703125" bestFit="1" customWidth="1"/>
    <col min="57" max="67" width="13.28515625" bestFit="1" customWidth="1"/>
  </cols>
  <sheetData>
    <row r="1" spans="1:67" ht="15.75" thickBot="1">
      <c r="A1" s="274" t="s">
        <v>732</v>
      </c>
    </row>
    <row r="4" spans="1:67" ht="15.75" thickBot="1">
      <c r="C4" s="273" t="s">
        <v>733</v>
      </c>
      <c r="D4" s="272">
        <f>+PROJ!AT2</f>
        <v>42004</v>
      </c>
      <c r="E4" s="272">
        <f>+PROJ!AU2</f>
        <v>42094</v>
      </c>
      <c r="F4" s="272">
        <f>+PROJ!AV2</f>
        <v>42185</v>
      </c>
      <c r="G4" s="272">
        <f>+PROJ!AW2</f>
        <v>42277</v>
      </c>
      <c r="H4" s="272">
        <f>+PROJ!AX2</f>
        <v>42369</v>
      </c>
      <c r="I4" s="272">
        <f>+PROJ!AY2</f>
        <v>42460</v>
      </c>
      <c r="J4" s="272">
        <f>+PROJ!AZ2</f>
        <v>42551</v>
      </c>
      <c r="K4" s="272">
        <f>+PROJ!BA2</f>
        <v>42643</v>
      </c>
      <c r="L4" s="272">
        <f>+PROJ!BB2</f>
        <v>42735</v>
      </c>
      <c r="M4" s="272">
        <f>+PROJ!BC2</f>
        <v>42825</v>
      </c>
      <c r="N4" s="272">
        <f>+PROJ!BD2</f>
        <v>42916</v>
      </c>
      <c r="O4" s="272">
        <f>+PROJ!BE2</f>
        <v>43008</v>
      </c>
      <c r="P4" s="272">
        <f>+PROJ!BF2</f>
        <v>43100</v>
      </c>
      <c r="Q4" s="272">
        <f>+PROJ!BG2</f>
        <v>43190</v>
      </c>
      <c r="R4" s="272">
        <f>+PROJ!BH2</f>
        <v>43281</v>
      </c>
      <c r="S4" s="272">
        <f>+PROJ!BI2</f>
        <v>43373</v>
      </c>
      <c r="T4" s="272">
        <f>+PROJ!BJ2</f>
        <v>43465</v>
      </c>
      <c r="U4" s="272">
        <f>+PROJ!BK2</f>
        <v>43555</v>
      </c>
      <c r="V4" s="272">
        <f>+PROJ!BL2</f>
        <v>43646</v>
      </c>
      <c r="W4" s="272">
        <f>+PROJ!BM2</f>
        <v>43738</v>
      </c>
      <c r="X4" s="272">
        <f>+PROJ!BN2</f>
        <v>43830</v>
      </c>
      <c r="Y4" s="272">
        <f>+PROJ!BO2</f>
        <v>43921</v>
      </c>
      <c r="Z4" s="272">
        <f>+PROJ!BP2</f>
        <v>44012</v>
      </c>
      <c r="AA4" s="272">
        <f>+PROJ!BQ2</f>
        <v>44104</v>
      </c>
      <c r="AB4" s="272">
        <f>+PROJ!BR2</f>
        <v>44196</v>
      </c>
      <c r="AC4" s="272">
        <f>+PROJ!BS2</f>
        <v>44286</v>
      </c>
      <c r="AD4" s="272">
        <f>+PROJ!BT2</f>
        <v>44377</v>
      </c>
      <c r="AE4" s="272">
        <f>+PROJ!BU2</f>
        <v>44469</v>
      </c>
      <c r="AF4" s="272">
        <f>+PROJ!BV2</f>
        <v>44561</v>
      </c>
      <c r="AG4" s="272">
        <f>+PROJ!BW2</f>
        <v>44651</v>
      </c>
      <c r="AH4" s="272">
        <f>+PROJ!BX2</f>
        <v>44742</v>
      </c>
      <c r="AI4" s="272">
        <f>+PROJ!BY2</f>
        <v>44834</v>
      </c>
      <c r="AJ4" s="272">
        <f>+PROJ!BZ2</f>
        <v>44926</v>
      </c>
      <c r="AK4" s="272">
        <f>+PROJ!CA2</f>
        <v>45016</v>
      </c>
      <c r="AL4" s="272">
        <f>+PROJ!CB2</f>
        <v>45107</v>
      </c>
      <c r="AM4" s="272">
        <f>+PROJ!CC2</f>
        <v>45199</v>
      </c>
      <c r="AN4" s="272">
        <f>+PROJ!CD2</f>
        <v>45291</v>
      </c>
      <c r="AO4" s="272">
        <f>+PROJ!CE2</f>
        <v>45382</v>
      </c>
      <c r="AP4" s="272">
        <f>+PROJ!CF2</f>
        <v>45473</v>
      </c>
      <c r="AQ4" s="272">
        <f>+PROJ!CG2</f>
        <v>45565</v>
      </c>
      <c r="AR4" s="272">
        <f>+PROJ!CH2</f>
        <v>45657</v>
      </c>
      <c r="AS4" s="272">
        <f>+PROJ!CI2</f>
        <v>45747</v>
      </c>
      <c r="AT4" s="272">
        <f>+PROJ!CJ2</f>
        <v>45837</v>
      </c>
      <c r="AU4" s="272">
        <f>+PROJ!CK2</f>
        <v>45927</v>
      </c>
      <c r="AV4" s="272">
        <f>+PROJ!CL2</f>
        <v>46017</v>
      </c>
      <c r="AW4" s="272">
        <f>+PROJ!CM2</f>
        <v>46107</v>
      </c>
      <c r="AX4" s="272">
        <f>+PROJ!CN2</f>
        <v>46197</v>
      </c>
      <c r="AY4" s="272">
        <f>+PROJ!CO2</f>
        <v>46287</v>
      </c>
      <c r="AZ4" s="272">
        <f>+PROJ!CP2</f>
        <v>46377</v>
      </c>
      <c r="BE4">
        <v>2020</v>
      </c>
      <c r="BF4">
        <f>+BE4+1</f>
        <v>2021</v>
      </c>
      <c r="BG4">
        <f t="shared" ref="BG4:BL4" si="0">+BF4+1</f>
        <v>2022</v>
      </c>
      <c r="BH4">
        <f t="shared" si="0"/>
        <v>2023</v>
      </c>
      <c r="BI4">
        <f t="shared" si="0"/>
        <v>2024</v>
      </c>
      <c r="BJ4">
        <f t="shared" si="0"/>
        <v>2025</v>
      </c>
      <c r="BK4">
        <f t="shared" si="0"/>
        <v>2026</v>
      </c>
      <c r="BL4">
        <f t="shared" si="0"/>
        <v>2027</v>
      </c>
      <c r="BM4">
        <f t="shared" ref="BM4" si="1">+BL4+1</f>
        <v>2028</v>
      </c>
      <c r="BN4">
        <f t="shared" ref="BN4" si="2">+BM4+1</f>
        <v>2029</v>
      </c>
      <c r="BO4">
        <f t="shared" ref="BO4" si="3">+BN4+1</f>
        <v>2030</v>
      </c>
    </row>
    <row r="5" spans="1:67" ht="15.75" thickTop="1">
      <c r="D5" s="267"/>
    </row>
    <row r="6" spans="1:67">
      <c r="B6" s="2173" t="s">
        <v>227</v>
      </c>
      <c r="C6" s="266" t="s">
        <v>734</v>
      </c>
      <c r="D6" s="270">
        <v>5777</v>
      </c>
      <c r="E6" s="270">
        <v>12462</v>
      </c>
      <c r="F6" s="270">
        <v>12460</v>
      </c>
      <c r="G6" s="270">
        <v>24780</v>
      </c>
      <c r="H6" s="270">
        <v>24787</v>
      </c>
      <c r="I6" s="270">
        <v>33470</v>
      </c>
      <c r="J6" s="270">
        <v>33460</v>
      </c>
      <c r="K6" s="270">
        <v>33015</v>
      </c>
      <c r="L6" s="270">
        <v>37743</v>
      </c>
      <c r="M6" s="270">
        <v>39232</v>
      </c>
      <c r="N6" s="270">
        <v>38580</v>
      </c>
      <c r="O6" s="270"/>
      <c r="P6" s="270"/>
    </row>
    <row r="7" spans="1:67">
      <c r="B7" s="2173"/>
      <c r="C7" s="266" t="s">
        <v>735</v>
      </c>
      <c r="D7" s="270">
        <v>40123</v>
      </c>
      <c r="E7" s="270">
        <v>56776</v>
      </c>
      <c r="F7" s="270">
        <f>3028+57703+15057</f>
        <v>75788</v>
      </c>
      <c r="G7" s="270">
        <f>60447+3036+18954</f>
        <v>82437</v>
      </c>
      <c r="H7" s="270">
        <f>63787+3052+20457</f>
        <v>87296</v>
      </c>
      <c r="I7" s="270">
        <f>56515+88813+5391+18870+1736</f>
        <v>171325</v>
      </c>
      <c r="J7" s="270">
        <f>48976+79909+66197+4085+15108</f>
        <v>214275</v>
      </c>
      <c r="K7" s="270">
        <f>53046+83925+4194</f>
        <v>141165</v>
      </c>
      <c r="L7" s="271">
        <f>84784+15500+49410+2023+83982+5404+289</f>
        <v>241392</v>
      </c>
      <c r="M7" s="270">
        <f>47465+2219+64911+7344+291+18014</f>
        <v>140244</v>
      </c>
      <c r="N7" s="270">
        <f>38953+20.192+0.053+0.06+150000+18148</f>
        <v>207121.30499999999</v>
      </c>
      <c r="O7" s="270"/>
      <c r="P7" s="270"/>
    </row>
    <row r="8" spans="1:67">
      <c r="B8" s="2173"/>
      <c r="C8" s="266" t="s">
        <v>736</v>
      </c>
      <c r="D8" s="270">
        <f>119680+38197</f>
        <v>157877</v>
      </c>
      <c r="E8" s="270">
        <f>113115+41629</f>
        <v>154744</v>
      </c>
      <c r="F8" s="270">
        <f>120391+44804</f>
        <v>165195</v>
      </c>
      <c r="G8" s="270">
        <f>110882+38303</f>
        <v>149185</v>
      </c>
      <c r="H8" s="270">
        <v>256696</v>
      </c>
      <c r="I8" s="270">
        <f>397742-I7-I6</f>
        <v>192947</v>
      </c>
      <c r="J8" s="270">
        <f>496086-J7-J6</f>
        <v>248351</v>
      </c>
      <c r="K8" s="270">
        <v>4140</v>
      </c>
      <c r="L8" s="270">
        <v>42066</v>
      </c>
      <c r="M8" s="270">
        <v>379296</v>
      </c>
      <c r="N8" s="270">
        <v>389061</v>
      </c>
      <c r="O8" s="270"/>
      <c r="P8" s="270"/>
    </row>
    <row r="9" spans="1:67">
      <c r="B9" s="2173"/>
      <c r="C9" s="266" t="s">
        <v>737</v>
      </c>
      <c r="D9" s="271">
        <f>1148+2904</f>
        <v>4052</v>
      </c>
      <c r="E9" s="271">
        <f>7886+4351</f>
        <v>12237</v>
      </c>
      <c r="F9" s="271">
        <f>74658+0.238</f>
        <v>74658.237999999998</v>
      </c>
      <c r="G9" s="271">
        <f>82817+1686</f>
        <v>84503</v>
      </c>
      <c r="H9" s="271"/>
      <c r="I9" s="271"/>
      <c r="J9" s="271"/>
      <c r="K9" s="271"/>
      <c r="L9" s="271"/>
      <c r="M9" s="271"/>
      <c r="N9" s="271"/>
      <c r="O9" s="271"/>
      <c r="P9" s="271"/>
    </row>
    <row r="10" spans="1:67">
      <c r="B10" s="2173"/>
      <c r="C10" s="266" t="s">
        <v>738</v>
      </c>
      <c r="D10" s="270">
        <v>19645</v>
      </c>
      <c r="E10" s="270">
        <v>7795</v>
      </c>
      <c r="F10" s="270">
        <v>20989</v>
      </c>
      <c r="G10" s="270">
        <v>9258</v>
      </c>
      <c r="H10" s="270"/>
      <c r="I10" s="270"/>
      <c r="J10" s="270"/>
      <c r="K10" s="270"/>
      <c r="L10" s="270"/>
      <c r="M10" s="270"/>
      <c r="N10" s="270"/>
      <c r="O10" s="270"/>
      <c r="P10" s="270"/>
    </row>
    <row r="11" spans="1:67">
      <c r="B11" s="2173"/>
      <c r="C11" s="266" t="s">
        <v>739</v>
      </c>
      <c r="D11" s="270">
        <v>9450</v>
      </c>
      <c r="E11" s="270">
        <v>9971</v>
      </c>
      <c r="F11" s="270">
        <v>10882</v>
      </c>
      <c r="G11" s="270">
        <v>40565</v>
      </c>
      <c r="H11" s="270">
        <v>13243</v>
      </c>
      <c r="I11" s="270">
        <v>12874</v>
      </c>
      <c r="J11" s="270">
        <v>19054</v>
      </c>
      <c r="K11" s="270">
        <v>20306</v>
      </c>
      <c r="L11" s="270">
        <v>10342</v>
      </c>
      <c r="M11" s="270">
        <v>14627</v>
      </c>
      <c r="N11" s="270">
        <v>15381</v>
      </c>
      <c r="O11" s="270"/>
      <c r="P11" s="270"/>
    </row>
    <row r="12" spans="1:67" s="359" customFormat="1">
      <c r="C12" s="264" t="s">
        <v>474</v>
      </c>
      <c r="D12" s="268">
        <f t="shared" ref="D12:N12" si="4">+SUM(D6:D11)</f>
        <v>236924</v>
      </c>
      <c r="E12" s="268">
        <f t="shared" si="4"/>
        <v>253985</v>
      </c>
      <c r="F12" s="268">
        <f t="shared" si="4"/>
        <v>359972.23800000001</v>
      </c>
      <c r="G12" s="268">
        <f t="shared" si="4"/>
        <v>390728</v>
      </c>
      <c r="H12" s="268">
        <f t="shared" si="4"/>
        <v>382022</v>
      </c>
      <c r="I12" s="268">
        <f t="shared" si="4"/>
        <v>410616</v>
      </c>
      <c r="J12" s="268">
        <f t="shared" si="4"/>
        <v>515140</v>
      </c>
      <c r="K12" s="268">
        <f t="shared" si="4"/>
        <v>198626</v>
      </c>
      <c r="L12" s="268">
        <f t="shared" si="4"/>
        <v>331543</v>
      </c>
      <c r="M12" s="268">
        <f t="shared" si="4"/>
        <v>573399</v>
      </c>
      <c r="N12" s="268">
        <f t="shared" si="4"/>
        <v>650143.30499999993</v>
      </c>
      <c r="O12" s="268">
        <v>385235</v>
      </c>
      <c r="P12" s="268">
        <v>379553</v>
      </c>
      <c r="Q12" s="268">
        <v>386029</v>
      </c>
      <c r="R12" s="268">
        <v>519383</v>
      </c>
      <c r="S12" s="268">
        <v>665877</v>
      </c>
      <c r="T12" s="268">
        <v>710804</v>
      </c>
      <c r="U12" s="268">
        <v>957726</v>
      </c>
      <c r="V12" s="268">
        <v>748597</v>
      </c>
      <c r="W12" s="268">
        <v>508147</v>
      </c>
      <c r="X12" s="268">
        <v>709022</v>
      </c>
      <c r="Y12" s="268">
        <v>1257286</v>
      </c>
      <c r="Z12" s="268">
        <v>1698108</v>
      </c>
      <c r="AA12" s="268">
        <v>1259027</v>
      </c>
      <c r="AB12" s="268">
        <f>1077081+341390</f>
        <v>1418471</v>
      </c>
      <c r="AC12" s="268">
        <f>543875+257869</f>
        <v>801744</v>
      </c>
      <c r="AD12" s="268">
        <f>+PROJ!BT298</f>
        <v>323791</v>
      </c>
      <c r="AE12" s="268">
        <f>+PROJ!BU298</f>
        <v>488284</v>
      </c>
      <c r="AF12" s="268">
        <f>+PROJ!BV298</f>
        <v>1610452</v>
      </c>
      <c r="AG12" s="268">
        <f>+PROJ!BW298</f>
        <v>1632135</v>
      </c>
      <c r="AH12" s="268">
        <f>+PROJ!BX298</f>
        <v>1335093</v>
      </c>
      <c r="AI12" s="268">
        <f>+PROJ!BY298</f>
        <v>1195202</v>
      </c>
      <c r="AJ12" s="1174">
        <f>+PROJ!BZ298</f>
        <v>122824</v>
      </c>
      <c r="AK12" s="1174">
        <f>+PROJ!CA298</f>
        <v>585450</v>
      </c>
      <c r="AL12" s="1174">
        <f>+PROJ!CB298</f>
        <v>619302</v>
      </c>
      <c r="AM12" s="1174">
        <f>+PROJ!CC298</f>
        <v>631512</v>
      </c>
      <c r="AN12" s="1174">
        <f>+PROJ!CD298</f>
        <v>601954</v>
      </c>
      <c r="AO12" s="1174">
        <f>+PROJ!CE298</f>
        <v>558053</v>
      </c>
      <c r="AP12" s="1174">
        <f>+PROJ!CF298</f>
        <v>573950</v>
      </c>
      <c r="AQ12" s="1174">
        <f>+PROJ!CG298</f>
        <v>506717</v>
      </c>
      <c r="AR12" s="1174">
        <f>+PROJ!CH298</f>
        <v>522440</v>
      </c>
      <c r="AS12" s="1174">
        <f>+PROJ!CI298</f>
        <v>0</v>
      </c>
      <c r="AT12" s="1174">
        <f>+PROJ!CJ298</f>
        <v>0</v>
      </c>
      <c r="AU12" s="1174">
        <f>+PROJ!CK298</f>
        <v>0</v>
      </c>
      <c r="AV12" s="1174">
        <f>+PROJ!CL298</f>
        <v>0</v>
      </c>
      <c r="AW12" s="1174">
        <f>+PROJ!CM298</f>
        <v>0</v>
      </c>
      <c r="AX12" s="1174">
        <f>+PROJ!CN298</f>
        <v>0</v>
      </c>
      <c r="AY12" s="1174">
        <f>+PROJ!CO298</f>
        <v>0</v>
      </c>
      <c r="AZ12" s="1174">
        <f>+PROJ!CP298</f>
        <v>0</v>
      </c>
      <c r="BE12" s="1175">
        <f>+AB12</f>
        <v>1418471</v>
      </c>
      <c r="BF12" s="1175">
        <f>+AF12</f>
        <v>1610452</v>
      </c>
      <c r="BG12" s="1175">
        <f>+AJ12</f>
        <v>122824</v>
      </c>
      <c r="BH12" s="1175">
        <f>+AN12</f>
        <v>601954</v>
      </c>
      <c r="BI12" s="1174">
        <f>+BH12</f>
        <v>601954</v>
      </c>
      <c r="BJ12" s="1174">
        <f>+BI12</f>
        <v>601954</v>
      </c>
      <c r="BK12" s="1174">
        <f>+BJ12</f>
        <v>601954</v>
      </c>
      <c r="BL12" s="1174">
        <f>+BK12</f>
        <v>601954</v>
      </c>
      <c r="BM12" s="1174">
        <f t="shared" ref="BM12:BO12" si="5">+BL12</f>
        <v>601954</v>
      </c>
      <c r="BN12" s="1174">
        <f t="shared" si="5"/>
        <v>601954</v>
      </c>
      <c r="BO12" s="1174">
        <f t="shared" si="5"/>
        <v>601954</v>
      </c>
    </row>
    <row r="13" spans="1:67">
      <c r="D13" s="270"/>
      <c r="E13" s="270"/>
      <c r="F13" s="270"/>
      <c r="G13" s="270"/>
      <c r="H13" s="270"/>
      <c r="I13" s="270"/>
      <c r="J13" s="270"/>
      <c r="K13" s="270"/>
      <c r="L13" s="270"/>
      <c r="M13" s="270"/>
      <c r="N13" s="270"/>
      <c r="O13" s="270"/>
      <c r="P13" s="270"/>
      <c r="Q13" s="270"/>
    </row>
    <row r="14" spans="1:67">
      <c r="B14" s="1101" t="s">
        <v>228</v>
      </c>
      <c r="C14" s="266" t="s">
        <v>734</v>
      </c>
      <c r="D14" s="270">
        <v>0</v>
      </c>
      <c r="E14" s="270"/>
      <c r="F14" s="270"/>
      <c r="G14" s="270"/>
      <c r="H14" s="270"/>
      <c r="I14" s="270"/>
      <c r="J14" s="270"/>
      <c r="K14" s="270"/>
      <c r="L14" s="270"/>
      <c r="M14" s="270"/>
      <c r="N14" s="270"/>
      <c r="O14" s="270"/>
      <c r="P14" s="270"/>
      <c r="Q14" s="270"/>
    </row>
    <row r="15" spans="1:67">
      <c r="B15" s="1101"/>
      <c r="C15" s="266" t="s">
        <v>736</v>
      </c>
      <c r="D15" s="271">
        <f>107550+68870</f>
        <v>176420</v>
      </c>
      <c r="E15" s="271">
        <f>107550+71388</f>
        <v>178938</v>
      </c>
      <c r="F15" s="271">
        <f>107550+73187</f>
        <v>180737</v>
      </c>
      <c r="G15" s="271">
        <v>37099</v>
      </c>
      <c r="H15" s="271"/>
      <c r="I15" s="271"/>
      <c r="J15" s="271"/>
      <c r="K15" s="271"/>
      <c r="L15" s="271"/>
      <c r="M15" s="271"/>
      <c r="N15" s="271"/>
      <c r="O15" s="271"/>
      <c r="P15" s="271"/>
      <c r="Q15" s="271"/>
    </row>
    <row r="16" spans="1:67">
      <c r="B16" s="1101"/>
      <c r="C16" s="266" t="s">
        <v>737</v>
      </c>
      <c r="D16" s="270">
        <f>220000+92857</f>
        <v>312857</v>
      </c>
      <c r="E16" s="270">
        <f>220000+96251</f>
        <v>316251</v>
      </c>
      <c r="F16" s="270">
        <f>146667+98679</f>
        <v>245346</v>
      </c>
      <c r="G16" s="270">
        <f>146667+100040</f>
        <v>246707</v>
      </c>
      <c r="H16" s="270"/>
      <c r="I16" s="270"/>
      <c r="J16" s="270"/>
      <c r="K16" s="270"/>
      <c r="L16" s="270"/>
      <c r="M16" s="270"/>
      <c r="N16" s="270"/>
      <c r="O16" s="270"/>
      <c r="P16" s="270"/>
      <c r="Q16" s="270"/>
    </row>
    <row r="17" spans="2:67">
      <c r="B17" s="1101"/>
      <c r="C17" s="266" t="s">
        <v>738</v>
      </c>
      <c r="D17" s="270">
        <v>400000</v>
      </c>
      <c r="E17" s="270">
        <v>400000</v>
      </c>
      <c r="F17" s="270">
        <v>400000</v>
      </c>
      <c r="G17" s="270">
        <v>400000</v>
      </c>
      <c r="H17" s="270">
        <v>687099</v>
      </c>
      <c r="I17" s="270">
        <f>941373-I8</f>
        <v>748426</v>
      </c>
      <c r="J17" s="270">
        <f>879909-J8</f>
        <v>631558</v>
      </c>
      <c r="K17" s="270">
        <f>153076+110983+409715-771-1597</f>
        <v>671406</v>
      </c>
      <c r="L17" s="270">
        <f>2987+726145-42066</f>
        <v>687066</v>
      </c>
      <c r="M17" s="270">
        <v>646571</v>
      </c>
      <c r="N17" s="270">
        <v>535354</v>
      </c>
      <c r="O17" s="270"/>
      <c r="P17" s="270"/>
      <c r="Q17" s="270"/>
    </row>
    <row r="18" spans="2:67">
      <c r="B18" s="1101"/>
      <c r="C18" s="266" t="s">
        <v>739</v>
      </c>
      <c r="D18" s="269">
        <f>183443-9450</f>
        <v>173993</v>
      </c>
      <c r="E18" s="269">
        <f>180768-9971</f>
        <v>170797</v>
      </c>
      <c r="F18" s="269">
        <f>182542-10882</f>
        <v>171660</v>
      </c>
      <c r="G18" s="269">
        <f>185387-10565</f>
        <v>174822</v>
      </c>
      <c r="H18" s="269">
        <f>190862-13243</f>
        <v>177619</v>
      </c>
      <c r="I18" s="269">
        <f>185955-12874</f>
        <v>173081</v>
      </c>
      <c r="J18" s="269">
        <f>241785-19054</f>
        <v>222731</v>
      </c>
      <c r="K18" s="269">
        <f>57455+164774</f>
        <v>222229</v>
      </c>
      <c r="L18" s="269">
        <f>230119-10342-158101</f>
        <v>61676</v>
      </c>
      <c r="M18" s="269">
        <f>48789+164354-157008</f>
        <v>56135</v>
      </c>
      <c r="N18" s="269">
        <f>48026+164578-156138</f>
        <v>56466</v>
      </c>
      <c r="O18" s="269"/>
      <c r="P18" s="269"/>
      <c r="Q18" s="269"/>
    </row>
    <row r="19" spans="2:67" s="359" customFormat="1">
      <c r="C19" s="264" t="s">
        <v>474</v>
      </c>
      <c r="D19" s="268">
        <f t="shared" ref="D19:N19" si="6">+SUM(D14:D18)</f>
        <v>1063270</v>
      </c>
      <c r="E19" s="268">
        <f t="shared" si="6"/>
        <v>1065986</v>
      </c>
      <c r="F19" s="268">
        <f t="shared" si="6"/>
        <v>997743</v>
      </c>
      <c r="G19" s="268">
        <f t="shared" si="6"/>
        <v>858628</v>
      </c>
      <c r="H19" s="268">
        <f t="shared" si="6"/>
        <v>864718</v>
      </c>
      <c r="I19" s="268">
        <f t="shared" si="6"/>
        <v>921507</v>
      </c>
      <c r="J19" s="268">
        <f t="shared" si="6"/>
        <v>854289</v>
      </c>
      <c r="K19" s="268">
        <f t="shared" si="6"/>
        <v>893635</v>
      </c>
      <c r="L19" s="268">
        <f t="shared" si="6"/>
        <v>748742</v>
      </c>
      <c r="M19" s="268">
        <f t="shared" si="6"/>
        <v>702706</v>
      </c>
      <c r="N19" s="268">
        <f t="shared" si="6"/>
        <v>591820</v>
      </c>
      <c r="O19" s="268">
        <v>727673</v>
      </c>
      <c r="P19" s="268">
        <v>724972</v>
      </c>
      <c r="Q19" s="268">
        <v>721344</v>
      </c>
      <c r="R19" s="268">
        <v>663811</v>
      </c>
      <c r="S19" s="268">
        <v>330643</v>
      </c>
      <c r="T19" s="268">
        <v>327258</v>
      </c>
      <c r="U19" s="268">
        <v>61427</v>
      </c>
      <c r="V19" s="268">
        <v>446207</v>
      </c>
      <c r="W19" s="268">
        <v>445223</v>
      </c>
      <c r="X19" s="268">
        <v>444641</v>
      </c>
      <c r="Y19" s="268">
        <v>405975</v>
      </c>
      <c r="Z19" s="268">
        <v>899701</v>
      </c>
      <c r="AA19" s="268">
        <v>1049705</v>
      </c>
      <c r="AB19" s="268">
        <f>420575+1545933</f>
        <v>1966508</v>
      </c>
      <c r="AC19" s="268">
        <f>502141+2543647</f>
        <v>3045788</v>
      </c>
      <c r="AD19" s="268">
        <f>+AD40+AD78+AE126-AD12</f>
        <v>3038401</v>
      </c>
      <c r="AE19" s="268">
        <f>+AE40+AE78+AF126-AE12</f>
        <v>2364915</v>
      </c>
      <c r="AF19" s="268">
        <f>+AF40+AF78+AG126-AF12</f>
        <v>1446257</v>
      </c>
      <c r="AG19" s="268">
        <f>+AG40+AG78+AG125-AG12</f>
        <v>2058280</v>
      </c>
      <c r="AH19" s="268">
        <f>+AH40+AH78+AH125-AH12</f>
        <v>2107239</v>
      </c>
      <c r="AI19" s="268">
        <f t="shared" ref="AI19:AN19" si="7">+AI40+AI78+AI125-AI12</f>
        <v>2220399</v>
      </c>
      <c r="AJ19" s="1172">
        <f t="shared" si="7"/>
        <v>2172530.9647308653</v>
      </c>
      <c r="AK19" s="1172">
        <f t="shared" si="7"/>
        <v>1705120.3328409195</v>
      </c>
      <c r="AL19" s="1172">
        <f t="shared" si="7"/>
        <v>1665309.0953743882</v>
      </c>
      <c r="AM19" s="1172">
        <f t="shared" si="7"/>
        <v>1658379.4323700489</v>
      </c>
      <c r="AN19" s="1172">
        <f t="shared" si="7"/>
        <v>1684060.1563475211</v>
      </c>
      <c r="AO19" s="1172">
        <f t="shared" ref="AO19:AR19" si="8">+AO40+AO78+AO125-AO12</f>
        <v>1731450.4892438371</v>
      </c>
      <c r="AP19" s="1172">
        <f t="shared" si="8"/>
        <v>1728045.2579078572</v>
      </c>
      <c r="AQ19" s="1172">
        <f t="shared" si="8"/>
        <v>1792172.5576585727</v>
      </c>
      <c r="AR19" s="1172">
        <f t="shared" si="8"/>
        <v>1792044.8713322869</v>
      </c>
      <c r="AS19" s="1172">
        <f t="shared" ref="AS19:AV19" si="9">+AS40+AS78+AS125-AS12</f>
        <v>2305355.2764287693</v>
      </c>
      <c r="AT19" s="1172">
        <f t="shared" si="9"/>
        <v>2299320.6055765855</v>
      </c>
      <c r="AU19" s="1172">
        <f t="shared" si="9"/>
        <v>2296124.3852645187</v>
      </c>
      <c r="AV19" s="1172">
        <f t="shared" si="9"/>
        <v>2297811.9378635399</v>
      </c>
      <c r="AW19" s="1172">
        <f t="shared" ref="AW19:AZ19" si="10">+AW40+AW78+AW125-AW12</f>
        <v>2298980.081374588</v>
      </c>
      <c r="AX19" s="1172">
        <f t="shared" si="10"/>
        <v>2299395.8675930537</v>
      </c>
      <c r="AY19" s="1172">
        <f t="shared" si="10"/>
        <v>2299518.2073068423</v>
      </c>
      <c r="AZ19" s="1172">
        <f t="shared" si="10"/>
        <v>2300290.1645354731</v>
      </c>
      <c r="BE19" s="1175">
        <f>+AB19</f>
        <v>1966508</v>
      </c>
      <c r="BF19" s="1175">
        <f>+AF19</f>
        <v>1446257</v>
      </c>
      <c r="BG19" s="1175">
        <f>+AJ19</f>
        <v>2172530.9647308653</v>
      </c>
      <c r="BH19" s="1175">
        <f>+AN19</f>
        <v>1684060.1563475211</v>
      </c>
      <c r="BI19" s="1172">
        <f>+BI40+BI78+BI126-BI12</f>
        <v>1712530.8713322869</v>
      </c>
      <c r="BJ19" s="1172">
        <f>+BJ40+BJ78+BJ126-BJ12</f>
        <v>1695857.9378635399</v>
      </c>
      <c r="BK19" s="1172">
        <f>+BK40+BK78+BK126-BK12</f>
        <v>1698336.1645354731</v>
      </c>
      <c r="BL19" s="1172">
        <f>+BL40+BL78+BL126-BL12</f>
        <v>1701010.5407375214</v>
      </c>
      <c r="BM19" s="1172">
        <f t="shared" ref="BM19:BO19" si="11">+BM40+BM78+BM126-BM12</f>
        <v>1703441.2515522721</v>
      </c>
      <c r="BN19" s="1172">
        <f t="shared" si="11"/>
        <v>1705920.5765833175</v>
      </c>
      <c r="BO19" s="1172">
        <f t="shared" si="11"/>
        <v>1708449.4881149838</v>
      </c>
    </row>
    <row r="20" spans="2:67">
      <c r="AD20">
        <f>+AD19-AC19</f>
        <v>-7387</v>
      </c>
      <c r="AE20">
        <f t="shared" ref="AE20:AN20" si="12">+AE19-AD19</f>
        <v>-673486</v>
      </c>
      <c r="AF20">
        <f t="shared" si="12"/>
        <v>-918658</v>
      </c>
      <c r="AG20">
        <f t="shared" si="12"/>
        <v>612023</v>
      </c>
      <c r="AH20">
        <f t="shared" si="12"/>
        <v>48959</v>
      </c>
      <c r="AI20">
        <f t="shared" si="12"/>
        <v>113160</v>
      </c>
      <c r="AJ20" s="1173">
        <f t="shared" si="12"/>
        <v>-47868.035269134678</v>
      </c>
      <c r="AK20" s="1173">
        <f t="shared" si="12"/>
        <v>-467410.63188994583</v>
      </c>
      <c r="AL20" s="1173">
        <f t="shared" si="12"/>
        <v>-39811.23746653134</v>
      </c>
      <c r="AM20" s="1173">
        <f t="shared" si="12"/>
        <v>-6929.663004339207</v>
      </c>
      <c r="AN20" s="1173">
        <f t="shared" si="12"/>
        <v>25680.723977472167</v>
      </c>
      <c r="AO20" s="1173">
        <f t="shared" ref="AO20" si="13">+AO19-AN19</f>
        <v>47390.332896315958</v>
      </c>
      <c r="AP20" s="1173">
        <f t="shared" ref="AP20" si="14">+AP19-AO19</f>
        <v>-3405.2313359798864</v>
      </c>
      <c r="AQ20" s="1173">
        <f t="shared" ref="AQ20" si="15">+AQ19-AP19</f>
        <v>64127.299750715494</v>
      </c>
      <c r="AR20" s="1173">
        <f t="shared" ref="AR20" si="16">+AR19-AQ19</f>
        <v>-127.68632628582418</v>
      </c>
      <c r="AS20" s="1173">
        <f t="shared" ref="AS20" si="17">+AS19-AR19</f>
        <v>513310.40509648249</v>
      </c>
      <c r="AT20" s="1173">
        <f t="shared" ref="AT20" si="18">+AT19-AS19</f>
        <v>-6034.67085218383</v>
      </c>
      <c r="AU20" s="1173">
        <f t="shared" ref="AU20" si="19">+AU19-AT19</f>
        <v>-3196.2203120668419</v>
      </c>
      <c r="AV20" s="1173">
        <f t="shared" ref="AV20" si="20">+AV19-AU19</f>
        <v>1687.5525990212336</v>
      </c>
      <c r="AW20" s="1173">
        <f t="shared" ref="AW20" si="21">+AW19-AV19</f>
        <v>1168.1435110480525</v>
      </c>
      <c r="AX20" s="1173">
        <f t="shared" ref="AX20" si="22">+AX19-AW19</f>
        <v>415.78621846577153</v>
      </c>
      <c r="AY20" s="1173">
        <f t="shared" ref="AY20" si="23">+AY19-AX19</f>
        <v>122.33971378859133</v>
      </c>
      <c r="AZ20" s="1173">
        <f t="shared" ref="AZ20" si="24">+AZ19-AY19</f>
        <v>771.95722863078117</v>
      </c>
      <c r="BF20" s="1173">
        <f t="shared" ref="BF20:BL20" si="25">+BF19-BE19</f>
        <v>-520251</v>
      </c>
      <c r="BG20" s="1173">
        <f t="shared" si="25"/>
        <v>726273.96473086532</v>
      </c>
      <c r="BH20" s="1173">
        <f t="shared" si="25"/>
        <v>-488470.80838334421</v>
      </c>
      <c r="BI20" s="1173">
        <f t="shared" si="25"/>
        <v>28470.714984765742</v>
      </c>
      <c r="BJ20" s="1173">
        <f t="shared" si="25"/>
        <v>-16672.933468746953</v>
      </c>
      <c r="BK20" s="1173">
        <f t="shared" si="25"/>
        <v>2478.2266719331965</v>
      </c>
      <c r="BL20" s="1173">
        <f t="shared" si="25"/>
        <v>2674.3762020482682</v>
      </c>
      <c r="BM20" s="1173">
        <f t="shared" ref="BM20" si="26">+BM19-BL19</f>
        <v>2430.7108147507533</v>
      </c>
      <c r="BN20" s="1173">
        <f t="shared" ref="BN20" si="27">+BN19-BM19</f>
        <v>2479.3250310453586</v>
      </c>
      <c r="BO20" s="1173">
        <f t="shared" ref="BO20" si="28">+BO19-BN19</f>
        <v>2528.9115316662937</v>
      </c>
    </row>
    <row r="24" spans="2:67">
      <c r="C24" s="266" t="s">
        <v>734</v>
      </c>
      <c r="D24" s="265">
        <v>8.2000000000000003E-2</v>
      </c>
      <c r="E24" s="265">
        <v>8.2000000000000003E-2</v>
      </c>
      <c r="F24" s="265">
        <v>8.2000000000000003E-2</v>
      </c>
      <c r="G24" s="265">
        <v>8.2000000000000003E-2</v>
      </c>
      <c r="H24" s="265">
        <v>8.2000000000000003E-2</v>
      </c>
      <c r="I24" s="265">
        <v>8.2000000000000003E-2</v>
      </c>
      <c r="J24" s="265">
        <v>8.2000000000000003E-2</v>
      </c>
      <c r="K24" s="265">
        <v>8.2000000000000003E-2</v>
      </c>
      <c r="L24" s="265">
        <v>8.2000000000000003E-2</v>
      </c>
      <c r="M24" s="265">
        <f>0.85*11.18%</f>
        <v>9.5029999999999989E-2</v>
      </c>
      <c r="N24" s="265">
        <f>0.85*11.18%</f>
        <v>9.5029999999999989E-2</v>
      </c>
    </row>
    <row r="25" spans="2:67">
      <c r="C25" s="266" t="s">
        <v>735</v>
      </c>
      <c r="D25" s="265">
        <v>0.14275499999999952</v>
      </c>
      <c r="E25" s="265">
        <v>0.14275499999999952</v>
      </c>
      <c r="F25" s="265">
        <v>0.14275499999999952</v>
      </c>
      <c r="G25" s="265">
        <v>0.14275499999999952</v>
      </c>
      <c r="H25" s="265">
        <v>0.14275499999999952</v>
      </c>
      <c r="I25" s="265">
        <f>14.25%+1%</f>
        <v>0.1525</v>
      </c>
      <c r="J25" s="265">
        <f>14.25%+1%</f>
        <v>0.1525</v>
      </c>
      <c r="K25" s="265">
        <f>14.25%+1%</f>
        <v>0.1525</v>
      </c>
      <c r="L25" s="265">
        <f>14.25%+1%</f>
        <v>0.1525</v>
      </c>
      <c r="M25" s="265">
        <f>(13.5%+2.5%+9.5%)/2</f>
        <v>0.1275</v>
      </c>
      <c r="N25" s="265">
        <f>105%*MACRO!BQ6*4</f>
        <v>0.11121415141070767</v>
      </c>
    </row>
    <row r="26" spans="2:67">
      <c r="C26" s="266" t="s">
        <v>736</v>
      </c>
      <c r="D26" s="265">
        <v>0.13020975621105205</v>
      </c>
      <c r="E26" s="265">
        <v>0.13020975621105205</v>
      </c>
      <c r="F26" s="265">
        <v>0.13020975621105205</v>
      </c>
      <c r="G26" s="265">
        <v>0.13020975621105205</v>
      </c>
      <c r="H26" s="265">
        <v>0.13020975621105205</v>
      </c>
      <c r="I26" s="265">
        <f>14.25%+0.85%</f>
        <v>0.151</v>
      </c>
      <c r="J26" s="265">
        <f>14.25%+0.85%</f>
        <v>0.151</v>
      </c>
      <c r="K26" s="265">
        <f>14.25%+0.85%</f>
        <v>0.151</v>
      </c>
      <c r="L26" s="265">
        <f>14.25%+0.85%</f>
        <v>0.151</v>
      </c>
      <c r="M26" s="265">
        <f>13.75%+0.85%</f>
        <v>0.14600000000000002</v>
      </c>
      <c r="N26" s="265">
        <f>+MACRO!BQ5+0.9%</f>
        <v>0.11919999999999942</v>
      </c>
    </row>
    <row r="27" spans="2:67">
      <c r="C27" s="266" t="s">
        <v>737</v>
      </c>
      <c r="D27" s="265">
        <v>0.11905975621105203</v>
      </c>
      <c r="E27" s="265">
        <v>0.11905975621105203</v>
      </c>
      <c r="F27" s="265">
        <v>0.11905975621105203</v>
      </c>
      <c r="G27" s="265">
        <v>0.11905975621105203</v>
      </c>
      <c r="H27" s="265">
        <v>0.11905975621105203</v>
      </c>
      <c r="I27" s="265"/>
      <c r="J27" s="265"/>
      <c r="K27" s="265"/>
      <c r="L27" s="265"/>
      <c r="M27" s="265"/>
    </row>
    <row r="28" spans="2:67">
      <c r="C28" s="266" t="s">
        <v>738</v>
      </c>
      <c r="D28" s="265">
        <v>0.12601881465713421</v>
      </c>
      <c r="E28" s="265">
        <v>0.12601881465713421</v>
      </c>
      <c r="F28" s="265">
        <v>0.12601881465713421</v>
      </c>
      <c r="G28" s="265">
        <v>0.12601881465713421</v>
      </c>
      <c r="H28" s="265">
        <v>0.12601881465713421</v>
      </c>
      <c r="I28" s="265"/>
      <c r="J28" s="265"/>
      <c r="K28" s="265"/>
      <c r="L28" s="265"/>
      <c r="M28" s="265"/>
    </row>
    <row r="29" spans="2:67">
      <c r="C29" s="266" t="s">
        <v>739</v>
      </c>
      <c r="D29" s="265">
        <v>0.12709999999999999</v>
      </c>
      <c r="E29" s="265">
        <v>0.12709999999999999</v>
      </c>
      <c r="F29" s="265">
        <v>0.12709999999999999</v>
      </c>
      <c r="G29" s="265">
        <v>0.12709999999999999</v>
      </c>
      <c r="H29" s="265">
        <v>0.12709999999999999</v>
      </c>
      <c r="I29" s="265">
        <v>0.1268</v>
      </c>
      <c r="J29" s="265">
        <v>0.1268</v>
      </c>
      <c r="K29" s="265">
        <v>0.1268</v>
      </c>
      <c r="L29" s="265">
        <v>0.1268</v>
      </c>
      <c r="M29" s="265">
        <v>0.1268</v>
      </c>
      <c r="N29" s="265">
        <v>0.1268</v>
      </c>
    </row>
    <row r="30" spans="2:67">
      <c r="C30" s="264" t="s">
        <v>474</v>
      </c>
      <c r="D30" s="263">
        <f t="shared" ref="D30:N30" si="29">+SUMPRODUCT(D24:D29,D6:D11)/SUM(D6:D11)</f>
        <v>0.13049654442960121</v>
      </c>
      <c r="E30" s="263">
        <f t="shared" si="29"/>
        <v>0.12986076103758104</v>
      </c>
      <c r="F30" s="263">
        <f t="shared" si="29"/>
        <v>0.128531410062656</v>
      </c>
      <c r="G30" s="263">
        <f t="shared" si="29"/>
        <v>0.12696555322511832</v>
      </c>
      <c r="H30" s="263">
        <f t="shared" si="29"/>
        <v>0.12984064624642605</v>
      </c>
      <c r="I30" s="263">
        <f t="shared" si="29"/>
        <v>0.14524281250608839</v>
      </c>
      <c r="J30" s="263">
        <f t="shared" si="29"/>
        <v>0.14624705070466279</v>
      </c>
      <c r="K30" s="263">
        <f t="shared" si="29"/>
        <v>0.13812307200467208</v>
      </c>
      <c r="L30" s="263">
        <f t="shared" si="29"/>
        <v>0.14348225599695966</v>
      </c>
      <c r="M30" s="263">
        <f t="shared" si="29"/>
        <v>0.13749805381592922</v>
      </c>
      <c r="N30" s="263">
        <f t="shared" si="29"/>
        <v>0.11540141842213256</v>
      </c>
    </row>
    <row r="31" spans="2:67">
      <c r="D31" s="267"/>
      <c r="E31" s="267"/>
      <c r="F31" s="267"/>
      <c r="G31" s="267"/>
      <c r="H31" s="267"/>
      <c r="I31" s="267"/>
      <c r="J31" s="267"/>
      <c r="K31" s="267"/>
      <c r="L31" s="267"/>
      <c r="M31" s="267"/>
    </row>
    <row r="32" spans="2:67">
      <c r="C32" s="266" t="s">
        <v>734</v>
      </c>
      <c r="D32" s="265">
        <v>8.2000000000000003E-2</v>
      </c>
      <c r="E32" s="265">
        <v>8.2000000000000003E-2</v>
      </c>
      <c r="F32" s="265">
        <v>8.2000000000000003E-2</v>
      </c>
      <c r="G32" s="265">
        <v>8.2000000000000003E-2</v>
      </c>
      <c r="H32" s="265">
        <v>8.2000000000000003E-2</v>
      </c>
      <c r="I32" s="265"/>
      <c r="J32" s="265"/>
      <c r="K32" s="265"/>
      <c r="L32" s="265"/>
      <c r="M32" s="265"/>
    </row>
    <row r="33" spans="2:67">
      <c r="C33" s="266" t="s">
        <v>736</v>
      </c>
      <c r="D33" s="265">
        <v>0.13020975621105205</v>
      </c>
      <c r="E33" s="265">
        <v>0.13020975621105205</v>
      </c>
      <c r="F33" s="265">
        <v>0.13020975621105205</v>
      </c>
      <c r="G33" s="265">
        <v>0.13020975621105205</v>
      </c>
      <c r="H33" s="265">
        <v>0.13020975621105205</v>
      </c>
      <c r="I33" s="265"/>
      <c r="J33" s="265"/>
      <c r="K33" s="265"/>
      <c r="L33" s="265"/>
      <c r="M33" s="265"/>
    </row>
    <row r="34" spans="2:67">
      <c r="C34" s="266" t="s">
        <v>737</v>
      </c>
      <c r="D34" s="265">
        <v>0.11905975621105203</v>
      </c>
      <c r="E34" s="265">
        <v>0.11905975621105203</v>
      </c>
      <c r="F34" s="265">
        <v>0.11905975621105203</v>
      </c>
      <c r="G34" s="265">
        <v>0.11905975621105203</v>
      </c>
      <c r="H34" s="265">
        <v>0.11905975621105203</v>
      </c>
      <c r="I34" s="265"/>
      <c r="J34" s="265"/>
      <c r="K34" s="265"/>
      <c r="L34" s="265"/>
      <c r="M34" s="265"/>
    </row>
    <row r="35" spans="2:67">
      <c r="C35" s="266" t="s">
        <v>738</v>
      </c>
      <c r="D35" s="265">
        <v>0.12601881465713421</v>
      </c>
      <c r="E35" s="265">
        <v>0.12601881465713421</v>
      </c>
      <c r="F35" s="265">
        <v>0.12601881465713421</v>
      </c>
      <c r="G35" s="265">
        <v>0.12601881465713421</v>
      </c>
      <c r="H35" s="265">
        <v>0.12601881465713421</v>
      </c>
      <c r="I35" s="265">
        <f t="shared" ref="I35:N35" si="30">+I26</f>
        <v>0.151</v>
      </c>
      <c r="J35" s="265">
        <f t="shared" si="30"/>
        <v>0.151</v>
      </c>
      <c r="K35" s="265">
        <f t="shared" si="30"/>
        <v>0.151</v>
      </c>
      <c r="L35" s="265">
        <f t="shared" si="30"/>
        <v>0.151</v>
      </c>
      <c r="M35" s="265">
        <f t="shared" si="30"/>
        <v>0.14600000000000002</v>
      </c>
      <c r="N35" s="265">
        <f t="shared" si="30"/>
        <v>0.11919999999999942</v>
      </c>
    </row>
    <row r="36" spans="2:67">
      <c r="C36" s="266" t="s">
        <v>739</v>
      </c>
      <c r="D36" s="265">
        <v>0.1241</v>
      </c>
      <c r="E36" s="265">
        <v>0.1241</v>
      </c>
      <c r="F36" s="265">
        <v>0.1241</v>
      </c>
      <c r="G36" s="265">
        <v>0.1241</v>
      </c>
      <c r="H36" s="265">
        <v>0.1241</v>
      </c>
      <c r="I36" s="265">
        <f t="shared" ref="I36:N36" si="31">+I29</f>
        <v>0.1268</v>
      </c>
      <c r="J36" s="265">
        <f t="shared" si="31"/>
        <v>0.1268</v>
      </c>
      <c r="K36" s="265">
        <f t="shared" si="31"/>
        <v>0.1268</v>
      </c>
      <c r="L36" s="265">
        <f t="shared" si="31"/>
        <v>0.1268</v>
      </c>
      <c r="M36" s="265">
        <f t="shared" si="31"/>
        <v>0.1268</v>
      </c>
      <c r="N36" s="265">
        <f t="shared" si="31"/>
        <v>0.1268</v>
      </c>
    </row>
    <row r="37" spans="2:67">
      <c r="C37" s="264" t="s">
        <v>474</v>
      </c>
      <c r="D37" s="263">
        <f t="shared" ref="D37:N37" si="32">+SUMPRODUCT(D32:D36,D14:D18)/SUM(D14:D18)</f>
        <v>0.12435255438649505</v>
      </c>
      <c r="E37" s="263">
        <f t="shared" si="32"/>
        <v>0.12435029529585598</v>
      </c>
      <c r="F37" s="263">
        <f t="shared" si="32"/>
        <v>0.12473661806550121</v>
      </c>
      <c r="G37" s="263">
        <f t="shared" si="32"/>
        <v>0.12380968601546598</v>
      </c>
      <c r="H37" s="263">
        <f t="shared" si="32"/>
        <v>0.12562467698382856</v>
      </c>
      <c r="I37" s="263">
        <f t="shared" si="32"/>
        <v>0.14645466263414167</v>
      </c>
      <c r="J37" s="263">
        <f t="shared" si="32"/>
        <v>0.14469055413332021</v>
      </c>
      <c r="K37" s="263">
        <f t="shared" si="32"/>
        <v>0.14498194811080586</v>
      </c>
      <c r="L37" s="263">
        <f t="shared" si="32"/>
        <v>0.14900657743254686</v>
      </c>
      <c r="M37" s="263">
        <f t="shared" si="32"/>
        <v>0.14446622627386135</v>
      </c>
      <c r="N37" s="263">
        <f t="shared" si="32"/>
        <v>0.11992512182758218</v>
      </c>
    </row>
    <row r="40" spans="2:67" s="359" customFormat="1">
      <c r="B40" s="804" t="s">
        <v>740</v>
      </c>
      <c r="C40" s="804" t="s">
        <v>313</v>
      </c>
      <c r="Z40" s="648">
        <f t="shared" ref="Z40:AG40" si="33">+SUM(Z41:Z47)</f>
        <v>1768851</v>
      </c>
      <c r="AA40" s="648">
        <f t="shared" si="33"/>
        <v>1895868</v>
      </c>
      <c r="AB40" s="648">
        <f t="shared" si="33"/>
        <v>2383644</v>
      </c>
      <c r="AC40" s="648">
        <f t="shared" si="33"/>
        <v>3087522</v>
      </c>
      <c r="AD40" s="648">
        <f t="shared" si="33"/>
        <v>2578965</v>
      </c>
      <c r="AE40" s="648">
        <f t="shared" si="33"/>
        <v>2593116</v>
      </c>
      <c r="AF40" s="648">
        <f t="shared" si="33"/>
        <v>2602234</v>
      </c>
      <c r="AG40" s="648">
        <f t="shared" si="33"/>
        <v>2627050</v>
      </c>
      <c r="AH40" s="648">
        <f t="shared" ref="AH40:AN40" si="34">+SUM(AH41:AH47)</f>
        <v>2326010</v>
      </c>
      <c r="AI40" s="648">
        <f t="shared" si="34"/>
        <v>2181429</v>
      </c>
      <c r="AJ40" s="657">
        <f t="shared" si="34"/>
        <v>2181429</v>
      </c>
      <c r="AK40" s="657">
        <f t="shared" si="34"/>
        <v>2181429</v>
      </c>
      <c r="AL40" s="657">
        <f t="shared" si="34"/>
        <v>2181429</v>
      </c>
      <c r="AM40" s="657">
        <f t="shared" si="34"/>
        <v>2181429</v>
      </c>
      <c r="AN40" s="657">
        <f t="shared" si="34"/>
        <v>2181429</v>
      </c>
      <c r="AO40" s="657">
        <f t="shared" ref="AO40:AR40" si="35">+SUM(AO41:AO47)</f>
        <v>2181429</v>
      </c>
      <c r="AP40" s="657">
        <f t="shared" si="35"/>
        <v>2181429</v>
      </c>
      <c r="AQ40" s="657">
        <f t="shared" si="35"/>
        <v>2181429</v>
      </c>
      <c r="AR40" s="657">
        <f t="shared" si="35"/>
        <v>2181429</v>
      </c>
      <c r="AS40" s="657">
        <f t="shared" ref="AS40:AV40" si="36">+SUM(AS41:AS47)</f>
        <v>2181429</v>
      </c>
      <c r="AT40" s="657">
        <f t="shared" si="36"/>
        <v>2181429</v>
      </c>
      <c r="AU40" s="657">
        <f t="shared" si="36"/>
        <v>2181429</v>
      </c>
      <c r="AV40" s="657">
        <f t="shared" si="36"/>
        <v>2181429</v>
      </c>
      <c r="AW40" s="657">
        <f t="shared" ref="AW40:AZ40" si="37">+SUM(AW41:AW47)</f>
        <v>2181429</v>
      </c>
      <c r="AX40" s="657">
        <f t="shared" si="37"/>
        <v>2181429</v>
      </c>
      <c r="AY40" s="657">
        <f t="shared" si="37"/>
        <v>2181429</v>
      </c>
      <c r="AZ40" s="657">
        <f t="shared" si="37"/>
        <v>2181429</v>
      </c>
      <c r="BE40" s="648">
        <f t="shared" ref="BE40:BL40" si="38">+SUM(BE41:BE47)</f>
        <v>2383644</v>
      </c>
      <c r="BF40" s="648">
        <f t="shared" si="38"/>
        <v>2602234</v>
      </c>
      <c r="BG40" s="648">
        <f t="shared" si="38"/>
        <v>2181429</v>
      </c>
      <c r="BH40" s="648">
        <f t="shared" si="38"/>
        <v>2181429</v>
      </c>
      <c r="BI40" s="657">
        <f t="shared" si="38"/>
        <v>2181429</v>
      </c>
      <c r="BJ40" s="657">
        <f t="shared" si="38"/>
        <v>2181429</v>
      </c>
      <c r="BK40" s="657">
        <f t="shared" si="38"/>
        <v>2181429</v>
      </c>
      <c r="BL40" s="657">
        <f t="shared" si="38"/>
        <v>2181429</v>
      </c>
      <c r="BM40" s="657">
        <f t="shared" ref="BM40:BO40" si="39">+SUM(BM41:BM47)</f>
        <v>2181429</v>
      </c>
      <c r="BN40" s="657">
        <f t="shared" si="39"/>
        <v>2181429</v>
      </c>
      <c r="BO40" s="657">
        <f t="shared" si="39"/>
        <v>2181429</v>
      </c>
    </row>
    <row r="41" spans="2:67">
      <c r="B41" t="s">
        <v>741</v>
      </c>
      <c r="C41" t="s">
        <v>742</v>
      </c>
      <c r="Z41" s="652">
        <v>402602</v>
      </c>
      <c r="AA41" s="652">
        <v>404749</v>
      </c>
      <c r="AB41" s="652">
        <v>401649</v>
      </c>
      <c r="AC41" s="652">
        <v>403727</v>
      </c>
      <c r="AD41" s="652">
        <v>402947</v>
      </c>
      <c r="AE41" s="652">
        <v>408068</v>
      </c>
      <c r="AF41" s="652">
        <v>406955</v>
      </c>
      <c r="AG41" s="652">
        <v>417211</v>
      </c>
      <c r="AH41" s="652">
        <v>410777</v>
      </c>
      <c r="AI41" s="652">
        <v>424914</v>
      </c>
      <c r="AJ41" s="655">
        <f t="shared" ref="AJ41:AJ47" si="40">+AI41</f>
        <v>424914</v>
      </c>
      <c r="AK41" s="655">
        <f t="shared" ref="AK41:AK47" si="41">+AJ41</f>
        <v>424914</v>
      </c>
      <c r="AL41" s="655">
        <f t="shared" ref="AL41:AL47" si="42">+AK41</f>
        <v>424914</v>
      </c>
      <c r="AM41" s="655">
        <f t="shared" ref="AM41:AM47" si="43">+AL41</f>
        <v>424914</v>
      </c>
      <c r="AN41" s="655">
        <f t="shared" ref="AN41:AN47" si="44">+AM41</f>
        <v>424914</v>
      </c>
      <c r="AO41" s="655">
        <f t="shared" ref="AO41:AO47" si="45">+AN41</f>
        <v>424914</v>
      </c>
      <c r="AP41" s="655">
        <f t="shared" ref="AP41:AP47" si="46">+AO41</f>
        <v>424914</v>
      </c>
      <c r="AQ41" s="655">
        <f t="shared" ref="AQ41:AQ47" si="47">+AP41</f>
        <v>424914</v>
      </c>
      <c r="AR41" s="655">
        <f t="shared" ref="AR41:AR47" si="48">+AQ41</f>
        <v>424914</v>
      </c>
      <c r="AS41" s="655">
        <f t="shared" ref="AS41:AS47" si="49">+AR41</f>
        <v>424914</v>
      </c>
      <c r="AT41" s="655">
        <f t="shared" ref="AT41:AT47" si="50">+AS41</f>
        <v>424914</v>
      </c>
      <c r="AU41" s="655">
        <f t="shared" ref="AU41:AU47" si="51">+AT41</f>
        <v>424914</v>
      </c>
      <c r="AV41" s="655">
        <f t="shared" ref="AV41:AV47" si="52">+AU41</f>
        <v>424914</v>
      </c>
      <c r="AW41" s="655">
        <f t="shared" ref="AW41:AW47" si="53">+AV41</f>
        <v>424914</v>
      </c>
      <c r="AX41" s="655">
        <f t="shared" ref="AX41:AX47" si="54">+AW41</f>
        <v>424914</v>
      </c>
      <c r="AY41" s="655">
        <f t="shared" ref="AY41:AY47" si="55">+AX41</f>
        <v>424914</v>
      </c>
      <c r="AZ41" s="655">
        <f t="shared" ref="AZ41:AZ47" si="56">+AY41</f>
        <v>424914</v>
      </c>
      <c r="BE41" s="649">
        <f t="shared" ref="BE41:BE47" si="57">+AB41</f>
        <v>401649</v>
      </c>
      <c r="BF41" s="649">
        <f t="shared" ref="BF41:BF47" si="58">+AF41</f>
        <v>406955</v>
      </c>
      <c r="BG41" s="1176">
        <f t="shared" ref="BG41:BG47" si="59">+AJ41</f>
        <v>424914</v>
      </c>
      <c r="BH41" s="1176">
        <f t="shared" ref="BH41:BH47" si="60">+AN41</f>
        <v>424914</v>
      </c>
      <c r="BI41" s="659">
        <f t="shared" ref="BI41:BL47" si="61">+BH41</f>
        <v>424914</v>
      </c>
      <c r="BJ41" s="659">
        <f t="shared" si="61"/>
        <v>424914</v>
      </c>
      <c r="BK41" s="659">
        <f t="shared" si="61"/>
        <v>424914</v>
      </c>
      <c r="BL41" s="659">
        <f t="shared" si="61"/>
        <v>424914</v>
      </c>
      <c r="BM41" s="659">
        <f t="shared" ref="BM41:BM47" si="62">+BL41</f>
        <v>424914</v>
      </c>
      <c r="BN41" s="659">
        <f t="shared" ref="BN41:BN47" si="63">+BM41</f>
        <v>424914</v>
      </c>
      <c r="BO41" s="659">
        <f t="shared" ref="BO41:BO47" si="64">+BN41</f>
        <v>424914</v>
      </c>
    </row>
    <row r="42" spans="2:67">
      <c r="C42" t="s">
        <v>743</v>
      </c>
      <c r="Z42" s="652">
        <f>506227+302432+201633-7938</f>
        <v>1002354</v>
      </c>
      <c r="AA42" s="652">
        <f>512667+306310+204239</f>
        <v>1023216</v>
      </c>
      <c r="AB42" s="652">
        <f>518855+302255+201515-5177</f>
        <v>1017448</v>
      </c>
      <c r="AC42" s="652">
        <f>525055+305895+203962</f>
        <v>1034912</v>
      </c>
      <c r="AD42" s="652">
        <f>303008+202018</f>
        <v>505026</v>
      </c>
      <c r="AE42" s="652">
        <f>309061+206074</f>
        <v>515135</v>
      </c>
      <c r="AF42" s="652">
        <f>305101+203413</f>
        <v>508514</v>
      </c>
      <c r="AG42" s="652">
        <f>314779+209886</f>
        <v>524665</v>
      </c>
      <c r="AH42" s="652">
        <v>204700</v>
      </c>
      <c r="AI42" s="652">
        <v>213116</v>
      </c>
      <c r="AJ42" s="655">
        <f t="shared" si="40"/>
        <v>213116</v>
      </c>
      <c r="AK42" s="655">
        <f t="shared" si="41"/>
        <v>213116</v>
      </c>
      <c r="AL42" s="655">
        <f t="shared" si="42"/>
        <v>213116</v>
      </c>
      <c r="AM42" s="655">
        <f t="shared" si="43"/>
        <v>213116</v>
      </c>
      <c r="AN42" s="655">
        <f t="shared" si="44"/>
        <v>213116</v>
      </c>
      <c r="AO42" s="655">
        <f t="shared" si="45"/>
        <v>213116</v>
      </c>
      <c r="AP42" s="655">
        <f t="shared" si="46"/>
        <v>213116</v>
      </c>
      <c r="AQ42" s="655">
        <f t="shared" si="47"/>
        <v>213116</v>
      </c>
      <c r="AR42" s="655">
        <f t="shared" si="48"/>
        <v>213116</v>
      </c>
      <c r="AS42" s="655">
        <f t="shared" si="49"/>
        <v>213116</v>
      </c>
      <c r="AT42" s="655">
        <f t="shared" si="50"/>
        <v>213116</v>
      </c>
      <c r="AU42" s="655">
        <f t="shared" si="51"/>
        <v>213116</v>
      </c>
      <c r="AV42" s="655">
        <f t="shared" si="52"/>
        <v>213116</v>
      </c>
      <c r="AW42" s="655">
        <f t="shared" si="53"/>
        <v>213116</v>
      </c>
      <c r="AX42" s="655">
        <f t="shared" si="54"/>
        <v>213116</v>
      </c>
      <c r="AY42" s="655">
        <f t="shared" si="55"/>
        <v>213116</v>
      </c>
      <c r="AZ42" s="655">
        <f t="shared" si="56"/>
        <v>213116</v>
      </c>
      <c r="BE42" s="649">
        <f t="shared" si="57"/>
        <v>1017448</v>
      </c>
      <c r="BF42" s="649">
        <f t="shared" si="58"/>
        <v>508514</v>
      </c>
      <c r="BG42" s="1176">
        <f t="shared" si="59"/>
        <v>213116</v>
      </c>
      <c r="BH42" s="1176">
        <f t="shared" si="60"/>
        <v>213116</v>
      </c>
      <c r="BI42" s="659">
        <f t="shared" si="61"/>
        <v>213116</v>
      </c>
      <c r="BJ42" s="659">
        <f t="shared" si="61"/>
        <v>213116</v>
      </c>
      <c r="BK42" s="659">
        <f t="shared" si="61"/>
        <v>213116</v>
      </c>
      <c r="BL42" s="659">
        <f t="shared" si="61"/>
        <v>213116</v>
      </c>
      <c r="BM42" s="659">
        <f t="shared" si="62"/>
        <v>213116</v>
      </c>
      <c r="BN42" s="659">
        <f t="shared" si="63"/>
        <v>213116</v>
      </c>
      <c r="BO42" s="659">
        <f t="shared" si="64"/>
        <v>213116</v>
      </c>
    </row>
    <row r="43" spans="2:67">
      <c r="C43" t="s">
        <v>744</v>
      </c>
      <c r="Z43" s="652"/>
      <c r="AA43" s="652"/>
      <c r="AB43" s="652">
        <v>0</v>
      </c>
      <c r="AC43" s="652">
        <f>1003296-6631</f>
        <v>996665</v>
      </c>
      <c r="AD43" s="652">
        <v>1015100</v>
      </c>
      <c r="AE43" s="652">
        <v>1008088</v>
      </c>
      <c r="AF43" s="652">
        <f>1030736-3992</f>
        <v>1026744</v>
      </c>
      <c r="AG43" s="652">
        <v>1012984</v>
      </c>
      <c r="AH43" s="652">
        <f>1046506-2403</f>
        <v>1044103</v>
      </c>
      <c r="AI43" s="652">
        <v>1017270</v>
      </c>
      <c r="AJ43" s="655">
        <f t="shared" si="40"/>
        <v>1017270</v>
      </c>
      <c r="AK43" s="655">
        <f t="shared" si="41"/>
        <v>1017270</v>
      </c>
      <c r="AL43" s="655">
        <f t="shared" si="42"/>
        <v>1017270</v>
      </c>
      <c r="AM43" s="655">
        <f t="shared" si="43"/>
        <v>1017270</v>
      </c>
      <c r="AN43" s="655">
        <f t="shared" si="44"/>
        <v>1017270</v>
      </c>
      <c r="AO43" s="655">
        <f t="shared" si="45"/>
        <v>1017270</v>
      </c>
      <c r="AP43" s="655">
        <f t="shared" si="46"/>
        <v>1017270</v>
      </c>
      <c r="AQ43" s="655">
        <f t="shared" si="47"/>
        <v>1017270</v>
      </c>
      <c r="AR43" s="655">
        <f t="shared" si="48"/>
        <v>1017270</v>
      </c>
      <c r="AS43" s="655">
        <f t="shared" si="49"/>
        <v>1017270</v>
      </c>
      <c r="AT43" s="655">
        <f t="shared" si="50"/>
        <v>1017270</v>
      </c>
      <c r="AU43" s="655">
        <f t="shared" si="51"/>
        <v>1017270</v>
      </c>
      <c r="AV43" s="655">
        <f t="shared" si="52"/>
        <v>1017270</v>
      </c>
      <c r="AW43" s="655">
        <f t="shared" si="53"/>
        <v>1017270</v>
      </c>
      <c r="AX43" s="655">
        <f t="shared" si="54"/>
        <v>1017270</v>
      </c>
      <c r="AY43" s="655">
        <f t="shared" si="55"/>
        <v>1017270</v>
      </c>
      <c r="AZ43" s="655">
        <f t="shared" si="56"/>
        <v>1017270</v>
      </c>
      <c r="BE43" s="649">
        <f t="shared" si="57"/>
        <v>0</v>
      </c>
      <c r="BF43" s="649">
        <f t="shared" si="58"/>
        <v>1026744</v>
      </c>
      <c r="BG43" s="1176">
        <f t="shared" si="59"/>
        <v>1017270</v>
      </c>
      <c r="BH43" s="1176">
        <f t="shared" si="60"/>
        <v>1017270</v>
      </c>
      <c r="BI43" s="659">
        <f t="shared" si="61"/>
        <v>1017270</v>
      </c>
      <c r="BJ43" s="659">
        <f t="shared" si="61"/>
        <v>1017270</v>
      </c>
      <c r="BK43" s="659">
        <f t="shared" si="61"/>
        <v>1017270</v>
      </c>
      <c r="BL43" s="659">
        <f t="shared" si="61"/>
        <v>1017270</v>
      </c>
      <c r="BM43" s="659">
        <f t="shared" si="62"/>
        <v>1017270</v>
      </c>
      <c r="BN43" s="659">
        <f t="shared" si="63"/>
        <v>1017270</v>
      </c>
      <c r="BO43" s="659">
        <f t="shared" si="64"/>
        <v>1017270</v>
      </c>
    </row>
    <row r="44" spans="2:67">
      <c r="C44" t="s">
        <v>745</v>
      </c>
      <c r="Z44" s="652">
        <v>7303</v>
      </c>
      <c r="AA44" s="652">
        <v>6694</v>
      </c>
      <c r="AB44" s="652">
        <v>0</v>
      </c>
      <c r="AC44" s="652">
        <f t="shared" ref="AB44:AG46" si="65">+AB44</f>
        <v>0</v>
      </c>
      <c r="AD44" s="652">
        <f t="shared" si="65"/>
        <v>0</v>
      </c>
      <c r="AE44" s="652">
        <f t="shared" si="65"/>
        <v>0</v>
      </c>
      <c r="AF44" s="652">
        <f t="shared" si="65"/>
        <v>0</v>
      </c>
      <c r="AG44" s="652">
        <f t="shared" si="65"/>
        <v>0</v>
      </c>
      <c r="AH44" s="652">
        <f>+AG44</f>
        <v>0</v>
      </c>
      <c r="AI44" s="652">
        <f t="shared" ref="AI44:AI46" si="66">+AH44</f>
        <v>0</v>
      </c>
      <c r="AJ44" s="655">
        <f t="shared" si="40"/>
        <v>0</v>
      </c>
      <c r="AK44" s="655">
        <f t="shared" si="41"/>
        <v>0</v>
      </c>
      <c r="AL44" s="655">
        <f t="shared" si="42"/>
        <v>0</v>
      </c>
      <c r="AM44" s="655">
        <f t="shared" si="43"/>
        <v>0</v>
      </c>
      <c r="AN44" s="655">
        <f t="shared" si="44"/>
        <v>0</v>
      </c>
      <c r="AO44" s="655">
        <f t="shared" si="45"/>
        <v>0</v>
      </c>
      <c r="AP44" s="655">
        <f t="shared" si="46"/>
        <v>0</v>
      </c>
      <c r="AQ44" s="655">
        <f t="shared" si="47"/>
        <v>0</v>
      </c>
      <c r="AR44" s="655">
        <f t="shared" si="48"/>
        <v>0</v>
      </c>
      <c r="AS44" s="655">
        <f t="shared" si="49"/>
        <v>0</v>
      </c>
      <c r="AT44" s="655">
        <f t="shared" si="50"/>
        <v>0</v>
      </c>
      <c r="AU44" s="655">
        <f t="shared" si="51"/>
        <v>0</v>
      </c>
      <c r="AV44" s="655">
        <f t="shared" si="52"/>
        <v>0</v>
      </c>
      <c r="AW44" s="655">
        <f t="shared" si="53"/>
        <v>0</v>
      </c>
      <c r="AX44" s="655">
        <f t="shared" si="54"/>
        <v>0</v>
      </c>
      <c r="AY44" s="655">
        <f t="shared" si="55"/>
        <v>0</v>
      </c>
      <c r="AZ44" s="655">
        <f t="shared" si="56"/>
        <v>0</v>
      </c>
      <c r="BE44" s="649">
        <f t="shared" si="57"/>
        <v>0</v>
      </c>
      <c r="BF44" s="649">
        <f t="shared" si="58"/>
        <v>0</v>
      </c>
      <c r="BG44" s="1176">
        <f t="shared" si="59"/>
        <v>0</v>
      </c>
      <c r="BH44" s="1176">
        <f t="shared" si="60"/>
        <v>0</v>
      </c>
      <c r="BI44" s="659">
        <f t="shared" si="61"/>
        <v>0</v>
      </c>
      <c r="BJ44" s="659">
        <f t="shared" si="61"/>
        <v>0</v>
      </c>
      <c r="BK44" s="659">
        <f t="shared" si="61"/>
        <v>0</v>
      </c>
      <c r="BL44" s="659">
        <f t="shared" si="61"/>
        <v>0</v>
      </c>
      <c r="BM44" s="659">
        <f t="shared" si="62"/>
        <v>0</v>
      </c>
      <c r="BN44" s="659">
        <f t="shared" si="63"/>
        <v>0</v>
      </c>
      <c r="BO44" s="659">
        <f t="shared" si="64"/>
        <v>0</v>
      </c>
    </row>
    <row r="45" spans="2:67">
      <c r="C45" t="s">
        <v>746</v>
      </c>
      <c r="Z45" s="652">
        <f>478+250</f>
        <v>728</v>
      </c>
      <c r="AA45" s="652">
        <v>0</v>
      </c>
      <c r="AB45" s="652">
        <f t="shared" si="65"/>
        <v>0</v>
      </c>
      <c r="AC45" s="652">
        <f t="shared" si="65"/>
        <v>0</v>
      </c>
      <c r="AD45" s="652">
        <f t="shared" si="65"/>
        <v>0</v>
      </c>
      <c r="AE45" s="652">
        <f t="shared" si="65"/>
        <v>0</v>
      </c>
      <c r="AF45" s="652">
        <f t="shared" si="65"/>
        <v>0</v>
      </c>
      <c r="AG45" s="652">
        <f t="shared" si="65"/>
        <v>0</v>
      </c>
      <c r="AH45" s="652">
        <f>+AG45</f>
        <v>0</v>
      </c>
      <c r="AI45" s="652">
        <f t="shared" si="66"/>
        <v>0</v>
      </c>
      <c r="AJ45" s="655">
        <f t="shared" si="40"/>
        <v>0</v>
      </c>
      <c r="AK45" s="655">
        <f t="shared" si="41"/>
        <v>0</v>
      </c>
      <c r="AL45" s="655">
        <f t="shared" si="42"/>
        <v>0</v>
      </c>
      <c r="AM45" s="655">
        <f t="shared" si="43"/>
        <v>0</v>
      </c>
      <c r="AN45" s="655">
        <f t="shared" si="44"/>
        <v>0</v>
      </c>
      <c r="AO45" s="655">
        <f t="shared" si="45"/>
        <v>0</v>
      </c>
      <c r="AP45" s="655">
        <f t="shared" si="46"/>
        <v>0</v>
      </c>
      <c r="AQ45" s="655">
        <f t="shared" si="47"/>
        <v>0</v>
      </c>
      <c r="AR45" s="655">
        <f t="shared" si="48"/>
        <v>0</v>
      </c>
      <c r="AS45" s="655">
        <f t="shared" si="49"/>
        <v>0</v>
      </c>
      <c r="AT45" s="655">
        <f t="shared" si="50"/>
        <v>0</v>
      </c>
      <c r="AU45" s="655">
        <f t="shared" si="51"/>
        <v>0</v>
      </c>
      <c r="AV45" s="655">
        <f t="shared" si="52"/>
        <v>0</v>
      </c>
      <c r="AW45" s="655">
        <f t="shared" si="53"/>
        <v>0</v>
      </c>
      <c r="AX45" s="655">
        <f t="shared" si="54"/>
        <v>0</v>
      </c>
      <c r="AY45" s="655">
        <f t="shared" si="55"/>
        <v>0</v>
      </c>
      <c r="AZ45" s="655">
        <f t="shared" si="56"/>
        <v>0</v>
      </c>
      <c r="BE45" s="649">
        <f t="shared" si="57"/>
        <v>0</v>
      </c>
      <c r="BF45" s="649">
        <f t="shared" si="58"/>
        <v>0</v>
      </c>
      <c r="BG45" s="1176">
        <f t="shared" si="59"/>
        <v>0</v>
      </c>
      <c r="BH45" s="1176">
        <f t="shared" si="60"/>
        <v>0</v>
      </c>
      <c r="BI45" s="659">
        <f t="shared" si="61"/>
        <v>0</v>
      </c>
      <c r="BJ45" s="659">
        <f t="shared" si="61"/>
        <v>0</v>
      </c>
      <c r="BK45" s="659">
        <f t="shared" si="61"/>
        <v>0</v>
      </c>
      <c r="BL45" s="659">
        <f t="shared" si="61"/>
        <v>0</v>
      </c>
      <c r="BM45" s="659">
        <f t="shared" si="62"/>
        <v>0</v>
      </c>
      <c r="BN45" s="659">
        <f t="shared" si="63"/>
        <v>0</v>
      </c>
      <c r="BO45" s="659">
        <f t="shared" si="64"/>
        <v>0</v>
      </c>
    </row>
    <row r="46" spans="2:67">
      <c r="C46" t="s">
        <v>747</v>
      </c>
      <c r="Z46" s="652">
        <f>50860+305004</f>
        <v>355864</v>
      </c>
      <c r="AA46" s="652">
        <f>309562+151647</f>
        <v>461209</v>
      </c>
      <c r="AB46" s="652">
        <f>313740+153376-3607</f>
        <v>463509</v>
      </c>
      <c r="AC46" s="652">
        <v>151591</v>
      </c>
      <c r="AD46" s="652">
        <v>0</v>
      </c>
      <c r="AE46" s="652">
        <f t="shared" si="65"/>
        <v>0</v>
      </c>
      <c r="AF46" s="652">
        <f t="shared" si="65"/>
        <v>0</v>
      </c>
      <c r="AG46" s="652">
        <f t="shared" si="65"/>
        <v>0</v>
      </c>
      <c r="AH46" s="652">
        <f>+AG46</f>
        <v>0</v>
      </c>
      <c r="AI46" s="652">
        <f t="shared" si="66"/>
        <v>0</v>
      </c>
      <c r="AJ46" s="655">
        <f t="shared" si="40"/>
        <v>0</v>
      </c>
      <c r="AK46" s="655">
        <f t="shared" si="41"/>
        <v>0</v>
      </c>
      <c r="AL46" s="655">
        <f t="shared" si="42"/>
        <v>0</v>
      </c>
      <c r="AM46" s="655">
        <f t="shared" si="43"/>
        <v>0</v>
      </c>
      <c r="AN46" s="655">
        <f t="shared" si="44"/>
        <v>0</v>
      </c>
      <c r="AO46" s="655">
        <f t="shared" si="45"/>
        <v>0</v>
      </c>
      <c r="AP46" s="655">
        <f t="shared" si="46"/>
        <v>0</v>
      </c>
      <c r="AQ46" s="655">
        <f t="shared" si="47"/>
        <v>0</v>
      </c>
      <c r="AR46" s="655">
        <f t="shared" si="48"/>
        <v>0</v>
      </c>
      <c r="AS46" s="655">
        <f t="shared" si="49"/>
        <v>0</v>
      </c>
      <c r="AT46" s="655">
        <f t="shared" si="50"/>
        <v>0</v>
      </c>
      <c r="AU46" s="655">
        <f t="shared" si="51"/>
        <v>0</v>
      </c>
      <c r="AV46" s="655">
        <f t="shared" si="52"/>
        <v>0</v>
      </c>
      <c r="AW46" s="655">
        <f t="shared" si="53"/>
        <v>0</v>
      </c>
      <c r="AX46" s="655">
        <f t="shared" si="54"/>
        <v>0</v>
      </c>
      <c r="AY46" s="655">
        <f t="shared" si="55"/>
        <v>0</v>
      </c>
      <c r="AZ46" s="655">
        <f t="shared" si="56"/>
        <v>0</v>
      </c>
      <c r="BE46" s="649">
        <f t="shared" si="57"/>
        <v>463509</v>
      </c>
      <c r="BF46" s="649">
        <f t="shared" si="58"/>
        <v>0</v>
      </c>
      <c r="BG46" s="1176">
        <f t="shared" si="59"/>
        <v>0</v>
      </c>
      <c r="BH46" s="1176">
        <f t="shared" si="60"/>
        <v>0</v>
      </c>
      <c r="BI46" s="659">
        <f t="shared" si="61"/>
        <v>0</v>
      </c>
      <c r="BJ46" s="659">
        <f t="shared" si="61"/>
        <v>0</v>
      </c>
      <c r="BK46" s="659">
        <f t="shared" si="61"/>
        <v>0</v>
      </c>
      <c r="BL46" s="659">
        <f t="shared" si="61"/>
        <v>0</v>
      </c>
      <c r="BM46" s="659">
        <f t="shared" si="62"/>
        <v>0</v>
      </c>
      <c r="BN46" s="659">
        <f t="shared" si="63"/>
        <v>0</v>
      </c>
      <c r="BO46" s="659">
        <f t="shared" si="64"/>
        <v>0</v>
      </c>
    </row>
    <row r="47" spans="2:67">
      <c r="C47" t="s">
        <v>748</v>
      </c>
      <c r="AB47" s="652">
        <f>100033+401005</f>
        <v>501038</v>
      </c>
      <c r="AC47" s="652">
        <f>100046+403719-3138</f>
        <v>500627</v>
      </c>
      <c r="AD47" s="652">
        <f>153789+100096+402007</f>
        <v>655892</v>
      </c>
      <c r="AE47" s="652">
        <f>152652+100205+408906+62</f>
        <v>661825</v>
      </c>
      <c r="AF47" s="652">
        <f>156506+100412+404779+53-1729</f>
        <v>660021</v>
      </c>
      <c r="AG47" s="652">
        <f>154298+100519+418584+47-1258</f>
        <v>672190</v>
      </c>
      <c r="AH47" s="652">
        <f>159836+100582+406762+37-787</f>
        <v>666430</v>
      </c>
      <c r="AI47" s="652">
        <f>100679+425735+30-315</f>
        <v>526129</v>
      </c>
      <c r="AJ47" s="655">
        <f t="shared" si="40"/>
        <v>526129</v>
      </c>
      <c r="AK47" s="655">
        <f t="shared" si="41"/>
        <v>526129</v>
      </c>
      <c r="AL47" s="655">
        <f t="shared" si="42"/>
        <v>526129</v>
      </c>
      <c r="AM47" s="655">
        <f t="shared" si="43"/>
        <v>526129</v>
      </c>
      <c r="AN47" s="655">
        <f t="shared" si="44"/>
        <v>526129</v>
      </c>
      <c r="AO47" s="655">
        <f t="shared" si="45"/>
        <v>526129</v>
      </c>
      <c r="AP47" s="655">
        <f t="shared" si="46"/>
        <v>526129</v>
      </c>
      <c r="AQ47" s="655">
        <f t="shared" si="47"/>
        <v>526129</v>
      </c>
      <c r="AR47" s="655">
        <f t="shared" si="48"/>
        <v>526129</v>
      </c>
      <c r="AS47" s="655">
        <f t="shared" si="49"/>
        <v>526129</v>
      </c>
      <c r="AT47" s="655">
        <f t="shared" si="50"/>
        <v>526129</v>
      </c>
      <c r="AU47" s="655">
        <f t="shared" si="51"/>
        <v>526129</v>
      </c>
      <c r="AV47" s="655">
        <f t="shared" si="52"/>
        <v>526129</v>
      </c>
      <c r="AW47" s="655">
        <f t="shared" si="53"/>
        <v>526129</v>
      </c>
      <c r="AX47" s="655">
        <f t="shared" si="54"/>
        <v>526129</v>
      </c>
      <c r="AY47" s="655">
        <f t="shared" si="55"/>
        <v>526129</v>
      </c>
      <c r="AZ47" s="655">
        <f t="shared" si="56"/>
        <v>526129</v>
      </c>
      <c r="BE47" s="649">
        <f t="shared" si="57"/>
        <v>501038</v>
      </c>
      <c r="BF47" s="649">
        <f t="shared" si="58"/>
        <v>660021</v>
      </c>
      <c r="BG47" s="1176">
        <f t="shared" si="59"/>
        <v>526129</v>
      </c>
      <c r="BH47" s="1176">
        <f t="shared" si="60"/>
        <v>526129</v>
      </c>
      <c r="BI47" s="659">
        <f t="shared" si="61"/>
        <v>526129</v>
      </c>
      <c r="BJ47" s="659">
        <f t="shared" si="61"/>
        <v>526129</v>
      </c>
      <c r="BK47" s="659">
        <f t="shared" si="61"/>
        <v>526129</v>
      </c>
      <c r="BL47" s="659">
        <f t="shared" si="61"/>
        <v>526129</v>
      </c>
      <c r="BM47" s="659">
        <f t="shared" si="62"/>
        <v>526129</v>
      </c>
      <c r="BN47" s="659">
        <f t="shared" si="63"/>
        <v>526129</v>
      </c>
      <c r="BO47" s="659">
        <f t="shared" si="64"/>
        <v>526129</v>
      </c>
    </row>
    <row r="48" spans="2:67">
      <c r="BE48" s="649"/>
      <c r="BF48" s="649"/>
      <c r="BG48" s="649"/>
      <c r="BH48" s="649"/>
      <c r="BI48" s="649"/>
      <c r="BJ48" s="649"/>
      <c r="BK48" s="649"/>
      <c r="BL48" s="649"/>
      <c r="BM48" s="649"/>
      <c r="BN48" s="649"/>
      <c r="BO48" s="649"/>
    </row>
    <row r="49" spans="2:67" s="359" customFormat="1">
      <c r="C49" s="359" t="s">
        <v>313</v>
      </c>
      <c r="Z49" s="648">
        <f t="shared" ref="Z49:AG49" si="67">+SUM(Z50:Z56)</f>
        <v>24545.045698361271</v>
      </c>
      <c r="AA49" s="648">
        <f t="shared" si="67"/>
        <v>21504.807796388661</v>
      </c>
      <c r="AB49" s="648">
        <f t="shared" si="67"/>
        <v>24333.883694342192</v>
      </c>
      <c r="AC49" s="648">
        <f t="shared" si="67"/>
        <v>30443.99105442005</v>
      </c>
      <c r="AD49" s="648">
        <f t="shared" si="67"/>
        <v>31589.436343343907</v>
      </c>
      <c r="AE49" s="648">
        <f t="shared" si="67"/>
        <v>43256.186263502612</v>
      </c>
      <c r="AF49" s="648">
        <f t="shared" si="67"/>
        <v>61978.011267911228</v>
      </c>
      <c r="AG49" s="648">
        <f t="shared" si="67"/>
        <v>81390.834361607849</v>
      </c>
      <c r="AH49" s="648">
        <f t="shared" ref="AH49:AN49" si="68">+SUM(AH50:AH56)</f>
        <v>84004.314495328799</v>
      </c>
      <c r="AI49" s="648">
        <f t="shared" si="68"/>
        <v>84022.608299413027</v>
      </c>
      <c r="AJ49" s="648">
        <f t="shared" si="68"/>
        <v>84846.58311076535</v>
      </c>
      <c r="AK49" s="648">
        <f t="shared" si="68"/>
        <v>84846.58311076535</v>
      </c>
      <c r="AL49" s="648">
        <f t="shared" si="68"/>
        <v>84846.58311076535</v>
      </c>
      <c r="AM49" s="648">
        <f t="shared" si="68"/>
        <v>82702.54970189443</v>
      </c>
      <c r="AN49" s="648">
        <f t="shared" si="68"/>
        <v>77013.380895045339</v>
      </c>
      <c r="AO49" s="648">
        <f t="shared" ref="AO49:AR49" si="69">+SUM(AO50:AO56)</f>
        <v>71563.947009812211</v>
      </c>
      <c r="AP49" s="648">
        <f t="shared" si="69"/>
        <v>67369.112421378595</v>
      </c>
      <c r="AQ49" s="648">
        <f t="shared" si="69"/>
        <v>66976.50712485335</v>
      </c>
      <c r="AR49" s="648">
        <f t="shared" si="69"/>
        <v>71117.509456222644</v>
      </c>
      <c r="AS49" s="648">
        <f t="shared" ref="AS49:AV49" si="70">+SUM(AS50:AS56)</f>
        <v>83931.005181999237</v>
      </c>
      <c r="AT49" s="648">
        <f t="shared" si="70"/>
        <v>90319.023258776811</v>
      </c>
      <c r="AU49" s="648">
        <f t="shared" si="70"/>
        <v>91681.541531370065</v>
      </c>
      <c r="AV49" s="648">
        <f t="shared" si="70"/>
        <v>91681.541531370065</v>
      </c>
      <c r="AW49" s="648">
        <f t="shared" ref="AW49:AZ49" si="71">+SUM(AW50:AW56)</f>
        <v>88954.276826817513</v>
      </c>
      <c r="AX49" s="648">
        <f t="shared" si="71"/>
        <v>83472.838319093848</v>
      </c>
      <c r="AY49" s="648">
        <f t="shared" si="71"/>
        <v>79337.941082902995</v>
      </c>
      <c r="AZ49" s="648">
        <f t="shared" si="71"/>
        <v>76569.868721289429</v>
      </c>
      <c r="BE49" s="648">
        <f t="shared" ref="BE49:BL49" si="72">+SUM(BE50:BE56)</f>
        <v>70383.737189092135</v>
      </c>
      <c r="BF49" s="648">
        <f t="shared" si="72"/>
        <v>167267.62492917781</v>
      </c>
      <c r="BG49" s="648">
        <f t="shared" si="72"/>
        <v>334264.34026711504</v>
      </c>
      <c r="BH49" s="648">
        <f t="shared" si="72"/>
        <v>329409.09681847045</v>
      </c>
      <c r="BI49" s="657">
        <f t="shared" si="72"/>
        <v>287245.17159375001</v>
      </c>
      <c r="BJ49" s="657">
        <f t="shared" si="72"/>
        <v>375436.96212500008</v>
      </c>
      <c r="BK49" s="657">
        <f t="shared" si="72"/>
        <v>343183.96444500005</v>
      </c>
      <c r="BL49" s="657">
        <f t="shared" si="72"/>
        <v>300851.90498999995</v>
      </c>
      <c r="BM49" s="657">
        <f t="shared" ref="BM49:BO49" si="73">+SUM(BM50:BM56)</f>
        <v>288757.03086</v>
      </c>
      <c r="BN49" s="657">
        <f t="shared" si="73"/>
        <v>264567.28260000004</v>
      </c>
      <c r="BO49" s="657">
        <f t="shared" si="73"/>
        <v>240377.53433999998</v>
      </c>
    </row>
    <row r="50" spans="2:67">
      <c r="B50" t="s">
        <v>749</v>
      </c>
      <c r="C50" t="s">
        <v>742</v>
      </c>
      <c r="Z50" s="649">
        <f t="shared" ref="Z50:AG50" si="74">+Z67*Z41</f>
        <v>3276.3605473814073</v>
      </c>
      <c r="AA50" s="649">
        <f t="shared" si="74"/>
        <v>2180.2769679835478</v>
      </c>
      <c r="AB50" s="649">
        <f t="shared" si="74"/>
        <v>2071.0974070801258</v>
      </c>
      <c r="AC50" s="649">
        <f t="shared" si="74"/>
        <v>2216.0671652547508</v>
      </c>
      <c r="AD50" s="649">
        <f t="shared" si="74"/>
        <v>3463.0873027956518</v>
      </c>
      <c r="AE50" s="649">
        <f t="shared" si="74"/>
        <v>5192.9954231084575</v>
      </c>
      <c r="AF50" s="649">
        <f t="shared" si="74"/>
        <v>7894.4093921531103</v>
      </c>
      <c r="AG50" s="649">
        <f t="shared" si="74"/>
        <v>10876.006516931808</v>
      </c>
      <c r="AH50" s="649">
        <f t="shared" ref="AH50:AN50" si="75">+AH67*AH41</f>
        <v>12744.459776376705</v>
      </c>
      <c r="AI50" s="649">
        <f t="shared" si="75"/>
        <v>14300.552989404536</v>
      </c>
      <c r="AJ50" s="649">
        <f t="shared" si="75"/>
        <v>14450.936138483909</v>
      </c>
      <c r="AK50" s="649">
        <f t="shared" si="75"/>
        <v>14450.936138483909</v>
      </c>
      <c r="AL50" s="649">
        <f t="shared" si="75"/>
        <v>14450.936138483909</v>
      </c>
      <c r="AM50" s="649">
        <f t="shared" si="75"/>
        <v>14059.629885774291</v>
      </c>
      <c r="AN50" s="649">
        <f t="shared" si="75"/>
        <v>13021.303095888623</v>
      </c>
      <c r="AO50" s="649">
        <f t="shared" ref="AO50:AR50" si="76">+AO67*AO41</f>
        <v>12026.730182893607</v>
      </c>
      <c r="AP50" s="649">
        <f t="shared" si="76"/>
        <v>11261.133435778986</v>
      </c>
      <c r="AQ50" s="649">
        <f t="shared" si="76"/>
        <v>11189.479278366323</v>
      </c>
      <c r="AR50" s="649">
        <f t="shared" si="76"/>
        <v>11945.251132501393</v>
      </c>
      <c r="AS50" s="649">
        <f t="shared" ref="AS50:AV50" si="77">+AS67*AS41</f>
        <v>14283.834559335583</v>
      </c>
      <c r="AT50" s="649">
        <f t="shared" si="77"/>
        <v>15449.707910712834</v>
      </c>
      <c r="AU50" s="649">
        <f t="shared" si="77"/>
        <v>15698.380304198356</v>
      </c>
      <c r="AV50" s="649">
        <f t="shared" si="77"/>
        <v>15698.380304198356</v>
      </c>
      <c r="AW50" s="649">
        <f t="shared" ref="AW50:AZ50" si="78">+AW67*AW41</f>
        <v>15200.628857196572</v>
      </c>
      <c r="AX50" s="649">
        <f t="shared" si="78"/>
        <v>14200.21479972855</v>
      </c>
      <c r="AY50" s="649">
        <f t="shared" si="78"/>
        <v>13445.557182856215</v>
      </c>
      <c r="AZ50" s="649">
        <f t="shared" si="78"/>
        <v>12940.357954816911</v>
      </c>
      <c r="BE50" s="649">
        <f t="shared" ref="BE50:BE56" si="79">+SUM(Y50:AB50)</f>
        <v>7527.7349224450809</v>
      </c>
      <c r="BF50" s="649">
        <f t="shared" ref="BF50:BF56" si="80">+SUM(AC50:AF50)</f>
        <v>18766.55928331197</v>
      </c>
      <c r="BG50" s="649">
        <f>+SUM(AG50:AJ50)</f>
        <v>52371.955421196959</v>
      </c>
      <c r="BH50" s="649">
        <f>+SUM(AK50:AN50)</f>
        <v>55982.805258630731</v>
      </c>
      <c r="BI50" s="660">
        <f>+BI67*BI41</f>
        <v>48287.492531249998</v>
      </c>
      <c r="BJ50" s="660">
        <f>+BJ67*BJ41</f>
        <v>64383.323375</v>
      </c>
      <c r="BK50" s="660">
        <f>+BK67*BK41</f>
        <v>58496.848095000001</v>
      </c>
      <c r="BL50" s="660">
        <f>+BL67*BL41</f>
        <v>50770.849289999998</v>
      </c>
      <c r="BM50" s="660">
        <f t="shared" ref="BM50:BO50" si="81">+BM67*BM41</f>
        <v>48563.421059999993</v>
      </c>
      <c r="BN50" s="660">
        <f t="shared" si="81"/>
        <v>44148.564599999998</v>
      </c>
      <c r="BO50" s="660">
        <f t="shared" si="81"/>
        <v>39733.708139999995</v>
      </c>
    </row>
    <row r="51" spans="2:67">
      <c r="C51" t="s">
        <v>743</v>
      </c>
      <c r="Z51" s="649">
        <f>+Z68*Z42</f>
        <v>15368.589244706289</v>
      </c>
      <c r="AA51" s="649">
        <f t="shared" ref="AA51:AF52" si="82">+AA68*AA42</f>
        <v>12979.025569435951</v>
      </c>
      <c r="AB51" s="649">
        <f t="shared" si="82"/>
        <v>12680.384803293082</v>
      </c>
      <c r="AC51" s="649">
        <f t="shared" si="82"/>
        <v>13229.267080058658</v>
      </c>
      <c r="AD51" s="649">
        <f t="shared" si="82"/>
        <v>7965.1684943042383</v>
      </c>
      <c r="AE51" s="649">
        <f t="shared" si="82"/>
        <v>10172.953899699003</v>
      </c>
      <c r="AF51" s="649">
        <f t="shared" si="82"/>
        <v>13308.104103769201</v>
      </c>
      <c r="AG51" s="649">
        <f>+AG68*AG42</f>
        <v>17098.75657161753</v>
      </c>
      <c r="AH51" s="649">
        <f t="shared" ref="AH51:AN51" si="83">+AH68*AH42</f>
        <v>7647.7321967872449</v>
      </c>
      <c r="AI51" s="649">
        <f t="shared" si="83"/>
        <v>8501.5993088186551</v>
      </c>
      <c r="AJ51" s="649">
        <f t="shared" si="83"/>
        <v>8574.1929604799807</v>
      </c>
      <c r="AK51" s="649">
        <f t="shared" si="83"/>
        <v>8574.1929604799807</v>
      </c>
      <c r="AL51" s="649">
        <f t="shared" si="83"/>
        <v>8574.1929604799807</v>
      </c>
      <c r="AM51" s="649">
        <f t="shared" si="83"/>
        <v>8385.2997900948594</v>
      </c>
      <c r="AN51" s="649">
        <f t="shared" si="83"/>
        <v>7884.0738631407739</v>
      </c>
      <c r="AO51" s="649">
        <f t="shared" ref="AO51:AR51" si="84">+AO68*AO42</f>
        <v>7403.9690107038587</v>
      </c>
      <c r="AP51" s="649">
        <f t="shared" si="84"/>
        <v>7034.3965957536357</v>
      </c>
      <c r="AQ51" s="649">
        <f t="shared" si="84"/>
        <v>6999.8073683359062</v>
      </c>
      <c r="AR51" s="649">
        <f t="shared" si="84"/>
        <v>7364.6370653490903</v>
      </c>
      <c r="AS51" s="649">
        <f t="shared" ref="AS51:AV51" si="85">+AS68*AS42</f>
        <v>8493.5289106644759</v>
      </c>
      <c r="AT51" s="649">
        <f t="shared" si="85"/>
        <v>9056.3247057334593</v>
      </c>
      <c r="AU51" s="649">
        <f t="shared" si="85"/>
        <v>9176.3649976211382</v>
      </c>
      <c r="AV51" s="649">
        <f t="shared" si="85"/>
        <v>9176.3649976211382</v>
      </c>
      <c r="AW51" s="649">
        <f t="shared" ref="AW51:AZ51" si="86">+AW68*AW42</f>
        <v>8936.0881090284074</v>
      </c>
      <c r="AX51" s="649">
        <f t="shared" si="86"/>
        <v>8453.1635922223613</v>
      </c>
      <c r="AY51" s="649">
        <f t="shared" si="86"/>
        <v>8088.8717649918917</v>
      </c>
      <c r="AZ51" s="649">
        <f t="shared" si="86"/>
        <v>7844.9996489711039</v>
      </c>
      <c r="BE51" s="649">
        <f t="shared" si="79"/>
        <v>41027.999617435322</v>
      </c>
      <c r="BF51" s="649">
        <f t="shared" si="80"/>
        <v>44675.493577831105</v>
      </c>
      <c r="BG51" s="649">
        <f t="shared" ref="BG51:BG56" si="87">+SUM(AG51:AJ51)</f>
        <v>41822.281037703411</v>
      </c>
      <c r="BH51" s="649">
        <f t="shared" ref="BH51:BH56" si="88">+SUM(AK51:AN51)</f>
        <v>33417.759574195596</v>
      </c>
      <c r="BI51" s="660">
        <f t="shared" ref="BI51:BK56" si="89">+BI68*BI42</f>
        <v>29703.0425</v>
      </c>
      <c r="BJ51" s="660">
        <f t="shared" si="89"/>
        <v>37472.896666666667</v>
      </c>
      <c r="BK51" s="660">
        <f t="shared" si="89"/>
        <v>34631.35</v>
      </c>
      <c r="BL51" s="660">
        <f t="shared" ref="BL51:BO56" si="90">+BL68*BL42</f>
        <v>30901.820000000003</v>
      </c>
      <c r="BM51" s="660">
        <f t="shared" si="90"/>
        <v>29836.240000000002</v>
      </c>
      <c r="BN51" s="660">
        <f t="shared" si="90"/>
        <v>27705.08</v>
      </c>
      <c r="BO51" s="660">
        <f t="shared" si="90"/>
        <v>25573.919999999998</v>
      </c>
    </row>
    <row r="52" spans="2:67">
      <c r="C52" t="s">
        <v>744</v>
      </c>
      <c r="Z52" s="649"/>
      <c r="AA52" s="649"/>
      <c r="AB52" s="649"/>
      <c r="AC52" s="649">
        <f t="shared" si="82"/>
        <v>9252.0286600857489</v>
      </c>
      <c r="AD52" s="649">
        <f t="shared" si="82"/>
        <v>12457.103029286081</v>
      </c>
      <c r="AE52" s="649">
        <f t="shared" si="82"/>
        <v>16379.546738737941</v>
      </c>
      <c r="AF52" s="649">
        <f t="shared" si="82"/>
        <v>23276.877520509574</v>
      </c>
      <c r="AG52" s="649">
        <f>+AG69*AG43</f>
        <v>29467.558252758259</v>
      </c>
      <c r="AH52" s="649">
        <f t="shared" ref="AH52:AN52" si="91">+AH69*AH43</f>
        <v>35354.042674705197</v>
      </c>
      <c r="AI52" s="649">
        <f t="shared" si="91"/>
        <v>37020.374501501312</v>
      </c>
      <c r="AJ52" s="649">
        <f t="shared" si="91"/>
        <v>37366.886936163741</v>
      </c>
      <c r="AK52" s="649">
        <f t="shared" si="91"/>
        <v>37366.886936163741</v>
      </c>
      <c r="AL52" s="649">
        <f t="shared" si="91"/>
        <v>37366.886936163741</v>
      </c>
      <c r="AM52" s="649">
        <f t="shared" si="91"/>
        <v>36465.240154891231</v>
      </c>
      <c r="AN52" s="649">
        <f t="shared" si="91"/>
        <v>34072.730447912014</v>
      </c>
      <c r="AO52" s="649">
        <f t="shared" ref="AO52:AR52" si="92">+AO69*AO43</f>
        <v>31781.038302608507</v>
      </c>
      <c r="AP52" s="649">
        <f t="shared" si="92"/>
        <v>30016.952403115207</v>
      </c>
      <c r="AQ52" s="649">
        <f t="shared" si="92"/>
        <v>29851.847092508622</v>
      </c>
      <c r="AR52" s="649">
        <f t="shared" si="92"/>
        <v>31593.294500871212</v>
      </c>
      <c r="AS52" s="649">
        <f t="shared" ref="AS52:AV52" si="93">+AS69*AS43</f>
        <v>36981.851941344859</v>
      </c>
      <c r="AT52" s="649">
        <f t="shared" si="93"/>
        <v>39668.254081258456</v>
      </c>
      <c r="AU52" s="649">
        <f t="shared" si="93"/>
        <v>40241.244320041929</v>
      </c>
      <c r="AV52" s="649">
        <f t="shared" si="93"/>
        <v>40241.244320041929</v>
      </c>
      <c r="AW52" s="649">
        <f t="shared" ref="AW52:AZ52" si="94">+AW69*AW43</f>
        <v>39094.326817560992</v>
      </c>
      <c r="AX52" s="649">
        <f t="shared" si="94"/>
        <v>36789.17552337714</v>
      </c>
      <c r="AY52" s="649">
        <f t="shared" si="94"/>
        <v>35050.295537422353</v>
      </c>
      <c r="AZ52" s="649">
        <f t="shared" si="94"/>
        <v>33886.216878548941</v>
      </c>
      <c r="BE52" s="649">
        <f t="shared" si="79"/>
        <v>0</v>
      </c>
      <c r="BF52" s="649">
        <f t="shared" si="80"/>
        <v>61365.555948619345</v>
      </c>
      <c r="BG52" s="649">
        <f t="shared" si="87"/>
        <v>139208.8623651285</v>
      </c>
      <c r="BH52" s="649">
        <f t="shared" si="88"/>
        <v>145271.74447513072</v>
      </c>
      <c r="BI52" s="660">
        <f t="shared" si="89"/>
        <v>127540.22625000002</v>
      </c>
      <c r="BJ52" s="660">
        <f t="shared" si="89"/>
        <v>164628.19500000001</v>
      </c>
      <c r="BK52" s="660">
        <f t="shared" si="89"/>
        <v>151064.59500000003</v>
      </c>
      <c r="BL52" s="660">
        <f t="shared" si="90"/>
        <v>133262.37</v>
      </c>
      <c r="BM52" s="660">
        <f t="shared" si="90"/>
        <v>128176.02</v>
      </c>
      <c r="BN52" s="660">
        <f t="shared" si="90"/>
        <v>118003.32</v>
      </c>
      <c r="BO52" s="660">
        <f t="shared" si="90"/>
        <v>107830.62</v>
      </c>
    </row>
    <row r="53" spans="2:67">
      <c r="C53" t="s">
        <v>745</v>
      </c>
      <c r="Z53" s="649">
        <f>+Z70*Z44</f>
        <v>184.45549728882213</v>
      </c>
      <c r="AA53" s="649">
        <f t="shared" ref="AA53:AF53" si="95">+AA70*AA44</f>
        <v>172.43436919145543</v>
      </c>
      <c r="AB53" s="649">
        <f t="shared" si="95"/>
        <v>0</v>
      </c>
      <c r="AC53" s="649">
        <f t="shared" si="95"/>
        <v>0</v>
      </c>
      <c r="AD53" s="649">
        <f t="shared" si="95"/>
        <v>0</v>
      </c>
      <c r="AE53" s="649">
        <f t="shared" si="95"/>
        <v>0</v>
      </c>
      <c r="AF53" s="649">
        <f t="shared" si="95"/>
        <v>0</v>
      </c>
      <c r="AG53" s="649">
        <f>+AG70*AG44</f>
        <v>0</v>
      </c>
      <c r="AH53" s="649">
        <f t="shared" ref="AH53:AN53" si="96">+AH70*AH44</f>
        <v>0</v>
      </c>
      <c r="AI53" s="649">
        <f t="shared" si="96"/>
        <v>0</v>
      </c>
      <c r="AJ53" s="649">
        <f t="shared" si="96"/>
        <v>0</v>
      </c>
      <c r="AK53" s="649">
        <f t="shared" si="96"/>
        <v>0</v>
      </c>
      <c r="AL53" s="649">
        <f t="shared" si="96"/>
        <v>0</v>
      </c>
      <c r="AM53" s="649">
        <f t="shared" si="96"/>
        <v>0</v>
      </c>
      <c r="AN53" s="649">
        <f t="shared" si="96"/>
        <v>0</v>
      </c>
      <c r="AO53" s="649">
        <f t="shared" ref="AO53:AR53" si="97">+AO70*AO44</f>
        <v>0</v>
      </c>
      <c r="AP53" s="649">
        <f t="shared" si="97"/>
        <v>0</v>
      </c>
      <c r="AQ53" s="649">
        <f t="shared" si="97"/>
        <v>0</v>
      </c>
      <c r="AR53" s="649">
        <f t="shared" si="97"/>
        <v>0</v>
      </c>
      <c r="AS53" s="649">
        <f t="shared" ref="AS53:AV53" si="98">+AS70*AS44</f>
        <v>0</v>
      </c>
      <c r="AT53" s="649">
        <f t="shared" si="98"/>
        <v>0</v>
      </c>
      <c r="AU53" s="649">
        <f t="shared" si="98"/>
        <v>0</v>
      </c>
      <c r="AV53" s="649">
        <f t="shared" si="98"/>
        <v>0</v>
      </c>
      <c r="AW53" s="649">
        <f t="shared" ref="AW53:AZ53" si="99">+AW70*AW44</f>
        <v>0</v>
      </c>
      <c r="AX53" s="649">
        <f t="shared" si="99"/>
        <v>0</v>
      </c>
      <c r="AY53" s="649">
        <f t="shared" si="99"/>
        <v>0</v>
      </c>
      <c r="AZ53" s="649">
        <f t="shared" si="99"/>
        <v>0</v>
      </c>
      <c r="BE53" s="649">
        <f t="shared" si="79"/>
        <v>356.88986648027753</v>
      </c>
      <c r="BF53" s="649">
        <f t="shared" si="80"/>
        <v>0</v>
      </c>
      <c r="BG53" s="649">
        <f t="shared" si="87"/>
        <v>0</v>
      </c>
      <c r="BH53" s="649">
        <f t="shared" si="88"/>
        <v>0</v>
      </c>
      <c r="BI53" s="660">
        <f t="shared" si="89"/>
        <v>0</v>
      </c>
      <c r="BJ53" s="660">
        <f t="shared" si="89"/>
        <v>0</v>
      </c>
      <c r="BK53" s="660">
        <f t="shared" si="89"/>
        <v>0</v>
      </c>
      <c r="BL53" s="660">
        <f t="shared" si="90"/>
        <v>0</v>
      </c>
      <c r="BM53" s="660">
        <f t="shared" si="90"/>
        <v>0</v>
      </c>
      <c r="BN53" s="660">
        <f t="shared" si="90"/>
        <v>0</v>
      </c>
      <c r="BO53" s="660">
        <f t="shared" si="90"/>
        <v>0</v>
      </c>
    </row>
    <row r="54" spans="2:67">
      <c r="C54" t="s">
        <v>746</v>
      </c>
      <c r="Z54" s="649">
        <f>+Z71*Z45</f>
        <v>10.252057486822199</v>
      </c>
      <c r="AA54" s="649">
        <f t="shared" ref="AA54:AF54" si="100">+AA71*AA45</f>
        <v>0</v>
      </c>
      <c r="AB54" s="649">
        <f t="shared" si="100"/>
        <v>0</v>
      </c>
      <c r="AC54" s="649">
        <f t="shared" si="100"/>
        <v>0</v>
      </c>
      <c r="AD54" s="649">
        <f t="shared" si="100"/>
        <v>0</v>
      </c>
      <c r="AE54" s="649">
        <f t="shared" si="100"/>
        <v>0</v>
      </c>
      <c r="AF54" s="649">
        <f t="shared" si="100"/>
        <v>0</v>
      </c>
      <c r="AG54" s="649">
        <f>+AG71*AG45</f>
        <v>0</v>
      </c>
      <c r="AH54" s="649">
        <f t="shared" ref="AH54:AN54" si="101">+AH71*AH45</f>
        <v>0</v>
      </c>
      <c r="AI54" s="649">
        <f t="shared" si="101"/>
        <v>0</v>
      </c>
      <c r="AJ54" s="649">
        <f t="shared" si="101"/>
        <v>0</v>
      </c>
      <c r="AK54" s="649">
        <f t="shared" si="101"/>
        <v>0</v>
      </c>
      <c r="AL54" s="649">
        <f t="shared" si="101"/>
        <v>0</v>
      </c>
      <c r="AM54" s="649">
        <f t="shared" si="101"/>
        <v>0</v>
      </c>
      <c r="AN54" s="649">
        <f t="shared" si="101"/>
        <v>0</v>
      </c>
      <c r="AO54" s="649">
        <f t="shared" ref="AO54:AR54" si="102">+AO71*AO45</f>
        <v>0</v>
      </c>
      <c r="AP54" s="649">
        <f t="shared" si="102"/>
        <v>0</v>
      </c>
      <c r="AQ54" s="649">
        <f t="shared" si="102"/>
        <v>0</v>
      </c>
      <c r="AR54" s="649">
        <f t="shared" si="102"/>
        <v>0</v>
      </c>
      <c r="AS54" s="649">
        <f t="shared" ref="AS54:AV54" si="103">+AS71*AS45</f>
        <v>0</v>
      </c>
      <c r="AT54" s="649">
        <f t="shared" si="103"/>
        <v>0</v>
      </c>
      <c r="AU54" s="649">
        <f t="shared" si="103"/>
        <v>0</v>
      </c>
      <c r="AV54" s="649">
        <f t="shared" si="103"/>
        <v>0</v>
      </c>
      <c r="AW54" s="649">
        <f t="shared" ref="AW54:AZ54" si="104">+AW71*AW45</f>
        <v>0</v>
      </c>
      <c r="AX54" s="649">
        <f t="shared" si="104"/>
        <v>0</v>
      </c>
      <c r="AY54" s="649">
        <f t="shared" si="104"/>
        <v>0</v>
      </c>
      <c r="AZ54" s="649">
        <f t="shared" si="104"/>
        <v>0</v>
      </c>
      <c r="BE54" s="649">
        <f t="shared" si="79"/>
        <v>10.252057486822199</v>
      </c>
      <c r="BF54" s="649">
        <f t="shared" si="80"/>
        <v>0</v>
      </c>
      <c r="BG54" s="649">
        <f t="shared" si="87"/>
        <v>0</v>
      </c>
      <c r="BH54" s="649">
        <f t="shared" si="88"/>
        <v>0</v>
      </c>
      <c r="BI54" s="660">
        <f t="shared" si="89"/>
        <v>0</v>
      </c>
      <c r="BJ54" s="660">
        <f t="shared" si="89"/>
        <v>0</v>
      </c>
      <c r="BK54" s="660">
        <f t="shared" si="89"/>
        <v>0</v>
      </c>
      <c r="BL54" s="660">
        <f t="shared" si="90"/>
        <v>0</v>
      </c>
      <c r="BM54" s="660">
        <f t="shared" si="90"/>
        <v>0</v>
      </c>
      <c r="BN54" s="660">
        <f t="shared" si="90"/>
        <v>0</v>
      </c>
      <c r="BO54" s="660">
        <f t="shared" si="90"/>
        <v>0</v>
      </c>
    </row>
    <row r="55" spans="2:67">
      <c r="C55" t="s">
        <v>747</v>
      </c>
      <c r="Z55" s="649">
        <f>+Z72*Z46</f>
        <v>5705.3883514979325</v>
      </c>
      <c r="AA55" s="649">
        <f t="shared" ref="AA55:AF55" si="105">+AA72*AA46</f>
        <v>6173.0708897777067</v>
      </c>
      <c r="AB55" s="649">
        <f t="shared" si="105"/>
        <v>6101.1372505641302</v>
      </c>
      <c r="AC55" s="649">
        <f t="shared" si="105"/>
        <v>2043.899546461508</v>
      </c>
      <c r="AD55" s="649">
        <f t="shared" si="105"/>
        <v>0</v>
      </c>
      <c r="AE55" s="649">
        <f t="shared" si="105"/>
        <v>0</v>
      </c>
      <c r="AF55" s="649">
        <f t="shared" si="105"/>
        <v>0</v>
      </c>
      <c r="AG55" s="649">
        <f>+AG72*AG46</f>
        <v>0</v>
      </c>
      <c r="AH55" s="649">
        <f t="shared" ref="AH55:AN55" si="106">+AH72*AH46</f>
        <v>0</v>
      </c>
      <c r="AI55" s="649">
        <f t="shared" si="106"/>
        <v>0</v>
      </c>
      <c r="AJ55" s="649">
        <f t="shared" si="106"/>
        <v>0</v>
      </c>
      <c r="AK55" s="649">
        <f t="shared" si="106"/>
        <v>0</v>
      </c>
      <c r="AL55" s="649">
        <f t="shared" si="106"/>
        <v>0</v>
      </c>
      <c r="AM55" s="649">
        <f t="shared" si="106"/>
        <v>0</v>
      </c>
      <c r="AN55" s="649">
        <f t="shared" si="106"/>
        <v>0</v>
      </c>
      <c r="AO55" s="649">
        <f t="shared" ref="AO55:AR55" si="107">+AO72*AO46</f>
        <v>0</v>
      </c>
      <c r="AP55" s="649">
        <f t="shared" si="107"/>
        <v>0</v>
      </c>
      <c r="AQ55" s="649">
        <f t="shared" si="107"/>
        <v>0</v>
      </c>
      <c r="AR55" s="649">
        <f t="shared" si="107"/>
        <v>0</v>
      </c>
      <c r="AS55" s="649">
        <f t="shared" ref="AS55:AV55" si="108">+AS72*AS46</f>
        <v>0</v>
      </c>
      <c r="AT55" s="649">
        <f t="shared" si="108"/>
        <v>0</v>
      </c>
      <c r="AU55" s="649">
        <f t="shared" si="108"/>
        <v>0</v>
      </c>
      <c r="AV55" s="649">
        <f t="shared" si="108"/>
        <v>0</v>
      </c>
      <c r="AW55" s="649">
        <f t="shared" ref="AW55:AZ55" si="109">+AW72*AW46</f>
        <v>0</v>
      </c>
      <c r="AX55" s="649">
        <f t="shared" si="109"/>
        <v>0</v>
      </c>
      <c r="AY55" s="649">
        <f t="shared" si="109"/>
        <v>0</v>
      </c>
      <c r="AZ55" s="649">
        <f t="shared" si="109"/>
        <v>0</v>
      </c>
      <c r="BE55" s="649">
        <f t="shared" si="79"/>
        <v>17979.596491839769</v>
      </c>
      <c r="BF55" s="649">
        <f t="shared" si="80"/>
        <v>2043.899546461508</v>
      </c>
      <c r="BG55" s="649">
        <f t="shared" si="87"/>
        <v>0</v>
      </c>
      <c r="BH55" s="649">
        <f t="shared" si="88"/>
        <v>0</v>
      </c>
      <c r="BI55" s="660">
        <f t="shared" si="89"/>
        <v>0</v>
      </c>
      <c r="BJ55" s="660">
        <f t="shared" si="89"/>
        <v>0</v>
      </c>
      <c r="BK55" s="660">
        <f t="shared" si="89"/>
        <v>0</v>
      </c>
      <c r="BL55" s="660">
        <f t="shared" si="90"/>
        <v>0</v>
      </c>
      <c r="BM55" s="660">
        <f t="shared" si="90"/>
        <v>0</v>
      </c>
      <c r="BN55" s="660">
        <f t="shared" si="90"/>
        <v>0</v>
      </c>
      <c r="BO55" s="660">
        <f t="shared" si="90"/>
        <v>0</v>
      </c>
    </row>
    <row r="56" spans="2:67">
      <c r="C56" t="s">
        <v>748</v>
      </c>
      <c r="Z56" s="583"/>
      <c r="AA56" s="583"/>
      <c r="AB56" s="649">
        <f t="shared" ref="AB56:AG56" si="110">+AB73*AB47</f>
        <v>3481.2642334048546</v>
      </c>
      <c r="AC56" s="649">
        <f t="shared" si="110"/>
        <v>3702.7286025593826</v>
      </c>
      <c r="AD56" s="649">
        <f t="shared" si="110"/>
        <v>7704.0775169579338</v>
      </c>
      <c r="AE56" s="649">
        <f t="shared" si="110"/>
        <v>11510.690201957206</v>
      </c>
      <c r="AF56" s="649">
        <f t="shared" si="110"/>
        <v>17498.620251479348</v>
      </c>
      <c r="AG56" s="649">
        <f t="shared" si="110"/>
        <v>23948.513020300255</v>
      </c>
      <c r="AH56" s="649">
        <f t="shared" ref="AH56:AN56" si="111">+AH73*AH47</f>
        <v>28258.079847459656</v>
      </c>
      <c r="AI56" s="649">
        <f t="shared" si="111"/>
        <v>24200.081499688524</v>
      </c>
      <c r="AJ56" s="649">
        <f t="shared" si="111"/>
        <v>24454.567075637722</v>
      </c>
      <c r="AK56" s="649">
        <f t="shared" si="111"/>
        <v>24454.567075637722</v>
      </c>
      <c r="AL56" s="649">
        <f t="shared" si="111"/>
        <v>24454.567075637722</v>
      </c>
      <c r="AM56" s="649">
        <f t="shared" si="111"/>
        <v>23792.379871134042</v>
      </c>
      <c r="AN56" s="649">
        <f t="shared" si="111"/>
        <v>22035.273488103932</v>
      </c>
      <c r="AO56" s="649">
        <f t="shared" ref="AO56:AR56" si="112">+AO73*AO47</f>
        <v>20352.209513606238</v>
      </c>
      <c r="AP56" s="649">
        <f t="shared" si="112"/>
        <v>19056.629986730772</v>
      </c>
      <c r="AQ56" s="649">
        <f t="shared" si="112"/>
        <v>18935.373385642499</v>
      </c>
      <c r="AR56" s="649">
        <f t="shared" si="112"/>
        <v>20214.326757500952</v>
      </c>
      <c r="AS56" s="649">
        <f t="shared" ref="AS56:AV56" si="113">+AS73*AS47</f>
        <v>24171.789770654315</v>
      </c>
      <c r="AT56" s="649">
        <f t="shared" si="113"/>
        <v>26144.736561072055</v>
      </c>
      <c r="AU56" s="649">
        <f t="shared" si="113"/>
        <v>26565.551909508646</v>
      </c>
      <c r="AV56" s="649">
        <f t="shared" si="113"/>
        <v>26565.551909508646</v>
      </c>
      <c r="AW56" s="649">
        <f t="shared" ref="AW56:AZ56" si="114">+AW73*AW47</f>
        <v>25723.233043031541</v>
      </c>
      <c r="AX56" s="649">
        <f t="shared" si="114"/>
        <v>24030.284403765789</v>
      </c>
      <c r="AY56" s="649">
        <f t="shared" si="114"/>
        <v>22753.21659763253</v>
      </c>
      <c r="AZ56" s="649">
        <f t="shared" si="114"/>
        <v>21898.294238952472</v>
      </c>
      <c r="BE56" s="649">
        <f t="shared" si="79"/>
        <v>3481.2642334048546</v>
      </c>
      <c r="BF56" s="649">
        <f t="shared" si="80"/>
        <v>40416.11657295387</v>
      </c>
      <c r="BG56" s="649">
        <f t="shared" si="87"/>
        <v>100861.24144308615</v>
      </c>
      <c r="BH56" s="649">
        <f t="shared" si="88"/>
        <v>94736.787510513415</v>
      </c>
      <c r="BI56" s="660">
        <f t="shared" si="89"/>
        <v>81714.410312499997</v>
      </c>
      <c r="BJ56" s="660">
        <f t="shared" si="89"/>
        <v>108952.54708333334</v>
      </c>
      <c r="BK56" s="660">
        <f t="shared" si="89"/>
        <v>98991.171350000004</v>
      </c>
      <c r="BL56" s="660">
        <f t="shared" si="90"/>
        <v>85916.865699999995</v>
      </c>
      <c r="BM56" s="660">
        <f t="shared" si="90"/>
        <v>82181.349799999996</v>
      </c>
      <c r="BN56" s="660">
        <f t="shared" si="90"/>
        <v>74710.317999999999</v>
      </c>
      <c r="BO56" s="660">
        <f t="shared" si="90"/>
        <v>67239.286200000002</v>
      </c>
    </row>
    <row r="57" spans="2:67">
      <c r="Z57" s="583"/>
      <c r="AA57" s="583"/>
      <c r="AB57" s="583"/>
      <c r="AC57" s="583"/>
      <c r="AD57" s="583"/>
      <c r="AE57" s="583"/>
      <c r="AF57" s="583"/>
      <c r="AG57" s="583"/>
      <c r="AH57" s="583"/>
      <c r="AI57" s="583"/>
      <c r="AJ57" s="583"/>
      <c r="AK57" s="583"/>
      <c r="AL57" s="583"/>
      <c r="AM57" s="583"/>
      <c r="AN57" s="583"/>
      <c r="AO57" s="583"/>
      <c r="AP57" s="583"/>
      <c r="AQ57" s="583"/>
      <c r="AR57" s="583"/>
      <c r="AS57" s="583"/>
      <c r="AT57" s="583"/>
      <c r="AU57" s="583"/>
      <c r="AV57" s="583"/>
      <c r="AW57" s="583"/>
      <c r="AX57" s="583"/>
      <c r="AY57" s="583"/>
      <c r="AZ57" s="583"/>
      <c r="BI57" s="583"/>
      <c r="BJ57" s="583"/>
      <c r="BK57" s="583"/>
      <c r="BL57" s="583"/>
      <c r="BM57" s="583"/>
      <c r="BN57" s="583"/>
      <c r="BO57" s="583"/>
    </row>
    <row r="58" spans="2:67">
      <c r="C58" s="359" t="s">
        <v>313</v>
      </c>
      <c r="Z58" s="653">
        <f t="shared" ref="Z58:AH58" si="115">+Z49/Z40</f>
        <v>1.3876265269579672E-2</v>
      </c>
      <c r="AA58" s="653">
        <f t="shared" si="115"/>
        <v>1.1342987906536036E-2</v>
      </c>
      <c r="AB58" s="653">
        <f t="shared" si="115"/>
        <v>1.0208690431264985E-2</v>
      </c>
      <c r="AC58" s="653">
        <f t="shared" si="115"/>
        <v>9.8603317010923491E-3</v>
      </c>
      <c r="AD58" s="653">
        <f t="shared" si="115"/>
        <v>1.2248881370372963E-2</v>
      </c>
      <c r="AE58" s="653">
        <f t="shared" si="115"/>
        <v>1.6681161299187005E-2</v>
      </c>
      <c r="AF58" s="653">
        <f t="shared" si="115"/>
        <v>2.3817232142809303E-2</v>
      </c>
      <c r="AG58" s="653">
        <f t="shared" si="115"/>
        <v>3.0981836798541273E-2</v>
      </c>
      <c r="AH58" s="653">
        <f t="shared" si="115"/>
        <v>3.6115199201778497E-2</v>
      </c>
      <c r="AI58" s="653">
        <f t="shared" ref="AI58:AN58" si="116">+AI49/AI40</f>
        <v>3.8517232648604668E-2</v>
      </c>
      <c r="AJ58" s="653">
        <f t="shared" si="116"/>
        <v>3.8894955146725085E-2</v>
      </c>
      <c r="AK58" s="653">
        <f t="shared" si="116"/>
        <v>3.8894955146725085E-2</v>
      </c>
      <c r="AL58" s="653">
        <f t="shared" si="116"/>
        <v>3.8894955146725085E-2</v>
      </c>
      <c r="AM58" s="653">
        <f t="shared" si="116"/>
        <v>3.7912097850489025E-2</v>
      </c>
      <c r="AN58" s="653">
        <f t="shared" si="116"/>
        <v>3.5304096945188379E-2</v>
      </c>
      <c r="AO58" s="653">
        <f t="shared" ref="AO58:AR58" si="117">+AO49/AO40</f>
        <v>3.2805994148703541E-2</v>
      </c>
      <c r="AP58" s="653">
        <f t="shared" si="117"/>
        <v>3.0883018618244551E-2</v>
      </c>
      <c r="AQ58" s="653">
        <f t="shared" si="117"/>
        <v>3.0703042420749588E-2</v>
      </c>
      <c r="AR58" s="653">
        <f t="shared" si="117"/>
        <v>3.2601340431534856E-2</v>
      </c>
      <c r="AS58" s="653">
        <f t="shared" ref="AS58:AV58" si="118">+AS49/AS40</f>
        <v>3.8475240396088635E-2</v>
      </c>
      <c r="AT58" s="653">
        <f t="shared" si="118"/>
        <v>4.1403604361534029E-2</v>
      </c>
      <c r="AU58" s="653">
        <f t="shared" si="118"/>
        <v>4.2028203315977765E-2</v>
      </c>
      <c r="AV58" s="653">
        <f t="shared" si="118"/>
        <v>4.2028203315977765E-2</v>
      </c>
      <c r="AW58" s="653">
        <f t="shared" ref="AW58:AZ58" si="119">+AW49/AW40</f>
        <v>4.0777983985184715E-2</v>
      </c>
      <c r="AX58" s="653">
        <f t="shared" si="119"/>
        <v>3.8265209786380323E-2</v>
      </c>
      <c r="AY58" s="653">
        <f t="shared" si="119"/>
        <v>3.6369710443430889E-2</v>
      </c>
      <c r="AZ58" s="653">
        <f t="shared" si="119"/>
        <v>3.5100784266317825E-2</v>
      </c>
      <c r="BE58" s="653">
        <f t="shared" ref="BE58:BK58" si="120">+BE49/BE40</f>
        <v>2.9527789044459716E-2</v>
      </c>
      <c r="BF58" s="653">
        <f t="shared" si="120"/>
        <v>6.4278471855020655E-2</v>
      </c>
      <c r="BG58" s="653">
        <f>+BG49/BG40</f>
        <v>0.15323182201534638</v>
      </c>
      <c r="BH58" s="653">
        <f>+BH49/BH40</f>
        <v>0.15100610508912757</v>
      </c>
      <c r="BI58" s="653">
        <f t="shared" si="120"/>
        <v>0.13167752495898333</v>
      </c>
      <c r="BJ58" s="653">
        <f t="shared" si="120"/>
        <v>0.1721059737103523</v>
      </c>
      <c r="BK58" s="653">
        <f t="shared" si="120"/>
        <v>0.15732071245270876</v>
      </c>
      <c r="BL58" s="653">
        <f>+BL49/BL40</f>
        <v>0.13791505705205165</v>
      </c>
      <c r="BM58" s="653">
        <f t="shared" ref="BM58:BO58" si="121">+BM49/BM40</f>
        <v>0.13237058408043534</v>
      </c>
      <c r="BN58" s="653">
        <f t="shared" si="121"/>
        <v>0.12128163813720275</v>
      </c>
      <c r="BO58" s="653">
        <f t="shared" si="121"/>
        <v>0.1101926921939701</v>
      </c>
    </row>
    <row r="59" spans="2:67">
      <c r="B59" t="s">
        <v>750</v>
      </c>
      <c r="C59" t="s">
        <v>742</v>
      </c>
      <c r="Z59" s="650">
        <v>1.0389999999999999</v>
      </c>
      <c r="AA59" s="650">
        <v>1.0389999999999999</v>
      </c>
      <c r="AB59" s="650">
        <f t="shared" ref="AB59:AI59" si="122">+AA59</f>
        <v>1.0389999999999999</v>
      </c>
      <c r="AC59" s="650">
        <f t="shared" si="122"/>
        <v>1.0389999999999999</v>
      </c>
      <c r="AD59" s="650">
        <f t="shared" si="122"/>
        <v>1.0389999999999999</v>
      </c>
      <c r="AE59" s="650">
        <f t="shared" si="122"/>
        <v>1.0389999999999999</v>
      </c>
      <c r="AF59" s="650">
        <f t="shared" si="122"/>
        <v>1.0389999999999999</v>
      </c>
      <c r="AG59" s="650">
        <f t="shared" si="122"/>
        <v>1.0389999999999999</v>
      </c>
      <c r="AH59" s="650">
        <f t="shared" si="122"/>
        <v>1.0389999999999999</v>
      </c>
      <c r="AI59" s="650">
        <f t="shared" si="122"/>
        <v>1.0389999999999999</v>
      </c>
      <c r="AJ59" s="654">
        <f t="shared" ref="AJ59:AJ64" si="123">+AI59</f>
        <v>1.0389999999999999</v>
      </c>
      <c r="AK59" s="654">
        <f t="shared" ref="AK59:AK64" si="124">+AJ59</f>
        <v>1.0389999999999999</v>
      </c>
      <c r="AL59" s="654">
        <f t="shared" ref="AL59:AL64" si="125">+AK59</f>
        <v>1.0389999999999999</v>
      </c>
      <c r="AM59" s="654">
        <f t="shared" ref="AM59:AM64" si="126">+AL59</f>
        <v>1.0389999999999999</v>
      </c>
      <c r="AN59" s="654">
        <f t="shared" ref="AN59:AN64" si="127">+AM59</f>
        <v>1.0389999999999999</v>
      </c>
      <c r="AO59" s="654">
        <f t="shared" ref="AO59:AO65" si="128">+AN59</f>
        <v>1.0389999999999999</v>
      </c>
      <c r="AP59" s="654">
        <f t="shared" ref="AP59:AP65" si="129">+AO59</f>
        <v>1.0389999999999999</v>
      </c>
      <c r="AQ59" s="654">
        <f t="shared" ref="AQ59:AQ65" si="130">+AP59</f>
        <v>1.0389999999999999</v>
      </c>
      <c r="AR59" s="654">
        <f t="shared" ref="AR59:AR65" si="131">+AQ59</f>
        <v>1.0389999999999999</v>
      </c>
      <c r="AS59" s="654">
        <f t="shared" ref="AS59:AS65" si="132">+AR59</f>
        <v>1.0389999999999999</v>
      </c>
      <c r="AT59" s="654">
        <f t="shared" ref="AT59:AT65" si="133">+AS59</f>
        <v>1.0389999999999999</v>
      </c>
      <c r="AU59" s="654">
        <f t="shared" ref="AU59:AU65" si="134">+AT59</f>
        <v>1.0389999999999999</v>
      </c>
      <c r="AV59" s="654">
        <f t="shared" ref="AV59:AV65" si="135">+AU59</f>
        <v>1.0389999999999999</v>
      </c>
      <c r="AW59" s="654">
        <f t="shared" ref="AW59:AW65" si="136">+AV59</f>
        <v>1.0389999999999999</v>
      </c>
      <c r="AX59" s="654">
        <f t="shared" ref="AX59:AX65" si="137">+AW59</f>
        <v>1.0389999999999999</v>
      </c>
      <c r="AY59" s="654">
        <f t="shared" ref="AY59:AY65" si="138">+AX59</f>
        <v>1.0389999999999999</v>
      </c>
      <c r="AZ59" s="654">
        <f t="shared" ref="AZ59:AZ65" si="139">+AY59</f>
        <v>1.0389999999999999</v>
      </c>
      <c r="BE59" s="654">
        <f t="shared" ref="BE59:BE64" si="140">+AB59</f>
        <v>1.0389999999999999</v>
      </c>
      <c r="BF59" s="654">
        <f t="shared" ref="BF59:BF65" si="141">+AF59</f>
        <v>1.0389999999999999</v>
      </c>
      <c r="BG59" s="654">
        <f t="shared" ref="BG59:BG65" si="142">+AJ59</f>
        <v>1.0389999999999999</v>
      </c>
      <c r="BH59" s="654">
        <f t="shared" ref="BH59:BH65" si="143">+AN59</f>
        <v>1.0389999999999999</v>
      </c>
      <c r="BI59" s="654">
        <f t="shared" ref="BI59:BL65" si="144">+BH59</f>
        <v>1.0389999999999999</v>
      </c>
      <c r="BJ59" s="654">
        <f t="shared" si="144"/>
        <v>1.0389999999999999</v>
      </c>
      <c r="BK59" s="654">
        <f t="shared" si="144"/>
        <v>1.0389999999999999</v>
      </c>
      <c r="BL59" s="654">
        <f t="shared" si="144"/>
        <v>1.0389999999999999</v>
      </c>
      <c r="BM59" s="654">
        <f t="shared" ref="BM59:BM65" si="145">+BL59</f>
        <v>1.0389999999999999</v>
      </c>
      <c r="BN59" s="654">
        <f t="shared" ref="BN59:BN65" si="146">+BM59</f>
        <v>1.0389999999999999</v>
      </c>
      <c r="BO59" s="654">
        <f t="shared" ref="BO59:BO65" si="147">+BN59</f>
        <v>1.0389999999999999</v>
      </c>
    </row>
    <row r="60" spans="2:67">
      <c r="C60" t="s">
        <v>743</v>
      </c>
      <c r="Z60" s="651">
        <v>0.03</v>
      </c>
      <c r="AA60" s="651">
        <v>0.03</v>
      </c>
      <c r="AB60" s="651">
        <f t="shared" ref="AB60:AI64" si="148">+AA60</f>
        <v>0.03</v>
      </c>
      <c r="AC60" s="651">
        <f t="shared" si="148"/>
        <v>0.03</v>
      </c>
      <c r="AD60" s="651">
        <f t="shared" si="148"/>
        <v>0.03</v>
      </c>
      <c r="AE60" s="651">
        <v>0.03</v>
      </c>
      <c r="AF60" s="651">
        <v>0.03</v>
      </c>
      <c r="AG60" s="651">
        <v>0.03</v>
      </c>
      <c r="AH60" s="651">
        <v>0.03</v>
      </c>
      <c r="AI60" s="651">
        <v>0.03</v>
      </c>
      <c r="AJ60" s="654">
        <f t="shared" si="123"/>
        <v>0.03</v>
      </c>
      <c r="AK60" s="654">
        <f t="shared" si="124"/>
        <v>0.03</v>
      </c>
      <c r="AL60" s="654">
        <f t="shared" si="125"/>
        <v>0.03</v>
      </c>
      <c r="AM60" s="654">
        <f t="shared" si="126"/>
        <v>0.03</v>
      </c>
      <c r="AN60" s="654">
        <f t="shared" si="127"/>
        <v>0.03</v>
      </c>
      <c r="AO60" s="654">
        <f t="shared" si="128"/>
        <v>0.03</v>
      </c>
      <c r="AP60" s="654">
        <f t="shared" si="129"/>
        <v>0.03</v>
      </c>
      <c r="AQ60" s="654">
        <f t="shared" si="130"/>
        <v>0.03</v>
      </c>
      <c r="AR60" s="654">
        <f t="shared" si="131"/>
        <v>0.03</v>
      </c>
      <c r="AS60" s="654">
        <f t="shared" si="132"/>
        <v>0.03</v>
      </c>
      <c r="AT60" s="654">
        <f t="shared" si="133"/>
        <v>0.03</v>
      </c>
      <c r="AU60" s="654">
        <f t="shared" si="134"/>
        <v>0.03</v>
      </c>
      <c r="AV60" s="654">
        <f t="shared" si="135"/>
        <v>0.03</v>
      </c>
      <c r="AW60" s="654">
        <f t="shared" si="136"/>
        <v>0.03</v>
      </c>
      <c r="AX60" s="654">
        <f t="shared" si="137"/>
        <v>0.03</v>
      </c>
      <c r="AY60" s="654">
        <f t="shared" si="138"/>
        <v>0.03</v>
      </c>
      <c r="AZ60" s="654">
        <f t="shared" si="139"/>
        <v>0.03</v>
      </c>
      <c r="BE60" s="654">
        <f t="shared" si="140"/>
        <v>0.03</v>
      </c>
      <c r="BF60" s="654">
        <f t="shared" si="141"/>
        <v>0.03</v>
      </c>
      <c r="BG60" s="654">
        <f t="shared" si="142"/>
        <v>0.03</v>
      </c>
      <c r="BH60" s="654">
        <f t="shared" si="143"/>
        <v>0.03</v>
      </c>
      <c r="BI60" s="654">
        <f t="shared" si="144"/>
        <v>0.03</v>
      </c>
      <c r="BJ60" s="654">
        <f t="shared" si="144"/>
        <v>0.03</v>
      </c>
      <c r="BK60" s="654">
        <f t="shared" si="144"/>
        <v>0.03</v>
      </c>
      <c r="BL60" s="654">
        <f t="shared" si="144"/>
        <v>0.03</v>
      </c>
      <c r="BM60" s="654">
        <f t="shared" si="145"/>
        <v>0.03</v>
      </c>
      <c r="BN60" s="654">
        <f t="shared" si="146"/>
        <v>0.03</v>
      </c>
      <c r="BO60" s="654">
        <f t="shared" si="147"/>
        <v>0.03</v>
      </c>
    </row>
    <row r="61" spans="2:67">
      <c r="C61" t="s">
        <v>744</v>
      </c>
      <c r="Z61" s="651"/>
      <c r="AA61" s="651"/>
      <c r="AB61" s="651"/>
      <c r="AC61" s="651">
        <v>1.6E-2</v>
      </c>
      <c r="AD61" s="651">
        <v>1.6E-2</v>
      </c>
      <c r="AE61" s="651">
        <v>1.6E-2</v>
      </c>
      <c r="AF61" s="651">
        <v>1.6E-2</v>
      </c>
      <c r="AG61" s="651">
        <v>1.6E-2</v>
      </c>
      <c r="AH61" s="651">
        <v>1.6E-2</v>
      </c>
      <c r="AI61" s="651">
        <v>1.6E-2</v>
      </c>
      <c r="AJ61" s="654">
        <f t="shared" si="123"/>
        <v>1.6E-2</v>
      </c>
      <c r="AK61" s="654">
        <f t="shared" si="124"/>
        <v>1.6E-2</v>
      </c>
      <c r="AL61" s="654">
        <f t="shared" si="125"/>
        <v>1.6E-2</v>
      </c>
      <c r="AM61" s="654">
        <f t="shared" si="126"/>
        <v>1.6E-2</v>
      </c>
      <c r="AN61" s="654">
        <f t="shared" si="127"/>
        <v>1.6E-2</v>
      </c>
      <c r="AO61" s="654">
        <f t="shared" si="128"/>
        <v>1.6E-2</v>
      </c>
      <c r="AP61" s="654">
        <f t="shared" si="129"/>
        <v>1.6E-2</v>
      </c>
      <c r="AQ61" s="654">
        <f t="shared" si="130"/>
        <v>1.6E-2</v>
      </c>
      <c r="AR61" s="654">
        <f t="shared" si="131"/>
        <v>1.6E-2</v>
      </c>
      <c r="AS61" s="654">
        <f t="shared" si="132"/>
        <v>1.6E-2</v>
      </c>
      <c r="AT61" s="654">
        <f t="shared" si="133"/>
        <v>1.6E-2</v>
      </c>
      <c r="AU61" s="654">
        <f t="shared" si="134"/>
        <v>1.6E-2</v>
      </c>
      <c r="AV61" s="654">
        <f t="shared" si="135"/>
        <v>1.6E-2</v>
      </c>
      <c r="AW61" s="654">
        <f t="shared" si="136"/>
        <v>1.6E-2</v>
      </c>
      <c r="AX61" s="654">
        <f t="shared" si="137"/>
        <v>1.6E-2</v>
      </c>
      <c r="AY61" s="654">
        <f t="shared" si="138"/>
        <v>1.6E-2</v>
      </c>
      <c r="AZ61" s="654">
        <f t="shared" si="139"/>
        <v>1.6E-2</v>
      </c>
      <c r="BE61" s="654">
        <f>+AB61</f>
        <v>0</v>
      </c>
      <c r="BF61" s="654">
        <f t="shared" si="141"/>
        <v>1.6E-2</v>
      </c>
      <c r="BG61" s="654">
        <f t="shared" si="142"/>
        <v>1.6E-2</v>
      </c>
      <c r="BH61" s="654">
        <f t="shared" si="143"/>
        <v>1.6E-2</v>
      </c>
      <c r="BI61" s="654">
        <f t="shared" si="144"/>
        <v>1.6E-2</v>
      </c>
      <c r="BJ61" s="654">
        <f t="shared" si="144"/>
        <v>1.6E-2</v>
      </c>
      <c r="BK61" s="654">
        <f t="shared" si="144"/>
        <v>1.6E-2</v>
      </c>
      <c r="BL61" s="654">
        <f t="shared" si="144"/>
        <v>1.6E-2</v>
      </c>
      <c r="BM61" s="654">
        <f t="shared" si="145"/>
        <v>1.6E-2</v>
      </c>
      <c r="BN61" s="654">
        <f t="shared" si="146"/>
        <v>1.6E-2</v>
      </c>
      <c r="BO61" s="654">
        <f t="shared" si="147"/>
        <v>1.6E-2</v>
      </c>
    </row>
    <row r="62" spans="2:67">
      <c r="C62" t="s">
        <v>745</v>
      </c>
      <c r="Z62" s="650">
        <v>6.9699999999999998E-2</v>
      </c>
      <c r="AA62" s="650">
        <v>8.2299999999999998E-2</v>
      </c>
      <c r="AB62" s="650">
        <v>8.2299999999999998E-2</v>
      </c>
      <c r="AC62" s="650">
        <v>8.2299999999999998E-2</v>
      </c>
      <c r="AD62" s="650">
        <v>8.2299999999999998E-2</v>
      </c>
      <c r="AE62" s="650">
        <f t="shared" si="148"/>
        <v>8.2299999999999998E-2</v>
      </c>
      <c r="AF62" s="650">
        <f t="shared" si="148"/>
        <v>8.2299999999999998E-2</v>
      </c>
      <c r="AG62" s="650">
        <f t="shared" si="148"/>
        <v>8.2299999999999998E-2</v>
      </c>
      <c r="AH62" s="650">
        <f t="shared" si="148"/>
        <v>8.2299999999999998E-2</v>
      </c>
      <c r="AI62" s="650">
        <f t="shared" si="148"/>
        <v>8.2299999999999998E-2</v>
      </c>
      <c r="AJ62" s="654">
        <f t="shared" si="123"/>
        <v>8.2299999999999998E-2</v>
      </c>
      <c r="AK62" s="654">
        <f t="shared" si="124"/>
        <v>8.2299999999999998E-2</v>
      </c>
      <c r="AL62" s="654">
        <f t="shared" si="125"/>
        <v>8.2299999999999998E-2</v>
      </c>
      <c r="AM62" s="654">
        <f t="shared" si="126"/>
        <v>8.2299999999999998E-2</v>
      </c>
      <c r="AN62" s="654">
        <f t="shared" si="127"/>
        <v>8.2299999999999998E-2</v>
      </c>
      <c r="AO62" s="654">
        <f t="shared" si="128"/>
        <v>8.2299999999999998E-2</v>
      </c>
      <c r="AP62" s="654">
        <f t="shared" si="129"/>
        <v>8.2299999999999998E-2</v>
      </c>
      <c r="AQ62" s="654">
        <f t="shared" si="130"/>
        <v>8.2299999999999998E-2</v>
      </c>
      <c r="AR62" s="654">
        <f t="shared" si="131"/>
        <v>8.2299999999999998E-2</v>
      </c>
      <c r="AS62" s="654">
        <f t="shared" si="132"/>
        <v>8.2299999999999998E-2</v>
      </c>
      <c r="AT62" s="654">
        <f t="shared" si="133"/>
        <v>8.2299999999999998E-2</v>
      </c>
      <c r="AU62" s="654">
        <f t="shared" si="134"/>
        <v>8.2299999999999998E-2</v>
      </c>
      <c r="AV62" s="654">
        <f t="shared" si="135"/>
        <v>8.2299999999999998E-2</v>
      </c>
      <c r="AW62" s="654">
        <f t="shared" si="136"/>
        <v>8.2299999999999998E-2</v>
      </c>
      <c r="AX62" s="654">
        <f t="shared" si="137"/>
        <v>8.2299999999999998E-2</v>
      </c>
      <c r="AY62" s="654">
        <f t="shared" si="138"/>
        <v>8.2299999999999998E-2</v>
      </c>
      <c r="AZ62" s="654">
        <f t="shared" si="139"/>
        <v>8.2299999999999998E-2</v>
      </c>
      <c r="BE62" s="654">
        <f t="shared" si="140"/>
        <v>8.2299999999999998E-2</v>
      </c>
      <c r="BF62" s="654">
        <f t="shared" si="141"/>
        <v>8.2299999999999998E-2</v>
      </c>
      <c r="BG62" s="654">
        <f t="shared" si="142"/>
        <v>8.2299999999999998E-2</v>
      </c>
      <c r="BH62" s="654">
        <f t="shared" si="143"/>
        <v>8.2299999999999998E-2</v>
      </c>
      <c r="BI62" s="654">
        <f t="shared" si="144"/>
        <v>8.2299999999999998E-2</v>
      </c>
      <c r="BJ62" s="654">
        <f t="shared" si="144"/>
        <v>8.2299999999999998E-2</v>
      </c>
      <c r="BK62" s="654">
        <f t="shared" si="144"/>
        <v>8.2299999999999998E-2</v>
      </c>
      <c r="BL62" s="654">
        <f t="shared" si="144"/>
        <v>8.2299999999999998E-2</v>
      </c>
      <c r="BM62" s="654">
        <f t="shared" si="145"/>
        <v>8.2299999999999998E-2</v>
      </c>
      <c r="BN62" s="654">
        <f t="shared" si="146"/>
        <v>8.2299999999999998E-2</v>
      </c>
      <c r="BO62" s="654">
        <f t="shared" si="147"/>
        <v>8.2299999999999998E-2</v>
      </c>
    </row>
    <row r="63" spans="2:67">
      <c r="C63" t="s">
        <v>746</v>
      </c>
      <c r="Z63" s="650">
        <v>2.5000000000000001E-2</v>
      </c>
      <c r="AA63" s="650">
        <v>0</v>
      </c>
      <c r="AB63" s="650">
        <f t="shared" si="148"/>
        <v>0</v>
      </c>
      <c r="AC63" s="650">
        <f t="shared" si="148"/>
        <v>0</v>
      </c>
      <c r="AD63" s="650">
        <f t="shared" si="148"/>
        <v>0</v>
      </c>
      <c r="AE63" s="650">
        <f t="shared" si="148"/>
        <v>0</v>
      </c>
      <c r="AF63" s="650">
        <f t="shared" si="148"/>
        <v>0</v>
      </c>
      <c r="AG63" s="650">
        <f t="shared" si="148"/>
        <v>0</v>
      </c>
      <c r="AH63" s="650">
        <f t="shared" si="148"/>
        <v>0</v>
      </c>
      <c r="AI63" s="650">
        <f t="shared" si="148"/>
        <v>0</v>
      </c>
      <c r="AJ63" s="654">
        <f t="shared" si="123"/>
        <v>0</v>
      </c>
      <c r="AK63" s="654">
        <f t="shared" si="124"/>
        <v>0</v>
      </c>
      <c r="AL63" s="654">
        <f t="shared" si="125"/>
        <v>0</v>
      </c>
      <c r="AM63" s="654">
        <f t="shared" si="126"/>
        <v>0</v>
      </c>
      <c r="AN63" s="654">
        <f t="shared" si="127"/>
        <v>0</v>
      </c>
      <c r="AO63" s="654">
        <f t="shared" si="128"/>
        <v>0</v>
      </c>
      <c r="AP63" s="654">
        <f t="shared" si="129"/>
        <v>0</v>
      </c>
      <c r="AQ63" s="654">
        <f t="shared" si="130"/>
        <v>0</v>
      </c>
      <c r="AR63" s="654">
        <f t="shared" si="131"/>
        <v>0</v>
      </c>
      <c r="AS63" s="654">
        <f t="shared" si="132"/>
        <v>0</v>
      </c>
      <c r="AT63" s="654">
        <f t="shared" si="133"/>
        <v>0</v>
      </c>
      <c r="AU63" s="654">
        <f t="shared" si="134"/>
        <v>0</v>
      </c>
      <c r="AV63" s="654">
        <f t="shared" si="135"/>
        <v>0</v>
      </c>
      <c r="AW63" s="654">
        <f t="shared" si="136"/>
        <v>0</v>
      </c>
      <c r="AX63" s="654">
        <f t="shared" si="137"/>
        <v>0</v>
      </c>
      <c r="AY63" s="654">
        <f t="shared" si="138"/>
        <v>0</v>
      </c>
      <c r="AZ63" s="654">
        <f t="shared" si="139"/>
        <v>0</v>
      </c>
      <c r="BE63" s="654">
        <f t="shared" si="140"/>
        <v>0</v>
      </c>
      <c r="BF63" s="654">
        <f t="shared" si="141"/>
        <v>0</v>
      </c>
      <c r="BG63" s="654">
        <f t="shared" si="142"/>
        <v>0</v>
      </c>
      <c r="BH63" s="654">
        <f t="shared" si="143"/>
        <v>0</v>
      </c>
      <c r="BI63" s="654">
        <f t="shared" si="144"/>
        <v>0</v>
      </c>
      <c r="BJ63" s="654">
        <f t="shared" si="144"/>
        <v>0</v>
      </c>
      <c r="BK63" s="654">
        <f t="shared" si="144"/>
        <v>0</v>
      </c>
      <c r="BL63" s="654">
        <f t="shared" si="144"/>
        <v>0</v>
      </c>
      <c r="BM63" s="654">
        <f t="shared" si="145"/>
        <v>0</v>
      </c>
      <c r="BN63" s="654">
        <f t="shared" si="146"/>
        <v>0</v>
      </c>
      <c r="BO63" s="654">
        <f t="shared" si="147"/>
        <v>0</v>
      </c>
    </row>
    <row r="64" spans="2:67">
      <c r="C64" t="s">
        <v>747</v>
      </c>
      <c r="Z64" s="650">
        <v>3.2800000000000003E-2</v>
      </c>
      <c r="AA64" s="650">
        <v>3.2800000000000003E-2</v>
      </c>
      <c r="AB64" s="650">
        <f t="shared" si="148"/>
        <v>3.2800000000000003E-2</v>
      </c>
      <c r="AC64" s="650">
        <f t="shared" si="148"/>
        <v>3.2800000000000003E-2</v>
      </c>
      <c r="AD64" s="650">
        <f>+AC64</f>
        <v>3.2800000000000003E-2</v>
      </c>
      <c r="AE64" s="650">
        <f t="shared" si="148"/>
        <v>3.2800000000000003E-2</v>
      </c>
      <c r="AF64" s="650">
        <f t="shared" si="148"/>
        <v>3.2800000000000003E-2</v>
      </c>
      <c r="AG64" s="650">
        <f t="shared" si="148"/>
        <v>3.2800000000000003E-2</v>
      </c>
      <c r="AH64" s="650">
        <f t="shared" si="148"/>
        <v>3.2800000000000003E-2</v>
      </c>
      <c r="AI64" s="650">
        <f t="shared" si="148"/>
        <v>3.2800000000000003E-2</v>
      </c>
      <c r="AJ64" s="654">
        <f t="shared" si="123"/>
        <v>3.2800000000000003E-2</v>
      </c>
      <c r="AK64" s="654">
        <f t="shared" si="124"/>
        <v>3.2800000000000003E-2</v>
      </c>
      <c r="AL64" s="654">
        <f t="shared" si="125"/>
        <v>3.2800000000000003E-2</v>
      </c>
      <c r="AM64" s="654">
        <f t="shared" si="126"/>
        <v>3.2800000000000003E-2</v>
      </c>
      <c r="AN64" s="654">
        <f t="shared" si="127"/>
        <v>3.2800000000000003E-2</v>
      </c>
      <c r="AO64" s="654">
        <f t="shared" si="128"/>
        <v>3.2800000000000003E-2</v>
      </c>
      <c r="AP64" s="654">
        <f t="shared" si="129"/>
        <v>3.2800000000000003E-2</v>
      </c>
      <c r="AQ64" s="654">
        <f t="shared" si="130"/>
        <v>3.2800000000000003E-2</v>
      </c>
      <c r="AR64" s="654">
        <f t="shared" si="131"/>
        <v>3.2800000000000003E-2</v>
      </c>
      <c r="AS64" s="654">
        <f t="shared" si="132"/>
        <v>3.2800000000000003E-2</v>
      </c>
      <c r="AT64" s="654">
        <f t="shared" si="133"/>
        <v>3.2800000000000003E-2</v>
      </c>
      <c r="AU64" s="654">
        <f t="shared" si="134"/>
        <v>3.2800000000000003E-2</v>
      </c>
      <c r="AV64" s="654">
        <f t="shared" si="135"/>
        <v>3.2800000000000003E-2</v>
      </c>
      <c r="AW64" s="654">
        <f t="shared" si="136"/>
        <v>3.2800000000000003E-2</v>
      </c>
      <c r="AX64" s="654">
        <f t="shared" si="137"/>
        <v>3.2800000000000003E-2</v>
      </c>
      <c r="AY64" s="654">
        <f t="shared" si="138"/>
        <v>3.2800000000000003E-2</v>
      </c>
      <c r="AZ64" s="654">
        <f t="shared" si="139"/>
        <v>3.2800000000000003E-2</v>
      </c>
      <c r="BE64" s="654">
        <f t="shared" si="140"/>
        <v>3.2800000000000003E-2</v>
      </c>
      <c r="BF64" s="654">
        <f t="shared" si="141"/>
        <v>3.2800000000000003E-2</v>
      </c>
      <c r="BG64" s="654">
        <f t="shared" si="142"/>
        <v>3.2800000000000003E-2</v>
      </c>
      <c r="BH64" s="654">
        <f t="shared" si="143"/>
        <v>3.2800000000000003E-2</v>
      </c>
      <c r="BI64" s="654">
        <f t="shared" si="144"/>
        <v>3.2800000000000003E-2</v>
      </c>
      <c r="BJ64" s="654">
        <f t="shared" si="144"/>
        <v>3.2800000000000003E-2</v>
      </c>
      <c r="BK64" s="654">
        <f t="shared" si="144"/>
        <v>3.2800000000000003E-2</v>
      </c>
      <c r="BL64" s="654">
        <f t="shared" si="144"/>
        <v>3.2800000000000003E-2</v>
      </c>
      <c r="BM64" s="654">
        <f t="shared" si="145"/>
        <v>3.2800000000000003E-2</v>
      </c>
      <c r="BN64" s="654">
        <f t="shared" si="146"/>
        <v>3.2800000000000003E-2</v>
      </c>
      <c r="BO64" s="654">
        <f t="shared" si="147"/>
        <v>3.2800000000000003E-2</v>
      </c>
    </row>
    <row r="65" spans="2:67">
      <c r="C65" t="s">
        <v>748</v>
      </c>
      <c r="Z65" s="583"/>
      <c r="AA65" s="583"/>
      <c r="AB65" s="650">
        <v>1.4</v>
      </c>
      <c r="AC65" s="650">
        <v>1.4</v>
      </c>
      <c r="AD65" s="650">
        <v>1.42</v>
      </c>
      <c r="AE65" s="650">
        <v>1.42</v>
      </c>
      <c r="AF65" s="650">
        <v>1.42</v>
      </c>
      <c r="AG65" s="650">
        <v>1.42</v>
      </c>
      <c r="AH65" s="650">
        <v>1.42</v>
      </c>
      <c r="AI65" s="650">
        <v>1.42</v>
      </c>
      <c r="AJ65" s="654">
        <f t="shared" ref="AJ65:AN65" si="149">+AI65</f>
        <v>1.42</v>
      </c>
      <c r="AK65" s="654">
        <f t="shared" si="149"/>
        <v>1.42</v>
      </c>
      <c r="AL65" s="654">
        <f t="shared" si="149"/>
        <v>1.42</v>
      </c>
      <c r="AM65" s="654">
        <f t="shared" si="149"/>
        <v>1.42</v>
      </c>
      <c r="AN65" s="654">
        <f t="shared" si="149"/>
        <v>1.42</v>
      </c>
      <c r="AO65" s="654">
        <f t="shared" si="128"/>
        <v>1.42</v>
      </c>
      <c r="AP65" s="654">
        <f t="shared" si="129"/>
        <v>1.42</v>
      </c>
      <c r="AQ65" s="654">
        <f t="shared" si="130"/>
        <v>1.42</v>
      </c>
      <c r="AR65" s="654">
        <f t="shared" si="131"/>
        <v>1.42</v>
      </c>
      <c r="AS65" s="654">
        <f t="shared" si="132"/>
        <v>1.42</v>
      </c>
      <c r="AT65" s="654">
        <f t="shared" si="133"/>
        <v>1.42</v>
      </c>
      <c r="AU65" s="654">
        <f t="shared" si="134"/>
        <v>1.42</v>
      </c>
      <c r="AV65" s="654">
        <f t="shared" si="135"/>
        <v>1.42</v>
      </c>
      <c r="AW65" s="654">
        <f t="shared" si="136"/>
        <v>1.42</v>
      </c>
      <c r="AX65" s="654">
        <f t="shared" si="137"/>
        <v>1.42</v>
      </c>
      <c r="AY65" s="654">
        <f t="shared" si="138"/>
        <v>1.42</v>
      </c>
      <c r="AZ65" s="654">
        <f t="shared" si="139"/>
        <v>1.42</v>
      </c>
      <c r="BE65" s="654">
        <f>+AB65</f>
        <v>1.4</v>
      </c>
      <c r="BF65" s="654">
        <f t="shared" si="141"/>
        <v>1.42</v>
      </c>
      <c r="BG65" s="654">
        <f t="shared" si="142"/>
        <v>1.42</v>
      </c>
      <c r="BH65" s="654">
        <f t="shared" si="143"/>
        <v>1.42</v>
      </c>
      <c r="BI65" s="654">
        <f t="shared" si="144"/>
        <v>1.42</v>
      </c>
      <c r="BJ65" s="654">
        <f t="shared" si="144"/>
        <v>1.42</v>
      </c>
      <c r="BK65" s="654">
        <f t="shared" si="144"/>
        <v>1.42</v>
      </c>
      <c r="BL65" s="654">
        <f t="shared" si="144"/>
        <v>1.42</v>
      </c>
      <c r="BM65" s="654">
        <f t="shared" si="145"/>
        <v>1.42</v>
      </c>
      <c r="BN65" s="654">
        <f t="shared" si="146"/>
        <v>1.42</v>
      </c>
      <c r="BO65" s="654">
        <f t="shared" si="147"/>
        <v>1.42</v>
      </c>
    </row>
    <row r="66" spans="2:67">
      <c r="C66" s="359"/>
      <c r="BE66" s="582"/>
    </row>
    <row r="67" spans="2:67">
      <c r="B67" t="s">
        <v>751</v>
      </c>
      <c r="C67" t="s">
        <v>742</v>
      </c>
      <c r="Z67" s="582">
        <f>+Z59*MACRO!CC$6</f>
        <v>8.1379639131981645E-3</v>
      </c>
      <c r="AA67" s="582">
        <f>+AA59*MACRO!CD$6</f>
        <v>5.3867383686767543E-3</v>
      </c>
      <c r="AB67" s="582">
        <f>+AB59*MACRO!CE$6</f>
        <v>5.1564859045587705E-3</v>
      </c>
      <c r="AC67" s="582">
        <f>+AC59*MACRO!CF$6</f>
        <v>5.4890239326444617E-3</v>
      </c>
      <c r="AD67" s="582">
        <f>+AD59*MACRO!CG$6</f>
        <v>8.5943990221931214E-3</v>
      </c>
      <c r="AE67" s="582">
        <f>+AE59*MACRO!CH$6</f>
        <v>1.2725808990434089E-2</v>
      </c>
      <c r="AF67" s="582">
        <f>+AF59*MACRO!CI$6</f>
        <v>1.9398728095620179E-2</v>
      </c>
      <c r="AG67" s="582">
        <f>+AG59*MACRO!CJ$6</f>
        <v>2.6068359935216973E-2</v>
      </c>
      <c r="AH67" s="582">
        <f>+AH59*MACRO!CK$6</f>
        <v>3.1025251599716402E-2</v>
      </c>
      <c r="AI67" s="582">
        <f>+AI59*MACRO!CL$6</f>
        <v>3.3655170197744805E-2</v>
      </c>
      <c r="AJ67" s="582">
        <f>+AJ59*MACRO!CM$6</f>
        <v>3.4009084517064414E-2</v>
      </c>
      <c r="AK67" s="582">
        <f>+AK59*MACRO!CN$6</f>
        <v>3.4009084517064414E-2</v>
      </c>
      <c r="AL67" s="582">
        <f>+AL59*MACRO!CO$6</f>
        <v>3.4009084517064414E-2</v>
      </c>
      <c r="AM67" s="582">
        <f>+AM59*MACRO!CP$6</f>
        <v>3.3088177574225115E-2</v>
      </c>
      <c r="AN67" s="582">
        <f>+AN59*MACRO!CQ$6</f>
        <v>3.0644561242718818E-2</v>
      </c>
      <c r="AO67" s="582">
        <f>+AO59*MACRO!CR$6</f>
        <v>2.8303916046290796E-2</v>
      </c>
      <c r="AP67" s="582">
        <f>+AP59*MACRO!CS$6</f>
        <v>2.6502147342236278E-2</v>
      </c>
      <c r="AQ67" s="582">
        <f>+AQ59*MACRO!CT$6</f>
        <v>2.633351520158508E-2</v>
      </c>
      <c r="AR67" s="582">
        <f>+AR59*MACRO!CU$6</f>
        <v>2.8112161831573904E-2</v>
      </c>
      <c r="AS67" s="582">
        <f>+AS59*MACRO!CV$6</f>
        <v>3.361582475356327E-2</v>
      </c>
      <c r="AT67" s="582">
        <f>+AT59*MACRO!CW$6</f>
        <v>3.6359611381862764E-2</v>
      </c>
      <c r="AU67" s="582">
        <f>+AU59*MACRO!CX$6</f>
        <v>3.6944841318945376E-2</v>
      </c>
      <c r="AV67" s="582">
        <f>+AV59*MACRO!CY$6</f>
        <v>3.6944841318945376E-2</v>
      </c>
      <c r="AW67" s="582">
        <f>+AW59*MACRO!CZ$6</f>
        <v>3.5773424403988979E-2</v>
      </c>
      <c r="AX67" s="582">
        <f>+AX59*MACRO!DA$6</f>
        <v>3.3419032556537442E-2</v>
      </c>
      <c r="AY67" s="582">
        <f>+AY59*MACRO!DB$6</f>
        <v>3.1643008191907573E-2</v>
      </c>
      <c r="AZ67" s="582">
        <f>+AZ59*MACRO!DC$6</f>
        <v>3.0454063539485429E-2</v>
      </c>
      <c r="BE67" s="582">
        <f>+BE59*MACRO!EC$6</f>
        <v>2.9949174999999998E-2</v>
      </c>
      <c r="BF67" s="582">
        <f>+BF59*MACRO!ED$6</f>
        <v>4.7144624999999996E-2</v>
      </c>
      <c r="BG67" s="582">
        <f>+BG59*MACRO!EE$6</f>
        <v>0.13055034999999998</v>
      </c>
      <c r="BH67" s="582">
        <f>+BH59*MACRO!EF$6</f>
        <v>0.13816102499999999</v>
      </c>
      <c r="BI67" s="582">
        <f>+BI59*MACRO!EG$6</f>
        <v>0.113640625</v>
      </c>
      <c r="BJ67" s="582">
        <f>+BJ59*MACRO!EH$6</f>
        <v>0.15152083333333333</v>
      </c>
      <c r="BK67" s="582">
        <f>+BK59*MACRO!EI$6</f>
        <v>0.1376675</v>
      </c>
      <c r="BL67" s="582">
        <f>+BL59*MACRO!EJ$6</f>
        <v>0.11948499999999999</v>
      </c>
      <c r="BM67" s="582">
        <f>+BM59*MACRO!EK$6</f>
        <v>0.11428999999999999</v>
      </c>
      <c r="BN67" s="582">
        <f>+BN59*MACRO!EL$6</f>
        <v>0.10389999999999999</v>
      </c>
      <c r="BO67" s="582">
        <f>+BO59*MACRO!EM$6</f>
        <v>9.3509999999999996E-2</v>
      </c>
    </row>
    <row r="68" spans="2:67">
      <c r="C68" t="s">
        <v>743</v>
      </c>
      <c r="Z68" s="582">
        <f>+Z60/4+MACRO!CC$6</f>
        <v>1.533249654783269E-2</v>
      </c>
      <c r="AA68" s="582">
        <f>+AA60/4+MACRO!CD$6</f>
        <v>1.2684541259554143E-2</v>
      </c>
      <c r="AB68" s="582">
        <f>+AB60/4+MACRO!CE$6</f>
        <v>1.2462931573203821E-2</v>
      </c>
      <c r="AC68" s="582">
        <f>+AC60/4+MACRO!CF$6</f>
        <v>1.2782987423141927E-2</v>
      </c>
      <c r="AD68" s="582">
        <f>+AD60/4+MACRO!CG$6</f>
        <v>1.577179886640339E-2</v>
      </c>
      <c r="AE68" s="582">
        <f>+AE60/4+MACRO!CH$6</f>
        <v>1.9748131848348498E-2</v>
      </c>
      <c r="AF68" s="582">
        <f>+AF60/4+MACRO!CI$6</f>
        <v>2.6170575645447718E-2</v>
      </c>
      <c r="AG68" s="582">
        <f>+AG60/4+MACRO!CJ$6</f>
        <v>3.2589855568062535E-2</v>
      </c>
      <c r="AH68" s="582">
        <f>+AH60/4+MACRO!CK$6</f>
        <v>3.7360684889043698E-2</v>
      </c>
      <c r="AI68" s="582">
        <f>+AI60/4+MACRO!CL$6</f>
        <v>3.9891886619581145E-2</v>
      </c>
      <c r="AJ68" s="582">
        <f>+AJ60/4+MACRO!CM$6</f>
        <v>4.0232516378310317E-2</v>
      </c>
      <c r="AK68" s="582">
        <f>+AK60/4+MACRO!CN$6</f>
        <v>4.0232516378310317E-2</v>
      </c>
      <c r="AL68" s="582">
        <f>+AL60/4+MACRO!CO$6</f>
        <v>4.0232516378310317E-2</v>
      </c>
      <c r="AM68" s="582">
        <f>+AM60/4+MACRO!CP$6</f>
        <v>3.9346176683566041E-2</v>
      </c>
      <c r="AN68" s="582">
        <f>+AN60/4+MACRO!CQ$6</f>
        <v>3.6994284160460848E-2</v>
      </c>
      <c r="AO68" s="582">
        <f>+AO60/4+MACRO!CR$6</f>
        <v>3.4741497638393452E-2</v>
      </c>
      <c r="AP68" s="582">
        <f>+AP60/4+MACRO!CS$6</f>
        <v>3.3007360290891512E-2</v>
      </c>
      <c r="AQ68" s="582">
        <f>+AQ60/4+MACRO!CT$6</f>
        <v>3.2845057941852822E-2</v>
      </c>
      <c r="AR68" s="582">
        <f>+AR60/4+MACRO!CU$6</f>
        <v>3.45569411275976E-2</v>
      </c>
      <c r="AS68" s="582">
        <f>+AS60/4+MACRO!CV$6</f>
        <v>3.9854018049627786E-2</v>
      </c>
      <c r="AT68" s="582">
        <f>+AT60/4+MACRO!CW$6</f>
        <v>4.2494813649531053E-2</v>
      </c>
      <c r="AU68" s="582">
        <f>+AU60/4+MACRO!CX$6</f>
        <v>4.3058076341622113E-2</v>
      </c>
      <c r="AV68" s="582">
        <f>+AV60/4+MACRO!CY$6</f>
        <v>4.3058076341622113E-2</v>
      </c>
      <c r="AW68" s="582">
        <f>+AW60/4+MACRO!CZ$6</f>
        <v>4.1930629840220383E-2</v>
      </c>
      <c r="AX68" s="582">
        <f>+AX60/4+MACRO!DA$6</f>
        <v>3.9664612662692438E-2</v>
      </c>
      <c r="AY68" s="582">
        <f>+AY60/4+MACRO!DB$6</f>
        <v>3.7955253312711816E-2</v>
      </c>
      <c r="AZ68" s="582">
        <f>+AZ60/4+MACRO!DC$6</f>
        <v>3.6810936996617354E-2</v>
      </c>
      <c r="BE68" s="582">
        <f>+BE60+MACRO!EC$6</f>
        <v>5.8825000000000002E-2</v>
      </c>
      <c r="BF68" s="582">
        <f>+BF60+MACRO!ED$6</f>
        <v>7.5374999999999998E-2</v>
      </c>
      <c r="BG68" s="582">
        <f>+BG60+MACRO!EE$6</f>
        <v>0.15564999999999998</v>
      </c>
      <c r="BH68" s="582">
        <f>+BH60+MACRO!EF$6</f>
        <v>0.16297500000000001</v>
      </c>
      <c r="BI68" s="582">
        <f>+BI60+MACRO!EG$6</f>
        <v>0.139375</v>
      </c>
      <c r="BJ68" s="582">
        <f>+BJ60+MACRO!EH$6</f>
        <v>0.17583333333333334</v>
      </c>
      <c r="BK68" s="582">
        <f>+BK60+MACRO!EI$6</f>
        <v>0.16250000000000001</v>
      </c>
      <c r="BL68" s="582">
        <f>+BL60+MACRO!EJ$6</f>
        <v>0.14500000000000002</v>
      </c>
      <c r="BM68" s="582">
        <f>+BM60+MACRO!EK$6</f>
        <v>0.14000000000000001</v>
      </c>
      <c r="BN68" s="582">
        <f>+BN60+MACRO!EL$6</f>
        <v>0.13</v>
      </c>
      <c r="BO68" s="582">
        <f>+BO60+MACRO!EM$6</f>
        <v>0.12</v>
      </c>
    </row>
    <row r="69" spans="2:67">
      <c r="C69" t="s">
        <v>744</v>
      </c>
      <c r="Z69" s="582"/>
      <c r="AA69" s="582"/>
      <c r="AB69" s="582"/>
      <c r="AC69" s="582">
        <f>+AC61/4+MACRO!CF$6</f>
        <v>9.2829874231419272E-3</v>
      </c>
      <c r="AD69" s="582">
        <f>+AD61/4+MACRO!CG$6</f>
        <v>1.227179886640339E-2</v>
      </c>
      <c r="AE69" s="582">
        <f>+AE61/4+MACRO!CH$6</f>
        <v>1.6248131848348498E-2</v>
      </c>
      <c r="AF69" s="582">
        <f>+AF61/4+MACRO!CI$6</f>
        <v>2.2670575645447718E-2</v>
      </c>
      <c r="AG69" s="582">
        <f>+AG61/4+MACRO!CJ$6</f>
        <v>2.9089855568062536E-2</v>
      </c>
      <c r="AH69" s="582">
        <f>+AH61/4+MACRO!CK$6</f>
        <v>3.3860684889043702E-2</v>
      </c>
      <c r="AI69" s="582">
        <f>+AI61/4+MACRO!CL$6</f>
        <v>3.6391886619581149E-2</v>
      </c>
      <c r="AJ69" s="582">
        <f>+AJ61/4+MACRO!CM$6</f>
        <v>3.673251637831032E-2</v>
      </c>
      <c r="AK69" s="582">
        <f>+AK61/4+MACRO!CN$6</f>
        <v>3.673251637831032E-2</v>
      </c>
      <c r="AL69" s="582">
        <f>+AL61/4+MACRO!CO$6</f>
        <v>3.673251637831032E-2</v>
      </c>
      <c r="AM69" s="582">
        <f>+AM61/4+MACRO!CP$6</f>
        <v>3.5846176683566044E-2</v>
      </c>
      <c r="AN69" s="582">
        <f>+AN61/4+MACRO!CQ$6</f>
        <v>3.3494284160460852E-2</v>
      </c>
      <c r="AO69" s="582">
        <f>+AO61/4+MACRO!CR$6</f>
        <v>3.1241497638393453E-2</v>
      </c>
      <c r="AP69" s="582">
        <f>+AP61/4+MACRO!CS$6</f>
        <v>2.9507360290891512E-2</v>
      </c>
      <c r="AQ69" s="582">
        <f>+AQ61/4+MACRO!CT$6</f>
        <v>2.9345057941852822E-2</v>
      </c>
      <c r="AR69" s="582">
        <f>+AR61/4+MACRO!CU$6</f>
        <v>3.10569411275976E-2</v>
      </c>
      <c r="AS69" s="582">
        <f>+AS61/4+MACRO!CV$6</f>
        <v>3.635401804962779E-2</v>
      </c>
      <c r="AT69" s="582">
        <f>+AT61/4+MACRO!CW$6</f>
        <v>3.8994813649531057E-2</v>
      </c>
      <c r="AU69" s="582">
        <f>+AU61/4+MACRO!CX$6</f>
        <v>3.9558076341622117E-2</v>
      </c>
      <c r="AV69" s="582">
        <f>+AV61/4+MACRO!CY$6</f>
        <v>3.9558076341622117E-2</v>
      </c>
      <c r="AW69" s="582">
        <f>+AW61/4+MACRO!CZ$6</f>
        <v>3.8430629840220387E-2</v>
      </c>
      <c r="AX69" s="582">
        <f>+AX61/4+MACRO!DA$6</f>
        <v>3.6164612662692441E-2</v>
      </c>
      <c r="AY69" s="582">
        <f>+AY61/4+MACRO!DB$6</f>
        <v>3.445525331271182E-2</v>
      </c>
      <c r="AZ69" s="582">
        <f>+AZ61/4+MACRO!DC$6</f>
        <v>3.3310936996617357E-2</v>
      </c>
      <c r="BE69" s="582">
        <f>+BE61+MACRO!EC$6</f>
        <v>2.8825E-2</v>
      </c>
      <c r="BF69" s="582">
        <f>+BF61+MACRO!ED$6</f>
        <v>6.1374999999999999E-2</v>
      </c>
      <c r="BG69" s="582">
        <f>+BG61+MACRO!EE$6</f>
        <v>0.14165</v>
      </c>
      <c r="BH69" s="582">
        <f>+BH61+MACRO!EF$6</f>
        <v>0.14897500000000002</v>
      </c>
      <c r="BI69" s="582">
        <f>+BI61+MACRO!EG$6</f>
        <v>0.12537500000000001</v>
      </c>
      <c r="BJ69" s="582">
        <f>+BJ61+MACRO!EH$6</f>
        <v>0.16183333333333333</v>
      </c>
      <c r="BK69" s="582">
        <f>+BK61+MACRO!EI$6</f>
        <v>0.14850000000000002</v>
      </c>
      <c r="BL69" s="582">
        <f>+BL61+MACRO!EJ$6</f>
        <v>0.13100000000000001</v>
      </c>
      <c r="BM69" s="582">
        <f>+BM61+MACRO!EK$6</f>
        <v>0.126</v>
      </c>
      <c r="BN69" s="582">
        <f>+BN61+MACRO!EL$6</f>
        <v>0.11600000000000001</v>
      </c>
      <c r="BO69" s="582">
        <f>+BO61+MACRO!EM$6</f>
        <v>0.106</v>
      </c>
    </row>
    <row r="70" spans="2:67">
      <c r="C70" t="s">
        <v>745</v>
      </c>
      <c r="Z70" s="582">
        <f>+Z62/4+MACRO!CC$6</f>
        <v>2.525749654783269E-2</v>
      </c>
      <c r="AA70" s="582">
        <f>+AA62/4+MACRO!CD$6</f>
        <v>2.5759541259554142E-2</v>
      </c>
      <c r="AB70" s="582">
        <f>+AB62/4+MACRO!CE$6</f>
        <v>2.5537931573203821E-2</v>
      </c>
      <c r="AC70" s="582">
        <f>+AC62/4+MACRO!CF$6</f>
        <v>2.5857987423141927E-2</v>
      </c>
      <c r="AD70" s="582">
        <f>+AD62/4+MACRO!CG$6</f>
        <v>2.884679886640339E-2</v>
      </c>
      <c r="AE70" s="582">
        <f>+AE62/4+MACRO!CH$6</f>
        <v>3.2823131848348494E-2</v>
      </c>
      <c r="AF70" s="582">
        <f>+AF62/4+MACRO!CI$6</f>
        <v>3.9245575645447714E-2</v>
      </c>
      <c r="AG70" s="582">
        <f>+AG62/4+MACRO!CJ$6</f>
        <v>4.5664855568062532E-2</v>
      </c>
      <c r="AH70" s="582">
        <f>+AH62/4+MACRO!CK$6</f>
        <v>5.0435684889043694E-2</v>
      </c>
      <c r="AI70" s="582">
        <f>+AI62/4+MACRO!CL$6</f>
        <v>5.2966886619581141E-2</v>
      </c>
      <c r="AJ70" s="582">
        <f>+AJ62/4+MACRO!CM$6</f>
        <v>5.3307516378310313E-2</v>
      </c>
      <c r="AK70" s="582">
        <f>+AK62/4+MACRO!CN$6</f>
        <v>5.3307516378310313E-2</v>
      </c>
      <c r="AL70" s="582">
        <f>+AL62/4+MACRO!CO$6</f>
        <v>5.3307516378310313E-2</v>
      </c>
      <c r="AM70" s="582">
        <f>+AM62/4+MACRO!CP$6</f>
        <v>5.2421176683566037E-2</v>
      </c>
      <c r="AN70" s="582">
        <f>+AN62/4+MACRO!CQ$6</f>
        <v>5.0069284160460845E-2</v>
      </c>
      <c r="AO70" s="582">
        <f>+AO62/4+MACRO!CR$6</f>
        <v>4.7816497638393449E-2</v>
      </c>
      <c r="AP70" s="582">
        <f>+AP62/4+MACRO!CS$6</f>
        <v>4.6082360290891508E-2</v>
      </c>
      <c r="AQ70" s="582">
        <f>+AQ62/4+MACRO!CT$6</f>
        <v>4.5920057941852818E-2</v>
      </c>
      <c r="AR70" s="582">
        <f>+AR62/4+MACRO!CU$6</f>
        <v>4.7631941127597596E-2</v>
      </c>
      <c r="AS70" s="582">
        <f>+AS62/4+MACRO!CV$6</f>
        <v>5.2929018049627782E-2</v>
      </c>
      <c r="AT70" s="582">
        <f>+AT62/4+MACRO!CW$6</f>
        <v>5.556981364953105E-2</v>
      </c>
      <c r="AU70" s="582">
        <f>+AU62/4+MACRO!CX$6</f>
        <v>5.613307634162211E-2</v>
      </c>
      <c r="AV70" s="582">
        <f>+AV62/4+MACRO!CY$6</f>
        <v>5.613307634162211E-2</v>
      </c>
      <c r="AW70" s="582">
        <f>+AW62/4+MACRO!CZ$6</f>
        <v>5.500562984022038E-2</v>
      </c>
      <c r="AX70" s="582">
        <f>+AX62/4+MACRO!DA$6</f>
        <v>5.2739612662692434E-2</v>
      </c>
      <c r="AY70" s="582">
        <f>+AY62/4+MACRO!DB$6</f>
        <v>5.1030253312711812E-2</v>
      </c>
      <c r="AZ70" s="582">
        <f>+AZ62/4+MACRO!DC$6</f>
        <v>4.988593699661735E-2</v>
      </c>
      <c r="BE70" s="582">
        <f>+BE62+MACRO!EC$6</f>
        <v>0.111125</v>
      </c>
      <c r="BF70" s="582">
        <f>+BF62+MACRO!ED$6</f>
        <v>0.12767499999999998</v>
      </c>
      <c r="BG70" s="582">
        <f>+BG62+MACRO!EE$6</f>
        <v>0.20794999999999997</v>
      </c>
      <c r="BH70" s="582">
        <f>+BH62+MACRO!EF$6</f>
        <v>0.21527499999999999</v>
      </c>
      <c r="BI70" s="582">
        <f>+BI62+MACRO!EG$6</f>
        <v>0.19167499999999998</v>
      </c>
      <c r="BJ70" s="582">
        <f>+BJ62+MACRO!EH$6</f>
        <v>0.22813333333333335</v>
      </c>
      <c r="BK70" s="582">
        <f>+BK62+MACRO!EI$6</f>
        <v>0.21479999999999999</v>
      </c>
      <c r="BL70" s="582">
        <f>+BL62+MACRO!EJ$6</f>
        <v>0.1973</v>
      </c>
      <c r="BM70" s="582">
        <f>+BM62+MACRO!EK$6</f>
        <v>0.1923</v>
      </c>
      <c r="BN70" s="582">
        <f>+BN62+MACRO!EL$6</f>
        <v>0.18230000000000002</v>
      </c>
      <c r="BO70" s="582">
        <f>+BO62+MACRO!EM$6</f>
        <v>0.17230000000000001</v>
      </c>
    </row>
    <row r="71" spans="2:67">
      <c r="C71" t="s">
        <v>746</v>
      </c>
      <c r="Z71" s="582">
        <f>+Z63/4+MACRO!CC$6</f>
        <v>1.4082496547832691E-2</v>
      </c>
      <c r="AA71" s="582">
        <f>+AA63/4+MACRO!CD$6</f>
        <v>5.1845412595541429E-3</v>
      </c>
      <c r="AB71" s="582">
        <f>+AB63/4+MACRO!CE$6</f>
        <v>4.9629315732038215E-3</v>
      </c>
      <c r="AC71" s="582">
        <f>+AC63/4+MACRO!CF$6</f>
        <v>5.2829874231419272E-3</v>
      </c>
      <c r="AD71" s="582">
        <f>+AD63/4+MACRO!CG$6</f>
        <v>8.2717988664033903E-3</v>
      </c>
      <c r="AE71" s="582">
        <f>+AE63/4+MACRO!CH$6</f>
        <v>1.2248131848348498E-2</v>
      </c>
      <c r="AF71" s="582">
        <f>+AF63/4+MACRO!CI$6</f>
        <v>1.8670575645447718E-2</v>
      </c>
      <c r="AG71" s="582">
        <f>+AG63/4+MACRO!CJ$6</f>
        <v>2.5089855568062536E-2</v>
      </c>
      <c r="AH71" s="582">
        <f>+AH63/4+MACRO!CK$6</f>
        <v>2.9860684889043698E-2</v>
      </c>
      <c r="AI71" s="582">
        <f>+AI63/4+MACRO!CL$6</f>
        <v>3.2391886619581145E-2</v>
      </c>
      <c r="AJ71" s="582">
        <f>+AJ63/4+MACRO!CM$6</f>
        <v>3.2732516378310317E-2</v>
      </c>
      <c r="AK71" s="582">
        <f>+AK63/4+MACRO!CN$6</f>
        <v>3.2732516378310317E-2</v>
      </c>
      <c r="AL71" s="582">
        <f>+AL63/4+MACRO!CO$6</f>
        <v>3.2732516378310317E-2</v>
      </c>
      <c r="AM71" s="582">
        <f>+AM63/4+MACRO!CP$6</f>
        <v>3.1846176683566041E-2</v>
      </c>
      <c r="AN71" s="582">
        <f>+AN63/4+MACRO!CQ$6</f>
        <v>2.9494284160460849E-2</v>
      </c>
      <c r="AO71" s="582">
        <f>+AO63/4+MACRO!CR$6</f>
        <v>2.7241497638393453E-2</v>
      </c>
      <c r="AP71" s="582">
        <f>+AP63/4+MACRO!CS$6</f>
        <v>2.5507360290891512E-2</v>
      </c>
      <c r="AQ71" s="582">
        <f>+AQ63/4+MACRO!CT$6</f>
        <v>2.5345057941852822E-2</v>
      </c>
      <c r="AR71" s="582">
        <f>+AR63/4+MACRO!CU$6</f>
        <v>2.70569411275976E-2</v>
      </c>
      <c r="AS71" s="582">
        <f>+AS63/4+MACRO!CV$6</f>
        <v>3.2354018049627786E-2</v>
      </c>
      <c r="AT71" s="582">
        <f>+AT63/4+MACRO!CW$6</f>
        <v>3.4994813649531054E-2</v>
      </c>
      <c r="AU71" s="582">
        <f>+AU63/4+MACRO!CX$6</f>
        <v>3.5558076341622114E-2</v>
      </c>
      <c r="AV71" s="582">
        <f>+AV63/4+MACRO!CY$6</f>
        <v>3.5558076341622114E-2</v>
      </c>
      <c r="AW71" s="582">
        <f>+AW63/4+MACRO!CZ$6</f>
        <v>3.4430629840220384E-2</v>
      </c>
      <c r="AX71" s="582">
        <f>+AX63/4+MACRO!DA$6</f>
        <v>3.2164612662692438E-2</v>
      </c>
      <c r="AY71" s="582">
        <f>+AY63/4+MACRO!DB$6</f>
        <v>3.0455253312711816E-2</v>
      </c>
      <c r="AZ71" s="582">
        <f>+AZ63/4+MACRO!DC$6</f>
        <v>2.9310936996617354E-2</v>
      </c>
      <c r="BE71" s="582">
        <f>+BE63+MACRO!EC$6</f>
        <v>2.8825E-2</v>
      </c>
      <c r="BF71" s="582">
        <f>+BF63+MACRO!ED$6</f>
        <v>4.5374999999999999E-2</v>
      </c>
      <c r="BG71" s="582">
        <f>+BG63+MACRO!EE$6</f>
        <v>0.12564999999999998</v>
      </c>
      <c r="BH71" s="582">
        <f>+BH63+MACRO!EF$6</f>
        <v>0.13297500000000001</v>
      </c>
      <c r="BI71" s="582">
        <f>+BI63+MACRO!EG$6</f>
        <v>0.109375</v>
      </c>
      <c r="BJ71" s="582">
        <f>+BJ63+MACRO!EH$6</f>
        <v>0.14583333333333334</v>
      </c>
      <c r="BK71" s="582">
        <f>+BK63+MACRO!EI$6</f>
        <v>0.13250000000000001</v>
      </c>
      <c r="BL71" s="582">
        <f>+BL63+MACRO!EJ$6</f>
        <v>0.115</v>
      </c>
      <c r="BM71" s="582">
        <f>+BM63+MACRO!EK$6</f>
        <v>0.11</v>
      </c>
      <c r="BN71" s="582">
        <f>+BN63+MACRO!EL$6</f>
        <v>0.1</v>
      </c>
      <c r="BO71" s="582">
        <f>+BO63+MACRO!EM$6</f>
        <v>0.09</v>
      </c>
    </row>
    <row r="72" spans="2:67">
      <c r="C72" t="s">
        <v>747</v>
      </c>
      <c r="Z72" s="582">
        <f>+Z64/4+MACRO!CC$6</f>
        <v>1.6032496547832689E-2</v>
      </c>
      <c r="AA72" s="582">
        <f>+AA64/4+MACRO!CD$6</f>
        <v>1.3384541259554144E-2</v>
      </c>
      <c r="AB72" s="582">
        <f>+AB64/4+MACRO!CE$6</f>
        <v>1.3162931573203822E-2</v>
      </c>
      <c r="AC72" s="582">
        <f>+AC64/4+MACRO!CF$6</f>
        <v>1.3482987423141928E-2</v>
      </c>
      <c r="AD72" s="582">
        <f>+AD64/4+MACRO!CG$6</f>
        <v>1.6471798866403389E-2</v>
      </c>
      <c r="AE72" s="582">
        <f>+AE64/4+MACRO!CH$6</f>
        <v>2.0448131848348497E-2</v>
      </c>
      <c r="AF72" s="582">
        <f>+AF64/4+MACRO!CI$6</f>
        <v>2.6870575645447717E-2</v>
      </c>
      <c r="AG72" s="582">
        <f>+AG64/4+MACRO!CJ$6</f>
        <v>3.3289855568062535E-2</v>
      </c>
      <c r="AH72" s="582">
        <f>+AH64/4+MACRO!CK$6</f>
        <v>3.8060684889043697E-2</v>
      </c>
      <c r="AI72" s="582">
        <f>+AI64/4+MACRO!CL$6</f>
        <v>4.0591886619581144E-2</v>
      </c>
      <c r="AJ72" s="582">
        <f>+AJ64/4+MACRO!CM$6</f>
        <v>4.0932516378310316E-2</v>
      </c>
      <c r="AK72" s="582">
        <f>+AK64/4+MACRO!CN$6</f>
        <v>4.0932516378310316E-2</v>
      </c>
      <c r="AL72" s="582">
        <f>+AL64/4+MACRO!CO$6</f>
        <v>4.0932516378310316E-2</v>
      </c>
      <c r="AM72" s="582">
        <f>+AM64/4+MACRO!CP$6</f>
        <v>4.004617668356604E-2</v>
      </c>
      <c r="AN72" s="582">
        <f>+AN64/4+MACRO!CQ$6</f>
        <v>3.7694284160460848E-2</v>
      </c>
      <c r="AO72" s="582">
        <f>+AO64/4+MACRO!CR$6</f>
        <v>3.5441497638393452E-2</v>
      </c>
      <c r="AP72" s="582">
        <f>+AP64/4+MACRO!CS$6</f>
        <v>3.3707360290891511E-2</v>
      </c>
      <c r="AQ72" s="582">
        <f>+AQ64/4+MACRO!CT$6</f>
        <v>3.3545057941852821E-2</v>
      </c>
      <c r="AR72" s="582">
        <f>+AR64/4+MACRO!CU$6</f>
        <v>3.5256941127597599E-2</v>
      </c>
      <c r="AS72" s="582">
        <f>+AS64/4+MACRO!CV$6</f>
        <v>4.0554018049627785E-2</v>
      </c>
      <c r="AT72" s="582">
        <f>+AT64/4+MACRO!CW$6</f>
        <v>4.3194813649531053E-2</v>
      </c>
      <c r="AU72" s="582">
        <f>+AU64/4+MACRO!CX$6</f>
        <v>4.3758076341622112E-2</v>
      </c>
      <c r="AV72" s="582">
        <f>+AV64/4+MACRO!CY$6</f>
        <v>4.3758076341622112E-2</v>
      </c>
      <c r="AW72" s="582">
        <f>+AW64/4+MACRO!CZ$6</f>
        <v>4.2630629840220383E-2</v>
      </c>
      <c r="AX72" s="582">
        <f>+AX64/4+MACRO!DA$6</f>
        <v>4.0364612662692437E-2</v>
      </c>
      <c r="AY72" s="582">
        <f>+AY64/4+MACRO!DB$6</f>
        <v>3.8655253312711815E-2</v>
      </c>
      <c r="AZ72" s="582">
        <f>+AZ64/4+MACRO!DC$6</f>
        <v>3.7510936996617353E-2</v>
      </c>
      <c r="BE72" s="582">
        <f>+BE64+MACRO!EC$6</f>
        <v>6.1624999999999999E-2</v>
      </c>
      <c r="BF72" s="582">
        <f>+BF64+MACRO!ED$6</f>
        <v>7.8174999999999994E-2</v>
      </c>
      <c r="BG72" s="582">
        <f>+BG64+MACRO!EE$6</f>
        <v>0.15844999999999998</v>
      </c>
      <c r="BH72" s="582">
        <f>+BH64+MACRO!EF$6</f>
        <v>0.16577500000000001</v>
      </c>
      <c r="BI72" s="582">
        <f>+BI64+MACRO!EG$6</f>
        <v>0.142175</v>
      </c>
      <c r="BJ72" s="582">
        <f>+BJ64+MACRO!EH$6</f>
        <v>0.17863333333333334</v>
      </c>
      <c r="BK72" s="582">
        <f>+BK64+MACRO!EI$6</f>
        <v>0.1653</v>
      </c>
      <c r="BL72" s="582">
        <f>+BL64+MACRO!EJ$6</f>
        <v>0.14780000000000001</v>
      </c>
      <c r="BM72" s="582">
        <f>+BM64+MACRO!EK$6</f>
        <v>0.14280000000000001</v>
      </c>
      <c r="BN72" s="582">
        <f>+BN64+MACRO!EL$6</f>
        <v>0.1328</v>
      </c>
      <c r="BO72" s="582">
        <f>+BO64+MACRO!EM$6</f>
        <v>0.12279999999999999</v>
      </c>
    </row>
    <row r="73" spans="2:67">
      <c r="C73" t="s">
        <v>748</v>
      </c>
      <c r="Z73" s="582"/>
      <c r="AA73" s="582"/>
      <c r="AB73" s="582">
        <f>+AB65*MACRO!CE$6</f>
        <v>6.9481042024853498E-3</v>
      </c>
      <c r="AC73" s="582">
        <f>+AC65*MACRO!CF$6</f>
        <v>7.3961823923986971E-3</v>
      </c>
      <c r="AD73" s="582">
        <f>+AD65*MACRO!CG$6</f>
        <v>1.1745954390292813E-2</v>
      </c>
      <c r="AE73" s="582">
        <f>+AE65*MACRO!CH$6</f>
        <v>1.7392347224654867E-2</v>
      </c>
      <c r="AF73" s="582">
        <f>+AF65*MACRO!CI$6</f>
        <v>2.6512217416535758E-2</v>
      </c>
      <c r="AG73" s="582">
        <f>+AG65*MACRO!CJ$6</f>
        <v>3.5627594906648796E-2</v>
      </c>
      <c r="AH73" s="582">
        <f>+AH65*MACRO!CK$6</f>
        <v>4.2402172542442051E-2</v>
      </c>
      <c r="AI73" s="582">
        <f>+AI65*MACRO!CL$6</f>
        <v>4.5996478999805225E-2</v>
      </c>
      <c r="AJ73" s="582">
        <f>+AJ65*MACRO!CM$6</f>
        <v>4.6480173257200649E-2</v>
      </c>
      <c r="AK73" s="582">
        <f>+AK65*MACRO!CN$6</f>
        <v>4.6480173257200649E-2</v>
      </c>
      <c r="AL73" s="582">
        <f>+AL65*MACRO!CO$6</f>
        <v>4.6480173257200649E-2</v>
      </c>
      <c r="AM73" s="582">
        <f>+AM65*MACRO!CP$6</f>
        <v>4.5221570890663775E-2</v>
      </c>
      <c r="AN73" s="582">
        <f>+AN65*MACRO!CQ$6</f>
        <v>4.1881883507854406E-2</v>
      </c>
      <c r="AO73" s="582">
        <f>+AO65*MACRO!CR$6</f>
        <v>3.8682926646518699E-2</v>
      </c>
      <c r="AP73" s="582">
        <f>+AP65*MACRO!CS$6</f>
        <v>3.6220451613065946E-2</v>
      </c>
      <c r="AQ73" s="582">
        <f>+AQ65*MACRO!CT$6</f>
        <v>3.5989982277431005E-2</v>
      </c>
      <c r="AR73" s="582">
        <f>+AR65*MACRO!CU$6</f>
        <v>3.8420856401188593E-2</v>
      </c>
      <c r="AS73" s="582">
        <f>+AS65*MACRO!CV$6</f>
        <v>4.5942705630471453E-2</v>
      </c>
      <c r="AT73" s="582">
        <f>+AT65*MACRO!CW$6</f>
        <v>4.9692635382334094E-2</v>
      </c>
      <c r="AU73" s="582">
        <f>+AU65*MACRO!CX$6</f>
        <v>5.0492468405103401E-2</v>
      </c>
      <c r="AV73" s="582">
        <f>+AV65*MACRO!CY$6</f>
        <v>5.0492468405103401E-2</v>
      </c>
      <c r="AW73" s="582">
        <f>+AW65*MACRO!CZ$6</f>
        <v>4.8891494373112944E-2</v>
      </c>
      <c r="AX73" s="582">
        <f>+AX65*MACRO!DA$6</f>
        <v>4.5673749981023262E-2</v>
      </c>
      <c r="AY73" s="582">
        <f>+AY65*MACRO!DB$6</f>
        <v>4.3246459704050777E-2</v>
      </c>
      <c r="AZ73" s="582">
        <f>+AZ65*MACRO!DC$6</f>
        <v>4.1621530535196641E-2</v>
      </c>
      <c r="BE73" s="582">
        <f>+BE65*MACRO!EC$6</f>
        <v>4.0354999999999995E-2</v>
      </c>
      <c r="BF73" s="582">
        <f>+BF65*MACRO!ED$6</f>
        <v>6.443249999999999E-2</v>
      </c>
      <c r="BG73" s="582">
        <f>+BG65*MACRO!EE$6</f>
        <v>0.17842299999999997</v>
      </c>
      <c r="BH73" s="582">
        <f>+BH65*MACRO!EF$6</f>
        <v>0.18882450000000001</v>
      </c>
      <c r="BI73" s="582">
        <f>+BI65*MACRO!EG$6</f>
        <v>0.15531249999999999</v>
      </c>
      <c r="BJ73" s="582">
        <f>+BJ65*MACRO!EH$6</f>
        <v>0.20708333333333334</v>
      </c>
      <c r="BK73" s="582">
        <f>+BK65*MACRO!EI$6</f>
        <v>0.18815000000000001</v>
      </c>
      <c r="BL73" s="582">
        <f>+BL65*MACRO!EJ$6</f>
        <v>0.1633</v>
      </c>
      <c r="BM73" s="582">
        <f>+BM65*MACRO!EK$6</f>
        <v>0.15620000000000001</v>
      </c>
      <c r="BN73" s="582">
        <f>+BN65*MACRO!EL$6</f>
        <v>0.14199999999999999</v>
      </c>
      <c r="BO73" s="582">
        <f>+BO65*MACRO!EM$6</f>
        <v>0.1278</v>
      </c>
    </row>
    <row r="74" spans="2:67" s="661" customFormat="1"/>
    <row r="76" spans="2:67">
      <c r="B76" s="804" t="s">
        <v>752</v>
      </c>
      <c r="C76" s="805"/>
    </row>
    <row r="77" spans="2:67">
      <c r="B77" s="359"/>
    </row>
    <row r="78" spans="2:67" s="359" customFormat="1">
      <c r="C78" s="359" t="s">
        <v>313</v>
      </c>
      <c r="Z78" s="648">
        <f t="shared" ref="Z78:AE78" si="150">+SUM(Z79:Z85)</f>
        <v>828958</v>
      </c>
      <c r="AA78" s="648">
        <f t="shared" si="150"/>
        <v>570445</v>
      </c>
      <c r="AB78" s="648">
        <f t="shared" si="150"/>
        <v>0</v>
      </c>
      <c r="AC78" s="648">
        <f t="shared" si="150"/>
        <v>0</v>
      </c>
      <c r="AD78" s="648">
        <f t="shared" si="150"/>
        <v>0</v>
      </c>
      <c r="AE78" s="648">
        <f t="shared" si="150"/>
        <v>0</v>
      </c>
      <c r="AF78" s="648">
        <f t="shared" ref="AF78:AN78" si="151">+SUM(AF79:AF85)</f>
        <v>62245</v>
      </c>
      <c r="AG78" s="648">
        <f>+SUM(AG79:AG85)</f>
        <v>63777</v>
      </c>
      <c r="AH78" s="648">
        <f t="shared" si="151"/>
        <v>62460</v>
      </c>
      <c r="AI78" s="648">
        <f t="shared" si="151"/>
        <v>116717</v>
      </c>
      <c r="AJ78" s="657">
        <f t="shared" si="151"/>
        <v>113925.9647308651</v>
      </c>
      <c r="AK78" s="657">
        <f t="shared" si="151"/>
        <v>109141.3328409196</v>
      </c>
      <c r="AL78" s="657">
        <f t="shared" si="151"/>
        <v>103182.09537438833</v>
      </c>
      <c r="AM78" s="657">
        <f t="shared" si="151"/>
        <v>108462.43237004895</v>
      </c>
      <c r="AN78" s="657">
        <f t="shared" si="151"/>
        <v>104585.156347521</v>
      </c>
      <c r="AO78" s="657">
        <f t="shared" ref="AO78:AR78" si="152">+SUM(AO79:AO85)</f>
        <v>108074.48924383713</v>
      </c>
      <c r="AP78" s="657">
        <f t="shared" si="152"/>
        <v>120566.2579078571</v>
      </c>
      <c r="AQ78" s="657">
        <f t="shared" si="152"/>
        <v>117460.55765857264</v>
      </c>
      <c r="AR78" s="657">
        <f t="shared" si="152"/>
        <v>133055.87133228694</v>
      </c>
      <c r="AS78" s="657">
        <f t="shared" ref="AS78:AV78" si="153">+SUM(AS79:AS85)</f>
        <v>123926.27642876928</v>
      </c>
      <c r="AT78" s="657">
        <f t="shared" si="153"/>
        <v>117891.60557658573</v>
      </c>
      <c r="AU78" s="657">
        <f t="shared" si="153"/>
        <v>114695.38526451851</v>
      </c>
      <c r="AV78" s="657">
        <f t="shared" si="153"/>
        <v>116382.93786353985</v>
      </c>
      <c r="AW78" s="657">
        <f t="shared" ref="AW78:AZ78" si="154">+SUM(AW79:AW85)</f>
        <v>117551.08137458775</v>
      </c>
      <c r="AX78" s="657">
        <f t="shared" si="154"/>
        <v>117966.86759305358</v>
      </c>
      <c r="AY78" s="657">
        <f t="shared" si="154"/>
        <v>118089.20730684238</v>
      </c>
      <c r="AZ78" s="657">
        <f t="shared" si="154"/>
        <v>118861.16453547333</v>
      </c>
      <c r="BE78" s="648">
        <f t="shared" ref="BE78:BL78" si="155">+SUM(BE79:BE85)</f>
        <v>0</v>
      </c>
      <c r="BF78" s="648">
        <f t="shared" si="155"/>
        <v>62245</v>
      </c>
      <c r="BG78" s="657">
        <f t="shared" si="155"/>
        <v>113925.9647308651</v>
      </c>
      <c r="BH78" s="657">
        <f t="shared" si="155"/>
        <v>104585.156347521</v>
      </c>
      <c r="BI78" s="657">
        <f t="shared" si="155"/>
        <v>133055.87133228694</v>
      </c>
      <c r="BJ78" s="657">
        <f t="shared" si="155"/>
        <v>116382.93786353985</v>
      </c>
      <c r="BK78" s="657">
        <f t="shared" si="155"/>
        <v>118861.16453547333</v>
      </c>
      <c r="BL78" s="657">
        <f t="shared" si="155"/>
        <v>121535.5407375215</v>
      </c>
      <c r="BM78" s="657">
        <f t="shared" ref="BM78:BO78" si="156">+SUM(BM79:BM85)</f>
        <v>123966.25155227193</v>
      </c>
      <c r="BN78" s="657">
        <f t="shared" si="156"/>
        <v>126445.57658331736</v>
      </c>
      <c r="BO78" s="657">
        <f t="shared" si="156"/>
        <v>128974.48811498369</v>
      </c>
    </row>
    <row r="79" spans="2:67">
      <c r="B79" t="s">
        <v>741</v>
      </c>
      <c r="C79" t="s">
        <v>753</v>
      </c>
      <c r="Z79" s="652">
        <f>-41553+136658</f>
        <v>95105</v>
      </c>
      <c r="AA79" s="652">
        <v>0</v>
      </c>
      <c r="AB79" s="652"/>
      <c r="AC79" s="652"/>
      <c r="AD79" s="652"/>
      <c r="AE79" s="652"/>
      <c r="AF79" s="652">
        <f>60431+1814</f>
        <v>62245</v>
      </c>
      <c r="AG79" s="652">
        <f>49763+14014</f>
        <v>63777</v>
      </c>
      <c r="AH79" s="652">
        <f>51225+11235</f>
        <v>62460</v>
      </c>
      <c r="AI79" s="652">
        <v>48952</v>
      </c>
      <c r="AJ79" s="660">
        <f>+AJ97*MACRO!CM$4</f>
        <v>47781.418520912193</v>
      </c>
      <c r="AK79" s="660">
        <f>+AK97*MACRO!CN$4</f>
        <v>45774.707413904536</v>
      </c>
      <c r="AL79" s="660">
        <f>+AL97*MACRO!CO$4</f>
        <v>43275.357769365706</v>
      </c>
      <c r="AM79" s="660">
        <f>+AM97*MACRO!CP$4</f>
        <v>45489.971378450748</v>
      </c>
      <c r="AN79" s="660">
        <f>+AN97*MACRO!CQ$4</f>
        <v>43863.812242636879</v>
      </c>
      <c r="AO79" s="660">
        <f>+AO97*MACRO!CR$4</f>
        <v>45327.265072477152</v>
      </c>
      <c r="AP79" s="660">
        <f>+AP97*MACRO!CS$4</f>
        <v>50566.408124826892</v>
      </c>
      <c r="AQ79" s="660">
        <f>+AQ97*MACRO!CT$4</f>
        <v>49263.853753116062</v>
      </c>
      <c r="AR79" s="660">
        <f>+AR97*MACRO!CU$4</f>
        <v>55804.647253254552</v>
      </c>
      <c r="AS79" s="660">
        <f>+AS97*MACRO!CV$4</f>
        <v>51975.625519342633</v>
      </c>
      <c r="AT79" s="660">
        <f>+AT97*MACRO!CW$4</f>
        <v>49444.638537531158</v>
      </c>
      <c r="AU79" s="660">
        <f>+AU97*MACRO!CX$4</f>
        <v>48104.119361093159</v>
      </c>
      <c r="AV79" s="660">
        <f>+AV97*MACRO!CY$4</f>
        <v>48811.891792078299</v>
      </c>
      <c r="AW79" s="660">
        <f>+AW97*MACRO!CZ$4</f>
        <v>49301.820090036759</v>
      </c>
      <c r="AX79" s="660">
        <f>+AX97*MACRO!DA$4</f>
        <v>49476.204001260812</v>
      </c>
      <c r="AY79" s="660">
        <f>+AY97*MACRO!DB$4</f>
        <v>49527.514210308247</v>
      </c>
      <c r="AZ79" s="660">
        <f>+AZ97*MACRO!DC$4</f>
        <v>49851.278959710158</v>
      </c>
      <c r="BE79" s="649">
        <f t="shared" ref="BE79:BE85" si="157">+AB79</f>
        <v>0</v>
      </c>
      <c r="BF79" s="649">
        <f t="shared" ref="BF79:BF85" si="158">+AF79</f>
        <v>62245</v>
      </c>
      <c r="BG79" s="1176">
        <f t="shared" ref="BG79:BG85" si="159">+AJ79</f>
        <v>47781.418520912193</v>
      </c>
      <c r="BH79" s="1176">
        <f t="shared" ref="BH79:BH85" si="160">+AN79</f>
        <v>43863.812242636879</v>
      </c>
      <c r="BI79" s="660">
        <f>+BI97*MACRO!EG$4</f>
        <v>55804.647253254552</v>
      </c>
      <c r="BJ79" s="660">
        <f>+BJ97*MACRO!EH$4</f>
        <v>48811.891792078299</v>
      </c>
      <c r="BK79" s="660">
        <f>+BK97*MACRO!EI$4</f>
        <v>49851.278959710158</v>
      </c>
      <c r="BL79" s="660">
        <f>+BL97*MACRO!EJ$4</f>
        <v>50972.93273630365</v>
      </c>
      <c r="BM79" s="660">
        <f>+BM97*MACRO!EK$4</f>
        <v>51992.39139102972</v>
      </c>
      <c r="BN79" s="660">
        <f>+BN97*MACRO!EL$4</f>
        <v>53032.239218850315</v>
      </c>
      <c r="BO79" s="660">
        <f>+BO97*MACRO!EM$4</f>
        <v>54092.884003227315</v>
      </c>
    </row>
    <row r="80" spans="2:67">
      <c r="C80" t="s">
        <v>754</v>
      </c>
      <c r="Z80" s="652">
        <f>-55250+235225</f>
        <v>179975</v>
      </c>
      <c r="AA80" s="652">
        <v>242641</v>
      </c>
      <c r="AB80" s="652"/>
      <c r="AC80" s="652"/>
      <c r="AD80" s="652"/>
      <c r="AE80" s="652"/>
      <c r="AF80" s="652"/>
      <c r="AG80" s="652"/>
      <c r="AH80" s="652"/>
      <c r="AI80" s="652">
        <v>47524</v>
      </c>
      <c r="AJ80" s="660">
        <f>+AJ98*MACRO!CM$4</f>
        <v>46387.566060382233</v>
      </c>
      <c r="AK80" s="660">
        <f>+AK98*MACRO!CN$4</f>
        <v>44439.393592466069</v>
      </c>
      <c r="AL80" s="660">
        <f>+AL98*MACRO!CO$4</f>
        <v>42012.953559228139</v>
      </c>
      <c r="AM80" s="660">
        <f>+AM98*MACRO!CP$4</f>
        <v>44162.963715261751</v>
      </c>
      <c r="AN80" s="660">
        <f>+AN98*MACRO!CQ$4</f>
        <v>42584.241972117074</v>
      </c>
      <c r="AO80" s="660">
        <f>+AO98*MACRO!CR$4</f>
        <v>44005.003785430708</v>
      </c>
      <c r="AP80" s="660">
        <f>+AP98*MACRO!CS$4</f>
        <v>49091.313525990212</v>
      </c>
      <c r="AQ80" s="660">
        <f>+AQ98*MACRO!CT$4</f>
        <v>47826.756532176165</v>
      </c>
      <c r="AR80" s="660">
        <f>+AR98*MACRO!CU$4</f>
        <v>54176.745711383992</v>
      </c>
      <c r="AS80" s="660">
        <f>+AS98*MACRO!CV$4</f>
        <v>50459.422029360168</v>
      </c>
      <c r="AT80" s="660">
        <f>+AT98*MACRO!CW$4</f>
        <v>48002.267565321759</v>
      </c>
      <c r="AU80" s="660">
        <f>+AU98*MACRO!CX$4</f>
        <v>46700.853254547132</v>
      </c>
      <c r="AV80" s="660">
        <f>+AV98*MACRO!CY$4</f>
        <v>47387.978949312164</v>
      </c>
      <c r="AW80" s="660">
        <f>+AW98*MACRO!CZ$4</f>
        <v>47863.615336633986</v>
      </c>
      <c r="AX80" s="660">
        <f>+AX98*MACRO!DA$4</f>
        <v>48032.912219233513</v>
      </c>
      <c r="AY80" s="660">
        <f>+AY98*MACRO!DB$4</f>
        <v>48082.725635943149</v>
      </c>
      <c r="AZ80" s="660">
        <f>+AZ98*MACRO!DC$4</f>
        <v>48397.045703572185</v>
      </c>
      <c r="BE80" s="649">
        <f t="shared" si="157"/>
        <v>0</v>
      </c>
      <c r="BF80" s="649">
        <f t="shared" si="158"/>
        <v>0</v>
      </c>
      <c r="BG80" s="1176">
        <f t="shared" si="159"/>
        <v>46387.566060382233</v>
      </c>
      <c r="BH80" s="1176">
        <f t="shared" si="160"/>
        <v>42584.241972117074</v>
      </c>
      <c r="BI80" s="660">
        <f>+BI98*MACRO!EG$4</f>
        <v>54176.745711383992</v>
      </c>
      <c r="BJ80" s="660">
        <f>+BJ98*MACRO!EH$4</f>
        <v>47387.978949312164</v>
      </c>
      <c r="BK80" s="660">
        <f>+BK98*MACRO!EI$4</f>
        <v>48397.045703572185</v>
      </c>
      <c r="BL80" s="660">
        <f>+BL98*MACRO!EJ$4</f>
        <v>49485.979231902566</v>
      </c>
      <c r="BM80" s="660">
        <f>+BM98*MACRO!EK$4</f>
        <v>50475.698816540615</v>
      </c>
      <c r="BN80" s="660">
        <f>+BN98*MACRO!EL$4</f>
        <v>51485.212792871425</v>
      </c>
      <c r="BO80" s="660">
        <f>+BO98*MACRO!EM$4</f>
        <v>52514.917048728857</v>
      </c>
    </row>
    <row r="81" spans="2:67">
      <c r="C81" t="s">
        <v>755</v>
      </c>
      <c r="Z81" s="652">
        <f>-9595+41834</f>
        <v>32239</v>
      </c>
      <c r="AA81" s="652">
        <v>43162</v>
      </c>
      <c r="AB81" s="652"/>
      <c r="AC81" s="652"/>
      <c r="AD81" s="652"/>
      <c r="AE81" s="652"/>
      <c r="AF81" s="652"/>
      <c r="AG81" s="652"/>
      <c r="AH81" s="652"/>
      <c r="AI81" s="652">
        <v>15580</v>
      </c>
      <c r="AJ81" s="660">
        <f>+AJ99*MACRO!CM$4</f>
        <v>15207.437909703627</v>
      </c>
      <c r="AK81" s="660">
        <f>+AK99*MACRO!CN$4</f>
        <v>14568.760040624134</v>
      </c>
      <c r="AL81" s="660">
        <f>+AL99*MACRO!CO$4</f>
        <v>13773.289631612963</v>
      </c>
      <c r="AM81" s="660">
        <f>+AM99*MACRO!CP$4</f>
        <v>14478.136829470963</v>
      </c>
      <c r="AN81" s="660">
        <f>+AN99*MACRO!CQ$4</f>
        <v>13960.577601329516</v>
      </c>
      <c r="AO81" s="660">
        <f>+AO99*MACRO!CR$4</f>
        <v>14426.352137383437</v>
      </c>
      <c r="AP81" s="660">
        <f>+AP99*MACRO!CS$4</f>
        <v>16093.819222601793</v>
      </c>
      <c r="AQ81" s="660">
        <f>+AQ99*MACRO!CT$4</f>
        <v>15679.25399316776</v>
      </c>
      <c r="AR81" s="660">
        <f>+AR99*MACRO!CU$4</f>
        <v>17760.99861508633</v>
      </c>
      <c r="AS81" s="660">
        <f>+AS99*MACRO!CV$4</f>
        <v>16542.332194626535</v>
      </c>
      <c r="AT81" s="660">
        <f>+AT99*MACRO!CW$4</f>
        <v>15736.792539931677</v>
      </c>
      <c r="AU81" s="660">
        <f>+AU99*MACRO!CX$4</f>
        <v>15310.144215677223</v>
      </c>
      <c r="AV81" s="660">
        <f>+AV99*MACRO!CY$4</f>
        <v>15535.407626257966</v>
      </c>
      <c r="AW81" s="660">
        <f>+AW99*MACRO!CZ$4</f>
        <v>15691.337575640886</v>
      </c>
      <c r="AX81" s="660">
        <f>+AX99*MACRO!DA$4</f>
        <v>15746.838910353887</v>
      </c>
      <c r="AY81" s="660">
        <f>+AY99*MACRO!DB$4</f>
        <v>15763.16945980966</v>
      </c>
      <c r="AZ81" s="660">
        <f>+AZ99*MACRO!DC$4</f>
        <v>15866.214377191622</v>
      </c>
      <c r="BE81" s="649">
        <f t="shared" si="157"/>
        <v>0</v>
      </c>
      <c r="BF81" s="649">
        <f t="shared" si="158"/>
        <v>0</v>
      </c>
      <c r="BG81" s="1176">
        <f t="shared" si="159"/>
        <v>15207.437909703627</v>
      </c>
      <c r="BH81" s="1176">
        <f t="shared" si="160"/>
        <v>13960.577601329516</v>
      </c>
      <c r="BI81" s="660">
        <f>+BI99*MACRO!EG$4</f>
        <v>17760.99861508633</v>
      </c>
      <c r="BJ81" s="660">
        <f>+BJ99*MACRO!EH$4</f>
        <v>15535.407626257966</v>
      </c>
      <c r="BK81" s="660">
        <f>+BK99*MACRO!EI$4</f>
        <v>15866.214377191622</v>
      </c>
      <c r="BL81" s="660">
        <f>+BL99*MACRO!EJ$4</f>
        <v>16223.204200678436</v>
      </c>
      <c r="BM81" s="660">
        <f>+BM99*MACRO!EK$4</f>
        <v>16547.668284692005</v>
      </c>
      <c r="BN81" s="660">
        <f>+BN99*MACRO!EL$4</f>
        <v>16878.621650385845</v>
      </c>
      <c r="BO81" s="660">
        <f>+BO99*MACRO!EM$4</f>
        <v>17216.194083393559</v>
      </c>
    </row>
    <row r="82" spans="2:67">
      <c r="C82" t="s">
        <v>756</v>
      </c>
      <c r="Z82" s="652">
        <f>-18905+58451</f>
        <v>39546</v>
      </c>
      <c r="AA82" s="652">
        <v>60125</v>
      </c>
      <c r="AB82" s="652"/>
      <c r="AC82" s="652"/>
      <c r="AD82" s="652"/>
      <c r="AE82" s="652"/>
      <c r="AF82" s="652"/>
      <c r="AG82" s="652"/>
      <c r="AH82" s="652"/>
      <c r="AI82" s="652">
        <v>4661</v>
      </c>
      <c r="AJ82" s="660">
        <f>+AJ100*MACRO!CM$4</f>
        <v>4549.542239867048</v>
      </c>
      <c r="AK82" s="660">
        <f>+AK100*MACRO!CN$4</f>
        <v>4358.4717939248458</v>
      </c>
      <c r="AL82" s="660">
        <f>+AL100*MACRO!CO$4</f>
        <v>4120.4944141815158</v>
      </c>
      <c r="AM82" s="660">
        <f>+AM100*MACRO!CP$4</f>
        <v>4331.3604468654785</v>
      </c>
      <c r="AN82" s="660">
        <f>+AN100*MACRO!CQ$4</f>
        <v>4176.5245314375406</v>
      </c>
      <c r="AO82" s="660">
        <f>+AO100*MACRO!CR$4</f>
        <v>4315.8682485458412</v>
      </c>
      <c r="AP82" s="660">
        <f>+AP100*MACRO!CS$4</f>
        <v>4814.7170344381866</v>
      </c>
      <c r="AQ82" s="660">
        <f>+AQ100*MACRO!CT$4</f>
        <v>4690.6933801126397</v>
      </c>
      <c r="AR82" s="660">
        <f>+AR100*MACRO!CU$4</f>
        <v>5313.4797525620907</v>
      </c>
      <c r="AS82" s="660">
        <f>+AS100*MACRO!CV$4</f>
        <v>4948.8966854399414</v>
      </c>
      <c r="AT82" s="660">
        <f>+AT100*MACRO!CW$4</f>
        <v>4707.9069338011268</v>
      </c>
      <c r="AU82" s="660">
        <f>+AU100*MACRO!CX$4</f>
        <v>4580.2684332009976</v>
      </c>
      <c r="AV82" s="660">
        <f>+AV100*MACRO!CY$4</f>
        <v>4647.6594958914229</v>
      </c>
      <c r="AW82" s="660">
        <f>+AW100*MACRO!CZ$4</f>
        <v>4694.3083722761339</v>
      </c>
      <c r="AX82" s="660">
        <f>+AX100*MACRO!DA$4</f>
        <v>4710.9124622053569</v>
      </c>
      <c r="AY82" s="660">
        <f>+AY100*MACRO!DB$4</f>
        <v>4715.7980007813112</v>
      </c>
      <c r="AZ82" s="660">
        <f>+AZ100*MACRO!DC$4</f>
        <v>4746.6254949993672</v>
      </c>
      <c r="BE82" s="649">
        <f t="shared" si="157"/>
        <v>0</v>
      </c>
      <c r="BF82" s="649">
        <f t="shared" si="158"/>
        <v>0</v>
      </c>
      <c r="BG82" s="1176">
        <f t="shared" si="159"/>
        <v>4549.542239867048</v>
      </c>
      <c r="BH82" s="1176">
        <f t="shared" si="160"/>
        <v>4176.5245314375406</v>
      </c>
      <c r="BI82" s="660">
        <f>+BI100*MACRO!EG$4</f>
        <v>5313.4797525620907</v>
      </c>
      <c r="BJ82" s="660">
        <f>+BJ100*MACRO!EH$4</f>
        <v>4647.6594958914229</v>
      </c>
      <c r="BK82" s="660">
        <f>+BK100*MACRO!EI$4</f>
        <v>4746.6254949993672</v>
      </c>
      <c r="BL82" s="660">
        <f>+BL100*MACRO!EJ$4</f>
        <v>4853.424568636854</v>
      </c>
      <c r="BM82" s="660">
        <f>+BM100*MACRO!EK$4</f>
        <v>4950.4930600095913</v>
      </c>
      <c r="BN82" s="660">
        <f>+BN100*MACRO!EL$4</f>
        <v>5049.5029212097834</v>
      </c>
      <c r="BO82" s="660">
        <f>+BO100*MACRO!EM$4</f>
        <v>5150.4929796339784</v>
      </c>
    </row>
    <row r="83" spans="2:67">
      <c r="C83" t="s">
        <v>757</v>
      </c>
      <c r="Z83" s="652">
        <f>-56747+226659</f>
        <v>169912</v>
      </c>
      <c r="AA83" s="652">
        <v>224517</v>
      </c>
      <c r="AB83" s="652"/>
      <c r="AC83" s="652"/>
      <c r="AD83" s="652"/>
      <c r="AE83" s="652"/>
      <c r="AF83" s="652"/>
      <c r="AG83" s="652"/>
      <c r="AH83" s="652"/>
      <c r="AI83" s="652"/>
      <c r="AJ83" s="660"/>
      <c r="AK83" s="660"/>
      <c r="AL83" s="660"/>
      <c r="AM83" s="660"/>
      <c r="AN83" s="660"/>
      <c r="AO83" s="660"/>
      <c r="AP83" s="660"/>
      <c r="AQ83" s="660"/>
      <c r="AR83" s="660"/>
      <c r="AS83" s="660"/>
      <c r="AT83" s="660"/>
      <c r="AU83" s="660"/>
      <c r="AV83" s="660"/>
      <c r="AW83" s="660"/>
      <c r="AX83" s="660"/>
      <c r="AY83" s="660"/>
      <c r="AZ83" s="660"/>
      <c r="BE83" s="649">
        <f t="shared" si="157"/>
        <v>0</v>
      </c>
      <c r="BF83" s="649">
        <f t="shared" si="158"/>
        <v>0</v>
      </c>
      <c r="BG83" s="1176">
        <f t="shared" si="159"/>
        <v>0</v>
      </c>
      <c r="BH83" s="1176">
        <f t="shared" si="160"/>
        <v>0</v>
      </c>
      <c r="BI83" s="660">
        <f>+BI101*MACRO!EG$4</f>
        <v>0</v>
      </c>
      <c r="BJ83" s="660">
        <f>+BJ101*MACRO!EH$4</f>
        <v>0</v>
      </c>
      <c r="BK83" s="660">
        <f>+BK101*MACRO!EI$4</f>
        <v>0</v>
      </c>
      <c r="BL83" s="660">
        <f>+BL101*MACRO!EJ$4</f>
        <v>0</v>
      </c>
      <c r="BM83" s="660">
        <f>+BM101*MACRO!EK$4</f>
        <v>0</v>
      </c>
      <c r="BN83" s="660">
        <f>+BN101*MACRO!EL$4</f>
        <v>0</v>
      </c>
      <c r="BO83" s="660">
        <f>+BO101*MACRO!EM$4</f>
        <v>0</v>
      </c>
    </row>
    <row r="84" spans="2:67">
      <c r="C84" t="s">
        <v>758</v>
      </c>
      <c r="Z84" s="652">
        <f>-19122+162981</f>
        <v>143859</v>
      </c>
      <c r="AA84" s="652"/>
      <c r="AB84" s="652"/>
      <c r="AC84" s="652"/>
      <c r="AD84" s="652"/>
      <c r="AE84" s="652"/>
      <c r="AF84" s="652"/>
      <c r="AG84" s="652"/>
      <c r="AH84" s="652"/>
      <c r="AI84" s="652"/>
      <c r="AJ84" s="660"/>
      <c r="AK84" s="660"/>
      <c r="AL84" s="660"/>
      <c r="AM84" s="660"/>
      <c r="AN84" s="660"/>
      <c r="AO84" s="660"/>
      <c r="AP84" s="660"/>
      <c r="AQ84" s="660"/>
      <c r="AR84" s="660"/>
      <c r="AS84" s="660"/>
      <c r="AT84" s="660"/>
      <c r="AU84" s="660"/>
      <c r="AV84" s="660"/>
      <c r="AW84" s="660"/>
      <c r="AX84" s="660"/>
      <c r="AY84" s="660"/>
      <c r="AZ84" s="660"/>
      <c r="BE84" s="649">
        <f>+AB84</f>
        <v>0</v>
      </c>
      <c r="BF84" s="649">
        <f t="shared" si="158"/>
        <v>0</v>
      </c>
      <c r="BG84" s="1176">
        <f t="shared" si="159"/>
        <v>0</v>
      </c>
      <c r="BH84" s="1176">
        <f t="shared" si="160"/>
        <v>0</v>
      </c>
      <c r="BI84" s="660">
        <f>+BI102*MACRO!EG$4</f>
        <v>0</v>
      </c>
      <c r="BJ84" s="660">
        <f>+BJ102*MACRO!EH$4</f>
        <v>0</v>
      </c>
      <c r="BK84" s="660">
        <f>+BK102*MACRO!EI$4</f>
        <v>0</v>
      </c>
      <c r="BL84" s="660">
        <f>+BL102*MACRO!EJ$4</f>
        <v>0</v>
      </c>
      <c r="BM84" s="660">
        <f>+BM102*MACRO!EK$4</f>
        <v>0</v>
      </c>
      <c r="BN84" s="660">
        <f>+BN102*MACRO!EL$4</f>
        <v>0</v>
      </c>
      <c r="BO84" s="660">
        <f>+BO102*MACRO!EM$4</f>
        <v>0</v>
      </c>
    </row>
    <row r="85" spans="2:67">
      <c r="C85" t="s">
        <v>759</v>
      </c>
      <c r="Z85" s="652">
        <f>-49334+217656</f>
        <v>168322</v>
      </c>
      <c r="AA85" s="652"/>
      <c r="AB85" s="652"/>
      <c r="AC85" s="652"/>
      <c r="AD85" s="652"/>
      <c r="AE85" s="652"/>
      <c r="AF85" s="652"/>
      <c r="AG85" s="652"/>
      <c r="AH85" s="652"/>
      <c r="AI85" s="652"/>
      <c r="AJ85" s="660"/>
      <c r="AK85" s="660"/>
      <c r="AL85" s="660"/>
      <c r="AM85" s="660"/>
      <c r="AN85" s="660"/>
      <c r="AO85" s="660"/>
      <c r="AP85" s="660"/>
      <c r="AQ85" s="660"/>
      <c r="AR85" s="660"/>
      <c r="AS85" s="660"/>
      <c r="AT85" s="660"/>
      <c r="AU85" s="660"/>
      <c r="AV85" s="660"/>
      <c r="AW85" s="660"/>
      <c r="AX85" s="660"/>
      <c r="AY85" s="660"/>
      <c r="AZ85" s="660"/>
      <c r="BE85" s="649">
        <f t="shared" si="157"/>
        <v>0</v>
      </c>
      <c r="BF85" s="649">
        <f t="shared" si="158"/>
        <v>0</v>
      </c>
      <c r="BG85" s="1176">
        <f t="shared" si="159"/>
        <v>0</v>
      </c>
      <c r="BH85" s="1176">
        <f t="shared" si="160"/>
        <v>0</v>
      </c>
      <c r="BI85" s="660">
        <f>+BI103*MACRO!EG$4</f>
        <v>0</v>
      </c>
      <c r="BJ85" s="660">
        <f>+BJ103*MACRO!EH$4</f>
        <v>0</v>
      </c>
      <c r="BK85" s="660">
        <f>+BK103*MACRO!EI$4</f>
        <v>0</v>
      </c>
      <c r="BL85" s="660">
        <f>+BL103*MACRO!EJ$4</f>
        <v>0</v>
      </c>
      <c r="BM85" s="660">
        <f>+BM103*MACRO!EK$4</f>
        <v>0</v>
      </c>
      <c r="BN85" s="660">
        <f>+BN103*MACRO!EL$4</f>
        <v>0</v>
      </c>
      <c r="BO85" s="660">
        <f>+BO103*MACRO!EM$4</f>
        <v>0</v>
      </c>
    </row>
    <row r="86" spans="2:67">
      <c r="Z86" s="652"/>
      <c r="AA86" s="652"/>
      <c r="AB86" s="652"/>
      <c r="AC86" s="652"/>
      <c r="AD86" s="652"/>
      <c r="AE86" s="652"/>
      <c r="AF86" s="652"/>
      <c r="AG86" s="652"/>
      <c r="AH86" s="652"/>
      <c r="AI86" s="652"/>
      <c r="AJ86" s="655"/>
      <c r="AK86" s="655"/>
      <c r="AL86" s="655"/>
      <c r="AM86" s="655"/>
      <c r="AN86" s="655"/>
      <c r="AO86" s="655"/>
      <c r="AP86" s="655"/>
      <c r="AQ86" s="655"/>
      <c r="AR86" s="655"/>
      <c r="AS86" s="655"/>
      <c r="AT86" s="655"/>
      <c r="AU86" s="655"/>
      <c r="AV86" s="655"/>
      <c r="AW86" s="655"/>
      <c r="AX86" s="655"/>
      <c r="AY86" s="655"/>
      <c r="AZ86" s="655"/>
      <c r="BE86" s="649"/>
      <c r="BF86" s="649"/>
      <c r="BG86" s="659"/>
      <c r="BH86" s="659"/>
      <c r="BI86" s="659"/>
      <c r="BJ86" s="659"/>
      <c r="BK86" s="659"/>
      <c r="BL86" s="659"/>
      <c r="BM86" s="659"/>
      <c r="BN86" s="659"/>
      <c r="BO86" s="659"/>
    </row>
    <row r="87" spans="2:67" s="359" customFormat="1">
      <c r="C87" s="359" t="s">
        <v>313</v>
      </c>
      <c r="Z87" s="648">
        <f t="shared" ref="Z87:AH87" si="161">+SUM(Z88:Z94)</f>
        <v>4387.4050499999994</v>
      </c>
      <c r="AA87" s="648">
        <f t="shared" si="161"/>
        <v>2798.8217500000001</v>
      </c>
      <c r="AB87" s="648">
        <f t="shared" si="161"/>
        <v>0</v>
      </c>
      <c r="AC87" s="648">
        <f t="shared" si="161"/>
        <v>0</v>
      </c>
      <c r="AD87" s="648">
        <f t="shared" si="161"/>
        <v>0</v>
      </c>
      <c r="AE87" s="648">
        <f t="shared" si="161"/>
        <v>0</v>
      </c>
      <c r="AF87" s="648">
        <f t="shared" si="161"/>
        <v>163.39312500000003</v>
      </c>
      <c r="AG87" s="648">
        <f t="shared" si="161"/>
        <v>167.414625</v>
      </c>
      <c r="AH87" s="648">
        <f t="shared" si="161"/>
        <v>163.95750000000001</v>
      </c>
      <c r="AI87" s="648">
        <f t="shared" ref="AI87:AN87" si="162">+SUM(AI88:AI94)</f>
        <v>1183.7443275111332</v>
      </c>
      <c r="AJ87" s="657">
        <f t="shared" si="162"/>
        <v>1160.6177414381273</v>
      </c>
      <c r="AK87" s="657">
        <f t="shared" si="162"/>
        <v>1111.8744310712593</v>
      </c>
      <c r="AL87" s="657">
        <f t="shared" si="162"/>
        <v>1051.1648575737863</v>
      </c>
      <c r="AM87" s="657">
        <f t="shared" si="162"/>
        <v>1092.1256031683315</v>
      </c>
      <c r="AN87" s="657">
        <f t="shared" si="162"/>
        <v>1020.2509118237657</v>
      </c>
      <c r="AO87" s="657">
        <f t="shared" ref="AO87:AR87" si="163">+SUM(AO88:AO94)</f>
        <v>1021.7906203112022</v>
      </c>
      <c r="AP87" s="657">
        <f t="shared" si="163"/>
        <v>1111.9851959807409</v>
      </c>
      <c r="AQ87" s="657">
        <f t="shared" si="163"/>
        <v>1080.7964758713113</v>
      </c>
      <c r="AR87" s="657">
        <f t="shared" si="163"/>
        <v>1254.6992729534279</v>
      </c>
      <c r="AS87" s="657">
        <f t="shared" ref="AS87:AV87" si="164">+SUM(AS88:AS94)</f>
        <v>1256.2344063059263</v>
      </c>
      <c r="AT87" s="657">
        <f t="shared" si="164"/>
        <v>1236.6189051035931</v>
      </c>
      <c r="AU87" s="657">
        <f t="shared" si="164"/>
        <v>1211.7159232281736</v>
      </c>
      <c r="AV87" s="657">
        <f t="shared" si="164"/>
        <v>1229.5443158073808</v>
      </c>
      <c r="AW87" s="657">
        <f t="shared" ref="AW87:AZ87" si="165">+SUM(AW88:AW94)</f>
        <v>1224.1941925869476</v>
      </c>
      <c r="AX87" s="657">
        <f t="shared" si="165"/>
        <v>1192.8416437511869</v>
      </c>
      <c r="AY87" s="657">
        <f t="shared" si="165"/>
        <v>1167.1337810566345</v>
      </c>
      <c r="AZ87" s="657">
        <f t="shared" si="165"/>
        <v>1156.6074464601543</v>
      </c>
      <c r="BE87" s="648">
        <f t="shared" ref="BE87:BL87" si="166">+SUM(BE88:BE94)</f>
        <v>7186.2268000000004</v>
      </c>
      <c r="BF87" s="648">
        <f t="shared" si="166"/>
        <v>163.39312500000003</v>
      </c>
      <c r="BG87" s="648">
        <f t="shared" si="166"/>
        <v>2675.7341939492603</v>
      </c>
      <c r="BH87" s="648">
        <f t="shared" si="166"/>
        <v>4275.4158036371427</v>
      </c>
      <c r="BI87" s="657">
        <f t="shared" si="166"/>
        <v>4270.4699032207855</v>
      </c>
      <c r="BJ87" s="657">
        <f t="shared" si="166"/>
        <v>3338.8576419536525</v>
      </c>
      <c r="BK87" s="657">
        <f t="shared" si="166"/>
        <v>3470.1425309008823</v>
      </c>
      <c r="BL87" s="657">
        <f t="shared" si="166"/>
        <v>3614.6341606652595</v>
      </c>
      <c r="BM87" s="657">
        <f t="shared" ref="BM87:BO87" si="167">+SUM(BM88:BM94)</f>
        <v>3748.4965143933964</v>
      </c>
      <c r="BN87" s="657">
        <f t="shared" si="167"/>
        <v>3887.5235298848975</v>
      </c>
      <c r="BO87" s="657">
        <f t="shared" si="167"/>
        <v>4031.9189919284527</v>
      </c>
    </row>
    <row r="88" spans="2:67">
      <c r="B88" t="s">
        <v>760</v>
      </c>
      <c r="C88" t="s">
        <v>753</v>
      </c>
      <c r="Z88" s="649">
        <f>+Z106*MACRO!CC$4</f>
        <v>651.4692500000001</v>
      </c>
      <c r="AA88" s="649">
        <f>+AA106*MACRO!CD$4</f>
        <v>0</v>
      </c>
      <c r="AB88" s="649">
        <f>+AB106*MACRO!CE$4</f>
        <v>0</v>
      </c>
      <c r="AC88" s="649">
        <f>+AC106*MACRO!CF$4</f>
        <v>0</v>
      </c>
      <c r="AD88" s="649">
        <f>+AD106*MACRO!CG$4</f>
        <v>0</v>
      </c>
      <c r="AE88" s="649">
        <f>+AE106*MACRO!CH$4</f>
        <v>0</v>
      </c>
      <c r="AF88" s="649">
        <f>+AF106*MACRO!CI$4</f>
        <v>163.39312500000003</v>
      </c>
      <c r="AG88" s="649">
        <f>+AG106*MACRO!CJ$4</f>
        <v>167.414625</v>
      </c>
      <c r="AH88" s="649">
        <f>+AH106*MACRO!CK$4</f>
        <v>163.95750000000001</v>
      </c>
      <c r="AI88" s="649">
        <f>+AI106*MACRO!CL$4</f>
        <v>128.499</v>
      </c>
      <c r="AJ88" s="660">
        <f>+AJ106*MACRO!CM$4</f>
        <v>125.42622361739451</v>
      </c>
      <c r="AK88" s="660">
        <f>+AK106*MACRO!CN$4</f>
        <v>120.15860696149942</v>
      </c>
      <c r="AL88" s="660">
        <f>+AL106*MACRO!CO$4</f>
        <v>113.59781414458499</v>
      </c>
      <c r="AM88" s="660">
        <f>+AM106*MACRO!CP$4</f>
        <v>119.41117486843321</v>
      </c>
      <c r="AN88" s="660">
        <f>+AN106*MACRO!CQ$4</f>
        <v>115.14250713692181</v>
      </c>
      <c r="AO88" s="660">
        <f>+AO106*MACRO!CR$4</f>
        <v>118.98407081525252</v>
      </c>
      <c r="AP88" s="660">
        <f>+AP106*MACRO!CS$4</f>
        <v>132.73682132767058</v>
      </c>
      <c r="AQ88" s="660">
        <f>+AQ106*MACRO!CT$4</f>
        <v>129.31761610192967</v>
      </c>
      <c r="AR88" s="660">
        <f>+AR106*MACRO!CU$4</f>
        <v>146.48719903979321</v>
      </c>
      <c r="AS88" s="660">
        <f>+AS106*MACRO!CV$4</f>
        <v>136.43601698827442</v>
      </c>
      <c r="AT88" s="660">
        <f>+AT106*MACRO!CW$4</f>
        <v>129.79217616101931</v>
      </c>
      <c r="AU88" s="660">
        <f>+AU106*MACRO!CX$4</f>
        <v>126.27331332286954</v>
      </c>
      <c r="AV88" s="660">
        <f>+AV106*MACRO!CY$4</f>
        <v>128.13121595420554</v>
      </c>
      <c r="AW88" s="660">
        <f>+AW106*MACRO!CZ$4</f>
        <v>129.41727773634648</v>
      </c>
      <c r="AX88" s="660">
        <f>+AX106*MACRO!DA$4</f>
        <v>129.87503550330962</v>
      </c>
      <c r="AY88" s="660">
        <f>+AY106*MACRO!DB$4</f>
        <v>130.00972480205914</v>
      </c>
      <c r="AZ88" s="660">
        <f>+AZ106*MACRO!DC$4</f>
        <v>130.85960726923918</v>
      </c>
      <c r="BE88" s="649">
        <f>+SUM(Y88:AB88)</f>
        <v>651.4692500000001</v>
      </c>
      <c r="BF88" s="649">
        <f>+SUM(AC88:AF88)</f>
        <v>163.39312500000003</v>
      </c>
      <c r="BG88" s="649">
        <f t="shared" ref="BG88:BG94" si="168">+SUM(AG88:AJ88)</f>
        <v>585.2973486173945</v>
      </c>
      <c r="BH88" s="649">
        <f t="shared" ref="BH88:BH94" si="169">+SUM(AK88:AN88)</f>
        <v>468.31010311143939</v>
      </c>
      <c r="BI88" s="660">
        <f>+BI106*MACRO!EG$4</f>
        <v>3617.4134879682697</v>
      </c>
      <c r="BJ88" s="660">
        <f>+BJ106*MACRO!EH$4</f>
        <v>2767.6342646108401</v>
      </c>
      <c r="BK88" s="660">
        <f>+BK106*MACRO!EI$4</f>
        <v>2886.7556780920813</v>
      </c>
      <c r="BL88" s="660">
        <f>+BL106*MACRO!EJ$4</f>
        <v>3018.1211036682603</v>
      </c>
      <c r="BM88" s="660">
        <f>+BM106*MACRO!EK$4</f>
        <v>3140.0531962564573</v>
      </c>
      <c r="BN88" s="660">
        <f>+BN106*MACRO!EL$4</f>
        <v>3266.9113453852192</v>
      </c>
      <c r="BO88" s="660">
        <f>+BO106*MACRO!EM$4</f>
        <v>3398.894563738781</v>
      </c>
    </row>
    <row r="89" spans="2:67">
      <c r="C89" t="s">
        <v>754</v>
      </c>
      <c r="Z89" s="649">
        <f>+Z107*MACRO!CC$4</f>
        <v>1129.3431249999999</v>
      </c>
      <c r="AA89" s="649">
        <f>+AA107*MACRO!CD$4</f>
        <v>1522.5722750000002</v>
      </c>
      <c r="AB89" s="649">
        <f>+AB107*MACRO!CE$4</f>
        <v>0</v>
      </c>
      <c r="AC89" s="649">
        <f>+AC107*MACRO!CF$4</f>
        <v>0</v>
      </c>
      <c r="AD89" s="649">
        <f>+AD107*MACRO!CG$4</f>
        <v>0</v>
      </c>
      <c r="AE89" s="649">
        <f>+AE107*MACRO!CH$4</f>
        <v>0</v>
      </c>
      <c r="AF89" s="649">
        <f>+AF107*MACRO!CI$4</f>
        <v>0</v>
      </c>
      <c r="AG89" s="649">
        <f>+AG107*MACRO!CJ$4</f>
        <v>0</v>
      </c>
      <c r="AH89" s="649">
        <f>+AH107*MACRO!CK$4</f>
        <v>0</v>
      </c>
      <c r="AI89" s="649">
        <f>+AI107*MACRO!CL$4</f>
        <v>326.72749999999996</v>
      </c>
      <c r="AJ89" s="660">
        <f>+AJ107*MACRO!CM$4</f>
        <v>318.91451666512785</v>
      </c>
      <c r="AK89" s="660">
        <f>+AK107*MACRO!CN$4</f>
        <v>305.52083094820421</v>
      </c>
      <c r="AL89" s="660">
        <f>+AL107*MACRO!CO$4</f>
        <v>288.83905571969348</v>
      </c>
      <c r="AM89" s="660">
        <f>+AM107*MACRO!CP$4</f>
        <v>303.62037554242448</v>
      </c>
      <c r="AN89" s="660">
        <f>+AN107*MACRO!CQ$4</f>
        <v>292.76666355830486</v>
      </c>
      <c r="AO89" s="660">
        <f>+AO107*MACRO!CR$4</f>
        <v>302.53440102483614</v>
      </c>
      <c r="AP89" s="660">
        <f>+AP107*MACRO!CS$4</f>
        <v>337.5027804911827</v>
      </c>
      <c r="AQ89" s="660">
        <f>+AQ107*MACRO!CT$4</f>
        <v>328.80895115871112</v>
      </c>
      <c r="AR89" s="660">
        <f>+AR107*MACRO!CU$4</f>
        <v>372.46512676576498</v>
      </c>
      <c r="AS89" s="660">
        <f>+AS107*MACRO!CV$4</f>
        <v>346.90852645185117</v>
      </c>
      <c r="AT89" s="660">
        <f>+AT107*MACRO!CW$4</f>
        <v>330.01558951158711</v>
      </c>
      <c r="AU89" s="660">
        <f>+AU107*MACRO!CX$4</f>
        <v>321.06836612501155</v>
      </c>
      <c r="AV89" s="660">
        <f>+AV107*MACRO!CY$4</f>
        <v>325.79235527652111</v>
      </c>
      <c r="AW89" s="660">
        <f>+AW107*MACRO!CZ$4</f>
        <v>329.06235543935861</v>
      </c>
      <c r="AX89" s="660">
        <f>+AX107*MACRO!DA$4</f>
        <v>330.22627150723036</v>
      </c>
      <c r="AY89" s="660">
        <f>+AY107*MACRO!DB$4</f>
        <v>330.56873874710914</v>
      </c>
      <c r="AZ89" s="660">
        <f>+AZ107*MACRO!DC$4</f>
        <v>332.72968921205876</v>
      </c>
      <c r="BE89" s="649">
        <f t="shared" ref="BE89:BE94" si="170">+SUM(Y89:AB89)</f>
        <v>2651.9153999999999</v>
      </c>
      <c r="BF89" s="649">
        <f t="shared" ref="BF89:BF94" si="171">+SUM(AC89:AF89)</f>
        <v>0</v>
      </c>
      <c r="BG89" s="649">
        <f t="shared" si="168"/>
        <v>645.64201666512781</v>
      </c>
      <c r="BH89" s="649">
        <f t="shared" si="169"/>
        <v>1190.7469257686269</v>
      </c>
      <c r="BI89" s="660">
        <f>+BI107*MACRO!EG$4</f>
        <v>0</v>
      </c>
      <c r="BJ89" s="660">
        <f>+BJ107*MACRO!EH$4</f>
        <v>0</v>
      </c>
      <c r="BK89" s="660">
        <f>+BK107*MACRO!EI$4</f>
        <v>0</v>
      </c>
      <c r="BL89" s="660">
        <f>+BL107*MACRO!EJ$4</f>
        <v>0</v>
      </c>
      <c r="BM89" s="660">
        <f>+BM107*MACRO!EK$4</f>
        <v>0</v>
      </c>
      <c r="BN89" s="660">
        <f>+BN107*MACRO!EL$4</f>
        <v>0</v>
      </c>
      <c r="BO89" s="660">
        <f>+BO107*MACRO!EM$4</f>
        <v>0</v>
      </c>
    </row>
    <row r="90" spans="2:67">
      <c r="C90" t="s">
        <v>755</v>
      </c>
      <c r="Z90" s="649">
        <f>+Z108*MACRO!CC$4</f>
        <v>198.26985000000002</v>
      </c>
      <c r="AA90" s="649">
        <f>+AA108*MACRO!CD$4</f>
        <v>265.44630000000001</v>
      </c>
      <c r="AB90" s="649">
        <f>+AB108*MACRO!CE$4</f>
        <v>0</v>
      </c>
      <c r="AC90" s="649">
        <f>+AC108*MACRO!CF$4</f>
        <v>0</v>
      </c>
      <c r="AD90" s="649">
        <f>+AD108*MACRO!CG$4</f>
        <v>0</v>
      </c>
      <c r="AE90" s="649">
        <f>+AE108*MACRO!CH$4</f>
        <v>0</v>
      </c>
      <c r="AF90" s="649">
        <f>+AF108*MACRO!CI$4</f>
        <v>0</v>
      </c>
      <c r="AG90" s="649">
        <f>+AG108*MACRO!CJ$4</f>
        <v>0</v>
      </c>
      <c r="AH90" s="649">
        <f>+AH108*MACRO!CK$4</f>
        <v>0</v>
      </c>
      <c r="AI90" s="649">
        <f>+AI117*AI81</f>
        <v>563.0905935330743</v>
      </c>
      <c r="AJ90" s="649">
        <f t="shared" ref="AJ90:AN90" si="172">+AJ117*AJ81</f>
        <v>554.80560261289986</v>
      </c>
      <c r="AK90" s="649">
        <f t="shared" si="172"/>
        <v>531.5050267937429</v>
      </c>
      <c r="AL90" s="649">
        <f t="shared" si="172"/>
        <v>502.48426456853161</v>
      </c>
      <c r="AM90" s="649">
        <f t="shared" si="172"/>
        <v>515.36631663069306</v>
      </c>
      <c r="AN90" s="649">
        <f t="shared" si="172"/>
        <v>464.10940882276338</v>
      </c>
      <c r="AO90" s="649">
        <f t="shared" ref="AO90:AR90" si="173">+AO117*AO81</f>
        <v>447.09425819635112</v>
      </c>
      <c r="AP90" s="649">
        <f t="shared" si="173"/>
        <v>470.86266745213618</v>
      </c>
      <c r="AQ90" s="649">
        <f t="shared" si="173"/>
        <v>456.18880341624322</v>
      </c>
      <c r="AR90" s="649">
        <f t="shared" si="173"/>
        <v>547.16203870230709</v>
      </c>
      <c r="AS90" s="649">
        <f t="shared" ref="AS90:AV90" si="174">+AS117*AS81</f>
        <v>597.24466013773531</v>
      </c>
      <c r="AT90" s="649">
        <f t="shared" si="174"/>
        <v>609.71909440098341</v>
      </c>
      <c r="AU90" s="649">
        <f t="shared" si="174"/>
        <v>601.81231763108451</v>
      </c>
      <c r="AV90" s="649">
        <f t="shared" si="174"/>
        <v>610.66698897116657</v>
      </c>
      <c r="AW90" s="649">
        <f t="shared" ref="AW90:AZ90" si="175">+AW117*AW81</f>
        <v>599.10515167348581</v>
      </c>
      <c r="AX90" s="649">
        <f t="shared" si="175"/>
        <v>565.5416201271737</v>
      </c>
      <c r="AY90" s="649">
        <f t="shared" si="175"/>
        <v>539.18320438399212</v>
      </c>
      <c r="AZ90" s="649">
        <f t="shared" si="175"/>
        <v>524.55191389915672</v>
      </c>
      <c r="BE90" s="649">
        <f t="shared" si="170"/>
        <v>463.71615000000003</v>
      </c>
      <c r="BF90" s="649">
        <f t="shared" si="171"/>
        <v>0</v>
      </c>
      <c r="BG90" s="649">
        <f t="shared" si="168"/>
        <v>1117.896196145974</v>
      </c>
      <c r="BH90" s="649">
        <f t="shared" si="169"/>
        <v>2013.4650168157309</v>
      </c>
      <c r="BI90" s="660">
        <f>+BI108*MACRO!EG$4</f>
        <v>456.45766440771865</v>
      </c>
      <c r="BJ90" s="660">
        <f>+BJ108*MACRO!EH$4</f>
        <v>399.25997599482974</v>
      </c>
      <c r="BK90" s="660">
        <f>+BK108*MACRO!EI$4</f>
        <v>407.7617094938247</v>
      </c>
      <c r="BL90" s="660">
        <f>+BL108*MACRO!EJ$4</f>
        <v>416.93634795743583</v>
      </c>
      <c r="BM90" s="660">
        <f>+BM108*MACRO!EK$4</f>
        <v>425.27507491658451</v>
      </c>
      <c r="BN90" s="660">
        <f>+BN108*MACRO!EL$4</f>
        <v>433.78057641491625</v>
      </c>
      <c r="BO90" s="660">
        <f>+BO108*MACRO!EM$4</f>
        <v>442.45618794321456</v>
      </c>
    </row>
    <row r="91" spans="2:67">
      <c r="C91" t="s">
        <v>756</v>
      </c>
      <c r="Z91" s="649">
        <f>+Z109*MACRO!CC$4</f>
        <v>365.8005</v>
      </c>
      <c r="AA91" s="649">
        <f>+AA109*MACRO!CD$4</f>
        <v>556.15625</v>
      </c>
      <c r="AB91" s="649">
        <f>+AB109*MACRO!CE$4</f>
        <v>0</v>
      </c>
      <c r="AC91" s="649">
        <f>+AC109*MACRO!CF$4</f>
        <v>0</v>
      </c>
      <c r="AD91" s="649">
        <f>+AD109*MACRO!CG$4</f>
        <v>0</v>
      </c>
      <c r="AE91" s="649">
        <f>+AE109*MACRO!CH$4</f>
        <v>0</v>
      </c>
      <c r="AF91" s="649">
        <f>+AF109*MACRO!CI$4</f>
        <v>0</v>
      </c>
      <c r="AG91" s="649">
        <f>+AG109*MACRO!CJ$4</f>
        <v>0</v>
      </c>
      <c r="AH91" s="649">
        <f>+AH109*MACRO!CK$4</f>
        <v>0</v>
      </c>
      <c r="AI91" s="649">
        <f>+AI118*AI82</f>
        <v>165.42723397805884</v>
      </c>
      <c r="AJ91" s="649">
        <f t="shared" ref="AJ91:AN91" si="176">+AJ118*AJ82</f>
        <v>161.471398542705</v>
      </c>
      <c r="AK91" s="649">
        <f t="shared" si="176"/>
        <v>154.68996636781276</v>
      </c>
      <c r="AL91" s="649">
        <f t="shared" si="176"/>
        <v>146.24372314097619</v>
      </c>
      <c r="AM91" s="649">
        <f t="shared" si="176"/>
        <v>153.72773612678071</v>
      </c>
      <c r="AN91" s="649">
        <f t="shared" si="176"/>
        <v>148.23233230577571</v>
      </c>
      <c r="AO91" s="649">
        <f t="shared" ref="AO91:AR91" si="177">+AO118*AO82</f>
        <v>153.17789027476246</v>
      </c>
      <c r="AP91" s="649">
        <f t="shared" si="177"/>
        <v>170.88292670975144</v>
      </c>
      <c r="AQ91" s="649">
        <f t="shared" si="177"/>
        <v>166.48110519442722</v>
      </c>
      <c r="AR91" s="649">
        <f t="shared" si="177"/>
        <v>188.58490844556258</v>
      </c>
      <c r="AS91" s="649">
        <f t="shared" ref="AS91:AV91" si="178">+AS118*AS82</f>
        <v>175.64520272806544</v>
      </c>
      <c r="AT91" s="649">
        <f t="shared" si="178"/>
        <v>167.09204503000311</v>
      </c>
      <c r="AU91" s="649">
        <f t="shared" si="178"/>
        <v>162.56192614920798</v>
      </c>
      <c r="AV91" s="649">
        <f t="shared" si="178"/>
        <v>164.95375560548752</v>
      </c>
      <c r="AW91" s="649">
        <f t="shared" ref="AW91:AZ91" si="179">+AW118*AW82</f>
        <v>166.60940773775681</v>
      </c>
      <c r="AX91" s="649">
        <f t="shared" si="179"/>
        <v>167.19871661347324</v>
      </c>
      <c r="AY91" s="649">
        <f t="shared" si="179"/>
        <v>167.37211312347395</v>
      </c>
      <c r="AZ91" s="649">
        <f t="shared" si="179"/>
        <v>168.46623607969957</v>
      </c>
      <c r="BE91" s="649">
        <f t="shared" si="170"/>
        <v>921.95675000000006</v>
      </c>
      <c r="BF91" s="649">
        <f t="shared" si="171"/>
        <v>0</v>
      </c>
      <c r="BG91" s="649">
        <f t="shared" si="168"/>
        <v>326.89863252076384</v>
      </c>
      <c r="BH91" s="649">
        <f t="shared" si="169"/>
        <v>602.89375794134537</v>
      </c>
      <c r="BI91" s="660">
        <f>+BI109*MACRO!EG$4</f>
        <v>196.59875084479737</v>
      </c>
      <c r="BJ91" s="660">
        <f>+BJ109*MACRO!EH$4</f>
        <v>171.96340134798265</v>
      </c>
      <c r="BK91" s="660">
        <f>+BK109*MACRO!EI$4</f>
        <v>175.62514331497661</v>
      </c>
      <c r="BL91" s="660">
        <f>+BL109*MACRO!EJ$4</f>
        <v>179.57670903956361</v>
      </c>
      <c r="BM91" s="660">
        <f>+BM109*MACRO!EK$4</f>
        <v>183.16824322035487</v>
      </c>
      <c r="BN91" s="660">
        <f>+BN109*MACRO!EL$4</f>
        <v>186.83160808476197</v>
      </c>
      <c r="BO91" s="660">
        <f>+BO109*MACRO!EM$4</f>
        <v>190.56824024645721</v>
      </c>
    </row>
    <row r="92" spans="2:67">
      <c r="C92" t="s">
        <v>757</v>
      </c>
      <c r="Z92" s="649">
        <f>+Z110*MACRO!CC$4</f>
        <v>828.32100000000003</v>
      </c>
      <c r="AA92" s="649">
        <f>+AA110*MACRO!CD$4</f>
        <v>454.64692499999995</v>
      </c>
      <c r="AB92" s="649">
        <f>+AB110*MACRO!CE$4</f>
        <v>0</v>
      </c>
      <c r="AC92" s="649">
        <f>+AC110*MACRO!CF$4</f>
        <v>0</v>
      </c>
      <c r="AD92" s="649">
        <f>+AD110*MACRO!CG$4</f>
        <v>0</v>
      </c>
      <c r="AE92" s="649">
        <f>+AE110*MACRO!CH$4</f>
        <v>0</v>
      </c>
      <c r="AF92" s="649">
        <f>+AF110*MACRO!CI$4</f>
        <v>0</v>
      </c>
      <c r="AG92" s="649">
        <f>+AG110*MACRO!CJ$4</f>
        <v>0</v>
      </c>
      <c r="AH92" s="649">
        <f>+AH110*MACRO!CK$4</f>
        <v>0</v>
      </c>
      <c r="AI92" s="649">
        <f>+AI110*MACRO!CL$4</f>
        <v>0</v>
      </c>
      <c r="AJ92" s="660">
        <f>+AJ110*MACRO!CM$4</f>
        <v>0</v>
      </c>
      <c r="AK92" s="660">
        <f>+AK110*MACRO!CN$4</f>
        <v>0</v>
      </c>
      <c r="AL92" s="660">
        <f>+AL110*MACRO!CO$4</f>
        <v>0</v>
      </c>
      <c r="AM92" s="660">
        <f>+AM110*MACRO!CP$4</f>
        <v>0</v>
      </c>
      <c r="AN92" s="660">
        <f>+AN110*MACRO!CQ$4</f>
        <v>0</v>
      </c>
      <c r="AO92" s="660">
        <f>+AO110*MACRO!CR$4</f>
        <v>0</v>
      </c>
      <c r="AP92" s="660">
        <f>+AP110*MACRO!CS$4</f>
        <v>0</v>
      </c>
      <c r="AQ92" s="660">
        <f>+AQ110*MACRO!CT$4</f>
        <v>0</v>
      </c>
      <c r="AR92" s="660">
        <f>+AR110*MACRO!CU$4</f>
        <v>0</v>
      </c>
      <c r="AS92" s="660">
        <f>+AS110*MACRO!CV$4</f>
        <v>0</v>
      </c>
      <c r="AT92" s="660">
        <f>+AT110*MACRO!CW$4</f>
        <v>0</v>
      </c>
      <c r="AU92" s="660">
        <f>+AU110*MACRO!CX$4</f>
        <v>0</v>
      </c>
      <c r="AV92" s="660">
        <f>+AV110*MACRO!CY$4</f>
        <v>0</v>
      </c>
      <c r="AW92" s="660">
        <f>+AW110*MACRO!CZ$4</f>
        <v>0</v>
      </c>
      <c r="AX92" s="660">
        <f>+AX110*MACRO!DA$4</f>
        <v>0</v>
      </c>
      <c r="AY92" s="660">
        <f>+AY110*MACRO!DB$4</f>
        <v>0</v>
      </c>
      <c r="AZ92" s="660">
        <f>+AZ110*MACRO!DC$4</f>
        <v>0</v>
      </c>
      <c r="BE92" s="649">
        <f t="shared" si="170"/>
        <v>1282.9679249999999</v>
      </c>
      <c r="BF92" s="649">
        <f t="shared" si="171"/>
        <v>0</v>
      </c>
      <c r="BG92" s="649">
        <f t="shared" si="168"/>
        <v>0</v>
      </c>
      <c r="BH92" s="649">
        <f t="shared" si="169"/>
        <v>0</v>
      </c>
      <c r="BI92" s="660">
        <f>+BI110*MACRO!EG$4</f>
        <v>0</v>
      </c>
      <c r="BJ92" s="660">
        <f>+BJ110*MACRO!EH$4</f>
        <v>0</v>
      </c>
      <c r="BK92" s="660">
        <f>+BK110*MACRO!EI$4</f>
        <v>0</v>
      </c>
      <c r="BL92" s="660">
        <f>+BL110*MACRO!EJ$4</f>
        <v>0</v>
      </c>
      <c r="BM92" s="660">
        <f>+BM110*MACRO!EK$4</f>
        <v>0</v>
      </c>
      <c r="BN92" s="660">
        <f>+BN110*MACRO!EL$4</f>
        <v>0</v>
      </c>
      <c r="BO92" s="660">
        <f>+BO110*MACRO!EM$4</f>
        <v>0</v>
      </c>
    </row>
    <row r="93" spans="2:67">
      <c r="C93" t="s">
        <v>758</v>
      </c>
      <c r="Z93" s="649">
        <f>+Z111*MACRO!CC$4</f>
        <v>456.75232499999998</v>
      </c>
      <c r="AA93" s="649">
        <f>+AA111*MACRO!CD$4</f>
        <v>0</v>
      </c>
      <c r="AB93" s="649">
        <f>+AB111*MACRO!CE$4</f>
        <v>0</v>
      </c>
      <c r="AC93" s="649">
        <f>+AC111*MACRO!CF$4</f>
        <v>0</v>
      </c>
      <c r="AD93" s="649">
        <f>+AD111*MACRO!CG$4</f>
        <v>0</v>
      </c>
      <c r="AE93" s="649">
        <f>+AE111*MACRO!CH$4</f>
        <v>0</v>
      </c>
      <c r="AF93" s="649">
        <f>+AF111*MACRO!CI$4</f>
        <v>0</v>
      </c>
      <c r="AG93" s="649">
        <f>+AG111*MACRO!CJ$4</f>
        <v>0</v>
      </c>
      <c r="AH93" s="649">
        <f>+AH111*MACRO!CK$4</f>
        <v>0</v>
      </c>
      <c r="AI93" s="649">
        <f>+AI111*MACRO!CL$4</f>
        <v>0</v>
      </c>
      <c r="AJ93" s="660">
        <f>+AJ111*MACRO!CM$4</f>
        <v>0</v>
      </c>
      <c r="AK93" s="660">
        <f>+AK111*MACRO!CN$4</f>
        <v>0</v>
      </c>
      <c r="AL93" s="660">
        <f>+AL111*MACRO!CO$4</f>
        <v>0</v>
      </c>
      <c r="AM93" s="660">
        <f>+AM111*MACRO!CP$4</f>
        <v>0</v>
      </c>
      <c r="AN93" s="660">
        <f>+AN111*MACRO!CQ$4</f>
        <v>0</v>
      </c>
      <c r="AO93" s="660">
        <f>+AO111*MACRO!CR$4</f>
        <v>0</v>
      </c>
      <c r="AP93" s="660">
        <f>+AP111*MACRO!CS$4</f>
        <v>0</v>
      </c>
      <c r="AQ93" s="660">
        <f>+AQ111*MACRO!CT$4</f>
        <v>0</v>
      </c>
      <c r="AR93" s="660">
        <f>+AR111*MACRO!CU$4</f>
        <v>0</v>
      </c>
      <c r="AS93" s="660">
        <f>+AS111*MACRO!CV$4</f>
        <v>0</v>
      </c>
      <c r="AT93" s="660">
        <f>+AT111*MACRO!CW$4</f>
        <v>0</v>
      </c>
      <c r="AU93" s="660">
        <f>+AU111*MACRO!CX$4</f>
        <v>0</v>
      </c>
      <c r="AV93" s="660">
        <f>+AV111*MACRO!CY$4</f>
        <v>0</v>
      </c>
      <c r="AW93" s="660">
        <f>+AW111*MACRO!CZ$4</f>
        <v>0</v>
      </c>
      <c r="AX93" s="660">
        <f>+AX111*MACRO!DA$4</f>
        <v>0</v>
      </c>
      <c r="AY93" s="660">
        <f>+AY111*MACRO!DB$4</f>
        <v>0</v>
      </c>
      <c r="AZ93" s="660">
        <f>+AZ111*MACRO!DC$4</f>
        <v>0</v>
      </c>
      <c r="BE93" s="649">
        <f t="shared" si="170"/>
        <v>456.75232499999998</v>
      </c>
      <c r="BF93" s="649">
        <f t="shared" si="171"/>
        <v>0</v>
      </c>
      <c r="BG93" s="649">
        <f t="shared" si="168"/>
        <v>0</v>
      </c>
      <c r="BH93" s="649">
        <f t="shared" si="169"/>
        <v>0</v>
      </c>
      <c r="BI93" s="660">
        <f>+BI111*MACRO!EG$4</f>
        <v>0</v>
      </c>
      <c r="BJ93" s="660">
        <f>+BJ111*MACRO!EH$4</f>
        <v>0</v>
      </c>
      <c r="BK93" s="660">
        <f>+BK111*MACRO!EI$4</f>
        <v>0</v>
      </c>
      <c r="BL93" s="660">
        <f>+BL111*MACRO!EJ$4</f>
        <v>0</v>
      </c>
      <c r="BM93" s="660">
        <f>+BM111*MACRO!EK$4</f>
        <v>0</v>
      </c>
      <c r="BN93" s="660">
        <f>+BN111*MACRO!EL$4</f>
        <v>0</v>
      </c>
      <c r="BO93" s="660">
        <f>+BO111*MACRO!EM$4</f>
        <v>0</v>
      </c>
    </row>
    <row r="94" spans="2:67">
      <c r="C94" t="s">
        <v>759</v>
      </c>
      <c r="Z94" s="649">
        <f>+Z112*MACRO!CC$4</f>
        <v>757.44899999999996</v>
      </c>
      <c r="AA94" s="649">
        <f>+AA112*MACRO!CD$4</f>
        <v>0</v>
      </c>
      <c r="AB94" s="649">
        <f>+AB112*MACRO!CE$4</f>
        <v>0</v>
      </c>
      <c r="AC94" s="649">
        <f>+AC112*MACRO!CF$4</f>
        <v>0</v>
      </c>
      <c r="AD94" s="649">
        <f>+AD112*MACRO!CG$4</f>
        <v>0</v>
      </c>
      <c r="AE94" s="649">
        <f>+AE112*MACRO!CH$4</f>
        <v>0</v>
      </c>
      <c r="AF94" s="649">
        <f>+AF112*MACRO!CI$4</f>
        <v>0</v>
      </c>
      <c r="AG94" s="649">
        <f>+AG112*MACRO!CJ$4</f>
        <v>0</v>
      </c>
      <c r="AH94" s="649">
        <f>+AH112*MACRO!CK$4</f>
        <v>0</v>
      </c>
      <c r="AI94" s="649">
        <f>+AI112*MACRO!CL$4</f>
        <v>0</v>
      </c>
      <c r="AJ94" s="660">
        <f>+AJ112*MACRO!CM$4</f>
        <v>0</v>
      </c>
      <c r="AK94" s="660">
        <f>+AK112*MACRO!CN$4</f>
        <v>0</v>
      </c>
      <c r="AL94" s="660">
        <f>+AL112*MACRO!CO$4</f>
        <v>0</v>
      </c>
      <c r="AM94" s="660">
        <f>+AM112*MACRO!CP$4</f>
        <v>0</v>
      </c>
      <c r="AN94" s="660">
        <f>+AN112*MACRO!CQ$4</f>
        <v>0</v>
      </c>
      <c r="AO94" s="660">
        <f>+AO112*MACRO!CR$4</f>
        <v>0</v>
      </c>
      <c r="AP94" s="660">
        <f>+AP112*MACRO!CS$4</f>
        <v>0</v>
      </c>
      <c r="AQ94" s="660">
        <f>+AQ112*MACRO!CT$4</f>
        <v>0</v>
      </c>
      <c r="AR94" s="660">
        <f>+AR112*MACRO!CU$4</f>
        <v>0</v>
      </c>
      <c r="AS94" s="660">
        <f>+AS112*MACRO!CV$4</f>
        <v>0</v>
      </c>
      <c r="AT94" s="660">
        <f>+AT112*MACRO!CW$4</f>
        <v>0</v>
      </c>
      <c r="AU94" s="660">
        <f>+AU112*MACRO!CX$4</f>
        <v>0</v>
      </c>
      <c r="AV94" s="660">
        <f>+AV112*MACRO!CY$4</f>
        <v>0</v>
      </c>
      <c r="AW94" s="660">
        <f>+AW112*MACRO!CZ$4</f>
        <v>0</v>
      </c>
      <c r="AX94" s="660">
        <f>+AX112*MACRO!DA$4</f>
        <v>0</v>
      </c>
      <c r="AY94" s="660">
        <f>+AY112*MACRO!DB$4</f>
        <v>0</v>
      </c>
      <c r="AZ94" s="660">
        <f>+AZ112*MACRO!DC$4</f>
        <v>0</v>
      </c>
      <c r="BE94" s="649">
        <f t="shared" si="170"/>
        <v>757.44899999999996</v>
      </c>
      <c r="BF94" s="649">
        <f t="shared" si="171"/>
        <v>0</v>
      </c>
      <c r="BG94" s="649">
        <f t="shared" si="168"/>
        <v>0</v>
      </c>
      <c r="BH94" s="649">
        <f t="shared" si="169"/>
        <v>0</v>
      </c>
      <c r="BI94" s="660">
        <f>+BI112*MACRO!EG$4</f>
        <v>0</v>
      </c>
      <c r="BJ94" s="660">
        <f>+BJ112*MACRO!EH$4</f>
        <v>0</v>
      </c>
      <c r="BK94" s="660">
        <f>+BK112*MACRO!EI$4</f>
        <v>0</v>
      </c>
      <c r="BL94" s="660">
        <f>+BL112*MACRO!EJ$4</f>
        <v>0</v>
      </c>
      <c r="BM94" s="660">
        <f>+BM112*MACRO!EK$4</f>
        <v>0</v>
      </c>
      <c r="BN94" s="660">
        <f>+BN112*MACRO!EL$4</f>
        <v>0</v>
      </c>
      <c r="BO94" s="660">
        <f>+BO112*MACRO!EM$4</f>
        <v>0</v>
      </c>
    </row>
    <row r="95" spans="2:67">
      <c r="Z95" s="652"/>
      <c r="AA95" s="652"/>
      <c r="AB95" s="652"/>
      <c r="AC95" s="652"/>
      <c r="AD95" s="652"/>
      <c r="AE95" s="652"/>
      <c r="AF95" s="652"/>
      <c r="AG95" s="652"/>
      <c r="AH95" s="652"/>
      <c r="AI95" s="652"/>
      <c r="AJ95" s="655"/>
      <c r="AK95" s="655"/>
      <c r="AL95" s="655"/>
      <c r="AM95" s="655"/>
      <c r="AN95" s="655"/>
      <c r="AO95" s="655"/>
      <c r="AP95" s="655"/>
      <c r="AQ95" s="655"/>
      <c r="AR95" s="655"/>
      <c r="AS95" s="655"/>
      <c r="AT95" s="655"/>
      <c r="AU95" s="655"/>
      <c r="AV95" s="655"/>
      <c r="AW95" s="655"/>
      <c r="AX95" s="655"/>
      <c r="AY95" s="655"/>
      <c r="AZ95" s="655"/>
      <c r="BE95" s="649"/>
      <c r="BF95" s="649"/>
      <c r="BG95" s="659"/>
      <c r="BH95" s="659"/>
      <c r="BI95" s="659"/>
      <c r="BJ95" s="659"/>
      <c r="BK95" s="659"/>
      <c r="BL95" s="659"/>
      <c r="BM95" s="659"/>
      <c r="BN95" s="659"/>
      <c r="BO95" s="659"/>
    </row>
    <row r="96" spans="2:67" s="359" customFormat="1">
      <c r="C96" s="359" t="s">
        <v>313</v>
      </c>
      <c r="Z96" s="648">
        <f t="shared" ref="Z96:AH96" si="180">+SUM(Z97:Z103)</f>
        <v>151659.92791672001</v>
      </c>
      <c r="AA96" s="648">
        <f t="shared" si="180"/>
        <v>101683.60071301248</v>
      </c>
      <c r="AB96" s="648">
        <f t="shared" si="180"/>
        <v>0</v>
      </c>
      <c r="AC96" s="648">
        <f t="shared" si="180"/>
        <v>0</v>
      </c>
      <c r="AD96" s="648">
        <f t="shared" si="180"/>
        <v>0</v>
      </c>
      <c r="AE96" s="648">
        <f t="shared" si="180"/>
        <v>0</v>
      </c>
      <c r="AF96" s="648">
        <f t="shared" si="180"/>
        <v>11061.05839286349</v>
      </c>
      <c r="AG96" s="648">
        <f t="shared" si="180"/>
        <v>13451.941532555735</v>
      </c>
      <c r="AH96" s="648">
        <f t="shared" si="180"/>
        <v>11883.787743298009</v>
      </c>
      <c r="AI96" s="648">
        <f t="shared" ref="AI96:AN96" si="181">+SUM(AI97:AI103)</f>
        <v>21552.395900655523</v>
      </c>
      <c r="AJ96" s="657">
        <f t="shared" si="181"/>
        <v>21552.395900655523</v>
      </c>
      <c r="AK96" s="657">
        <f t="shared" si="181"/>
        <v>21552.395900655523</v>
      </c>
      <c r="AL96" s="657">
        <f t="shared" si="181"/>
        <v>21552.395900655523</v>
      </c>
      <c r="AM96" s="657">
        <f t="shared" si="181"/>
        <v>21552.395900655523</v>
      </c>
      <c r="AN96" s="657">
        <f t="shared" si="181"/>
        <v>21552.395900655523</v>
      </c>
      <c r="AO96" s="657">
        <f t="shared" ref="AO96:AR96" si="182">+SUM(AO97:AO103)</f>
        <v>21552.395900655523</v>
      </c>
      <c r="AP96" s="657">
        <f t="shared" si="182"/>
        <v>21552.395900655523</v>
      </c>
      <c r="AQ96" s="657">
        <f t="shared" si="182"/>
        <v>21552.395900655523</v>
      </c>
      <c r="AR96" s="657">
        <f t="shared" si="182"/>
        <v>21552.395900655523</v>
      </c>
      <c r="AS96" s="657">
        <f t="shared" ref="AS96:AV96" si="183">+SUM(AS97:AS103)</f>
        <v>21552.395900655523</v>
      </c>
      <c r="AT96" s="657">
        <f t="shared" si="183"/>
        <v>21552.395900655523</v>
      </c>
      <c r="AU96" s="657">
        <f t="shared" si="183"/>
        <v>21552.395900655523</v>
      </c>
      <c r="AV96" s="657">
        <f t="shared" si="183"/>
        <v>21552.395900655523</v>
      </c>
      <c r="AW96" s="657">
        <f t="shared" ref="AW96:AZ96" si="184">+SUM(AW97:AW103)</f>
        <v>21552.395900655523</v>
      </c>
      <c r="AX96" s="657">
        <f t="shared" si="184"/>
        <v>21552.395900655523</v>
      </c>
      <c r="AY96" s="657">
        <f t="shared" si="184"/>
        <v>21552.395900655523</v>
      </c>
      <c r="AZ96" s="657">
        <f t="shared" si="184"/>
        <v>21552.395900655523</v>
      </c>
      <c r="BE96" s="648">
        <f>+AB96</f>
        <v>0</v>
      </c>
      <c r="BF96" s="648">
        <f>+AF96</f>
        <v>11061.05839286349</v>
      </c>
      <c r="BG96" s="657">
        <f>+SUM(BG97:BG103)</f>
        <v>21552.395900655523</v>
      </c>
      <c r="BH96" s="657">
        <f>+SUM(BH97:BH103)</f>
        <v>21552.395900655523</v>
      </c>
      <c r="BI96" s="657">
        <f>+SUM(BI97:BI101)</f>
        <v>21552.395900655523</v>
      </c>
      <c r="BJ96" s="657">
        <f>+SUM(BJ97:BJ101)</f>
        <v>21552.395900655523</v>
      </c>
      <c r="BK96" s="657">
        <f>+SUM(BK97:BK101)</f>
        <v>21552.395900655523</v>
      </c>
      <c r="BL96" s="657">
        <f>+SUM(BL97:BL101)</f>
        <v>21552.395900655523</v>
      </c>
      <c r="BM96" s="657">
        <f t="shared" ref="BM96:BO96" si="185">+SUM(BM97:BM101)</f>
        <v>21552.395900655523</v>
      </c>
      <c r="BN96" s="657">
        <f t="shared" si="185"/>
        <v>21552.395900655523</v>
      </c>
      <c r="BO96" s="657">
        <f t="shared" si="185"/>
        <v>21552.395900655523</v>
      </c>
    </row>
    <row r="97" spans="2:67">
      <c r="B97" t="s">
        <v>761</v>
      </c>
      <c r="C97" t="s">
        <v>753</v>
      </c>
      <c r="Z97" s="652">
        <f>+Z79/MACRO!CC$4</f>
        <v>17399.696298871182</v>
      </c>
      <c r="AA97" s="652">
        <f>+AA79/MACRO!CD$4</f>
        <v>0</v>
      </c>
      <c r="AB97" s="652">
        <f>+AB79/MACRO!CE$4</f>
        <v>0</v>
      </c>
      <c r="AC97" s="652">
        <f>+AC79/MACRO!CF$4</f>
        <v>0</v>
      </c>
      <c r="AD97" s="652">
        <f>+AD79/MACRO!CG$4</f>
        <v>0</v>
      </c>
      <c r="AE97" s="652">
        <f>+AE79/MACRO!CH$4</f>
        <v>0</v>
      </c>
      <c r="AF97" s="1176">
        <f>+AF79/MACRO!CI$4</f>
        <v>11061.05839286349</v>
      </c>
      <c r="AG97" s="1176">
        <f>+AG79/MACRO!CJ$4</f>
        <v>13451.941532555735</v>
      </c>
      <c r="AH97" s="1176">
        <f>+AH79/MACRO!CK$4</f>
        <v>11883.787743298009</v>
      </c>
      <c r="AI97" s="1176">
        <f>+AI79/MACRO!CL$4</f>
        <v>9039.2392207552402</v>
      </c>
      <c r="AJ97" s="655">
        <f t="shared" ref="AJ97:AJ103" si="186">+AI97</f>
        <v>9039.2392207552402</v>
      </c>
      <c r="AK97" s="655">
        <f t="shared" ref="AK97:AK103" si="187">+AJ97</f>
        <v>9039.2392207552402</v>
      </c>
      <c r="AL97" s="655">
        <f t="shared" ref="AL97:AL103" si="188">+AK97</f>
        <v>9039.2392207552402</v>
      </c>
      <c r="AM97" s="655">
        <f t="shared" ref="AM97:AM103" si="189">+AL97</f>
        <v>9039.2392207552402</v>
      </c>
      <c r="AN97" s="655">
        <f t="shared" ref="AN97:AN103" si="190">+AM97</f>
        <v>9039.2392207552402</v>
      </c>
      <c r="AO97" s="655">
        <f t="shared" ref="AO97:AO103" si="191">+AN97</f>
        <v>9039.2392207552402</v>
      </c>
      <c r="AP97" s="655">
        <f t="shared" ref="AP97:AP103" si="192">+AO97</f>
        <v>9039.2392207552402</v>
      </c>
      <c r="AQ97" s="655">
        <f t="shared" ref="AQ97:AQ103" si="193">+AP97</f>
        <v>9039.2392207552402</v>
      </c>
      <c r="AR97" s="655">
        <f t="shared" ref="AR97:AR103" si="194">+AQ97</f>
        <v>9039.2392207552402</v>
      </c>
      <c r="AS97" s="655">
        <f t="shared" ref="AS97:AS103" si="195">+AR97</f>
        <v>9039.2392207552402</v>
      </c>
      <c r="AT97" s="655">
        <f t="shared" ref="AT97:AT103" si="196">+AS97</f>
        <v>9039.2392207552402</v>
      </c>
      <c r="AU97" s="655">
        <f t="shared" ref="AU97:AU103" si="197">+AT97</f>
        <v>9039.2392207552402</v>
      </c>
      <c r="AV97" s="655">
        <f t="shared" ref="AV97:AV103" si="198">+AU97</f>
        <v>9039.2392207552402</v>
      </c>
      <c r="AW97" s="655">
        <f t="shared" ref="AW97:AW103" si="199">+AV97</f>
        <v>9039.2392207552402</v>
      </c>
      <c r="AX97" s="655">
        <f t="shared" ref="AX97:AX103" si="200">+AW97</f>
        <v>9039.2392207552402</v>
      </c>
      <c r="AY97" s="655">
        <f t="shared" ref="AY97:AY103" si="201">+AX97</f>
        <v>9039.2392207552402</v>
      </c>
      <c r="AZ97" s="655">
        <f t="shared" ref="AZ97:AZ103" si="202">+AY97</f>
        <v>9039.2392207552402</v>
      </c>
      <c r="BE97" s="649">
        <f t="shared" ref="BE97:BE103" si="203">+AB97</f>
        <v>0</v>
      </c>
      <c r="BF97" s="649">
        <f t="shared" ref="BF97:BF103" si="204">+AF97</f>
        <v>11061.05839286349</v>
      </c>
      <c r="BG97" s="1176">
        <f t="shared" ref="BG97:BG103" si="205">+AJ97</f>
        <v>9039.2392207552402</v>
      </c>
      <c r="BH97" s="1176">
        <f t="shared" ref="BH97:BH103" si="206">+AN97</f>
        <v>9039.2392207552402</v>
      </c>
      <c r="BI97" s="659">
        <f t="shared" ref="BI97:BL103" si="207">+BH97</f>
        <v>9039.2392207552402</v>
      </c>
      <c r="BJ97" s="659">
        <f t="shared" si="207"/>
        <v>9039.2392207552402</v>
      </c>
      <c r="BK97" s="659">
        <f t="shared" si="207"/>
        <v>9039.2392207552402</v>
      </c>
      <c r="BL97" s="659">
        <f t="shared" si="207"/>
        <v>9039.2392207552402</v>
      </c>
      <c r="BM97" s="659">
        <f t="shared" ref="BM97:BM103" si="208">+BL97</f>
        <v>9039.2392207552402</v>
      </c>
      <c r="BN97" s="659">
        <f t="shared" ref="BN97:BN103" si="209">+BM97</f>
        <v>9039.2392207552402</v>
      </c>
      <c r="BO97" s="659">
        <f t="shared" ref="BO97:BO103" si="210">+BN97</f>
        <v>9039.2392207552402</v>
      </c>
    </row>
    <row r="98" spans="2:67">
      <c r="C98" t="s">
        <v>754</v>
      </c>
      <c r="Z98" s="652">
        <f>+Z80/MACRO!CC$4</f>
        <v>32926.87389085054</v>
      </c>
      <c r="AA98" s="652">
        <f>+AA80/MACRO!CD$4</f>
        <v>43251.515151515152</v>
      </c>
      <c r="AB98" s="652">
        <f>+AB80/MACRO!CE$4</f>
        <v>0</v>
      </c>
      <c r="AC98" s="652">
        <f>+AC80/MACRO!CF$4</f>
        <v>0</v>
      </c>
      <c r="AD98" s="652">
        <f>+AD80/MACRO!CG$4</f>
        <v>0</v>
      </c>
      <c r="AE98" s="652">
        <f>+AE80/MACRO!CH$4</f>
        <v>0</v>
      </c>
      <c r="AF98" s="652">
        <f>+AF80/MACRO!CI$4</f>
        <v>0</v>
      </c>
      <c r="AG98" s="652">
        <f>+AG80/MACRO!CJ$4</f>
        <v>0</v>
      </c>
      <c r="AH98" s="652">
        <f t="shared" ref="AH98:AI103" si="211">+AG98</f>
        <v>0</v>
      </c>
      <c r="AI98" s="652">
        <f>+AI80/MACRO!CL$4</f>
        <v>8775.5516572800298</v>
      </c>
      <c r="AJ98" s="655">
        <f t="shared" si="186"/>
        <v>8775.5516572800298</v>
      </c>
      <c r="AK98" s="655">
        <f t="shared" si="187"/>
        <v>8775.5516572800298</v>
      </c>
      <c r="AL98" s="655">
        <f t="shared" si="188"/>
        <v>8775.5516572800298</v>
      </c>
      <c r="AM98" s="655">
        <f t="shared" si="189"/>
        <v>8775.5516572800298</v>
      </c>
      <c r="AN98" s="655">
        <f t="shared" si="190"/>
        <v>8775.5516572800298</v>
      </c>
      <c r="AO98" s="655">
        <f t="shared" si="191"/>
        <v>8775.5516572800298</v>
      </c>
      <c r="AP98" s="655">
        <f t="shared" si="192"/>
        <v>8775.5516572800298</v>
      </c>
      <c r="AQ98" s="655">
        <f t="shared" si="193"/>
        <v>8775.5516572800298</v>
      </c>
      <c r="AR98" s="655">
        <f t="shared" si="194"/>
        <v>8775.5516572800298</v>
      </c>
      <c r="AS98" s="655">
        <f t="shared" si="195"/>
        <v>8775.5516572800298</v>
      </c>
      <c r="AT98" s="655">
        <f t="shared" si="196"/>
        <v>8775.5516572800298</v>
      </c>
      <c r="AU98" s="655">
        <f t="shared" si="197"/>
        <v>8775.5516572800298</v>
      </c>
      <c r="AV98" s="655">
        <f t="shared" si="198"/>
        <v>8775.5516572800298</v>
      </c>
      <c r="AW98" s="655">
        <f t="shared" si="199"/>
        <v>8775.5516572800298</v>
      </c>
      <c r="AX98" s="655">
        <f t="shared" si="200"/>
        <v>8775.5516572800298</v>
      </c>
      <c r="AY98" s="655">
        <f t="shared" si="201"/>
        <v>8775.5516572800298</v>
      </c>
      <c r="AZ98" s="655">
        <f t="shared" si="202"/>
        <v>8775.5516572800298</v>
      </c>
      <c r="BE98" s="649">
        <f t="shared" si="203"/>
        <v>0</v>
      </c>
      <c r="BF98" s="649">
        <f>+AF98</f>
        <v>0</v>
      </c>
      <c r="BG98" s="1176">
        <f t="shared" si="205"/>
        <v>8775.5516572800298</v>
      </c>
      <c r="BH98" s="1176">
        <f t="shared" si="206"/>
        <v>8775.5516572800298</v>
      </c>
      <c r="BI98" s="659">
        <f t="shared" si="207"/>
        <v>8775.5516572800298</v>
      </c>
      <c r="BJ98" s="659">
        <f t="shared" si="207"/>
        <v>8775.5516572800298</v>
      </c>
      <c r="BK98" s="659">
        <f t="shared" si="207"/>
        <v>8775.5516572800298</v>
      </c>
      <c r="BL98" s="659">
        <f t="shared" si="207"/>
        <v>8775.5516572800298</v>
      </c>
      <c r="BM98" s="659">
        <f t="shared" si="208"/>
        <v>8775.5516572800298</v>
      </c>
      <c r="BN98" s="659">
        <f t="shared" si="209"/>
        <v>8775.5516572800298</v>
      </c>
      <c r="BO98" s="659">
        <f t="shared" si="210"/>
        <v>8775.5516572800298</v>
      </c>
    </row>
    <row r="99" spans="2:67">
      <c r="C99" t="s">
        <v>755</v>
      </c>
      <c r="Z99" s="652">
        <f>+Z81/MACRO!CC$4</f>
        <v>5898.2052361001843</v>
      </c>
      <c r="AA99" s="652">
        <f>+AA81/MACRO!CD$4</f>
        <v>7693.7611408199637</v>
      </c>
      <c r="AB99" s="652">
        <f>+AB81/MACRO!CE$4</f>
        <v>0</v>
      </c>
      <c r="AC99" s="652">
        <f>+AC81/MACRO!CF$4</f>
        <v>0</v>
      </c>
      <c r="AD99" s="652">
        <f>+AD81/MACRO!CG$4</f>
        <v>0</v>
      </c>
      <c r="AE99" s="652">
        <f>+AE81/MACRO!CH$4</f>
        <v>0</v>
      </c>
      <c r="AF99" s="652">
        <f>+AF81/MACRO!CI$4</f>
        <v>0</v>
      </c>
      <c r="AG99" s="652">
        <f>+AG81/MACRO!CJ$4</f>
        <v>0</v>
      </c>
      <c r="AH99" s="652">
        <f t="shared" si="211"/>
        <v>0</v>
      </c>
      <c r="AI99" s="652">
        <f>+AI81/MACRO!CL$4</f>
        <v>2876.9273381959192</v>
      </c>
      <c r="AJ99" s="655">
        <f t="shared" si="186"/>
        <v>2876.9273381959192</v>
      </c>
      <c r="AK99" s="655">
        <f t="shared" si="187"/>
        <v>2876.9273381959192</v>
      </c>
      <c r="AL99" s="655">
        <f t="shared" si="188"/>
        <v>2876.9273381959192</v>
      </c>
      <c r="AM99" s="655">
        <f t="shared" si="189"/>
        <v>2876.9273381959192</v>
      </c>
      <c r="AN99" s="655">
        <f t="shared" si="190"/>
        <v>2876.9273381959192</v>
      </c>
      <c r="AO99" s="655">
        <f t="shared" si="191"/>
        <v>2876.9273381959192</v>
      </c>
      <c r="AP99" s="655">
        <f t="shared" si="192"/>
        <v>2876.9273381959192</v>
      </c>
      <c r="AQ99" s="655">
        <f t="shared" si="193"/>
        <v>2876.9273381959192</v>
      </c>
      <c r="AR99" s="655">
        <f t="shared" si="194"/>
        <v>2876.9273381959192</v>
      </c>
      <c r="AS99" s="655">
        <f t="shared" si="195"/>
        <v>2876.9273381959192</v>
      </c>
      <c r="AT99" s="655">
        <f t="shared" si="196"/>
        <v>2876.9273381959192</v>
      </c>
      <c r="AU99" s="655">
        <f t="shared" si="197"/>
        <v>2876.9273381959192</v>
      </c>
      <c r="AV99" s="655">
        <f t="shared" si="198"/>
        <v>2876.9273381959192</v>
      </c>
      <c r="AW99" s="655">
        <f t="shared" si="199"/>
        <v>2876.9273381959192</v>
      </c>
      <c r="AX99" s="655">
        <f t="shared" si="200"/>
        <v>2876.9273381959192</v>
      </c>
      <c r="AY99" s="655">
        <f t="shared" si="201"/>
        <v>2876.9273381959192</v>
      </c>
      <c r="AZ99" s="655">
        <f t="shared" si="202"/>
        <v>2876.9273381959192</v>
      </c>
      <c r="BE99" s="649">
        <f t="shared" si="203"/>
        <v>0</v>
      </c>
      <c r="BF99" s="649">
        <f t="shared" si="204"/>
        <v>0</v>
      </c>
      <c r="BG99" s="1176">
        <f t="shared" si="205"/>
        <v>2876.9273381959192</v>
      </c>
      <c r="BH99" s="1176">
        <f t="shared" si="206"/>
        <v>2876.9273381959192</v>
      </c>
      <c r="BI99" s="659">
        <f t="shared" si="207"/>
        <v>2876.9273381959192</v>
      </c>
      <c r="BJ99" s="659">
        <f t="shared" si="207"/>
        <v>2876.9273381959192</v>
      </c>
      <c r="BK99" s="659">
        <f t="shared" si="207"/>
        <v>2876.9273381959192</v>
      </c>
      <c r="BL99" s="659">
        <f t="shared" si="207"/>
        <v>2876.9273381959192</v>
      </c>
      <c r="BM99" s="659">
        <f t="shared" si="208"/>
        <v>2876.9273381959192</v>
      </c>
      <c r="BN99" s="659">
        <f t="shared" si="209"/>
        <v>2876.9273381959192</v>
      </c>
      <c r="BO99" s="659">
        <f t="shared" si="210"/>
        <v>2876.9273381959192</v>
      </c>
    </row>
    <row r="100" spans="2:67">
      <c r="C100" t="s">
        <v>756</v>
      </c>
      <c r="Z100" s="652">
        <f>+Z82/MACRO!CC$4</f>
        <v>7235.0390603560254</v>
      </c>
      <c r="AA100" s="652">
        <f>+AA82/MACRO!CD$4</f>
        <v>10717.468805704098</v>
      </c>
      <c r="AB100" s="652">
        <f>+AB82/MACRO!CE$4</f>
        <v>0</v>
      </c>
      <c r="AC100" s="652">
        <f>+AC82/MACRO!CF$4</f>
        <v>0</v>
      </c>
      <c r="AD100" s="652">
        <f>+AD82/MACRO!CG$4</f>
        <v>0</v>
      </c>
      <c r="AE100" s="652">
        <f>+AE82/MACRO!CH$4</f>
        <v>0</v>
      </c>
      <c r="AF100" s="652">
        <f>+AF82/MACRO!CI$4</f>
        <v>0</v>
      </c>
      <c r="AG100" s="652">
        <f>+AG82/MACRO!CJ$4</f>
        <v>0</v>
      </c>
      <c r="AH100" s="652">
        <f t="shared" si="211"/>
        <v>0</v>
      </c>
      <c r="AI100" s="652">
        <f>+AI82/MACRO!CL$4</f>
        <v>860.6776844243376</v>
      </c>
      <c r="AJ100" s="655">
        <f t="shared" si="186"/>
        <v>860.6776844243376</v>
      </c>
      <c r="AK100" s="655">
        <f t="shared" si="187"/>
        <v>860.6776844243376</v>
      </c>
      <c r="AL100" s="655">
        <f t="shared" si="188"/>
        <v>860.6776844243376</v>
      </c>
      <c r="AM100" s="655">
        <f t="shared" si="189"/>
        <v>860.6776844243376</v>
      </c>
      <c r="AN100" s="655">
        <f t="shared" si="190"/>
        <v>860.6776844243376</v>
      </c>
      <c r="AO100" s="655">
        <f t="shared" si="191"/>
        <v>860.6776844243376</v>
      </c>
      <c r="AP100" s="655">
        <f t="shared" si="192"/>
        <v>860.6776844243376</v>
      </c>
      <c r="AQ100" s="655">
        <f t="shared" si="193"/>
        <v>860.6776844243376</v>
      </c>
      <c r="AR100" s="655">
        <f t="shared" si="194"/>
        <v>860.6776844243376</v>
      </c>
      <c r="AS100" s="655">
        <f t="shared" si="195"/>
        <v>860.6776844243376</v>
      </c>
      <c r="AT100" s="655">
        <f t="shared" si="196"/>
        <v>860.6776844243376</v>
      </c>
      <c r="AU100" s="655">
        <f t="shared" si="197"/>
        <v>860.6776844243376</v>
      </c>
      <c r="AV100" s="655">
        <f t="shared" si="198"/>
        <v>860.6776844243376</v>
      </c>
      <c r="AW100" s="655">
        <f t="shared" si="199"/>
        <v>860.6776844243376</v>
      </c>
      <c r="AX100" s="655">
        <f t="shared" si="200"/>
        <v>860.6776844243376</v>
      </c>
      <c r="AY100" s="655">
        <f t="shared" si="201"/>
        <v>860.6776844243376</v>
      </c>
      <c r="AZ100" s="655">
        <f t="shared" si="202"/>
        <v>860.6776844243376</v>
      </c>
      <c r="BE100" s="649">
        <f t="shared" si="203"/>
        <v>0</v>
      </c>
      <c r="BF100" s="649">
        <f t="shared" si="204"/>
        <v>0</v>
      </c>
      <c r="BG100" s="1176">
        <f t="shared" si="205"/>
        <v>860.6776844243376</v>
      </c>
      <c r="BH100" s="1176">
        <f t="shared" si="206"/>
        <v>860.6776844243376</v>
      </c>
      <c r="BI100" s="659">
        <f t="shared" si="207"/>
        <v>860.6776844243376</v>
      </c>
      <c r="BJ100" s="659">
        <f t="shared" si="207"/>
        <v>860.6776844243376</v>
      </c>
      <c r="BK100" s="659">
        <f t="shared" si="207"/>
        <v>860.6776844243376</v>
      </c>
      <c r="BL100" s="659">
        <f t="shared" si="207"/>
        <v>860.6776844243376</v>
      </c>
      <c r="BM100" s="659">
        <f t="shared" si="208"/>
        <v>860.6776844243376</v>
      </c>
      <c r="BN100" s="659">
        <f t="shared" si="209"/>
        <v>860.6776844243376</v>
      </c>
      <c r="BO100" s="659">
        <f t="shared" si="210"/>
        <v>860.6776844243376</v>
      </c>
    </row>
    <row r="101" spans="2:67">
      <c r="C101" t="s">
        <v>757</v>
      </c>
      <c r="Z101" s="652">
        <f>+Z83/MACRO!CC$4</f>
        <v>31085.823011763841</v>
      </c>
      <c r="AA101" s="652">
        <f>+AA83/MACRO!CD$4</f>
        <v>40020.855614973261</v>
      </c>
      <c r="AB101" s="652">
        <f>+AB83/MACRO!CE$4</f>
        <v>0</v>
      </c>
      <c r="AC101" s="652">
        <f>+AC83/MACRO!CF$4</f>
        <v>0</v>
      </c>
      <c r="AD101" s="652">
        <f>+AD83/MACRO!CG$4</f>
        <v>0</v>
      </c>
      <c r="AE101" s="652">
        <f>+AE83/MACRO!CH$4</f>
        <v>0</v>
      </c>
      <c r="AF101" s="652">
        <f>+AF83/MACRO!CI$4</f>
        <v>0</v>
      </c>
      <c r="AG101" s="652">
        <f>+AG83/MACRO!CJ$4</f>
        <v>0</v>
      </c>
      <c r="AH101" s="652">
        <f t="shared" si="211"/>
        <v>0</v>
      </c>
      <c r="AI101" s="652">
        <f>+AI83/MACRO!CL$4</f>
        <v>0</v>
      </c>
      <c r="AJ101" s="655">
        <f t="shared" si="186"/>
        <v>0</v>
      </c>
      <c r="AK101" s="655">
        <f t="shared" si="187"/>
        <v>0</v>
      </c>
      <c r="AL101" s="655">
        <f t="shared" si="188"/>
        <v>0</v>
      </c>
      <c r="AM101" s="655">
        <f t="shared" si="189"/>
        <v>0</v>
      </c>
      <c r="AN101" s="655">
        <f t="shared" si="190"/>
        <v>0</v>
      </c>
      <c r="AO101" s="655">
        <f t="shared" si="191"/>
        <v>0</v>
      </c>
      <c r="AP101" s="655">
        <f t="shared" si="192"/>
        <v>0</v>
      </c>
      <c r="AQ101" s="655">
        <f t="shared" si="193"/>
        <v>0</v>
      </c>
      <c r="AR101" s="655">
        <f t="shared" si="194"/>
        <v>0</v>
      </c>
      <c r="AS101" s="655">
        <f t="shared" si="195"/>
        <v>0</v>
      </c>
      <c r="AT101" s="655">
        <f t="shared" si="196"/>
        <v>0</v>
      </c>
      <c r="AU101" s="655">
        <f t="shared" si="197"/>
        <v>0</v>
      </c>
      <c r="AV101" s="655">
        <f t="shared" si="198"/>
        <v>0</v>
      </c>
      <c r="AW101" s="655">
        <f t="shared" si="199"/>
        <v>0</v>
      </c>
      <c r="AX101" s="655">
        <f t="shared" si="200"/>
        <v>0</v>
      </c>
      <c r="AY101" s="655">
        <f t="shared" si="201"/>
        <v>0</v>
      </c>
      <c r="AZ101" s="655">
        <f t="shared" si="202"/>
        <v>0</v>
      </c>
      <c r="BE101" s="649">
        <f t="shared" si="203"/>
        <v>0</v>
      </c>
      <c r="BF101" s="649">
        <f t="shared" si="204"/>
        <v>0</v>
      </c>
      <c r="BG101" s="1176">
        <f t="shared" si="205"/>
        <v>0</v>
      </c>
      <c r="BH101" s="1176">
        <f t="shared" si="206"/>
        <v>0</v>
      </c>
      <c r="BI101" s="659">
        <f t="shared" si="207"/>
        <v>0</v>
      </c>
      <c r="BJ101" s="659">
        <f t="shared" si="207"/>
        <v>0</v>
      </c>
      <c r="BK101" s="659">
        <f t="shared" si="207"/>
        <v>0</v>
      </c>
      <c r="BL101" s="659">
        <f t="shared" si="207"/>
        <v>0</v>
      </c>
      <c r="BM101" s="659">
        <f t="shared" si="208"/>
        <v>0</v>
      </c>
      <c r="BN101" s="659">
        <f t="shared" si="209"/>
        <v>0</v>
      </c>
      <c r="BO101" s="659">
        <f t="shared" si="210"/>
        <v>0</v>
      </c>
    </row>
    <row r="102" spans="2:67">
      <c r="C102" t="s">
        <v>758</v>
      </c>
      <c r="Z102" s="652">
        <f>+Z84/MACRO!CC$4</f>
        <v>26319.361861724508</v>
      </c>
      <c r="AA102" s="652">
        <f>+AA84/MACRO!CD$4</f>
        <v>0</v>
      </c>
      <c r="AB102" s="652">
        <f>+AB84/MACRO!CE$4</f>
        <v>0</v>
      </c>
      <c r="AC102" s="652">
        <f>+AC84/MACRO!CF$4</f>
        <v>0</v>
      </c>
      <c r="AD102" s="652">
        <f>+AD84/MACRO!CG$4</f>
        <v>0</v>
      </c>
      <c r="AE102" s="652">
        <f>+AE84/MACRO!CH$4</f>
        <v>0</v>
      </c>
      <c r="AF102" s="652">
        <f>+AF84/MACRO!CI$4</f>
        <v>0</v>
      </c>
      <c r="AG102" s="652">
        <f>+AG84/MACRO!CJ$4</f>
        <v>0</v>
      </c>
      <c r="AH102" s="652">
        <f t="shared" si="211"/>
        <v>0</v>
      </c>
      <c r="AI102" s="652">
        <f>+AI84/MACRO!CL$4</f>
        <v>0</v>
      </c>
      <c r="AJ102" s="655">
        <f t="shared" si="186"/>
        <v>0</v>
      </c>
      <c r="AK102" s="655">
        <f t="shared" si="187"/>
        <v>0</v>
      </c>
      <c r="AL102" s="655">
        <f t="shared" si="188"/>
        <v>0</v>
      </c>
      <c r="AM102" s="655">
        <f t="shared" si="189"/>
        <v>0</v>
      </c>
      <c r="AN102" s="655">
        <f t="shared" si="190"/>
        <v>0</v>
      </c>
      <c r="AO102" s="655">
        <f t="shared" si="191"/>
        <v>0</v>
      </c>
      <c r="AP102" s="655">
        <f t="shared" si="192"/>
        <v>0</v>
      </c>
      <c r="AQ102" s="655">
        <f t="shared" si="193"/>
        <v>0</v>
      </c>
      <c r="AR102" s="655">
        <f t="shared" si="194"/>
        <v>0</v>
      </c>
      <c r="AS102" s="655">
        <f t="shared" si="195"/>
        <v>0</v>
      </c>
      <c r="AT102" s="655">
        <f t="shared" si="196"/>
        <v>0</v>
      </c>
      <c r="AU102" s="655">
        <f t="shared" si="197"/>
        <v>0</v>
      </c>
      <c r="AV102" s="655">
        <f t="shared" si="198"/>
        <v>0</v>
      </c>
      <c r="AW102" s="655">
        <f t="shared" si="199"/>
        <v>0</v>
      </c>
      <c r="AX102" s="655">
        <f t="shared" si="200"/>
        <v>0</v>
      </c>
      <c r="AY102" s="655">
        <f t="shared" si="201"/>
        <v>0</v>
      </c>
      <c r="AZ102" s="655">
        <f t="shared" si="202"/>
        <v>0</v>
      </c>
      <c r="BE102" s="649">
        <f t="shared" si="203"/>
        <v>0</v>
      </c>
      <c r="BF102" s="649">
        <f t="shared" si="204"/>
        <v>0</v>
      </c>
      <c r="BG102" s="1176">
        <f t="shared" si="205"/>
        <v>0</v>
      </c>
      <c r="BH102" s="1176">
        <f t="shared" si="206"/>
        <v>0</v>
      </c>
      <c r="BI102" s="659">
        <f t="shared" si="207"/>
        <v>0</v>
      </c>
      <c r="BJ102" s="659">
        <f t="shared" si="207"/>
        <v>0</v>
      </c>
      <c r="BK102" s="659">
        <f t="shared" si="207"/>
        <v>0</v>
      </c>
      <c r="BL102" s="659">
        <f t="shared" si="207"/>
        <v>0</v>
      </c>
      <c r="BM102" s="659">
        <f t="shared" si="208"/>
        <v>0</v>
      </c>
      <c r="BN102" s="659">
        <f t="shared" si="209"/>
        <v>0</v>
      </c>
      <c r="BO102" s="659">
        <f t="shared" si="210"/>
        <v>0</v>
      </c>
    </row>
    <row r="103" spans="2:67">
      <c r="C103" t="s">
        <v>759</v>
      </c>
      <c r="Z103" s="652">
        <f>+Z85/MACRO!CC$4</f>
        <v>30794.928557053732</v>
      </c>
      <c r="AA103" s="652">
        <f>+AA85/MACRO!CD$4</f>
        <v>0</v>
      </c>
      <c r="AB103" s="652">
        <f>+AB85/MACRO!CE$4</f>
        <v>0</v>
      </c>
      <c r="AC103" s="652">
        <f>+AC85/MACRO!CF$4</f>
        <v>0</v>
      </c>
      <c r="AD103" s="652">
        <f>+AD85/MACRO!CG$4</f>
        <v>0</v>
      </c>
      <c r="AE103" s="652">
        <f>+AE85/MACRO!CH$4</f>
        <v>0</v>
      </c>
      <c r="AF103" s="652">
        <f>+AF85/MACRO!CI$4</f>
        <v>0</v>
      </c>
      <c r="AG103" s="652">
        <f>+AG85/MACRO!CJ$4</f>
        <v>0</v>
      </c>
      <c r="AH103" s="652">
        <f t="shared" si="211"/>
        <v>0</v>
      </c>
      <c r="AI103" s="652">
        <f t="shared" si="211"/>
        <v>0</v>
      </c>
      <c r="AJ103" s="655">
        <f t="shared" si="186"/>
        <v>0</v>
      </c>
      <c r="AK103" s="655">
        <f t="shared" si="187"/>
        <v>0</v>
      </c>
      <c r="AL103" s="655">
        <f t="shared" si="188"/>
        <v>0</v>
      </c>
      <c r="AM103" s="655">
        <f t="shared" si="189"/>
        <v>0</v>
      </c>
      <c r="AN103" s="655">
        <f t="shared" si="190"/>
        <v>0</v>
      </c>
      <c r="AO103" s="655">
        <f t="shared" si="191"/>
        <v>0</v>
      </c>
      <c r="AP103" s="655">
        <f t="shared" si="192"/>
        <v>0</v>
      </c>
      <c r="AQ103" s="655">
        <f t="shared" si="193"/>
        <v>0</v>
      </c>
      <c r="AR103" s="655">
        <f t="shared" si="194"/>
        <v>0</v>
      </c>
      <c r="AS103" s="655">
        <f t="shared" si="195"/>
        <v>0</v>
      </c>
      <c r="AT103" s="655">
        <f t="shared" si="196"/>
        <v>0</v>
      </c>
      <c r="AU103" s="655">
        <f t="shared" si="197"/>
        <v>0</v>
      </c>
      <c r="AV103" s="655">
        <f t="shared" si="198"/>
        <v>0</v>
      </c>
      <c r="AW103" s="655">
        <f t="shared" si="199"/>
        <v>0</v>
      </c>
      <c r="AX103" s="655">
        <f t="shared" si="200"/>
        <v>0</v>
      </c>
      <c r="AY103" s="655">
        <f t="shared" si="201"/>
        <v>0</v>
      </c>
      <c r="AZ103" s="655">
        <f t="shared" si="202"/>
        <v>0</v>
      </c>
      <c r="BE103" s="649">
        <f t="shared" si="203"/>
        <v>0</v>
      </c>
      <c r="BF103" s="649">
        <f t="shared" si="204"/>
        <v>0</v>
      </c>
      <c r="BG103" s="1176">
        <f t="shared" si="205"/>
        <v>0</v>
      </c>
      <c r="BH103" s="1176">
        <f t="shared" si="206"/>
        <v>0</v>
      </c>
      <c r="BI103" s="659">
        <f t="shared" si="207"/>
        <v>0</v>
      </c>
      <c r="BJ103" s="659">
        <f t="shared" si="207"/>
        <v>0</v>
      </c>
      <c r="BK103" s="659">
        <f t="shared" si="207"/>
        <v>0</v>
      </c>
      <c r="BL103" s="659">
        <f t="shared" si="207"/>
        <v>0</v>
      </c>
      <c r="BM103" s="659">
        <f t="shared" si="208"/>
        <v>0</v>
      </c>
      <c r="BN103" s="659">
        <f t="shared" si="209"/>
        <v>0</v>
      </c>
      <c r="BO103" s="659">
        <f t="shared" si="210"/>
        <v>0</v>
      </c>
    </row>
    <row r="104" spans="2:67">
      <c r="Z104" s="652"/>
      <c r="AA104" s="652"/>
      <c r="AB104" s="652"/>
      <c r="AC104" s="652"/>
      <c r="AD104" s="652"/>
      <c r="AE104" s="652"/>
      <c r="AF104" s="652"/>
      <c r="AG104" s="652"/>
      <c r="AH104" s="652"/>
      <c r="AI104" s="652"/>
      <c r="AJ104" s="655"/>
      <c r="AK104" s="655"/>
      <c r="AL104" s="655"/>
      <c r="AM104" s="655"/>
      <c r="AN104" s="655"/>
      <c r="AO104" s="655"/>
      <c r="AP104" s="655"/>
      <c r="AQ104" s="655"/>
      <c r="AR104" s="655"/>
      <c r="AS104" s="655"/>
      <c r="AT104" s="655"/>
      <c r="AU104" s="655"/>
      <c r="AV104" s="655"/>
      <c r="AW104" s="655"/>
      <c r="AX104" s="655"/>
      <c r="AY104" s="655"/>
      <c r="AZ104" s="655"/>
      <c r="BE104" s="649"/>
      <c r="BF104" s="649"/>
      <c r="BG104" s="659"/>
      <c r="BH104" s="659"/>
      <c r="BI104" s="659"/>
      <c r="BJ104" s="659"/>
      <c r="BK104" s="659"/>
      <c r="BL104" s="659"/>
      <c r="BM104" s="659"/>
      <c r="BN104" s="659"/>
      <c r="BO104" s="659"/>
    </row>
    <row r="105" spans="2:67" s="359" customFormat="1">
      <c r="C105" s="359" t="s">
        <v>313</v>
      </c>
      <c r="Z105" s="648">
        <f t="shared" ref="Z105:AE105" si="212">+SUM(Z106:Z112)</f>
        <v>802.6866664227299</v>
      </c>
      <c r="AA105" s="648">
        <f t="shared" si="212"/>
        <v>498.89870766488411</v>
      </c>
      <c r="AB105" s="648">
        <f t="shared" si="212"/>
        <v>0</v>
      </c>
      <c r="AC105" s="648">
        <f t="shared" si="212"/>
        <v>0</v>
      </c>
      <c r="AD105" s="648">
        <f t="shared" si="212"/>
        <v>0</v>
      </c>
      <c r="AE105" s="648">
        <f t="shared" si="212"/>
        <v>0</v>
      </c>
      <c r="AF105" s="648">
        <f t="shared" ref="AF105:AN105" si="213">+SUM(AF106:AF112)</f>
        <v>29.035278281266663</v>
      </c>
      <c r="AG105" s="648">
        <f>+SUM(AG106:AG112)</f>
        <v>35.311346522958807</v>
      </c>
      <c r="AH105" s="648">
        <f t="shared" si="213"/>
        <v>31.194942826157277</v>
      </c>
      <c r="AI105" s="648">
        <f t="shared" si="213"/>
        <v>84.059920598282702</v>
      </c>
      <c r="AJ105" s="657">
        <f t="shared" si="213"/>
        <v>84.059920598282702</v>
      </c>
      <c r="AK105" s="657">
        <f t="shared" si="213"/>
        <v>84.059920598282702</v>
      </c>
      <c r="AL105" s="657">
        <f t="shared" si="213"/>
        <v>84.059920598282702</v>
      </c>
      <c r="AM105" s="657">
        <f t="shared" si="213"/>
        <v>84.059920598282702</v>
      </c>
      <c r="AN105" s="657">
        <f t="shared" si="213"/>
        <v>84.059920598282702</v>
      </c>
      <c r="AO105" s="657">
        <f t="shared" ref="AO105:AR105" si="214">+SUM(AO106:AO112)</f>
        <v>84.059920598282702</v>
      </c>
      <c r="AP105" s="657">
        <f t="shared" si="214"/>
        <v>84.059920598282702</v>
      </c>
      <c r="AQ105" s="657">
        <f t="shared" si="214"/>
        <v>84.059920598282702</v>
      </c>
      <c r="AR105" s="657">
        <f t="shared" si="214"/>
        <v>84.059920598282702</v>
      </c>
      <c r="AS105" s="657">
        <f t="shared" ref="AS105:AV105" si="215">+SUM(AS106:AS112)</f>
        <v>84.059920598282702</v>
      </c>
      <c r="AT105" s="657">
        <f t="shared" si="215"/>
        <v>84.059920598282702</v>
      </c>
      <c r="AU105" s="657">
        <f t="shared" si="215"/>
        <v>84.059920598282702</v>
      </c>
      <c r="AV105" s="657">
        <f t="shared" si="215"/>
        <v>84.059920598282702</v>
      </c>
      <c r="AW105" s="657">
        <f t="shared" ref="AW105:AZ105" si="216">+SUM(AW106:AW112)</f>
        <v>84.059920598282702</v>
      </c>
      <c r="AX105" s="657">
        <f t="shared" si="216"/>
        <v>84.059920598282702</v>
      </c>
      <c r="AY105" s="657">
        <f t="shared" si="216"/>
        <v>84.059920598282702</v>
      </c>
      <c r="AZ105" s="657">
        <f t="shared" si="216"/>
        <v>84.059920598282702</v>
      </c>
      <c r="BE105" s="648">
        <f t="shared" ref="BE105:BL105" si="217">+SUM(BE106:BE112)</f>
        <v>1301.5853740876141</v>
      </c>
      <c r="BF105" s="648">
        <f t="shared" si="217"/>
        <v>29.035278281266663</v>
      </c>
      <c r="BG105" s="648">
        <f t="shared" si="217"/>
        <v>234.62613054568152</v>
      </c>
      <c r="BH105" s="648">
        <f t="shared" si="217"/>
        <v>336.23968239313081</v>
      </c>
      <c r="BI105" s="657">
        <f t="shared" si="217"/>
        <v>691.73090307450843</v>
      </c>
      <c r="BJ105" s="657">
        <f t="shared" si="217"/>
        <v>618.30697073215777</v>
      </c>
      <c r="BK105" s="657">
        <f t="shared" si="217"/>
        <v>629.2205359922923</v>
      </c>
      <c r="BL105" s="657">
        <f t="shared" si="217"/>
        <v>640.99790064652393</v>
      </c>
      <c r="BM105" s="657">
        <f t="shared" ref="BM105:BO105" si="218">+SUM(BM106:BM112)</f>
        <v>651.70221652114765</v>
      </c>
      <c r="BN105" s="657">
        <f t="shared" si="218"/>
        <v>662.62061871326398</v>
      </c>
      <c r="BO105" s="657">
        <f t="shared" si="218"/>
        <v>673.75738894922245</v>
      </c>
    </row>
    <row r="106" spans="2:67">
      <c r="B106" t="s">
        <v>762</v>
      </c>
      <c r="C106" t="s">
        <v>753</v>
      </c>
      <c r="Z106" s="649">
        <f t="shared" ref="Z106:AF112" si="219">+Z115/4*Z97</f>
        <v>119.18791964726761</v>
      </c>
      <c r="AA106" s="649">
        <f t="shared" si="219"/>
        <v>0</v>
      </c>
      <c r="AB106" s="649">
        <f t="shared" si="219"/>
        <v>0</v>
      </c>
      <c r="AC106" s="649">
        <f t="shared" si="219"/>
        <v>0</v>
      </c>
      <c r="AD106" s="649">
        <f t="shared" si="219"/>
        <v>0</v>
      </c>
      <c r="AE106" s="649">
        <f t="shared" si="219"/>
        <v>0</v>
      </c>
      <c r="AF106" s="649">
        <f t="shared" si="219"/>
        <v>29.035278281266663</v>
      </c>
      <c r="AG106" s="649">
        <f>+AG115/4*AG97</f>
        <v>35.311346522958807</v>
      </c>
      <c r="AH106" s="649">
        <f t="shared" ref="AH106:AN106" si="220">+AH115/4*AH97</f>
        <v>31.194942826157277</v>
      </c>
      <c r="AI106" s="649">
        <f t="shared" ref="AI106" si="221">+AI115/4*AI97</f>
        <v>23.728002954482506</v>
      </c>
      <c r="AJ106" s="660">
        <f t="shared" si="220"/>
        <v>23.728002954482506</v>
      </c>
      <c r="AK106" s="660">
        <f t="shared" si="220"/>
        <v>23.728002954482506</v>
      </c>
      <c r="AL106" s="660">
        <f t="shared" si="220"/>
        <v>23.728002954482506</v>
      </c>
      <c r="AM106" s="660">
        <f t="shared" si="220"/>
        <v>23.728002954482506</v>
      </c>
      <c r="AN106" s="660">
        <f t="shared" si="220"/>
        <v>23.728002954482506</v>
      </c>
      <c r="AO106" s="660">
        <f t="shared" ref="AO106:AR106" si="222">+AO115/4*AO97</f>
        <v>23.728002954482506</v>
      </c>
      <c r="AP106" s="660">
        <f t="shared" si="222"/>
        <v>23.728002954482506</v>
      </c>
      <c r="AQ106" s="660">
        <f t="shared" si="222"/>
        <v>23.728002954482506</v>
      </c>
      <c r="AR106" s="660">
        <f t="shared" si="222"/>
        <v>23.728002954482506</v>
      </c>
      <c r="AS106" s="660">
        <f t="shared" ref="AS106:AV106" si="223">+AS115/4*AS97</f>
        <v>23.728002954482506</v>
      </c>
      <c r="AT106" s="660">
        <f t="shared" si="223"/>
        <v>23.728002954482506</v>
      </c>
      <c r="AU106" s="660">
        <f t="shared" si="223"/>
        <v>23.728002954482506</v>
      </c>
      <c r="AV106" s="660">
        <f t="shared" si="223"/>
        <v>23.728002954482506</v>
      </c>
      <c r="AW106" s="660">
        <f t="shared" ref="AW106:AZ106" si="224">+AW115/4*AW97</f>
        <v>23.728002954482506</v>
      </c>
      <c r="AX106" s="660">
        <f t="shared" si="224"/>
        <v>23.728002954482506</v>
      </c>
      <c r="AY106" s="660">
        <f t="shared" si="224"/>
        <v>23.728002954482506</v>
      </c>
      <c r="AZ106" s="660">
        <f t="shared" si="224"/>
        <v>23.728002954482506</v>
      </c>
      <c r="BE106" s="649">
        <f t="shared" ref="BE106:BE112" si="225">+SUM(Y106:AB106)</f>
        <v>119.18791964726761</v>
      </c>
      <c r="BF106" s="649">
        <f t="shared" ref="BF106:BF112" si="226">+SUM(AC106:AF106)</f>
        <v>29.035278281266663</v>
      </c>
      <c r="BG106" s="649">
        <f t="shared" ref="BG106:BG112" si="227">+SUM(AG106:AJ106)</f>
        <v>113.9622952580811</v>
      </c>
      <c r="BH106" s="649">
        <f t="shared" ref="BH106:BH112" si="228">+SUM(AK106:AN106)</f>
        <v>94.912011817930022</v>
      </c>
      <c r="BI106" s="660">
        <f>+BI115*BI79</f>
        <v>585.94879615917284</v>
      </c>
      <c r="BJ106" s="660">
        <f>+BJ115*BJ79</f>
        <v>512.52486381682218</v>
      </c>
      <c r="BK106" s="660">
        <f>+BK115*BK79</f>
        <v>523.43842907695671</v>
      </c>
      <c r="BL106" s="660">
        <f>+BL115*BL79</f>
        <v>535.21579373118834</v>
      </c>
      <c r="BM106" s="660">
        <f t="shared" ref="BM106:BO106" si="229">+BM115*BM79</f>
        <v>545.92010960581206</v>
      </c>
      <c r="BN106" s="660">
        <f t="shared" si="229"/>
        <v>556.83851179792839</v>
      </c>
      <c r="BO106" s="660">
        <f t="shared" si="229"/>
        <v>567.97528203388686</v>
      </c>
    </row>
    <row r="107" spans="2:67">
      <c r="C107" t="s">
        <v>754</v>
      </c>
      <c r="Z107" s="649">
        <f t="shared" si="219"/>
        <v>206.61613366508715</v>
      </c>
      <c r="AA107" s="649">
        <f t="shared" si="219"/>
        <v>271.40325757575761</v>
      </c>
      <c r="AB107" s="649">
        <f t="shared" si="219"/>
        <v>0</v>
      </c>
      <c r="AC107" s="649">
        <f>+(AC116*AC98)/4</f>
        <v>0</v>
      </c>
      <c r="AD107" s="649">
        <f>+(AD116*AD98)/4</f>
        <v>0</v>
      </c>
      <c r="AE107" s="649">
        <f>+(AE116*AE98)/4</f>
        <v>0</v>
      </c>
      <c r="AF107" s="649">
        <f>+(AF116*AF98)/4</f>
        <v>0</v>
      </c>
      <c r="AG107" s="649">
        <f>+(AG116*AG98)/4</f>
        <v>0</v>
      </c>
      <c r="AH107" s="649">
        <f t="shared" ref="AH107:AN107" si="230">+(AH116*AH98)/4</f>
        <v>0</v>
      </c>
      <c r="AI107" s="649">
        <f t="shared" ref="AI107" si="231">+(AI116*AI98)/4</f>
        <v>60.331917643800203</v>
      </c>
      <c r="AJ107" s="660">
        <f t="shared" si="230"/>
        <v>60.331917643800203</v>
      </c>
      <c r="AK107" s="660">
        <f t="shared" si="230"/>
        <v>60.331917643800203</v>
      </c>
      <c r="AL107" s="660">
        <f t="shared" si="230"/>
        <v>60.331917643800203</v>
      </c>
      <c r="AM107" s="660">
        <f t="shared" si="230"/>
        <v>60.331917643800203</v>
      </c>
      <c r="AN107" s="660">
        <f t="shared" si="230"/>
        <v>60.331917643800203</v>
      </c>
      <c r="AO107" s="660">
        <f t="shared" ref="AO107:AR107" si="232">+(AO116*AO98)/4</f>
        <v>60.331917643800203</v>
      </c>
      <c r="AP107" s="660">
        <f t="shared" si="232"/>
        <v>60.331917643800203</v>
      </c>
      <c r="AQ107" s="660">
        <f t="shared" si="232"/>
        <v>60.331917643800203</v>
      </c>
      <c r="AR107" s="660">
        <f t="shared" si="232"/>
        <v>60.331917643800203</v>
      </c>
      <c r="AS107" s="660">
        <f t="shared" ref="AS107:AV107" si="233">+(AS116*AS98)/4</f>
        <v>60.331917643800203</v>
      </c>
      <c r="AT107" s="660">
        <f t="shared" si="233"/>
        <v>60.331917643800203</v>
      </c>
      <c r="AU107" s="660">
        <f t="shared" si="233"/>
        <v>60.331917643800203</v>
      </c>
      <c r="AV107" s="660">
        <f t="shared" si="233"/>
        <v>60.331917643800203</v>
      </c>
      <c r="AW107" s="660">
        <f t="shared" ref="AW107:AZ107" si="234">+(AW116*AW98)/4</f>
        <v>60.331917643800203</v>
      </c>
      <c r="AX107" s="660">
        <f t="shared" si="234"/>
        <v>60.331917643800203</v>
      </c>
      <c r="AY107" s="660">
        <f t="shared" si="234"/>
        <v>60.331917643800203</v>
      </c>
      <c r="AZ107" s="660">
        <f t="shared" si="234"/>
        <v>60.331917643800203</v>
      </c>
      <c r="BE107" s="649">
        <f t="shared" si="225"/>
        <v>478.01939124084475</v>
      </c>
      <c r="BF107" s="649">
        <f t="shared" si="226"/>
        <v>0</v>
      </c>
      <c r="BG107" s="649">
        <f t="shared" si="227"/>
        <v>120.66383528760041</v>
      </c>
      <c r="BH107" s="649">
        <f t="shared" si="228"/>
        <v>241.32767057520081</v>
      </c>
      <c r="BI107" s="660">
        <f>+(BI116*BI98)</f>
        <v>0</v>
      </c>
      <c r="BJ107" s="660">
        <f>+(BJ116*BJ98)</f>
        <v>0</v>
      </c>
      <c r="BK107" s="660">
        <f>+(BK116*BK98)</f>
        <v>0</v>
      </c>
      <c r="BL107" s="660">
        <f>+(BL116*BL98)</f>
        <v>0</v>
      </c>
      <c r="BM107" s="660">
        <f t="shared" ref="BM107:BO107" si="235">+(BM116*BM98)</f>
        <v>0</v>
      </c>
      <c r="BN107" s="660">
        <f t="shared" si="235"/>
        <v>0</v>
      </c>
      <c r="BO107" s="660">
        <f t="shared" si="235"/>
        <v>0</v>
      </c>
    </row>
    <row r="108" spans="2:67">
      <c r="C108" t="s">
        <v>755</v>
      </c>
      <c r="Z108" s="649">
        <f t="shared" si="219"/>
        <v>36.273962202016136</v>
      </c>
      <c r="AA108" s="649">
        <f t="shared" si="219"/>
        <v>47.316631016042777</v>
      </c>
      <c r="AB108" s="649">
        <f t="shared" si="219"/>
        <v>0</v>
      </c>
      <c r="AC108" s="649">
        <f t="shared" si="219"/>
        <v>0</v>
      </c>
      <c r="AD108" s="649">
        <f t="shared" si="219"/>
        <v>0</v>
      </c>
      <c r="AE108" s="649">
        <f t="shared" si="219"/>
        <v>0</v>
      </c>
      <c r="AF108" s="649">
        <f t="shared" si="219"/>
        <v>0</v>
      </c>
      <c r="AG108" s="649">
        <f>+AG117/4*AG99</f>
        <v>0</v>
      </c>
      <c r="AH108" s="649">
        <f t="shared" ref="AH108" si="236">+AH117/4*AH99</f>
        <v>0</v>
      </c>
      <c r="AI108" s="649"/>
      <c r="AJ108" s="660"/>
      <c r="AK108" s="660"/>
      <c r="AL108" s="660"/>
      <c r="AM108" s="660"/>
      <c r="AN108" s="660"/>
      <c r="AO108" s="660"/>
      <c r="AP108" s="660"/>
      <c r="AQ108" s="660"/>
      <c r="AR108" s="660"/>
      <c r="AS108" s="660"/>
      <c r="AT108" s="660"/>
      <c r="AU108" s="660"/>
      <c r="AV108" s="660"/>
      <c r="AW108" s="660"/>
      <c r="AX108" s="660"/>
      <c r="AY108" s="660"/>
      <c r="AZ108" s="660"/>
      <c r="BE108" s="649">
        <f t="shared" si="225"/>
        <v>83.590593218058913</v>
      </c>
      <c r="BF108" s="649">
        <f t="shared" si="226"/>
        <v>0</v>
      </c>
      <c r="BG108" s="649">
        <f t="shared" si="227"/>
        <v>0</v>
      </c>
      <c r="BH108" s="649">
        <f t="shared" si="228"/>
        <v>0</v>
      </c>
      <c r="BI108" s="660">
        <f t="shared" ref="BI108:BL112" si="237">+BI117*BI99</f>
        <v>73.937032591635131</v>
      </c>
      <c r="BJ108" s="660">
        <f t="shared" si="237"/>
        <v>73.937032591635131</v>
      </c>
      <c r="BK108" s="660">
        <f t="shared" si="237"/>
        <v>73.937032591635131</v>
      </c>
      <c r="BL108" s="660">
        <f t="shared" si="237"/>
        <v>73.937032591635131</v>
      </c>
      <c r="BM108" s="660">
        <f t="shared" ref="BM108:BO108" si="238">+BM117*BM99</f>
        <v>73.937032591635131</v>
      </c>
      <c r="BN108" s="660">
        <f t="shared" si="238"/>
        <v>73.937032591635131</v>
      </c>
      <c r="BO108" s="660">
        <f t="shared" si="238"/>
        <v>73.937032591635131</v>
      </c>
    </row>
    <row r="109" spans="2:67">
      <c r="C109" t="s">
        <v>756</v>
      </c>
      <c r="Z109" s="649">
        <f t="shared" si="219"/>
        <v>66.924111308293234</v>
      </c>
      <c r="AA109" s="649">
        <f t="shared" si="219"/>
        <v>99.136586452762913</v>
      </c>
      <c r="AB109" s="649">
        <f t="shared" si="219"/>
        <v>0</v>
      </c>
      <c r="AC109" s="649">
        <f t="shared" si="219"/>
        <v>0</v>
      </c>
      <c r="AD109" s="649">
        <f t="shared" si="219"/>
        <v>0</v>
      </c>
      <c r="AE109" s="649">
        <f t="shared" si="219"/>
        <v>0</v>
      </c>
      <c r="AF109" s="649">
        <f t="shared" si="219"/>
        <v>0</v>
      </c>
      <c r="AG109" s="649">
        <f>+AG118/4*AG100</f>
        <v>0</v>
      </c>
      <c r="AH109" s="649">
        <f t="shared" ref="AH109" si="239">+AH118/4*AH100</f>
        <v>0</v>
      </c>
      <c r="AI109" s="649"/>
      <c r="AJ109" s="660"/>
      <c r="AK109" s="660"/>
      <c r="AL109" s="660"/>
      <c r="AM109" s="660"/>
      <c r="AN109" s="660"/>
      <c r="AO109" s="660"/>
      <c r="AP109" s="660"/>
      <c r="AQ109" s="660"/>
      <c r="AR109" s="660"/>
      <c r="AS109" s="660"/>
      <c r="AT109" s="660"/>
      <c r="AU109" s="660"/>
      <c r="AV109" s="660"/>
      <c r="AW109" s="660"/>
      <c r="AX109" s="660"/>
      <c r="AY109" s="660"/>
      <c r="AZ109" s="660"/>
      <c r="BE109" s="649">
        <f t="shared" si="225"/>
        <v>166.06069776105613</v>
      </c>
      <c r="BF109" s="649">
        <f t="shared" si="226"/>
        <v>0</v>
      </c>
      <c r="BG109" s="649">
        <f t="shared" si="227"/>
        <v>0</v>
      </c>
      <c r="BH109" s="649">
        <f t="shared" si="228"/>
        <v>0</v>
      </c>
      <c r="BI109" s="660">
        <f t="shared" si="237"/>
        <v>31.845074323700491</v>
      </c>
      <c r="BJ109" s="660">
        <f t="shared" si="237"/>
        <v>31.845074323700491</v>
      </c>
      <c r="BK109" s="660">
        <f t="shared" si="237"/>
        <v>31.845074323700491</v>
      </c>
      <c r="BL109" s="660">
        <f t="shared" si="237"/>
        <v>31.845074323700491</v>
      </c>
      <c r="BM109" s="660">
        <f t="shared" ref="BM109:BO109" si="240">+BM118*BM100</f>
        <v>31.845074323700491</v>
      </c>
      <c r="BN109" s="660">
        <f t="shared" si="240"/>
        <v>31.845074323700491</v>
      </c>
      <c r="BO109" s="660">
        <f t="shared" si="240"/>
        <v>31.845074323700491</v>
      </c>
    </row>
    <row r="110" spans="2:67">
      <c r="C110" t="s">
        <v>757</v>
      </c>
      <c r="Z110" s="649">
        <f t="shared" si="219"/>
        <v>151.54338718234874</v>
      </c>
      <c r="AA110" s="649">
        <f t="shared" si="219"/>
        <v>81.042232620320846</v>
      </c>
      <c r="AB110" s="649">
        <f t="shared" si="219"/>
        <v>0</v>
      </c>
      <c r="AC110" s="649">
        <f t="shared" si="219"/>
        <v>0</v>
      </c>
      <c r="AD110" s="649">
        <f t="shared" si="219"/>
        <v>0</v>
      </c>
      <c r="AE110" s="649">
        <f t="shared" si="219"/>
        <v>0</v>
      </c>
      <c r="AF110" s="649">
        <f t="shared" si="219"/>
        <v>0</v>
      </c>
      <c r="AG110" s="649">
        <f>+AG119/4*AG101</f>
        <v>0</v>
      </c>
      <c r="AH110" s="649">
        <f t="shared" ref="AH110:AN110" si="241">+AH119/4*AH101</f>
        <v>0</v>
      </c>
      <c r="AI110" s="649">
        <f t="shared" ref="AI110" si="242">+AI119/4*AI101</f>
        <v>0</v>
      </c>
      <c r="AJ110" s="660">
        <f t="shared" si="241"/>
        <v>0</v>
      </c>
      <c r="AK110" s="660">
        <f t="shared" si="241"/>
        <v>0</v>
      </c>
      <c r="AL110" s="660">
        <f t="shared" si="241"/>
        <v>0</v>
      </c>
      <c r="AM110" s="660">
        <f t="shared" si="241"/>
        <v>0</v>
      </c>
      <c r="AN110" s="660">
        <f t="shared" si="241"/>
        <v>0</v>
      </c>
      <c r="AO110" s="660">
        <f t="shared" ref="AO110:AR110" si="243">+AO119/4*AO101</f>
        <v>0</v>
      </c>
      <c r="AP110" s="660">
        <f t="shared" si="243"/>
        <v>0</v>
      </c>
      <c r="AQ110" s="660">
        <f t="shared" si="243"/>
        <v>0</v>
      </c>
      <c r="AR110" s="660">
        <f t="shared" si="243"/>
        <v>0</v>
      </c>
      <c r="AS110" s="660">
        <f t="shared" ref="AS110:AV110" si="244">+AS119/4*AS101</f>
        <v>0</v>
      </c>
      <c r="AT110" s="660">
        <f t="shared" si="244"/>
        <v>0</v>
      </c>
      <c r="AU110" s="660">
        <f t="shared" si="244"/>
        <v>0</v>
      </c>
      <c r="AV110" s="660">
        <f t="shared" si="244"/>
        <v>0</v>
      </c>
      <c r="AW110" s="660">
        <f t="shared" ref="AW110:AZ110" si="245">+AW119/4*AW101</f>
        <v>0</v>
      </c>
      <c r="AX110" s="660">
        <f t="shared" si="245"/>
        <v>0</v>
      </c>
      <c r="AY110" s="660">
        <f t="shared" si="245"/>
        <v>0</v>
      </c>
      <c r="AZ110" s="660">
        <f t="shared" si="245"/>
        <v>0</v>
      </c>
      <c r="BE110" s="649">
        <f t="shared" si="225"/>
        <v>232.58561980266958</v>
      </c>
      <c r="BF110" s="649">
        <f t="shared" si="226"/>
        <v>0</v>
      </c>
      <c r="BG110" s="649">
        <f t="shared" si="227"/>
        <v>0</v>
      </c>
      <c r="BH110" s="649">
        <f t="shared" si="228"/>
        <v>0</v>
      </c>
      <c r="BI110" s="660">
        <f t="shared" si="237"/>
        <v>0</v>
      </c>
      <c r="BJ110" s="660">
        <f t="shared" si="237"/>
        <v>0</v>
      </c>
      <c r="BK110" s="660">
        <f t="shared" si="237"/>
        <v>0</v>
      </c>
      <c r="BL110" s="660">
        <f t="shared" si="237"/>
        <v>0</v>
      </c>
      <c r="BM110" s="660">
        <f t="shared" ref="BM110:BO110" si="246">+BM119*BM101</f>
        <v>0</v>
      </c>
      <c r="BN110" s="660">
        <f t="shared" si="246"/>
        <v>0</v>
      </c>
      <c r="BO110" s="660">
        <f t="shared" si="246"/>
        <v>0</v>
      </c>
    </row>
    <row r="111" spans="2:67">
      <c r="C111" t="s">
        <v>758</v>
      </c>
      <c r="Z111" s="649">
        <f t="shared" si="219"/>
        <v>83.563973910975307</v>
      </c>
      <c r="AA111" s="649">
        <f t="shared" si="219"/>
        <v>0</v>
      </c>
      <c r="AB111" s="649">
        <f>+AB120/4*AB102</f>
        <v>0</v>
      </c>
      <c r="AC111" s="649">
        <f t="shared" si="219"/>
        <v>0</v>
      </c>
      <c r="AD111" s="649">
        <f t="shared" si="219"/>
        <v>0</v>
      </c>
      <c r="AE111" s="649">
        <f t="shared" si="219"/>
        <v>0</v>
      </c>
      <c r="AF111" s="649">
        <f t="shared" si="219"/>
        <v>0</v>
      </c>
      <c r="AG111" s="649">
        <f>+AG120/4*AG102</f>
        <v>0</v>
      </c>
      <c r="AH111" s="649">
        <f t="shared" ref="AH111:AN111" si="247">+AH120/4*AH102</f>
        <v>0</v>
      </c>
      <c r="AI111" s="649">
        <f t="shared" ref="AI111" si="248">+AI120/4*AI102</f>
        <v>0</v>
      </c>
      <c r="AJ111" s="660">
        <f t="shared" si="247"/>
        <v>0</v>
      </c>
      <c r="AK111" s="660">
        <f t="shared" si="247"/>
        <v>0</v>
      </c>
      <c r="AL111" s="660">
        <f t="shared" si="247"/>
        <v>0</v>
      </c>
      <c r="AM111" s="660">
        <f t="shared" si="247"/>
        <v>0</v>
      </c>
      <c r="AN111" s="660">
        <f t="shared" si="247"/>
        <v>0</v>
      </c>
      <c r="AO111" s="660">
        <f t="shared" ref="AO111:AR111" si="249">+AO120/4*AO102</f>
        <v>0</v>
      </c>
      <c r="AP111" s="660">
        <f t="shared" si="249"/>
        <v>0</v>
      </c>
      <c r="AQ111" s="660">
        <f t="shared" si="249"/>
        <v>0</v>
      </c>
      <c r="AR111" s="660">
        <f t="shared" si="249"/>
        <v>0</v>
      </c>
      <c r="AS111" s="660">
        <f t="shared" ref="AS111:AV111" si="250">+AS120/4*AS102</f>
        <v>0</v>
      </c>
      <c r="AT111" s="660">
        <f t="shared" si="250"/>
        <v>0</v>
      </c>
      <c r="AU111" s="660">
        <f t="shared" si="250"/>
        <v>0</v>
      </c>
      <c r="AV111" s="660">
        <f t="shared" si="250"/>
        <v>0</v>
      </c>
      <c r="AW111" s="660">
        <f t="shared" ref="AW111:AZ111" si="251">+AW120/4*AW102</f>
        <v>0</v>
      </c>
      <c r="AX111" s="660">
        <f t="shared" si="251"/>
        <v>0</v>
      </c>
      <c r="AY111" s="660">
        <f t="shared" si="251"/>
        <v>0</v>
      </c>
      <c r="AZ111" s="660">
        <f t="shared" si="251"/>
        <v>0</v>
      </c>
      <c r="BE111" s="649">
        <f t="shared" si="225"/>
        <v>83.563973910975307</v>
      </c>
      <c r="BF111" s="649">
        <f t="shared" si="226"/>
        <v>0</v>
      </c>
      <c r="BG111" s="649">
        <f t="shared" si="227"/>
        <v>0</v>
      </c>
      <c r="BH111" s="649">
        <f t="shared" si="228"/>
        <v>0</v>
      </c>
      <c r="BI111" s="660">
        <f t="shared" si="237"/>
        <v>0</v>
      </c>
      <c r="BJ111" s="660">
        <f t="shared" si="237"/>
        <v>0</v>
      </c>
      <c r="BK111" s="660">
        <f t="shared" si="237"/>
        <v>0</v>
      </c>
      <c r="BL111" s="660">
        <f t="shared" si="237"/>
        <v>0</v>
      </c>
      <c r="BM111" s="660">
        <f t="shared" ref="BM111:BO111" si="252">+BM120*BM102</f>
        <v>0</v>
      </c>
      <c r="BN111" s="660">
        <f t="shared" si="252"/>
        <v>0</v>
      </c>
      <c r="BO111" s="660">
        <f t="shared" si="252"/>
        <v>0</v>
      </c>
    </row>
    <row r="112" spans="2:67">
      <c r="C112" t="s">
        <v>759</v>
      </c>
      <c r="Z112" s="649">
        <f t="shared" si="219"/>
        <v>138.57717850674177</v>
      </c>
      <c r="AA112" s="649">
        <f t="shared" si="219"/>
        <v>0</v>
      </c>
      <c r="AB112" s="649">
        <f t="shared" si="219"/>
        <v>0</v>
      </c>
      <c r="AC112" s="649">
        <f t="shared" si="219"/>
        <v>0</v>
      </c>
      <c r="AD112" s="649">
        <f t="shared" si="219"/>
        <v>0</v>
      </c>
      <c r="AE112" s="649">
        <f t="shared" si="219"/>
        <v>0</v>
      </c>
      <c r="AF112" s="649">
        <f t="shared" si="219"/>
        <v>0</v>
      </c>
      <c r="AG112" s="649">
        <f>+AG121/4*AG103</f>
        <v>0</v>
      </c>
      <c r="AH112" s="649">
        <f t="shared" ref="AH112:AN112" si="253">+AH121/4*AH103</f>
        <v>0</v>
      </c>
      <c r="AI112" s="649">
        <f t="shared" ref="AI112" si="254">+AI121/4*AI103</f>
        <v>0</v>
      </c>
      <c r="AJ112" s="660">
        <f t="shared" si="253"/>
        <v>0</v>
      </c>
      <c r="AK112" s="660">
        <f t="shared" si="253"/>
        <v>0</v>
      </c>
      <c r="AL112" s="660">
        <f t="shared" si="253"/>
        <v>0</v>
      </c>
      <c r="AM112" s="660">
        <f t="shared" si="253"/>
        <v>0</v>
      </c>
      <c r="AN112" s="660">
        <f t="shared" si="253"/>
        <v>0</v>
      </c>
      <c r="AO112" s="660">
        <f t="shared" ref="AO112:AR112" si="255">+AO121/4*AO103</f>
        <v>0</v>
      </c>
      <c r="AP112" s="660">
        <f t="shared" si="255"/>
        <v>0</v>
      </c>
      <c r="AQ112" s="660">
        <f t="shared" si="255"/>
        <v>0</v>
      </c>
      <c r="AR112" s="660">
        <f t="shared" si="255"/>
        <v>0</v>
      </c>
      <c r="AS112" s="660">
        <f t="shared" ref="AS112:AV112" si="256">+AS121/4*AS103</f>
        <v>0</v>
      </c>
      <c r="AT112" s="660">
        <f t="shared" si="256"/>
        <v>0</v>
      </c>
      <c r="AU112" s="660">
        <f t="shared" si="256"/>
        <v>0</v>
      </c>
      <c r="AV112" s="660">
        <f t="shared" si="256"/>
        <v>0</v>
      </c>
      <c r="AW112" s="660">
        <f t="shared" ref="AW112:AZ112" si="257">+AW121/4*AW103</f>
        <v>0</v>
      </c>
      <c r="AX112" s="660">
        <f t="shared" si="257"/>
        <v>0</v>
      </c>
      <c r="AY112" s="660">
        <f t="shared" si="257"/>
        <v>0</v>
      </c>
      <c r="AZ112" s="660">
        <f t="shared" si="257"/>
        <v>0</v>
      </c>
      <c r="BE112" s="649">
        <f t="shared" si="225"/>
        <v>138.57717850674177</v>
      </c>
      <c r="BF112" s="649">
        <f t="shared" si="226"/>
        <v>0</v>
      </c>
      <c r="BG112" s="649">
        <f t="shared" si="227"/>
        <v>0</v>
      </c>
      <c r="BH112" s="649">
        <f t="shared" si="228"/>
        <v>0</v>
      </c>
      <c r="BI112" s="660">
        <f t="shared" si="237"/>
        <v>0</v>
      </c>
      <c r="BJ112" s="660">
        <f t="shared" si="237"/>
        <v>0</v>
      </c>
      <c r="BK112" s="660">
        <f t="shared" si="237"/>
        <v>0</v>
      </c>
      <c r="BL112" s="660">
        <f t="shared" si="237"/>
        <v>0</v>
      </c>
      <c r="BM112" s="660">
        <f t="shared" ref="BM112:BO112" si="258">+BM121*BM103</f>
        <v>0</v>
      </c>
      <c r="BN112" s="660">
        <f t="shared" si="258"/>
        <v>0</v>
      </c>
      <c r="BO112" s="660">
        <f t="shared" si="258"/>
        <v>0</v>
      </c>
    </row>
    <row r="113" spans="2:67">
      <c r="Z113" s="583"/>
      <c r="AA113" s="583"/>
      <c r="AB113" s="583"/>
      <c r="AC113" s="583"/>
      <c r="AD113" s="583"/>
      <c r="AE113" s="583"/>
      <c r="AF113" s="583"/>
      <c r="AG113" s="583"/>
      <c r="AH113" s="583"/>
      <c r="AI113" s="583"/>
      <c r="AJ113" s="583"/>
      <c r="AK113" s="583"/>
      <c r="AL113" s="583"/>
      <c r="AM113" s="583"/>
      <c r="AN113" s="583"/>
      <c r="AO113" s="583"/>
      <c r="AP113" s="583"/>
      <c r="AQ113" s="583"/>
      <c r="AR113" s="583"/>
      <c r="AS113" s="583"/>
      <c r="AT113" s="583"/>
      <c r="AU113" s="583"/>
      <c r="AV113" s="583"/>
      <c r="AW113" s="583"/>
      <c r="AX113" s="583"/>
      <c r="AY113" s="583"/>
      <c r="AZ113" s="583"/>
      <c r="BG113" s="583"/>
      <c r="BH113" s="583"/>
      <c r="BI113" s="583"/>
      <c r="BJ113" s="583"/>
      <c r="BK113" s="583"/>
      <c r="BL113" s="583"/>
      <c r="BM113" s="583"/>
      <c r="BN113" s="583"/>
      <c r="BO113" s="583"/>
    </row>
    <row r="114" spans="2:67">
      <c r="C114" s="359" t="s">
        <v>313</v>
      </c>
      <c r="Z114" s="653">
        <f t="shared" ref="Z114:AH114" si="259">+Z105/Z78</f>
        <v>9.6830800405174914E-4</v>
      </c>
      <c r="AA114" s="653">
        <f t="shared" si="259"/>
        <v>8.7457810597846265E-4</v>
      </c>
      <c r="AB114" s="653" t="e">
        <f t="shared" si="259"/>
        <v>#DIV/0!</v>
      </c>
      <c r="AC114" s="653" t="e">
        <f t="shared" si="259"/>
        <v>#DIV/0!</v>
      </c>
      <c r="AD114" s="653" t="e">
        <f t="shared" si="259"/>
        <v>#DIV/0!</v>
      </c>
      <c r="AE114" s="653" t="e">
        <f t="shared" si="259"/>
        <v>#DIV/0!</v>
      </c>
      <c r="AF114" s="653">
        <f t="shared" si="259"/>
        <v>4.6646764047339809E-4</v>
      </c>
      <c r="AG114" s="653">
        <f t="shared" si="259"/>
        <v>5.5366897977262664E-4</v>
      </c>
      <c r="AH114" s="653">
        <f t="shared" si="259"/>
        <v>4.9943872600315847E-4</v>
      </c>
      <c r="AI114" s="653">
        <f t="shared" ref="AI114:AN114" si="260">+AI105/AI78</f>
        <v>7.2020288902458689E-4</v>
      </c>
      <c r="AJ114" s="653">
        <f t="shared" si="260"/>
        <v>7.3784690607503792E-4</v>
      </c>
      <c r="AK114" s="653">
        <f t="shared" si="260"/>
        <v>7.7019327518022308E-4</v>
      </c>
      <c r="AL114" s="653">
        <f t="shared" si="260"/>
        <v>8.1467545598175458E-4</v>
      </c>
      <c r="AM114" s="653">
        <f t="shared" si="260"/>
        <v>7.7501415708150013E-4</v>
      </c>
      <c r="AN114" s="653">
        <f t="shared" si="260"/>
        <v>8.0374618668603429E-4</v>
      </c>
      <c r="AO114" s="653">
        <f t="shared" ref="AO114:AR114" si="261">+AO105/AO78</f>
        <v>7.7779614029567252E-4</v>
      </c>
      <c r="AP114" s="653">
        <f t="shared" si="261"/>
        <v>6.9720933582035521E-4</v>
      </c>
      <c r="AQ114" s="653">
        <f t="shared" si="261"/>
        <v>7.156438065160824E-4</v>
      </c>
      <c r="AR114" s="653">
        <f t="shared" si="261"/>
        <v>6.3176408343796979E-4</v>
      </c>
      <c r="AS114" s="653">
        <f t="shared" ref="AS114:AV114" si="262">+AS105/AS78</f>
        <v>6.7830586878480867E-4</v>
      </c>
      <c r="AT114" s="653">
        <f t="shared" si="262"/>
        <v>7.130271929639214E-4</v>
      </c>
      <c r="AU114" s="653">
        <f t="shared" si="262"/>
        <v>7.3289714668482817E-4</v>
      </c>
      <c r="AV114" s="653">
        <f t="shared" si="262"/>
        <v>7.2227013805789813E-4</v>
      </c>
      <c r="AW114" s="653">
        <f t="shared" ref="AW114:AZ114" si="263">+AW105/AW78</f>
        <v>7.1509270365976247E-4</v>
      </c>
      <c r="AX114" s="653">
        <f t="shared" si="263"/>
        <v>7.1257228672258585E-4</v>
      </c>
      <c r="AY114" s="653">
        <f t="shared" si="263"/>
        <v>7.1183406608752863E-4</v>
      </c>
      <c r="AZ114" s="653">
        <f t="shared" si="263"/>
        <v>7.072109795222103E-4</v>
      </c>
      <c r="BE114" s="653" t="e">
        <f t="shared" ref="BE114:BK114" si="264">+BE105/BE78</f>
        <v>#DIV/0!</v>
      </c>
      <c r="BF114" s="653">
        <f t="shared" si="264"/>
        <v>4.6646764047339809E-4</v>
      </c>
      <c r="BG114" s="653">
        <f t="shared" si="264"/>
        <v>2.0594614326940697E-3</v>
      </c>
      <c r="BH114" s="653">
        <f t="shared" si="264"/>
        <v>3.2149847467441372E-3</v>
      </c>
      <c r="BI114" s="653">
        <f t="shared" si="264"/>
        <v>5.1988002945545708E-3</v>
      </c>
      <c r="BJ114" s="653">
        <f t="shared" si="264"/>
        <v>5.3126943010935916E-3</v>
      </c>
      <c r="BK114" s="653">
        <f t="shared" si="264"/>
        <v>5.2937436584218015E-3</v>
      </c>
      <c r="BL114" s="653">
        <f>+BL105/BL78</f>
        <v>5.2741601078722935E-3</v>
      </c>
      <c r="BM114" s="653">
        <f t="shared" ref="BM114:BO114" si="265">+BM105/BM78</f>
        <v>5.2570938328836154E-3</v>
      </c>
      <c r="BN114" s="653">
        <f t="shared" si="265"/>
        <v>5.2403621907378536E-3</v>
      </c>
      <c r="BO114" s="653">
        <f t="shared" si="265"/>
        <v>5.2239586200067134E-3</v>
      </c>
    </row>
    <row r="115" spans="2:67">
      <c r="B115" t="s">
        <v>750</v>
      </c>
      <c r="C115" t="s">
        <v>753</v>
      </c>
      <c r="Z115" s="650">
        <v>2.7400000000000001E-2</v>
      </c>
      <c r="AA115" s="650"/>
      <c r="AB115" s="650">
        <f>+AA115</f>
        <v>0</v>
      </c>
      <c r="AC115" s="650">
        <f>+AB115</f>
        <v>0</v>
      </c>
      <c r="AD115" s="650">
        <f>+AC115</f>
        <v>0</v>
      </c>
      <c r="AE115" s="650">
        <f>+AD115</f>
        <v>0</v>
      </c>
      <c r="AF115" s="650">
        <v>1.0500000000000001E-2</v>
      </c>
      <c r="AG115" s="650">
        <v>1.0500000000000001E-2</v>
      </c>
      <c r="AH115" s="650">
        <v>1.0500000000000001E-2</v>
      </c>
      <c r="AI115" s="650">
        <v>1.0500000000000001E-2</v>
      </c>
      <c r="AJ115" s="654">
        <f t="shared" ref="AJ115:AJ121" si="266">+AI115</f>
        <v>1.0500000000000001E-2</v>
      </c>
      <c r="AK115" s="654">
        <f t="shared" ref="AK115:AK121" si="267">+AJ115</f>
        <v>1.0500000000000001E-2</v>
      </c>
      <c r="AL115" s="654">
        <f t="shared" ref="AL115:AL121" si="268">+AK115</f>
        <v>1.0500000000000001E-2</v>
      </c>
      <c r="AM115" s="654">
        <f t="shared" ref="AM115:AM121" si="269">+AL115</f>
        <v>1.0500000000000001E-2</v>
      </c>
      <c r="AN115" s="654">
        <f t="shared" ref="AN115:AN121" si="270">+AM115</f>
        <v>1.0500000000000001E-2</v>
      </c>
      <c r="AO115" s="654">
        <f t="shared" ref="AO115:AO116" si="271">+AN115</f>
        <v>1.0500000000000001E-2</v>
      </c>
      <c r="AP115" s="654">
        <f t="shared" ref="AP115:AP116" si="272">+AO115</f>
        <v>1.0500000000000001E-2</v>
      </c>
      <c r="AQ115" s="654">
        <f t="shared" ref="AQ115:AQ116" si="273">+AP115</f>
        <v>1.0500000000000001E-2</v>
      </c>
      <c r="AR115" s="654">
        <f t="shared" ref="AR115:AR116" si="274">+AQ115</f>
        <v>1.0500000000000001E-2</v>
      </c>
      <c r="AS115" s="654">
        <f t="shared" ref="AS115:AS116" si="275">+AR115</f>
        <v>1.0500000000000001E-2</v>
      </c>
      <c r="AT115" s="654">
        <f t="shared" ref="AT115:AT116" si="276">+AS115</f>
        <v>1.0500000000000001E-2</v>
      </c>
      <c r="AU115" s="654">
        <f t="shared" ref="AU115:AU116" si="277">+AT115</f>
        <v>1.0500000000000001E-2</v>
      </c>
      <c r="AV115" s="654">
        <f t="shared" ref="AV115:AV116" si="278">+AU115</f>
        <v>1.0500000000000001E-2</v>
      </c>
      <c r="AW115" s="654">
        <f t="shared" ref="AW115:AW116" si="279">+AV115</f>
        <v>1.0500000000000001E-2</v>
      </c>
      <c r="AX115" s="654">
        <f t="shared" ref="AX115:AX116" si="280">+AW115</f>
        <v>1.0500000000000001E-2</v>
      </c>
      <c r="AY115" s="654">
        <f t="shared" ref="AY115:AY116" si="281">+AX115</f>
        <v>1.0500000000000001E-2</v>
      </c>
      <c r="AZ115" s="654">
        <f t="shared" ref="AZ115:AZ116" si="282">+AY115</f>
        <v>1.0500000000000001E-2</v>
      </c>
      <c r="BE115" s="654">
        <f t="shared" ref="BE115:BE121" si="283">+AB115</f>
        <v>0</v>
      </c>
      <c r="BF115" s="654">
        <f t="shared" ref="BF115:BF121" si="284">+AF115</f>
        <v>1.0500000000000001E-2</v>
      </c>
      <c r="BG115" s="654">
        <f t="shared" ref="BG115:BL115" si="285">+BF115</f>
        <v>1.0500000000000001E-2</v>
      </c>
      <c r="BH115" s="654">
        <f t="shared" si="285"/>
        <v>1.0500000000000001E-2</v>
      </c>
      <c r="BI115" s="654">
        <f t="shared" si="285"/>
        <v>1.0500000000000001E-2</v>
      </c>
      <c r="BJ115" s="654">
        <f t="shared" si="285"/>
        <v>1.0500000000000001E-2</v>
      </c>
      <c r="BK115" s="654">
        <f t="shared" si="285"/>
        <v>1.0500000000000001E-2</v>
      </c>
      <c r="BL115" s="654">
        <f t="shared" si="285"/>
        <v>1.0500000000000001E-2</v>
      </c>
      <c r="BM115" s="654">
        <f t="shared" ref="BM115:BM121" si="286">+BL115</f>
        <v>1.0500000000000001E-2</v>
      </c>
      <c r="BN115" s="654">
        <f t="shared" ref="BN115:BN121" si="287">+BM115</f>
        <v>1.0500000000000001E-2</v>
      </c>
      <c r="BO115" s="654">
        <f t="shared" ref="BO115:BO121" si="288">+BN115</f>
        <v>1.0500000000000001E-2</v>
      </c>
    </row>
    <row r="116" spans="2:67">
      <c r="C116" t="s">
        <v>754</v>
      </c>
      <c r="Z116" s="651">
        <v>2.5100000000000001E-2</v>
      </c>
      <c r="AA116" s="651">
        <v>2.5100000000000001E-2</v>
      </c>
      <c r="AB116" s="651">
        <v>0</v>
      </c>
      <c r="AC116" s="651">
        <f t="shared" ref="AC116:AH116" si="289">+AB116</f>
        <v>0</v>
      </c>
      <c r="AD116" s="651">
        <f t="shared" si="289"/>
        <v>0</v>
      </c>
      <c r="AE116" s="651">
        <f t="shared" si="289"/>
        <v>0</v>
      </c>
      <c r="AF116" s="651">
        <f t="shared" si="289"/>
        <v>0</v>
      </c>
      <c r="AG116" s="651">
        <f t="shared" si="289"/>
        <v>0</v>
      </c>
      <c r="AH116" s="651">
        <f t="shared" si="289"/>
        <v>0</v>
      </c>
      <c r="AI116" s="651">
        <v>2.75E-2</v>
      </c>
      <c r="AJ116" s="654">
        <f t="shared" si="266"/>
        <v>2.75E-2</v>
      </c>
      <c r="AK116" s="654">
        <f t="shared" si="267"/>
        <v>2.75E-2</v>
      </c>
      <c r="AL116" s="654">
        <f t="shared" si="268"/>
        <v>2.75E-2</v>
      </c>
      <c r="AM116" s="654">
        <f t="shared" si="269"/>
        <v>2.75E-2</v>
      </c>
      <c r="AN116" s="654">
        <f t="shared" si="270"/>
        <v>2.75E-2</v>
      </c>
      <c r="AO116" s="654">
        <f t="shared" si="271"/>
        <v>2.75E-2</v>
      </c>
      <c r="AP116" s="654">
        <f t="shared" si="272"/>
        <v>2.75E-2</v>
      </c>
      <c r="AQ116" s="654">
        <f t="shared" si="273"/>
        <v>2.75E-2</v>
      </c>
      <c r="AR116" s="654">
        <f t="shared" si="274"/>
        <v>2.75E-2</v>
      </c>
      <c r="AS116" s="654">
        <f t="shared" si="275"/>
        <v>2.75E-2</v>
      </c>
      <c r="AT116" s="654">
        <f t="shared" si="276"/>
        <v>2.75E-2</v>
      </c>
      <c r="AU116" s="654">
        <f t="shared" si="277"/>
        <v>2.75E-2</v>
      </c>
      <c r="AV116" s="654">
        <f t="shared" si="278"/>
        <v>2.75E-2</v>
      </c>
      <c r="AW116" s="654">
        <f t="shared" si="279"/>
        <v>2.75E-2</v>
      </c>
      <c r="AX116" s="654">
        <f t="shared" si="280"/>
        <v>2.75E-2</v>
      </c>
      <c r="AY116" s="654">
        <f t="shared" si="281"/>
        <v>2.75E-2</v>
      </c>
      <c r="AZ116" s="654">
        <f t="shared" si="282"/>
        <v>2.75E-2</v>
      </c>
      <c r="BE116" s="654">
        <f t="shared" si="283"/>
        <v>0</v>
      </c>
      <c r="BF116" s="654">
        <f t="shared" si="284"/>
        <v>0</v>
      </c>
      <c r="BG116" s="654">
        <f t="shared" ref="BG116:BL116" si="290">+BF116</f>
        <v>0</v>
      </c>
      <c r="BH116" s="654">
        <f t="shared" si="290"/>
        <v>0</v>
      </c>
      <c r="BI116" s="654">
        <f t="shared" si="290"/>
        <v>0</v>
      </c>
      <c r="BJ116" s="654">
        <f t="shared" si="290"/>
        <v>0</v>
      </c>
      <c r="BK116" s="654">
        <f t="shared" si="290"/>
        <v>0</v>
      </c>
      <c r="BL116" s="654">
        <f t="shared" si="290"/>
        <v>0</v>
      </c>
      <c r="BM116" s="654">
        <f t="shared" si="286"/>
        <v>0</v>
      </c>
      <c r="BN116" s="654">
        <f t="shared" si="287"/>
        <v>0</v>
      </c>
      <c r="BO116" s="654">
        <f t="shared" si="288"/>
        <v>0</v>
      </c>
    </row>
    <row r="117" spans="2:67">
      <c r="C117" t="s">
        <v>755</v>
      </c>
      <c r="Z117" s="650">
        <v>2.46E-2</v>
      </c>
      <c r="AA117" s="650">
        <v>2.46E-2</v>
      </c>
      <c r="AB117" s="650">
        <v>2.5700000000000001E-2</v>
      </c>
      <c r="AC117" s="650">
        <f t="shared" ref="AC117:AH117" si="291">+AB117</f>
        <v>2.5700000000000001E-2</v>
      </c>
      <c r="AD117" s="650">
        <f t="shared" si="291"/>
        <v>2.5700000000000001E-2</v>
      </c>
      <c r="AE117" s="650">
        <f t="shared" si="291"/>
        <v>2.5700000000000001E-2</v>
      </c>
      <c r="AF117" s="650">
        <f t="shared" si="291"/>
        <v>2.5700000000000001E-2</v>
      </c>
      <c r="AG117" s="650">
        <f t="shared" si="291"/>
        <v>2.5700000000000001E-2</v>
      </c>
      <c r="AH117" s="650">
        <f t="shared" si="291"/>
        <v>2.5700000000000001E-2</v>
      </c>
      <c r="AI117" s="650">
        <f>+MACRO!CL6+1.5%/4</f>
        <v>3.6141886619581148E-2</v>
      </c>
      <c r="AJ117" s="654">
        <f>+MACRO!CM6+(1.5%/4)</f>
        <v>3.648251637831032E-2</v>
      </c>
      <c r="AK117" s="654">
        <f>+MACRO!CN6+(1.5%/4)</f>
        <v>3.648251637831032E-2</v>
      </c>
      <c r="AL117" s="654">
        <f>+MACRO!CO6+(1.5%/4)</f>
        <v>3.648251637831032E-2</v>
      </c>
      <c r="AM117" s="654">
        <f>+MACRO!CP6+(1.5%/4)</f>
        <v>3.5596176683566044E-2</v>
      </c>
      <c r="AN117" s="654">
        <f>+MACRO!CQ6+(1.5%/4)</f>
        <v>3.3244284160460852E-2</v>
      </c>
      <c r="AO117" s="654">
        <f>+MACRO!CR6+(1.5%/4)</f>
        <v>3.0991497638393452E-2</v>
      </c>
      <c r="AP117" s="654">
        <f>+MACRO!CS6+(1.5%/4)</f>
        <v>2.9257360290891512E-2</v>
      </c>
      <c r="AQ117" s="654">
        <f>+MACRO!CT6+(1.5%/4)</f>
        <v>2.9095057941852822E-2</v>
      </c>
      <c r="AR117" s="654">
        <f>+MACRO!CU6+(1.5%/4)</f>
        <v>3.08069411275976E-2</v>
      </c>
      <c r="AS117" s="654">
        <f>+MACRO!CV6+(1.5%/4)</f>
        <v>3.610401804962779E-2</v>
      </c>
      <c r="AT117" s="654">
        <f>+MACRO!CW6+(1.5%/4)</f>
        <v>3.8744813649531057E-2</v>
      </c>
      <c r="AU117" s="654">
        <f>+MACRO!CX6+(1.5%/4)</f>
        <v>3.9308076341622117E-2</v>
      </c>
      <c r="AV117" s="654">
        <f>+MACRO!CY6+(1.5%/4)</f>
        <v>3.9308076341622117E-2</v>
      </c>
      <c r="AW117" s="654">
        <f>+MACRO!CZ6+(1.5%/4)</f>
        <v>3.8180629840220387E-2</v>
      </c>
      <c r="AX117" s="654">
        <f>+MACRO!DA6+(1.5%/4)</f>
        <v>3.5914612662692441E-2</v>
      </c>
      <c r="AY117" s="654">
        <f>+MACRO!DB6+(1.5%/4)</f>
        <v>3.420525331271182E-2</v>
      </c>
      <c r="AZ117" s="654">
        <f>+MACRO!DC6+(1.5%/4)</f>
        <v>3.3060936996617357E-2</v>
      </c>
      <c r="BE117" s="654">
        <f t="shared" si="283"/>
        <v>2.5700000000000001E-2</v>
      </c>
      <c r="BF117" s="654">
        <f t="shared" si="284"/>
        <v>2.5700000000000001E-2</v>
      </c>
      <c r="BG117" s="654">
        <f t="shared" ref="BG117:BL117" si="292">+BF117</f>
        <v>2.5700000000000001E-2</v>
      </c>
      <c r="BH117" s="654">
        <f t="shared" si="292"/>
        <v>2.5700000000000001E-2</v>
      </c>
      <c r="BI117" s="654">
        <f t="shared" si="292"/>
        <v>2.5700000000000001E-2</v>
      </c>
      <c r="BJ117" s="654">
        <f t="shared" si="292"/>
        <v>2.5700000000000001E-2</v>
      </c>
      <c r="BK117" s="654">
        <f t="shared" si="292"/>
        <v>2.5700000000000001E-2</v>
      </c>
      <c r="BL117" s="654">
        <f t="shared" si="292"/>
        <v>2.5700000000000001E-2</v>
      </c>
      <c r="BM117" s="654">
        <f t="shared" si="286"/>
        <v>2.5700000000000001E-2</v>
      </c>
      <c r="BN117" s="654">
        <f t="shared" si="287"/>
        <v>2.5700000000000001E-2</v>
      </c>
      <c r="BO117" s="654">
        <f t="shared" si="288"/>
        <v>2.5700000000000001E-2</v>
      </c>
    </row>
    <row r="118" spans="2:67">
      <c r="C118" t="s">
        <v>756</v>
      </c>
      <c r="Z118" s="650">
        <v>3.6999999999999998E-2</v>
      </c>
      <c r="AA118" s="650">
        <v>3.6999999999999998E-2</v>
      </c>
      <c r="AB118" s="650">
        <f t="shared" ref="AB118:AH118" si="293">+AA118</f>
        <v>3.6999999999999998E-2</v>
      </c>
      <c r="AC118" s="650">
        <f t="shared" si="293"/>
        <v>3.6999999999999998E-2</v>
      </c>
      <c r="AD118" s="650">
        <f t="shared" si="293"/>
        <v>3.6999999999999998E-2</v>
      </c>
      <c r="AE118" s="650">
        <f t="shared" si="293"/>
        <v>3.6999999999999998E-2</v>
      </c>
      <c r="AF118" s="650">
        <f t="shared" si="293"/>
        <v>3.6999999999999998E-2</v>
      </c>
      <c r="AG118" s="650">
        <f t="shared" si="293"/>
        <v>3.6999999999999998E-2</v>
      </c>
      <c r="AH118" s="650">
        <f t="shared" si="293"/>
        <v>3.6999999999999998E-2</v>
      </c>
      <c r="AI118" s="650">
        <f>+MACRO!CL6*109.57%</f>
        <v>3.5491790169075055E-2</v>
      </c>
      <c r="AJ118" s="654">
        <f t="shared" si="266"/>
        <v>3.5491790169075055E-2</v>
      </c>
      <c r="AK118" s="654">
        <f t="shared" si="267"/>
        <v>3.5491790169075055E-2</v>
      </c>
      <c r="AL118" s="654">
        <f t="shared" si="268"/>
        <v>3.5491790169075055E-2</v>
      </c>
      <c r="AM118" s="654">
        <f t="shared" si="269"/>
        <v>3.5491790169075055E-2</v>
      </c>
      <c r="AN118" s="654">
        <f t="shared" si="270"/>
        <v>3.5491790169075055E-2</v>
      </c>
      <c r="AO118" s="654">
        <f t="shared" ref="AO118:AO121" si="294">+AN118</f>
        <v>3.5491790169075055E-2</v>
      </c>
      <c r="AP118" s="654">
        <f t="shared" ref="AP118:AP121" si="295">+AO118</f>
        <v>3.5491790169075055E-2</v>
      </c>
      <c r="AQ118" s="654">
        <f t="shared" ref="AQ118:AQ121" si="296">+AP118</f>
        <v>3.5491790169075055E-2</v>
      </c>
      <c r="AR118" s="654">
        <f t="shared" ref="AR118:AR121" si="297">+AQ118</f>
        <v>3.5491790169075055E-2</v>
      </c>
      <c r="AS118" s="654">
        <f t="shared" ref="AS118:AS121" si="298">+AR118</f>
        <v>3.5491790169075055E-2</v>
      </c>
      <c r="AT118" s="654">
        <f t="shared" ref="AT118:AT121" si="299">+AS118</f>
        <v>3.5491790169075055E-2</v>
      </c>
      <c r="AU118" s="654">
        <f t="shared" ref="AU118:AU121" si="300">+AT118</f>
        <v>3.5491790169075055E-2</v>
      </c>
      <c r="AV118" s="654">
        <f t="shared" ref="AV118:AV121" si="301">+AU118</f>
        <v>3.5491790169075055E-2</v>
      </c>
      <c r="AW118" s="654">
        <f t="shared" ref="AW118:AW121" si="302">+AV118</f>
        <v>3.5491790169075055E-2</v>
      </c>
      <c r="AX118" s="654">
        <f t="shared" ref="AX118:AX121" si="303">+AW118</f>
        <v>3.5491790169075055E-2</v>
      </c>
      <c r="AY118" s="654">
        <f t="shared" ref="AY118:AY121" si="304">+AX118</f>
        <v>3.5491790169075055E-2</v>
      </c>
      <c r="AZ118" s="654">
        <f t="shared" ref="AZ118:AZ121" si="305">+AY118</f>
        <v>3.5491790169075055E-2</v>
      </c>
      <c r="BE118" s="654">
        <f t="shared" si="283"/>
        <v>3.6999999999999998E-2</v>
      </c>
      <c r="BF118" s="654">
        <f t="shared" si="284"/>
        <v>3.6999999999999998E-2</v>
      </c>
      <c r="BG118" s="654">
        <f t="shared" ref="BG118:BL118" si="306">+BF118</f>
        <v>3.6999999999999998E-2</v>
      </c>
      <c r="BH118" s="654">
        <f t="shared" si="306"/>
        <v>3.6999999999999998E-2</v>
      </c>
      <c r="BI118" s="654">
        <f t="shared" si="306"/>
        <v>3.6999999999999998E-2</v>
      </c>
      <c r="BJ118" s="654">
        <f t="shared" si="306"/>
        <v>3.6999999999999998E-2</v>
      </c>
      <c r="BK118" s="654">
        <f t="shared" si="306"/>
        <v>3.6999999999999998E-2</v>
      </c>
      <c r="BL118" s="654">
        <f t="shared" si="306"/>
        <v>3.6999999999999998E-2</v>
      </c>
      <c r="BM118" s="654">
        <f t="shared" si="286"/>
        <v>3.6999999999999998E-2</v>
      </c>
      <c r="BN118" s="654">
        <f t="shared" si="287"/>
        <v>3.6999999999999998E-2</v>
      </c>
      <c r="BO118" s="654">
        <f t="shared" si="288"/>
        <v>3.6999999999999998E-2</v>
      </c>
    </row>
    <row r="119" spans="2:67">
      <c r="C119" t="s">
        <v>757</v>
      </c>
      <c r="Z119" s="650">
        <v>1.95E-2</v>
      </c>
      <c r="AA119" s="650">
        <v>8.0999999999999996E-3</v>
      </c>
      <c r="AB119" s="650">
        <v>7.6E-3</v>
      </c>
      <c r="AC119" s="650">
        <f t="shared" ref="AB119:AH121" si="307">+AB119</f>
        <v>7.6E-3</v>
      </c>
      <c r="AD119" s="650">
        <f t="shared" si="307"/>
        <v>7.6E-3</v>
      </c>
      <c r="AE119" s="650">
        <f t="shared" si="307"/>
        <v>7.6E-3</v>
      </c>
      <c r="AF119" s="650">
        <f t="shared" si="307"/>
        <v>7.6E-3</v>
      </c>
      <c r="AG119" s="650">
        <f t="shared" si="307"/>
        <v>7.6E-3</v>
      </c>
      <c r="AH119" s="650">
        <f t="shared" si="307"/>
        <v>7.6E-3</v>
      </c>
      <c r="AI119" s="650">
        <f t="shared" ref="AI119:AI121" si="308">+AH119</f>
        <v>7.6E-3</v>
      </c>
      <c r="AJ119" s="654">
        <f t="shared" si="266"/>
        <v>7.6E-3</v>
      </c>
      <c r="AK119" s="654">
        <f t="shared" si="267"/>
        <v>7.6E-3</v>
      </c>
      <c r="AL119" s="654">
        <f t="shared" si="268"/>
        <v>7.6E-3</v>
      </c>
      <c r="AM119" s="654">
        <f t="shared" si="269"/>
        <v>7.6E-3</v>
      </c>
      <c r="AN119" s="654">
        <f t="shared" si="270"/>
        <v>7.6E-3</v>
      </c>
      <c r="AO119" s="654">
        <f t="shared" si="294"/>
        <v>7.6E-3</v>
      </c>
      <c r="AP119" s="654">
        <f t="shared" si="295"/>
        <v>7.6E-3</v>
      </c>
      <c r="AQ119" s="654">
        <f t="shared" si="296"/>
        <v>7.6E-3</v>
      </c>
      <c r="AR119" s="654">
        <f t="shared" si="297"/>
        <v>7.6E-3</v>
      </c>
      <c r="AS119" s="654">
        <f t="shared" si="298"/>
        <v>7.6E-3</v>
      </c>
      <c r="AT119" s="654">
        <f t="shared" si="299"/>
        <v>7.6E-3</v>
      </c>
      <c r="AU119" s="654">
        <f t="shared" si="300"/>
        <v>7.6E-3</v>
      </c>
      <c r="AV119" s="654">
        <f t="shared" si="301"/>
        <v>7.6E-3</v>
      </c>
      <c r="AW119" s="654">
        <f t="shared" si="302"/>
        <v>7.6E-3</v>
      </c>
      <c r="AX119" s="654">
        <f t="shared" si="303"/>
        <v>7.6E-3</v>
      </c>
      <c r="AY119" s="654">
        <f t="shared" si="304"/>
        <v>7.6E-3</v>
      </c>
      <c r="AZ119" s="654">
        <f t="shared" si="305"/>
        <v>7.6E-3</v>
      </c>
      <c r="BE119" s="654">
        <f t="shared" si="283"/>
        <v>7.6E-3</v>
      </c>
      <c r="BF119" s="654">
        <f t="shared" si="284"/>
        <v>7.6E-3</v>
      </c>
      <c r="BG119" s="654">
        <f t="shared" ref="BG119:BL121" si="309">+BF119</f>
        <v>7.6E-3</v>
      </c>
      <c r="BH119" s="654">
        <f t="shared" si="309"/>
        <v>7.6E-3</v>
      </c>
      <c r="BI119" s="654">
        <f t="shared" si="309"/>
        <v>7.6E-3</v>
      </c>
      <c r="BJ119" s="654">
        <f t="shared" si="309"/>
        <v>7.6E-3</v>
      </c>
      <c r="BK119" s="654">
        <f t="shared" si="309"/>
        <v>7.6E-3</v>
      </c>
      <c r="BL119" s="654">
        <f t="shared" si="309"/>
        <v>7.6E-3</v>
      </c>
      <c r="BM119" s="654">
        <f t="shared" si="286"/>
        <v>7.6E-3</v>
      </c>
      <c r="BN119" s="654">
        <f t="shared" si="287"/>
        <v>7.6E-3</v>
      </c>
      <c r="BO119" s="654">
        <f t="shared" si="288"/>
        <v>7.6E-3</v>
      </c>
    </row>
    <row r="120" spans="2:67">
      <c r="C120" t="s">
        <v>758</v>
      </c>
      <c r="Z120" s="650">
        <v>1.2699999999999999E-2</v>
      </c>
      <c r="AA120" s="650"/>
      <c r="AB120" s="650">
        <v>0</v>
      </c>
      <c r="AC120" s="650">
        <f t="shared" si="307"/>
        <v>0</v>
      </c>
      <c r="AD120" s="650">
        <f t="shared" si="307"/>
        <v>0</v>
      </c>
      <c r="AE120" s="650">
        <f t="shared" si="307"/>
        <v>0</v>
      </c>
      <c r="AF120" s="650">
        <f t="shared" si="307"/>
        <v>0</v>
      </c>
      <c r="AG120" s="650">
        <f t="shared" si="307"/>
        <v>0</v>
      </c>
      <c r="AH120" s="650">
        <f t="shared" si="307"/>
        <v>0</v>
      </c>
      <c r="AI120" s="650">
        <f t="shared" si="308"/>
        <v>0</v>
      </c>
      <c r="AJ120" s="654">
        <f t="shared" si="266"/>
        <v>0</v>
      </c>
      <c r="AK120" s="654">
        <f t="shared" si="267"/>
        <v>0</v>
      </c>
      <c r="AL120" s="654">
        <f t="shared" si="268"/>
        <v>0</v>
      </c>
      <c r="AM120" s="654">
        <f t="shared" si="269"/>
        <v>0</v>
      </c>
      <c r="AN120" s="654">
        <f t="shared" si="270"/>
        <v>0</v>
      </c>
      <c r="AO120" s="654">
        <f t="shared" si="294"/>
        <v>0</v>
      </c>
      <c r="AP120" s="654">
        <f t="shared" si="295"/>
        <v>0</v>
      </c>
      <c r="AQ120" s="654">
        <f t="shared" si="296"/>
        <v>0</v>
      </c>
      <c r="AR120" s="654">
        <f t="shared" si="297"/>
        <v>0</v>
      </c>
      <c r="AS120" s="654">
        <f t="shared" si="298"/>
        <v>0</v>
      </c>
      <c r="AT120" s="654">
        <f t="shared" si="299"/>
        <v>0</v>
      </c>
      <c r="AU120" s="654">
        <f t="shared" si="300"/>
        <v>0</v>
      </c>
      <c r="AV120" s="654">
        <f t="shared" si="301"/>
        <v>0</v>
      </c>
      <c r="AW120" s="654">
        <f t="shared" si="302"/>
        <v>0</v>
      </c>
      <c r="AX120" s="654">
        <f t="shared" si="303"/>
        <v>0</v>
      </c>
      <c r="AY120" s="654">
        <f t="shared" si="304"/>
        <v>0</v>
      </c>
      <c r="AZ120" s="654">
        <f t="shared" si="305"/>
        <v>0</v>
      </c>
      <c r="BE120" s="654">
        <f t="shared" si="283"/>
        <v>0</v>
      </c>
      <c r="BF120" s="654">
        <f t="shared" si="284"/>
        <v>0</v>
      </c>
      <c r="BG120" s="654">
        <f t="shared" si="309"/>
        <v>0</v>
      </c>
      <c r="BH120" s="654">
        <f t="shared" si="309"/>
        <v>0</v>
      </c>
      <c r="BI120" s="654">
        <f t="shared" si="309"/>
        <v>0</v>
      </c>
      <c r="BJ120" s="654">
        <f t="shared" si="309"/>
        <v>0</v>
      </c>
      <c r="BK120" s="654">
        <f t="shared" si="309"/>
        <v>0</v>
      </c>
      <c r="BL120" s="654">
        <f t="shared" si="309"/>
        <v>0</v>
      </c>
      <c r="BM120" s="654">
        <f t="shared" si="286"/>
        <v>0</v>
      </c>
      <c r="BN120" s="654">
        <f t="shared" si="287"/>
        <v>0</v>
      </c>
      <c r="BO120" s="654">
        <f t="shared" si="288"/>
        <v>0</v>
      </c>
    </row>
    <row r="121" spans="2:67">
      <c r="C121" t="s">
        <v>759</v>
      </c>
      <c r="Z121" s="650">
        <v>1.7999999999999999E-2</v>
      </c>
      <c r="AA121" s="650"/>
      <c r="AB121" s="650">
        <f t="shared" si="307"/>
        <v>0</v>
      </c>
      <c r="AC121" s="650">
        <f t="shared" si="307"/>
        <v>0</v>
      </c>
      <c r="AD121" s="650">
        <f t="shared" si="307"/>
        <v>0</v>
      </c>
      <c r="AE121" s="650">
        <f t="shared" si="307"/>
        <v>0</v>
      </c>
      <c r="AF121" s="650">
        <f t="shared" si="307"/>
        <v>0</v>
      </c>
      <c r="AG121" s="650">
        <f t="shared" si="307"/>
        <v>0</v>
      </c>
      <c r="AH121" s="650">
        <f t="shared" si="307"/>
        <v>0</v>
      </c>
      <c r="AI121" s="650">
        <f t="shared" si="308"/>
        <v>0</v>
      </c>
      <c r="AJ121" s="654">
        <f t="shared" si="266"/>
        <v>0</v>
      </c>
      <c r="AK121" s="654">
        <f t="shared" si="267"/>
        <v>0</v>
      </c>
      <c r="AL121" s="654">
        <f t="shared" si="268"/>
        <v>0</v>
      </c>
      <c r="AM121" s="654">
        <f t="shared" si="269"/>
        <v>0</v>
      </c>
      <c r="AN121" s="654">
        <f t="shared" si="270"/>
        <v>0</v>
      </c>
      <c r="AO121" s="654">
        <f t="shared" si="294"/>
        <v>0</v>
      </c>
      <c r="AP121" s="654">
        <f t="shared" si="295"/>
        <v>0</v>
      </c>
      <c r="AQ121" s="654">
        <f t="shared" si="296"/>
        <v>0</v>
      </c>
      <c r="AR121" s="654">
        <f t="shared" si="297"/>
        <v>0</v>
      </c>
      <c r="AS121" s="654">
        <f t="shared" si="298"/>
        <v>0</v>
      </c>
      <c r="AT121" s="654">
        <f t="shared" si="299"/>
        <v>0</v>
      </c>
      <c r="AU121" s="654">
        <f t="shared" si="300"/>
        <v>0</v>
      </c>
      <c r="AV121" s="654">
        <f t="shared" si="301"/>
        <v>0</v>
      </c>
      <c r="AW121" s="654">
        <f t="shared" si="302"/>
        <v>0</v>
      </c>
      <c r="AX121" s="654">
        <f t="shared" si="303"/>
        <v>0</v>
      </c>
      <c r="AY121" s="654">
        <f t="shared" si="304"/>
        <v>0</v>
      </c>
      <c r="AZ121" s="654">
        <f t="shared" si="305"/>
        <v>0</v>
      </c>
      <c r="BE121" s="654">
        <f t="shared" si="283"/>
        <v>0</v>
      </c>
      <c r="BF121" s="654">
        <f t="shared" si="284"/>
        <v>0</v>
      </c>
      <c r="BG121" s="654">
        <f t="shared" si="309"/>
        <v>0</v>
      </c>
      <c r="BH121" s="654">
        <f t="shared" si="309"/>
        <v>0</v>
      </c>
      <c r="BI121" s="654">
        <f t="shared" si="309"/>
        <v>0</v>
      </c>
      <c r="BJ121" s="654">
        <f t="shared" si="309"/>
        <v>0</v>
      </c>
      <c r="BK121" s="654">
        <f t="shared" si="309"/>
        <v>0</v>
      </c>
      <c r="BL121" s="654">
        <f t="shared" si="309"/>
        <v>0</v>
      </c>
      <c r="BM121" s="654">
        <f t="shared" si="286"/>
        <v>0</v>
      </c>
      <c r="BN121" s="654">
        <f t="shared" si="287"/>
        <v>0</v>
      </c>
      <c r="BO121" s="654">
        <f t="shared" si="288"/>
        <v>0</v>
      </c>
    </row>
    <row r="122" spans="2:67">
      <c r="C122" s="359"/>
      <c r="BE122" s="582"/>
    </row>
    <row r="123" spans="2:67" s="661" customFormat="1"/>
    <row r="125" spans="2:67">
      <c r="C125" s="804" t="s">
        <v>763</v>
      </c>
      <c r="D125" s="658">
        <f t="shared" ref="D125:AH125" si="310">+SUM(D126:D133)</f>
        <v>0</v>
      </c>
      <c r="E125" s="658">
        <f t="shared" si="310"/>
        <v>0</v>
      </c>
      <c r="F125" s="658">
        <f t="shared" si="310"/>
        <v>0</v>
      </c>
      <c r="G125" s="658">
        <f t="shared" si="310"/>
        <v>0</v>
      </c>
      <c r="H125" s="658">
        <f t="shared" si="310"/>
        <v>0</v>
      </c>
      <c r="I125" s="658">
        <f t="shared" si="310"/>
        <v>0</v>
      </c>
      <c r="J125" s="658">
        <f t="shared" si="310"/>
        <v>0</v>
      </c>
      <c r="K125" s="658">
        <f t="shared" si="310"/>
        <v>0</v>
      </c>
      <c r="L125" s="658">
        <f t="shared" si="310"/>
        <v>0</v>
      </c>
      <c r="M125" s="658">
        <f t="shared" si="310"/>
        <v>0</v>
      </c>
      <c r="N125" s="658">
        <f t="shared" si="310"/>
        <v>0</v>
      </c>
      <c r="O125" s="658">
        <f t="shared" si="310"/>
        <v>0</v>
      </c>
      <c r="P125" s="658">
        <f t="shared" si="310"/>
        <v>0</v>
      </c>
      <c r="Q125" s="658">
        <f t="shared" si="310"/>
        <v>0</v>
      </c>
      <c r="R125" s="658">
        <f t="shared" si="310"/>
        <v>0</v>
      </c>
      <c r="S125" s="658">
        <f t="shared" si="310"/>
        <v>0</v>
      </c>
      <c r="T125" s="658">
        <f t="shared" si="310"/>
        <v>0</v>
      </c>
      <c r="U125" s="658">
        <f t="shared" si="310"/>
        <v>0</v>
      </c>
      <c r="V125" s="658">
        <f t="shared" si="310"/>
        <v>0</v>
      </c>
      <c r="W125" s="658">
        <f t="shared" si="310"/>
        <v>0</v>
      </c>
      <c r="X125" s="658">
        <f t="shared" si="310"/>
        <v>0</v>
      </c>
      <c r="Y125" s="658">
        <f t="shared" si="310"/>
        <v>0</v>
      </c>
      <c r="Z125" s="658">
        <f t="shared" si="310"/>
        <v>857625</v>
      </c>
      <c r="AA125" s="658">
        <f t="shared" si="310"/>
        <v>725212</v>
      </c>
      <c r="AB125" s="658">
        <f t="shared" si="310"/>
        <v>761965</v>
      </c>
      <c r="AC125" s="658">
        <f t="shared" si="310"/>
        <v>760010</v>
      </c>
      <c r="AD125" s="658">
        <f t="shared" si="310"/>
        <v>818286</v>
      </c>
      <c r="AE125" s="658">
        <f t="shared" si="310"/>
        <v>1566454</v>
      </c>
      <c r="AF125" s="658">
        <f t="shared" si="310"/>
        <v>802623</v>
      </c>
      <c r="AG125" s="658">
        <f t="shared" si="310"/>
        <v>999588</v>
      </c>
      <c r="AH125" s="658">
        <f t="shared" si="310"/>
        <v>1053862</v>
      </c>
      <c r="AI125" s="658">
        <f t="shared" ref="AI125:AN125" si="311">+SUM(AI126:AI133)</f>
        <v>1117455</v>
      </c>
      <c r="AJ125" s="658">
        <f t="shared" si="311"/>
        <v>0</v>
      </c>
      <c r="AK125" s="658">
        <f t="shared" si="311"/>
        <v>0</v>
      </c>
      <c r="AL125" s="658">
        <f t="shared" si="311"/>
        <v>0</v>
      </c>
      <c r="AM125" s="658">
        <f t="shared" si="311"/>
        <v>0</v>
      </c>
      <c r="AN125" s="658">
        <f t="shared" si="311"/>
        <v>0</v>
      </c>
      <c r="AO125" s="658">
        <f t="shared" ref="AO125:AR125" si="312">+SUM(AO126:AO133)</f>
        <v>0</v>
      </c>
      <c r="AP125" s="658">
        <f t="shared" si="312"/>
        <v>0</v>
      </c>
      <c r="AQ125" s="658">
        <f t="shared" si="312"/>
        <v>0</v>
      </c>
      <c r="AR125" s="658">
        <f t="shared" si="312"/>
        <v>0</v>
      </c>
      <c r="AS125" s="658">
        <f t="shared" ref="AS125:AV125" si="313">+SUM(AS126:AS133)</f>
        <v>0</v>
      </c>
      <c r="AT125" s="658">
        <f t="shared" si="313"/>
        <v>0</v>
      </c>
      <c r="AU125" s="658">
        <f t="shared" si="313"/>
        <v>0</v>
      </c>
      <c r="AV125" s="658">
        <f t="shared" si="313"/>
        <v>0</v>
      </c>
      <c r="AW125" s="658">
        <f t="shared" ref="AW125:AZ125" si="314">+SUM(AW126:AW133)</f>
        <v>0</v>
      </c>
      <c r="AX125" s="658">
        <f t="shared" si="314"/>
        <v>0</v>
      </c>
      <c r="AY125" s="658">
        <f t="shared" si="314"/>
        <v>0</v>
      </c>
      <c r="AZ125" s="658">
        <f t="shared" si="314"/>
        <v>0</v>
      </c>
    </row>
    <row r="126" spans="2:67">
      <c r="C126" t="s">
        <v>764</v>
      </c>
      <c r="Z126" s="652">
        <f>101725+50524+101078+50357+50807+10090+311997+30244+976</f>
        <v>707798</v>
      </c>
      <c r="AA126" s="652">
        <v>725212</v>
      </c>
      <c r="AB126" s="652">
        <v>761965</v>
      </c>
      <c r="AC126" s="652">
        <v>760010</v>
      </c>
      <c r="AD126" s="652">
        <v>818286</v>
      </c>
      <c r="AE126" s="652">
        <v>783227</v>
      </c>
      <c r="AF126" s="652">
        <f>207412+52671</f>
        <v>260083</v>
      </c>
      <c r="AG126" s="652">
        <f>213257+53844+55000+70129</f>
        <v>392230</v>
      </c>
      <c r="AH126" s="652">
        <v>220463</v>
      </c>
      <c r="AI126" s="652">
        <v>228950</v>
      </c>
      <c r="AJ126" s="655"/>
      <c r="AK126" s="655">
        <f t="shared" ref="AK126:AN126" si="315">+SUM(AK127:AK133)</f>
        <v>0</v>
      </c>
      <c r="AL126" s="655">
        <f t="shared" si="315"/>
        <v>0</v>
      </c>
      <c r="AM126" s="655">
        <f t="shared" si="315"/>
        <v>0</v>
      </c>
      <c r="AN126" s="655">
        <f t="shared" si="315"/>
        <v>0</v>
      </c>
      <c r="AO126" s="655">
        <f t="shared" ref="AO126:AR126" si="316">+SUM(AO127:AO133)</f>
        <v>0</v>
      </c>
      <c r="AP126" s="655">
        <f t="shared" si="316"/>
        <v>0</v>
      </c>
      <c r="AQ126" s="655">
        <f t="shared" si="316"/>
        <v>0</v>
      </c>
      <c r="AR126" s="655">
        <f t="shared" si="316"/>
        <v>0</v>
      </c>
      <c r="AS126" s="655">
        <f t="shared" ref="AS126:AV126" si="317">+SUM(AS127:AS133)</f>
        <v>0</v>
      </c>
      <c r="AT126" s="655">
        <f t="shared" si="317"/>
        <v>0</v>
      </c>
      <c r="AU126" s="655">
        <f t="shared" si="317"/>
        <v>0</v>
      </c>
      <c r="AV126" s="655">
        <f t="shared" si="317"/>
        <v>0</v>
      </c>
      <c r="AW126" s="655">
        <f t="shared" ref="AW126:AZ126" si="318">+SUM(AW127:AW133)</f>
        <v>0</v>
      </c>
      <c r="AX126" s="655">
        <f t="shared" si="318"/>
        <v>0</v>
      </c>
      <c r="AY126" s="655">
        <f t="shared" si="318"/>
        <v>0</v>
      </c>
      <c r="AZ126" s="655">
        <f t="shared" si="318"/>
        <v>0</v>
      </c>
      <c r="BE126" s="649">
        <f>+AB126</f>
        <v>761965</v>
      </c>
      <c r="BF126" s="649">
        <f>+AF126</f>
        <v>260083</v>
      </c>
      <c r="BG126" s="1176">
        <f>+AJ126</f>
        <v>0</v>
      </c>
      <c r="BH126" s="1176">
        <f>+AN126</f>
        <v>0</v>
      </c>
      <c r="BI126" s="655">
        <f>+BH126</f>
        <v>0</v>
      </c>
      <c r="BJ126" s="655">
        <f>+BI126</f>
        <v>0</v>
      </c>
      <c r="BK126" s="655">
        <f>+BJ126</f>
        <v>0</v>
      </c>
      <c r="BL126" s="655">
        <f>+BK126</f>
        <v>0</v>
      </c>
      <c r="BM126" s="655">
        <f t="shared" ref="BM126:BO133" si="319">+BL126</f>
        <v>0</v>
      </c>
      <c r="BN126" s="655">
        <f t="shared" si="319"/>
        <v>0</v>
      </c>
      <c r="BO126" s="655">
        <f t="shared" si="319"/>
        <v>0</v>
      </c>
    </row>
    <row r="127" spans="2:67">
      <c r="C127" t="s">
        <v>764</v>
      </c>
      <c r="Z127" s="652"/>
      <c r="AA127" s="652"/>
      <c r="AB127" s="652"/>
      <c r="AC127" s="652"/>
      <c r="AD127" s="652"/>
      <c r="AE127" s="652">
        <v>203068</v>
      </c>
      <c r="AF127" s="652">
        <v>329637</v>
      </c>
      <c r="AG127" s="652">
        <v>337961</v>
      </c>
      <c r="AH127" s="652">
        <v>55610</v>
      </c>
      <c r="AI127" s="652">
        <v>57689</v>
      </c>
      <c r="AJ127" s="655"/>
      <c r="AK127" s="655">
        <f t="shared" ref="AK127:AK133" si="320">+AJ127</f>
        <v>0</v>
      </c>
      <c r="AL127" s="655">
        <f t="shared" ref="AL127:AL133" si="321">+AK127</f>
        <v>0</v>
      </c>
      <c r="AM127" s="655">
        <f t="shared" ref="AM127:AM133" si="322">+AL127</f>
        <v>0</v>
      </c>
      <c r="AN127" s="655">
        <f t="shared" ref="AN127:AN133" si="323">+AM127</f>
        <v>0</v>
      </c>
      <c r="AO127" s="655">
        <f t="shared" ref="AO127:AO133" si="324">+AN127</f>
        <v>0</v>
      </c>
      <c r="AP127" s="655">
        <f t="shared" ref="AP127:AP133" si="325">+AO127</f>
        <v>0</v>
      </c>
      <c r="AQ127" s="655">
        <f t="shared" ref="AQ127:AQ133" si="326">+AP127</f>
        <v>0</v>
      </c>
      <c r="AR127" s="655">
        <f t="shared" ref="AR127:AR133" si="327">+AQ127</f>
        <v>0</v>
      </c>
      <c r="AS127" s="655">
        <f t="shared" ref="AS127:AS133" si="328">+AR127</f>
        <v>0</v>
      </c>
      <c r="AT127" s="655">
        <f t="shared" ref="AT127:AT133" si="329">+AS127</f>
        <v>0</v>
      </c>
      <c r="AU127" s="655">
        <f t="shared" ref="AU127:AU133" si="330">+AT127</f>
        <v>0</v>
      </c>
      <c r="AV127" s="655">
        <f t="shared" ref="AV127:AV133" si="331">+AU127</f>
        <v>0</v>
      </c>
      <c r="AW127" s="655">
        <f t="shared" ref="AW127:AW133" si="332">+AV127</f>
        <v>0</v>
      </c>
      <c r="AX127" s="655">
        <f t="shared" ref="AX127:AX133" si="333">+AW127</f>
        <v>0</v>
      </c>
      <c r="AY127" s="655">
        <f t="shared" ref="AY127:AY133" si="334">+AX127</f>
        <v>0</v>
      </c>
      <c r="AZ127" s="655">
        <f t="shared" ref="AZ127:AZ133" si="335">+AY127</f>
        <v>0</v>
      </c>
      <c r="BE127" s="649">
        <f t="shared" ref="BE127:BE133" si="336">+AB127</f>
        <v>0</v>
      </c>
      <c r="BF127" s="649">
        <f t="shared" ref="BF127:BF133" si="337">+AF127</f>
        <v>329637</v>
      </c>
      <c r="BG127" s="1176">
        <f t="shared" ref="BG127:BG133" si="338">+AJ127</f>
        <v>0</v>
      </c>
      <c r="BH127" s="1176">
        <f t="shared" ref="BH127:BH133" si="339">+AN127</f>
        <v>0</v>
      </c>
      <c r="BI127" s="655">
        <f t="shared" ref="BI127:BI133" si="340">+BH127</f>
        <v>0</v>
      </c>
      <c r="BJ127" s="655">
        <f t="shared" ref="BJ127:BJ133" si="341">+BI127</f>
        <v>0</v>
      </c>
      <c r="BK127" s="655">
        <f t="shared" ref="BK127:BK133" si="342">+BJ127</f>
        <v>0</v>
      </c>
      <c r="BL127" s="655">
        <f t="shared" ref="BL127:BL133" si="343">+BK127</f>
        <v>0</v>
      </c>
      <c r="BM127" s="655">
        <f t="shared" si="319"/>
        <v>0</v>
      </c>
      <c r="BN127" s="655">
        <f t="shared" si="319"/>
        <v>0</v>
      </c>
      <c r="BO127" s="655">
        <f t="shared" si="319"/>
        <v>0</v>
      </c>
    </row>
    <row r="128" spans="2:67">
      <c r="C128" t="s">
        <v>764</v>
      </c>
      <c r="Z128" s="652"/>
      <c r="AA128" s="652"/>
      <c r="AB128" s="652"/>
      <c r="AC128" s="652"/>
      <c r="AD128" s="652"/>
      <c r="AE128" s="652">
        <v>51427</v>
      </c>
      <c r="AF128" s="652">
        <v>0</v>
      </c>
      <c r="AG128" s="652">
        <v>49998</v>
      </c>
      <c r="AH128" s="652">
        <v>160000</v>
      </c>
      <c r="AI128" s="652">
        <v>35000</v>
      </c>
      <c r="AJ128" s="655"/>
      <c r="AK128" s="655">
        <f t="shared" si="320"/>
        <v>0</v>
      </c>
      <c r="AL128" s="655">
        <f t="shared" si="321"/>
        <v>0</v>
      </c>
      <c r="AM128" s="655">
        <f t="shared" si="322"/>
        <v>0</v>
      </c>
      <c r="AN128" s="655">
        <f t="shared" si="323"/>
        <v>0</v>
      </c>
      <c r="AO128" s="655">
        <f t="shared" si="324"/>
        <v>0</v>
      </c>
      <c r="AP128" s="655">
        <f t="shared" si="325"/>
        <v>0</v>
      </c>
      <c r="AQ128" s="655">
        <f t="shared" si="326"/>
        <v>0</v>
      </c>
      <c r="AR128" s="655">
        <f t="shared" si="327"/>
        <v>0</v>
      </c>
      <c r="AS128" s="655">
        <f t="shared" si="328"/>
        <v>0</v>
      </c>
      <c r="AT128" s="655">
        <f t="shared" si="329"/>
        <v>0</v>
      </c>
      <c r="AU128" s="655">
        <f t="shared" si="330"/>
        <v>0</v>
      </c>
      <c r="AV128" s="655">
        <f t="shared" si="331"/>
        <v>0</v>
      </c>
      <c r="AW128" s="655">
        <f t="shared" si="332"/>
        <v>0</v>
      </c>
      <c r="AX128" s="655">
        <f t="shared" si="333"/>
        <v>0</v>
      </c>
      <c r="AY128" s="655">
        <f t="shared" si="334"/>
        <v>0</v>
      </c>
      <c r="AZ128" s="655">
        <f t="shared" si="335"/>
        <v>0</v>
      </c>
      <c r="BE128" s="649">
        <f t="shared" si="336"/>
        <v>0</v>
      </c>
      <c r="BF128" s="649">
        <f t="shared" si="337"/>
        <v>0</v>
      </c>
      <c r="BG128" s="1176">
        <f t="shared" si="338"/>
        <v>0</v>
      </c>
      <c r="BH128" s="1176">
        <f t="shared" si="339"/>
        <v>0</v>
      </c>
      <c r="BI128" s="655">
        <f t="shared" si="340"/>
        <v>0</v>
      </c>
      <c r="BJ128" s="655">
        <f t="shared" si="341"/>
        <v>0</v>
      </c>
      <c r="BK128" s="655">
        <f t="shared" si="342"/>
        <v>0</v>
      </c>
      <c r="BL128" s="655">
        <f t="shared" si="343"/>
        <v>0</v>
      </c>
      <c r="BM128" s="655">
        <f t="shared" si="319"/>
        <v>0</v>
      </c>
      <c r="BN128" s="655">
        <f t="shared" si="319"/>
        <v>0</v>
      </c>
      <c r="BO128" s="655">
        <f t="shared" si="319"/>
        <v>0</v>
      </c>
    </row>
    <row r="129" spans="3:67">
      <c r="C129" t="s">
        <v>765</v>
      </c>
      <c r="Z129" s="652"/>
      <c r="AA129" s="652"/>
      <c r="AB129" s="652"/>
      <c r="AC129" s="652"/>
      <c r="AD129" s="652"/>
      <c r="AE129" s="652">
        <v>323434</v>
      </c>
      <c r="AF129" s="652">
        <f>30448+21616</f>
        <v>52064</v>
      </c>
      <c r="AG129" s="652">
        <f>30518+22460</f>
        <v>52978</v>
      </c>
      <c r="AH129" s="652">
        <v>348192</v>
      </c>
      <c r="AI129" s="652">
        <f>102186+108184</f>
        <v>210370</v>
      </c>
      <c r="AJ129" s="655"/>
      <c r="AK129" s="655">
        <f t="shared" si="320"/>
        <v>0</v>
      </c>
      <c r="AL129" s="655">
        <f t="shared" si="321"/>
        <v>0</v>
      </c>
      <c r="AM129" s="655">
        <f t="shared" si="322"/>
        <v>0</v>
      </c>
      <c r="AN129" s="655">
        <f t="shared" si="323"/>
        <v>0</v>
      </c>
      <c r="AO129" s="655">
        <f t="shared" si="324"/>
        <v>0</v>
      </c>
      <c r="AP129" s="655">
        <f t="shared" si="325"/>
        <v>0</v>
      </c>
      <c r="AQ129" s="655">
        <f t="shared" si="326"/>
        <v>0</v>
      </c>
      <c r="AR129" s="655">
        <f t="shared" si="327"/>
        <v>0</v>
      </c>
      <c r="AS129" s="655">
        <f t="shared" si="328"/>
        <v>0</v>
      </c>
      <c r="AT129" s="655">
        <f t="shared" si="329"/>
        <v>0</v>
      </c>
      <c r="AU129" s="655">
        <f t="shared" si="330"/>
        <v>0</v>
      </c>
      <c r="AV129" s="655">
        <f t="shared" si="331"/>
        <v>0</v>
      </c>
      <c r="AW129" s="655">
        <f t="shared" si="332"/>
        <v>0</v>
      </c>
      <c r="AX129" s="655">
        <f t="shared" si="333"/>
        <v>0</v>
      </c>
      <c r="AY129" s="655">
        <f t="shared" si="334"/>
        <v>0</v>
      </c>
      <c r="AZ129" s="655">
        <f t="shared" si="335"/>
        <v>0</v>
      </c>
      <c r="BE129" s="649">
        <f t="shared" si="336"/>
        <v>0</v>
      </c>
      <c r="BF129" s="649">
        <f t="shared" si="337"/>
        <v>52064</v>
      </c>
      <c r="BG129" s="1176">
        <f t="shared" si="338"/>
        <v>0</v>
      </c>
      <c r="BH129" s="1176">
        <f t="shared" si="339"/>
        <v>0</v>
      </c>
      <c r="BI129" s="655">
        <f t="shared" si="340"/>
        <v>0</v>
      </c>
      <c r="BJ129" s="655">
        <f t="shared" si="341"/>
        <v>0</v>
      </c>
      <c r="BK129" s="655">
        <f t="shared" si="342"/>
        <v>0</v>
      </c>
      <c r="BL129" s="655">
        <f t="shared" si="343"/>
        <v>0</v>
      </c>
      <c r="BM129" s="655">
        <f t="shared" si="319"/>
        <v>0</v>
      </c>
      <c r="BN129" s="655">
        <f t="shared" si="319"/>
        <v>0</v>
      </c>
      <c r="BO129" s="655">
        <f t="shared" si="319"/>
        <v>0</v>
      </c>
    </row>
    <row r="130" spans="3:67">
      <c r="C130" t="s">
        <v>766</v>
      </c>
      <c r="Z130" s="652"/>
      <c r="AA130" s="652"/>
      <c r="AB130" s="652"/>
      <c r="AC130" s="652"/>
      <c r="AD130" s="652"/>
      <c r="AE130" s="652">
        <v>30342</v>
      </c>
      <c r="AF130" s="652">
        <f>93821+67018</f>
        <v>160839</v>
      </c>
      <c r="AG130" s="652">
        <f>125238+41183</f>
        <v>166421</v>
      </c>
      <c r="AH130" s="652">
        <v>50002</v>
      </c>
      <c r="AI130" s="652">
        <f>103187+154645</f>
        <v>257832</v>
      </c>
      <c r="AJ130" s="655"/>
      <c r="AK130" s="655">
        <f t="shared" si="320"/>
        <v>0</v>
      </c>
      <c r="AL130" s="655">
        <f t="shared" si="321"/>
        <v>0</v>
      </c>
      <c r="AM130" s="655">
        <f t="shared" si="322"/>
        <v>0</v>
      </c>
      <c r="AN130" s="655">
        <f t="shared" si="323"/>
        <v>0</v>
      </c>
      <c r="AO130" s="655">
        <f t="shared" si="324"/>
        <v>0</v>
      </c>
      <c r="AP130" s="655">
        <f t="shared" si="325"/>
        <v>0</v>
      </c>
      <c r="AQ130" s="655">
        <f t="shared" si="326"/>
        <v>0</v>
      </c>
      <c r="AR130" s="655">
        <f t="shared" si="327"/>
        <v>0</v>
      </c>
      <c r="AS130" s="655">
        <f t="shared" si="328"/>
        <v>0</v>
      </c>
      <c r="AT130" s="655">
        <f t="shared" si="329"/>
        <v>0</v>
      </c>
      <c r="AU130" s="655">
        <f t="shared" si="330"/>
        <v>0</v>
      </c>
      <c r="AV130" s="655">
        <f t="shared" si="331"/>
        <v>0</v>
      </c>
      <c r="AW130" s="655">
        <f t="shared" si="332"/>
        <v>0</v>
      </c>
      <c r="AX130" s="655">
        <f t="shared" si="333"/>
        <v>0</v>
      </c>
      <c r="AY130" s="655">
        <f t="shared" si="334"/>
        <v>0</v>
      </c>
      <c r="AZ130" s="655">
        <f t="shared" si="335"/>
        <v>0</v>
      </c>
      <c r="BE130" s="649">
        <f t="shared" si="336"/>
        <v>0</v>
      </c>
      <c r="BF130" s="649">
        <f t="shared" si="337"/>
        <v>160839</v>
      </c>
      <c r="BG130" s="1176">
        <f t="shared" si="338"/>
        <v>0</v>
      </c>
      <c r="BH130" s="1176">
        <f t="shared" si="339"/>
        <v>0</v>
      </c>
      <c r="BI130" s="655">
        <f t="shared" si="340"/>
        <v>0</v>
      </c>
      <c r="BJ130" s="655">
        <f t="shared" si="341"/>
        <v>0</v>
      </c>
      <c r="BK130" s="655">
        <f t="shared" si="342"/>
        <v>0</v>
      </c>
      <c r="BL130" s="655">
        <f t="shared" si="343"/>
        <v>0</v>
      </c>
      <c r="BM130" s="655">
        <f t="shared" si="319"/>
        <v>0</v>
      </c>
      <c r="BN130" s="655">
        <f t="shared" si="319"/>
        <v>0</v>
      </c>
      <c r="BO130" s="655">
        <f t="shared" si="319"/>
        <v>0</v>
      </c>
    </row>
    <row r="131" spans="3:67">
      <c r="C131" t="s">
        <v>767</v>
      </c>
      <c r="Z131" s="652"/>
      <c r="AA131" s="652"/>
      <c r="AB131" s="652"/>
      <c r="AC131" s="652"/>
      <c r="AD131" s="652"/>
      <c r="AE131" s="652">
        <v>20994</v>
      </c>
      <c r="AF131" s="652"/>
      <c r="AG131" s="652"/>
      <c r="AH131" s="652">
        <v>23512</v>
      </c>
      <c r="AI131" s="652">
        <v>295975</v>
      </c>
      <c r="AJ131" s="655"/>
      <c r="AK131" s="655">
        <f t="shared" si="320"/>
        <v>0</v>
      </c>
      <c r="AL131" s="655">
        <f t="shared" si="321"/>
        <v>0</v>
      </c>
      <c r="AM131" s="655">
        <f t="shared" si="322"/>
        <v>0</v>
      </c>
      <c r="AN131" s="655">
        <f t="shared" si="323"/>
        <v>0</v>
      </c>
      <c r="AO131" s="655">
        <f t="shared" si="324"/>
        <v>0</v>
      </c>
      <c r="AP131" s="655">
        <f t="shared" si="325"/>
        <v>0</v>
      </c>
      <c r="AQ131" s="655">
        <f t="shared" si="326"/>
        <v>0</v>
      </c>
      <c r="AR131" s="655">
        <f t="shared" si="327"/>
        <v>0</v>
      </c>
      <c r="AS131" s="655">
        <f t="shared" si="328"/>
        <v>0</v>
      </c>
      <c r="AT131" s="655">
        <f t="shared" si="329"/>
        <v>0</v>
      </c>
      <c r="AU131" s="655">
        <f t="shared" si="330"/>
        <v>0</v>
      </c>
      <c r="AV131" s="655">
        <f t="shared" si="331"/>
        <v>0</v>
      </c>
      <c r="AW131" s="655">
        <f t="shared" si="332"/>
        <v>0</v>
      </c>
      <c r="AX131" s="655">
        <f t="shared" si="333"/>
        <v>0</v>
      </c>
      <c r="AY131" s="655">
        <f t="shared" si="334"/>
        <v>0</v>
      </c>
      <c r="AZ131" s="655">
        <f t="shared" si="335"/>
        <v>0</v>
      </c>
      <c r="BE131" s="649">
        <f t="shared" si="336"/>
        <v>0</v>
      </c>
      <c r="BF131" s="649">
        <f t="shared" si="337"/>
        <v>0</v>
      </c>
      <c r="BG131" s="1176">
        <f t="shared" si="338"/>
        <v>0</v>
      </c>
      <c r="BH131" s="1176">
        <f t="shared" si="339"/>
        <v>0</v>
      </c>
      <c r="BI131" s="655">
        <f t="shared" si="340"/>
        <v>0</v>
      </c>
      <c r="BJ131" s="655">
        <f t="shared" si="341"/>
        <v>0</v>
      </c>
      <c r="BK131" s="655">
        <f t="shared" si="342"/>
        <v>0</v>
      </c>
      <c r="BL131" s="655">
        <f t="shared" si="343"/>
        <v>0</v>
      </c>
      <c r="BM131" s="655">
        <f t="shared" si="319"/>
        <v>0</v>
      </c>
      <c r="BN131" s="655">
        <f t="shared" si="319"/>
        <v>0</v>
      </c>
      <c r="BO131" s="655">
        <f t="shared" si="319"/>
        <v>0</v>
      </c>
    </row>
    <row r="132" spans="3:67">
      <c r="C132" t="s">
        <v>768</v>
      </c>
      <c r="Z132" s="652"/>
      <c r="AA132" s="652"/>
      <c r="AB132" s="652"/>
      <c r="AC132" s="652"/>
      <c r="AD132" s="652"/>
      <c r="AE132" s="652">
        <v>81062</v>
      </c>
      <c r="AF132" s="652"/>
      <c r="AG132" s="652"/>
      <c r="AH132" s="652">
        <v>169157</v>
      </c>
      <c r="AI132" s="652">
        <v>31639</v>
      </c>
      <c r="AJ132" s="655"/>
      <c r="AK132" s="655">
        <f t="shared" si="320"/>
        <v>0</v>
      </c>
      <c r="AL132" s="655">
        <f t="shared" si="321"/>
        <v>0</v>
      </c>
      <c r="AM132" s="655">
        <f t="shared" si="322"/>
        <v>0</v>
      </c>
      <c r="AN132" s="655">
        <f t="shared" si="323"/>
        <v>0</v>
      </c>
      <c r="AO132" s="655">
        <f t="shared" si="324"/>
        <v>0</v>
      </c>
      <c r="AP132" s="655">
        <f t="shared" si="325"/>
        <v>0</v>
      </c>
      <c r="AQ132" s="655">
        <f t="shared" si="326"/>
        <v>0</v>
      </c>
      <c r="AR132" s="655">
        <f t="shared" si="327"/>
        <v>0</v>
      </c>
      <c r="AS132" s="655">
        <f t="shared" si="328"/>
        <v>0</v>
      </c>
      <c r="AT132" s="655">
        <f t="shared" si="329"/>
        <v>0</v>
      </c>
      <c r="AU132" s="655">
        <f t="shared" si="330"/>
        <v>0</v>
      </c>
      <c r="AV132" s="655">
        <f t="shared" si="331"/>
        <v>0</v>
      </c>
      <c r="AW132" s="655">
        <f t="shared" si="332"/>
        <v>0</v>
      </c>
      <c r="AX132" s="655">
        <f t="shared" si="333"/>
        <v>0</v>
      </c>
      <c r="AY132" s="655">
        <f t="shared" si="334"/>
        <v>0</v>
      </c>
      <c r="AZ132" s="655">
        <f t="shared" si="335"/>
        <v>0</v>
      </c>
      <c r="BE132" s="649">
        <f t="shared" si="336"/>
        <v>0</v>
      </c>
      <c r="BF132" s="649">
        <f t="shared" si="337"/>
        <v>0</v>
      </c>
      <c r="BG132" s="1176">
        <f t="shared" si="338"/>
        <v>0</v>
      </c>
      <c r="BH132" s="1176">
        <f t="shared" si="339"/>
        <v>0</v>
      </c>
      <c r="BI132" s="655">
        <f t="shared" si="340"/>
        <v>0</v>
      </c>
      <c r="BJ132" s="655">
        <f t="shared" si="341"/>
        <v>0</v>
      </c>
      <c r="BK132" s="655">
        <f t="shared" si="342"/>
        <v>0</v>
      </c>
      <c r="BL132" s="655">
        <f t="shared" si="343"/>
        <v>0</v>
      </c>
      <c r="BM132" s="655">
        <f t="shared" si="319"/>
        <v>0</v>
      </c>
      <c r="BN132" s="655">
        <f t="shared" si="319"/>
        <v>0</v>
      </c>
      <c r="BO132" s="655">
        <f t="shared" si="319"/>
        <v>0</v>
      </c>
    </row>
    <row r="133" spans="3:67">
      <c r="C133" t="s">
        <v>768</v>
      </c>
      <c r="Z133" s="652">
        <f>192596-42769</f>
        <v>149827</v>
      </c>
      <c r="AA133" s="652">
        <v>0</v>
      </c>
      <c r="AB133" s="652">
        <v>0</v>
      </c>
      <c r="AC133" s="652">
        <v>0</v>
      </c>
      <c r="AD133" s="652">
        <v>0</v>
      </c>
      <c r="AE133" s="652">
        <v>72900</v>
      </c>
      <c r="AF133" s="652"/>
      <c r="AG133" s="652"/>
      <c r="AH133" s="652">
        <v>26926</v>
      </c>
      <c r="AI133" s="652"/>
      <c r="AJ133" s="655"/>
      <c r="AK133" s="655">
        <f t="shared" si="320"/>
        <v>0</v>
      </c>
      <c r="AL133" s="655">
        <f t="shared" si="321"/>
        <v>0</v>
      </c>
      <c r="AM133" s="655">
        <f t="shared" si="322"/>
        <v>0</v>
      </c>
      <c r="AN133" s="655">
        <f t="shared" si="323"/>
        <v>0</v>
      </c>
      <c r="AO133" s="655">
        <f t="shared" si="324"/>
        <v>0</v>
      </c>
      <c r="AP133" s="655">
        <f t="shared" si="325"/>
        <v>0</v>
      </c>
      <c r="AQ133" s="655">
        <f t="shared" si="326"/>
        <v>0</v>
      </c>
      <c r="AR133" s="655">
        <f t="shared" si="327"/>
        <v>0</v>
      </c>
      <c r="AS133" s="655">
        <f t="shared" si="328"/>
        <v>0</v>
      </c>
      <c r="AT133" s="655">
        <f t="shared" si="329"/>
        <v>0</v>
      </c>
      <c r="AU133" s="655">
        <f t="shared" si="330"/>
        <v>0</v>
      </c>
      <c r="AV133" s="655">
        <f t="shared" si="331"/>
        <v>0</v>
      </c>
      <c r="AW133" s="655">
        <f t="shared" si="332"/>
        <v>0</v>
      </c>
      <c r="AX133" s="655">
        <f t="shared" si="333"/>
        <v>0</v>
      </c>
      <c r="AY133" s="655">
        <f t="shared" si="334"/>
        <v>0</v>
      </c>
      <c r="AZ133" s="655">
        <f t="shared" si="335"/>
        <v>0</v>
      </c>
      <c r="BE133" s="649">
        <f t="shared" si="336"/>
        <v>0</v>
      </c>
      <c r="BF133" s="649">
        <f t="shared" si="337"/>
        <v>0</v>
      </c>
      <c r="BG133" s="1176">
        <f t="shared" si="338"/>
        <v>0</v>
      </c>
      <c r="BH133" s="1176">
        <f t="shared" si="339"/>
        <v>0</v>
      </c>
      <c r="BI133" s="655">
        <f t="shared" si="340"/>
        <v>0</v>
      </c>
      <c r="BJ133" s="655">
        <f t="shared" si="341"/>
        <v>0</v>
      </c>
      <c r="BK133" s="655">
        <f t="shared" si="342"/>
        <v>0</v>
      </c>
      <c r="BL133" s="655">
        <f t="shared" si="343"/>
        <v>0</v>
      </c>
      <c r="BM133" s="655">
        <f t="shared" si="319"/>
        <v>0</v>
      </c>
      <c r="BN133" s="655">
        <f t="shared" si="319"/>
        <v>0</v>
      </c>
      <c r="BO133" s="655">
        <f t="shared" si="319"/>
        <v>0</v>
      </c>
    </row>
    <row r="135" spans="3:67">
      <c r="C135" s="359" t="s">
        <v>224</v>
      </c>
    </row>
    <row r="136" spans="3:67">
      <c r="C136" t="s">
        <v>764</v>
      </c>
      <c r="Z136" s="651">
        <v>2</v>
      </c>
      <c r="AA136" s="651">
        <v>2</v>
      </c>
      <c r="AB136" s="651">
        <v>1.5</v>
      </c>
      <c r="AC136" s="651">
        <v>1.5</v>
      </c>
      <c r="AD136" s="651">
        <v>1.5</v>
      </c>
      <c r="AE136" s="651">
        <v>1.1599999999999999</v>
      </c>
      <c r="AF136" s="651">
        <v>1.1599999999999999</v>
      </c>
      <c r="AG136" s="651">
        <v>1.1599999999999999</v>
      </c>
      <c r="AH136" s="651">
        <v>1.1599999999999999</v>
      </c>
      <c r="AI136" s="651">
        <f t="shared" ref="AI136:AN136" si="344">+AH136</f>
        <v>1.1599999999999999</v>
      </c>
      <c r="AJ136" s="662">
        <f t="shared" si="344"/>
        <v>1.1599999999999999</v>
      </c>
      <c r="AK136" s="662">
        <f t="shared" si="344"/>
        <v>1.1599999999999999</v>
      </c>
      <c r="AL136" s="662">
        <f t="shared" si="344"/>
        <v>1.1599999999999999</v>
      </c>
      <c r="AM136" s="662">
        <f t="shared" si="344"/>
        <v>1.1599999999999999</v>
      </c>
      <c r="AN136" s="662">
        <f t="shared" si="344"/>
        <v>1.1599999999999999</v>
      </c>
      <c r="AO136" s="662">
        <f t="shared" ref="AO136:AO143" si="345">+AN136</f>
        <v>1.1599999999999999</v>
      </c>
      <c r="AP136" s="662">
        <f t="shared" ref="AP136:AP143" si="346">+AO136</f>
        <v>1.1599999999999999</v>
      </c>
      <c r="AQ136" s="662">
        <f t="shared" ref="AQ136:AQ143" si="347">+AP136</f>
        <v>1.1599999999999999</v>
      </c>
      <c r="AR136" s="662">
        <f t="shared" ref="AR136:AR143" si="348">+AQ136</f>
        <v>1.1599999999999999</v>
      </c>
      <c r="AS136" s="662">
        <f t="shared" ref="AS136:AS143" si="349">+AR136</f>
        <v>1.1599999999999999</v>
      </c>
      <c r="AT136" s="662">
        <f t="shared" ref="AT136:AT143" si="350">+AS136</f>
        <v>1.1599999999999999</v>
      </c>
      <c r="AU136" s="662">
        <f t="shared" ref="AU136:AU143" si="351">+AT136</f>
        <v>1.1599999999999999</v>
      </c>
      <c r="AV136" s="662">
        <f t="shared" ref="AV136:AV143" si="352">+AU136</f>
        <v>1.1599999999999999</v>
      </c>
      <c r="AW136" s="662">
        <f t="shared" ref="AW136:AW143" si="353">+AV136</f>
        <v>1.1599999999999999</v>
      </c>
      <c r="AX136" s="662">
        <f t="shared" ref="AX136:AX143" si="354">+AW136</f>
        <v>1.1599999999999999</v>
      </c>
      <c r="AY136" s="662">
        <f t="shared" ref="AY136:AY143" si="355">+AX136</f>
        <v>1.1599999999999999</v>
      </c>
      <c r="AZ136" s="662">
        <f t="shared" ref="AZ136:AZ143" si="356">+AY136</f>
        <v>1.1599999999999999</v>
      </c>
      <c r="BE136" s="651">
        <f>+AVERAGE(Y136:AB136)</f>
        <v>1.8333333333333333</v>
      </c>
      <c r="BF136" s="651">
        <f>+AVERAGE(AC136:AF136)</f>
        <v>1.33</v>
      </c>
      <c r="BG136" s="651">
        <f>+AVERAGE(AG136:AJ136)</f>
        <v>1.1599999999999999</v>
      </c>
      <c r="BH136" s="651">
        <f>+AVERAGE(AK136:AN136)</f>
        <v>1.1599999999999999</v>
      </c>
      <c r="BI136" s="662">
        <f>+BH136</f>
        <v>1.1599999999999999</v>
      </c>
      <c r="BJ136" s="662">
        <f>+BI136</f>
        <v>1.1599999999999999</v>
      </c>
      <c r="BK136" s="662">
        <f>+BJ136</f>
        <v>1.1599999999999999</v>
      </c>
      <c r="BL136" s="662">
        <f>+BK136</f>
        <v>1.1599999999999999</v>
      </c>
      <c r="BM136" s="662">
        <f t="shared" ref="BM136:BO143" si="357">+BL136</f>
        <v>1.1599999999999999</v>
      </c>
      <c r="BN136" s="662">
        <f t="shared" si="357"/>
        <v>1.1599999999999999</v>
      </c>
      <c r="BO136" s="662">
        <f t="shared" si="357"/>
        <v>1.1599999999999999</v>
      </c>
    </row>
    <row r="137" spans="3:67">
      <c r="C137" t="s">
        <v>764</v>
      </c>
      <c r="Z137" s="651"/>
      <c r="AA137" s="651"/>
      <c r="AB137" s="651"/>
      <c r="AC137" s="651"/>
      <c r="AD137" s="651"/>
      <c r="AE137" s="651">
        <v>1.31</v>
      </c>
      <c r="AF137" s="651">
        <v>1.31</v>
      </c>
      <c r="AG137" s="651">
        <v>1.31</v>
      </c>
      <c r="AH137" s="651">
        <v>1.127</v>
      </c>
      <c r="AI137" s="651">
        <f t="shared" ref="AI137:AN143" si="358">+AH137</f>
        <v>1.127</v>
      </c>
      <c r="AJ137" s="662">
        <f t="shared" si="358"/>
        <v>1.127</v>
      </c>
      <c r="AK137" s="662">
        <f t="shared" si="358"/>
        <v>1.127</v>
      </c>
      <c r="AL137" s="662">
        <f t="shared" si="358"/>
        <v>1.127</v>
      </c>
      <c r="AM137" s="662">
        <f t="shared" si="358"/>
        <v>1.127</v>
      </c>
      <c r="AN137" s="662">
        <f t="shared" si="358"/>
        <v>1.127</v>
      </c>
      <c r="AO137" s="662">
        <f t="shared" si="345"/>
        <v>1.127</v>
      </c>
      <c r="AP137" s="662">
        <f t="shared" si="346"/>
        <v>1.127</v>
      </c>
      <c r="AQ137" s="662">
        <f t="shared" si="347"/>
        <v>1.127</v>
      </c>
      <c r="AR137" s="662">
        <f t="shared" si="348"/>
        <v>1.127</v>
      </c>
      <c r="AS137" s="662">
        <f t="shared" si="349"/>
        <v>1.127</v>
      </c>
      <c r="AT137" s="662">
        <f t="shared" si="350"/>
        <v>1.127</v>
      </c>
      <c r="AU137" s="662">
        <f t="shared" si="351"/>
        <v>1.127</v>
      </c>
      <c r="AV137" s="662">
        <f t="shared" si="352"/>
        <v>1.127</v>
      </c>
      <c r="AW137" s="662">
        <f t="shared" si="353"/>
        <v>1.127</v>
      </c>
      <c r="AX137" s="662">
        <f t="shared" si="354"/>
        <v>1.127</v>
      </c>
      <c r="AY137" s="662">
        <f t="shared" si="355"/>
        <v>1.127</v>
      </c>
      <c r="AZ137" s="662">
        <f t="shared" si="356"/>
        <v>1.127</v>
      </c>
      <c r="BE137" s="651" t="e">
        <f t="shared" ref="BE137:BE142" si="359">+AVERAGE(Y137:AB137)</f>
        <v>#DIV/0!</v>
      </c>
      <c r="BF137" s="651">
        <f t="shared" ref="BF137:BF142" si="360">+AVERAGE(AC137:AF137)</f>
        <v>1.31</v>
      </c>
      <c r="BG137" s="651">
        <f t="shared" ref="BG137:BG142" si="361">+AVERAGE(AG137:AJ137)</f>
        <v>1.17275</v>
      </c>
      <c r="BH137" s="651">
        <f t="shared" ref="BH137:BH143" si="362">+AVERAGE(AK137:AN137)</f>
        <v>1.127</v>
      </c>
      <c r="BI137" s="662">
        <f t="shared" ref="BI137:BI143" si="363">+BH137</f>
        <v>1.127</v>
      </c>
      <c r="BJ137" s="662">
        <f t="shared" ref="BJ137:BJ143" si="364">+BI137</f>
        <v>1.127</v>
      </c>
      <c r="BK137" s="662">
        <f t="shared" ref="BK137:BK143" si="365">+BJ137</f>
        <v>1.127</v>
      </c>
      <c r="BL137" s="662">
        <f t="shared" ref="BL137:BL143" si="366">+BK137</f>
        <v>1.127</v>
      </c>
      <c r="BM137" s="662">
        <f t="shared" si="357"/>
        <v>1.127</v>
      </c>
      <c r="BN137" s="662">
        <f t="shared" si="357"/>
        <v>1.127</v>
      </c>
      <c r="BO137" s="662">
        <f t="shared" si="357"/>
        <v>1.127</v>
      </c>
    </row>
    <row r="138" spans="3:67">
      <c r="C138" t="s">
        <v>764</v>
      </c>
      <c r="Z138" s="651"/>
      <c r="AA138" s="651"/>
      <c r="AB138" s="651"/>
      <c r="AC138" s="651"/>
      <c r="AD138" s="651"/>
      <c r="AE138" s="651">
        <v>1.0409999999999999</v>
      </c>
      <c r="AF138" s="651">
        <v>1.0409999999999999</v>
      </c>
      <c r="AG138" s="651">
        <v>1.0409999999999999</v>
      </c>
      <c r="AH138" s="651">
        <v>1.0669999999999999</v>
      </c>
      <c r="AI138" s="651">
        <f t="shared" si="358"/>
        <v>1.0669999999999999</v>
      </c>
      <c r="AJ138" s="662">
        <f t="shared" si="358"/>
        <v>1.0669999999999999</v>
      </c>
      <c r="AK138" s="662">
        <f t="shared" si="358"/>
        <v>1.0669999999999999</v>
      </c>
      <c r="AL138" s="662">
        <f t="shared" si="358"/>
        <v>1.0669999999999999</v>
      </c>
      <c r="AM138" s="662">
        <f t="shared" si="358"/>
        <v>1.0669999999999999</v>
      </c>
      <c r="AN138" s="662">
        <f t="shared" si="358"/>
        <v>1.0669999999999999</v>
      </c>
      <c r="AO138" s="662">
        <f t="shared" si="345"/>
        <v>1.0669999999999999</v>
      </c>
      <c r="AP138" s="662">
        <f t="shared" si="346"/>
        <v>1.0669999999999999</v>
      </c>
      <c r="AQ138" s="662">
        <f t="shared" si="347"/>
        <v>1.0669999999999999</v>
      </c>
      <c r="AR138" s="662">
        <f t="shared" si="348"/>
        <v>1.0669999999999999</v>
      </c>
      <c r="AS138" s="662">
        <f t="shared" si="349"/>
        <v>1.0669999999999999</v>
      </c>
      <c r="AT138" s="662">
        <f t="shared" si="350"/>
        <v>1.0669999999999999</v>
      </c>
      <c r="AU138" s="662">
        <f t="shared" si="351"/>
        <v>1.0669999999999999</v>
      </c>
      <c r="AV138" s="662">
        <f t="shared" si="352"/>
        <v>1.0669999999999999</v>
      </c>
      <c r="AW138" s="662">
        <f t="shared" si="353"/>
        <v>1.0669999999999999</v>
      </c>
      <c r="AX138" s="662">
        <f t="shared" si="354"/>
        <v>1.0669999999999999</v>
      </c>
      <c r="AY138" s="662">
        <f t="shared" si="355"/>
        <v>1.0669999999999999</v>
      </c>
      <c r="AZ138" s="662">
        <f t="shared" si="356"/>
        <v>1.0669999999999999</v>
      </c>
      <c r="BE138" s="651" t="e">
        <f t="shared" si="359"/>
        <v>#DIV/0!</v>
      </c>
      <c r="BF138" s="651">
        <f t="shared" si="360"/>
        <v>1.0409999999999999</v>
      </c>
      <c r="BG138" s="651">
        <f t="shared" si="361"/>
        <v>1.0605</v>
      </c>
      <c r="BH138" s="651">
        <f t="shared" si="362"/>
        <v>1.0669999999999999</v>
      </c>
      <c r="BI138" s="662">
        <f t="shared" si="363"/>
        <v>1.0669999999999999</v>
      </c>
      <c r="BJ138" s="662">
        <f t="shared" si="364"/>
        <v>1.0669999999999999</v>
      </c>
      <c r="BK138" s="662">
        <f t="shared" si="365"/>
        <v>1.0669999999999999</v>
      </c>
      <c r="BL138" s="662">
        <f t="shared" si="366"/>
        <v>1.0669999999999999</v>
      </c>
      <c r="BM138" s="662">
        <f t="shared" si="357"/>
        <v>1.0669999999999999</v>
      </c>
      <c r="BN138" s="662">
        <f t="shared" si="357"/>
        <v>1.0669999999999999</v>
      </c>
      <c r="BO138" s="662">
        <f t="shared" si="357"/>
        <v>1.0669999999999999</v>
      </c>
    </row>
    <row r="139" spans="3:67">
      <c r="C139" t="s">
        <v>765</v>
      </c>
      <c r="Z139" s="651"/>
      <c r="AA139" s="651"/>
      <c r="AB139" s="651"/>
      <c r="AC139" s="651"/>
      <c r="AD139" s="651"/>
      <c r="AE139" s="651">
        <v>3.5000000000000003E-2</v>
      </c>
      <c r="AF139" s="651">
        <v>3.5000000000000003E-2</v>
      </c>
      <c r="AG139" s="651">
        <v>3.5000000000000003E-2</v>
      </c>
      <c r="AH139" s="651">
        <v>1.0409999999999999</v>
      </c>
      <c r="AI139" s="651">
        <v>1.0645</v>
      </c>
      <c r="AJ139" s="662">
        <f t="shared" si="358"/>
        <v>1.0645</v>
      </c>
      <c r="AK139" s="662">
        <f t="shared" si="358"/>
        <v>1.0645</v>
      </c>
      <c r="AL139" s="662">
        <f t="shared" si="358"/>
        <v>1.0645</v>
      </c>
      <c r="AM139" s="662">
        <f t="shared" si="358"/>
        <v>1.0645</v>
      </c>
      <c r="AN139" s="662">
        <f t="shared" si="358"/>
        <v>1.0645</v>
      </c>
      <c r="AO139" s="662">
        <f t="shared" si="345"/>
        <v>1.0645</v>
      </c>
      <c r="AP139" s="662">
        <f t="shared" si="346"/>
        <v>1.0645</v>
      </c>
      <c r="AQ139" s="662">
        <f t="shared" si="347"/>
        <v>1.0645</v>
      </c>
      <c r="AR139" s="662">
        <f t="shared" si="348"/>
        <v>1.0645</v>
      </c>
      <c r="AS139" s="662">
        <f t="shared" si="349"/>
        <v>1.0645</v>
      </c>
      <c r="AT139" s="662">
        <f t="shared" si="350"/>
        <v>1.0645</v>
      </c>
      <c r="AU139" s="662">
        <f t="shared" si="351"/>
        <v>1.0645</v>
      </c>
      <c r="AV139" s="662">
        <f t="shared" si="352"/>
        <v>1.0645</v>
      </c>
      <c r="AW139" s="662">
        <f t="shared" si="353"/>
        <v>1.0645</v>
      </c>
      <c r="AX139" s="662">
        <f t="shared" si="354"/>
        <v>1.0645</v>
      </c>
      <c r="AY139" s="662">
        <f t="shared" si="355"/>
        <v>1.0645</v>
      </c>
      <c r="AZ139" s="662">
        <f t="shared" si="356"/>
        <v>1.0645</v>
      </c>
      <c r="BE139" s="651" t="e">
        <f t="shared" si="359"/>
        <v>#DIV/0!</v>
      </c>
      <c r="BF139" s="651">
        <f t="shared" si="360"/>
        <v>3.5000000000000003E-2</v>
      </c>
      <c r="BG139" s="651">
        <f t="shared" si="361"/>
        <v>0.80125000000000002</v>
      </c>
      <c r="BH139" s="651">
        <f t="shared" si="362"/>
        <v>1.0645</v>
      </c>
      <c r="BI139" s="662">
        <f t="shared" si="363"/>
        <v>1.0645</v>
      </c>
      <c r="BJ139" s="662">
        <f t="shared" si="364"/>
        <v>1.0645</v>
      </c>
      <c r="BK139" s="662">
        <f t="shared" si="365"/>
        <v>1.0645</v>
      </c>
      <c r="BL139" s="662">
        <f t="shared" si="366"/>
        <v>1.0645</v>
      </c>
      <c r="BM139" s="662">
        <f t="shared" si="357"/>
        <v>1.0645</v>
      </c>
      <c r="BN139" s="662">
        <f t="shared" si="357"/>
        <v>1.0645</v>
      </c>
      <c r="BO139" s="662">
        <f t="shared" si="357"/>
        <v>1.0645</v>
      </c>
    </row>
    <row r="140" spans="3:67">
      <c r="C140" t="s">
        <v>766</v>
      </c>
      <c r="Z140" s="651"/>
      <c r="AA140" s="651"/>
      <c r="AB140" s="651"/>
      <c r="AC140" s="651"/>
      <c r="AD140" s="651"/>
      <c r="AE140" s="651">
        <v>1.6</v>
      </c>
      <c r="AF140" s="651">
        <v>1.6</v>
      </c>
      <c r="AG140" s="651">
        <v>1.6</v>
      </c>
      <c r="AH140" s="651">
        <v>1</v>
      </c>
      <c r="AI140" s="651">
        <v>1.1339999999999999</v>
      </c>
      <c r="AJ140" s="662">
        <f t="shared" si="358"/>
        <v>1.1339999999999999</v>
      </c>
      <c r="AK140" s="662">
        <f t="shared" si="358"/>
        <v>1.1339999999999999</v>
      </c>
      <c r="AL140" s="662">
        <f t="shared" si="358"/>
        <v>1.1339999999999999</v>
      </c>
      <c r="AM140" s="662">
        <f t="shared" si="358"/>
        <v>1.1339999999999999</v>
      </c>
      <c r="AN140" s="662">
        <f t="shared" si="358"/>
        <v>1.1339999999999999</v>
      </c>
      <c r="AO140" s="662">
        <f t="shared" si="345"/>
        <v>1.1339999999999999</v>
      </c>
      <c r="AP140" s="662">
        <f t="shared" si="346"/>
        <v>1.1339999999999999</v>
      </c>
      <c r="AQ140" s="662">
        <f t="shared" si="347"/>
        <v>1.1339999999999999</v>
      </c>
      <c r="AR140" s="662">
        <f t="shared" si="348"/>
        <v>1.1339999999999999</v>
      </c>
      <c r="AS140" s="662">
        <f t="shared" si="349"/>
        <v>1.1339999999999999</v>
      </c>
      <c r="AT140" s="662">
        <f t="shared" si="350"/>
        <v>1.1339999999999999</v>
      </c>
      <c r="AU140" s="662">
        <f t="shared" si="351"/>
        <v>1.1339999999999999</v>
      </c>
      <c r="AV140" s="662">
        <f t="shared" si="352"/>
        <v>1.1339999999999999</v>
      </c>
      <c r="AW140" s="662">
        <f t="shared" si="353"/>
        <v>1.1339999999999999</v>
      </c>
      <c r="AX140" s="662">
        <f t="shared" si="354"/>
        <v>1.1339999999999999</v>
      </c>
      <c r="AY140" s="662">
        <f t="shared" si="355"/>
        <v>1.1339999999999999</v>
      </c>
      <c r="AZ140" s="662">
        <f t="shared" si="356"/>
        <v>1.1339999999999999</v>
      </c>
      <c r="BE140" s="651" t="e">
        <f t="shared" si="359"/>
        <v>#DIV/0!</v>
      </c>
      <c r="BF140" s="651">
        <f t="shared" si="360"/>
        <v>1.6</v>
      </c>
      <c r="BG140" s="651">
        <f t="shared" si="361"/>
        <v>1.2170000000000001</v>
      </c>
      <c r="BH140" s="651">
        <f t="shared" si="362"/>
        <v>1.1339999999999999</v>
      </c>
      <c r="BI140" s="662">
        <f t="shared" si="363"/>
        <v>1.1339999999999999</v>
      </c>
      <c r="BJ140" s="662">
        <f t="shared" si="364"/>
        <v>1.1339999999999999</v>
      </c>
      <c r="BK140" s="662">
        <f t="shared" si="365"/>
        <v>1.1339999999999999</v>
      </c>
      <c r="BL140" s="662">
        <f t="shared" si="366"/>
        <v>1.1339999999999999</v>
      </c>
      <c r="BM140" s="662">
        <f t="shared" si="357"/>
        <v>1.1339999999999999</v>
      </c>
      <c r="BN140" s="662">
        <f t="shared" si="357"/>
        <v>1.1339999999999999</v>
      </c>
      <c r="BO140" s="662">
        <f t="shared" si="357"/>
        <v>1.1339999999999999</v>
      </c>
    </row>
    <row r="141" spans="3:67">
      <c r="C141" t="s">
        <v>767</v>
      </c>
      <c r="Z141" s="651"/>
      <c r="AA141" s="651"/>
      <c r="AB141" s="651"/>
      <c r="AC141" s="651"/>
      <c r="AD141" s="651"/>
      <c r="AE141" s="651">
        <v>1.605</v>
      </c>
      <c r="AF141" s="651">
        <v>1.605</v>
      </c>
      <c r="AG141" s="651">
        <v>1.605</v>
      </c>
      <c r="AH141" s="651">
        <v>1.6</v>
      </c>
      <c r="AI141" s="651">
        <v>1.1870000000000001</v>
      </c>
      <c r="AJ141" s="662">
        <f t="shared" si="358"/>
        <v>1.1870000000000001</v>
      </c>
      <c r="AK141" s="662">
        <f t="shared" si="358"/>
        <v>1.1870000000000001</v>
      </c>
      <c r="AL141" s="662">
        <f t="shared" si="358"/>
        <v>1.1870000000000001</v>
      </c>
      <c r="AM141" s="662">
        <f t="shared" si="358"/>
        <v>1.1870000000000001</v>
      </c>
      <c r="AN141" s="662">
        <f t="shared" si="358"/>
        <v>1.1870000000000001</v>
      </c>
      <c r="AO141" s="662">
        <f t="shared" si="345"/>
        <v>1.1870000000000001</v>
      </c>
      <c r="AP141" s="662">
        <f t="shared" si="346"/>
        <v>1.1870000000000001</v>
      </c>
      <c r="AQ141" s="662">
        <f t="shared" si="347"/>
        <v>1.1870000000000001</v>
      </c>
      <c r="AR141" s="662">
        <f t="shared" si="348"/>
        <v>1.1870000000000001</v>
      </c>
      <c r="AS141" s="662">
        <f t="shared" si="349"/>
        <v>1.1870000000000001</v>
      </c>
      <c r="AT141" s="662">
        <f t="shared" si="350"/>
        <v>1.1870000000000001</v>
      </c>
      <c r="AU141" s="662">
        <f t="shared" si="351"/>
        <v>1.1870000000000001</v>
      </c>
      <c r="AV141" s="662">
        <f t="shared" si="352"/>
        <v>1.1870000000000001</v>
      </c>
      <c r="AW141" s="662">
        <f t="shared" si="353"/>
        <v>1.1870000000000001</v>
      </c>
      <c r="AX141" s="662">
        <f t="shared" si="354"/>
        <v>1.1870000000000001</v>
      </c>
      <c r="AY141" s="662">
        <f t="shared" si="355"/>
        <v>1.1870000000000001</v>
      </c>
      <c r="AZ141" s="662">
        <f t="shared" si="356"/>
        <v>1.1870000000000001</v>
      </c>
      <c r="BE141" s="651" t="e">
        <f t="shared" si="359"/>
        <v>#DIV/0!</v>
      </c>
      <c r="BF141" s="651">
        <f t="shared" si="360"/>
        <v>1.605</v>
      </c>
      <c r="BG141" s="651">
        <f t="shared" si="361"/>
        <v>1.3947500000000002</v>
      </c>
      <c r="BH141" s="651">
        <f t="shared" si="362"/>
        <v>1.1870000000000001</v>
      </c>
      <c r="BI141" s="662">
        <f t="shared" si="363"/>
        <v>1.1870000000000001</v>
      </c>
      <c r="BJ141" s="662">
        <f t="shared" si="364"/>
        <v>1.1870000000000001</v>
      </c>
      <c r="BK141" s="662">
        <f t="shared" si="365"/>
        <v>1.1870000000000001</v>
      </c>
      <c r="BL141" s="662">
        <f t="shared" si="366"/>
        <v>1.1870000000000001</v>
      </c>
      <c r="BM141" s="662">
        <f t="shared" si="357"/>
        <v>1.1870000000000001</v>
      </c>
      <c r="BN141" s="662">
        <f t="shared" si="357"/>
        <v>1.1870000000000001</v>
      </c>
      <c r="BO141" s="662">
        <f t="shared" si="357"/>
        <v>1.1870000000000001</v>
      </c>
    </row>
    <row r="142" spans="3:67">
      <c r="C142" t="s">
        <v>768</v>
      </c>
      <c r="Z142" s="650">
        <v>4.6699999999999998E-2</v>
      </c>
      <c r="AA142" s="650">
        <v>4.6699999999999998E-2</v>
      </c>
      <c r="AB142" s="650">
        <v>0</v>
      </c>
      <c r="AC142" s="650">
        <v>0</v>
      </c>
      <c r="AD142" s="650">
        <v>0</v>
      </c>
      <c r="AE142" s="650">
        <v>1.59</v>
      </c>
      <c r="AF142" s="650">
        <v>1.59</v>
      </c>
      <c r="AG142" s="650">
        <v>1.59</v>
      </c>
      <c r="AH142" s="650">
        <v>1.2869999999999999</v>
      </c>
      <c r="AI142" s="650">
        <v>1.1479999999999999</v>
      </c>
      <c r="AJ142" s="662">
        <f t="shared" si="358"/>
        <v>1.1479999999999999</v>
      </c>
      <c r="AK142" s="662">
        <f t="shared" si="358"/>
        <v>1.1479999999999999</v>
      </c>
      <c r="AL142" s="662">
        <f t="shared" si="358"/>
        <v>1.1479999999999999</v>
      </c>
      <c r="AM142" s="662">
        <f t="shared" si="358"/>
        <v>1.1479999999999999</v>
      </c>
      <c r="AN142" s="662">
        <f t="shared" si="358"/>
        <v>1.1479999999999999</v>
      </c>
      <c r="AO142" s="662">
        <f t="shared" si="345"/>
        <v>1.1479999999999999</v>
      </c>
      <c r="AP142" s="662">
        <f t="shared" si="346"/>
        <v>1.1479999999999999</v>
      </c>
      <c r="AQ142" s="662">
        <f t="shared" si="347"/>
        <v>1.1479999999999999</v>
      </c>
      <c r="AR142" s="662">
        <f t="shared" si="348"/>
        <v>1.1479999999999999</v>
      </c>
      <c r="AS142" s="662">
        <f t="shared" si="349"/>
        <v>1.1479999999999999</v>
      </c>
      <c r="AT142" s="662">
        <f t="shared" si="350"/>
        <v>1.1479999999999999</v>
      </c>
      <c r="AU142" s="662">
        <f t="shared" si="351"/>
        <v>1.1479999999999999</v>
      </c>
      <c r="AV142" s="662">
        <f t="shared" si="352"/>
        <v>1.1479999999999999</v>
      </c>
      <c r="AW142" s="662">
        <f t="shared" si="353"/>
        <v>1.1479999999999999</v>
      </c>
      <c r="AX142" s="662">
        <f t="shared" si="354"/>
        <v>1.1479999999999999</v>
      </c>
      <c r="AY142" s="662">
        <f t="shared" si="355"/>
        <v>1.1479999999999999</v>
      </c>
      <c r="AZ142" s="662">
        <f t="shared" si="356"/>
        <v>1.1479999999999999</v>
      </c>
      <c r="BE142" s="651">
        <f t="shared" si="359"/>
        <v>3.1133333333333332E-2</v>
      </c>
      <c r="BF142" s="651">
        <f t="shared" si="360"/>
        <v>0.79500000000000004</v>
      </c>
      <c r="BG142" s="651">
        <f t="shared" si="361"/>
        <v>1.2932499999999998</v>
      </c>
      <c r="BH142" s="651">
        <f t="shared" si="362"/>
        <v>1.1479999999999999</v>
      </c>
      <c r="BI142" s="662">
        <f t="shared" si="363"/>
        <v>1.1479999999999999</v>
      </c>
      <c r="BJ142" s="662">
        <f t="shared" si="364"/>
        <v>1.1479999999999999</v>
      </c>
      <c r="BK142" s="662">
        <f t="shared" si="365"/>
        <v>1.1479999999999999</v>
      </c>
      <c r="BL142" s="662">
        <f t="shared" si="366"/>
        <v>1.1479999999999999</v>
      </c>
      <c r="BM142" s="662">
        <f t="shared" si="357"/>
        <v>1.1479999999999999</v>
      </c>
      <c r="BN142" s="662">
        <f t="shared" si="357"/>
        <v>1.1479999999999999</v>
      </c>
      <c r="BO142" s="662">
        <f t="shared" si="357"/>
        <v>1.1479999999999999</v>
      </c>
    </row>
    <row r="143" spans="3:67">
      <c r="C143" t="s">
        <v>768</v>
      </c>
      <c r="AH143">
        <v>1.1759999999999999</v>
      </c>
      <c r="AJ143" s="662">
        <f t="shared" si="358"/>
        <v>0</v>
      </c>
      <c r="AK143" s="662">
        <f t="shared" si="358"/>
        <v>0</v>
      </c>
      <c r="AL143" s="662">
        <f t="shared" si="358"/>
        <v>0</v>
      </c>
      <c r="AM143" s="662">
        <f t="shared" si="358"/>
        <v>0</v>
      </c>
      <c r="AN143" s="662">
        <f t="shared" si="358"/>
        <v>0</v>
      </c>
      <c r="AO143" s="662">
        <f t="shared" si="345"/>
        <v>0</v>
      </c>
      <c r="AP143" s="662">
        <f t="shared" si="346"/>
        <v>0</v>
      </c>
      <c r="AQ143" s="662">
        <f t="shared" si="347"/>
        <v>0</v>
      </c>
      <c r="AR143" s="662">
        <f t="shared" si="348"/>
        <v>0</v>
      </c>
      <c r="AS143" s="662">
        <f t="shared" si="349"/>
        <v>0</v>
      </c>
      <c r="AT143" s="662">
        <f t="shared" si="350"/>
        <v>0</v>
      </c>
      <c r="AU143" s="662">
        <f t="shared" si="351"/>
        <v>0</v>
      </c>
      <c r="AV143" s="662">
        <f t="shared" si="352"/>
        <v>0</v>
      </c>
      <c r="AW143" s="662">
        <f t="shared" si="353"/>
        <v>0</v>
      </c>
      <c r="AX143" s="662">
        <f t="shared" si="354"/>
        <v>0</v>
      </c>
      <c r="AY143" s="662">
        <f t="shared" si="355"/>
        <v>0</v>
      </c>
      <c r="AZ143" s="662">
        <f t="shared" si="356"/>
        <v>0</v>
      </c>
      <c r="BH143" s="651">
        <f t="shared" si="362"/>
        <v>0</v>
      </c>
      <c r="BI143" s="662">
        <f t="shared" si="363"/>
        <v>0</v>
      </c>
      <c r="BJ143" s="662">
        <f t="shared" si="364"/>
        <v>0</v>
      </c>
      <c r="BK143" s="662">
        <f t="shared" si="365"/>
        <v>0</v>
      </c>
      <c r="BL143" s="662">
        <f t="shared" si="366"/>
        <v>0</v>
      </c>
      <c r="BM143" s="662">
        <f t="shared" si="357"/>
        <v>0</v>
      </c>
      <c r="BN143" s="662">
        <f t="shared" si="357"/>
        <v>0</v>
      </c>
      <c r="BO143" s="662">
        <f t="shared" si="357"/>
        <v>0</v>
      </c>
    </row>
    <row r="144" spans="3:67">
      <c r="AJ144" s="662"/>
      <c r="AK144" s="662"/>
      <c r="AL144" s="662"/>
      <c r="AM144" s="662"/>
      <c r="AN144" s="662"/>
      <c r="AO144" s="662"/>
      <c r="AP144" s="662"/>
      <c r="AQ144" s="662"/>
      <c r="AR144" s="662"/>
      <c r="AS144" s="662"/>
      <c r="AT144" s="662"/>
      <c r="AU144" s="662"/>
      <c r="AV144" s="662"/>
      <c r="AW144" s="662"/>
      <c r="AX144" s="662"/>
      <c r="AY144" s="662"/>
      <c r="AZ144" s="662"/>
      <c r="BH144" s="651"/>
      <c r="BI144" s="662"/>
      <c r="BJ144" s="662"/>
      <c r="BK144" s="662"/>
      <c r="BL144" s="662"/>
      <c r="BM144" s="662"/>
      <c r="BN144" s="662"/>
      <c r="BO144" s="662"/>
    </row>
    <row r="145" spans="3:67" s="359" customFormat="1">
      <c r="C145" s="359" t="s">
        <v>769</v>
      </c>
      <c r="Z145" s="658">
        <f t="shared" ref="Z145:AG145" si="367">+SUM(Z146:Z153)</f>
        <v>12836.881008125763</v>
      </c>
      <c r="AA145" s="658">
        <f t="shared" si="367"/>
        <v>7519.7830718475579</v>
      </c>
      <c r="AB145" s="658">
        <f t="shared" si="367"/>
        <v>5672.3702342643746</v>
      </c>
      <c r="AC145" s="658">
        <f t="shared" si="367"/>
        <v>6022.6849071931438</v>
      </c>
      <c r="AD145" s="658">
        <f t="shared" si="367"/>
        <v>10153.045810790647</v>
      </c>
      <c r="AE145" s="658">
        <f t="shared" si="367"/>
        <v>11271.844575990466</v>
      </c>
      <c r="AF145" s="658">
        <f t="shared" si="367"/>
        <v>8256.2575454241141</v>
      </c>
      <c r="AG145" s="658">
        <f t="shared" si="367"/>
        <v>13009.265063603299</v>
      </c>
      <c r="AH145" s="658">
        <f>+SUM(AH146:AH153)</f>
        <v>35492.071349368642</v>
      </c>
      <c r="AI145" s="658">
        <f t="shared" ref="AI145:AN145" si="368">+SUM(AI146:AI153)</f>
        <v>41199.459333855601</v>
      </c>
      <c r="AJ145" s="658">
        <f t="shared" si="368"/>
        <v>0</v>
      </c>
      <c r="AK145" s="658">
        <f t="shared" si="368"/>
        <v>0</v>
      </c>
      <c r="AL145" s="658">
        <f t="shared" si="368"/>
        <v>0</v>
      </c>
      <c r="AM145" s="658">
        <f t="shared" si="368"/>
        <v>0</v>
      </c>
      <c r="AN145" s="658">
        <f t="shared" si="368"/>
        <v>0</v>
      </c>
      <c r="AO145" s="658">
        <f t="shared" ref="AO145:AR145" si="369">+SUM(AO146:AO153)</f>
        <v>0</v>
      </c>
      <c r="AP145" s="658">
        <f t="shared" si="369"/>
        <v>0</v>
      </c>
      <c r="AQ145" s="658">
        <f t="shared" si="369"/>
        <v>0</v>
      </c>
      <c r="AR145" s="658">
        <f t="shared" si="369"/>
        <v>0</v>
      </c>
      <c r="AS145" s="658">
        <f t="shared" ref="AS145:AV145" si="370">+SUM(AS146:AS153)</f>
        <v>0</v>
      </c>
      <c r="AT145" s="658">
        <f t="shared" si="370"/>
        <v>0</v>
      </c>
      <c r="AU145" s="658">
        <f t="shared" si="370"/>
        <v>0</v>
      </c>
      <c r="AV145" s="658">
        <f t="shared" si="370"/>
        <v>0</v>
      </c>
      <c r="AW145" s="658">
        <f t="shared" ref="AW145:AZ145" si="371">+SUM(AW146:AW153)</f>
        <v>0</v>
      </c>
      <c r="AX145" s="658">
        <f t="shared" si="371"/>
        <v>0</v>
      </c>
      <c r="AY145" s="658">
        <f t="shared" si="371"/>
        <v>0</v>
      </c>
      <c r="AZ145" s="658">
        <f t="shared" si="371"/>
        <v>0</v>
      </c>
      <c r="BE145" s="658">
        <f t="shared" ref="BE145:BL145" si="372">+SUM(BE146:BE152)</f>
        <v>26029.034314237695</v>
      </c>
      <c r="BF145" s="658">
        <f t="shared" si="372"/>
        <v>35703.832839398376</v>
      </c>
      <c r="BG145" s="658">
        <f t="shared" si="372"/>
        <v>88755.257876472417</v>
      </c>
      <c r="BH145" s="658">
        <f t="shared" si="372"/>
        <v>0</v>
      </c>
      <c r="BI145" s="658">
        <f t="shared" si="372"/>
        <v>0</v>
      </c>
      <c r="BJ145" s="658">
        <f t="shared" si="372"/>
        <v>0</v>
      </c>
      <c r="BK145" s="658">
        <f t="shared" si="372"/>
        <v>0</v>
      </c>
      <c r="BL145" s="658">
        <f t="shared" si="372"/>
        <v>0</v>
      </c>
      <c r="BM145" s="658">
        <f t="shared" ref="BM145:BO145" si="373">+SUM(BM146:BM152)</f>
        <v>0</v>
      </c>
      <c r="BN145" s="658">
        <f t="shared" si="373"/>
        <v>0</v>
      </c>
      <c r="BO145" s="658">
        <f t="shared" si="373"/>
        <v>0</v>
      </c>
    </row>
    <row r="146" spans="3:67">
      <c r="C146" t="s">
        <v>764</v>
      </c>
      <c r="Z146" s="660">
        <f>+Z136*MACRO!CC6*Divida!Z126</f>
        <v>11087.650783125764</v>
      </c>
      <c r="AA146" s="660">
        <f>+AA136*MACRO!CD6*Divida!AA126</f>
        <v>7519.7830718475579</v>
      </c>
      <c r="AB146" s="660">
        <f>+AB136*MACRO!CE6*Divida!AB126</f>
        <v>5672.3702342643746</v>
      </c>
      <c r="AC146" s="660">
        <f>+AC136*MACRO!CF6*Divida!AC126</f>
        <v>6022.6849071931438</v>
      </c>
      <c r="AD146" s="660">
        <f>+AD136*MACRO!CG6*Divida!AD126</f>
        <v>10153.045810790647</v>
      </c>
      <c r="AE146" s="660">
        <f>+AE136*MACRO!CH$6*AE127</f>
        <v>2885.1562202893019</v>
      </c>
      <c r="AF146" s="660">
        <f>+AF136*MACRO!CI$6*AF127</f>
        <v>7139.2345510846008</v>
      </c>
      <c r="AG146" s="660">
        <f>+AG136*MACRO!CJ$6*AG127</f>
        <v>9836.0955060600591</v>
      </c>
      <c r="AH146" s="660">
        <f>+AH136*MACRO!CK$6*AH126</f>
        <v>7636.4843603241598</v>
      </c>
      <c r="AI146" s="660">
        <f>+AI136*MACRO!CL$6*AI126</f>
        <v>8602.7020322015978</v>
      </c>
      <c r="AJ146" s="660">
        <f>+AJ136*MACRO!CM$6*AJ126</f>
        <v>0</v>
      </c>
      <c r="AK146" s="660">
        <f>+AK136*MACRO!CN$6*AK126</f>
        <v>0</v>
      </c>
      <c r="AL146" s="660">
        <f>+AL136*MACRO!CO$6*AL126</f>
        <v>0</v>
      </c>
      <c r="AM146" s="660">
        <f>+AM136*MACRO!CP$6*AM126</f>
        <v>0</v>
      </c>
      <c r="AN146" s="660">
        <f>+AN136*MACRO!CQ$6*AN126</f>
        <v>0</v>
      </c>
      <c r="AO146" s="660">
        <f>+AO136*MACRO!CR$6*AO126</f>
        <v>0</v>
      </c>
      <c r="AP146" s="660">
        <f>+AP136*MACRO!CS$6*AP126</f>
        <v>0</v>
      </c>
      <c r="AQ146" s="660">
        <f>+AQ136*MACRO!CT$6*AQ126</f>
        <v>0</v>
      </c>
      <c r="AR146" s="660">
        <f>+AR136*MACRO!CU$6*AR126</f>
        <v>0</v>
      </c>
      <c r="AS146" s="660">
        <f>+AS136*MACRO!CV$6*AS126</f>
        <v>0</v>
      </c>
      <c r="AT146" s="660">
        <f>+AT136*MACRO!CW$6*AT126</f>
        <v>0</v>
      </c>
      <c r="AU146" s="660">
        <f>+AU136*MACRO!CX$6*AU126</f>
        <v>0</v>
      </c>
      <c r="AV146" s="660">
        <f>+AV136*MACRO!CY$6*AV126</f>
        <v>0</v>
      </c>
      <c r="AW146" s="660">
        <f>+AW136*MACRO!CZ$6*AW126</f>
        <v>0</v>
      </c>
      <c r="AX146" s="660">
        <f>+AX136*MACRO!DA$6*AX126</f>
        <v>0</v>
      </c>
      <c r="AY146" s="660">
        <f>+AY136*MACRO!DB$6*AY126</f>
        <v>0</v>
      </c>
      <c r="AZ146" s="660">
        <f>+AZ136*MACRO!DC$6*AZ126</f>
        <v>0</v>
      </c>
      <c r="BE146" s="649">
        <f>+SUM(Y146:AB146)</f>
        <v>24279.804089237696</v>
      </c>
      <c r="BF146" s="649">
        <f>+SUM(AC146:AF146)</f>
        <v>26200.121489357691</v>
      </c>
      <c r="BG146" s="649">
        <f>+SUM(AG146:AJ146)</f>
        <v>26075.281898585818</v>
      </c>
      <c r="BH146" s="649">
        <f>+SUM(AK146:AN146)</f>
        <v>0</v>
      </c>
      <c r="BI146" s="660">
        <f>+BI136*MACRO!EG$6*BI127</f>
        <v>0</v>
      </c>
      <c r="BJ146" s="660">
        <f>+BJ136*MACRO!EH$6*BJ127</f>
        <v>0</v>
      </c>
      <c r="BK146" s="660">
        <f>+BK136*MACRO!EI$6*BK127</f>
        <v>0</v>
      </c>
      <c r="BL146" s="660">
        <f>+BL136*MACRO!EJ$6*BL127</f>
        <v>0</v>
      </c>
      <c r="BM146" s="660">
        <f>+BM136*MACRO!EK$6*BM127</f>
        <v>0</v>
      </c>
      <c r="BN146" s="660">
        <f>+BN136*MACRO!EL$6*BN127</f>
        <v>0</v>
      </c>
      <c r="BO146" s="660">
        <f>+BO136*MACRO!EM$6*BO127</f>
        <v>0</v>
      </c>
    </row>
    <row r="147" spans="3:67">
      <c r="C147" t="s">
        <v>764</v>
      </c>
      <c r="Z147" s="660"/>
      <c r="AA147" s="660"/>
      <c r="AB147" s="660"/>
      <c r="AC147" s="660"/>
      <c r="AD147" s="660"/>
      <c r="AE147" s="660">
        <f>+AE137*MACRO!CH$6*AE128</f>
        <v>825.14892630017391</v>
      </c>
      <c r="AF147" s="660">
        <f>+AF137*MACRO!CI$6*AF128</f>
        <v>0</v>
      </c>
      <c r="AG147" s="660">
        <f>+AG137*MACRO!CJ$6*AG128</f>
        <v>1643.3198042865079</v>
      </c>
      <c r="AH147" s="660">
        <f>+AH137*MACRO!CK$6*AH127</f>
        <v>1871.4428778880447</v>
      </c>
      <c r="AI147" s="660">
        <f>+AI137*MACRO!CL$6*AI127</f>
        <v>2105.9748016910376</v>
      </c>
      <c r="AJ147" s="660">
        <f>+AJ137*MACRO!CM$6*AJ127</f>
        <v>0</v>
      </c>
      <c r="AK147" s="660">
        <f>+AK137*MACRO!CN$6*AK127</f>
        <v>0</v>
      </c>
      <c r="AL147" s="660">
        <f>+AL137*MACRO!CO$6*AL127</f>
        <v>0</v>
      </c>
      <c r="AM147" s="660">
        <f>+AM137*MACRO!CP$6*AM127</f>
        <v>0</v>
      </c>
      <c r="AN147" s="660">
        <f>+AN137*MACRO!CQ$6*AN127</f>
        <v>0</v>
      </c>
      <c r="AO147" s="660">
        <f>+AO137*MACRO!CR$6*AO127</f>
        <v>0</v>
      </c>
      <c r="AP147" s="660">
        <f>+AP137*MACRO!CS$6*AP127</f>
        <v>0</v>
      </c>
      <c r="AQ147" s="660">
        <f>+AQ137*MACRO!CT$6*AQ127</f>
        <v>0</v>
      </c>
      <c r="AR147" s="660">
        <f>+AR137*MACRO!CU$6*AR127</f>
        <v>0</v>
      </c>
      <c r="AS147" s="660">
        <f>+AS137*MACRO!CV$6*AS127</f>
        <v>0</v>
      </c>
      <c r="AT147" s="660">
        <f>+AT137*MACRO!CW$6*AT127</f>
        <v>0</v>
      </c>
      <c r="AU147" s="660">
        <f>+AU137*MACRO!CX$6*AU127</f>
        <v>0</v>
      </c>
      <c r="AV147" s="660">
        <f>+AV137*MACRO!CY$6*AV127</f>
        <v>0</v>
      </c>
      <c r="AW147" s="660">
        <f>+AW137*MACRO!CZ$6*AW127</f>
        <v>0</v>
      </c>
      <c r="AX147" s="660">
        <f>+AX137*MACRO!DA$6*AX127</f>
        <v>0</v>
      </c>
      <c r="AY147" s="660">
        <f>+AY137*MACRO!DB$6*AY127</f>
        <v>0</v>
      </c>
      <c r="AZ147" s="660">
        <f>+AZ137*MACRO!DC$6*AZ127</f>
        <v>0</v>
      </c>
      <c r="BE147" s="649">
        <f t="shared" ref="BE147:BE152" si="374">+SUM(Y147:AB147)</f>
        <v>0</v>
      </c>
      <c r="BF147" s="649">
        <f t="shared" ref="BF147:BF152" si="375">+SUM(AC147:AF147)</f>
        <v>825.14892630017391</v>
      </c>
      <c r="BG147" s="649">
        <f t="shared" ref="BG147:BG152" si="376">+SUM(AG147:AJ147)</f>
        <v>5620.7374838655905</v>
      </c>
      <c r="BH147" s="649">
        <f t="shared" ref="BH147:BH152" si="377">+SUM(AK147:AN147)</f>
        <v>0</v>
      </c>
      <c r="BI147" s="660">
        <f>+BI137*MACRO!EG$6*BI128</f>
        <v>0</v>
      </c>
      <c r="BJ147" s="660">
        <f>+BJ137*MACRO!EH$6*BJ128</f>
        <v>0</v>
      </c>
      <c r="BK147" s="660">
        <f>+BK137*MACRO!EI$6*BK128</f>
        <v>0</v>
      </c>
      <c r="BL147" s="660">
        <f>+BL137*MACRO!EJ$6*BL128</f>
        <v>0</v>
      </c>
      <c r="BM147" s="660">
        <f>+BM137*MACRO!EK$6*BM128</f>
        <v>0</v>
      </c>
      <c r="BN147" s="660">
        <f>+BN137*MACRO!EL$6*BN128</f>
        <v>0</v>
      </c>
      <c r="BO147" s="660">
        <f>+BO137*MACRO!EM$6*BO128</f>
        <v>0</v>
      </c>
    </row>
    <row r="148" spans="3:67">
      <c r="C148" t="s">
        <v>764</v>
      </c>
      <c r="Z148" s="660"/>
      <c r="AA148" s="660"/>
      <c r="AB148" s="660"/>
      <c r="AC148" s="660"/>
      <c r="AD148" s="660"/>
      <c r="AE148" s="660">
        <f>+AE138*MACRO!CH$6*AE129</f>
        <v>4123.8822295645368</v>
      </c>
      <c r="AF148" s="660">
        <f>+AF138*MACRO!CI$6*AF129</f>
        <v>1011.9195092711781</v>
      </c>
      <c r="AG148" s="660">
        <f>+AG138*MACRO!CJ$6*AG129</f>
        <v>1383.7079933844946</v>
      </c>
      <c r="AH148" s="660">
        <f>+AH138*MACRO!CK$6*AH128</f>
        <v>5097.8161242575407</v>
      </c>
      <c r="AI148" s="660">
        <f>+AI138*MACRO!CL$6*AI128</f>
        <v>1209.6750058082578</v>
      </c>
      <c r="AJ148" s="660">
        <f>+AJ138*MACRO!CM$6*AJ128</f>
        <v>0</v>
      </c>
      <c r="AK148" s="660">
        <f>+AK138*MACRO!CN$6*AK128</f>
        <v>0</v>
      </c>
      <c r="AL148" s="660">
        <f>+AL138*MACRO!CO$6*AL128</f>
        <v>0</v>
      </c>
      <c r="AM148" s="660">
        <f>+AM138*MACRO!CP$6*AM128</f>
        <v>0</v>
      </c>
      <c r="AN148" s="660">
        <f>+AN138*MACRO!CQ$6*AN128</f>
        <v>0</v>
      </c>
      <c r="AO148" s="660">
        <f>+AO138*MACRO!CR$6*AO128</f>
        <v>0</v>
      </c>
      <c r="AP148" s="660">
        <f>+AP138*MACRO!CS$6*AP128</f>
        <v>0</v>
      </c>
      <c r="AQ148" s="660">
        <f>+AQ138*MACRO!CT$6*AQ128</f>
        <v>0</v>
      </c>
      <c r="AR148" s="660">
        <f>+AR138*MACRO!CU$6*AR128</f>
        <v>0</v>
      </c>
      <c r="AS148" s="660">
        <f>+AS138*MACRO!CV$6*AS128</f>
        <v>0</v>
      </c>
      <c r="AT148" s="660">
        <f>+AT138*MACRO!CW$6*AT128</f>
        <v>0</v>
      </c>
      <c r="AU148" s="660">
        <f>+AU138*MACRO!CX$6*AU128</f>
        <v>0</v>
      </c>
      <c r="AV148" s="660">
        <f>+AV138*MACRO!CY$6*AV128</f>
        <v>0</v>
      </c>
      <c r="AW148" s="660">
        <f>+AW138*MACRO!CZ$6*AW128</f>
        <v>0</v>
      </c>
      <c r="AX148" s="660">
        <f>+AX138*MACRO!DA$6*AX128</f>
        <v>0</v>
      </c>
      <c r="AY148" s="660">
        <f>+AY138*MACRO!DB$6*AY128</f>
        <v>0</v>
      </c>
      <c r="AZ148" s="660">
        <f>+AZ138*MACRO!DC$6*AZ128</f>
        <v>0</v>
      </c>
      <c r="BE148" s="649">
        <f t="shared" si="374"/>
        <v>0</v>
      </c>
      <c r="BF148" s="649">
        <f t="shared" si="375"/>
        <v>5135.8017388357148</v>
      </c>
      <c r="BG148" s="649">
        <f t="shared" si="376"/>
        <v>7691.199123450293</v>
      </c>
      <c r="BH148" s="649">
        <f t="shared" si="377"/>
        <v>0</v>
      </c>
      <c r="BI148" s="660">
        <f>+BI138*MACRO!EG$6*BI129</f>
        <v>0</v>
      </c>
      <c r="BJ148" s="660">
        <f>+BJ138*MACRO!EH$6*BJ129</f>
        <v>0</v>
      </c>
      <c r="BK148" s="660">
        <f>+BK138*MACRO!EI$6*BK129</f>
        <v>0</v>
      </c>
      <c r="BL148" s="660">
        <f>+BL138*MACRO!EJ$6*BL129</f>
        <v>0</v>
      </c>
      <c r="BM148" s="660">
        <f>+BM138*MACRO!EK$6*BM129</f>
        <v>0</v>
      </c>
      <c r="BN148" s="660">
        <f>+BN138*MACRO!EL$6*BN129</f>
        <v>0</v>
      </c>
      <c r="BO148" s="660">
        <f>+BO138*MACRO!EM$6*BO129</f>
        <v>0</v>
      </c>
    </row>
    <row r="149" spans="3:67">
      <c r="C149" t="s">
        <v>765</v>
      </c>
      <c r="Z149" s="660"/>
      <c r="AA149" s="660"/>
      <c r="AB149" s="660"/>
      <c r="AC149" s="660"/>
      <c r="AD149" s="660"/>
      <c r="AE149" s="660">
        <f>+AE139*MACRO!CH$6*AE130</f>
        <v>13.007148578990655</v>
      </c>
      <c r="AF149" s="660">
        <f>+AF139*MACRO!CI$6*AF130</f>
        <v>105.10348506833581</v>
      </c>
      <c r="AG149" s="660">
        <f>+AG139*MACRO!CJ$6*AG130</f>
        <v>146.14175987223874</v>
      </c>
      <c r="AH149" s="660">
        <f>+AH139*MACRO!CK$6*AH129</f>
        <v>10823.538908194225</v>
      </c>
      <c r="AI149" s="660">
        <f>+AI139*MACRO!CL$6*AI129</f>
        <v>7253.802324797688</v>
      </c>
      <c r="AJ149" s="660">
        <f>+AJ139*MACRO!CM$6*AJ129</f>
        <v>0</v>
      </c>
      <c r="AK149" s="660">
        <f>+AK139*MACRO!CN$6*AK129</f>
        <v>0</v>
      </c>
      <c r="AL149" s="660">
        <f>+AL139*MACRO!CO$6*AL129</f>
        <v>0</v>
      </c>
      <c r="AM149" s="660">
        <f>+AM139*MACRO!CP$6*AM129</f>
        <v>0</v>
      </c>
      <c r="AN149" s="660">
        <f>+AN139*MACRO!CQ$6*AN129</f>
        <v>0</v>
      </c>
      <c r="AO149" s="660">
        <f>+AO139*MACRO!CR$6*AO129</f>
        <v>0</v>
      </c>
      <c r="AP149" s="660">
        <f>+AP139*MACRO!CS$6*AP129</f>
        <v>0</v>
      </c>
      <c r="AQ149" s="660">
        <f>+AQ139*MACRO!CT$6*AQ129</f>
        <v>0</v>
      </c>
      <c r="AR149" s="660">
        <f>+AR139*MACRO!CU$6*AR129</f>
        <v>0</v>
      </c>
      <c r="AS149" s="660">
        <f>+AS139*MACRO!CV$6*AS129</f>
        <v>0</v>
      </c>
      <c r="AT149" s="660">
        <f>+AT139*MACRO!CW$6*AT129</f>
        <v>0</v>
      </c>
      <c r="AU149" s="660">
        <f>+AU139*MACRO!CX$6*AU129</f>
        <v>0</v>
      </c>
      <c r="AV149" s="660">
        <f>+AV139*MACRO!CY$6*AV129</f>
        <v>0</v>
      </c>
      <c r="AW149" s="660">
        <f>+AW139*MACRO!CZ$6*AW129</f>
        <v>0</v>
      </c>
      <c r="AX149" s="660">
        <f>+AX139*MACRO!DA$6*AX129</f>
        <v>0</v>
      </c>
      <c r="AY149" s="660">
        <f>+AY139*MACRO!DB$6*AY129</f>
        <v>0</v>
      </c>
      <c r="AZ149" s="660">
        <f>+AZ139*MACRO!DC$6*AZ129</f>
        <v>0</v>
      </c>
      <c r="BE149" s="649">
        <f t="shared" si="374"/>
        <v>0</v>
      </c>
      <c r="BF149" s="649">
        <f t="shared" si="375"/>
        <v>118.11063364732647</v>
      </c>
      <c r="BG149" s="649">
        <f t="shared" si="376"/>
        <v>18223.482992864152</v>
      </c>
      <c r="BH149" s="649">
        <f t="shared" si="377"/>
        <v>0</v>
      </c>
      <c r="BI149" s="660">
        <f>+BI139*MACRO!EG$6*BI130</f>
        <v>0</v>
      </c>
      <c r="BJ149" s="660">
        <f>+BJ139*MACRO!EH$6*BJ130</f>
        <v>0</v>
      </c>
      <c r="BK149" s="660">
        <f>+BK139*MACRO!EI$6*BK130</f>
        <v>0</v>
      </c>
      <c r="BL149" s="660">
        <f>+BL139*MACRO!EJ$6*BL130</f>
        <v>0</v>
      </c>
      <c r="BM149" s="660">
        <f>+BM139*MACRO!EK$6*BM130</f>
        <v>0</v>
      </c>
      <c r="BN149" s="660">
        <f>+BN139*MACRO!EL$6*BN130</f>
        <v>0</v>
      </c>
      <c r="BO149" s="660">
        <f>+BO139*MACRO!EM$6*BO130</f>
        <v>0</v>
      </c>
    </row>
    <row r="150" spans="3:67">
      <c r="C150" t="s">
        <v>766</v>
      </c>
      <c r="Z150" s="660"/>
      <c r="AA150" s="660"/>
      <c r="AB150" s="660"/>
      <c r="AC150" s="660"/>
      <c r="AD150" s="660"/>
      <c r="AE150" s="660">
        <f>+AE140*MACRO!CH$6*AE131</f>
        <v>411.41964803876539</v>
      </c>
      <c r="AF150" s="660">
        <f>+AF140*MACRO!CI$6*AF131</f>
        <v>0</v>
      </c>
      <c r="AG150" s="660">
        <f>+AG140*MACRO!CJ$6*AG131</f>
        <v>0</v>
      </c>
      <c r="AH150" s="660">
        <f>+AH140*MACRO!CK$6*AH130</f>
        <v>1493.0939658219629</v>
      </c>
      <c r="AI150" s="660">
        <f>+AI140*MACRO!CL$6*AI130</f>
        <v>9470.7880089604241</v>
      </c>
      <c r="AJ150" s="660">
        <f>+AJ140*MACRO!CM$6*AJ130</f>
        <v>0</v>
      </c>
      <c r="AK150" s="660">
        <f>+AK140*MACRO!CN$6*AK130</f>
        <v>0</v>
      </c>
      <c r="AL150" s="660">
        <f>+AL140*MACRO!CO$6*AL130</f>
        <v>0</v>
      </c>
      <c r="AM150" s="660">
        <f>+AM140*MACRO!CP$6*AM130</f>
        <v>0</v>
      </c>
      <c r="AN150" s="660">
        <f>+AN140*MACRO!CQ$6*AN130</f>
        <v>0</v>
      </c>
      <c r="AO150" s="660">
        <f>+AO140*MACRO!CR$6*AO130</f>
        <v>0</v>
      </c>
      <c r="AP150" s="660">
        <f>+AP140*MACRO!CS$6*AP130</f>
        <v>0</v>
      </c>
      <c r="AQ150" s="660">
        <f>+AQ140*MACRO!CT$6*AQ130</f>
        <v>0</v>
      </c>
      <c r="AR150" s="660">
        <f>+AR140*MACRO!CU$6*AR130</f>
        <v>0</v>
      </c>
      <c r="AS150" s="660">
        <f>+AS140*MACRO!CV$6*AS130</f>
        <v>0</v>
      </c>
      <c r="AT150" s="660">
        <f>+AT140*MACRO!CW$6*AT130</f>
        <v>0</v>
      </c>
      <c r="AU150" s="660">
        <f>+AU140*MACRO!CX$6*AU130</f>
        <v>0</v>
      </c>
      <c r="AV150" s="660">
        <f>+AV140*MACRO!CY$6*AV130</f>
        <v>0</v>
      </c>
      <c r="AW150" s="660">
        <f>+AW140*MACRO!CZ$6*AW130</f>
        <v>0</v>
      </c>
      <c r="AX150" s="660">
        <f>+AX140*MACRO!DA$6*AX130</f>
        <v>0</v>
      </c>
      <c r="AY150" s="660">
        <f>+AY140*MACRO!DB$6*AY130</f>
        <v>0</v>
      </c>
      <c r="AZ150" s="660">
        <f>+AZ140*MACRO!DC$6*AZ130</f>
        <v>0</v>
      </c>
      <c r="BE150" s="649">
        <f t="shared" si="374"/>
        <v>0</v>
      </c>
      <c r="BF150" s="649">
        <f t="shared" si="375"/>
        <v>411.41964803876539</v>
      </c>
      <c r="BG150" s="649">
        <f t="shared" si="376"/>
        <v>10963.881974782387</v>
      </c>
      <c r="BH150" s="649">
        <f t="shared" si="377"/>
        <v>0</v>
      </c>
      <c r="BI150" s="660">
        <f>+BI140*MACRO!EG$6*BI131</f>
        <v>0</v>
      </c>
      <c r="BJ150" s="660">
        <f>+BJ140*MACRO!EH$6*BJ131</f>
        <v>0</v>
      </c>
      <c r="BK150" s="660">
        <f>+BK140*MACRO!EI$6*BK131</f>
        <v>0</v>
      </c>
      <c r="BL150" s="660">
        <f>+BL140*MACRO!EJ$6*BL131</f>
        <v>0</v>
      </c>
      <c r="BM150" s="660">
        <f>+BM140*MACRO!EK$6*BM131</f>
        <v>0</v>
      </c>
      <c r="BN150" s="660">
        <f>+BN140*MACRO!EL$6*BN131</f>
        <v>0</v>
      </c>
      <c r="BO150" s="660">
        <f>+BO140*MACRO!EM$6*BO131</f>
        <v>0</v>
      </c>
    </row>
    <row r="151" spans="3:67">
      <c r="C151" t="s">
        <v>767</v>
      </c>
      <c r="Z151" s="660"/>
      <c r="AA151" s="660"/>
      <c r="AB151" s="660"/>
      <c r="AC151" s="660"/>
      <c r="AD151" s="660"/>
      <c r="AE151" s="660">
        <f>+AE141*MACRO!CH$6*AE132</f>
        <v>1593.5371925447757</v>
      </c>
      <c r="AF151" s="660">
        <f>+AF141*MACRO!CI$6*AF132</f>
        <v>0</v>
      </c>
      <c r="AG151" s="660">
        <f>+AG141*MACRO!CJ$6*AG132</f>
        <v>0</v>
      </c>
      <c r="AH151" s="660">
        <f>+AH141*MACRO!CK$6*AH131</f>
        <v>1123.3350769779126</v>
      </c>
      <c r="AI151" s="660">
        <f>+AI141*MACRO!CL$6*AI131</f>
        <v>11379.99291832764</v>
      </c>
      <c r="AJ151" s="660">
        <f>+AJ141*MACRO!CM$6*AJ131</f>
        <v>0</v>
      </c>
      <c r="AK151" s="660">
        <f>+AK141*MACRO!CN$6*AK131</f>
        <v>0</v>
      </c>
      <c r="AL151" s="660">
        <f>+AL141*MACRO!CO$6*AL131</f>
        <v>0</v>
      </c>
      <c r="AM151" s="660">
        <f>+AM141*MACRO!CP$6*AM131</f>
        <v>0</v>
      </c>
      <c r="AN151" s="660">
        <f>+AN141*MACRO!CQ$6*AN131</f>
        <v>0</v>
      </c>
      <c r="AO151" s="660">
        <f>+AO141*MACRO!CR$6*AO131</f>
        <v>0</v>
      </c>
      <c r="AP151" s="660">
        <f>+AP141*MACRO!CS$6*AP131</f>
        <v>0</v>
      </c>
      <c r="AQ151" s="660">
        <f>+AQ141*MACRO!CT$6*AQ131</f>
        <v>0</v>
      </c>
      <c r="AR151" s="660">
        <f>+AR141*MACRO!CU$6*AR131</f>
        <v>0</v>
      </c>
      <c r="AS151" s="660">
        <f>+AS141*MACRO!CV$6*AS131</f>
        <v>0</v>
      </c>
      <c r="AT151" s="660">
        <f>+AT141*MACRO!CW$6*AT131</f>
        <v>0</v>
      </c>
      <c r="AU151" s="660">
        <f>+AU141*MACRO!CX$6*AU131</f>
        <v>0</v>
      </c>
      <c r="AV151" s="660">
        <f>+AV141*MACRO!CY$6*AV131</f>
        <v>0</v>
      </c>
      <c r="AW151" s="660">
        <f>+AW141*MACRO!CZ$6*AW131</f>
        <v>0</v>
      </c>
      <c r="AX151" s="660">
        <f>+AX141*MACRO!DA$6*AX131</f>
        <v>0</v>
      </c>
      <c r="AY151" s="660">
        <f>+AY141*MACRO!DB$6*AY131</f>
        <v>0</v>
      </c>
      <c r="AZ151" s="660">
        <f>+AZ141*MACRO!DC$6*AZ131</f>
        <v>0</v>
      </c>
      <c r="BE151" s="649">
        <f t="shared" si="374"/>
        <v>0</v>
      </c>
      <c r="BF151" s="649">
        <f t="shared" si="375"/>
        <v>1593.5371925447757</v>
      </c>
      <c r="BG151" s="649">
        <f t="shared" si="376"/>
        <v>12503.327995305553</v>
      </c>
      <c r="BH151" s="649">
        <f t="shared" si="377"/>
        <v>0</v>
      </c>
      <c r="BI151" s="660">
        <f>+BI141*MACRO!EG$6*BI132</f>
        <v>0</v>
      </c>
      <c r="BJ151" s="660">
        <f>+BJ141*MACRO!EH$6*BJ132</f>
        <v>0</v>
      </c>
      <c r="BK151" s="660">
        <f>+BK141*MACRO!EI$6*BK132</f>
        <v>0</v>
      </c>
      <c r="BL151" s="660">
        <f>+BL141*MACRO!EJ$6*BL132</f>
        <v>0</v>
      </c>
      <c r="BM151" s="660">
        <f>+BM141*MACRO!EK$6*BM132</f>
        <v>0</v>
      </c>
      <c r="BN151" s="660">
        <f>+BN141*MACRO!EL$6*BN132</f>
        <v>0</v>
      </c>
      <c r="BO151" s="660">
        <f>+BO141*MACRO!EM$6*BO132</f>
        <v>0</v>
      </c>
    </row>
    <row r="152" spans="3:67">
      <c r="C152" t="s">
        <v>768</v>
      </c>
      <c r="Z152" s="660">
        <f>+Z142/4*Z133</f>
        <v>1749.230225</v>
      </c>
      <c r="AA152" s="660">
        <f>+AA142/4*AA133</f>
        <v>0</v>
      </c>
      <c r="AB152" s="660">
        <f>+AB142/4*AB133</f>
        <v>0</v>
      </c>
      <c r="AC152" s="660">
        <f>+AC142/4*AC133</f>
        <v>0</v>
      </c>
      <c r="AD152" s="660">
        <f>+AD142/4*AD133</f>
        <v>0</v>
      </c>
      <c r="AE152" s="660">
        <f>+AE142*MACRO!CH$6*AE133</f>
        <v>1419.693210673923</v>
      </c>
      <c r="AF152" s="660">
        <f>+AF142*MACRO!CI$6*AF133</f>
        <v>0</v>
      </c>
      <c r="AG152" s="660">
        <f>+AG142*MACRO!CJ$6*AG133</f>
        <v>0</v>
      </c>
      <c r="AH152" s="660">
        <f>+AH142*MACRO!CK$6*AH132</f>
        <v>6500.8221655496654</v>
      </c>
      <c r="AI152" s="660">
        <f>+AI142*MACRO!CL$6*AI132</f>
        <v>1176.5242420689531</v>
      </c>
      <c r="AJ152" s="660">
        <f>+AJ142*MACRO!CM$6*AJ132</f>
        <v>0</v>
      </c>
      <c r="AK152" s="660">
        <f>+AK142*MACRO!CN$6*AK132</f>
        <v>0</v>
      </c>
      <c r="AL152" s="660">
        <f>+AL142*MACRO!CO$6*AL132</f>
        <v>0</v>
      </c>
      <c r="AM152" s="660">
        <f>+AM142*MACRO!CP$6*AM132</f>
        <v>0</v>
      </c>
      <c r="AN152" s="660">
        <f>+AN142*MACRO!CQ$6*AN132</f>
        <v>0</v>
      </c>
      <c r="AO152" s="660">
        <f>+AO142*MACRO!CR$6*AO132</f>
        <v>0</v>
      </c>
      <c r="AP152" s="660">
        <f>+AP142*MACRO!CS$6*AP132</f>
        <v>0</v>
      </c>
      <c r="AQ152" s="660">
        <f>+AQ142*MACRO!CT$6*AQ132</f>
        <v>0</v>
      </c>
      <c r="AR152" s="660">
        <f>+AR142*MACRO!CU$6*AR132</f>
        <v>0</v>
      </c>
      <c r="AS152" s="660">
        <f>+AS142*MACRO!CV$6*AS132</f>
        <v>0</v>
      </c>
      <c r="AT152" s="660">
        <f>+AT142*MACRO!CW$6*AT132</f>
        <v>0</v>
      </c>
      <c r="AU152" s="660">
        <f>+AU142*MACRO!CX$6*AU132</f>
        <v>0</v>
      </c>
      <c r="AV152" s="660">
        <f>+AV142*MACRO!CY$6*AV132</f>
        <v>0</v>
      </c>
      <c r="AW152" s="660">
        <f>+AW142*MACRO!CZ$6*AW132</f>
        <v>0</v>
      </c>
      <c r="AX152" s="660">
        <f>+AX142*MACRO!DA$6*AX132</f>
        <v>0</v>
      </c>
      <c r="AY152" s="660">
        <f>+AY142*MACRO!DB$6*AY132</f>
        <v>0</v>
      </c>
      <c r="AZ152" s="660">
        <f>+AZ142*MACRO!DC$6*AZ132</f>
        <v>0</v>
      </c>
      <c r="BE152" s="649">
        <f t="shared" si="374"/>
        <v>1749.230225</v>
      </c>
      <c r="BF152" s="649">
        <f t="shared" si="375"/>
        <v>1419.693210673923</v>
      </c>
      <c r="BG152" s="649">
        <f t="shared" si="376"/>
        <v>7677.3464076186183</v>
      </c>
      <c r="BH152" s="649">
        <f t="shared" si="377"/>
        <v>0</v>
      </c>
      <c r="BI152" s="660">
        <f>+BI142*MACRO!EG$6*BI133</f>
        <v>0</v>
      </c>
      <c r="BJ152" s="660">
        <f>+BJ142*MACRO!EH$6*BJ133</f>
        <v>0</v>
      </c>
      <c r="BK152" s="660">
        <f>+BK142*MACRO!EI$6*BK133</f>
        <v>0</v>
      </c>
      <c r="BL152" s="660">
        <f>+BL142*MACRO!EJ$6*BL133</f>
        <v>0</v>
      </c>
      <c r="BM152" s="660">
        <f>+BM142*MACRO!EK$6*BM133</f>
        <v>0</v>
      </c>
      <c r="BN152" s="660">
        <f>+BN142*MACRO!EL$6*BN133</f>
        <v>0</v>
      </c>
      <c r="BO152" s="660">
        <f>+BO142*MACRO!EM$6*BO133</f>
        <v>0</v>
      </c>
    </row>
    <row r="153" spans="3:67">
      <c r="C153" t="s">
        <v>768</v>
      </c>
      <c r="AH153" s="660">
        <f>+AH143*MACRO!CK$6*AH133</f>
        <v>945.5378703551313</v>
      </c>
      <c r="AI153" s="660">
        <f>+AI143*MACRO!CL$6*AI133</f>
        <v>0</v>
      </c>
      <c r="AJ153" s="660">
        <f>+AJ143*MACRO!CM$6*AJ133</f>
        <v>0</v>
      </c>
      <c r="AK153" s="660">
        <f>+AK143*MACRO!CN$6*AK133</f>
        <v>0</v>
      </c>
      <c r="AL153" s="660">
        <f>+AL143*MACRO!CO$6*AL133</f>
        <v>0</v>
      </c>
      <c r="AM153" s="660">
        <f>+AM143*MACRO!CP$6*AM133</f>
        <v>0</v>
      </c>
      <c r="AN153" s="660">
        <f>+AN143*MACRO!CQ$6*AN133</f>
        <v>0</v>
      </c>
      <c r="AO153" s="660">
        <f>+AO143*MACRO!CR$6*AO133</f>
        <v>0</v>
      </c>
      <c r="AP153" s="660">
        <f>+AP143*MACRO!CS$6*AP133</f>
        <v>0</v>
      </c>
      <c r="AQ153" s="660">
        <f>+AQ143*MACRO!CT$6*AQ133</f>
        <v>0</v>
      </c>
      <c r="AR153" s="660">
        <f>+AR143*MACRO!CU$6*AR133</f>
        <v>0</v>
      </c>
      <c r="AS153" s="660">
        <f>+AS143*MACRO!CV$6*AS133</f>
        <v>0</v>
      </c>
      <c r="AT153" s="660">
        <f>+AT143*MACRO!CW$6*AT133</f>
        <v>0</v>
      </c>
      <c r="AU153" s="660">
        <f>+AU143*MACRO!CX$6*AU133</f>
        <v>0</v>
      </c>
      <c r="AV153" s="660">
        <f>+AV143*MACRO!CY$6*AV133</f>
        <v>0</v>
      </c>
      <c r="AW153" s="660">
        <f>+AW143*MACRO!CZ$6*AW133</f>
        <v>0</v>
      </c>
      <c r="AX153" s="660">
        <f>+AX143*MACRO!DA$6*AX133</f>
        <v>0</v>
      </c>
      <c r="AY153" s="660">
        <f>+AY143*MACRO!DB$6*AY133</f>
        <v>0</v>
      </c>
      <c r="AZ153" s="660">
        <f>+AZ143*MACRO!DC$6*AZ133</f>
        <v>0</v>
      </c>
    </row>
    <row r="154" spans="3:67" s="661" customFormat="1">
      <c r="C154"/>
    </row>
    <row r="156" spans="3:67">
      <c r="C156" s="359" t="s">
        <v>770</v>
      </c>
      <c r="Z156" s="658">
        <f t="shared" ref="Z156:AN156" si="378">+Z125+Z78+Z40</f>
        <v>3455434</v>
      </c>
      <c r="AA156" s="658">
        <f t="shared" si="378"/>
        <v>3191525</v>
      </c>
      <c r="AB156" s="658">
        <f t="shared" si="378"/>
        <v>3145609</v>
      </c>
      <c r="AC156" s="658">
        <f t="shared" si="378"/>
        <v>3847532</v>
      </c>
      <c r="AD156" s="658">
        <f t="shared" si="378"/>
        <v>3397251</v>
      </c>
      <c r="AE156" s="658">
        <f t="shared" si="378"/>
        <v>4159570</v>
      </c>
      <c r="AF156" s="658">
        <f t="shared" si="378"/>
        <v>3467102</v>
      </c>
      <c r="AG156" s="658">
        <f t="shared" si="378"/>
        <v>3690415</v>
      </c>
      <c r="AH156" s="658">
        <f t="shared" si="378"/>
        <v>3442332</v>
      </c>
      <c r="AI156" s="658">
        <f t="shared" si="378"/>
        <v>3415601</v>
      </c>
      <c r="AJ156" s="658">
        <f t="shared" si="378"/>
        <v>2295354.9647308653</v>
      </c>
      <c r="AK156" s="658">
        <f t="shared" si="378"/>
        <v>2290570.3328409195</v>
      </c>
      <c r="AL156" s="658">
        <f t="shared" si="378"/>
        <v>2284611.0953743882</v>
      </c>
      <c r="AM156" s="658">
        <f t="shared" si="378"/>
        <v>2289891.4323700489</v>
      </c>
      <c r="AN156" s="658">
        <f t="shared" si="378"/>
        <v>2286014.1563475211</v>
      </c>
      <c r="AO156" s="658">
        <f t="shared" ref="AO156:AR156" si="379">+AO125+AO78+AO40</f>
        <v>2289503.4892438371</v>
      </c>
      <c r="AP156" s="658">
        <f t="shared" si="379"/>
        <v>2301995.2579078572</v>
      </c>
      <c r="AQ156" s="658">
        <f t="shared" si="379"/>
        <v>2298889.5576585727</v>
      </c>
      <c r="AR156" s="658">
        <f t="shared" si="379"/>
        <v>2314484.8713322869</v>
      </c>
      <c r="AS156" s="658">
        <f t="shared" ref="AS156:AV156" si="380">+AS125+AS78+AS40</f>
        <v>2305355.2764287693</v>
      </c>
      <c r="AT156" s="658">
        <f t="shared" si="380"/>
        <v>2299320.6055765855</v>
      </c>
      <c r="AU156" s="658">
        <f t="shared" si="380"/>
        <v>2296124.3852645187</v>
      </c>
      <c r="AV156" s="658">
        <f t="shared" si="380"/>
        <v>2297811.9378635399</v>
      </c>
      <c r="AW156" s="658">
        <f t="shared" ref="AW156:AZ156" si="381">+AW125+AW78+AW40</f>
        <v>2298980.081374588</v>
      </c>
      <c r="AX156" s="658">
        <f t="shared" si="381"/>
        <v>2299395.8675930537</v>
      </c>
      <c r="AY156" s="658">
        <f t="shared" si="381"/>
        <v>2299518.2073068423</v>
      </c>
      <c r="AZ156" s="658">
        <f t="shared" si="381"/>
        <v>2300290.1645354731</v>
      </c>
      <c r="BE156" s="658">
        <f t="shared" ref="BE156:BL156" si="382">+BE125+BE78+BE40</f>
        <v>2383644</v>
      </c>
      <c r="BF156" s="658">
        <f t="shared" si="382"/>
        <v>2664479</v>
      </c>
      <c r="BG156" s="658">
        <f t="shared" si="382"/>
        <v>2295354.9647308653</v>
      </c>
      <c r="BH156" s="658">
        <f t="shared" si="382"/>
        <v>2286014.1563475211</v>
      </c>
      <c r="BI156" s="658">
        <f t="shared" si="382"/>
        <v>2314484.8713322869</v>
      </c>
      <c r="BJ156" s="658">
        <f t="shared" si="382"/>
        <v>2297811.9378635399</v>
      </c>
      <c r="BK156" s="658">
        <f t="shared" si="382"/>
        <v>2300290.1645354731</v>
      </c>
      <c r="BL156" s="658">
        <f t="shared" si="382"/>
        <v>2302964.5407375214</v>
      </c>
      <c r="BM156" s="658">
        <f t="shared" ref="BM156:BO156" si="383">+BM125+BM78+BM40</f>
        <v>2305395.2515522721</v>
      </c>
      <c r="BN156" s="658">
        <f t="shared" si="383"/>
        <v>2307874.5765833175</v>
      </c>
      <c r="BO156" s="658">
        <f t="shared" si="383"/>
        <v>2310403.4881149838</v>
      </c>
    </row>
    <row r="157" spans="3:67" s="359" customFormat="1">
      <c r="C157" s="663" t="s">
        <v>771</v>
      </c>
      <c r="Z157" s="658">
        <f t="shared" ref="Z157:AN157" si="384">+Z145+Z87+Z49</f>
        <v>41769.331756487038</v>
      </c>
      <c r="AA157" s="658">
        <f t="shared" si="384"/>
        <v>31823.41261823622</v>
      </c>
      <c r="AB157" s="658">
        <f t="shared" si="384"/>
        <v>30006.253928606566</v>
      </c>
      <c r="AC157" s="658">
        <f t="shared" si="384"/>
        <v>36466.675961613197</v>
      </c>
      <c r="AD157" s="658">
        <f t="shared" si="384"/>
        <v>41742.482154134552</v>
      </c>
      <c r="AE157" s="658">
        <f t="shared" si="384"/>
        <v>54528.030839493076</v>
      </c>
      <c r="AF157" s="658">
        <f t="shared" si="384"/>
        <v>70397.661938335339</v>
      </c>
      <c r="AG157" s="658">
        <f t="shared" si="384"/>
        <v>94567.514050211146</v>
      </c>
      <c r="AH157" s="658">
        <f t="shared" si="384"/>
        <v>119660.34334469744</v>
      </c>
      <c r="AI157" s="658">
        <f t="shared" si="384"/>
        <v>126405.81196077977</v>
      </c>
      <c r="AJ157" s="658">
        <f t="shared" si="384"/>
        <v>86007.200852203474</v>
      </c>
      <c r="AK157" s="658">
        <f t="shared" si="384"/>
        <v>85958.457541836615</v>
      </c>
      <c r="AL157" s="658">
        <f t="shared" si="384"/>
        <v>85897.747968339143</v>
      </c>
      <c r="AM157" s="658">
        <f t="shared" si="384"/>
        <v>83794.675305062759</v>
      </c>
      <c r="AN157" s="658">
        <f t="shared" si="384"/>
        <v>78033.631806869103</v>
      </c>
      <c r="AO157" s="658">
        <f t="shared" ref="AO157:AR157" si="385">+AO145+AO87+AO49</f>
        <v>72585.737630123418</v>
      </c>
      <c r="AP157" s="658">
        <f t="shared" si="385"/>
        <v>68481.097617359337</v>
      </c>
      <c r="AQ157" s="658">
        <f t="shared" si="385"/>
        <v>68057.303600724656</v>
      </c>
      <c r="AR157" s="658">
        <f t="shared" si="385"/>
        <v>72372.208729176069</v>
      </c>
      <c r="AS157" s="658">
        <f t="shared" ref="AS157:AV157" si="386">+AS145+AS87+AS49</f>
        <v>85187.239588305165</v>
      </c>
      <c r="AT157" s="658">
        <f t="shared" si="386"/>
        <v>91555.642163880402</v>
      </c>
      <c r="AU157" s="658">
        <f t="shared" si="386"/>
        <v>92893.257454598235</v>
      </c>
      <c r="AV157" s="658">
        <f t="shared" si="386"/>
        <v>92911.085847177441</v>
      </c>
      <c r="AW157" s="658">
        <f t="shared" ref="AW157:AZ157" si="387">+AW145+AW87+AW49</f>
        <v>90178.47101940446</v>
      </c>
      <c r="AX157" s="658">
        <f t="shared" si="387"/>
        <v>84665.679962845039</v>
      </c>
      <c r="AY157" s="658">
        <f t="shared" si="387"/>
        <v>80505.074863959628</v>
      </c>
      <c r="AZ157" s="658">
        <f t="shared" si="387"/>
        <v>77726.476167749584</v>
      </c>
      <c r="BE157" s="658">
        <f t="shared" ref="BE157:BL157" si="388">+BE145+BE87+BE49</f>
        <v>103598.99830332983</v>
      </c>
      <c r="BF157" s="658">
        <f t="shared" si="388"/>
        <v>203134.85089357619</v>
      </c>
      <c r="BG157" s="658">
        <f t="shared" si="388"/>
        <v>425695.33233753673</v>
      </c>
      <c r="BH157" s="658">
        <f t="shared" si="388"/>
        <v>333684.51262210758</v>
      </c>
      <c r="BI157" s="658">
        <f t="shared" si="388"/>
        <v>291515.64149697078</v>
      </c>
      <c r="BJ157" s="658">
        <f t="shared" si="388"/>
        <v>378775.8197669537</v>
      </c>
      <c r="BK157" s="658">
        <f t="shared" si="388"/>
        <v>346654.10697590094</v>
      </c>
      <c r="BL157" s="658">
        <f t="shared" si="388"/>
        <v>304466.53915066522</v>
      </c>
      <c r="BM157" s="658">
        <f t="shared" ref="BM157:BO157" si="389">+BM145+BM87+BM49</f>
        <v>292505.52737439342</v>
      </c>
      <c r="BN157" s="658">
        <f t="shared" si="389"/>
        <v>268454.80612988491</v>
      </c>
      <c r="BO157" s="658">
        <f t="shared" si="389"/>
        <v>244409.45333192844</v>
      </c>
    </row>
    <row r="159" spans="3:67">
      <c r="C159" t="s">
        <v>772</v>
      </c>
      <c r="Z159" s="582">
        <f>+Z157/Z156</f>
        <v>1.2088013186328269E-2</v>
      </c>
      <c r="AA159" s="582">
        <f t="shared" ref="AA159:AN159" si="390">+AA157/AA156</f>
        <v>9.9712246083725562E-3</v>
      </c>
      <c r="AB159" s="582">
        <f t="shared" si="390"/>
        <v>9.5390920895148008E-3</v>
      </c>
      <c r="AC159" s="582">
        <f t="shared" si="390"/>
        <v>9.4779396146966923E-3</v>
      </c>
      <c r="AD159" s="582">
        <f t="shared" si="390"/>
        <v>1.228713514371901E-2</v>
      </c>
      <c r="AE159" s="582">
        <f t="shared" si="390"/>
        <v>1.3109054743517498E-2</v>
      </c>
      <c r="AF159" s="582">
        <f t="shared" si="390"/>
        <v>2.0304468094199519E-2</v>
      </c>
      <c r="AG159" s="582">
        <f>+AG157/AG156</f>
        <v>2.5625170624499181E-2</v>
      </c>
      <c r="AH159" s="582">
        <f t="shared" si="390"/>
        <v>3.4761418522297513E-2</v>
      </c>
      <c r="AI159" s="582">
        <f t="shared" si="390"/>
        <v>3.7008366012534773E-2</v>
      </c>
      <c r="AJ159" s="582">
        <f t="shared" si="390"/>
        <v>3.7470109056656507E-2</v>
      </c>
      <c r="AK159" s="582">
        <f t="shared" si="390"/>
        <v>3.7527098080950498E-2</v>
      </c>
      <c r="AL159" s="582">
        <f t="shared" si="390"/>
        <v>3.7598411450533005E-2</v>
      </c>
      <c r="AM159" s="582">
        <f t="shared" si="390"/>
        <v>3.6593296136461305E-2</v>
      </c>
      <c r="AN159" s="582">
        <f t="shared" si="390"/>
        <v>3.4135235597817705E-2</v>
      </c>
      <c r="AO159" s="582">
        <f t="shared" ref="AO159:AR159" si="391">+AO157/AO156</f>
        <v>3.1703702558713541E-2</v>
      </c>
      <c r="AP159" s="582">
        <f t="shared" si="391"/>
        <v>2.9748583270148708E-2</v>
      </c>
      <c r="AQ159" s="582">
        <f t="shared" si="391"/>
        <v>2.9604425046865352E-2</v>
      </c>
      <c r="AR159" s="582">
        <f t="shared" si="391"/>
        <v>3.1269251151992389E-2</v>
      </c>
      <c r="AS159" s="582">
        <f t="shared" ref="AS159:AV159" si="392">+AS157/AS156</f>
        <v>3.6951892170073192E-2</v>
      </c>
      <c r="AT159" s="582">
        <f t="shared" si="392"/>
        <v>3.9818562901506115E-2</v>
      </c>
      <c r="AU159" s="582">
        <f t="shared" si="392"/>
        <v>4.0456544101332176E-2</v>
      </c>
      <c r="AV159" s="582">
        <f t="shared" si="392"/>
        <v>4.0434590975954428E-2</v>
      </c>
      <c r="AW159" s="582">
        <f t="shared" ref="AW159:AZ159" si="393">+AW157/AW156</f>
        <v>3.922542511350758E-2</v>
      </c>
      <c r="AX159" s="582">
        <f t="shared" si="393"/>
        <v>3.6820836792870647E-2</v>
      </c>
      <c r="AY159" s="582">
        <f t="shared" si="393"/>
        <v>3.5009540088941429E-2</v>
      </c>
      <c r="AZ159" s="582">
        <f t="shared" si="393"/>
        <v>3.3789857195449031E-2</v>
      </c>
      <c r="BE159" s="582">
        <f t="shared" ref="BE159:BL159" si="394">+BE157/BE156</f>
        <v>4.3462445861600911E-2</v>
      </c>
      <c r="BF159" s="582">
        <f t="shared" si="394"/>
        <v>7.6238112926983542E-2</v>
      </c>
      <c r="BG159" s="582">
        <f t="shared" si="394"/>
        <v>0.18545947745709576</v>
      </c>
      <c r="BH159" s="582">
        <f t="shared" si="394"/>
        <v>0.14596782425671939</v>
      </c>
      <c r="BI159" s="582">
        <f t="shared" si="394"/>
        <v>0.125952709869806</v>
      </c>
      <c r="BJ159" s="582">
        <f t="shared" si="394"/>
        <v>0.16484195835414275</v>
      </c>
      <c r="BK159" s="582">
        <f t="shared" si="394"/>
        <v>0.15070016484024973</v>
      </c>
      <c r="BL159" s="582">
        <f t="shared" si="394"/>
        <v>0.13220635132018152</v>
      </c>
      <c r="BM159" s="582">
        <f t="shared" ref="BM159:BO159" si="395">+BM157/BM156</f>
        <v>0.12687868910003314</v>
      </c>
      <c r="BN159" s="582">
        <f t="shared" si="395"/>
        <v>0.1163212285683729</v>
      </c>
      <c r="BO159" s="582">
        <f t="shared" si="395"/>
        <v>0.10578648040881278</v>
      </c>
    </row>
    <row r="160" spans="3:67">
      <c r="C160" t="s">
        <v>773</v>
      </c>
      <c r="Z160" s="583">
        <f>+MACRO!CC6</f>
        <v>7.8324965478326902E-3</v>
      </c>
      <c r="AA160" s="583">
        <f>+MACRO!CD6</f>
        <v>5.1845412595541429E-3</v>
      </c>
      <c r="AB160" s="583">
        <f>+MACRO!CE6</f>
        <v>4.9629315732038215E-3</v>
      </c>
      <c r="AC160" s="583">
        <f>+MACRO!CF6</f>
        <v>5.2829874231419272E-3</v>
      </c>
      <c r="AD160" s="583">
        <f>+MACRO!CG6</f>
        <v>8.2717988664033903E-3</v>
      </c>
      <c r="AE160" s="583">
        <f>+MACRO!CH6</f>
        <v>1.2248131848348498E-2</v>
      </c>
      <c r="AF160" s="583">
        <f>+MACRO!CI6</f>
        <v>1.8670575645447718E-2</v>
      </c>
      <c r="AG160" s="583">
        <f>+MACRO!CJ6</f>
        <v>2.5089855568062536E-2</v>
      </c>
      <c r="AH160" s="583">
        <f>+MACRO!CK6</f>
        <v>2.9860684889043698E-2</v>
      </c>
      <c r="AI160" s="583">
        <f>+MACRO!CL6</f>
        <v>3.2391886619581145E-2</v>
      </c>
      <c r="AJ160" s="583">
        <f>+MACRO!CM6</f>
        <v>3.2732516378310317E-2</v>
      </c>
      <c r="AK160" s="583">
        <f>+MACRO!CN6</f>
        <v>3.2732516378310317E-2</v>
      </c>
      <c r="AL160" s="583">
        <f>+MACRO!CO6</f>
        <v>3.2732516378310317E-2</v>
      </c>
      <c r="AM160" s="583">
        <f>+MACRO!CP6</f>
        <v>3.1846176683566041E-2</v>
      </c>
      <c r="AN160" s="583">
        <f>+MACRO!CQ6</f>
        <v>2.9494284160460849E-2</v>
      </c>
      <c r="AO160" s="583">
        <f>+MACRO!CR6</f>
        <v>2.7241497638393453E-2</v>
      </c>
      <c r="AP160" s="583">
        <f>+MACRO!CS6</f>
        <v>2.5507360290891512E-2</v>
      </c>
      <c r="AQ160" s="583">
        <f>+MACRO!CT6</f>
        <v>2.5345057941852822E-2</v>
      </c>
      <c r="AR160" s="583">
        <f>+MACRO!CU6</f>
        <v>2.70569411275976E-2</v>
      </c>
      <c r="AS160" s="583">
        <f>+MACRO!CV6</f>
        <v>3.2354018049627786E-2</v>
      </c>
      <c r="AT160" s="583">
        <f>+MACRO!CW6</f>
        <v>3.4994813649531054E-2</v>
      </c>
      <c r="AU160" s="583">
        <f>+MACRO!CX6</f>
        <v>3.5558076341622114E-2</v>
      </c>
      <c r="AV160" s="583">
        <f>+MACRO!CY6</f>
        <v>3.5558076341622114E-2</v>
      </c>
      <c r="AW160" s="583">
        <f>+MACRO!CZ6</f>
        <v>3.4430629840220384E-2</v>
      </c>
      <c r="AX160" s="583">
        <f>+MACRO!DA6</f>
        <v>3.2164612662692438E-2</v>
      </c>
      <c r="AY160" s="583">
        <f>+MACRO!DB6</f>
        <v>3.0455253312711816E-2</v>
      </c>
      <c r="AZ160" s="583">
        <f>+MACRO!DC6</f>
        <v>2.9310936996617354E-2</v>
      </c>
      <c r="BE160" s="583">
        <f>+MACRO!EC6</f>
        <v>2.8825E-2</v>
      </c>
      <c r="BF160" s="583">
        <f>+MACRO!ED6</f>
        <v>4.5374999999999999E-2</v>
      </c>
      <c r="BG160" s="583">
        <f>+MACRO!EE6</f>
        <v>0.12564999999999998</v>
      </c>
      <c r="BH160" s="583">
        <f>+MACRO!EF6</f>
        <v>0.13297500000000001</v>
      </c>
      <c r="BI160" s="583">
        <f>+MACRO!EG6</f>
        <v>0.109375</v>
      </c>
      <c r="BJ160" s="583">
        <f>+MACRO!EH6</f>
        <v>0.14583333333333334</v>
      </c>
      <c r="BK160" s="583">
        <f>+MACRO!EI6</f>
        <v>0.13250000000000001</v>
      </c>
      <c r="BL160" s="583">
        <f>+MACRO!EJ6</f>
        <v>0.115</v>
      </c>
      <c r="BM160" s="583">
        <f>+MACRO!EK6</f>
        <v>0.11</v>
      </c>
      <c r="BN160" s="583">
        <f>+MACRO!EL6</f>
        <v>0.1</v>
      </c>
      <c r="BO160" s="583">
        <f>+MACRO!EM6</f>
        <v>0.09</v>
      </c>
    </row>
    <row r="161" spans="3:67">
      <c r="C161" t="s">
        <v>774</v>
      </c>
      <c r="Z161" s="1205">
        <f>+Z159/Z160</f>
        <v>1.5433154821719151</v>
      </c>
      <c r="AA161" s="1205">
        <f t="shared" ref="AA161:AN161" si="396">+AA159/AA160</f>
        <v>1.9232607301557199</v>
      </c>
      <c r="AB161" s="1205">
        <f t="shared" si="396"/>
        <v>1.9220680254829381</v>
      </c>
      <c r="AC161" s="1205">
        <f t="shared" si="396"/>
        <v>1.7940492481922132</v>
      </c>
      <c r="AD161" s="1205">
        <f t="shared" si="396"/>
        <v>1.4854247960046814</v>
      </c>
      <c r="AE161" s="1205">
        <f t="shared" si="396"/>
        <v>1.070290139412982</v>
      </c>
      <c r="AF161" s="1205">
        <f t="shared" si="396"/>
        <v>1.087511626838896</v>
      </c>
      <c r="AG161" s="1205">
        <f>+AG159/AG160</f>
        <v>1.0213359162225732</v>
      </c>
      <c r="AH161" s="1205">
        <f t="shared" si="396"/>
        <v>1.1641199340023163</v>
      </c>
      <c r="AI161" s="1205">
        <f t="shared" si="396"/>
        <v>1.142519620643613</v>
      </c>
      <c r="AJ161" s="1205">
        <f t="shared" si="396"/>
        <v>1.1447365862004266</v>
      </c>
      <c r="AK161" s="1205">
        <f t="shared" si="396"/>
        <v>1.1464776385422428</v>
      </c>
      <c r="AL161" s="1205">
        <f t="shared" si="396"/>
        <v>1.1486563090959605</v>
      </c>
      <c r="AM161" s="1205">
        <f t="shared" si="396"/>
        <v>1.149064030513433</v>
      </c>
      <c r="AN161" s="1205">
        <f t="shared" si="396"/>
        <v>1.1573508755834927</v>
      </c>
      <c r="AO161" s="1205">
        <f t="shared" ref="AO161:AR161" si="397">+AO159/AO160</f>
        <v>1.1638017475966951</v>
      </c>
      <c r="AP161" s="1205">
        <f t="shared" si="397"/>
        <v>1.1662744764996991</v>
      </c>
      <c r="AQ161" s="1205">
        <f t="shared" si="397"/>
        <v>1.1680551338562517</v>
      </c>
      <c r="AR161" s="1205">
        <f t="shared" si="397"/>
        <v>1.1556831574023831</v>
      </c>
      <c r="AS161" s="1205">
        <f t="shared" ref="AS161:AV161" si="398">+AS159/AS160</f>
        <v>1.1421113789759507</v>
      </c>
      <c r="AT161" s="1205">
        <f t="shared" si="398"/>
        <v>1.1378418328008357</v>
      </c>
      <c r="AU161" s="1205">
        <f t="shared" si="398"/>
        <v>1.1377596389818259</v>
      </c>
      <c r="AV161" s="1205">
        <f t="shared" si="398"/>
        <v>1.1371422511015918</v>
      </c>
      <c r="AW161" s="1205">
        <f t="shared" ref="AW161:AZ161" si="399">+AW159/AW160</f>
        <v>1.1392595864652502</v>
      </c>
      <c r="AX161" s="1205">
        <f t="shared" si="399"/>
        <v>1.1447623255721322</v>
      </c>
      <c r="AY161" s="1205">
        <f t="shared" si="399"/>
        <v>1.149540269111099</v>
      </c>
      <c r="AZ161" s="1205">
        <f t="shared" si="399"/>
        <v>1.152807131322638</v>
      </c>
      <c r="BE161" s="1205">
        <f t="shared" ref="BE161:BL161" si="400">+BE159/BE160</f>
        <v>1.5078038460225816</v>
      </c>
      <c r="BF161" s="1205">
        <f t="shared" si="400"/>
        <v>1.6801787972888935</v>
      </c>
      <c r="BG161" s="1205">
        <f t="shared" si="400"/>
        <v>1.47600061645122</v>
      </c>
      <c r="BH161" s="1205">
        <f t="shared" si="400"/>
        <v>1.0977087742562088</v>
      </c>
      <c r="BI161" s="1205">
        <f t="shared" si="400"/>
        <v>1.1515676330953692</v>
      </c>
      <c r="BJ161" s="1205">
        <f t="shared" si="400"/>
        <v>1.1303448572855503</v>
      </c>
      <c r="BK161" s="1205">
        <f t="shared" si="400"/>
        <v>1.1373597346433941</v>
      </c>
      <c r="BL161" s="1205">
        <f t="shared" si="400"/>
        <v>1.149620446262448</v>
      </c>
      <c r="BM161" s="1205">
        <f t="shared" ref="BM161:BO161" si="401">+BM159/BM160</f>
        <v>1.1534426281821195</v>
      </c>
      <c r="BN161" s="1205">
        <f t="shared" si="401"/>
        <v>1.163212285683729</v>
      </c>
      <c r="BO161" s="1205">
        <f t="shared" si="401"/>
        <v>1.1754053378756977</v>
      </c>
    </row>
  </sheetData>
  <mergeCells count="1">
    <mergeCell ref="B6:B11"/>
  </mergeCells>
  <phoneticPr fontId="27"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T25"/>
  <sheetViews>
    <sheetView topLeftCell="B1" workbookViewId="0">
      <pane xSplit="66" ySplit="2" topLeftCell="CL3" activePane="bottomRight" state="frozen"/>
      <selection pane="bottomRight" activeCell="DC6" sqref="DC6"/>
      <selection pane="bottomLeft" activeCell="B3" sqref="B3"/>
      <selection pane="topRight" activeCell="BP1" sqref="BP1"/>
    </sheetView>
  </sheetViews>
  <sheetFormatPr defaultColWidth="9.140625" defaultRowHeight="15"/>
  <cols>
    <col min="2" max="2" width="40.42578125" bestFit="1" customWidth="1"/>
    <col min="3" max="67" width="0" hidden="1" customWidth="1"/>
    <col min="111" max="126" width="0" hidden="1" customWidth="1"/>
    <col min="137" max="150" width="9.140625" style="302"/>
  </cols>
  <sheetData>
    <row r="1" spans="1:143">
      <c r="A1" s="275"/>
      <c r="B1" s="275"/>
      <c r="C1" s="275"/>
      <c r="D1" s="275"/>
      <c r="E1" s="275"/>
      <c r="F1" s="275"/>
      <c r="G1" s="275"/>
      <c r="H1" s="275"/>
      <c r="I1" s="275"/>
      <c r="J1" s="275"/>
      <c r="K1" s="275"/>
      <c r="L1" s="275"/>
      <c r="M1" s="275"/>
      <c r="N1" s="275"/>
      <c r="O1" s="275"/>
      <c r="P1" s="275"/>
      <c r="Q1" s="275"/>
      <c r="R1" s="275"/>
      <c r="S1" s="275"/>
      <c r="T1" s="275"/>
      <c r="U1" s="275"/>
      <c r="V1" s="275"/>
      <c r="W1" s="275"/>
      <c r="X1" s="275"/>
      <c r="Y1" s="275"/>
      <c r="Z1" s="275"/>
      <c r="AA1" s="275"/>
      <c r="AB1" s="275"/>
      <c r="AC1" s="275"/>
      <c r="AD1" s="275"/>
      <c r="AE1" s="275"/>
      <c r="AF1" s="275"/>
      <c r="AG1" s="275"/>
      <c r="AH1" s="275"/>
      <c r="AI1" s="275"/>
      <c r="AJ1" s="275"/>
      <c r="AK1" s="275"/>
      <c r="AL1" s="275"/>
      <c r="AM1" s="275"/>
      <c r="AN1" s="275"/>
      <c r="AO1" s="275"/>
      <c r="AP1" s="275"/>
      <c r="AQ1" s="275"/>
      <c r="AR1" s="275"/>
      <c r="AS1" s="275"/>
      <c r="AT1" s="275"/>
      <c r="AU1" s="275"/>
      <c r="AV1" s="277"/>
      <c r="AW1" s="277"/>
      <c r="AX1" s="277"/>
      <c r="AY1" s="277"/>
      <c r="AZ1" s="277"/>
      <c r="BA1" s="277"/>
      <c r="BB1" s="277"/>
      <c r="BC1" s="277"/>
      <c r="BD1" s="277"/>
      <c r="BE1" s="277"/>
      <c r="BF1" s="277"/>
      <c r="BG1" s="277"/>
      <c r="BH1" s="277"/>
      <c r="BI1" s="277"/>
      <c r="BJ1" s="277"/>
      <c r="BK1" s="277"/>
      <c r="BL1" s="277"/>
      <c r="BM1" s="277"/>
      <c r="BN1" s="278"/>
      <c r="BO1" s="278"/>
      <c r="BP1" s="278"/>
      <c r="BQ1" s="278"/>
      <c r="BR1" s="278"/>
      <c r="BS1" s="278"/>
      <c r="BT1" s="278"/>
      <c r="BU1" s="278"/>
      <c r="BV1" s="278"/>
      <c r="BW1" s="278"/>
      <c r="BX1" s="278"/>
      <c r="BY1" s="278"/>
      <c r="BZ1" s="278"/>
      <c r="CA1" s="278"/>
      <c r="CB1" s="278"/>
      <c r="CC1" s="278"/>
      <c r="CD1" s="278"/>
      <c r="CE1" s="278"/>
      <c r="CF1" s="278"/>
      <c r="CG1" s="278"/>
      <c r="CH1" s="278"/>
      <c r="CI1" s="278"/>
      <c r="CJ1" s="278"/>
      <c r="CK1" s="278"/>
      <c r="CL1" s="278"/>
      <c r="CM1" s="278"/>
      <c r="CN1" s="278"/>
      <c r="CO1" s="278"/>
      <c r="CP1" s="278"/>
      <c r="CQ1" s="278"/>
      <c r="CR1" s="278"/>
      <c r="CS1" s="278"/>
      <c r="CT1" s="278"/>
      <c r="CU1" s="278"/>
      <c r="CV1" s="278"/>
      <c r="CW1" s="278"/>
      <c r="CX1" s="278"/>
      <c r="CY1" s="278"/>
      <c r="CZ1" s="278"/>
      <c r="DA1" s="278"/>
      <c r="DB1" s="278"/>
      <c r="DC1" s="278"/>
      <c r="DD1" s="278"/>
      <c r="DE1" s="278"/>
      <c r="DF1" s="275"/>
      <c r="DG1" s="275"/>
      <c r="DH1" s="275"/>
      <c r="DI1" s="275"/>
      <c r="DJ1" s="275"/>
      <c r="DK1" s="275"/>
      <c r="DL1" s="275"/>
      <c r="DM1" s="275"/>
      <c r="DN1" s="275"/>
      <c r="DO1" s="275"/>
      <c r="DP1" s="275"/>
      <c r="DQ1" s="275"/>
      <c r="DR1" s="275"/>
      <c r="DS1" s="275"/>
      <c r="DT1" s="275"/>
      <c r="DU1" s="277"/>
      <c r="DV1" s="277"/>
      <c r="DW1" s="277"/>
      <c r="DX1" s="277"/>
      <c r="DY1" s="277"/>
      <c r="DZ1" s="276"/>
      <c r="EA1" s="276"/>
      <c r="EB1" s="276"/>
      <c r="EC1" s="276"/>
      <c r="ED1" s="276"/>
      <c r="EE1" s="275"/>
      <c r="EF1" s="275"/>
      <c r="EG1" s="277"/>
    </row>
    <row r="2" spans="1:143" ht="15.75">
      <c r="A2" s="275"/>
      <c r="B2" s="301" t="s">
        <v>775</v>
      </c>
      <c r="C2" s="301"/>
      <c r="D2" s="298" t="s">
        <v>776</v>
      </c>
      <c r="E2" s="298" t="s">
        <v>777</v>
      </c>
      <c r="F2" s="298" t="s">
        <v>778</v>
      </c>
      <c r="G2" s="298" t="s">
        <v>779</v>
      </c>
      <c r="H2" s="298" t="s">
        <v>780</v>
      </c>
      <c r="I2" s="298" t="s">
        <v>781</v>
      </c>
      <c r="J2" s="298" t="s">
        <v>782</v>
      </c>
      <c r="K2" s="298" t="s">
        <v>783</v>
      </c>
      <c r="L2" s="298" t="s">
        <v>784</v>
      </c>
      <c r="M2" s="298" t="s">
        <v>785</v>
      </c>
      <c r="N2" s="298" t="s">
        <v>786</v>
      </c>
      <c r="O2" s="298" t="s">
        <v>787</v>
      </c>
      <c r="P2" s="298" t="s">
        <v>788</v>
      </c>
      <c r="Q2" s="298" t="s">
        <v>789</v>
      </c>
      <c r="R2" s="298" t="s">
        <v>790</v>
      </c>
      <c r="S2" s="298" t="s">
        <v>791</v>
      </c>
      <c r="T2" s="298" t="s">
        <v>792</v>
      </c>
      <c r="U2" s="298" t="s">
        <v>793</v>
      </c>
      <c r="V2" s="298" t="s">
        <v>794</v>
      </c>
      <c r="W2" s="298" t="s">
        <v>795</v>
      </c>
      <c r="X2" s="298" t="s">
        <v>796</v>
      </c>
      <c r="Y2" s="298" t="s">
        <v>797</v>
      </c>
      <c r="Z2" s="298" t="s">
        <v>798</v>
      </c>
      <c r="AA2" s="298" t="s">
        <v>799</v>
      </c>
      <c r="AB2" s="298" t="s">
        <v>800</v>
      </c>
      <c r="AC2" s="298" t="s">
        <v>801</v>
      </c>
      <c r="AD2" s="298" t="s">
        <v>802</v>
      </c>
      <c r="AE2" s="298" t="s">
        <v>803</v>
      </c>
      <c r="AF2" s="298" t="s">
        <v>804</v>
      </c>
      <c r="AG2" s="298" t="s">
        <v>805</v>
      </c>
      <c r="AH2" s="298" t="s">
        <v>806</v>
      </c>
      <c r="AI2" s="298" t="s">
        <v>807</v>
      </c>
      <c r="AJ2" s="298" t="s">
        <v>808</v>
      </c>
      <c r="AK2" s="298" t="s">
        <v>809</v>
      </c>
      <c r="AL2" s="298" t="s">
        <v>810</v>
      </c>
      <c r="AM2" s="298" t="s">
        <v>811</v>
      </c>
      <c r="AN2" s="298" t="s">
        <v>812</v>
      </c>
      <c r="AO2" s="298" t="s">
        <v>813</v>
      </c>
      <c r="AP2" s="298" t="s">
        <v>814</v>
      </c>
      <c r="AQ2" s="298" t="s">
        <v>815</v>
      </c>
      <c r="AR2" s="298" t="s">
        <v>816</v>
      </c>
      <c r="AS2" s="298" t="s">
        <v>817</v>
      </c>
      <c r="AT2" s="298" t="s">
        <v>818</v>
      </c>
      <c r="AU2" s="298" t="s">
        <v>819</v>
      </c>
      <c r="AV2" s="297" t="s">
        <v>820</v>
      </c>
      <c r="AW2" s="297" t="s">
        <v>821</v>
      </c>
      <c r="AX2" s="297" t="s">
        <v>822</v>
      </c>
      <c r="AY2" s="297" t="s">
        <v>823</v>
      </c>
      <c r="AZ2" s="297" t="s">
        <v>824</v>
      </c>
      <c r="BA2" s="297" t="s">
        <v>825</v>
      </c>
      <c r="BB2" s="297" t="s">
        <v>826</v>
      </c>
      <c r="BC2" s="297" t="s">
        <v>827</v>
      </c>
      <c r="BD2" s="297" t="s">
        <v>828</v>
      </c>
      <c r="BE2" s="297" t="s">
        <v>829</v>
      </c>
      <c r="BF2" s="297" t="s">
        <v>830</v>
      </c>
      <c r="BG2" s="297" t="s">
        <v>831</v>
      </c>
      <c r="BH2" s="297" t="s">
        <v>832</v>
      </c>
      <c r="BI2" s="297" t="s">
        <v>833</v>
      </c>
      <c r="BJ2" s="297" t="s">
        <v>834</v>
      </c>
      <c r="BK2" s="297" t="s">
        <v>835</v>
      </c>
      <c r="BL2" s="297" t="s">
        <v>836</v>
      </c>
      <c r="BM2" s="297" t="s">
        <v>837</v>
      </c>
      <c r="BN2" s="297" t="s">
        <v>838</v>
      </c>
      <c r="BO2" s="300" t="s">
        <v>839</v>
      </c>
      <c r="BP2" s="297" t="s">
        <v>840</v>
      </c>
      <c r="BQ2" s="297" t="s">
        <v>841</v>
      </c>
      <c r="BR2" s="297" t="s">
        <v>842</v>
      </c>
      <c r="BS2" s="300" t="s">
        <v>843</v>
      </c>
      <c r="BT2" s="300" t="s">
        <v>844</v>
      </c>
      <c r="BU2" s="300" t="s">
        <v>845</v>
      </c>
      <c r="BV2" s="300" t="s">
        <v>846</v>
      </c>
      <c r="BW2" s="300" t="s">
        <v>847</v>
      </c>
      <c r="BX2" s="300" t="s">
        <v>848</v>
      </c>
      <c r="BY2" s="300" t="s">
        <v>849</v>
      </c>
      <c r="BZ2" s="300" t="s">
        <v>850</v>
      </c>
      <c r="CA2" s="300" t="s">
        <v>851</v>
      </c>
      <c r="CB2" s="300" t="s">
        <v>852</v>
      </c>
      <c r="CC2" s="300" t="s">
        <v>853</v>
      </c>
      <c r="CD2" s="300" t="s">
        <v>854</v>
      </c>
      <c r="CE2" s="300" t="s">
        <v>855</v>
      </c>
      <c r="CF2" s="300" t="s">
        <v>856</v>
      </c>
      <c r="CG2" s="300" t="s">
        <v>857</v>
      </c>
      <c r="CH2" s="300" t="s">
        <v>858</v>
      </c>
      <c r="CI2" s="300" t="s">
        <v>859</v>
      </c>
      <c r="CJ2" s="300" t="s">
        <v>860</v>
      </c>
      <c r="CK2" s="300" t="s">
        <v>861</v>
      </c>
      <c r="CL2" s="300" t="s">
        <v>862</v>
      </c>
      <c r="CM2" s="300" t="s">
        <v>863</v>
      </c>
      <c r="CN2" s="300" t="s">
        <v>864</v>
      </c>
      <c r="CO2" s="300" t="s">
        <v>865</v>
      </c>
      <c r="CP2" s="300" t="s">
        <v>866</v>
      </c>
      <c r="CQ2" s="300" t="s">
        <v>867</v>
      </c>
      <c r="CR2" s="300" t="s">
        <v>868</v>
      </c>
      <c r="CS2" s="300" t="s">
        <v>869</v>
      </c>
      <c r="CT2" s="300" t="s">
        <v>870</v>
      </c>
      <c r="CU2" s="300" t="s">
        <v>871</v>
      </c>
      <c r="CV2" s="299" t="s">
        <v>872</v>
      </c>
      <c r="CW2" s="299" t="s">
        <v>873</v>
      </c>
      <c r="CX2" s="299" t="s">
        <v>874</v>
      </c>
      <c r="CY2" s="299" t="s">
        <v>875</v>
      </c>
      <c r="CZ2" s="299" t="s">
        <v>876</v>
      </c>
      <c r="DA2" s="299" t="s">
        <v>877</v>
      </c>
      <c r="DB2" s="299" t="s">
        <v>878</v>
      </c>
      <c r="DC2" s="299" t="s">
        <v>879</v>
      </c>
      <c r="DD2" s="299"/>
      <c r="DE2" s="299"/>
      <c r="DF2" s="298"/>
      <c r="DG2" s="298">
        <v>1998</v>
      </c>
      <c r="DH2" s="298">
        <v>1999</v>
      </c>
      <c r="DI2" s="298">
        <v>2000</v>
      </c>
      <c r="DJ2" s="298">
        <v>2001</v>
      </c>
      <c r="DK2" s="298">
        <v>2002</v>
      </c>
      <c r="DL2" s="298">
        <v>2003</v>
      </c>
      <c r="DM2" s="298">
        <v>2004</v>
      </c>
      <c r="DN2" s="298">
        <v>2005</v>
      </c>
      <c r="DO2" s="298">
        <v>2006</v>
      </c>
      <c r="DP2" s="298">
        <v>2007</v>
      </c>
      <c r="DQ2" s="298">
        <v>2008</v>
      </c>
      <c r="DR2" s="298">
        <v>2009</v>
      </c>
      <c r="DS2" s="298">
        <v>2010</v>
      </c>
      <c r="DT2" s="298">
        <v>2011</v>
      </c>
      <c r="DU2" s="297">
        <v>2012</v>
      </c>
      <c r="DV2" s="297">
        <v>2013</v>
      </c>
      <c r="DW2" s="297">
        <v>2014</v>
      </c>
      <c r="DX2" s="297">
        <f>+DW2+1</f>
        <v>2015</v>
      </c>
      <c r="DY2" s="297">
        <f t="shared" ref="DY2:EM2" si="0">+DX2+1</f>
        <v>2016</v>
      </c>
      <c r="DZ2" s="297">
        <f t="shared" si="0"/>
        <v>2017</v>
      </c>
      <c r="EA2" s="297">
        <f t="shared" si="0"/>
        <v>2018</v>
      </c>
      <c r="EB2" s="646">
        <f t="shared" si="0"/>
        <v>2019</v>
      </c>
      <c r="EC2" s="646">
        <f t="shared" si="0"/>
        <v>2020</v>
      </c>
      <c r="ED2" s="646">
        <f t="shared" si="0"/>
        <v>2021</v>
      </c>
      <c r="EE2" s="646">
        <f t="shared" si="0"/>
        <v>2022</v>
      </c>
      <c r="EF2" s="646">
        <v>2023</v>
      </c>
      <c r="EG2" s="646">
        <v>2024</v>
      </c>
      <c r="EH2" s="296">
        <f t="shared" si="0"/>
        <v>2025</v>
      </c>
      <c r="EI2" s="296">
        <f t="shared" si="0"/>
        <v>2026</v>
      </c>
      <c r="EJ2" s="296">
        <f t="shared" si="0"/>
        <v>2027</v>
      </c>
      <c r="EK2" s="296">
        <f t="shared" si="0"/>
        <v>2028</v>
      </c>
      <c r="EL2" s="296">
        <f t="shared" si="0"/>
        <v>2029</v>
      </c>
      <c r="EM2" s="296">
        <f t="shared" si="0"/>
        <v>2030</v>
      </c>
    </row>
    <row r="3" spans="1:143" ht="15.75">
      <c r="A3" s="279"/>
      <c r="B3" s="285" t="s">
        <v>880</v>
      </c>
      <c r="C3" s="285"/>
      <c r="D3" s="284">
        <v>2.0159903225806453</v>
      </c>
      <c r="E3" s="284">
        <v>2.288785483870968</v>
      </c>
      <c r="F3" s="284">
        <v>2.5431031250000009</v>
      </c>
      <c r="G3" s="284">
        <v>2.5548241935483871</v>
      </c>
      <c r="H3" s="284">
        <v>2.3800033333333328</v>
      </c>
      <c r="I3" s="284">
        <v>2.4986650793650789</v>
      </c>
      <c r="J3" s="284">
        <v>3.1227560606060596</v>
      </c>
      <c r="K3" s="284">
        <v>3.6773873015873013</v>
      </c>
      <c r="L3" s="284">
        <v>3.4909606557377062</v>
      </c>
      <c r="M3" s="284">
        <v>2.9853786885245905</v>
      </c>
      <c r="N3" s="284">
        <v>2.9331999999999998</v>
      </c>
      <c r="O3" s="284">
        <v>2.8992</v>
      </c>
      <c r="P3" s="284">
        <v>2.8944999999999999</v>
      </c>
      <c r="Q3" s="284">
        <v>3.0474000000000001</v>
      </c>
      <c r="R3" s="284">
        <v>2.9782999999999999</v>
      </c>
      <c r="S3" s="284">
        <v>2.7845</v>
      </c>
      <c r="T3" s="284">
        <v>2.6690999999999998</v>
      </c>
      <c r="U3" s="284">
        <v>2.4792000000000001</v>
      </c>
      <c r="V3" s="284">
        <v>2.3433000000000002</v>
      </c>
      <c r="W3" s="284">
        <v>2.2520338709677419</v>
      </c>
      <c r="X3" s="284">
        <v>2.1936</v>
      </c>
      <c r="Y3" s="284">
        <v>2.1859999999999999</v>
      </c>
      <c r="Z3" s="284">
        <v>2.1709000000000001</v>
      </c>
      <c r="AA3" s="284">
        <v>2.1513</v>
      </c>
      <c r="AB3" s="284">
        <v>2.1084999999999998</v>
      </c>
      <c r="AC3" s="284">
        <v>1.9818</v>
      </c>
      <c r="AD3" s="284">
        <v>1.9177</v>
      </c>
      <c r="AE3" s="284">
        <v>1.7861</v>
      </c>
      <c r="AF3" s="284">
        <v>1.7378</v>
      </c>
      <c r="AG3" s="284">
        <v>1.6540999999999999</v>
      </c>
      <c r="AH3" s="284">
        <v>1.67</v>
      </c>
      <c r="AI3" s="284">
        <v>2.2835000000000001</v>
      </c>
      <c r="AJ3" s="284">
        <v>2.3153000000000001</v>
      </c>
      <c r="AK3" s="284">
        <v>2.0764</v>
      </c>
      <c r="AL3" s="284">
        <v>1.8668</v>
      </c>
      <c r="AM3" s="284">
        <v>1.7403</v>
      </c>
      <c r="AN3" s="284">
        <v>1.8005</v>
      </c>
      <c r="AO3" s="284">
        <v>1.7938000000000001</v>
      </c>
      <c r="AP3" s="284">
        <v>1.7492000000000001</v>
      </c>
      <c r="AQ3" s="284">
        <v>1.6860999999999999</v>
      </c>
      <c r="AR3" s="284">
        <v>1.6668000000000001</v>
      </c>
      <c r="AS3" s="284">
        <v>1.5953999999999999</v>
      </c>
      <c r="AT3" s="284">
        <v>1.6364000000000001</v>
      </c>
      <c r="AU3" s="284">
        <v>1.8019000000000001</v>
      </c>
      <c r="AV3" s="280">
        <v>1.8468</v>
      </c>
      <c r="AW3" s="280">
        <v>1.9180999999999999</v>
      </c>
      <c r="AX3" s="280">
        <v>2.0179</v>
      </c>
      <c r="AY3" s="280">
        <v>2.0390000000000001</v>
      </c>
      <c r="AZ3" s="280">
        <v>2.0366499999999998</v>
      </c>
      <c r="BA3" s="280">
        <v>2.1267</v>
      </c>
      <c r="BB3" s="280">
        <v>2.2243500000000003</v>
      </c>
      <c r="BC3" s="280">
        <v>2.2895500000000002</v>
      </c>
      <c r="BD3" s="283">
        <v>2.3639999999999999</v>
      </c>
      <c r="BE3" s="283">
        <v>2.2288000000000001</v>
      </c>
      <c r="BF3" s="283">
        <v>2.2749000000000001</v>
      </c>
      <c r="BG3" s="283">
        <v>2.5455000000000001</v>
      </c>
      <c r="BH3" s="283">
        <v>2.8725000000000001</v>
      </c>
      <c r="BI3" s="283">
        <v>3.0699000000000001</v>
      </c>
      <c r="BJ3" s="283">
        <v>3.53</v>
      </c>
      <c r="BK3" s="283">
        <v>3.8447</v>
      </c>
      <c r="BL3" s="283">
        <v>3.8988999999999998</v>
      </c>
      <c r="BM3" s="283">
        <v>3.5002</v>
      </c>
      <c r="BN3" s="283">
        <v>3.2465000000000002</v>
      </c>
      <c r="BO3" s="283">
        <v>3.294</v>
      </c>
      <c r="BP3" s="283">
        <v>3.1442000000000001</v>
      </c>
      <c r="BQ3" s="283">
        <v>3.2176</v>
      </c>
      <c r="BR3" s="283">
        <v>3.1631</v>
      </c>
      <c r="BS3" s="283">
        <v>3.2504</v>
      </c>
      <c r="BT3" s="283">
        <v>3.2425000000000002</v>
      </c>
      <c r="BU3" s="283">
        <v>3.6088</v>
      </c>
      <c r="BV3" s="283">
        <v>3.9478</v>
      </c>
      <c r="BW3" s="283">
        <v>3.8115999999999999</v>
      </c>
      <c r="BX3" s="283">
        <v>3.7658999999999998</v>
      </c>
      <c r="BY3" s="602">
        <v>3.9216000000000002</v>
      </c>
      <c r="BZ3" s="602">
        <v>3.9723999999999999</v>
      </c>
      <c r="CA3" s="602">
        <v>4.1166999999999998</v>
      </c>
      <c r="CB3" s="602">
        <v>4.4725999999999999</v>
      </c>
      <c r="CC3" s="602">
        <v>5.3856000000000002</v>
      </c>
      <c r="CD3" s="602">
        <v>5.3802000000000003</v>
      </c>
      <c r="CE3" s="602">
        <v>5.3956</v>
      </c>
      <c r="CF3" s="602">
        <v>5.4848999999999997</v>
      </c>
      <c r="CG3" s="602">
        <v>5.2935999999999996</v>
      </c>
      <c r="CH3" s="602">
        <v>5.2323000000000004</v>
      </c>
      <c r="CI3" s="602">
        <v>5.5853000000000002</v>
      </c>
      <c r="CJ3" s="602">
        <v>5.2249999999999996</v>
      </c>
      <c r="CK3" s="602">
        <v>4.9273999999999996</v>
      </c>
      <c r="CL3" s="602">
        <v>5.25</v>
      </c>
      <c r="CM3" s="602">
        <v>5.2632000000000003</v>
      </c>
      <c r="CN3" s="602">
        <v>5.1897000000000002</v>
      </c>
      <c r="CO3" s="602">
        <v>4.9428000000000001</v>
      </c>
      <c r="CP3" s="602">
        <v>4.8849999999999998</v>
      </c>
      <c r="CQ3" s="602">
        <v>4.9558</v>
      </c>
      <c r="CR3" s="602">
        <v>4.9515000000000002</v>
      </c>
      <c r="CS3" s="602">
        <v>5.1539999999999999</v>
      </c>
      <c r="CT3" s="602">
        <v>5.5462999999999996</v>
      </c>
      <c r="CU3" s="602">
        <v>5.8349000000000002</v>
      </c>
      <c r="CV3" s="1630">
        <f>+[1]Planilha1!BB2</f>
        <v>5.85</v>
      </c>
      <c r="CW3" s="1630">
        <f>+[1]Planilha1!BC2</f>
        <v>5.65</v>
      </c>
      <c r="CX3" s="1630">
        <f>+[1]Planilha1!BD2</f>
        <v>5.4493</v>
      </c>
      <c r="CY3" s="1630">
        <f>+[1]Planilha1!BE2</f>
        <v>5.3608500000000001</v>
      </c>
      <c r="CZ3" s="1630">
        <f>+[1]Planilha1!BF2</f>
        <v>5.4271000847523503</v>
      </c>
      <c r="DA3" s="1630">
        <f>+[1]Planilha1!BG2</f>
        <v>5.4638461091111896</v>
      </c>
      <c r="DB3" s="1630">
        <f>+[1]Planilha1!BH2</f>
        <v>5.4763302416117039</v>
      </c>
      <c r="DC3" s="1630">
        <f>+[1]Planilha1!BI2</f>
        <v>5.4970772839948792</v>
      </c>
      <c r="DD3" s="596"/>
      <c r="DE3" s="596"/>
      <c r="DF3" s="282"/>
      <c r="DG3" s="281">
        <v>1.1608696356275301</v>
      </c>
      <c r="DH3" s="281">
        <v>1.8157680000000005</v>
      </c>
      <c r="DI3" s="281">
        <v>1.8294888000000014</v>
      </c>
      <c r="DJ3" s="281">
        <v>2.3522151999999976</v>
      </c>
      <c r="DK3" s="281">
        <v>2.9285452380952388</v>
      </c>
      <c r="DL3" s="281">
        <v>3.0771999999999999</v>
      </c>
      <c r="DM3" s="281">
        <v>2.9247999999999998</v>
      </c>
      <c r="DN3" s="281">
        <v>2.4340000000000002</v>
      </c>
      <c r="DO3" s="281">
        <v>2.1758000000000002</v>
      </c>
      <c r="DP3" s="281">
        <v>1.9475</v>
      </c>
      <c r="DQ3" s="281">
        <v>1.8364</v>
      </c>
      <c r="DR3" s="281">
        <v>1.9996999999999998</v>
      </c>
      <c r="DS3" s="281">
        <v>1.7574000000000001</v>
      </c>
      <c r="DT3" s="281">
        <v>1.675125</v>
      </c>
      <c r="DU3" s="280">
        <v>1.9592000000000001</v>
      </c>
      <c r="DV3" s="280">
        <v>2.2068500000000002</v>
      </c>
      <c r="DW3" s="280">
        <v>2.3533000000000004</v>
      </c>
      <c r="DX3" s="280">
        <v>3.329275</v>
      </c>
      <c r="DY3" s="280">
        <v>3.4849000000000001</v>
      </c>
      <c r="DZ3" s="280">
        <v>3.1938250000000004</v>
      </c>
      <c r="EA3" s="280">
        <v>3.6526749999999999</v>
      </c>
      <c r="EB3" s="647">
        <v>3.94415</v>
      </c>
      <c r="EC3" s="647">
        <v>5.1585000000000001</v>
      </c>
      <c r="ED3" s="647">
        <v>5.399025</v>
      </c>
      <c r="EE3" s="647">
        <v>5.1664000000000003</v>
      </c>
      <c r="EF3" s="647">
        <v>4.9933250000000005</v>
      </c>
      <c r="EG3" s="647">
        <v>5.3716749999999998</v>
      </c>
      <c r="EH3" s="344">
        <f>+[1]Planilha1!BW2</f>
        <v>5.5775375</v>
      </c>
      <c r="EI3" s="344">
        <f>+[1]Planilha1!BX2</f>
        <v>5.466088429867531</v>
      </c>
      <c r="EJ3" s="344">
        <f>+[1]Planilha1!BY2</f>
        <v>5.5770297274857281</v>
      </c>
      <c r="EK3" s="344">
        <f>+[1]Planilha1!BZ2</f>
        <v>5.6954640547022981</v>
      </c>
      <c r="EL3" s="344">
        <f>+[1]Planilha1!CA2</f>
        <v>5.8093733357963444</v>
      </c>
      <c r="EM3" s="344">
        <f>+[1]Planilha1!CB2</f>
        <v>5.9255608025122708</v>
      </c>
    </row>
    <row r="4" spans="1:143" ht="15.75">
      <c r="A4" s="279"/>
      <c r="B4" s="285" t="s">
        <v>881</v>
      </c>
      <c r="C4" s="285"/>
      <c r="D4" s="284">
        <v>2.1616</v>
      </c>
      <c r="E4" s="284">
        <v>2.3048999999999999</v>
      </c>
      <c r="F4" s="284">
        <v>2.6713</v>
      </c>
      <c r="G4" s="284">
        <v>2.3203999999999998</v>
      </c>
      <c r="H4" s="284">
        <v>2.3235999999999999</v>
      </c>
      <c r="I4" s="284">
        <v>2.8443999999999998</v>
      </c>
      <c r="J4" s="284">
        <v>3.8948999999999998</v>
      </c>
      <c r="K4" s="284">
        <v>3.5333000000000001</v>
      </c>
      <c r="L4" s="284">
        <v>3.3531</v>
      </c>
      <c r="M4" s="284">
        <v>2.8719999999999999</v>
      </c>
      <c r="N4" s="284">
        <v>2.9234</v>
      </c>
      <c r="O4" s="284">
        <v>2.8892000000000002</v>
      </c>
      <c r="P4" s="284">
        <v>2.9087999999999998</v>
      </c>
      <c r="Q4" s="284">
        <v>3.1074999999999999</v>
      </c>
      <c r="R4" s="284">
        <v>2.8586</v>
      </c>
      <c r="S4" s="284">
        <v>2.6543999999999999</v>
      </c>
      <c r="T4" s="284">
        <v>2.6661999999999999</v>
      </c>
      <c r="U4" s="284">
        <v>2.3504</v>
      </c>
      <c r="V4" s="284">
        <v>2.2222</v>
      </c>
      <c r="W4" s="284">
        <v>2.3407</v>
      </c>
      <c r="X4" s="284">
        <v>2.1724000000000001</v>
      </c>
      <c r="Y4" s="284">
        <v>2.1642999999999999</v>
      </c>
      <c r="Z4" s="284">
        <v>2.1741999999999999</v>
      </c>
      <c r="AA4" s="284">
        <v>2.1355</v>
      </c>
      <c r="AB4" s="284">
        <v>2.0503999999999998</v>
      </c>
      <c r="AC4" s="284">
        <v>1.9261999999999999</v>
      </c>
      <c r="AD4" s="284">
        <v>1.8389</v>
      </c>
      <c r="AE4" s="284">
        <v>1.7713000000000001</v>
      </c>
      <c r="AF4" s="284">
        <v>1.7519</v>
      </c>
      <c r="AG4" s="284">
        <v>1.601</v>
      </c>
      <c r="AH4" s="284">
        <v>1.9046000000000001</v>
      </c>
      <c r="AI4" s="284">
        <v>2.3144999999999998</v>
      </c>
      <c r="AJ4" s="284">
        <v>2.2911000000000001</v>
      </c>
      <c r="AK4" s="284">
        <v>1.9518</v>
      </c>
      <c r="AL4" s="284">
        <v>1.77</v>
      </c>
      <c r="AM4" s="284">
        <v>1.7444999999999999</v>
      </c>
      <c r="AN4" s="284">
        <v>1.7813000000000001</v>
      </c>
      <c r="AO4" s="284">
        <v>1.8047</v>
      </c>
      <c r="AP4" s="284">
        <v>1.6873</v>
      </c>
      <c r="AQ4" s="284">
        <v>1.6601999999999999</v>
      </c>
      <c r="AR4" s="284">
        <v>1.6317999999999999</v>
      </c>
      <c r="AS4" s="284">
        <v>1.5632999999999999</v>
      </c>
      <c r="AT4" s="284">
        <v>1.8793</v>
      </c>
      <c r="AU4" s="284">
        <v>1.8668</v>
      </c>
      <c r="AV4" s="280">
        <v>1.8268</v>
      </c>
      <c r="AW4" s="280">
        <v>2.0093999999999999</v>
      </c>
      <c r="AX4" s="280">
        <v>2.0264000000000002</v>
      </c>
      <c r="AY4" s="280">
        <v>2.0516000000000001</v>
      </c>
      <c r="AZ4" s="280">
        <v>2.0217000000000001</v>
      </c>
      <c r="BA4" s="280">
        <v>2.2317</v>
      </c>
      <c r="BB4" s="280">
        <v>2.2170000000000001</v>
      </c>
      <c r="BC4" s="280">
        <v>2.3620999999999999</v>
      </c>
      <c r="BD4" s="283">
        <v>2.2719999999999998</v>
      </c>
      <c r="BE4" s="283">
        <v>2.2145000000000001</v>
      </c>
      <c r="BF4" s="283">
        <v>2.4460999999999999</v>
      </c>
      <c r="BG4" s="283">
        <v>2.6581999999999999</v>
      </c>
      <c r="BH4" s="283">
        <v>3.1974</v>
      </c>
      <c r="BI4" s="283">
        <v>3.1030000000000002</v>
      </c>
      <c r="BJ4" s="283">
        <v>3.9470999999999998</v>
      </c>
      <c r="BK4" s="283">
        <v>3.964</v>
      </c>
      <c r="BL4" s="283">
        <v>3.5928</v>
      </c>
      <c r="BM4" s="283">
        <v>3.2126000000000001</v>
      </c>
      <c r="BN4" s="283">
        <v>3.2612999999999999</v>
      </c>
      <c r="BO4" s="283">
        <v>3.25</v>
      </c>
      <c r="BP4" s="283">
        <v>3.1223999999999998</v>
      </c>
      <c r="BQ4" s="283">
        <v>3.3071999999999999</v>
      </c>
      <c r="BR4" s="283">
        <v>3.1623000000000001</v>
      </c>
      <c r="BS4" s="283">
        <v>3.3085</v>
      </c>
      <c r="BT4" s="283">
        <v>3.3062999999999998</v>
      </c>
      <c r="BU4" s="283">
        <v>3.8765000000000001</v>
      </c>
      <c r="BV4" s="283">
        <v>4.0492999999999997</v>
      </c>
      <c r="BW4" s="283">
        <v>3.8814000000000002</v>
      </c>
      <c r="BX4" s="283">
        <v>3.9209999999999998</v>
      </c>
      <c r="BY4" s="602">
        <v>3.8496999999999999</v>
      </c>
      <c r="BZ4" s="602">
        <v>4.157</v>
      </c>
      <c r="CA4" s="602">
        <v>4.0231000000000003</v>
      </c>
      <c r="CB4" s="602">
        <v>5.2053000000000003</v>
      </c>
      <c r="CC4" s="602">
        <v>5.4659000000000004</v>
      </c>
      <c r="CD4" s="602">
        <v>5.61</v>
      </c>
      <c r="CE4" s="602">
        <v>5.1935000000000002</v>
      </c>
      <c r="CF4" s="602">
        <v>5.6344000000000003</v>
      </c>
      <c r="CG4" s="602">
        <v>4.9690000000000003</v>
      </c>
      <c r="CH4" s="602">
        <v>5.4429999999999996</v>
      </c>
      <c r="CI4" s="602">
        <v>5.6273999999999997</v>
      </c>
      <c r="CJ4" s="602">
        <v>4.7411000000000003</v>
      </c>
      <c r="CK4" s="602">
        <v>5.2558999999999996</v>
      </c>
      <c r="CL4" s="602">
        <v>5.4154999999999998</v>
      </c>
      <c r="CM4" s="602">
        <v>5.2859999999999996</v>
      </c>
      <c r="CN4" s="602">
        <v>5.0640000000000001</v>
      </c>
      <c r="CO4" s="602">
        <v>4.7874999999999996</v>
      </c>
      <c r="CP4" s="602">
        <v>5.0324999999999998</v>
      </c>
      <c r="CQ4" s="602">
        <v>4.8525999999999998</v>
      </c>
      <c r="CR4" s="602">
        <v>5.0145</v>
      </c>
      <c r="CS4" s="602">
        <v>5.5941000000000001</v>
      </c>
      <c r="CT4" s="602">
        <v>5.45</v>
      </c>
      <c r="CU4" s="602">
        <v>6.1736000000000004</v>
      </c>
      <c r="CV4" s="1630">
        <f>+[1]Planilha1!BB3</f>
        <v>5.75</v>
      </c>
      <c r="CW4" s="1630">
        <f>+[1]Planilha1!BC3</f>
        <v>5.47</v>
      </c>
      <c r="CX4" s="1630">
        <f>+[1]Planilha1!BD3</f>
        <v>5.3216999999999999</v>
      </c>
      <c r="CY4" s="1630">
        <f>+[1]Planilha1!BE3</f>
        <v>5.4</v>
      </c>
      <c r="CZ4" s="1630">
        <f>+[1]Planilha1!BF3</f>
        <v>5.4542001695046993</v>
      </c>
      <c r="DA4" s="1630">
        <f>+[1]Planilha1!BG3</f>
        <v>5.4734920487176808</v>
      </c>
      <c r="DB4" s="1630">
        <f>+[1]Planilha1!BH3</f>
        <v>5.4791684345057261</v>
      </c>
      <c r="DC4" s="1630">
        <f>+[1]Planilha1!BI3</f>
        <v>5.5149861334840322</v>
      </c>
      <c r="DD4" s="596"/>
      <c r="DE4" s="596"/>
      <c r="DF4" s="282"/>
      <c r="DG4" s="281">
        <v>1.2048179691534191</v>
      </c>
      <c r="DH4" s="281">
        <v>1.8746632994055394</v>
      </c>
      <c r="DI4" s="281">
        <v>1.9508198418292138</v>
      </c>
      <c r="DJ4" s="281">
        <v>2.3204000000000025</v>
      </c>
      <c r="DK4" s="281">
        <v>3.5333000000000001</v>
      </c>
      <c r="DL4" s="281">
        <v>2.8915000000000002</v>
      </c>
      <c r="DM4" s="281">
        <v>2.6560000000000001</v>
      </c>
      <c r="DN4" s="281">
        <v>2.3355000000000001</v>
      </c>
      <c r="DO4" s="281">
        <v>2.1355</v>
      </c>
      <c r="DP4" s="281">
        <v>1.7713000000000001</v>
      </c>
      <c r="DQ4" s="281">
        <v>2.3144999999999998</v>
      </c>
      <c r="DR4" s="281">
        <v>1.7444999999999999</v>
      </c>
      <c r="DS4" s="281">
        <v>1.6601999999999999</v>
      </c>
      <c r="DT4" s="281">
        <v>1.8668</v>
      </c>
      <c r="DU4" s="280">
        <v>2.0516000000000001</v>
      </c>
      <c r="DV4" s="280">
        <v>2.3620999999999999</v>
      </c>
      <c r="DW4" s="280">
        <v>2.6581999999999999</v>
      </c>
      <c r="DX4" s="280">
        <v>3.964</v>
      </c>
      <c r="DY4" s="280">
        <v>3.2612999999999999</v>
      </c>
      <c r="DZ4" s="280">
        <v>3.3085</v>
      </c>
      <c r="EA4" s="280">
        <v>3.8814000000000002</v>
      </c>
      <c r="EB4" s="647">
        <v>4.0231000000000003</v>
      </c>
      <c r="EC4" s="647">
        <v>5.1935000000000002</v>
      </c>
      <c r="ED4" s="647">
        <v>5.6273999999999997</v>
      </c>
      <c r="EE4" s="647">
        <v>5.2859999999999996</v>
      </c>
      <c r="EF4" s="647">
        <v>4.8525999999999998</v>
      </c>
      <c r="EG4" s="647">
        <v>6.1736000000000004</v>
      </c>
      <c r="EH4" s="344">
        <f>+[1]Planilha1!BW3</f>
        <v>5.4</v>
      </c>
      <c r="EI4" s="344">
        <f>+[1]Planilha1!BX3</f>
        <v>5.5149861334840322</v>
      </c>
      <c r="EJ4" s="344">
        <f>+[1]Planilha1!BY3</f>
        <v>5.639073321487424</v>
      </c>
      <c r="EK4" s="344">
        <f>+[1]Planilha1!BZ3</f>
        <v>5.7518547879171722</v>
      </c>
      <c r="EL4" s="344">
        <f>+[1]Planilha1!CA3</f>
        <v>5.8668918836755157</v>
      </c>
      <c r="EM4" s="344">
        <f>+[1]Planilha1!CB3</f>
        <v>5.9842297213490259</v>
      </c>
    </row>
    <row r="5" spans="1:143" ht="15.75">
      <c r="A5" s="275"/>
      <c r="B5" s="285" t="s">
        <v>882</v>
      </c>
      <c r="C5" s="291"/>
      <c r="D5" s="290"/>
      <c r="E5" s="290"/>
      <c r="F5" s="290"/>
      <c r="G5" s="290"/>
      <c r="H5" s="290"/>
      <c r="I5" s="290"/>
      <c r="J5" s="290"/>
      <c r="K5" s="290"/>
      <c r="L5" s="290"/>
      <c r="M5" s="290"/>
      <c r="N5" s="290"/>
      <c r="O5" s="290"/>
      <c r="P5" s="290"/>
      <c r="Q5" s="290"/>
      <c r="R5" s="290"/>
      <c r="S5" s="290"/>
      <c r="T5" s="290"/>
      <c r="U5" s="290"/>
      <c r="V5" s="290"/>
      <c r="W5" s="290"/>
      <c r="X5" s="290">
        <v>0.16499999999999981</v>
      </c>
      <c r="Y5" s="290">
        <v>0.1549999999999998</v>
      </c>
      <c r="Z5" s="290">
        <v>0.148410232052121</v>
      </c>
      <c r="AA5" s="290">
        <v>0.12933729122125026</v>
      </c>
      <c r="AB5" s="290">
        <v>0.1272581919277056</v>
      </c>
      <c r="AC5" s="290">
        <v>0.12158014577117582</v>
      </c>
      <c r="AD5" s="290">
        <v>0.11499999999999977</v>
      </c>
      <c r="AE5" s="290">
        <v>0.11250000000000027</v>
      </c>
      <c r="AF5" s="290">
        <v>0.11250000000000027</v>
      </c>
      <c r="AG5" s="290">
        <v>0.11793333333333345</v>
      </c>
      <c r="AH5" s="290">
        <v>0.12960000000000038</v>
      </c>
      <c r="AI5" s="290">
        <v>0.13749999999999973</v>
      </c>
      <c r="AJ5" s="290">
        <v>0.12249999999999939</v>
      </c>
      <c r="AK5" s="290">
        <v>9.9166666666666403E-2</v>
      </c>
      <c r="AL5" s="290">
        <v>8.7500000000000355E-2</v>
      </c>
      <c r="AM5" s="290">
        <v>8.7500000000000355E-2</v>
      </c>
      <c r="AN5" s="290">
        <v>8.7500000000000355E-2</v>
      </c>
      <c r="AO5" s="290">
        <v>9.749999999999992E-2</v>
      </c>
      <c r="AP5" s="290">
        <v>0.10750000000000015</v>
      </c>
      <c r="AQ5" s="290">
        <v>0.10750000000000015</v>
      </c>
      <c r="AR5" s="290">
        <v>0.11416666666666675</v>
      </c>
      <c r="AS5" s="290">
        <v>0.12083333333333313</v>
      </c>
      <c r="AT5" s="290">
        <v>0.12333333333333374</v>
      </c>
      <c r="AU5" s="290">
        <v>0.11333333333333351</v>
      </c>
      <c r="AV5" s="286">
        <v>0.10400793650793627</v>
      </c>
      <c r="AW5" s="286">
        <v>8.9758064516128888E-2</v>
      </c>
      <c r="AX5" s="286">
        <v>7.8984375000000329E-2</v>
      </c>
      <c r="AY5" s="286">
        <v>7.2822580645161672E-2</v>
      </c>
      <c r="AZ5" s="286">
        <v>7.2499999999999565E-2</v>
      </c>
      <c r="BA5" s="286">
        <v>7.9999999999999849E-2</v>
      </c>
      <c r="BB5" s="286">
        <v>9.0000000000000524E-2</v>
      </c>
      <c r="BC5" s="286">
        <v>9.9999999999999645E-2</v>
      </c>
      <c r="BD5" s="286">
        <v>0.10510000000000042</v>
      </c>
      <c r="BE5" s="286">
        <v>0.11000000000000032</v>
      </c>
      <c r="BF5" s="286">
        <v>0.11000000000000032</v>
      </c>
      <c r="BG5" s="286">
        <v>0.11330000000000018</v>
      </c>
      <c r="BH5" s="286">
        <v>0.12279999999999958</v>
      </c>
      <c r="BI5" s="286">
        <v>0.13249999999999962</v>
      </c>
      <c r="BJ5" s="286">
        <v>0.14250000000000007</v>
      </c>
      <c r="BK5" s="286">
        <v>0.14250000000000007</v>
      </c>
      <c r="BL5" s="286">
        <v>0.14250000000000007</v>
      </c>
      <c r="BM5" s="286">
        <v>0.14250000000000007</v>
      </c>
      <c r="BN5" s="286">
        <v>0.14250000000000007</v>
      </c>
      <c r="BO5" s="286">
        <v>0.13959999999999995</v>
      </c>
      <c r="BP5" s="286">
        <v>0.1276999999999997</v>
      </c>
      <c r="BQ5" s="286">
        <v>0.11019999999999941</v>
      </c>
      <c r="BR5" s="286">
        <v>9.2500000000000249E-2</v>
      </c>
      <c r="BS5" s="286">
        <v>7.5500000000000123E-2</v>
      </c>
      <c r="BT5" s="286">
        <v>6.8249999999999922E-2</v>
      </c>
      <c r="BU5" s="286">
        <v>6.5000000000000169E-2</v>
      </c>
      <c r="BV5" s="286">
        <v>6.5000000000000169E-2</v>
      </c>
      <c r="BW5" s="286">
        <v>6.5000000000000169E-2</v>
      </c>
      <c r="BX5" s="286">
        <v>6.5000000000000169E-2</v>
      </c>
      <c r="BY5" s="601">
        <v>6.5000000000000169E-2</v>
      </c>
      <c r="BZ5" s="601">
        <v>6.0999999999999721E-2</v>
      </c>
      <c r="CA5" s="601">
        <v>5.0500000000000211E-2</v>
      </c>
      <c r="CB5" s="601">
        <v>4.2700000000000404E-2</v>
      </c>
      <c r="CC5" s="601">
        <v>3.1700000000000061E-2</v>
      </c>
      <c r="CD5" s="601">
        <v>2.0899999999999475E-2</v>
      </c>
      <c r="CE5" s="601">
        <v>2.0000000000000462E-2</v>
      </c>
      <c r="CF5" s="601">
        <v>2.1300000000000319E-2</v>
      </c>
      <c r="CG5" s="601">
        <v>3.3500000000000307E-2</v>
      </c>
      <c r="CH5" s="601">
        <v>4.9900000000000277E-2</v>
      </c>
      <c r="CI5" s="601">
        <v>7.6799999999999979E-2</v>
      </c>
      <c r="CJ5" s="601">
        <v>0.10420000000000007</v>
      </c>
      <c r="CK5" s="601">
        <v>0.12490000000000046</v>
      </c>
      <c r="CL5" s="601">
        <v>0.13599999999999968</v>
      </c>
      <c r="CM5" s="601">
        <v>0.13749999999999973</v>
      </c>
      <c r="CN5" s="601">
        <v>0.13750000000000001</v>
      </c>
      <c r="CO5" s="601">
        <v>0.13750000000000001</v>
      </c>
      <c r="CP5" s="601">
        <v>0.1336</v>
      </c>
      <c r="CQ5" s="601">
        <v>0.12330000000000001</v>
      </c>
      <c r="CR5" s="601">
        <v>0.1135</v>
      </c>
      <c r="CS5" s="601">
        <v>0.106</v>
      </c>
      <c r="CT5" s="601">
        <v>0.1053</v>
      </c>
      <c r="CU5" s="601">
        <v>0.11269999999999999</v>
      </c>
      <c r="CV5" s="289">
        <f>+[1]Planilha1!BB4</f>
        <v>0.13583333333333333</v>
      </c>
      <c r="CW5" s="289">
        <f>+[1]Planilha1!BC4</f>
        <v>0.14749999999999999</v>
      </c>
      <c r="CX5" s="289">
        <f>+[1]Planilha1!BD4</f>
        <v>0.15</v>
      </c>
      <c r="CY5" s="289">
        <f>+[1]Planilha1!BE4</f>
        <v>0.15</v>
      </c>
      <c r="CZ5" s="289">
        <f>+[1]Planilha1!BF4</f>
        <v>0.14499999999999999</v>
      </c>
      <c r="DA5" s="289">
        <f>+[1]Planilha1!BG4</f>
        <v>0.13500000000000001</v>
      </c>
      <c r="DB5" s="289">
        <f>+[1]Planilha1!BH4</f>
        <v>0.1275</v>
      </c>
      <c r="DC5" s="289">
        <f>+[1]Planilha1!BI4</f>
        <v>0.1225</v>
      </c>
      <c r="DD5" s="293"/>
      <c r="DE5" s="293"/>
      <c r="DF5" s="292"/>
      <c r="DG5" s="287"/>
      <c r="DH5" s="287"/>
      <c r="DI5" s="287"/>
      <c r="DJ5" s="287"/>
      <c r="DK5" s="287"/>
      <c r="DL5" s="287"/>
      <c r="DM5" s="287"/>
      <c r="DN5" s="287"/>
      <c r="DO5" s="287"/>
      <c r="DP5" s="287"/>
      <c r="DQ5" s="287"/>
      <c r="DR5" s="287"/>
      <c r="DS5" s="287"/>
      <c r="DT5" s="287"/>
      <c r="DU5" s="286"/>
      <c r="DV5" s="286"/>
      <c r="DW5" s="286">
        <v>0.1096</v>
      </c>
      <c r="DX5" s="286">
        <v>0.135075</v>
      </c>
      <c r="DY5" s="286">
        <v>0.14177499999999998</v>
      </c>
      <c r="DZ5" s="286">
        <v>0.10147500000000001</v>
      </c>
      <c r="EA5" s="286">
        <v>6.5812499999999996E-2</v>
      </c>
      <c r="EB5" s="601">
        <v>6.0374999999999998E-2</v>
      </c>
      <c r="EC5" s="601">
        <v>2.8825E-2</v>
      </c>
      <c r="ED5" s="601">
        <v>4.5374999999999999E-2</v>
      </c>
      <c r="EE5" s="601">
        <v>0.12564999999999998</v>
      </c>
      <c r="EF5" s="601">
        <v>0.13297500000000001</v>
      </c>
      <c r="EG5" s="601">
        <v>0.109375</v>
      </c>
      <c r="EH5" s="289">
        <f>+[1]Planilha1!BW4</f>
        <v>0.14583333333333334</v>
      </c>
      <c r="EI5" s="289">
        <f>+[1]Planilha1!BX4</f>
        <v>0.13250000000000001</v>
      </c>
      <c r="EJ5" s="289">
        <f>+[1]Planilha1!BY4</f>
        <v>0.115</v>
      </c>
      <c r="EK5" s="289">
        <f>+[1]Planilha1!BZ4</f>
        <v>0.11</v>
      </c>
      <c r="EL5" s="289">
        <f>+[1]Planilha1!CA4</f>
        <v>0.1</v>
      </c>
      <c r="EM5" s="289">
        <f>+[1]Planilha1!CB4</f>
        <v>0.09</v>
      </c>
    </row>
    <row r="6" spans="1:143" ht="15.75">
      <c r="A6" s="275"/>
      <c r="B6" s="285" t="s">
        <v>883</v>
      </c>
      <c r="C6" s="291"/>
      <c r="D6" s="290">
        <v>3.5604416955409501E-2</v>
      </c>
      <c r="E6" s="290">
        <v>3.8351495442535244E-2</v>
      </c>
      <c r="F6" s="290">
        <v>4.4915228716836841E-2</v>
      </c>
      <c r="G6" s="290">
        <v>4.3834747899765159E-2</v>
      </c>
      <c r="H6" s="290">
        <v>4.2062977125581602E-2</v>
      </c>
      <c r="I6" s="290">
        <v>4.2550936597514744E-2</v>
      </c>
      <c r="J6" s="290">
        <v>4.4232382017332039E-2</v>
      </c>
      <c r="K6" s="290">
        <v>4.9903259956923351E-2</v>
      </c>
      <c r="L6" s="290">
        <v>5.6699119146963461E-2</v>
      </c>
      <c r="M6" s="290">
        <v>5.7835739042688461E-2</v>
      </c>
      <c r="N6" s="290">
        <v>5.5353561453803213E-2</v>
      </c>
      <c r="O6" s="290">
        <v>4.36468035962434E-2</v>
      </c>
      <c r="P6" s="290">
        <v>3.7157999999999997E-2</v>
      </c>
      <c r="Q6" s="290">
        <v>3.6069820000000002E-2</v>
      </c>
      <c r="R6" s="290">
        <v>3.7578249091094751E-2</v>
      </c>
      <c r="S6" s="290">
        <v>3.9942530511980712E-2</v>
      </c>
      <c r="T6" s="290">
        <v>4.2246635456321124E-2</v>
      </c>
      <c r="U6" s="290">
        <v>4.4995925060034692E-2</v>
      </c>
      <c r="V6" s="290">
        <v>4.6609973397407245E-2</v>
      </c>
      <c r="W6" s="290">
        <v>4.2383974607679287E-2</v>
      </c>
      <c r="X6" s="290">
        <v>3.8918503659524317E-2</v>
      </c>
      <c r="Y6" s="290">
        <v>3.6681852358877665E-2</v>
      </c>
      <c r="Z6" s="290">
        <v>3.5200000000000002E-2</v>
      </c>
      <c r="AA6" s="290">
        <v>3.0874785591766596E-2</v>
      </c>
      <c r="AB6" s="290">
        <v>3.04E-2</v>
      </c>
      <c r="AC6" s="290">
        <v>2.9100000000000001E-2</v>
      </c>
      <c r="AD6" s="290">
        <v>2.7587273226534093E-2</v>
      </c>
      <c r="AE6" s="290">
        <v>2.7010786450877289E-2</v>
      </c>
      <c r="AF6" s="290">
        <v>2.7010786450877289E-2</v>
      </c>
      <c r="AG6" s="290">
        <v>2.8262449650589883E-2</v>
      </c>
      <c r="AH6" s="290">
        <v>3.0934731419459904E-2</v>
      </c>
      <c r="AI6" s="290">
        <v>3.2732516378310317E-2</v>
      </c>
      <c r="AJ6" s="290">
        <v>2.9310936996617354E-2</v>
      </c>
      <c r="AK6" s="290">
        <v>2.3919673031582711E-2</v>
      </c>
      <c r="AL6" s="290">
        <v>2.1191794292683586E-2</v>
      </c>
      <c r="AM6" s="290">
        <v>2.1191794292683586E-2</v>
      </c>
      <c r="AN6" s="290">
        <v>2.1191794292683586E-2</v>
      </c>
      <c r="AO6" s="290">
        <v>2.3531309725231653E-2</v>
      </c>
      <c r="AP6" s="290">
        <v>2.5854891781707856E-2</v>
      </c>
      <c r="AQ6" s="290">
        <v>2.5854891781707856E-2</v>
      </c>
      <c r="AR6" s="290">
        <v>2.7395218779641572E-2</v>
      </c>
      <c r="AS6" s="290">
        <v>2.8928648746103791E-2</v>
      </c>
      <c r="AT6" s="290">
        <v>2.9501921500057149E-2</v>
      </c>
      <c r="AU6" s="290">
        <v>2.7203056568155359E-2</v>
      </c>
      <c r="AV6" s="286">
        <v>2.504527687291791E-2</v>
      </c>
      <c r="AW6" s="286">
        <v>2.172147788820955E-2</v>
      </c>
      <c r="AX6" s="286">
        <v>1.9186796815084506E-2</v>
      </c>
      <c r="AY6" s="286">
        <v>1.7728593758837619E-2</v>
      </c>
      <c r="AZ6" s="286">
        <v>1.7652081440606482E-2</v>
      </c>
      <c r="BA6" s="286">
        <v>1.9426546908273501E-2</v>
      </c>
      <c r="BB6" s="286">
        <v>2.1778180864641117E-2</v>
      </c>
      <c r="BC6" s="286">
        <v>2.4113689084445111E-2</v>
      </c>
      <c r="BD6" s="286">
        <v>2.5298671682920659E-2</v>
      </c>
      <c r="BE6" s="286">
        <v>2.6433327247938676E-2</v>
      </c>
      <c r="BF6" s="286">
        <v>2.6433327247938676E-2</v>
      </c>
      <c r="BG6" s="286">
        <v>2.7195367836196249E-2</v>
      </c>
      <c r="BH6" s="286">
        <v>2.9379703664283552E-2</v>
      </c>
      <c r="BI6" s="286">
        <v>3.1595770003753909E-2</v>
      </c>
      <c r="BJ6" s="286">
        <v>3.386552139124821E-2</v>
      </c>
      <c r="BK6" s="286">
        <v>3.386552139124821E-2</v>
      </c>
      <c r="BL6" s="286">
        <v>3.386552139124821E-2</v>
      </c>
      <c r="BM6" s="286">
        <v>3.386552139124821E-2</v>
      </c>
      <c r="BN6" s="286">
        <v>3.386552139124821E-2</v>
      </c>
      <c r="BO6" s="286">
        <v>3.3208832524481258E-2</v>
      </c>
      <c r="BP6" s="286">
        <v>3.0500946736911727E-2</v>
      </c>
      <c r="BQ6" s="286">
        <v>2.6479559859692303E-2</v>
      </c>
      <c r="BR6" s="286">
        <v>2.2363559609957839E-2</v>
      </c>
      <c r="BS6" s="286">
        <v>1.8362980987926658E-2</v>
      </c>
      <c r="BT6" s="286">
        <v>1.6642416339083699E-2</v>
      </c>
      <c r="BU6" s="286">
        <v>1.586828478278357E-2</v>
      </c>
      <c r="BV6" s="286">
        <v>1.586828478278357E-2</v>
      </c>
      <c r="BW6" s="286">
        <v>1.586828478278357E-2</v>
      </c>
      <c r="BX6" s="286">
        <v>1.586828478278357E-2</v>
      </c>
      <c r="BY6" s="601">
        <v>1.586828478278357E-2</v>
      </c>
      <c r="BZ6" s="601">
        <v>1.4913071423088509E-2</v>
      </c>
      <c r="CA6" s="601">
        <v>1.2392721514959071E-2</v>
      </c>
      <c r="CB6" s="601">
        <v>1.0508203112448822E-2</v>
      </c>
      <c r="CC6" s="601">
        <v>7.8324965478326902E-3</v>
      </c>
      <c r="CD6" s="601">
        <v>5.1845412595541429E-3</v>
      </c>
      <c r="CE6" s="601">
        <v>4.9629315732038215E-3</v>
      </c>
      <c r="CF6" s="601">
        <v>5.2829874231419272E-3</v>
      </c>
      <c r="CG6" s="601">
        <v>8.2717988664033903E-3</v>
      </c>
      <c r="CH6" s="601">
        <v>1.2248131848348498E-2</v>
      </c>
      <c r="CI6" s="601">
        <v>1.8670575645447718E-2</v>
      </c>
      <c r="CJ6" s="601">
        <v>2.5089855568062536E-2</v>
      </c>
      <c r="CK6" s="601">
        <v>2.9860684889043698E-2</v>
      </c>
      <c r="CL6" s="601">
        <v>3.2391886619581145E-2</v>
      </c>
      <c r="CM6" s="601">
        <v>3.2732516378310317E-2</v>
      </c>
      <c r="CN6" s="601">
        <v>3.2732516378310317E-2</v>
      </c>
      <c r="CO6" s="601">
        <v>3.2732516378310317E-2</v>
      </c>
      <c r="CP6" s="601">
        <v>3.1846176683566041E-2</v>
      </c>
      <c r="CQ6" s="601">
        <v>2.9494284160460849E-2</v>
      </c>
      <c r="CR6" s="601">
        <v>2.7241497638393453E-2</v>
      </c>
      <c r="CS6" s="601">
        <v>2.5507360290891512E-2</v>
      </c>
      <c r="CT6" s="601">
        <v>2.5345057941852822E-2</v>
      </c>
      <c r="CU6" s="601">
        <v>2.70569411275976E-2</v>
      </c>
      <c r="CV6" s="289">
        <f>+[1]Planilha1!BB5</f>
        <v>3.2354018049627786E-2</v>
      </c>
      <c r="CW6" s="289">
        <f>+[1]Planilha1!BC5</f>
        <v>3.4994813649531054E-2</v>
      </c>
      <c r="CX6" s="289">
        <f>+[1]Planilha1!BD5</f>
        <v>3.5558076341622114E-2</v>
      </c>
      <c r="CY6" s="289">
        <f>+[1]Planilha1!BE5</f>
        <v>3.5558076341622114E-2</v>
      </c>
      <c r="CZ6" s="289">
        <f>+[1]Planilha1!BF5</f>
        <v>3.4430629840220384E-2</v>
      </c>
      <c r="DA6" s="289">
        <f>+[1]Planilha1!BG5</f>
        <v>3.2164612662692438E-2</v>
      </c>
      <c r="DB6" s="289">
        <f>+[1]Planilha1!BH5</f>
        <v>3.0455253312711816E-2</v>
      </c>
      <c r="DC6" s="289">
        <f>+[1]Planilha1!BI5</f>
        <v>2.9310936996617354E-2</v>
      </c>
      <c r="DD6" s="293"/>
      <c r="DE6" s="293"/>
      <c r="DF6" s="292"/>
      <c r="DG6" s="287">
        <v>0.28000000000000003</v>
      </c>
      <c r="DH6" s="287">
        <v>0.25600000000000001</v>
      </c>
      <c r="DI6" s="287">
        <v>0.1736</v>
      </c>
      <c r="DJ6" s="287">
        <v>0.1724</v>
      </c>
      <c r="DK6" s="287">
        <v>0.19070000000000001</v>
      </c>
      <c r="DL6" s="287">
        <v>0.231740807154865</v>
      </c>
      <c r="DM6" s="287">
        <v>0.15948235427643742</v>
      </c>
      <c r="DN6" s="287">
        <v>0.1882222861153191</v>
      </c>
      <c r="DO6" s="287">
        <v>0.14936285613641775</v>
      </c>
      <c r="DP6" s="287">
        <v>0.11906973365438089</v>
      </c>
      <c r="DQ6" s="287">
        <v>0.13750000000000001</v>
      </c>
      <c r="DR6" s="287">
        <v>8.7500000000000008E-2</v>
      </c>
      <c r="DS6" s="287">
        <v>0.10750000000000001</v>
      </c>
      <c r="DT6" s="287">
        <v>0.11000000000000001</v>
      </c>
      <c r="DU6" s="286">
        <v>8.3682145335049585E-2</v>
      </c>
      <c r="DV6" s="286">
        <v>8.2970498297966211E-2</v>
      </c>
      <c r="DW6" s="286">
        <v>0.1096</v>
      </c>
      <c r="DX6" s="286">
        <v>0.135075</v>
      </c>
      <c r="DY6" s="286">
        <v>0.14177499999999998</v>
      </c>
      <c r="DZ6" s="286">
        <v>0.10147500000000001</v>
      </c>
      <c r="EA6" s="286">
        <v>6.5812499999999996E-2</v>
      </c>
      <c r="EB6" s="601">
        <v>6.0374999999999998E-2</v>
      </c>
      <c r="EC6" s="601">
        <v>2.8825E-2</v>
      </c>
      <c r="ED6" s="601">
        <v>4.5374999999999999E-2</v>
      </c>
      <c r="EE6" s="601">
        <v>0.12564999999999998</v>
      </c>
      <c r="EF6" s="601">
        <v>0.13297500000000001</v>
      </c>
      <c r="EG6" s="601">
        <v>0.109375</v>
      </c>
      <c r="EH6" s="289">
        <f t="shared" ref="EH6:EM6" si="1">+EH5</f>
        <v>0.14583333333333334</v>
      </c>
      <c r="EI6" s="289">
        <f t="shared" si="1"/>
        <v>0.13250000000000001</v>
      </c>
      <c r="EJ6" s="289">
        <f t="shared" si="1"/>
        <v>0.115</v>
      </c>
      <c r="EK6" s="289">
        <f t="shared" si="1"/>
        <v>0.11</v>
      </c>
      <c r="EL6" s="289">
        <f t="shared" si="1"/>
        <v>0.1</v>
      </c>
      <c r="EM6" s="289">
        <f t="shared" si="1"/>
        <v>0.09</v>
      </c>
    </row>
    <row r="7" spans="1:143" ht="15.75">
      <c r="A7" s="275"/>
      <c r="B7" s="285" t="s">
        <v>884</v>
      </c>
      <c r="C7" s="291"/>
      <c r="D7" s="290">
        <v>1.6401966345244823E-2</v>
      </c>
      <c r="E7" s="290">
        <v>3.0553876203320396E-2</v>
      </c>
      <c r="F7" s="290">
        <v>2.9241877256317883E-2</v>
      </c>
      <c r="G7" s="290">
        <v>2.4070501578393522E-2</v>
      </c>
      <c r="H7" s="290">
        <v>4.7951363616902665E-3</v>
      </c>
      <c r="I7" s="290">
        <v>3.5919723891090438E-2</v>
      </c>
      <c r="J7" s="290">
        <v>7.2145442579796049E-2</v>
      </c>
      <c r="K7" s="290">
        <v>0.13273996777411168</v>
      </c>
      <c r="L7" s="290">
        <v>5.5171713066449968E-2</v>
      </c>
      <c r="M7" s="290">
        <v>-9.5971754132563314E-3</v>
      </c>
      <c r="N7" s="290">
        <v>1.14E-2</v>
      </c>
      <c r="O7" s="290">
        <v>1.49E-2</v>
      </c>
      <c r="P7" s="290">
        <v>2.7199999999999998E-2</v>
      </c>
      <c r="Q7" s="290">
        <v>3.95E-2</v>
      </c>
      <c r="R7" s="290">
        <v>3.2500000000000001E-2</v>
      </c>
      <c r="S7" s="290">
        <v>1.9599999999999999E-2</v>
      </c>
      <c r="T7" s="290">
        <v>1.55E-2</v>
      </c>
      <c r="U7" s="290">
        <v>1.9470725353079033E-3</v>
      </c>
      <c r="V7" s="290">
        <v>-1.5125532804607378E-2</v>
      </c>
      <c r="W7" s="290">
        <v>9.9229258910684681E-3</v>
      </c>
      <c r="X7" s="290">
        <v>6.9795278840001362E-3</v>
      </c>
      <c r="Y7" s="290">
        <v>7.0809202999999599E-3</v>
      </c>
      <c r="Z7" s="290">
        <v>8.4229999999999999E-3</v>
      </c>
      <c r="AA7" s="290">
        <v>1.5471962113873694E-2</v>
      </c>
      <c r="AB7" s="290">
        <v>1.11E-2</v>
      </c>
      <c r="AC7" s="290">
        <v>3.3999999999999998E-3</v>
      </c>
      <c r="AD7" s="290">
        <v>2.5700000000000001E-2</v>
      </c>
      <c r="AE7" s="290">
        <v>3.5400000000000001E-2</v>
      </c>
      <c r="AF7" s="290">
        <v>2.5043434652939789E-2</v>
      </c>
      <c r="AG7" s="290">
        <v>2.5043434652939789E-2</v>
      </c>
      <c r="AH7" s="290">
        <v>3.0800000000000001E-2</v>
      </c>
      <c r="AI7" s="290">
        <v>2.4500000000000001E-2</v>
      </c>
      <c r="AJ7" s="290">
        <v>-9.1999999999999998E-3</v>
      </c>
      <c r="AK7" s="290">
        <v>-3.2000000000000002E-3</v>
      </c>
      <c r="AL7" s="290">
        <v>-3.8E-3</v>
      </c>
      <c r="AM7" s="290">
        <v>-1.1000000000000001E-3</v>
      </c>
      <c r="AN7" s="290">
        <v>2.7699999999999999E-2</v>
      </c>
      <c r="AO7" s="290">
        <v>2.8400000000000002E-2</v>
      </c>
      <c r="AP7" s="290">
        <v>2.0799999999999999E-2</v>
      </c>
      <c r="AQ7" s="290">
        <v>3.1800000000000002E-2</v>
      </c>
      <c r="AR7" s="290">
        <v>2.4299999999999999E-2</v>
      </c>
      <c r="AS7" s="290">
        <v>7.0000000000000001E-3</v>
      </c>
      <c r="AT7" s="290">
        <v>9.7000000000000003E-3</v>
      </c>
      <c r="AU7" s="290">
        <v>1.2500000000000001E-2</v>
      </c>
      <c r="AV7" s="286">
        <v>6.1573960596044142E-3</v>
      </c>
      <c r="AW7" s="286">
        <v>2.5570914344997364E-2</v>
      </c>
      <c r="AX7" s="286">
        <v>3.780547239434684E-2</v>
      </c>
      <c r="AY7" s="286">
        <v>6.8034190732513267E-3</v>
      </c>
      <c r="AZ7" s="286">
        <v>8.376253302289749E-3</v>
      </c>
      <c r="BA7" s="286">
        <v>8.9927428351532779E-3</v>
      </c>
      <c r="BB7" s="286">
        <v>1.9131161719184719E-2</v>
      </c>
      <c r="BC7" s="286">
        <v>1.7549165067994643E-2</v>
      </c>
      <c r="BD7" s="286">
        <v>2.1700000000000001E-2</v>
      </c>
      <c r="BE7" s="286">
        <v>1.14E-2</v>
      </c>
      <c r="BF7" s="286">
        <v>1.04E-2</v>
      </c>
      <c r="BG7" s="286">
        <v>1.67E-2</v>
      </c>
      <c r="BH7" s="286">
        <v>1.3475174441242466E-2</v>
      </c>
      <c r="BI7" s="286">
        <v>1.3475174441242466E-2</v>
      </c>
      <c r="BJ7" s="286">
        <v>1.3475174441242466E-2</v>
      </c>
      <c r="BK7" s="286">
        <v>1.3475174441242466E-2</v>
      </c>
      <c r="BL7" s="286">
        <v>2.9499999999999998E-2</v>
      </c>
      <c r="BM7" s="286">
        <v>2.8399999999999998E-2</v>
      </c>
      <c r="BN7" s="286">
        <v>5.3E-3</v>
      </c>
      <c r="BO7" s="286">
        <v>7.4178940399998172E-3</v>
      </c>
      <c r="BP7" s="286">
        <v>8.6077612160000427E-3</v>
      </c>
      <c r="BQ7" s="286">
        <v>-2.4899999999999999E-2</v>
      </c>
      <c r="BR7" s="286">
        <v>-2.7000000000000001E-3</v>
      </c>
      <c r="BS7" s="286">
        <v>1.03E-2</v>
      </c>
      <c r="BT7" s="286">
        <v>1.26E-2</v>
      </c>
      <c r="BU7" s="286">
        <v>3.4872339899999938E-2</v>
      </c>
      <c r="BV7" s="286">
        <v>2.7520162640000123E-2</v>
      </c>
      <c r="BW7" s="286">
        <v>-6.7999999999999996E-3</v>
      </c>
      <c r="BX7" s="286">
        <v>2.1499999999999998E-2</v>
      </c>
      <c r="BY7" s="601">
        <v>2.1700000000000001E-2</v>
      </c>
      <c r="BZ7" s="601">
        <v>-4.7999999999999996E-3</v>
      </c>
      <c r="CA7" s="601">
        <v>3.0700000000000002E-2</v>
      </c>
      <c r="CB7" s="601">
        <v>5.4000000000000003E-3</v>
      </c>
      <c r="CC7" s="601">
        <v>-4.3E-3</v>
      </c>
      <c r="CD7" s="601">
        <v>1.24E-2</v>
      </c>
      <c r="CE7" s="601">
        <v>3.1E-2</v>
      </c>
      <c r="CF7" s="601">
        <v>2.0400000000000001E-2</v>
      </c>
      <c r="CG7" s="601">
        <v>1.67E-2</v>
      </c>
      <c r="CH7" s="601">
        <v>2.9900000000000003E-2</v>
      </c>
      <c r="CI7" s="601">
        <v>2.9300000000000003E-2</v>
      </c>
      <c r="CJ7" s="601">
        <v>3.2199999999999999E-2</v>
      </c>
      <c r="CK7" s="601">
        <v>2.2000000000000002E-2</v>
      </c>
      <c r="CL7" s="601">
        <v>-1.3299999999999999E-2</v>
      </c>
      <c r="CM7" s="601">
        <v>1.7500000000000002E-2</v>
      </c>
      <c r="CN7" s="601">
        <v>6.5062336999999193E-3</v>
      </c>
      <c r="CO7" s="601">
        <v>-2.7E-2</v>
      </c>
      <c r="CP7" s="601">
        <v>-4.8999999999999998E-3</v>
      </c>
      <c r="CQ7" s="601">
        <v>1.83E-2</v>
      </c>
      <c r="CR7" s="601">
        <v>-9.1999999999999998E-3</v>
      </c>
      <c r="CS7" s="601">
        <v>2.01E-2</v>
      </c>
      <c r="CT7" s="601">
        <v>1.52E-2</v>
      </c>
      <c r="CU7" s="601">
        <v>3.7599999999999995E-2</v>
      </c>
      <c r="CV7" s="289">
        <f>+[1]Planilha1!BB6</f>
        <v>9.8999999999999991E-3</v>
      </c>
      <c r="CW7" s="289">
        <f>+[1]Planilha1!BC6</f>
        <v>-1.9200000000000002E-2</v>
      </c>
      <c r="CX7" s="289">
        <f>+[1]Planilha1!BD6</f>
        <v>0</v>
      </c>
      <c r="CY7" s="289">
        <f>+[1]Planilha1!BE6</f>
        <v>1.093402249999964E-2</v>
      </c>
      <c r="CZ7" s="289">
        <f>+[1]Planilha1!BF6</f>
        <v>1.4999999999999999E-2</v>
      </c>
      <c r="DA7" s="289">
        <f>+[1]Planilha1!BG6</f>
        <v>8.5000000000000006E-3</v>
      </c>
      <c r="DB7" s="289">
        <f>+[1]Planilha1!BH6</f>
        <v>6.0000000000000001E-3</v>
      </c>
      <c r="DC7" s="289">
        <f>+[1]Planilha1!BI6</f>
        <v>1.15E-2</v>
      </c>
      <c r="DD7" s="293"/>
      <c r="DE7" s="293"/>
      <c r="DF7" s="288"/>
      <c r="DG7" s="287">
        <v>1.7999999999999999E-2</v>
      </c>
      <c r="DH7" s="287">
        <v>0.19980000000000001</v>
      </c>
      <c r="DI7" s="287">
        <v>9.8000000000000004E-2</v>
      </c>
      <c r="DJ7" s="287">
        <v>0.104</v>
      </c>
      <c r="DK7" s="287">
        <v>0.26419999999999999</v>
      </c>
      <c r="DL7" s="287">
        <v>7.2707241081080953E-2</v>
      </c>
      <c r="DM7" s="287">
        <v>0.12408561853280009</v>
      </c>
      <c r="DN7" s="287">
        <v>1.2244465621768993E-2</v>
      </c>
      <c r="DO7" s="287">
        <v>3.795541029787379E-2</v>
      </c>
      <c r="DP7" s="287">
        <v>7.5600000000000001E-2</v>
      </c>
      <c r="DQ7" s="287">
        <v>0.10538686930587957</v>
      </c>
      <c r="DR7" s="287">
        <v>-1.7299999999999999E-2</v>
      </c>
      <c r="DS7" s="287">
        <v>0.1132</v>
      </c>
      <c r="DT7" s="287">
        <v>5.45E-2</v>
      </c>
      <c r="DU7" s="286">
        <v>7.6337201872199945E-2</v>
      </c>
      <c r="DV7" s="286">
        <v>5.4049322924622389E-2</v>
      </c>
      <c r="DW7" s="286">
        <v>3.6900000000000002E-2</v>
      </c>
      <c r="DX7" s="286">
        <v>0.10539999999999999</v>
      </c>
      <c r="DY7" s="286">
        <v>7.2244339262070412E-2</v>
      </c>
      <c r="DZ7" s="286">
        <v>-9.0593729380010757E-3</v>
      </c>
      <c r="EA7" s="286">
        <v>6.9428529720650278E-2</v>
      </c>
      <c r="EB7" s="601">
        <v>7.0543718942192024E-2</v>
      </c>
      <c r="EC7" s="601">
        <v>4.4908326166231971E-2</v>
      </c>
      <c r="ED7" s="601">
        <v>9.9766038912527666E-2</v>
      </c>
      <c r="EE7" s="601">
        <v>5.7740343796135907E-2</v>
      </c>
      <c r="EF7" s="601">
        <v>-7.6342216054713363E-3</v>
      </c>
      <c r="EG7" s="601">
        <v>6.4658480106521754E-2</v>
      </c>
      <c r="EH7" s="289">
        <f>+[1]Planilha1!BW6</f>
        <v>1.3401777517529911E-3</v>
      </c>
      <c r="EI7" s="289">
        <f>+[1]Planilha1!BX6</f>
        <v>4.1611611547499816E-2</v>
      </c>
      <c r="EJ7" s="289">
        <f>+[1]Planilha1!BY6</f>
        <v>4.1611611547499816E-2</v>
      </c>
      <c r="EK7" s="289">
        <f>+[1]Planilha1!BZ6</f>
        <v>4.1611611547499816E-2</v>
      </c>
      <c r="EL7" s="289">
        <f>+[1]Planilha1!CA6</f>
        <v>4.1611611547499816E-2</v>
      </c>
      <c r="EM7" s="289">
        <f>+[1]Planilha1!CB6</f>
        <v>4.1611611547499816E-2</v>
      </c>
    </row>
    <row r="8" spans="1:143" ht="15.75">
      <c r="A8" s="275"/>
      <c r="B8" s="285" t="s">
        <v>885</v>
      </c>
      <c r="C8" s="291"/>
      <c r="D8" s="290">
        <v>1.4161274265803936E-2</v>
      </c>
      <c r="E8" s="290">
        <v>1.517828658371978E-2</v>
      </c>
      <c r="F8" s="290">
        <v>2.3242883906448242E-2</v>
      </c>
      <c r="G8" s="290">
        <v>2.2065250773701139E-2</v>
      </c>
      <c r="H8" s="290">
        <v>1.4862584656635036E-2</v>
      </c>
      <c r="I8" s="290">
        <v>1.4360224115155029E-2</v>
      </c>
      <c r="J8" s="290">
        <v>2.5810290435934746E-2</v>
      </c>
      <c r="K8" s="290">
        <v>6.5621853521866669E-2</v>
      </c>
      <c r="L8" s="290">
        <v>5.1372114041574157E-2</v>
      </c>
      <c r="M8" s="290">
        <v>1.426199081762225E-2</v>
      </c>
      <c r="N8" s="290">
        <v>0.01</v>
      </c>
      <c r="O8" s="290">
        <v>1.15E-2</v>
      </c>
      <c r="P8" s="290">
        <v>1.8499999999999999E-2</v>
      </c>
      <c r="Q8" s="290">
        <v>1.6E-2</v>
      </c>
      <c r="R8" s="290">
        <v>1.9400000000000001E-2</v>
      </c>
      <c r="S8" s="290">
        <v>0.02</v>
      </c>
      <c r="T8" s="290">
        <v>1.7899999999999999E-2</v>
      </c>
      <c r="U8" s="290">
        <v>1.3469457789979433E-2</v>
      </c>
      <c r="V8" s="290">
        <v>7.7189382259461592E-3</v>
      </c>
      <c r="W8" s="290">
        <v>1.668820790972636E-2</v>
      </c>
      <c r="X8" s="290">
        <v>1.4368541453025019E-2</v>
      </c>
      <c r="Y8" s="290">
        <v>9.9540016253008012E-4</v>
      </c>
      <c r="Z8" s="290">
        <v>4.4759999999999999E-3</v>
      </c>
      <c r="AA8" s="290">
        <v>1.1345218800648427E-2</v>
      </c>
      <c r="AB8" s="290">
        <v>1.26E-2</v>
      </c>
      <c r="AC8" s="290">
        <v>8.2000000000000007E-3</v>
      </c>
      <c r="AD8" s="290">
        <v>8.8999999999999999E-3</v>
      </c>
      <c r="AE8" s="290">
        <v>1.43E-2</v>
      </c>
      <c r="AF8" s="290">
        <v>1.5149686330916142E-2</v>
      </c>
      <c r="AG8" s="290">
        <v>2.0897660603252811E-2</v>
      </c>
      <c r="AH8" s="290">
        <v>1.0699999999999999E-2</v>
      </c>
      <c r="AI8" s="290">
        <v>1.09E-2</v>
      </c>
      <c r="AJ8" s="290">
        <v>1.24E-2</v>
      </c>
      <c r="AK8" s="290">
        <v>1.32E-2</v>
      </c>
      <c r="AL8" s="290">
        <v>6.6E-3</v>
      </c>
      <c r="AM8" s="290">
        <v>1.0200000000000001E-2</v>
      </c>
      <c r="AN8" s="290">
        <v>2.06E-2</v>
      </c>
      <c r="AO8" s="290">
        <v>0.01</v>
      </c>
      <c r="AP8" s="290">
        <v>5.0000000000000001E-3</v>
      </c>
      <c r="AQ8" s="290">
        <v>2.23E-2</v>
      </c>
      <c r="AR8" s="290">
        <v>2.4400000000000002E-2</v>
      </c>
      <c r="AS8" s="290">
        <v>1.4E-2</v>
      </c>
      <c r="AT8" s="290">
        <v>1.06E-2</v>
      </c>
      <c r="AU8" s="290">
        <v>1.44E-2</v>
      </c>
      <c r="AV8" s="286">
        <v>1.224646292000009E-2</v>
      </c>
      <c r="AW8" s="286">
        <v>1.083105843199994E-2</v>
      </c>
      <c r="AX8" s="286">
        <v>1.416561049100018E-2</v>
      </c>
      <c r="AY8" s="286">
        <v>1.9929689660000083E-2</v>
      </c>
      <c r="AZ8" s="286">
        <v>1.9420462519999848E-2</v>
      </c>
      <c r="BA8" s="286">
        <v>1.1844322910000038E-2</v>
      </c>
      <c r="BB8" s="286">
        <v>6.2101725200001123E-3</v>
      </c>
      <c r="BC8" s="286">
        <v>2.0433183176000069E-2</v>
      </c>
      <c r="BD8" s="286">
        <v>2.1700000000000001E-2</v>
      </c>
      <c r="BE8" s="286">
        <v>1.14E-2</v>
      </c>
      <c r="BF8" s="286">
        <v>1.04E-2</v>
      </c>
      <c r="BG8" s="286">
        <v>1.67E-2</v>
      </c>
      <c r="BH8" s="286">
        <v>1.3475174441242466E-2</v>
      </c>
      <c r="BI8" s="286">
        <v>1.3475174441242466E-2</v>
      </c>
      <c r="BJ8" s="286">
        <v>1.3475174441242466E-2</v>
      </c>
      <c r="BK8" s="286">
        <v>1.3475174441242466E-2</v>
      </c>
      <c r="BL8" s="286">
        <v>2.5999999999999999E-2</v>
      </c>
      <c r="BM8" s="286">
        <v>1.7496396530000125E-2</v>
      </c>
      <c r="BN8" s="286">
        <v>1.043057830399996E-2</v>
      </c>
      <c r="BO8" s="286">
        <v>7.4178940399998172E-3</v>
      </c>
      <c r="BP8" s="286">
        <v>9.6303213499999707E-3</v>
      </c>
      <c r="BQ8" s="286">
        <v>2.1939800180001967E-3</v>
      </c>
      <c r="BR8" s="286">
        <v>5.9114472960000164E-3</v>
      </c>
      <c r="BS8" s="286">
        <v>1.1442611743999853E-2</v>
      </c>
      <c r="BT8" s="286">
        <v>7.0147783519998175E-3</v>
      </c>
      <c r="BU8" s="286">
        <v>1.1239843999999888E-2</v>
      </c>
      <c r="BV8" s="286">
        <v>8.1158400000000963E-3</v>
      </c>
      <c r="BW8" s="286">
        <v>3.8999999999999998E-3</v>
      </c>
      <c r="BX8" s="286">
        <v>1.4999999999999999E-2</v>
      </c>
      <c r="BY8" s="601">
        <v>7.1000000000000004E-3</v>
      </c>
      <c r="BZ8" s="601">
        <v>2.5999999999999999E-3</v>
      </c>
      <c r="CA8" s="601">
        <v>1.7600000000000001E-2</v>
      </c>
      <c r="CB8" s="601">
        <v>5.4000000000000003E-3</v>
      </c>
      <c r="CC8" s="601">
        <v>-4.3E-3</v>
      </c>
      <c r="CD8" s="601">
        <v>1.24E-2</v>
      </c>
      <c r="CE8" s="601">
        <v>3.1E-2</v>
      </c>
      <c r="CF8" s="601">
        <v>2.0400000000000001E-2</v>
      </c>
      <c r="CG8" s="601">
        <v>1.67E-2</v>
      </c>
      <c r="CH8" s="601">
        <v>2.9900000000000003E-2</v>
      </c>
      <c r="CI8" s="601">
        <v>2.9300000000000003E-2</v>
      </c>
      <c r="CJ8" s="601">
        <v>3.2199999999999999E-2</v>
      </c>
      <c r="CK8" s="601">
        <v>2.2000000000000002E-2</v>
      </c>
      <c r="CL8" s="601">
        <v>-1.3299999999999999E-2</v>
      </c>
      <c r="CM8" s="601">
        <v>1.7500000000000002E-2</v>
      </c>
      <c r="CN8" s="601">
        <v>2.0799999999999999E-2</v>
      </c>
      <c r="CO8" s="601">
        <v>7.6E-3</v>
      </c>
      <c r="CP8" s="601">
        <v>6.0999999999999995E-3</v>
      </c>
      <c r="CQ8" s="601">
        <v>1.2E-2</v>
      </c>
      <c r="CR8" s="601">
        <v>1.4154915775999921E-2</v>
      </c>
      <c r="CS8" s="601">
        <v>1.0535156707999871E-2</v>
      </c>
      <c r="CT8" s="601">
        <v>6.2002865600001567E-3</v>
      </c>
      <c r="CU8" s="601">
        <v>1.4771353568000301E-2</v>
      </c>
      <c r="CV8" s="289">
        <f>+[1]Planilha1!BB7</f>
        <v>2.0403397376000054E-2</v>
      </c>
      <c r="CW8" s="289">
        <f>+[1]Planilha1!BC7</f>
        <v>9.327766831999762E-3</v>
      </c>
      <c r="CX8" s="289">
        <f>+[1]Planilha1!BD7</f>
        <v>6.3043262719999493E-3</v>
      </c>
      <c r="CY8" s="289">
        <f>+[1]Planilha1!BE7</f>
        <v>1.093402249999964E-2</v>
      </c>
      <c r="CZ8" s="289">
        <f>+[1]Planilha1!BF7</f>
        <v>1.4999999999999999E-2</v>
      </c>
      <c r="DA8" s="289">
        <f>+[1]Planilha1!BG7</f>
        <v>8.5000000000000006E-3</v>
      </c>
      <c r="DB8" s="289">
        <f>+[1]Planilha1!BH7</f>
        <v>6.0000000000000001E-3</v>
      </c>
      <c r="DC8" s="289">
        <f>+[1]Planilha1!BI7</f>
        <v>1.15E-2</v>
      </c>
      <c r="DD8" s="293"/>
      <c r="DE8" s="293"/>
      <c r="DF8" s="288"/>
      <c r="DG8" s="287">
        <v>1.6546668029734368E-2</v>
      </c>
      <c r="DH8" s="287">
        <v>8.9403212366750084E-2</v>
      </c>
      <c r="DI8" s="287">
        <v>5.9752864998878996E-2</v>
      </c>
      <c r="DJ8" s="287">
        <v>7.6729716276754623E-2</v>
      </c>
      <c r="DK8" s="287">
        <v>0.12530337701962435</v>
      </c>
      <c r="DL8" s="287">
        <v>8.9416291286664951E-2</v>
      </c>
      <c r="DM8" s="287">
        <v>7.5968463247999996E-2</v>
      </c>
      <c r="DN8" s="287">
        <v>5.5776603925651952E-2</v>
      </c>
      <c r="DO8" s="287">
        <v>3.1185160416203526E-2</v>
      </c>
      <c r="DP8" s="287">
        <v>4.4600000000000001E-2</v>
      </c>
      <c r="DQ8" s="287">
        <v>5.8900000000000001E-2</v>
      </c>
      <c r="DR8" s="287">
        <v>4.3099999999999999E-2</v>
      </c>
      <c r="DS8" s="287">
        <v>5.91E-2</v>
      </c>
      <c r="DT8" s="287">
        <v>6.4799999999999996E-2</v>
      </c>
      <c r="DU8" s="286">
        <v>5.7172821503000293E-2</v>
      </c>
      <c r="DV8" s="286">
        <v>5.7908141126000068E-2</v>
      </c>
      <c r="DW8" s="286">
        <v>6.4100000000000004E-2</v>
      </c>
      <c r="DX8" s="286">
        <v>0.1067</v>
      </c>
      <c r="DY8" s="286">
        <v>6.2665012362475903E-2</v>
      </c>
      <c r="DZ8" s="286">
        <v>2.9473499083459087E-2</v>
      </c>
      <c r="EA8" s="286">
        <v>3.0601831439692972E-2</v>
      </c>
      <c r="EB8" s="601">
        <v>4.2901847469440035E-2</v>
      </c>
      <c r="EC8" s="601">
        <v>4.4908326166231971E-2</v>
      </c>
      <c r="ED8" s="601">
        <v>9.9766038912527666E-2</v>
      </c>
      <c r="EE8" s="601">
        <v>5.7740343796135907E-2</v>
      </c>
      <c r="EF8" s="601">
        <v>4.7250271699456059E-2</v>
      </c>
      <c r="EG8" s="601">
        <v>4.6425617126184315E-2</v>
      </c>
      <c r="EH8" s="289">
        <f>+[1]Planilha1!BW7</f>
        <v>4.7746622243991066E-2</v>
      </c>
      <c r="EI8" s="289">
        <f>+[1]Planilha1!BX7</f>
        <v>4.1611611547499816E-2</v>
      </c>
      <c r="EJ8" s="289">
        <f>+[1]Planilha1!BY7</f>
        <v>4.7500000000000001E-2</v>
      </c>
      <c r="EK8" s="289">
        <f>+[1]Planilha1!BZ7</f>
        <v>4.4999999999999998E-2</v>
      </c>
      <c r="EL8" s="289">
        <f>+[1]Planilha1!CA7</f>
        <v>4.4999999999999998E-2</v>
      </c>
      <c r="EM8" s="289">
        <f>+[1]Planilha1!CB7</f>
        <v>4.4999999999999998E-2</v>
      </c>
    </row>
    <row r="9" spans="1:143" ht="15.75">
      <c r="A9" s="275"/>
      <c r="B9" s="285" t="s">
        <v>886</v>
      </c>
      <c r="C9" s="291"/>
      <c r="D9" s="290">
        <v>2.2363559609957839E-2</v>
      </c>
      <c r="E9" s="290">
        <v>2.2363559609957839E-2</v>
      </c>
      <c r="F9" s="290">
        <v>2.2947934561098338E-2</v>
      </c>
      <c r="G9" s="290">
        <v>2.4113689084445111E-2</v>
      </c>
      <c r="H9" s="290">
        <v>2.4113689084445111E-2</v>
      </c>
      <c r="I9" s="290">
        <v>2.2947934561098338E-2</v>
      </c>
      <c r="J9" s="290">
        <v>2.4113689084445111E-2</v>
      </c>
      <c r="K9" s="290">
        <v>2.4113689084445111E-2</v>
      </c>
      <c r="L9" s="290">
        <v>2.6433327247938676E-2</v>
      </c>
      <c r="M9" s="290">
        <v>2.8737344722080671E-2</v>
      </c>
      <c r="N9" s="290">
        <v>2.8737344722080671E-2</v>
      </c>
      <c r="O9" s="290">
        <v>2.6433327247938676E-2</v>
      </c>
      <c r="P9" s="290">
        <v>2.4113689084445111E-2</v>
      </c>
      <c r="Q9" s="290">
        <v>2.3531309725231209E-2</v>
      </c>
      <c r="R9" s="290">
        <v>2.3531309725231209E-2</v>
      </c>
      <c r="S9" s="290">
        <v>2.3531309725231209E-2</v>
      </c>
      <c r="T9" s="290">
        <v>2.3531309725231209E-2</v>
      </c>
      <c r="U9" s="290">
        <v>2.3531309725231209E-2</v>
      </c>
      <c r="V9" s="290">
        <v>2.3531309725231209E-2</v>
      </c>
      <c r="W9" s="290">
        <v>2.3531309725231209E-2</v>
      </c>
      <c r="X9" s="290">
        <v>2.1778180864640895E-2</v>
      </c>
      <c r="Y9" s="290">
        <v>1.9780330250405376E-2</v>
      </c>
      <c r="Z9" s="290">
        <v>1.8244601098569957E-2</v>
      </c>
      <c r="AA9" s="290">
        <v>1.670189171982428E-2</v>
      </c>
      <c r="AB9" s="290">
        <v>1.5868284782783348E-2</v>
      </c>
      <c r="AC9" s="290">
        <v>1.5868284782783348E-2</v>
      </c>
      <c r="AD9" s="290">
        <v>1.5271592434465076E-2</v>
      </c>
      <c r="AE9" s="290">
        <v>1.5271592434465076E-2</v>
      </c>
      <c r="AF9" s="290">
        <v>1.5271592434465076E-2</v>
      </c>
      <c r="AG9" s="290">
        <v>1.527159243446552E-2</v>
      </c>
      <c r="AH9" s="290">
        <v>1.527159243446552E-2</v>
      </c>
      <c r="AI9" s="290">
        <v>1.5271592434465298E-2</v>
      </c>
      <c r="AJ9" s="290">
        <v>1.5625E-2</v>
      </c>
      <c r="AK9" s="290">
        <v>1.5625E-2</v>
      </c>
      <c r="AL9" s="290">
        <v>1.4999999999999999E-2</v>
      </c>
      <c r="AM9" s="290">
        <v>1.4999999999999999E-2</v>
      </c>
      <c r="AN9" s="290">
        <v>1.4673846168659299E-2</v>
      </c>
      <c r="AO9" s="290">
        <v>1.4673846168659299E-2</v>
      </c>
      <c r="AP9" s="290">
        <v>1.4673846168659299E-2</v>
      </c>
      <c r="AQ9" s="290">
        <v>1.4673846168659299E-2</v>
      </c>
      <c r="AR9" s="290">
        <v>1.4673846168659299E-2</v>
      </c>
      <c r="AS9" s="290">
        <v>1.4673846168659299E-2</v>
      </c>
      <c r="AT9" s="290">
        <v>1.4673846168659299E-2</v>
      </c>
      <c r="AU9" s="290">
        <v>1.4673846168659299E-2</v>
      </c>
      <c r="AV9" s="286">
        <v>1.4999999999999999E-2</v>
      </c>
      <c r="AW9" s="286">
        <v>1.375E-2</v>
      </c>
      <c r="AX9" s="286">
        <v>1.375E-2</v>
      </c>
      <c r="AY9" s="286">
        <v>1.375E-2</v>
      </c>
      <c r="AZ9" s="286">
        <v>1.2500000000000001E-2</v>
      </c>
      <c r="BA9" s="286">
        <v>1.2500000000000001E-2</v>
      </c>
      <c r="BB9" s="286">
        <v>1.2500000000000001E-2</v>
      </c>
      <c r="BC9" s="286">
        <v>1.2500000000000001E-2</v>
      </c>
      <c r="BD9" s="286">
        <v>1.2500000000000001E-2</v>
      </c>
      <c r="BE9" s="286">
        <v>1.2500000000000001E-2</v>
      </c>
      <c r="BF9" s="286">
        <v>1.2500000000000001E-2</v>
      </c>
      <c r="BG9" s="295">
        <v>1.2500000000000001E-2</v>
      </c>
      <c r="BH9" s="286">
        <v>1.375E-2</v>
      </c>
      <c r="BI9" s="286">
        <v>1.4999999999999999E-2</v>
      </c>
      <c r="BJ9" s="286">
        <v>1.6250000000000001E-2</v>
      </c>
      <c r="BK9" s="286">
        <v>1.7500000000000002E-2</v>
      </c>
      <c r="BL9" s="294">
        <v>1.8749999999999999E-2</v>
      </c>
      <c r="BM9" s="294">
        <v>1.8749999999999999E-2</v>
      </c>
      <c r="BN9" s="294">
        <v>1.8749999999999999E-2</v>
      </c>
      <c r="BO9" s="294">
        <v>1.8749999999999999E-2</v>
      </c>
      <c r="BP9" s="601">
        <v>1.7812500000000002E-2</v>
      </c>
      <c r="BQ9" s="601">
        <v>1.7500000000000002E-2</v>
      </c>
      <c r="BR9" s="601">
        <v>1.7500000000000002E-2</v>
      </c>
      <c r="BS9" s="601">
        <v>1.7500000000000002E-2</v>
      </c>
      <c r="BT9" s="601">
        <v>1.6875000000000001E-2</v>
      </c>
      <c r="BU9" s="601">
        <v>1.6500000000000001E-2</v>
      </c>
      <c r="BV9" s="601">
        <v>1.6399999999999998E-2</v>
      </c>
      <c r="BW9" s="601">
        <v>1.745E-2</v>
      </c>
      <c r="BX9" s="601">
        <v>1.7575E-2</v>
      </c>
      <c r="BY9" s="601">
        <v>1.5650000000000001E-2</v>
      </c>
      <c r="BZ9" s="601">
        <v>1.4875000000000001E-2</v>
      </c>
      <c r="CA9" s="601">
        <v>1.375E-2</v>
      </c>
      <c r="CB9" s="601">
        <v>1.2749999999999999E-2</v>
      </c>
      <c r="CC9" s="601">
        <v>1.2350000000000002E-2</v>
      </c>
      <c r="CD9" s="601">
        <v>1.2275000000000001E-2</v>
      </c>
      <c r="CE9" s="601">
        <v>1.1375E-2</v>
      </c>
      <c r="CF9" s="601">
        <v>1.0974999999999999E-2</v>
      </c>
      <c r="CG9" s="601">
        <v>1.1525000000000001E-2</v>
      </c>
      <c r="CH9" s="601">
        <v>1.2199999999999999E-2</v>
      </c>
      <c r="CI9" s="601">
        <v>1.3300000000000001E-2</v>
      </c>
      <c r="CJ9" s="601">
        <v>1.5175000000000001E-2</v>
      </c>
      <c r="CK9" s="601">
        <v>1.7049999999999999E-2</v>
      </c>
      <c r="CL9" s="601">
        <v>1.7524999999999999E-2</v>
      </c>
      <c r="CM9" s="601">
        <v>1.8000000000000002E-2</v>
      </c>
      <c r="CN9" s="601">
        <v>1.8425E-2</v>
      </c>
      <c r="CO9" s="601">
        <v>1.8200000000000001E-2</v>
      </c>
      <c r="CP9" s="601">
        <v>1.7500000000000002E-2</v>
      </c>
      <c r="CQ9" s="601">
        <v>1.6375000000000001E-2</v>
      </c>
      <c r="CR9" s="601">
        <v>1.6324999999999999E-2</v>
      </c>
      <c r="CS9" s="601">
        <v>1.6674999999999999E-2</v>
      </c>
      <c r="CT9" s="601">
        <v>1.7274999999999999E-2</v>
      </c>
      <c r="CU9" s="601">
        <v>1.8574999999999998E-2</v>
      </c>
      <c r="CV9" s="289">
        <f>+[1]Planilha1!BB8</f>
        <v>1.9924999999999998E-2</v>
      </c>
      <c r="CW9" s="289">
        <f>+[1]Planilha1!BC8</f>
        <v>2.1625000000000002E-2</v>
      </c>
      <c r="CX9" s="289">
        <f>+[1]Planilha1!BD8</f>
        <v>2.2400000000000003E-2</v>
      </c>
      <c r="CY9" s="289">
        <f>+[1]Planilha1!BE8</f>
        <v>2.2400000000000003E-2</v>
      </c>
      <c r="CZ9" s="289">
        <f>+[1]Planilha1!BF8</f>
        <v>1.7999999999999999E-2</v>
      </c>
      <c r="DA9" s="289">
        <f>+[1]Planilha1!BG8</f>
        <v>1.7999999999999999E-2</v>
      </c>
      <c r="DB9" s="289">
        <f>+[1]Planilha1!BH8</f>
        <v>1.7999999999999999E-2</v>
      </c>
      <c r="DC9" s="289">
        <f>+[1]Planilha1!BI8</f>
        <v>1.7999999999999999E-2</v>
      </c>
      <c r="DD9" s="293"/>
      <c r="DE9" s="293"/>
      <c r="DF9" s="288"/>
      <c r="DG9" s="287">
        <v>6.25E-2</v>
      </c>
      <c r="DH9" s="287">
        <v>6.25E-2</v>
      </c>
      <c r="DI9" s="287">
        <v>6.25E-2</v>
      </c>
      <c r="DJ9" s="287">
        <v>6.25E-2</v>
      </c>
      <c r="DK9" s="287">
        <v>6.25E-2</v>
      </c>
      <c r="DL9" s="287">
        <v>6.25E-2</v>
      </c>
      <c r="DM9" s="287">
        <v>6.25E-2</v>
      </c>
      <c r="DN9" s="287">
        <v>6.25E-2</v>
      </c>
      <c r="DO9" s="287">
        <v>6.25E-2</v>
      </c>
      <c r="DP9" s="287">
        <v>6.25E-2</v>
      </c>
      <c r="DQ9" s="287">
        <v>6.25E-2</v>
      </c>
      <c r="DR9" s="287">
        <v>6.1249999999999999E-2</v>
      </c>
      <c r="DS9" s="287">
        <v>0.06</v>
      </c>
      <c r="DT9" s="287">
        <v>0.06</v>
      </c>
      <c r="DU9" s="286">
        <v>5.6249999999999994E-2</v>
      </c>
      <c r="DV9" s="286">
        <v>0.05</v>
      </c>
      <c r="DW9" s="286">
        <v>0.05</v>
      </c>
      <c r="DX9" s="286">
        <v>6.25E-2</v>
      </c>
      <c r="DY9" s="286">
        <v>7.4999999999999997E-2</v>
      </c>
      <c r="DZ9" s="286">
        <v>7.1250000000000008E-2</v>
      </c>
      <c r="EA9" s="286">
        <v>6.7500000000000004E-2</v>
      </c>
      <c r="EB9" s="601">
        <v>6.1850000000000002E-2</v>
      </c>
      <c r="EC9" s="601">
        <v>4.8750000000000002E-2</v>
      </c>
      <c r="ED9" s="601">
        <v>4.7999999999999994E-2</v>
      </c>
      <c r="EE9" s="601">
        <v>6.7750000000000005E-2</v>
      </c>
      <c r="EF9" s="601">
        <v>7.0500000000000007E-2</v>
      </c>
      <c r="EG9" s="601">
        <v>6.8849999999999995E-2</v>
      </c>
      <c r="EH9" s="289">
        <f>+[1]Planilha1!BW8</f>
        <v>8.635000000000001E-2</v>
      </c>
      <c r="EI9" s="289">
        <f>+[1]Planilha1!BX8</f>
        <v>7.1999999999999995E-2</v>
      </c>
      <c r="EJ9" s="289">
        <f>+[1]Planilha1!BY8</f>
        <v>7.0000000000000007E-2</v>
      </c>
      <c r="EK9" s="289">
        <f>+[1]Planilha1!BZ8</f>
        <v>7.0000000000000007E-2</v>
      </c>
      <c r="EL9" s="289">
        <f>+[1]Planilha1!CA8</f>
        <v>7.0000000000000007E-2</v>
      </c>
      <c r="EM9" s="289">
        <f>+[1]Planilha1!CB8</f>
        <v>7.0000000000000007E-2</v>
      </c>
    </row>
    <row r="10" spans="1:143" ht="15.75">
      <c r="A10" s="275"/>
      <c r="B10" s="285" t="s">
        <v>887</v>
      </c>
      <c r="C10" s="291"/>
      <c r="D10" s="290"/>
      <c r="E10" s="290"/>
      <c r="F10" s="290"/>
      <c r="G10" s="290"/>
      <c r="H10" s="290"/>
      <c r="I10" s="290"/>
      <c r="J10" s="290"/>
      <c r="K10" s="290"/>
      <c r="L10" s="290"/>
      <c r="M10" s="290"/>
      <c r="N10" s="290"/>
      <c r="O10" s="290"/>
      <c r="P10" s="290"/>
      <c r="Q10" s="290"/>
      <c r="R10" s="290"/>
      <c r="S10" s="290"/>
      <c r="T10" s="290"/>
      <c r="U10" s="290"/>
      <c r="V10" s="290"/>
      <c r="W10" s="290"/>
      <c r="X10" s="290"/>
      <c r="Y10" s="290"/>
      <c r="Z10" s="290"/>
      <c r="AA10" s="290"/>
      <c r="AB10" s="290"/>
      <c r="AC10" s="290"/>
      <c r="AD10" s="290"/>
      <c r="AE10" s="290"/>
      <c r="AF10" s="290"/>
      <c r="AG10" s="290"/>
      <c r="AH10" s="290"/>
      <c r="AI10" s="290"/>
      <c r="AJ10" s="290"/>
      <c r="AK10" s="290"/>
      <c r="AL10" s="290"/>
      <c r="AM10" s="290"/>
      <c r="AN10" s="290"/>
      <c r="AO10" s="290"/>
      <c r="AP10" s="290"/>
      <c r="AQ10" s="290"/>
      <c r="AR10" s="290"/>
      <c r="AS10" s="290"/>
      <c r="AT10" s="290"/>
      <c r="AU10" s="290"/>
      <c r="AV10" s="286"/>
      <c r="AW10" s="286"/>
      <c r="AX10" s="286"/>
      <c r="AY10" s="286"/>
      <c r="AZ10" s="286"/>
      <c r="BA10" s="286"/>
      <c r="BB10" s="286"/>
      <c r="BC10" s="286"/>
      <c r="BD10" s="286"/>
      <c r="BE10" s="286"/>
      <c r="BF10" s="286"/>
      <c r="BG10" s="295"/>
      <c r="BH10" s="286"/>
      <c r="BI10" s="286"/>
      <c r="BJ10" s="286"/>
      <c r="BK10" s="286"/>
      <c r="BL10" s="294"/>
      <c r="BM10" s="294"/>
      <c r="BN10" s="294"/>
      <c r="BO10" s="294"/>
      <c r="BP10" s="601">
        <v>1.7475399999999999E-2</v>
      </c>
      <c r="BQ10" s="601">
        <v>1.7522300000000001E-2</v>
      </c>
      <c r="BR10" s="601">
        <v>1.7347999999999999E-2</v>
      </c>
      <c r="BS10" s="601">
        <v>1.9140999999999998E-2</v>
      </c>
      <c r="BT10" s="601">
        <v>2.2499999999999999E-2</v>
      </c>
      <c r="BU10" s="601">
        <v>2.35E-2</v>
      </c>
      <c r="BV10" s="601">
        <v>2.39838E-2</v>
      </c>
      <c r="BW10" s="601">
        <v>2.6196199999999999E-2</v>
      </c>
      <c r="BX10" s="601">
        <v>2.6870600000000001E-2</v>
      </c>
      <c r="BY10" s="601">
        <v>2.5066600000000001E-2</v>
      </c>
      <c r="BZ10" s="601">
        <v>0.02</v>
      </c>
      <c r="CA10" s="601">
        <v>1.9E-2</v>
      </c>
      <c r="CB10" s="601">
        <v>1.7999999999999999E-2</v>
      </c>
      <c r="CC10" s="601">
        <v>1.7999999999999999E-2</v>
      </c>
      <c r="CD10" s="601">
        <v>1.7999999999999999E-2</v>
      </c>
      <c r="CE10" s="601">
        <v>1.7999999999999999E-2</v>
      </c>
      <c r="CF10" s="601">
        <v>1.7999999999999999E-2</v>
      </c>
      <c r="CG10" s="601">
        <v>1.7999999999999999E-2</v>
      </c>
      <c r="CH10" s="601">
        <v>1.7999999999999999E-2</v>
      </c>
      <c r="CI10" s="601">
        <v>1.7999999999999999E-2</v>
      </c>
      <c r="CJ10" s="601">
        <v>5.1998000000000001E-3</v>
      </c>
      <c r="CK10" s="601">
        <v>1.5346800000000001E-2</v>
      </c>
      <c r="CL10" s="601">
        <v>0.03</v>
      </c>
      <c r="CM10" s="601">
        <v>4.49694E-2</v>
      </c>
      <c r="CN10" s="601">
        <v>4.9099999999999998E-2</v>
      </c>
      <c r="CO10" s="601">
        <v>5.3931600000000003E-2</v>
      </c>
      <c r="CP10" s="601">
        <v>5.6296300000000001E-2</v>
      </c>
      <c r="CQ10" s="601">
        <v>5.6440700000000003E-2</v>
      </c>
      <c r="CR10" s="601">
        <v>5.5808900000000002E-2</v>
      </c>
      <c r="CS10" s="601">
        <v>5.5899999999999998E-2</v>
      </c>
      <c r="CT10" s="601">
        <v>5.0900000000000001E-2</v>
      </c>
      <c r="CU10" s="601">
        <v>5.33E-2</v>
      </c>
      <c r="CV10" s="289">
        <f>+[1]Planilha1!BB9</f>
        <v>4.3299999999999998E-2</v>
      </c>
      <c r="CW10" s="289">
        <f>+[1]Planilha1!BC9</f>
        <v>4.3200000000000002E-2</v>
      </c>
      <c r="CX10" s="289">
        <f>+[1]Planilha1!BD9</f>
        <v>4.3200000000000002E-2</v>
      </c>
      <c r="CY10" s="289">
        <f>+[1]Planilha1!BE9</f>
        <v>4.3200000000000002E-2</v>
      </c>
      <c r="CZ10" s="289">
        <f>+[1]Planilha1!BF9</f>
        <v>4.3200000000000002E-2</v>
      </c>
      <c r="DA10" s="289">
        <f>+[1]Planilha1!BG9</f>
        <v>4.3200000000000002E-2</v>
      </c>
      <c r="DB10" s="289">
        <f>+[1]Planilha1!BH9</f>
        <v>4.3200000000000002E-2</v>
      </c>
      <c r="DC10" s="289">
        <f>+[1]Planilha1!BI9</f>
        <v>4.3200000000000002E-2</v>
      </c>
      <c r="DD10" s="293"/>
      <c r="DE10" s="293"/>
      <c r="DF10" s="288"/>
      <c r="DG10" s="287"/>
      <c r="DH10" s="287"/>
      <c r="DI10" s="287"/>
      <c r="DJ10" s="287"/>
      <c r="DK10" s="287"/>
      <c r="DL10" s="287"/>
      <c r="DM10" s="287"/>
      <c r="DN10" s="287"/>
      <c r="DO10" s="287"/>
      <c r="DP10" s="287"/>
      <c r="DQ10" s="287"/>
      <c r="DR10" s="287"/>
      <c r="DS10" s="287"/>
      <c r="DT10" s="287"/>
      <c r="DU10" s="286"/>
      <c r="DV10" s="286"/>
      <c r="DW10" s="286">
        <v>0</v>
      </c>
      <c r="DX10" s="286">
        <v>9.9633516372422074E-3</v>
      </c>
      <c r="DY10" s="286">
        <v>0.01</v>
      </c>
      <c r="DZ10" s="286">
        <v>1.7871674999999997E-2</v>
      </c>
      <c r="EA10" s="286">
        <v>2.4045E-2</v>
      </c>
      <c r="EB10" s="601">
        <v>2.2734300000000002E-2</v>
      </c>
      <c r="EC10" s="601">
        <v>1.7999999999999999E-2</v>
      </c>
      <c r="ED10" s="601">
        <v>1.7999999999999999E-2</v>
      </c>
      <c r="EE10" s="601">
        <v>2.3878999999999997E-2</v>
      </c>
      <c r="EF10" s="601">
        <v>5.3942150000000001E-2</v>
      </c>
      <c r="EG10" s="601">
        <v>5.3977225000000004E-2</v>
      </c>
      <c r="EH10" s="289">
        <f>+[1]Planilha1!BW9</f>
        <v>4.3225E-2</v>
      </c>
      <c r="EI10" s="289">
        <f>+[1]Planilha1!BX9</f>
        <v>4.3200000000000002E-2</v>
      </c>
      <c r="EJ10" s="289">
        <f>+[1]Planilha1!BY9</f>
        <v>4.3200000000000002E-2</v>
      </c>
      <c r="EK10" s="289">
        <f>+[1]Planilha1!BZ9</f>
        <v>4.3200000000000002E-2</v>
      </c>
      <c r="EL10" s="289">
        <f>+[1]Planilha1!CA9</f>
        <v>4.3200000000000002E-2</v>
      </c>
      <c r="EM10" s="289">
        <f>+[1]Planilha1!CB9</f>
        <v>4.3200000000000002E-2</v>
      </c>
    </row>
    <row r="11" spans="1:143" ht="15.75">
      <c r="A11" s="275"/>
      <c r="B11" s="285" t="s">
        <v>888</v>
      </c>
      <c r="C11" s="291"/>
      <c r="D11" s="290"/>
      <c r="E11" s="290"/>
      <c r="F11" s="290"/>
      <c r="G11" s="290"/>
      <c r="H11" s="290"/>
      <c r="I11" s="290"/>
      <c r="J11" s="290"/>
      <c r="K11" s="290"/>
      <c r="L11" s="290"/>
      <c r="M11" s="290"/>
      <c r="N11" s="290"/>
      <c r="O11" s="290"/>
      <c r="P11" s="290"/>
      <c r="Q11" s="290"/>
      <c r="R11" s="290"/>
      <c r="S11" s="290"/>
      <c r="T11" s="290"/>
      <c r="U11" s="290"/>
      <c r="V11" s="290"/>
      <c r="W11" s="290"/>
      <c r="X11" s="290"/>
      <c r="Y11" s="290"/>
      <c r="Z11" s="290"/>
      <c r="AA11" s="290"/>
      <c r="AB11" s="290"/>
      <c r="AC11" s="290"/>
      <c r="AD11" s="290"/>
      <c r="AE11" s="290"/>
      <c r="AF11" s="290"/>
      <c r="AG11" s="290"/>
      <c r="AH11" s="290"/>
      <c r="AI11" s="290"/>
      <c r="AJ11" s="290"/>
      <c r="AK11" s="290"/>
      <c r="AL11" s="290"/>
      <c r="AM11" s="290"/>
      <c r="AN11" s="290"/>
      <c r="AO11" s="290"/>
      <c r="AP11" s="290"/>
      <c r="AQ11" s="290"/>
      <c r="AR11" s="290"/>
      <c r="AS11" s="290"/>
      <c r="AT11" s="290"/>
      <c r="AU11" s="290"/>
      <c r="AV11" s="286"/>
      <c r="AW11" s="286"/>
      <c r="AX11" s="286"/>
      <c r="AY11" s="286"/>
      <c r="AZ11" s="286"/>
      <c r="BA11" s="286"/>
      <c r="BB11" s="286"/>
      <c r="BC11" s="286"/>
      <c r="BD11" s="286"/>
      <c r="BE11" s="286"/>
      <c r="BF11" s="286"/>
      <c r="BG11" s="295"/>
      <c r="BH11" s="286"/>
      <c r="BI11" s="286"/>
      <c r="BJ11" s="286"/>
      <c r="BK11" s="286"/>
      <c r="BL11" s="294"/>
      <c r="BM11" s="294"/>
      <c r="BN11" s="294"/>
      <c r="BO11" s="294"/>
      <c r="BP11" s="601">
        <v>3.8999999999999998E-3</v>
      </c>
      <c r="BQ11" s="601">
        <v>8.8000000000000005E-3</v>
      </c>
      <c r="BR11" s="601">
        <v>1.6299999999999999E-2</v>
      </c>
      <c r="BS11" s="601">
        <v>2.3800000000000002E-2</v>
      </c>
      <c r="BT11" s="601">
        <v>1.4500000000000001E-2</v>
      </c>
      <c r="BU11" s="601">
        <v>1.0500000000000001E-2</v>
      </c>
      <c r="BV11" s="601">
        <v>1.54E-2</v>
      </c>
      <c r="BW11" s="601">
        <v>1.2200000000000001E-2</v>
      </c>
      <c r="BX11" s="601">
        <v>1.1900000000000001E-2</v>
      </c>
      <c r="BY11" s="601">
        <v>1.49E-2</v>
      </c>
      <c r="BZ11" s="601">
        <v>1.3299999999999999E-2</v>
      </c>
      <c r="CA11" s="601">
        <v>1.6400000000000001E-2</v>
      </c>
      <c r="CB11" s="601">
        <v>-1.2999999999999999E-3</v>
      </c>
      <c r="CC11" s="601">
        <v>-0.10730000000000001</v>
      </c>
      <c r="CD11" s="601">
        <v>-3.6999999999999998E-2</v>
      </c>
      <c r="CE11" s="601">
        <v>-9.2999999999999992E-3</v>
      </c>
      <c r="CF11" s="601">
        <v>1.29E-2</v>
      </c>
      <c r="CG11" s="601">
        <v>0.1241</v>
      </c>
      <c r="CH11" s="601">
        <v>4.4299999999999999E-2</v>
      </c>
      <c r="CI11" s="601">
        <v>2.1399999999999999E-2</v>
      </c>
      <c r="CJ11" s="601">
        <v>2.4299999999999999E-2</v>
      </c>
      <c r="CK11" s="601">
        <v>3.6900000000000002E-2</v>
      </c>
      <c r="CL11" s="601">
        <v>3.5799999999999998E-2</v>
      </c>
      <c r="CM11" s="601">
        <v>1.9099999999999999E-2</v>
      </c>
      <c r="CN11" s="601">
        <v>4.4400000000000002E-2</v>
      </c>
      <c r="CO11" s="601">
        <v>3.85E-2</v>
      </c>
      <c r="CP11" s="601">
        <v>2.35E-2</v>
      </c>
      <c r="CQ11" s="601">
        <v>2.3800000000000002E-2</v>
      </c>
      <c r="CR11" s="601">
        <v>2.5600000000000001E-2</v>
      </c>
      <c r="CS11" s="601">
        <v>3.3399999999999999E-2</v>
      </c>
      <c r="CT11" s="601">
        <v>4.0500000000000001E-2</v>
      </c>
      <c r="CU11" s="601">
        <v>3.61E-2</v>
      </c>
      <c r="CV11" s="289">
        <f>+[1]Planilha1!BB10</f>
        <v>2.8500000000000001E-2</v>
      </c>
      <c r="CW11" s="289">
        <f>+[1]Planilha1!BC10</f>
        <v>2.5000000000000001E-2</v>
      </c>
      <c r="CX11" s="289">
        <f>+[1]Planilha1!BD10</f>
        <v>2.1999999999999999E-2</v>
      </c>
      <c r="CY11" s="289">
        <f>+[1]Planilha1!BE10</f>
        <v>0.02</v>
      </c>
      <c r="CZ11" s="289">
        <f>+[1]Planilha1!BF10</f>
        <v>1.7999999999999999E-2</v>
      </c>
      <c r="DA11" s="289">
        <f>+[1]Planilha1!BG10</f>
        <v>1.7999999999999999E-2</v>
      </c>
      <c r="DB11" s="289">
        <f>+[1]Planilha1!BH10</f>
        <v>1.7999999999999999E-2</v>
      </c>
      <c r="DC11" s="289">
        <f>+[1]Planilha1!BI10</f>
        <v>1.7999999999999999E-2</v>
      </c>
      <c r="DD11" s="293"/>
      <c r="DE11" s="293"/>
      <c r="DF11" s="288"/>
      <c r="DG11" s="287"/>
      <c r="DH11" s="287"/>
      <c r="DI11" s="287"/>
      <c r="DJ11" s="287"/>
      <c r="DK11" s="287"/>
      <c r="DL11" s="287"/>
      <c r="DM11" s="287"/>
      <c r="DN11" s="287"/>
      <c r="DO11" s="287"/>
      <c r="DP11" s="287"/>
      <c r="DQ11" s="287"/>
      <c r="DR11" s="287"/>
      <c r="DS11" s="287"/>
      <c r="DT11" s="287"/>
      <c r="DU11" s="286"/>
      <c r="DV11" s="286"/>
      <c r="DW11" s="286">
        <v>0</v>
      </c>
      <c r="DX11" s="286">
        <v>-3.8399999999999997E-2</v>
      </c>
      <c r="DY11" s="286">
        <v>-3.2600000000000004E-2</v>
      </c>
      <c r="DZ11" s="286">
        <v>1.32E-2</v>
      </c>
      <c r="EA11" s="286">
        <v>1.3150000000000002E-2</v>
      </c>
      <c r="EB11" s="601">
        <v>1.4124999999999999E-2</v>
      </c>
      <c r="EC11" s="601">
        <v>-3.8725000000000002E-2</v>
      </c>
      <c r="ED11" s="601">
        <v>5.0675000000000005E-2</v>
      </c>
      <c r="EE11" s="601">
        <v>2.9025000000000002E-2</v>
      </c>
      <c r="EF11" s="601">
        <v>3.2549999999999996E-2</v>
      </c>
      <c r="EG11" s="601">
        <v>3.39E-2</v>
      </c>
      <c r="EH11" s="289">
        <f>+[1]Planilha1!BW10</f>
        <v>2.3875000000000004E-2</v>
      </c>
      <c r="EI11" s="289">
        <f>+[1]Planilha1!BX10</f>
        <v>1.7999999999999999E-2</v>
      </c>
      <c r="EJ11" s="289">
        <f>+[1]Planilha1!BY10</f>
        <v>1.7500000000000002E-2</v>
      </c>
      <c r="EK11" s="289">
        <f>+[1]Planilha1!BZ10</f>
        <v>0.02</v>
      </c>
      <c r="EL11" s="289">
        <f>+[1]Planilha1!CA10</f>
        <v>2.2499999999999999E-2</v>
      </c>
      <c r="EM11" s="289">
        <f>+[1]Planilha1!CB10</f>
        <v>2.2499999999999999E-2</v>
      </c>
    </row>
    <row r="12" spans="1:143" ht="15.75">
      <c r="A12" s="275"/>
      <c r="B12" s="285" t="s">
        <v>889</v>
      </c>
      <c r="C12" s="291"/>
      <c r="D12" s="290">
        <v>1.264367816091938E-2</v>
      </c>
      <c r="E12" s="290">
        <v>1.0215664018161208E-2</v>
      </c>
      <c r="F12" s="290">
        <v>1.6853932584270925E-3</v>
      </c>
      <c r="G12" s="290">
        <v>-8.9736399326978411E-3</v>
      </c>
      <c r="H12" s="290">
        <v>1.1884550084889867E-2</v>
      </c>
      <c r="I12" s="290">
        <v>6.152125279641929E-3</v>
      </c>
      <c r="J12" s="290">
        <v>6.1145080600333301E-3</v>
      </c>
      <c r="K12" s="290">
        <v>-5.5248618784531356E-4</v>
      </c>
      <c r="L12" s="290">
        <v>1.8242122719734466E-2</v>
      </c>
      <c r="M12" s="290">
        <v>-2.7144408251900121E-3</v>
      </c>
      <c r="N12" s="290">
        <v>8.165487207403288E-3</v>
      </c>
      <c r="O12" s="290">
        <v>-4.8596112311013462E-3</v>
      </c>
      <c r="P12" s="290">
        <v>1.6820401519262118E-2</v>
      </c>
      <c r="Q12" s="290">
        <v>1.2273212379935838E-2</v>
      </c>
      <c r="R12" s="290">
        <v>1.0542962572483994E-3</v>
      </c>
      <c r="S12" s="290">
        <v>2.1063717746181432E-3</v>
      </c>
      <c r="T12" s="290">
        <v>1.5764582238570579E-2</v>
      </c>
      <c r="U12" s="290">
        <v>6.2079668908432417E-3</v>
      </c>
      <c r="V12" s="290">
        <v>2.2107969151671014E-2</v>
      </c>
      <c r="W12" s="290">
        <v>-1.0060362173038184E-2</v>
      </c>
      <c r="X12" s="290">
        <v>1.5243902439024293E-2</v>
      </c>
      <c r="Y12" s="290">
        <v>1.5515515515515554E-2</v>
      </c>
      <c r="Z12" s="290">
        <v>0</v>
      </c>
      <c r="AA12" s="290">
        <v>-5.4213898472152966E-3</v>
      </c>
      <c r="AB12" s="290">
        <v>1.7601585728443947E-2</v>
      </c>
      <c r="AC12" s="290">
        <v>1.46090615138883E-2</v>
      </c>
      <c r="AD12" s="290">
        <v>6.6234065427739353E-4</v>
      </c>
      <c r="AE12" s="290">
        <v>7.4152237517386421E-3</v>
      </c>
      <c r="AF12" s="290">
        <v>7.6577853363566399E-3</v>
      </c>
      <c r="AG12" s="290">
        <v>1.317097396851441E-2</v>
      </c>
      <c r="AH12" s="290">
        <v>1.225E-2</v>
      </c>
      <c r="AI12" s="290">
        <v>2.5000000000000001E-4</v>
      </c>
      <c r="AJ12" s="290">
        <v>-1E-3</v>
      </c>
      <c r="AK12" s="290">
        <v>3.3E-3</v>
      </c>
      <c r="AL12" s="290">
        <v>1.2699999999999999E-2</v>
      </c>
      <c r="AM12" s="290">
        <v>3.3E-3</v>
      </c>
      <c r="AN12" s="290">
        <v>8.9999999999999993E-3</v>
      </c>
      <c r="AO12" s="290">
        <v>-1.4999999999999999E-2</v>
      </c>
      <c r="AP12" s="290">
        <v>2.4906793143211203E-3</v>
      </c>
      <c r="AQ12" s="290">
        <v>2.4906793143211203E-3</v>
      </c>
      <c r="AR12" s="290">
        <v>2.5000000000000001E-3</v>
      </c>
      <c r="AS12" s="290">
        <v>2.5000000000000001E-3</v>
      </c>
      <c r="AT12" s="290">
        <v>2.5000000000000001E-3</v>
      </c>
      <c r="AU12" s="290">
        <v>2.7000000000000001E-3</v>
      </c>
      <c r="AV12" s="286">
        <v>5.0000000000000001E-3</v>
      </c>
      <c r="AW12" s="286">
        <v>5.0000000000000001E-3</v>
      </c>
      <c r="AX12" s="286">
        <v>5.0000000000000001E-3</v>
      </c>
      <c r="AY12" s="286">
        <v>5.0000000000000001E-3</v>
      </c>
      <c r="AZ12" s="286">
        <v>5.0000000000000001E-3</v>
      </c>
      <c r="BA12" s="286">
        <v>5.0000000000000001E-3</v>
      </c>
      <c r="BB12" s="286">
        <v>5.0000000000000001E-3</v>
      </c>
      <c r="BC12" s="286">
        <v>5.0000000000000001E-3</v>
      </c>
      <c r="BD12" s="286">
        <v>5.0000000000000001E-3</v>
      </c>
      <c r="BE12" s="286">
        <v>5.0000000000000001E-3</v>
      </c>
      <c r="BF12" s="286">
        <v>5.0000000000000001E-3</v>
      </c>
      <c r="BG12" s="286">
        <v>5.0000000000000001E-3</v>
      </c>
      <c r="BH12" s="286">
        <v>5.0000000000000001E-3</v>
      </c>
      <c r="BI12" s="286">
        <v>5.0000000000000001E-3</v>
      </c>
      <c r="BJ12" s="286">
        <v>5.0000000000000001E-3</v>
      </c>
      <c r="BK12" s="286">
        <v>5.0000000000000001E-3</v>
      </c>
      <c r="BL12" s="286">
        <v>5.0000000000000001E-3</v>
      </c>
      <c r="BM12" s="286">
        <v>5.0000000000000001E-3</v>
      </c>
      <c r="BN12" s="286">
        <v>5.0000000000000001E-3</v>
      </c>
      <c r="BO12" s="286">
        <v>5.0000000000000001E-3</v>
      </c>
      <c r="BP12" s="286">
        <v>5.0000000000000001E-3</v>
      </c>
      <c r="BQ12" s="286">
        <v>5.0000000000000001E-3</v>
      </c>
      <c r="BR12" s="286">
        <v>5.0000000000000001E-3</v>
      </c>
      <c r="BS12" s="286">
        <v>5.0000000000000001E-3</v>
      </c>
      <c r="BT12" s="286">
        <v>5.0000000000000001E-3</v>
      </c>
      <c r="BU12" s="286">
        <v>5.0000000000000001E-3</v>
      </c>
      <c r="BV12" s="286">
        <v>5.0000000000000001E-3</v>
      </c>
      <c r="BW12" s="286">
        <v>5.0000000000000001E-3</v>
      </c>
      <c r="BX12" s="286">
        <v>5.0000000000000001E-3</v>
      </c>
      <c r="BY12" s="601">
        <v>5.0000000000000001E-3</v>
      </c>
      <c r="BZ12" s="601">
        <v>5.0000000000000001E-3</v>
      </c>
      <c r="CA12" s="601">
        <v>5.0000000000000001E-3</v>
      </c>
      <c r="CB12" s="601">
        <v>5.0000000000000001E-3</v>
      </c>
      <c r="CC12" s="601">
        <v>5.0000000000000001E-3</v>
      </c>
      <c r="CD12" s="601">
        <v>5.0000000000000001E-3</v>
      </c>
      <c r="CE12" s="601">
        <v>5.0000000000000001E-3</v>
      </c>
      <c r="CF12" s="601">
        <v>5.0000000000000001E-3</v>
      </c>
      <c r="CG12" s="601">
        <v>5.0000000000000001E-3</v>
      </c>
      <c r="CH12" s="601">
        <v>5.0000000000000001E-3</v>
      </c>
      <c r="CI12" s="601">
        <v>5.0000000000000001E-3</v>
      </c>
      <c r="CJ12" s="601">
        <v>5.0000000000000001E-3</v>
      </c>
      <c r="CK12" s="601">
        <v>5.0000000000000001E-3</v>
      </c>
      <c r="CL12" s="601">
        <v>5.0000000000000001E-3</v>
      </c>
      <c r="CM12" s="601">
        <v>5.0000000000000001E-3</v>
      </c>
      <c r="CN12" s="601">
        <v>4.9629315732038215E-3</v>
      </c>
      <c r="CO12" s="601">
        <v>4.9629315732038215E-3</v>
      </c>
      <c r="CP12" s="601">
        <v>4.9629315732038215E-3</v>
      </c>
      <c r="CQ12" s="601">
        <v>4.9629315732038215E-3</v>
      </c>
      <c r="CR12" s="601">
        <v>4.9629315732038215E-3</v>
      </c>
      <c r="CS12" s="601">
        <v>4.9629315732038215E-3</v>
      </c>
      <c r="CT12" s="601">
        <v>4.9629315732038215E-3</v>
      </c>
      <c r="CU12" s="601">
        <v>4.9629315732038215E-3</v>
      </c>
      <c r="CV12" s="289">
        <f>+[1]Planilha1!BB11</f>
        <v>4.9629315732038215E-3</v>
      </c>
      <c r="CW12" s="289">
        <f>+[1]Planilha1!BC11</f>
        <v>4.9629315732038215E-3</v>
      </c>
      <c r="CX12" s="289">
        <f>+[1]Planilha1!BD11</f>
        <v>4.9629315732038215E-3</v>
      </c>
      <c r="CY12" s="289">
        <f>+[1]Planilha1!BE11</f>
        <v>4.9629315732038215E-3</v>
      </c>
      <c r="CZ12" s="289">
        <f>+[1]Planilha1!BF11</f>
        <v>4.9629315732038215E-3</v>
      </c>
      <c r="DA12" s="289">
        <f>+[1]Planilha1!BG11</f>
        <v>4.9629315732038215E-3</v>
      </c>
      <c r="DB12" s="289">
        <f>+[1]Planilha1!BH11</f>
        <v>4.9629315732038215E-3</v>
      </c>
      <c r="DC12" s="289">
        <f>+[1]Planilha1!BI11</f>
        <v>4.9629315732038215E-3</v>
      </c>
      <c r="DD12" s="293"/>
      <c r="DE12" s="293"/>
      <c r="DF12" s="288"/>
      <c r="DG12" s="287">
        <v>1.4999999999999999E-2</v>
      </c>
      <c r="DH12" s="287">
        <v>1.9E-2</v>
      </c>
      <c r="DI12" s="287">
        <v>0.02</v>
      </c>
      <c r="DJ12" s="287">
        <v>1.95E-2</v>
      </c>
      <c r="DK12" s="287">
        <v>0.02</v>
      </c>
      <c r="DL12" s="287">
        <v>1.8794914317302069E-2</v>
      </c>
      <c r="DM12" s="287">
        <v>3.255561584373301E-2</v>
      </c>
      <c r="DN12" s="287">
        <v>3.4156594850236477E-2</v>
      </c>
      <c r="DO12" s="287">
        <v>2.5406504065040636E-2</v>
      </c>
      <c r="DP12" s="287">
        <v>4.0812685827551931E-2</v>
      </c>
      <c r="DQ12" s="287">
        <v>3.3328759304871051E-2</v>
      </c>
      <c r="DR12" s="287">
        <v>1.83E-2</v>
      </c>
      <c r="DS12" s="287">
        <v>-1.0182523260728882E-3</v>
      </c>
      <c r="DT12" s="287">
        <v>1.0239081367782621E-2</v>
      </c>
      <c r="DU12" s="286">
        <v>0.02</v>
      </c>
      <c r="DV12" s="286">
        <v>0.02</v>
      </c>
      <c r="DW12" s="286">
        <v>0.02</v>
      </c>
      <c r="DX12" s="286">
        <v>0.02</v>
      </c>
      <c r="DY12" s="286">
        <v>0.02</v>
      </c>
      <c r="DZ12" s="286">
        <v>0.02</v>
      </c>
      <c r="EA12" s="286">
        <v>0.02</v>
      </c>
      <c r="EB12" s="601">
        <v>0.02</v>
      </c>
      <c r="EC12" s="601">
        <v>0.02</v>
      </c>
      <c r="ED12" s="601">
        <v>0.02</v>
      </c>
      <c r="EE12" s="601">
        <v>0.02</v>
      </c>
      <c r="EF12" s="601">
        <v>2.5000000000000001E-2</v>
      </c>
      <c r="EG12" s="601">
        <v>2.5000000000000001E-2</v>
      </c>
      <c r="EH12" s="289">
        <f>+[1]Planilha1!BW11</f>
        <v>2.5000000000000001E-2</v>
      </c>
      <c r="EI12" s="289">
        <f>+[1]Planilha1!BX11</f>
        <v>2.5000000000000001E-2</v>
      </c>
      <c r="EJ12" s="289">
        <f>+[1]Planilha1!BY11</f>
        <v>2.5000000000000001E-2</v>
      </c>
      <c r="EK12" s="289">
        <f>+[1]Planilha1!BZ11</f>
        <v>2.5000000000000001E-2</v>
      </c>
      <c r="EL12" s="289">
        <f>+[1]Planilha1!CA11</f>
        <v>2.5000000000000001E-2</v>
      </c>
      <c r="EM12" s="289">
        <f>+[1]Planilha1!CB11</f>
        <v>2.5000000000000001E-2</v>
      </c>
    </row>
    <row r="13" spans="1:143" s="302" customFormat="1">
      <c r="EF13" s="1634"/>
      <c r="EG13" s="1634"/>
    </row>
    <row r="14" spans="1:143" s="1634" customFormat="1">
      <c r="A14" s="1631"/>
      <c r="B14" s="1632" t="s">
        <v>890</v>
      </c>
      <c r="C14" s="1632"/>
      <c r="D14" s="1631"/>
      <c r="E14" s="1631"/>
      <c r="F14" s="1631"/>
      <c r="G14" s="1631"/>
      <c r="H14" s="1631"/>
      <c r="I14" s="1631"/>
      <c r="J14" s="1631"/>
      <c r="K14" s="1631"/>
      <c r="L14" s="1631"/>
      <c r="M14" s="1631"/>
      <c r="N14" s="1631"/>
      <c r="O14" s="1631"/>
      <c r="P14" s="1631"/>
      <c r="Q14" s="1631"/>
      <c r="R14" s="1631"/>
      <c r="S14" s="1631"/>
      <c r="T14" s="1631"/>
      <c r="U14" s="1631"/>
      <c r="V14" s="1631"/>
      <c r="W14" s="1631"/>
      <c r="X14" s="1631"/>
      <c r="Y14" s="1631"/>
      <c r="Z14" s="1631"/>
      <c r="AA14" s="1631"/>
      <c r="AB14" s="1631"/>
      <c r="AC14" s="1631"/>
      <c r="AD14" s="1631"/>
      <c r="AE14" s="1631"/>
      <c r="AF14" s="1631"/>
      <c r="AG14" s="1631"/>
      <c r="AH14" s="1631"/>
      <c r="AI14" s="1631"/>
      <c r="AJ14" s="1631"/>
      <c r="AK14" s="1631"/>
      <c r="AL14" s="1631"/>
      <c r="AM14" s="1631"/>
      <c r="AN14" s="1631"/>
      <c r="AO14" s="1631"/>
      <c r="AP14" s="1631"/>
      <c r="AQ14" s="1631"/>
      <c r="AR14" s="1631"/>
      <c r="AS14" s="1631"/>
      <c r="AT14" s="1631"/>
      <c r="AU14" s="1631"/>
      <c r="AV14" s="1631"/>
      <c r="AW14" s="1631"/>
      <c r="AX14" s="1631"/>
      <c r="AY14" s="1631"/>
      <c r="AZ14" s="1631"/>
      <c r="BA14" s="1631"/>
      <c r="BB14" s="1631"/>
      <c r="BC14" s="1631"/>
      <c r="BD14" s="1631"/>
      <c r="BE14" s="1631"/>
      <c r="BF14" s="1631"/>
      <c r="BG14" s="1631"/>
      <c r="BH14" s="1631"/>
      <c r="BI14" s="1631"/>
      <c r="BJ14" s="1631"/>
      <c r="BK14" s="1631"/>
      <c r="BL14" s="1631"/>
      <c r="BM14" s="1631"/>
      <c r="BN14" s="1631"/>
      <c r="BO14" s="1631"/>
      <c r="BP14" s="1633">
        <f t="shared" ref="BP14:CQ14" si="2">+(1+BP8)*(1+BO8)*(1+BN8)*(1+BM8)-1</f>
        <v>4.5710348848857718E-2</v>
      </c>
      <c r="BQ14" s="1633">
        <f t="shared" si="2"/>
        <v>2.9983614716367679E-2</v>
      </c>
      <c r="BR14" s="1633">
        <f t="shared" si="2"/>
        <v>2.5377033135266513E-2</v>
      </c>
      <c r="BS14" s="1633">
        <f t="shared" si="2"/>
        <v>2.9473499083459087E-2</v>
      </c>
      <c r="BT14" s="1633">
        <f t="shared" si="2"/>
        <v>2.6806550453633449E-2</v>
      </c>
      <c r="BU14" s="1633">
        <f t="shared" si="2"/>
        <v>3.6074568997372047E-2</v>
      </c>
      <c r="BV14" s="1633">
        <f t="shared" si="2"/>
        <v>3.8345062316478273E-2</v>
      </c>
      <c r="BW14" s="1633">
        <f t="shared" si="2"/>
        <v>3.060183143969275E-2</v>
      </c>
      <c r="BX14" s="1633">
        <f t="shared" si="2"/>
        <v>3.8774088919715677E-2</v>
      </c>
      <c r="BY14" s="1633">
        <f t="shared" si="2"/>
        <v>3.4521524402123749E-2</v>
      </c>
      <c r="BZ14" s="1633">
        <f t="shared" si="2"/>
        <v>2.8861207423909851E-2</v>
      </c>
      <c r="CA14" s="1633">
        <f t="shared" si="2"/>
        <v>4.2901847469439813E-2</v>
      </c>
      <c r="CB14" s="1633">
        <f t="shared" si="2"/>
        <v>3.3037948222438551E-2</v>
      </c>
      <c r="CC14" s="1633">
        <f t="shared" si="2"/>
        <v>2.1344340229452863E-2</v>
      </c>
      <c r="CD14" s="1633">
        <f t="shared" si="2"/>
        <v>3.1327558396467392E-2</v>
      </c>
      <c r="CE14" s="1633">
        <f t="shared" si="2"/>
        <v>4.4908326166231971E-2</v>
      </c>
      <c r="CF14" s="1633">
        <f t="shared" si="2"/>
        <v>6.0497768072431901E-2</v>
      </c>
      <c r="CG14" s="1633">
        <f t="shared" si="2"/>
        <v>8.2864397709391691E-2</v>
      </c>
      <c r="CH14" s="1633">
        <f t="shared" si="2"/>
        <v>0.10158242117829186</v>
      </c>
      <c r="CI14" s="1633">
        <f t="shared" si="2"/>
        <v>9.9766038912527444E-2</v>
      </c>
      <c r="CJ14" s="1633">
        <f t="shared" si="2"/>
        <v>0.11248383512888194</v>
      </c>
      <c r="CK14" s="1633">
        <f t="shared" si="2"/>
        <v>0.11828315088198815</v>
      </c>
      <c r="CL14" s="1633">
        <f t="shared" si="2"/>
        <v>7.1375847145604077E-2</v>
      </c>
      <c r="CM14" s="1633">
        <f t="shared" si="2"/>
        <v>5.909348534990011E-2</v>
      </c>
      <c r="CN14" s="1633">
        <f t="shared" si="2"/>
        <v>4.7396463713599957E-2</v>
      </c>
      <c r="CO14" s="1633">
        <f t="shared" si="2"/>
        <v>3.2638627042880008E-2</v>
      </c>
      <c r="CP14" s="1633">
        <f t="shared" si="2"/>
        <v>5.2941849263040019E-2</v>
      </c>
      <c r="CQ14" s="1633">
        <f t="shared" si="2"/>
        <v>4.7250271699456059E-2</v>
      </c>
      <c r="CR14" s="1633">
        <f t="shared" ref="CR14:CY14" si="3">+(1+CR8)*(1+CQ8)*(1+CP8)*(1+CO8)-1</f>
        <v>4.0433004596154731E-2</v>
      </c>
      <c r="CS14" s="1633">
        <f t="shared" si="3"/>
        <v>4.3463804430081687E-2</v>
      </c>
      <c r="CT14" s="1633">
        <f t="shared" si="3"/>
        <v>4.3567815358847239E-2</v>
      </c>
      <c r="CU14" s="1633">
        <f t="shared" si="3"/>
        <v>4.6425617126184315E-2</v>
      </c>
      <c r="CV14" s="1633">
        <f t="shared" si="3"/>
        <v>5.2872927209357101E-2</v>
      </c>
      <c r="CW14" s="1633">
        <f t="shared" si="3"/>
        <v>5.1614952061645791E-2</v>
      </c>
      <c r="CX14" s="1633">
        <f t="shared" si="3"/>
        <v>5.1723687586976652E-2</v>
      </c>
      <c r="CY14" s="1633">
        <f t="shared" si="3"/>
        <v>4.7746622243991066E-2</v>
      </c>
      <c r="CZ14" s="1633"/>
      <c r="DA14" s="1633"/>
      <c r="DB14" s="1633"/>
      <c r="DC14" s="1633"/>
      <c r="DD14" s="1633"/>
      <c r="DE14" s="1631"/>
      <c r="DF14" s="1631"/>
      <c r="DG14" s="1631"/>
      <c r="DH14" s="1631"/>
      <c r="DI14" s="1591"/>
      <c r="DJ14" s="1591"/>
      <c r="DK14" s="1591"/>
      <c r="DL14" s="1591"/>
      <c r="DM14" s="1591"/>
      <c r="DN14" s="1631"/>
      <c r="DO14" s="1631"/>
      <c r="DP14" s="1631"/>
      <c r="DQ14" s="1631"/>
      <c r="DR14" s="1631"/>
      <c r="DS14" s="1631"/>
      <c r="DT14" s="1631"/>
      <c r="DU14" s="1631"/>
      <c r="DV14" s="1631"/>
      <c r="DW14" s="1631"/>
      <c r="DX14" s="1631"/>
      <c r="DY14" s="1631"/>
      <c r="DZ14" s="1631"/>
      <c r="EA14" s="1631"/>
      <c r="EB14" s="1631"/>
      <c r="EC14" s="1631"/>
      <c r="ED14" s="1631"/>
      <c r="EE14" s="1631"/>
      <c r="EF14" s="1631"/>
      <c r="EG14" s="1631"/>
    </row>
    <row r="15" spans="1:143" s="302" customFormat="1">
      <c r="BP15" s="302">
        <v>100</v>
      </c>
      <c r="BQ15" s="302">
        <f t="shared" ref="BQ15:CQ15" si="4">+BP15*(1+BQ8)</f>
        <v>100.21939800180002</v>
      </c>
      <c r="BR15" s="302">
        <f t="shared" si="4"/>
        <v>100.8118396911245</v>
      </c>
      <c r="BS15" s="302">
        <f t="shared" si="4"/>
        <v>101.96539043190839</v>
      </c>
      <c r="BT15" s="302">
        <f t="shared" si="4"/>
        <v>102.68065504536335</v>
      </c>
      <c r="BU15" s="302">
        <f t="shared" si="4"/>
        <v>103.83476958989104</v>
      </c>
      <c r="BV15" s="302">
        <f t="shared" si="4"/>
        <v>104.67747596631948</v>
      </c>
      <c r="BW15" s="302">
        <f t="shared" si="4"/>
        <v>105.08571812258812</v>
      </c>
      <c r="BX15" s="302">
        <f t="shared" si="4"/>
        <v>106.66200389442693</v>
      </c>
      <c r="BY15" s="302">
        <f t="shared" si="4"/>
        <v>107.41930412207738</v>
      </c>
      <c r="BZ15" s="302">
        <f t="shared" si="4"/>
        <v>107.69859431279477</v>
      </c>
      <c r="CA15" s="302">
        <f t="shared" si="4"/>
        <v>109.59408957269996</v>
      </c>
      <c r="CB15" s="302">
        <f t="shared" si="4"/>
        <v>110.18589765639254</v>
      </c>
      <c r="CC15" s="302">
        <f t="shared" si="4"/>
        <v>109.71209829647006</v>
      </c>
      <c r="CD15" s="302">
        <f t="shared" si="4"/>
        <v>111.07252831534629</v>
      </c>
      <c r="CE15" s="302">
        <f t="shared" si="4"/>
        <v>114.51577669312202</v>
      </c>
      <c r="CF15" s="302">
        <f t="shared" si="4"/>
        <v>116.85189853766171</v>
      </c>
      <c r="CG15" s="302">
        <f t="shared" si="4"/>
        <v>118.80332524324065</v>
      </c>
      <c r="CH15" s="302">
        <f t="shared" si="4"/>
        <v>122.35554466801355</v>
      </c>
      <c r="CI15" s="302">
        <f t="shared" si="4"/>
        <v>125.94056212678636</v>
      </c>
      <c r="CJ15" s="302">
        <f t="shared" si="4"/>
        <v>129.99584822726888</v>
      </c>
      <c r="CK15" s="302">
        <f t="shared" si="4"/>
        <v>132.85575688826879</v>
      </c>
      <c r="CL15" s="302">
        <f t="shared" si="4"/>
        <v>131.08877532165482</v>
      </c>
      <c r="CM15" s="302">
        <f t="shared" si="4"/>
        <v>133.38282888978378</v>
      </c>
      <c r="CN15" s="302">
        <f t="shared" si="4"/>
        <v>136.15719173069127</v>
      </c>
      <c r="CO15" s="302">
        <f t="shared" si="4"/>
        <v>137.19198638784454</v>
      </c>
      <c r="CP15" s="302">
        <f t="shared" si="4"/>
        <v>138.02885750481039</v>
      </c>
      <c r="CQ15" s="302">
        <f t="shared" si="4"/>
        <v>139.6852037948681</v>
      </c>
      <c r="CR15" s="302">
        <f t="shared" ref="CR15:CY15" si="5">+CQ15*(1+CR8)</f>
        <v>141.66243608973784</v>
      </c>
      <c r="CS15" s="302">
        <f t="shared" si="5"/>
        <v>143.15487205358025</v>
      </c>
      <c r="CT15" s="302">
        <f t="shared" si="5"/>
        <v>144.04247328277259</v>
      </c>
      <c r="CU15" s="302">
        <f t="shared" si="5"/>
        <v>146.17017558444167</v>
      </c>
      <c r="CV15" s="302">
        <f t="shared" si="5"/>
        <v>149.15254376141073</v>
      </c>
      <c r="CW15" s="302">
        <f t="shared" si="5"/>
        <v>150.54380391201681</v>
      </c>
      <c r="CX15" s="302">
        <f t="shared" si="5"/>
        <v>151.49288117010616</v>
      </c>
      <c r="CY15" s="302">
        <f t="shared" si="5"/>
        <v>153.14930774140987</v>
      </c>
    </row>
    <row r="16" spans="1:143" s="302" customFormat="1"/>
    <row r="17" s="302" customFormat="1"/>
    <row r="18" s="302" customFormat="1"/>
    <row r="19" s="302" customFormat="1"/>
    <row r="20" s="302" customFormat="1"/>
    <row r="21" s="302" customFormat="1"/>
    <row r="22" s="302" customFormat="1"/>
    <row r="23" s="302" customFormat="1"/>
    <row r="24" s="302" customFormat="1"/>
    <row r="25" s="302" customFormat="1"/>
  </sheetData>
  <phoneticPr fontId="27"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B1:R33"/>
  <sheetViews>
    <sheetView showGridLines="0" workbookViewId="0">
      <selection activeCell="R5" sqref="R5:R13"/>
    </sheetView>
  </sheetViews>
  <sheetFormatPr defaultColWidth="9.140625" defaultRowHeight="15"/>
  <cols>
    <col min="2" max="2" width="41.140625" customWidth="1"/>
    <col min="8" max="8" width="16.85546875" customWidth="1"/>
    <col min="11" max="11" width="19.7109375" bestFit="1" customWidth="1"/>
    <col min="12" max="12" width="12.5703125" bestFit="1" customWidth="1"/>
    <col min="13" max="13" width="14.140625" bestFit="1" customWidth="1"/>
    <col min="14" max="17" width="14.140625" customWidth="1"/>
    <col min="18" max="18" width="28.28515625" customWidth="1"/>
    <col min="19" max="19" width="7.140625" customWidth="1"/>
  </cols>
  <sheetData>
    <row r="1" spans="2:18">
      <c r="B1" t="s">
        <v>891</v>
      </c>
    </row>
    <row r="2" spans="2:18">
      <c r="C2" s="359"/>
      <c r="D2" s="359"/>
      <c r="E2" s="359"/>
      <c r="F2" s="359"/>
      <c r="G2" s="359"/>
    </row>
    <row r="3" spans="2:18">
      <c r="B3" t="s">
        <v>892</v>
      </c>
      <c r="C3" s="1202">
        <v>44196</v>
      </c>
      <c r="D3" s="1562">
        <f>+C3+365</f>
        <v>44561</v>
      </c>
      <c r="E3" s="1562">
        <f>+D3+365</f>
        <v>44926</v>
      </c>
      <c r="F3" s="1562">
        <f>+E3+365</f>
        <v>45291</v>
      </c>
      <c r="G3" s="1562">
        <f>+F3+365</f>
        <v>45656</v>
      </c>
      <c r="M3" s="359"/>
      <c r="N3" s="359"/>
      <c r="O3" s="359"/>
      <c r="P3" s="359"/>
      <c r="Q3" s="359"/>
    </row>
    <row r="4" spans="2:18">
      <c r="B4" s="359" t="s">
        <v>893</v>
      </c>
      <c r="L4" s="1206">
        <v>2019</v>
      </c>
      <c r="M4" s="1206">
        <f>+L4+1</f>
        <v>2020</v>
      </c>
      <c r="N4" s="1206">
        <f>+M4+1</f>
        <v>2021</v>
      </c>
      <c r="O4" s="1206">
        <f>+N4+1</f>
        <v>2022</v>
      </c>
      <c r="P4" s="1206">
        <f t="shared" ref="P4:Q4" si="0">+O4+1</f>
        <v>2023</v>
      </c>
      <c r="Q4" s="1206">
        <f t="shared" si="0"/>
        <v>2024</v>
      </c>
    </row>
    <row r="5" spans="2:18">
      <c r="B5" t="s">
        <v>894</v>
      </c>
      <c r="C5" s="1207">
        <f>+M9</f>
        <v>212.77068288338612</v>
      </c>
      <c r="D5" s="1207">
        <f>+N9</f>
        <v>187.448183066469</v>
      </c>
      <c r="E5" s="1207">
        <f>+O9</f>
        <v>138.30437325874945</v>
      </c>
      <c r="F5" s="1207">
        <f t="shared" ref="F5:G5" si="1">+P9</f>
        <v>127.21302058844584</v>
      </c>
      <c r="G5" s="1207">
        <f t="shared" si="1"/>
        <v>152.27300443511888</v>
      </c>
      <c r="K5" s="359" t="s">
        <v>895</v>
      </c>
      <c r="L5" s="1208">
        <f>+Resumo!O4/MACRO!EB3</f>
        <v>2431052.8250700403</v>
      </c>
      <c r="M5" s="1208">
        <f>+Resumo!P4/MACRO!EC3</f>
        <v>1461118.5422118832</v>
      </c>
      <c r="N5" s="1208">
        <f>+Resumo!Q4/MACRO!ED3</f>
        <v>1958049.120539357</v>
      </c>
      <c r="O5" s="1208">
        <f>+Resumo!R4/MACRO!EE3</f>
        <v>2568739.7414060077</v>
      </c>
      <c r="P5" s="1208">
        <f>+Resumo!S4/MACRO!EF3</f>
        <v>2733218.6468936028</v>
      </c>
      <c r="Q5" s="1208">
        <f>+Resumo!T4/MACRO!EG3</f>
        <v>2687498.0336673385</v>
      </c>
      <c r="R5" t="s">
        <v>896</v>
      </c>
    </row>
    <row r="6" spans="2:18">
      <c r="B6" t="s">
        <v>897</v>
      </c>
      <c r="C6" s="1207">
        <f>+M13</f>
        <v>94.106060547180775</v>
      </c>
      <c r="D6" s="1207">
        <f>+N13</f>
        <v>93.871854731289673</v>
      </c>
      <c r="E6" s="1207">
        <f>+O13</f>
        <v>75.285573109149595</v>
      </c>
      <c r="F6" s="1207">
        <f t="shared" ref="F6:G6" si="2">+P13</f>
        <v>82.401897358622605</v>
      </c>
      <c r="G6" s="1207">
        <f t="shared" si="2"/>
        <v>88.258533114655378</v>
      </c>
      <c r="L6" s="1053"/>
      <c r="M6" s="1053"/>
      <c r="N6" s="1053"/>
      <c r="O6" s="1053"/>
      <c r="P6" s="1053"/>
      <c r="Q6" s="1053"/>
    </row>
    <row r="7" spans="2:18">
      <c r="B7" t="s">
        <v>898</v>
      </c>
      <c r="C7" s="1201" t="s">
        <v>899</v>
      </c>
      <c r="D7" s="1201" t="s">
        <v>899</v>
      </c>
      <c r="E7" s="1201" t="s">
        <v>899</v>
      </c>
      <c r="F7" s="1201" t="s">
        <v>899</v>
      </c>
      <c r="G7" s="1201" t="s">
        <v>899</v>
      </c>
    </row>
    <row r="8" spans="2:18">
      <c r="K8" s="264" t="s">
        <v>900</v>
      </c>
      <c r="L8" s="652">
        <f>3435+13561.1+369046.27</f>
        <v>386042.37</v>
      </c>
      <c r="M8" s="652">
        <f>4913.6+10623.9+295345.69</f>
        <v>310883.19</v>
      </c>
      <c r="N8" s="652">
        <f>5054+23453.8+338524.95</f>
        <v>367032.75</v>
      </c>
      <c r="O8" s="652">
        <f>341065.74+8868.5+5333.7</f>
        <v>355267.94</v>
      </c>
      <c r="P8" s="652">
        <f>4579.5+8933.2+334188.3</f>
        <v>347701</v>
      </c>
      <c r="Q8" s="652">
        <f>4397.38+13300.23+391535.79</f>
        <v>409233.39999999997</v>
      </c>
      <c r="R8" t="s">
        <v>901</v>
      </c>
    </row>
    <row r="9" spans="2:18">
      <c r="B9" t="s">
        <v>892</v>
      </c>
      <c r="C9" s="1202">
        <v>44196</v>
      </c>
      <c r="D9" s="1562">
        <f>+C9+365</f>
        <v>44561</v>
      </c>
      <c r="E9" s="1562">
        <f>+D9+365</f>
        <v>44926</v>
      </c>
      <c r="F9" s="1562">
        <f t="shared" ref="F9:G9" si="3">+E9+365</f>
        <v>45291</v>
      </c>
      <c r="G9" s="1562">
        <f t="shared" si="3"/>
        <v>45656</v>
      </c>
      <c r="K9" s="264" t="s">
        <v>902</v>
      </c>
      <c r="L9" s="1053">
        <f>+L8*1000/L5</f>
        <v>158.79637250946115</v>
      </c>
      <c r="M9" s="1053">
        <f>+M8*1000/M5</f>
        <v>212.77068288338612</v>
      </c>
      <c r="N9" s="1053">
        <f>+N8*1000/N5</f>
        <v>187.448183066469</v>
      </c>
      <c r="O9" s="1053">
        <f>+O8*1000/O5</f>
        <v>138.30437325874945</v>
      </c>
      <c r="P9" s="1053">
        <f t="shared" ref="P9:Q9" si="4">+P8*1000/P5</f>
        <v>127.21302058844584</v>
      </c>
      <c r="Q9" s="1053">
        <f t="shared" si="4"/>
        <v>152.27300443511888</v>
      </c>
      <c r="R9" t="s">
        <v>903</v>
      </c>
    </row>
    <row r="10" spans="2:18">
      <c r="B10" s="359" t="s">
        <v>904</v>
      </c>
      <c r="C10" s="663"/>
      <c r="D10" s="663"/>
      <c r="E10" s="663"/>
      <c r="F10" s="663"/>
      <c r="G10" s="663"/>
    </row>
    <row r="11" spans="2:18">
      <c r="B11" t="s">
        <v>905</v>
      </c>
      <c r="C11" s="1214">
        <v>0.30099999999999999</v>
      </c>
      <c r="D11" s="1214">
        <v>0.46600000000000003</v>
      </c>
      <c r="E11" s="1214">
        <v>0.497</v>
      </c>
      <c r="F11" s="1214">
        <v>0.64800000000000002</v>
      </c>
      <c r="G11" s="1214">
        <v>0.64700000000000002</v>
      </c>
      <c r="K11" s="264" t="s">
        <v>906</v>
      </c>
      <c r="L11" s="652">
        <v>659300</v>
      </c>
      <c r="M11" s="652">
        <v>495000</v>
      </c>
      <c r="N11" s="652">
        <v>661700</v>
      </c>
      <c r="O11" s="652">
        <v>696200</v>
      </c>
      <c r="P11" s="652">
        <v>810800</v>
      </c>
      <c r="Q11" s="652">
        <v>853900</v>
      </c>
      <c r="R11" s="266" t="s">
        <v>907</v>
      </c>
    </row>
    <row r="12" spans="2:18">
      <c r="B12" t="s">
        <v>908</v>
      </c>
      <c r="C12" s="1209" t="s">
        <v>909</v>
      </c>
      <c r="D12" s="1209" t="s">
        <v>909</v>
      </c>
      <c r="E12" s="1209" t="s">
        <v>909</v>
      </c>
      <c r="F12" s="1209" t="s">
        <v>909</v>
      </c>
      <c r="G12" s="1209" t="s">
        <v>909</v>
      </c>
      <c r="K12" s="264" t="s">
        <v>910</v>
      </c>
      <c r="L12" s="1210">
        <f>+L11*$L$15</f>
        <v>183139035.40000001</v>
      </c>
      <c r="M12" s="1210">
        <f>+M11*$L$15</f>
        <v>137500110</v>
      </c>
      <c r="N12" s="1210">
        <f>+N11*$L$15</f>
        <v>183805702.60000002</v>
      </c>
      <c r="O12" s="1210">
        <f>+O11*$L$15</f>
        <v>193389043.60000002</v>
      </c>
      <c r="P12" s="1210">
        <f t="shared" ref="P12:Q12" si="5">+P11*$L$15</f>
        <v>225222402.40000001</v>
      </c>
      <c r="Q12" s="1210">
        <f t="shared" si="5"/>
        <v>237194634.20000002</v>
      </c>
      <c r="R12" s="266" t="s">
        <v>911</v>
      </c>
    </row>
    <row r="13" spans="2:18">
      <c r="B13" t="s">
        <v>912</v>
      </c>
      <c r="C13" s="1211">
        <v>0.64800000000000002</v>
      </c>
      <c r="D13" s="1211">
        <v>0.64600000000000002</v>
      </c>
      <c r="E13" s="1211">
        <v>0.65100000000000002</v>
      </c>
      <c r="F13" s="1211">
        <v>0.65</v>
      </c>
      <c r="G13" s="1211">
        <v>0.64900000000000002</v>
      </c>
      <c r="K13" s="264" t="s">
        <v>913</v>
      </c>
      <c r="L13" s="1053">
        <f>+L12/L5</f>
        <v>75.333219217366718</v>
      </c>
      <c r="M13" s="1053">
        <f>+M12/M5</f>
        <v>94.106060547180775</v>
      </c>
      <c r="N13" s="1053">
        <f>+N12/N5</f>
        <v>93.871854731289673</v>
      </c>
      <c r="O13" s="1053">
        <f>+O12/O5</f>
        <v>75.285573109149595</v>
      </c>
      <c r="P13" s="1053">
        <f t="shared" ref="P13:Q13" si="6">+P12/P5</f>
        <v>82.401897358622605</v>
      </c>
      <c r="Q13" s="1053">
        <f t="shared" si="6"/>
        <v>88.258533114655378</v>
      </c>
      <c r="R13" t="s">
        <v>914</v>
      </c>
    </row>
    <row r="14" spans="2:18">
      <c r="B14" t="s">
        <v>915</v>
      </c>
      <c r="D14" s="1563">
        <v>0.9</v>
      </c>
      <c r="E14" s="1563">
        <v>1.2</v>
      </c>
      <c r="F14" s="1563">
        <v>1.5</v>
      </c>
      <c r="G14" s="1563">
        <v>1.8</v>
      </c>
    </row>
    <row r="15" spans="2:18">
      <c r="K15" s="1561" t="s">
        <v>916</v>
      </c>
      <c r="L15">
        <v>277.77800000000002</v>
      </c>
      <c r="M15" s="266" t="s">
        <v>917</v>
      </c>
      <c r="N15" s="266"/>
      <c r="O15" s="266"/>
      <c r="P15" s="266"/>
      <c r="Q15" s="266"/>
    </row>
    <row r="16" spans="2:18">
      <c r="B16" t="s">
        <v>892</v>
      </c>
      <c r="C16" s="1202">
        <v>44196</v>
      </c>
      <c r="D16" s="1562">
        <f>+C16+365</f>
        <v>44561</v>
      </c>
      <c r="E16" s="1562">
        <f>+D16+365</f>
        <v>44926</v>
      </c>
      <c r="F16" s="1562">
        <f t="shared" ref="F16:G16" si="7">+E16+365</f>
        <v>45291</v>
      </c>
      <c r="G16" s="1562">
        <f t="shared" si="7"/>
        <v>45656</v>
      </c>
    </row>
    <row r="17" spans="2:17">
      <c r="B17" s="359" t="s">
        <v>918</v>
      </c>
      <c r="C17" s="663"/>
      <c r="D17" s="663"/>
      <c r="E17" s="663"/>
      <c r="F17" s="663"/>
      <c r="G17" s="663"/>
      <c r="K17" s="359" t="s">
        <v>919</v>
      </c>
      <c r="O17" s="651">
        <v>1</v>
      </c>
      <c r="P17" s="651">
        <v>1</v>
      </c>
      <c r="Q17" s="651">
        <v>1</v>
      </c>
    </row>
    <row r="18" spans="2:17">
      <c r="B18" t="s">
        <v>920</v>
      </c>
      <c r="C18" s="1201">
        <v>8</v>
      </c>
      <c r="D18" s="1201">
        <v>8</v>
      </c>
      <c r="E18" s="1201">
        <v>8</v>
      </c>
      <c r="F18" s="1201">
        <v>8</v>
      </c>
      <c r="G18" s="1201">
        <v>8</v>
      </c>
    </row>
    <row r="19" spans="2:17">
      <c r="B19" t="s">
        <v>921</v>
      </c>
      <c r="C19" s="1212">
        <f>2/C18</f>
        <v>0.25</v>
      </c>
      <c r="D19" s="1212">
        <f>2/D18</f>
        <v>0.25</v>
      </c>
      <c r="E19" s="1212">
        <f>2/E18</f>
        <v>0.25</v>
      </c>
      <c r="F19" s="1212"/>
      <c r="G19" s="1212">
        <f>3/G18</f>
        <v>0.375</v>
      </c>
    </row>
    <row r="20" spans="2:17">
      <c r="B20" t="s">
        <v>922</v>
      </c>
      <c r="C20" s="1213">
        <f>7/C18</f>
        <v>0.875</v>
      </c>
      <c r="D20" s="1213">
        <f>7/D18</f>
        <v>0.875</v>
      </c>
      <c r="E20" s="1213">
        <f>7/E18</f>
        <v>0.875</v>
      </c>
      <c r="F20" s="1213"/>
      <c r="G20" s="1213">
        <v>1</v>
      </c>
    </row>
    <row r="21" spans="2:17">
      <c r="B21" t="s">
        <v>923</v>
      </c>
      <c r="C21" s="1201" t="s">
        <v>924</v>
      </c>
      <c r="D21" s="1201" t="s">
        <v>924</v>
      </c>
      <c r="E21" s="1201" t="s">
        <v>924</v>
      </c>
      <c r="F21" s="1201"/>
      <c r="G21" s="1201" t="s">
        <v>925</v>
      </c>
    </row>
    <row r="22" spans="2:17">
      <c r="B22" t="s">
        <v>926</v>
      </c>
      <c r="C22" s="1201" t="s">
        <v>924</v>
      </c>
      <c r="D22" s="1201" t="s">
        <v>924</v>
      </c>
      <c r="E22" s="1201" t="s">
        <v>924</v>
      </c>
      <c r="F22" s="1201"/>
      <c r="G22" s="1201" t="s">
        <v>925</v>
      </c>
    </row>
    <row r="23" spans="2:17">
      <c r="B23" t="s">
        <v>927</v>
      </c>
      <c r="C23" s="1209" t="s">
        <v>925</v>
      </c>
      <c r="D23" s="1209" t="s">
        <v>925</v>
      </c>
      <c r="E23" s="1209" t="s">
        <v>925</v>
      </c>
      <c r="F23" s="1209"/>
      <c r="G23" s="1209" t="s">
        <v>925</v>
      </c>
    </row>
    <row r="24" spans="2:17">
      <c r="B24" s="805" t="s">
        <v>928</v>
      </c>
      <c r="C24" s="1201" t="s">
        <v>925</v>
      </c>
      <c r="D24" s="1201" t="s">
        <v>925</v>
      </c>
      <c r="E24" s="1201" t="s">
        <v>925</v>
      </c>
      <c r="F24" s="1201"/>
      <c r="G24" s="1201" t="s">
        <v>925</v>
      </c>
    </row>
    <row r="25" spans="2:17">
      <c r="B25" t="s">
        <v>929</v>
      </c>
      <c r="C25" s="1201" t="s">
        <v>924</v>
      </c>
      <c r="D25" s="1201" t="s">
        <v>924</v>
      </c>
      <c r="E25" s="1201" t="s">
        <v>924</v>
      </c>
      <c r="F25" s="1201"/>
      <c r="G25" s="1201" t="s">
        <v>924</v>
      </c>
    </row>
    <row r="27" spans="2:17">
      <c r="B27" t="s">
        <v>930</v>
      </c>
      <c r="C27" s="1203"/>
    </row>
    <row r="28" spans="2:17">
      <c r="B28" t="s">
        <v>931</v>
      </c>
    </row>
    <row r="30" spans="2:17">
      <c r="B30" t="s">
        <v>932</v>
      </c>
    </row>
    <row r="31" spans="2:17">
      <c r="B31" s="1204" t="s">
        <v>933</v>
      </c>
    </row>
    <row r="33" spans="2:2" ht="75">
      <c r="B33" s="1645" t="s">
        <v>934</v>
      </c>
    </row>
  </sheetData>
  <hyperlinks>
    <hyperlink ref="B31" r:id="rId1" xr:uid="{00000000-0004-0000-0800-000000000000}"/>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BA39"/>
  <sheetViews>
    <sheetView workbookViewId="0">
      <selection activeCell="K12" sqref="K12"/>
    </sheetView>
  </sheetViews>
  <sheetFormatPr defaultColWidth="9.140625" defaultRowHeight="15"/>
  <sheetData>
    <row r="3" spans="1:53" s="1154" customFormat="1">
      <c r="A3" s="773"/>
      <c r="B3" s="773" t="s">
        <v>935</v>
      </c>
      <c r="C3" s="773" t="s">
        <v>936</v>
      </c>
      <c r="D3" s="773">
        <f>+D4+D5+D6+D7</f>
        <v>1777.9</v>
      </c>
      <c r="E3" s="773">
        <f>+E4+E5+E6+E7</f>
        <v>1958.1999999999998</v>
      </c>
      <c r="F3" s="773"/>
      <c r="G3" s="773"/>
      <c r="H3" s="773"/>
      <c r="I3" s="773"/>
      <c r="J3" s="773"/>
      <c r="K3" s="773"/>
      <c r="L3" s="773"/>
      <c r="M3" s="866"/>
      <c r="N3" s="1088"/>
      <c r="O3" s="1078"/>
      <c r="P3" s="1078"/>
      <c r="Q3" s="1078"/>
      <c r="R3" s="1078"/>
      <c r="S3" s="1078"/>
      <c r="T3" s="1078"/>
      <c r="U3" s="1078"/>
      <c r="V3" s="1078"/>
      <c r="W3" s="1078"/>
      <c r="X3" s="1078"/>
      <c r="Y3" s="1078"/>
      <c r="Z3" s="1078"/>
      <c r="AA3" s="1078"/>
      <c r="AB3" s="1078"/>
      <c r="AC3" s="1078"/>
      <c r="AD3" s="1078"/>
      <c r="AE3" s="1078"/>
      <c r="AF3" s="1078"/>
      <c r="AG3" s="1078"/>
      <c r="AH3" s="1078"/>
      <c r="AI3" s="1078"/>
      <c r="AJ3" s="1078"/>
      <c r="AK3" s="1078"/>
      <c r="AL3" s="1078"/>
      <c r="AM3" s="1095"/>
      <c r="AN3" s="1078"/>
      <c r="AO3" s="1078"/>
      <c r="AP3" s="1078"/>
      <c r="AQ3" s="1078"/>
      <c r="AR3" s="1078"/>
      <c r="AS3" s="1078"/>
      <c r="AT3" s="1078"/>
      <c r="AU3" s="1078"/>
      <c r="AV3" s="1078"/>
      <c r="AW3" s="1153"/>
      <c r="AX3" s="1078"/>
      <c r="AY3" s="1078"/>
      <c r="AZ3" s="1078"/>
      <c r="BA3" s="1078"/>
    </row>
    <row r="4" spans="1:53" s="864" customFormat="1">
      <c r="A4" s="772"/>
      <c r="B4" s="772"/>
      <c r="C4" s="772" t="s">
        <v>937</v>
      </c>
      <c r="D4" s="772">
        <v>557.79999999999995</v>
      </c>
      <c r="E4" s="772">
        <v>575.29999999999995</v>
      </c>
      <c r="F4" s="772"/>
      <c r="G4" s="772" t="s">
        <v>938</v>
      </c>
      <c r="H4" s="772"/>
      <c r="I4" s="656"/>
      <c r="J4" s="656"/>
      <c r="K4" s="656"/>
      <c r="L4" s="656"/>
      <c r="M4" s="1157" t="s">
        <v>939</v>
      </c>
      <c r="N4" s="1158"/>
      <c r="O4" s="1075"/>
      <c r="P4" s="1075"/>
      <c r="Q4" s="1075"/>
      <c r="R4" s="1075"/>
      <c r="S4" s="1075"/>
      <c r="T4" s="1075"/>
      <c r="U4" s="1075"/>
      <c r="V4" s="1075"/>
      <c r="W4" s="1075"/>
      <c r="X4" s="1075"/>
      <c r="Y4" s="1075"/>
      <c r="Z4" s="1075"/>
      <c r="AA4" s="1075"/>
      <c r="AB4" s="1075"/>
      <c r="AC4" s="1075"/>
      <c r="AD4" s="1075"/>
      <c r="AE4" s="1075"/>
      <c r="AF4" s="1075"/>
      <c r="AG4" s="1075"/>
      <c r="AH4" s="1075"/>
      <c r="AI4" s="1075"/>
      <c r="AJ4" s="1075"/>
      <c r="AK4" s="1075"/>
      <c r="AL4" s="1075"/>
      <c r="AM4" s="1094"/>
      <c r="AN4" s="1075"/>
      <c r="AO4" s="1075"/>
      <c r="AP4" s="1075"/>
      <c r="AQ4" s="1075"/>
      <c r="AR4" s="1075"/>
      <c r="AS4" s="1075"/>
      <c r="AT4" s="1075"/>
      <c r="AU4" s="1075"/>
      <c r="AV4" s="1075"/>
      <c r="AW4" s="865"/>
      <c r="AX4" s="1075"/>
      <c r="AY4" s="1075"/>
      <c r="AZ4" s="1075"/>
      <c r="BA4" s="1075"/>
    </row>
    <row r="5" spans="1:53" s="864" customFormat="1">
      <c r="A5" s="772"/>
      <c r="B5" s="772"/>
      <c r="C5" s="772" t="s">
        <v>940</v>
      </c>
      <c r="D5" s="772">
        <v>598.70000000000005</v>
      </c>
      <c r="E5" s="772">
        <v>686.9</v>
      </c>
      <c r="F5" s="772"/>
      <c r="G5" s="772" t="s">
        <v>941</v>
      </c>
      <c r="H5" s="772"/>
      <c r="I5" s="1156" t="s">
        <v>942</v>
      </c>
      <c r="J5" s="1156" t="s">
        <v>942</v>
      </c>
      <c r="K5" s="1156" t="s">
        <v>942</v>
      </c>
      <c r="L5" s="1156" t="s">
        <v>942</v>
      </c>
      <c r="M5" s="1157"/>
      <c r="N5" s="1158"/>
      <c r="O5" s="1075"/>
      <c r="P5" s="1075"/>
      <c r="Q5" s="1075"/>
      <c r="R5" s="1075"/>
      <c r="S5" s="1075"/>
      <c r="T5" s="1075"/>
      <c r="U5" s="1075"/>
      <c r="V5" s="1075"/>
      <c r="W5" s="1075"/>
      <c r="X5" s="1075"/>
      <c r="Y5" s="1075"/>
      <c r="Z5" s="1075"/>
      <c r="AA5" s="1075"/>
      <c r="AB5" s="1075"/>
      <c r="AC5" s="1075"/>
      <c r="AD5" s="1075"/>
      <c r="AE5" s="1075"/>
      <c r="AF5" s="1075"/>
      <c r="AG5" s="1075"/>
      <c r="AH5" s="1075"/>
      <c r="AI5" s="1075"/>
      <c r="AJ5" s="1075"/>
      <c r="AK5" s="1075"/>
      <c r="AL5" s="1075"/>
      <c r="AM5" s="1094"/>
      <c r="AN5" s="1075"/>
      <c r="AO5" s="1075"/>
      <c r="AP5" s="1075"/>
      <c r="AQ5" s="1075"/>
      <c r="AR5" s="1075"/>
      <c r="AS5" s="1075"/>
      <c r="AT5" s="1075"/>
      <c r="AU5" s="1075"/>
      <c r="AV5" s="1075"/>
      <c r="AW5" s="865"/>
      <c r="AX5" s="1075"/>
      <c r="AY5" s="1075"/>
      <c r="AZ5" s="1075"/>
      <c r="BA5" s="1075"/>
    </row>
    <row r="6" spans="1:53" s="864" customFormat="1">
      <c r="A6" s="772"/>
      <c r="B6" s="772"/>
      <c r="C6" s="772" t="s">
        <v>943</v>
      </c>
      <c r="D6" s="772">
        <v>276.3</v>
      </c>
      <c r="E6" s="772">
        <v>342.2</v>
      </c>
      <c r="F6" s="772"/>
      <c r="G6" s="772" t="s">
        <v>944</v>
      </c>
      <c r="H6" s="772"/>
      <c r="I6" s="1161" t="s">
        <v>8</v>
      </c>
      <c r="J6" s="1161" t="s">
        <v>8</v>
      </c>
      <c r="K6" s="1161" t="s">
        <v>8</v>
      </c>
      <c r="L6" s="1161" t="s">
        <v>8</v>
      </c>
      <c r="M6" s="1160"/>
      <c r="N6" s="1158"/>
      <c r="O6" s="1075"/>
      <c r="P6" s="1075"/>
      <c r="Q6" s="1075"/>
      <c r="R6" s="1075"/>
      <c r="S6" s="1075"/>
      <c r="T6" s="1075"/>
      <c r="U6" s="1075"/>
      <c r="V6" s="1075"/>
      <c r="W6" s="1075"/>
      <c r="X6" s="1075"/>
      <c r="Y6" s="1075"/>
      <c r="Z6" s="1075"/>
      <c r="AA6" s="1075"/>
      <c r="AB6" s="1075"/>
      <c r="AC6" s="1075"/>
      <c r="AD6" s="1075"/>
      <c r="AE6" s="1075"/>
      <c r="AF6" s="1075"/>
      <c r="AG6" s="1075"/>
      <c r="AH6" s="1075"/>
      <c r="AI6" s="1075"/>
      <c r="AJ6" s="1075"/>
      <c r="AK6" s="1075"/>
      <c r="AL6" s="1075"/>
      <c r="AM6" s="1094"/>
      <c r="AN6" s="1075"/>
      <c r="AO6" s="1075"/>
      <c r="AP6" s="1075"/>
      <c r="AQ6" s="1075"/>
      <c r="AR6" s="1075"/>
      <c r="AS6" s="1075"/>
      <c r="AT6" s="1075"/>
      <c r="AU6" s="1075"/>
      <c r="AV6" s="1075"/>
      <c r="AW6" s="865"/>
      <c r="AX6" s="1075"/>
      <c r="AY6" s="1075"/>
      <c r="AZ6" s="1075"/>
      <c r="BA6" s="1075"/>
    </row>
    <row r="7" spans="1:53" s="864" customFormat="1">
      <c r="A7" s="772"/>
      <c r="B7" s="772"/>
      <c r="C7" s="772" t="s">
        <v>945</v>
      </c>
      <c r="D7" s="772">
        <v>345.1</v>
      </c>
      <c r="E7" s="772">
        <v>353.8</v>
      </c>
      <c r="F7" s="772"/>
      <c r="G7" s="772" t="s">
        <v>946</v>
      </c>
      <c r="H7" s="772"/>
      <c r="I7" s="1156" t="s">
        <v>947</v>
      </c>
      <c r="J7" s="1156" t="s">
        <v>947</v>
      </c>
      <c r="K7" s="1156" t="s">
        <v>947</v>
      </c>
      <c r="L7" s="1156" t="s">
        <v>947</v>
      </c>
      <c r="M7" s="1157"/>
      <c r="N7" s="1158"/>
      <c r="O7" s="1075"/>
      <c r="P7" s="1075"/>
      <c r="Q7" s="1075"/>
      <c r="R7" s="1075"/>
      <c r="S7" s="1075"/>
      <c r="T7" s="1075"/>
      <c r="U7" s="1075"/>
      <c r="V7" s="1075"/>
      <c r="W7" s="1075"/>
      <c r="X7" s="1075"/>
      <c r="Y7" s="1075"/>
      <c r="Z7" s="1075"/>
      <c r="AA7" s="1075"/>
      <c r="AB7" s="1075"/>
      <c r="AC7" s="1075"/>
      <c r="AD7" s="1075"/>
      <c r="AE7" s="1075"/>
      <c r="AF7" s="1075"/>
      <c r="AG7" s="1075"/>
      <c r="AH7" s="1075"/>
      <c r="AI7" s="1075"/>
      <c r="AJ7" s="1075"/>
      <c r="AK7" s="1075"/>
      <c r="AL7" s="1075"/>
      <c r="AM7" s="1094"/>
      <c r="AN7" s="1075"/>
      <c r="AO7" s="1075"/>
      <c r="AP7" s="1075"/>
      <c r="AQ7" s="1075"/>
      <c r="AR7" s="1075"/>
      <c r="AS7" s="1075"/>
      <c r="AT7" s="1075"/>
      <c r="AU7" s="1075"/>
      <c r="AV7" s="1075"/>
      <c r="AW7" s="865"/>
      <c r="AX7" s="1075"/>
      <c r="AY7" s="1075"/>
      <c r="AZ7" s="1075"/>
      <c r="BA7" s="1075"/>
    </row>
    <row r="8" spans="1:53" s="864" customFormat="1">
      <c r="A8" s="772"/>
      <c r="B8" s="772"/>
      <c r="C8" s="772"/>
      <c r="D8" s="772"/>
      <c r="E8" s="772"/>
      <c r="F8" s="772"/>
      <c r="G8" s="864" t="s">
        <v>948</v>
      </c>
      <c r="H8" s="772"/>
      <c r="I8" s="1156" t="s">
        <v>949</v>
      </c>
      <c r="J8" s="1156" t="s">
        <v>949</v>
      </c>
      <c r="K8" s="1156" t="s">
        <v>949</v>
      </c>
      <c r="L8" s="1156" t="s">
        <v>949</v>
      </c>
      <c r="M8" s="1157"/>
      <c r="N8" s="1158"/>
      <c r="O8" s="1075"/>
      <c r="P8" s="1075"/>
      <c r="Q8" s="1075"/>
      <c r="R8" s="1075"/>
      <c r="S8" s="1075"/>
      <c r="T8" s="1075"/>
      <c r="U8" s="1075"/>
      <c r="V8" s="1075"/>
      <c r="W8" s="1075"/>
      <c r="X8" s="1075"/>
      <c r="Y8" s="1075"/>
      <c r="Z8" s="1075"/>
      <c r="AA8" s="1075"/>
      <c r="AB8" s="1075"/>
      <c r="AC8" s="1075"/>
      <c r="AD8" s="1075"/>
      <c r="AE8" s="1075"/>
      <c r="AF8" s="1075"/>
      <c r="AG8" s="1075"/>
      <c r="AH8" s="1075"/>
      <c r="AI8" s="1075"/>
      <c r="AJ8" s="1075"/>
      <c r="AK8" s="1075"/>
      <c r="AL8" s="1075"/>
      <c r="AM8" s="1094"/>
      <c r="AN8" s="1075"/>
      <c r="AO8" s="1075"/>
      <c r="AP8" s="1075"/>
      <c r="AQ8" s="1075"/>
      <c r="AR8" s="1075"/>
      <c r="AS8" s="1075"/>
      <c r="AT8" s="1075"/>
      <c r="AU8" s="1075"/>
      <c r="AV8" s="1075"/>
      <c r="AW8" s="865"/>
      <c r="AX8" s="1075"/>
      <c r="AY8" s="1075"/>
      <c r="AZ8" s="1075"/>
      <c r="BA8" s="1075"/>
    </row>
    <row r="9" spans="1:53" s="864" customFormat="1">
      <c r="A9" s="772"/>
      <c r="B9" s="772"/>
      <c r="C9" s="772"/>
      <c r="D9" s="772"/>
      <c r="F9" s="772"/>
      <c r="G9" s="772"/>
      <c r="H9" s="772"/>
      <c r="I9" s="1156" t="s">
        <v>950</v>
      </c>
      <c r="J9" s="1156" t="s">
        <v>950</v>
      </c>
      <c r="K9" s="1156" t="s">
        <v>950</v>
      </c>
      <c r="L9" s="1156" t="s">
        <v>950</v>
      </c>
      <c r="M9" s="1157"/>
      <c r="N9" s="1158"/>
      <c r="O9" s="1075"/>
      <c r="P9" s="1075"/>
      <c r="Q9" s="1075"/>
      <c r="R9" s="1075"/>
      <c r="S9" s="1075"/>
      <c r="T9" s="1075"/>
      <c r="U9" s="1075"/>
      <c r="V9" s="1075"/>
      <c r="W9" s="1075"/>
      <c r="X9" s="1075"/>
      <c r="Y9" s="1075"/>
      <c r="Z9" s="1075"/>
      <c r="AA9" s="1075"/>
      <c r="AB9" s="1075"/>
      <c r="AC9" s="1075"/>
      <c r="AD9" s="1075"/>
      <c r="AE9" s="1075"/>
      <c r="AF9" s="1075"/>
      <c r="AG9" s="1075"/>
      <c r="AH9" s="1075"/>
      <c r="AI9" s="1075"/>
      <c r="AJ9" s="1075"/>
      <c r="AK9" s="1075"/>
      <c r="AL9" s="1075"/>
      <c r="AM9" s="1094"/>
      <c r="AN9" s="1075"/>
      <c r="AO9" s="1075"/>
      <c r="AP9" s="1075"/>
      <c r="AQ9" s="1075"/>
      <c r="AR9" s="1075"/>
      <c r="AS9" s="1075"/>
      <c r="AT9" s="1075"/>
      <c r="AU9" s="1075"/>
      <c r="AV9" s="1075"/>
      <c r="AW9" s="865"/>
      <c r="AX9" s="1075"/>
      <c r="AY9" s="1075"/>
      <c r="AZ9" s="1075"/>
      <c r="BA9" s="1075"/>
    </row>
    <row r="10" spans="1:53" s="864" customFormat="1">
      <c r="B10" s="773" t="s">
        <v>951</v>
      </c>
      <c r="C10" s="773" t="s">
        <v>936</v>
      </c>
      <c r="D10" s="773">
        <f>+D11+D12+D13+D14</f>
        <v>1345.6999999999998</v>
      </c>
      <c r="E10" s="773">
        <f>+E11+E12+E13+E14</f>
        <v>1360.1000000000001</v>
      </c>
      <c r="G10" s="864" t="s">
        <v>952</v>
      </c>
      <c r="I10" s="1156" t="s">
        <v>77</v>
      </c>
      <c r="J10" s="1156" t="s">
        <v>77</v>
      </c>
      <c r="K10" s="1156" t="s">
        <v>77</v>
      </c>
      <c r="L10" s="1156" t="s">
        <v>77</v>
      </c>
      <c r="M10" s="1159" t="s">
        <v>953</v>
      </c>
      <c r="N10" s="1159" t="s">
        <v>954</v>
      </c>
      <c r="O10" s="1075"/>
      <c r="P10" s="1075"/>
      <c r="Q10" s="1075"/>
      <c r="R10" s="1075"/>
      <c r="S10" s="1075"/>
      <c r="T10" s="1075"/>
      <c r="U10" s="1075"/>
      <c r="V10" s="1075"/>
      <c r="W10" s="1075"/>
      <c r="X10" s="1075"/>
      <c r="Y10" s="1075"/>
      <c r="Z10" s="1075"/>
      <c r="AA10" s="1075"/>
      <c r="AB10" s="1075"/>
      <c r="AC10" s="1075"/>
      <c r="AD10" s="1075"/>
      <c r="AE10" s="1075"/>
      <c r="AF10" s="1075"/>
      <c r="AG10" s="1075"/>
      <c r="AH10" s="1075"/>
      <c r="AI10" s="1075"/>
      <c r="AJ10" s="1075"/>
      <c r="AK10" s="1075"/>
      <c r="AL10" s="1075"/>
      <c r="AM10" s="1094"/>
      <c r="AN10" s="1075"/>
      <c r="AO10" s="1075"/>
      <c r="AP10" s="1075"/>
      <c r="AQ10" s="1075"/>
      <c r="AR10" s="1075"/>
      <c r="AS10" s="1075"/>
      <c r="AT10" s="1075"/>
      <c r="AU10" s="1075"/>
      <c r="AV10" s="1075"/>
      <c r="AW10" s="865"/>
      <c r="AX10" s="1075"/>
      <c r="AY10" s="1075"/>
      <c r="AZ10" s="1075"/>
      <c r="BA10" s="1075"/>
    </row>
    <row r="11" spans="1:53" s="864" customFormat="1">
      <c r="B11" s="773"/>
      <c r="C11" s="772" t="s">
        <v>937</v>
      </c>
      <c r="D11" s="772">
        <v>401.4</v>
      </c>
      <c r="E11" s="772">
        <v>372.7</v>
      </c>
      <c r="G11" s="772" t="s">
        <v>955</v>
      </c>
      <c r="I11" s="1161" t="s">
        <v>16</v>
      </c>
      <c r="J11" s="1161" t="s">
        <v>16</v>
      </c>
      <c r="K11" s="1161" t="s">
        <v>16</v>
      </c>
      <c r="L11" s="1161" t="s">
        <v>16</v>
      </c>
      <c r="M11" s="1157" t="e">
        <f>+M12*E4</f>
        <v>#VALUE!</v>
      </c>
      <c r="N11" s="1160" t="e">
        <f>+M11*1.2*5.6</f>
        <v>#VALUE!</v>
      </c>
      <c r="O11" s="1075"/>
      <c r="P11" s="1075"/>
      <c r="Q11" s="1075"/>
      <c r="R11" s="1075"/>
      <c r="S11" s="1075"/>
      <c r="T11" s="1075"/>
      <c r="U11" s="1075"/>
      <c r="V11" s="1075"/>
      <c r="W11" s="1075"/>
      <c r="X11" s="1075"/>
      <c r="Y11" s="1075"/>
      <c r="Z11" s="1075"/>
      <c r="AA11" s="1075"/>
      <c r="AB11" s="1075"/>
      <c r="AC11" s="1075"/>
      <c r="AD11" s="1075"/>
      <c r="AE11" s="1075"/>
      <c r="AF11" s="1075"/>
      <c r="AG11" s="1075"/>
      <c r="AH11" s="1075"/>
      <c r="AI11" s="1075"/>
      <c r="AJ11" s="1075"/>
      <c r="AK11" s="1075"/>
      <c r="AL11" s="1075"/>
      <c r="AM11" s="1094"/>
      <c r="AN11" s="1075"/>
      <c r="AO11" s="1075"/>
      <c r="AP11" s="1075"/>
      <c r="AQ11" s="1075"/>
      <c r="AR11" s="1075"/>
      <c r="AS11" s="1075"/>
      <c r="AT11" s="1075"/>
      <c r="AU11" s="1075"/>
      <c r="AV11" s="1075"/>
      <c r="AW11" s="865"/>
      <c r="AX11" s="1075"/>
      <c r="AY11" s="1075"/>
      <c r="AZ11" s="1075"/>
      <c r="BA11" s="1075"/>
    </row>
    <row r="12" spans="1:53" s="864" customFormat="1">
      <c r="B12" s="773"/>
      <c r="C12" s="772" t="s">
        <v>940</v>
      </c>
      <c r="D12" s="772">
        <v>442.9</v>
      </c>
      <c r="E12" s="772">
        <v>453.3</v>
      </c>
      <c r="I12" s="1156" t="s">
        <v>956</v>
      </c>
      <c r="J12" s="1156" t="s">
        <v>956</v>
      </c>
      <c r="K12" s="1156" t="s">
        <v>956</v>
      </c>
      <c r="L12" s="1156" t="s">
        <v>956</v>
      </c>
      <c r="M12" s="1162" t="str">
        <f>+J12</f>
        <v>EV/NMV</v>
      </c>
      <c r="N12" s="1158"/>
      <c r="O12" s="1075"/>
      <c r="P12" s="1075"/>
      <c r="Q12" s="1075"/>
      <c r="R12" s="1075"/>
      <c r="S12" s="1075"/>
      <c r="T12" s="1075"/>
      <c r="U12" s="1075"/>
      <c r="V12" s="1075"/>
      <c r="W12" s="1075"/>
      <c r="X12" s="1075"/>
      <c r="Y12" s="1075"/>
      <c r="Z12" s="1075"/>
      <c r="AA12" s="1075"/>
      <c r="AB12" s="1075"/>
      <c r="AC12" s="1075"/>
      <c r="AD12" s="1075"/>
      <c r="AE12" s="1075"/>
      <c r="AF12" s="1075"/>
      <c r="AG12" s="1075"/>
      <c r="AH12" s="1075"/>
      <c r="AI12" s="1075"/>
      <c r="AJ12" s="1075"/>
      <c r="AK12" s="1075"/>
      <c r="AL12" s="1075"/>
      <c r="AM12" s="1094"/>
      <c r="AN12" s="1075"/>
      <c r="AO12" s="1075"/>
      <c r="AP12" s="1075"/>
      <c r="AQ12" s="1075"/>
      <c r="AR12" s="1075"/>
      <c r="AS12" s="1075"/>
      <c r="AT12" s="1075"/>
      <c r="AU12" s="1075"/>
      <c r="AV12" s="1075"/>
      <c r="AW12" s="865"/>
      <c r="AX12" s="1075"/>
      <c r="AY12" s="1075"/>
      <c r="AZ12" s="1075"/>
      <c r="BA12" s="1075"/>
    </row>
    <row r="13" spans="1:53" s="864" customFormat="1">
      <c r="B13" s="773"/>
      <c r="C13" s="772" t="s">
        <v>943</v>
      </c>
      <c r="D13" s="772">
        <v>237.6</v>
      </c>
      <c r="E13" s="772">
        <v>274.89999999999998</v>
      </c>
      <c r="I13" s="1156" t="s">
        <v>139</v>
      </c>
      <c r="J13" s="1156" t="s">
        <v>139</v>
      </c>
      <c r="K13" s="1156" t="s">
        <v>139</v>
      </c>
      <c r="L13" s="1156" t="s">
        <v>139</v>
      </c>
      <c r="M13" s="1157" t="e">
        <f>+M11/E11</f>
        <v>#VALUE!</v>
      </c>
      <c r="N13" s="1158"/>
      <c r="O13" s="1075"/>
      <c r="P13" s="1075"/>
      <c r="Q13" s="1075"/>
      <c r="R13" s="1075"/>
      <c r="S13" s="1075"/>
      <c r="T13" s="1075"/>
      <c r="U13" s="1075"/>
      <c r="V13" s="1075"/>
      <c r="W13" s="1075"/>
      <c r="X13" s="1075"/>
      <c r="Y13" s="1075"/>
      <c r="Z13" s="1075"/>
      <c r="AA13" s="1075"/>
      <c r="AB13" s="1075"/>
      <c r="AC13" s="1075"/>
      <c r="AD13" s="1075"/>
      <c r="AE13" s="1075"/>
      <c r="AF13" s="1075"/>
      <c r="AG13" s="1075"/>
      <c r="AH13" s="1075"/>
      <c r="AI13" s="1075"/>
      <c r="AJ13" s="1075"/>
      <c r="AK13" s="1075"/>
      <c r="AL13" s="1075"/>
      <c r="AM13" s="1094"/>
      <c r="AN13" s="1075"/>
      <c r="AO13" s="1075"/>
      <c r="AP13" s="1075"/>
      <c r="AQ13" s="1075"/>
      <c r="AR13" s="1075"/>
      <c r="AS13" s="1075"/>
      <c r="AT13" s="1075"/>
      <c r="AU13" s="1075"/>
      <c r="AV13" s="1075"/>
      <c r="AW13" s="865"/>
      <c r="AX13" s="1075"/>
      <c r="AY13" s="1075"/>
      <c r="AZ13" s="1075"/>
      <c r="BA13" s="1075"/>
    </row>
    <row r="14" spans="1:53" s="864" customFormat="1">
      <c r="A14" s="772"/>
      <c r="B14" s="773"/>
      <c r="C14" s="772" t="s">
        <v>945</v>
      </c>
      <c r="D14" s="772">
        <v>263.8</v>
      </c>
      <c r="E14" s="772">
        <v>259.2</v>
      </c>
      <c r="F14" s="772"/>
      <c r="G14" s="772"/>
      <c r="H14" s="772"/>
      <c r="I14" s="772"/>
      <c r="J14" s="772"/>
      <c r="K14" s="772"/>
      <c r="L14" s="772"/>
      <c r="M14" s="866"/>
      <c r="N14" s="1086"/>
      <c r="O14" s="1075"/>
      <c r="P14" s="1075"/>
      <c r="Q14" s="1075"/>
      <c r="R14" s="1075"/>
      <c r="S14" s="1075"/>
      <c r="T14" s="1075"/>
      <c r="U14" s="1075"/>
      <c r="V14" s="1075"/>
      <c r="W14" s="1075"/>
      <c r="X14" s="1075"/>
      <c r="Y14" s="1075"/>
      <c r="Z14" s="1075"/>
      <c r="AA14" s="1075"/>
      <c r="AB14" s="1075"/>
      <c r="AC14" s="1075"/>
      <c r="AD14" s="1075"/>
      <c r="AE14" s="1075"/>
      <c r="AF14" s="1075"/>
      <c r="AG14" s="1075"/>
      <c r="AH14" s="1075"/>
      <c r="AI14" s="1075"/>
      <c r="AJ14" s="1075"/>
      <c r="AK14" s="1075"/>
      <c r="AL14" s="1075"/>
      <c r="AM14" s="1094"/>
      <c r="AN14" s="1075"/>
      <c r="AO14" s="1075"/>
      <c r="AP14" s="1075"/>
      <c r="AQ14" s="1075"/>
      <c r="AR14" s="1075"/>
      <c r="AS14" s="1075"/>
      <c r="AT14" s="1075"/>
      <c r="AU14" s="1075"/>
      <c r="AV14" s="1075"/>
      <c r="AW14" s="865"/>
      <c r="AX14" s="1075"/>
      <c r="AY14" s="1075"/>
      <c r="AZ14" s="1075"/>
      <c r="BA14" s="1075"/>
    </row>
    <row r="15" spans="1:53" s="864" customFormat="1">
      <c r="A15" s="772"/>
      <c r="B15" s="773"/>
      <c r="F15" s="772"/>
      <c r="G15" s="772"/>
      <c r="H15" s="772"/>
      <c r="I15" s="772"/>
      <c r="J15" s="772"/>
      <c r="K15" s="772"/>
      <c r="L15" s="772"/>
      <c r="M15" s="866"/>
      <c r="N15" s="1086"/>
      <c r="O15" s="1075"/>
      <c r="P15" s="1075"/>
      <c r="Q15" s="1075"/>
      <c r="R15" s="1075"/>
      <c r="S15" s="1075"/>
      <c r="T15" s="1075"/>
      <c r="U15" s="1075"/>
      <c r="V15" s="1075"/>
      <c r="W15" s="1075"/>
      <c r="X15" s="1075"/>
      <c r="Y15" s="1075"/>
      <c r="Z15" s="1075"/>
      <c r="AA15" s="1075"/>
      <c r="AB15" s="1075"/>
      <c r="AC15" s="1075"/>
      <c r="AD15" s="1075"/>
      <c r="AE15" s="1075"/>
      <c r="AF15" s="1075"/>
      <c r="AG15" s="1075"/>
      <c r="AH15" s="1075"/>
      <c r="AI15" s="1075"/>
      <c r="AJ15" s="1075"/>
      <c r="AK15" s="1075"/>
      <c r="AL15" s="1075"/>
      <c r="AM15" s="1094"/>
      <c r="AN15" s="1075"/>
      <c r="AO15" s="1075"/>
      <c r="AP15" s="1075"/>
      <c r="AQ15" s="1075"/>
      <c r="AR15" s="1075"/>
      <c r="AS15" s="1075"/>
      <c r="AT15" s="1075"/>
      <c r="AU15" s="1075"/>
      <c r="AV15" s="1075"/>
      <c r="AW15" s="865"/>
      <c r="AX15" s="1075"/>
      <c r="AY15" s="1075"/>
      <c r="AZ15" s="1075"/>
      <c r="BA15" s="1075"/>
    </row>
    <row r="16" spans="1:53" s="1154" customFormat="1">
      <c r="A16" s="773"/>
      <c r="B16" s="773" t="s">
        <v>957</v>
      </c>
      <c r="C16" s="773" t="s">
        <v>936</v>
      </c>
      <c r="D16" s="773">
        <f>+D18+D20+D22+D24</f>
        <v>546.9</v>
      </c>
      <c r="E16" s="773">
        <f>+E18+E20+E22+E24</f>
        <v>587.9</v>
      </c>
      <c r="F16" s="773"/>
      <c r="G16" s="773"/>
      <c r="H16" s="773"/>
      <c r="I16" s="773"/>
      <c r="J16" s="773"/>
      <c r="K16" s="773"/>
      <c r="L16" s="773"/>
      <c r="M16" s="866"/>
      <c r="N16" s="1088"/>
      <c r="O16" s="1078"/>
      <c r="P16" s="1078"/>
      <c r="Q16" s="1078"/>
      <c r="R16" s="1078"/>
      <c r="S16" s="1078"/>
      <c r="T16" s="1078"/>
      <c r="U16" s="1078"/>
      <c r="V16" s="1078"/>
      <c r="W16" s="1078"/>
      <c r="X16" s="1078"/>
      <c r="Y16" s="1078"/>
      <c r="Z16" s="1078"/>
      <c r="AA16" s="1078"/>
      <c r="AB16" s="1078"/>
      <c r="AC16" s="1078"/>
      <c r="AD16" s="1078"/>
      <c r="AE16" s="1078"/>
      <c r="AF16" s="1078"/>
      <c r="AG16" s="1078"/>
      <c r="AH16" s="1078"/>
      <c r="AI16" s="1078"/>
      <c r="AJ16" s="1078"/>
      <c r="AK16" s="1078"/>
      <c r="AL16" s="1078"/>
      <c r="AM16" s="1095"/>
      <c r="AN16" s="1078"/>
      <c r="AO16" s="1078"/>
      <c r="AP16" s="1078"/>
      <c r="AQ16" s="1078"/>
      <c r="AR16" s="1078"/>
      <c r="AS16" s="1078"/>
      <c r="AT16" s="1078"/>
      <c r="AU16" s="1078"/>
      <c r="AV16" s="1078"/>
      <c r="AW16" s="1153"/>
      <c r="AX16" s="1078"/>
      <c r="AY16" s="1078"/>
      <c r="AZ16" s="1078"/>
      <c r="BA16" s="1078"/>
    </row>
    <row r="17" spans="1:53" s="864" customFormat="1">
      <c r="A17" s="772"/>
      <c r="B17" s="773"/>
      <c r="C17" s="773"/>
      <c r="D17" s="1155">
        <f>+D16/D$10</f>
        <v>0.40640558816972583</v>
      </c>
      <c r="E17" s="1155">
        <f>+E16/E$10</f>
        <v>0.43224762885081974</v>
      </c>
      <c r="F17" s="772"/>
      <c r="G17" s="772"/>
      <c r="H17" s="772"/>
      <c r="I17" s="772"/>
      <c r="J17" s="772"/>
      <c r="K17" s="772"/>
      <c r="L17" s="772"/>
      <c r="M17" s="866"/>
      <c r="N17" s="1086"/>
      <c r="O17" s="1075"/>
      <c r="P17" s="1075"/>
      <c r="Q17" s="1075"/>
      <c r="R17" s="1075"/>
      <c r="S17" s="1075"/>
      <c r="T17" s="1075"/>
      <c r="U17" s="1075"/>
      <c r="V17" s="1075"/>
      <c r="W17" s="1075"/>
      <c r="X17" s="1075"/>
      <c r="Y17" s="1075"/>
      <c r="Z17" s="1075"/>
      <c r="AA17" s="1075"/>
      <c r="AB17" s="1075"/>
      <c r="AC17" s="1075"/>
      <c r="AD17" s="1075"/>
      <c r="AE17" s="1075"/>
      <c r="AF17" s="1075"/>
      <c r="AG17" s="1075"/>
      <c r="AH17" s="1075"/>
      <c r="AI17" s="1075"/>
      <c r="AJ17" s="1075"/>
      <c r="AK17" s="1075"/>
      <c r="AL17" s="1075"/>
      <c r="AM17" s="1094"/>
      <c r="AN17" s="1075"/>
      <c r="AO17" s="1075"/>
      <c r="AP17" s="1075"/>
      <c r="AQ17" s="1075"/>
      <c r="AR17" s="1075"/>
      <c r="AS17" s="1075"/>
      <c r="AT17" s="1075"/>
      <c r="AU17" s="1075"/>
      <c r="AV17" s="1075"/>
      <c r="AW17" s="865"/>
      <c r="AX17" s="1075"/>
      <c r="AY17" s="1075"/>
      <c r="AZ17" s="1075"/>
      <c r="BA17" s="1075"/>
    </row>
    <row r="18" spans="1:53" s="864" customFormat="1">
      <c r="A18" s="772"/>
      <c r="B18" s="773"/>
      <c r="C18" s="772" t="s">
        <v>937</v>
      </c>
      <c r="D18" s="772">
        <v>164.6</v>
      </c>
      <c r="E18" s="772">
        <v>164.7</v>
      </c>
      <c r="F18" s="772"/>
      <c r="G18" s="772"/>
      <c r="H18" s="772"/>
      <c r="I18" s="772"/>
      <c r="J18" s="772"/>
      <c r="K18" s="772"/>
      <c r="L18" s="772"/>
      <c r="M18" s="866"/>
      <c r="N18" s="1086"/>
      <c r="O18" s="1075"/>
      <c r="P18" s="1075"/>
      <c r="Q18" s="1075"/>
      <c r="R18" s="1075"/>
      <c r="S18" s="1075"/>
      <c r="T18" s="1075"/>
      <c r="U18" s="1075"/>
      <c r="V18" s="1075"/>
      <c r="W18" s="1075"/>
      <c r="X18" s="1075"/>
      <c r="Y18" s="1075"/>
      <c r="Z18" s="1075"/>
      <c r="AA18" s="1075"/>
      <c r="AB18" s="1075"/>
      <c r="AC18" s="1075"/>
      <c r="AD18" s="1075"/>
      <c r="AE18" s="1075"/>
      <c r="AF18" s="1075"/>
      <c r="AG18" s="1075"/>
      <c r="AH18" s="1075"/>
      <c r="AI18" s="1075"/>
      <c r="AJ18" s="1075"/>
      <c r="AK18" s="1075"/>
      <c r="AL18" s="1075"/>
      <c r="AM18" s="1094"/>
      <c r="AN18" s="1075"/>
      <c r="AO18" s="1075"/>
      <c r="AP18" s="1075"/>
      <c r="AQ18" s="1075"/>
      <c r="AR18" s="1075"/>
      <c r="AS18" s="1075"/>
      <c r="AT18" s="1075"/>
      <c r="AU18" s="1075"/>
      <c r="AV18" s="1075"/>
      <c r="AW18" s="865"/>
      <c r="AX18" s="1075"/>
      <c r="AY18" s="1075"/>
      <c r="AZ18" s="1075"/>
      <c r="BA18" s="1075"/>
    </row>
    <row r="19" spans="1:53" s="864" customFormat="1">
      <c r="A19" s="772"/>
      <c r="B19" s="773"/>
      <c r="C19" s="772"/>
      <c r="D19" s="1155">
        <f>+D18/D$11</f>
        <v>0.41006477329347285</v>
      </c>
      <c r="E19" s="1155">
        <f>+E18/E$11</f>
        <v>0.44191038368661117</v>
      </c>
      <c r="F19" s="772"/>
      <c r="G19" s="772"/>
      <c r="H19" s="772"/>
      <c r="I19" s="772"/>
      <c r="J19" s="772"/>
      <c r="K19" s="772"/>
      <c r="L19" s="772"/>
      <c r="M19" s="866"/>
      <c r="N19" s="1086"/>
      <c r="O19" s="1075"/>
      <c r="P19" s="1075"/>
      <c r="Q19" s="1075"/>
      <c r="R19" s="1075"/>
      <c r="S19" s="1075"/>
      <c r="T19" s="1075"/>
      <c r="U19" s="1075"/>
      <c r="V19" s="1075"/>
      <c r="W19" s="1075"/>
      <c r="X19" s="1075"/>
      <c r="Y19" s="1075"/>
      <c r="Z19" s="1075"/>
      <c r="AA19" s="1075"/>
      <c r="AB19" s="1075"/>
      <c r="AC19" s="1075"/>
      <c r="AD19" s="1075"/>
      <c r="AE19" s="1075"/>
      <c r="AF19" s="1075"/>
      <c r="AG19" s="1075"/>
      <c r="AH19" s="1075"/>
      <c r="AI19" s="1075"/>
      <c r="AJ19" s="1075"/>
      <c r="AK19" s="1075"/>
      <c r="AL19" s="1075"/>
      <c r="AM19" s="1094"/>
      <c r="AN19" s="1075"/>
      <c r="AO19" s="1075"/>
      <c r="AP19" s="1075"/>
      <c r="AQ19" s="1075"/>
      <c r="AR19" s="1075"/>
      <c r="AS19" s="1075"/>
      <c r="AT19" s="1075"/>
      <c r="AU19" s="1075"/>
      <c r="AV19" s="1075"/>
      <c r="AW19" s="865"/>
      <c r="AX19" s="1075"/>
      <c r="AY19" s="1075"/>
      <c r="AZ19" s="1075"/>
      <c r="BA19" s="1075"/>
    </row>
    <row r="20" spans="1:53" s="864" customFormat="1">
      <c r="A20" s="772"/>
      <c r="B20" s="773"/>
      <c r="C20" s="772" t="s">
        <v>940</v>
      </c>
      <c r="D20" s="772">
        <v>187.2</v>
      </c>
      <c r="E20" s="772">
        <v>213.2</v>
      </c>
      <c r="F20" s="772"/>
      <c r="G20" s="772"/>
      <c r="H20" s="772"/>
      <c r="I20" s="772"/>
      <c r="J20" s="772"/>
      <c r="K20" s="772"/>
      <c r="L20" s="772"/>
      <c r="M20" s="866"/>
      <c r="N20" s="1086"/>
      <c r="O20" s="1075"/>
      <c r="P20" s="1075"/>
      <c r="Q20" s="1075"/>
      <c r="R20" s="1075"/>
      <c r="S20" s="1075"/>
      <c r="T20" s="1075"/>
      <c r="U20" s="1075"/>
      <c r="V20" s="1075"/>
      <c r="W20" s="1075"/>
      <c r="X20" s="1075"/>
      <c r="Y20" s="1075"/>
      <c r="Z20" s="1075"/>
      <c r="AA20" s="1075"/>
      <c r="AB20" s="1075"/>
      <c r="AC20" s="1075"/>
      <c r="AD20" s="1075"/>
      <c r="AE20" s="1075"/>
      <c r="AF20" s="1075"/>
      <c r="AG20" s="1075"/>
      <c r="AH20" s="1075"/>
      <c r="AI20" s="1075"/>
      <c r="AJ20" s="1075"/>
      <c r="AK20" s="1075"/>
      <c r="AL20" s="1075"/>
      <c r="AM20" s="1094"/>
      <c r="AN20" s="1075"/>
      <c r="AO20" s="1075"/>
      <c r="AP20" s="1075"/>
      <c r="AQ20" s="1075"/>
      <c r="AR20" s="1075"/>
      <c r="AS20" s="1075"/>
      <c r="AT20" s="1075"/>
      <c r="AU20" s="1075"/>
      <c r="AV20" s="1075"/>
      <c r="AW20" s="865"/>
      <c r="AX20" s="1075"/>
      <c r="AY20" s="1075"/>
      <c r="AZ20" s="1075"/>
      <c r="BA20" s="1075"/>
    </row>
    <row r="21" spans="1:53" s="864" customFormat="1">
      <c r="B21" s="773"/>
      <c r="C21" s="772"/>
      <c r="D21" s="1155">
        <f>+D20/D$12</f>
        <v>0.42266877398961389</v>
      </c>
      <c r="E21" s="1155">
        <f>+E20/E$12</f>
        <v>0.47032870063975291</v>
      </c>
      <c r="M21" s="866"/>
      <c r="N21" s="1086"/>
      <c r="O21" s="1075"/>
      <c r="P21" s="1075"/>
      <c r="Q21" s="1075"/>
      <c r="R21" s="1075"/>
      <c r="S21" s="1075"/>
      <c r="T21" s="1075"/>
      <c r="U21" s="1075"/>
      <c r="V21" s="1075"/>
      <c r="W21" s="1075"/>
      <c r="X21" s="1075"/>
      <c r="Y21" s="1075"/>
      <c r="Z21" s="1075"/>
      <c r="AA21" s="1075"/>
      <c r="AB21" s="1075"/>
      <c r="AC21" s="1075"/>
      <c r="AD21" s="1075"/>
      <c r="AE21" s="1075"/>
      <c r="AF21" s="1075"/>
      <c r="AG21" s="1075"/>
      <c r="AH21" s="1075"/>
      <c r="AI21" s="1075"/>
      <c r="AJ21" s="1075"/>
      <c r="AK21" s="1075"/>
      <c r="AL21" s="1075"/>
      <c r="AM21" s="1094"/>
      <c r="AN21" s="1075"/>
      <c r="AO21" s="1075"/>
      <c r="AP21" s="1075"/>
      <c r="AQ21" s="1075"/>
      <c r="AR21" s="1075"/>
      <c r="AS21" s="1075"/>
      <c r="AT21" s="1075"/>
      <c r="AU21" s="1075"/>
      <c r="AV21" s="1075"/>
      <c r="AW21" s="865"/>
      <c r="AX21" s="1075"/>
      <c r="AY21" s="1075"/>
      <c r="AZ21" s="1075"/>
      <c r="BA21" s="1075"/>
    </row>
    <row r="22" spans="1:53" s="864" customFormat="1">
      <c r="B22" s="773"/>
      <c r="C22" s="772" t="s">
        <v>943</v>
      </c>
      <c r="D22" s="772">
        <v>74.900000000000006</v>
      </c>
      <c r="E22" s="772">
        <v>88.8</v>
      </c>
      <c r="M22" s="866"/>
      <c r="N22" s="1086"/>
      <c r="O22" s="1075"/>
      <c r="P22" s="1075"/>
      <c r="Q22" s="1075"/>
      <c r="R22" s="1075"/>
      <c r="S22" s="1075"/>
      <c r="T22" s="1075"/>
      <c r="U22" s="1075"/>
      <c r="V22" s="1075"/>
      <c r="W22" s="1075"/>
      <c r="X22" s="1075"/>
      <c r="Y22" s="1075"/>
      <c r="Z22" s="1075"/>
      <c r="AA22" s="1075"/>
      <c r="AB22" s="1075"/>
      <c r="AC22" s="1075"/>
      <c r="AD22" s="1075"/>
      <c r="AE22" s="1075"/>
      <c r="AF22" s="1075"/>
      <c r="AG22" s="1075"/>
      <c r="AH22" s="1075"/>
      <c r="AI22" s="1075"/>
      <c r="AJ22" s="1075"/>
      <c r="AK22" s="1075"/>
      <c r="AL22" s="1075"/>
      <c r="AM22" s="1094"/>
      <c r="AN22" s="1075"/>
      <c r="AO22" s="1075"/>
      <c r="AP22" s="1075"/>
      <c r="AQ22" s="1075"/>
      <c r="AR22" s="1075"/>
      <c r="AS22" s="1075"/>
      <c r="AT22" s="1075"/>
      <c r="AU22" s="1075"/>
      <c r="AV22" s="1075"/>
      <c r="AW22" s="865"/>
      <c r="AX22" s="1075"/>
      <c r="AY22" s="1075"/>
      <c r="AZ22" s="1075"/>
      <c r="BA22" s="1075"/>
    </row>
    <row r="23" spans="1:53" s="864" customFormat="1">
      <c r="B23" s="773"/>
      <c r="C23" s="772"/>
      <c r="D23" s="1155">
        <f>+D22/D$13</f>
        <v>0.31523569023569026</v>
      </c>
      <c r="E23" s="1155">
        <f>+E22/E$13</f>
        <v>0.32302655511094946</v>
      </c>
      <c r="M23" s="866"/>
      <c r="N23" s="1086"/>
      <c r="O23" s="1075"/>
      <c r="P23" s="1075"/>
      <c r="Q23" s="1075"/>
      <c r="R23" s="1075"/>
      <c r="S23" s="1075"/>
      <c r="T23" s="1075"/>
      <c r="U23" s="1075"/>
      <c r="V23" s="1075"/>
      <c r="W23" s="1075"/>
      <c r="X23" s="1075"/>
      <c r="Y23" s="1075"/>
      <c r="Z23" s="1075"/>
      <c r="AA23" s="1075"/>
      <c r="AB23" s="1075"/>
      <c r="AC23" s="1075"/>
      <c r="AD23" s="1075"/>
      <c r="AE23" s="1075"/>
      <c r="AF23" s="1075"/>
      <c r="AG23" s="1075"/>
      <c r="AH23" s="1075"/>
      <c r="AI23" s="1075"/>
      <c r="AJ23" s="1075"/>
      <c r="AK23" s="1075"/>
      <c r="AL23" s="1075"/>
      <c r="AM23" s="1094"/>
      <c r="AN23" s="1075"/>
      <c r="AO23" s="1075"/>
      <c r="AP23" s="1075"/>
      <c r="AQ23" s="1075"/>
      <c r="AR23" s="1075"/>
      <c r="AS23" s="1075"/>
      <c r="AT23" s="1075"/>
      <c r="AU23" s="1075"/>
      <c r="AV23" s="1075"/>
      <c r="AW23" s="865"/>
      <c r="AX23" s="1075"/>
      <c r="AY23" s="1075"/>
      <c r="AZ23" s="1075"/>
      <c r="BA23" s="1075"/>
    </row>
    <row r="24" spans="1:53" s="864" customFormat="1">
      <c r="B24" s="773"/>
      <c r="C24" s="772" t="s">
        <v>945</v>
      </c>
      <c r="D24" s="772">
        <v>120.2</v>
      </c>
      <c r="E24" s="772">
        <v>121.2</v>
      </c>
      <c r="M24" s="866"/>
      <c r="N24" s="1086"/>
      <c r="O24" s="1075"/>
      <c r="P24" s="1075"/>
      <c r="Q24" s="1075"/>
      <c r="R24" s="1075"/>
      <c r="S24" s="1075"/>
      <c r="T24" s="1075"/>
      <c r="U24" s="1075"/>
      <c r="V24" s="1075"/>
      <c r="W24" s="1075"/>
      <c r="X24" s="1075"/>
      <c r="Y24" s="1075"/>
      <c r="Z24" s="1075"/>
      <c r="AA24" s="1075"/>
      <c r="AB24" s="1075"/>
      <c r="AC24" s="1075"/>
      <c r="AD24" s="1075"/>
      <c r="AE24" s="1075"/>
      <c r="AF24" s="1075"/>
      <c r="AG24" s="1075"/>
      <c r="AH24" s="1075"/>
      <c r="AI24" s="1075"/>
      <c r="AJ24" s="1075"/>
      <c r="AK24" s="1075"/>
      <c r="AL24" s="1075"/>
      <c r="AM24" s="1094"/>
      <c r="AN24" s="1075"/>
      <c r="AO24" s="1075"/>
      <c r="AP24" s="1075"/>
      <c r="AQ24" s="1075"/>
      <c r="AR24" s="1075"/>
      <c r="AS24" s="1075"/>
      <c r="AT24" s="1075"/>
      <c r="AU24" s="1075"/>
      <c r="AV24" s="1075"/>
      <c r="AW24" s="865"/>
      <c r="AX24" s="1075"/>
      <c r="AY24" s="1075"/>
      <c r="AZ24" s="1075"/>
      <c r="BA24" s="1075"/>
    </row>
    <row r="25" spans="1:53" s="864" customFormat="1">
      <c r="B25" s="773"/>
      <c r="D25" s="1155">
        <f>+D24/D$14</f>
        <v>0.45564821834723274</v>
      </c>
      <c r="E25" s="1155">
        <f>+E24/E$14</f>
        <v>0.46759259259259262</v>
      </c>
      <c r="M25" s="866"/>
      <c r="N25" s="1086"/>
      <c r="O25" s="1075"/>
      <c r="P25" s="1075"/>
      <c r="Q25" s="1075"/>
      <c r="R25" s="1075"/>
      <c r="S25" s="1075"/>
      <c r="T25" s="1075"/>
      <c r="U25" s="1075"/>
      <c r="V25" s="1075"/>
      <c r="W25" s="1075"/>
      <c r="X25" s="1075"/>
      <c r="Y25" s="1075"/>
      <c r="Z25" s="1075"/>
      <c r="AA25" s="1075"/>
      <c r="AB25" s="1075"/>
      <c r="AC25" s="1075"/>
      <c r="AD25" s="1075"/>
      <c r="AE25" s="1075"/>
      <c r="AF25" s="1075"/>
      <c r="AG25" s="1075"/>
      <c r="AH25" s="1075"/>
      <c r="AI25" s="1075"/>
      <c r="AJ25" s="1075"/>
      <c r="AK25" s="1075"/>
      <c r="AL25" s="1075"/>
      <c r="AM25" s="1094"/>
      <c r="AN25" s="1075"/>
      <c r="AO25" s="1075"/>
      <c r="AP25" s="1075"/>
      <c r="AQ25" s="1075"/>
      <c r="AR25" s="1075"/>
      <c r="AS25" s="1075"/>
      <c r="AT25" s="1075"/>
      <c r="AU25" s="1075"/>
      <c r="AV25" s="1075"/>
      <c r="AW25" s="865"/>
      <c r="AX25" s="1075"/>
      <c r="AY25" s="1075"/>
      <c r="AZ25" s="1075"/>
      <c r="BA25" s="1075"/>
    </row>
    <row r="26" spans="1:53" s="864" customFormat="1">
      <c r="B26" s="773"/>
      <c r="N26" s="1086"/>
      <c r="O26" s="1075"/>
      <c r="P26" s="1075"/>
      <c r="Q26" s="1075"/>
      <c r="R26" s="1075"/>
      <c r="S26" s="1075"/>
      <c r="T26" s="1075"/>
      <c r="U26" s="1075"/>
      <c r="V26" s="1075"/>
      <c r="W26" s="1075"/>
      <c r="X26" s="1075"/>
      <c r="Y26" s="1075"/>
      <c r="Z26" s="1075"/>
      <c r="AA26" s="1075"/>
      <c r="AB26" s="1075"/>
      <c r="AC26" s="1075"/>
      <c r="AD26" s="1075"/>
      <c r="AE26" s="1075"/>
      <c r="AF26" s="1075"/>
      <c r="AG26" s="1075"/>
      <c r="AH26" s="1075"/>
      <c r="AI26" s="1075"/>
      <c r="AJ26" s="1075"/>
      <c r="AK26" s="1075"/>
      <c r="AL26" s="1075"/>
      <c r="AM26" s="1094"/>
      <c r="AN26" s="1075"/>
      <c r="AO26" s="1075"/>
      <c r="AP26" s="1075"/>
      <c r="AQ26" s="1075"/>
      <c r="AR26" s="1075"/>
      <c r="AS26" s="1075"/>
      <c r="AT26" s="1075"/>
      <c r="AU26" s="1075"/>
      <c r="AV26" s="1075"/>
      <c r="AW26" s="865"/>
      <c r="AX26" s="1075"/>
      <c r="AY26" s="1075"/>
      <c r="AZ26" s="1075"/>
      <c r="BA26" s="1075"/>
    </row>
    <row r="27" spans="1:53" s="864" customFormat="1">
      <c r="B27" s="773" t="s">
        <v>958</v>
      </c>
      <c r="C27" s="773" t="s">
        <v>936</v>
      </c>
      <c r="D27" s="773">
        <f>+D29+D31+D33+D35</f>
        <v>-11.4</v>
      </c>
      <c r="E27" s="773">
        <f>+E29+E31+E33+E35</f>
        <v>30.099999999999994</v>
      </c>
      <c r="N27" s="1086"/>
      <c r="O27" s="1075"/>
      <c r="P27" s="1075"/>
      <c r="Q27" s="1075"/>
      <c r="R27" s="1075"/>
      <c r="S27" s="1075"/>
      <c r="T27" s="1075"/>
      <c r="U27" s="1075"/>
      <c r="V27" s="1075"/>
      <c r="W27" s="1075"/>
      <c r="X27" s="1075"/>
      <c r="Y27" s="1075"/>
      <c r="Z27" s="1075"/>
      <c r="AA27" s="1075"/>
      <c r="AB27" s="1075"/>
      <c r="AC27" s="1075"/>
      <c r="AD27" s="1075"/>
      <c r="AE27" s="1075"/>
      <c r="AF27" s="1075"/>
      <c r="AG27" s="1075"/>
      <c r="AH27" s="1075"/>
      <c r="AI27" s="1075"/>
      <c r="AJ27" s="1075"/>
      <c r="AK27" s="1075"/>
      <c r="AL27" s="1075"/>
      <c r="AM27" s="1094"/>
      <c r="AN27" s="1075"/>
      <c r="AO27" s="1075"/>
      <c r="AP27" s="1075"/>
      <c r="AQ27" s="1075"/>
      <c r="AR27" s="1075"/>
      <c r="AS27" s="1075"/>
      <c r="AT27" s="1075"/>
      <c r="AU27" s="1075"/>
      <c r="AV27" s="1075"/>
      <c r="AW27" s="865"/>
      <c r="AX27" s="1075"/>
      <c r="AY27" s="1075"/>
      <c r="AZ27" s="1075"/>
      <c r="BA27" s="1075"/>
    </row>
    <row r="28" spans="1:53" s="864" customFormat="1">
      <c r="B28" s="773"/>
      <c r="C28" s="773"/>
      <c r="D28" s="1155">
        <f>+D27/D$10</f>
        <v>-8.4714275098461776E-3</v>
      </c>
      <c r="E28" s="1155">
        <f>+E27/E$10</f>
        <v>2.2130725681935144E-2</v>
      </c>
      <c r="N28" s="1086"/>
      <c r="O28" s="1075"/>
      <c r="P28" s="1075"/>
      <c r="Q28" s="1075"/>
      <c r="R28" s="1075"/>
      <c r="S28" s="1075"/>
      <c r="T28" s="1075"/>
      <c r="U28" s="1075"/>
      <c r="V28" s="1075"/>
      <c r="W28" s="1075"/>
      <c r="X28" s="1075"/>
      <c r="Y28" s="1075"/>
      <c r="Z28" s="1075"/>
      <c r="AA28" s="1075"/>
      <c r="AB28" s="1075"/>
      <c r="AC28" s="1075"/>
      <c r="AD28" s="1075"/>
      <c r="AE28" s="1075"/>
      <c r="AF28" s="1075"/>
      <c r="AG28" s="1075"/>
      <c r="AH28" s="1075"/>
      <c r="AI28" s="1075"/>
      <c r="AJ28" s="1075"/>
      <c r="AK28" s="1075"/>
      <c r="AL28" s="1075"/>
      <c r="AM28" s="1094"/>
      <c r="AN28" s="1075"/>
      <c r="AO28" s="1075"/>
      <c r="AP28" s="1075"/>
      <c r="AQ28" s="1075"/>
      <c r="AR28" s="1075"/>
      <c r="AS28" s="1075"/>
      <c r="AT28" s="1075"/>
      <c r="AU28" s="1075"/>
      <c r="AV28" s="1075"/>
      <c r="AW28" s="865"/>
      <c r="AX28" s="1075"/>
      <c r="AY28" s="1075"/>
      <c r="AZ28" s="1075"/>
      <c r="BA28" s="1075"/>
    </row>
    <row r="29" spans="1:53" s="864" customFormat="1">
      <c r="C29" s="772" t="s">
        <v>937</v>
      </c>
      <c r="D29" s="772">
        <v>6.1</v>
      </c>
      <c r="E29" s="772">
        <v>8.4</v>
      </c>
      <c r="N29" s="1086"/>
      <c r="O29" s="1075"/>
      <c r="P29" s="1075"/>
      <c r="Q29" s="1075"/>
      <c r="R29" s="1075"/>
      <c r="S29" s="1075"/>
      <c r="T29" s="1075"/>
      <c r="U29" s="1075"/>
      <c r="V29" s="1075"/>
      <c r="W29" s="1075"/>
      <c r="X29" s="1075"/>
      <c r="Y29" s="1075"/>
      <c r="Z29" s="1075"/>
      <c r="AA29" s="1075"/>
      <c r="AB29" s="1075"/>
      <c r="AC29" s="1075"/>
      <c r="AD29" s="1075"/>
      <c r="AE29" s="1075"/>
      <c r="AF29" s="1075"/>
      <c r="AG29" s="1075"/>
      <c r="AH29" s="1075"/>
      <c r="AI29" s="1075"/>
      <c r="AJ29" s="1075"/>
      <c r="AK29" s="1075"/>
      <c r="AL29" s="1075"/>
      <c r="AM29" s="1094"/>
      <c r="AN29" s="1075"/>
      <c r="AO29" s="1075"/>
      <c r="AP29" s="1075"/>
      <c r="AQ29" s="1075"/>
      <c r="AR29" s="1075"/>
      <c r="AS29" s="1075"/>
      <c r="AT29" s="1075"/>
      <c r="AU29" s="1075"/>
      <c r="AV29" s="1075"/>
      <c r="AW29" s="865"/>
      <c r="AX29" s="1075"/>
      <c r="AY29" s="1075"/>
      <c r="AZ29" s="1075"/>
      <c r="BA29" s="1075"/>
    </row>
    <row r="30" spans="1:53" s="864" customFormat="1">
      <c r="C30" s="772"/>
      <c r="D30" s="1155">
        <f>+D29/D$11</f>
        <v>1.5196811160936722E-2</v>
      </c>
      <c r="E30" s="1155">
        <f>+E29/E$11</f>
        <v>2.253823450496378E-2</v>
      </c>
      <c r="N30" s="1086"/>
      <c r="O30" s="1075"/>
      <c r="P30" s="1075"/>
      <c r="Q30" s="1075"/>
      <c r="R30" s="1075"/>
      <c r="S30" s="1075"/>
      <c r="T30" s="1075"/>
      <c r="U30" s="1075"/>
      <c r="V30" s="1075"/>
      <c r="W30" s="1075"/>
      <c r="X30" s="1075"/>
      <c r="Y30" s="1075"/>
      <c r="Z30" s="1075"/>
      <c r="AA30" s="1075"/>
      <c r="AB30" s="1075"/>
      <c r="AC30" s="1075"/>
      <c r="AD30" s="1075"/>
      <c r="AE30" s="1075"/>
      <c r="AF30" s="1075"/>
      <c r="AG30" s="1075"/>
      <c r="AH30" s="1075"/>
      <c r="AI30" s="1075"/>
      <c r="AJ30" s="1075"/>
      <c r="AK30" s="1075"/>
      <c r="AL30" s="1075"/>
      <c r="AM30" s="1094"/>
      <c r="AN30" s="1075"/>
      <c r="AO30" s="1075"/>
      <c r="AP30" s="1075"/>
      <c r="AQ30" s="1075"/>
      <c r="AR30" s="1075"/>
      <c r="AS30" s="1075"/>
      <c r="AT30" s="1075"/>
      <c r="AU30" s="1075"/>
      <c r="AV30" s="1075"/>
      <c r="AW30" s="865"/>
      <c r="AX30" s="1075"/>
      <c r="AY30" s="1075"/>
      <c r="AZ30" s="1075"/>
      <c r="BA30" s="1075"/>
    </row>
    <row r="31" spans="1:53" s="864" customFormat="1">
      <c r="C31" s="772" t="s">
        <v>940</v>
      </c>
      <c r="D31" s="772">
        <v>4.3</v>
      </c>
      <c r="E31" s="772">
        <v>25.9</v>
      </c>
      <c r="N31" s="1086"/>
      <c r="O31" s="1075"/>
      <c r="P31" s="1075"/>
      <c r="Q31" s="1075"/>
      <c r="R31" s="1075"/>
      <c r="S31" s="1075"/>
      <c r="T31" s="1075"/>
      <c r="U31" s="1075"/>
      <c r="V31" s="1075"/>
      <c r="W31" s="1075"/>
      <c r="X31" s="1075"/>
      <c r="Y31" s="1075"/>
      <c r="Z31" s="1075"/>
      <c r="AA31" s="1075"/>
      <c r="AB31" s="1075"/>
      <c r="AC31" s="1075"/>
      <c r="AD31" s="1075"/>
      <c r="AE31" s="1075"/>
      <c r="AF31" s="1075"/>
      <c r="AG31" s="1075"/>
      <c r="AH31" s="1075"/>
      <c r="AI31" s="1075"/>
      <c r="AJ31" s="1075"/>
      <c r="AK31" s="1075"/>
      <c r="AL31" s="1075"/>
      <c r="AM31" s="1094"/>
      <c r="AN31" s="1075"/>
      <c r="AO31" s="1075"/>
      <c r="AP31" s="1075"/>
      <c r="AQ31" s="1075"/>
      <c r="AR31" s="1075"/>
      <c r="AS31" s="1075"/>
      <c r="AT31" s="1075"/>
      <c r="AU31" s="1075"/>
      <c r="AV31" s="1075"/>
      <c r="AW31" s="865"/>
      <c r="AX31" s="1075"/>
      <c r="AY31" s="1075"/>
      <c r="AZ31" s="1075"/>
      <c r="BA31" s="1075"/>
    </row>
    <row r="32" spans="1:53" s="864" customFormat="1">
      <c r="C32" s="772"/>
      <c r="D32" s="1155">
        <f>+D31/D$12</f>
        <v>9.7087378640776708E-3</v>
      </c>
      <c r="E32" s="1155">
        <f>+E31/E$12</f>
        <v>5.7136554158393998E-2</v>
      </c>
      <c r="N32" s="1086"/>
      <c r="O32" s="1075"/>
      <c r="P32" s="1075"/>
      <c r="Q32" s="1075"/>
      <c r="R32" s="1075"/>
      <c r="S32" s="1075"/>
      <c r="T32" s="1075"/>
      <c r="U32" s="1075"/>
      <c r="V32" s="1075"/>
      <c r="W32" s="1075"/>
      <c r="X32" s="1075"/>
      <c r="Y32" s="1075"/>
      <c r="Z32" s="1075"/>
      <c r="AA32" s="1075"/>
      <c r="AB32" s="1075"/>
      <c r="AC32" s="1075"/>
      <c r="AD32" s="1075"/>
      <c r="AE32" s="1075"/>
      <c r="AF32" s="1075"/>
      <c r="AG32" s="1075"/>
      <c r="AH32" s="1075"/>
      <c r="AI32" s="1075"/>
      <c r="AJ32" s="1075"/>
      <c r="AK32" s="1075"/>
      <c r="AL32" s="1075"/>
      <c r="AM32" s="1094"/>
      <c r="AN32" s="1075"/>
      <c r="AO32" s="1075"/>
      <c r="AP32" s="1075"/>
      <c r="AQ32" s="1075"/>
      <c r="AR32" s="1075"/>
      <c r="AS32" s="1075"/>
      <c r="AT32" s="1075"/>
      <c r="AU32" s="1075"/>
      <c r="AV32" s="1075"/>
      <c r="AW32" s="865"/>
      <c r="AX32" s="1075"/>
      <c r="AY32" s="1075"/>
      <c r="AZ32" s="1075"/>
      <c r="BA32" s="1075"/>
    </row>
    <row r="33" spans="2:53" s="864" customFormat="1">
      <c r="C33" s="772" t="s">
        <v>943</v>
      </c>
      <c r="D33" s="772">
        <v>-23.7</v>
      </c>
      <c r="E33" s="772">
        <v>-14.8</v>
      </c>
      <c r="N33" s="1086"/>
      <c r="O33" s="1075"/>
      <c r="P33" s="1075"/>
      <c r="Q33" s="1075"/>
      <c r="R33" s="1075"/>
      <c r="S33" s="1075"/>
      <c r="T33" s="1075"/>
      <c r="U33" s="1075"/>
      <c r="V33" s="1075"/>
      <c r="W33" s="1075"/>
      <c r="X33" s="1075"/>
      <c r="Y33" s="1075"/>
      <c r="Z33" s="1075"/>
      <c r="AA33" s="1075"/>
      <c r="AB33" s="1075"/>
      <c r="AC33" s="1075"/>
      <c r="AD33" s="1075"/>
      <c r="AE33" s="1075"/>
      <c r="AF33" s="1075"/>
      <c r="AG33" s="1075"/>
      <c r="AH33" s="1075"/>
      <c r="AI33" s="1075"/>
      <c r="AJ33" s="1075"/>
      <c r="AK33" s="1075"/>
      <c r="AL33" s="1075"/>
      <c r="AM33" s="1094"/>
      <c r="AN33" s="1075"/>
      <c r="AO33" s="1075"/>
      <c r="AP33" s="1075"/>
      <c r="AQ33" s="1075"/>
      <c r="AR33" s="1075"/>
      <c r="AS33" s="1075"/>
      <c r="AT33" s="1075"/>
      <c r="AU33" s="1075"/>
      <c r="AV33" s="1075"/>
      <c r="AW33" s="865"/>
      <c r="AX33" s="1075"/>
      <c r="AY33" s="1075"/>
      <c r="AZ33" s="1075"/>
      <c r="BA33" s="1075"/>
    </row>
    <row r="34" spans="2:53" s="864" customFormat="1">
      <c r="C34" s="772"/>
      <c r="D34" s="1155">
        <f>+D33/D$13</f>
        <v>-9.9747474747474751E-2</v>
      </c>
      <c r="E34" s="1155">
        <f>+E33/E$13</f>
        <v>-5.3837759185158249E-2</v>
      </c>
      <c r="N34" s="1086"/>
      <c r="O34" s="1075"/>
      <c r="P34" s="1075"/>
      <c r="Q34" s="1075"/>
      <c r="R34" s="1075"/>
      <c r="S34" s="1075"/>
      <c r="T34" s="1075"/>
      <c r="U34" s="1075"/>
      <c r="V34" s="1075"/>
      <c r="W34" s="1075"/>
      <c r="X34" s="1075"/>
      <c r="Y34" s="1075"/>
      <c r="Z34" s="1075"/>
      <c r="AA34" s="1075"/>
      <c r="AB34" s="1075"/>
      <c r="AC34" s="1075"/>
      <c r="AD34" s="1075"/>
      <c r="AE34" s="1075"/>
      <c r="AF34" s="1075"/>
      <c r="AG34" s="1075"/>
      <c r="AH34" s="1075"/>
      <c r="AI34" s="1075"/>
      <c r="AJ34" s="1075"/>
      <c r="AK34" s="1075"/>
      <c r="AL34" s="1075"/>
      <c r="AM34" s="1094"/>
      <c r="AN34" s="1075"/>
      <c r="AO34" s="1075"/>
      <c r="AP34" s="1075"/>
      <c r="AQ34" s="1075"/>
      <c r="AR34" s="1075"/>
      <c r="AS34" s="1075"/>
      <c r="AT34" s="1075"/>
      <c r="AU34" s="1075"/>
      <c r="AV34" s="1075"/>
      <c r="AW34" s="865"/>
      <c r="AX34" s="1075"/>
      <c r="AY34" s="1075"/>
      <c r="AZ34" s="1075"/>
      <c r="BA34" s="1075"/>
    </row>
    <row r="35" spans="2:53" s="864" customFormat="1">
      <c r="C35" s="772" t="s">
        <v>945</v>
      </c>
      <c r="D35" s="772">
        <v>1.9</v>
      </c>
      <c r="E35" s="772">
        <v>10.6</v>
      </c>
      <c r="N35" s="1086"/>
      <c r="O35" s="1075"/>
      <c r="P35" s="1075"/>
      <c r="Q35" s="1075"/>
      <c r="R35" s="1075"/>
      <c r="S35" s="1075"/>
      <c r="T35" s="1075"/>
      <c r="U35" s="1075"/>
      <c r="V35" s="1075"/>
      <c r="W35" s="1075"/>
      <c r="X35" s="1075"/>
      <c r="Y35" s="1075"/>
      <c r="Z35" s="1075"/>
      <c r="AA35" s="1075"/>
      <c r="AB35" s="1075"/>
      <c r="AC35" s="1075"/>
      <c r="AD35" s="1075"/>
      <c r="AE35" s="1075"/>
      <c r="AF35" s="1075"/>
      <c r="AG35" s="1075"/>
      <c r="AH35" s="1075"/>
      <c r="AI35" s="1075"/>
      <c r="AJ35" s="1075"/>
      <c r="AK35" s="1075"/>
      <c r="AL35" s="1075"/>
      <c r="AM35" s="1094"/>
      <c r="AN35" s="1075"/>
      <c r="AO35" s="1075"/>
      <c r="AP35" s="1075"/>
      <c r="AQ35" s="1075"/>
      <c r="AR35" s="1075"/>
      <c r="AS35" s="1075"/>
      <c r="AT35" s="1075"/>
      <c r="AU35" s="1075"/>
      <c r="AV35" s="1075"/>
      <c r="AW35" s="865"/>
      <c r="AX35" s="1075"/>
      <c r="AY35" s="1075"/>
      <c r="AZ35" s="1075"/>
      <c r="BA35" s="1075"/>
    </row>
    <row r="36" spans="2:53" s="864" customFormat="1">
      <c r="D36" s="1155">
        <f>+D35/D$14</f>
        <v>7.2024260803639113E-3</v>
      </c>
      <c r="E36" s="1155">
        <f>+E35/E$14</f>
        <v>4.0895061728395063E-2</v>
      </c>
      <c r="N36" s="1086"/>
      <c r="O36" s="1075"/>
      <c r="P36" s="1075"/>
      <c r="Q36" s="1075"/>
      <c r="R36" s="1075"/>
      <c r="S36" s="1075"/>
      <c r="T36" s="1075"/>
      <c r="U36" s="1075"/>
      <c r="V36" s="1075"/>
      <c r="W36" s="1075"/>
      <c r="X36" s="1075"/>
      <c r="Y36" s="1075"/>
      <c r="Z36" s="1075"/>
      <c r="AA36" s="1075"/>
      <c r="AB36" s="1075"/>
      <c r="AC36" s="1075"/>
      <c r="AD36" s="1075"/>
      <c r="AE36" s="1075"/>
      <c r="AF36" s="1075"/>
      <c r="AG36" s="1075"/>
      <c r="AH36" s="1075"/>
      <c r="AI36" s="1075"/>
      <c r="AJ36" s="1075"/>
      <c r="AK36" s="1075"/>
      <c r="AL36" s="1075"/>
      <c r="AM36" s="1094"/>
      <c r="AN36" s="1075"/>
      <c r="AO36" s="1075"/>
      <c r="AP36" s="1075"/>
      <c r="AQ36" s="1075"/>
      <c r="AR36" s="1075"/>
      <c r="AS36" s="1075"/>
      <c r="AT36" s="1075"/>
      <c r="AU36" s="1075"/>
      <c r="AV36" s="1075"/>
      <c r="AW36" s="865"/>
      <c r="AX36" s="1075"/>
      <c r="AY36" s="1075"/>
      <c r="AZ36" s="1075"/>
      <c r="BA36" s="1075"/>
    </row>
    <row r="37" spans="2:53" s="864" customFormat="1">
      <c r="N37" s="1086"/>
      <c r="O37" s="1075"/>
      <c r="P37" s="1075"/>
      <c r="Q37" s="1075"/>
      <c r="R37" s="1075"/>
      <c r="S37" s="1075"/>
      <c r="T37" s="1075"/>
      <c r="U37" s="1075"/>
      <c r="V37" s="1075"/>
      <c r="W37" s="1075"/>
      <c r="X37" s="1075"/>
      <c r="Y37" s="1075"/>
      <c r="Z37" s="1075"/>
      <c r="AA37" s="1075"/>
      <c r="AB37" s="1075"/>
      <c r="AC37" s="1075"/>
      <c r="AD37" s="1075"/>
      <c r="AE37" s="1075"/>
      <c r="AF37" s="1075"/>
      <c r="AG37" s="1075"/>
      <c r="AH37" s="1075"/>
      <c r="AI37" s="1075"/>
      <c r="AJ37" s="1075"/>
      <c r="AK37" s="1075"/>
      <c r="AL37" s="1075"/>
      <c r="AM37" s="1094"/>
      <c r="AN37" s="1075"/>
      <c r="AO37" s="1075"/>
      <c r="AP37" s="1075"/>
      <c r="AQ37" s="1075"/>
      <c r="AR37" s="1075"/>
      <c r="AS37" s="1075"/>
      <c r="AT37" s="1075"/>
      <c r="AU37" s="1075"/>
      <c r="AV37" s="1075"/>
      <c r="AW37" s="865"/>
      <c r="AX37" s="1075"/>
      <c r="AY37" s="1075"/>
      <c r="AZ37" s="1075"/>
      <c r="BA37" s="1075"/>
    </row>
    <row r="38" spans="2:53" s="864" customFormat="1">
      <c r="B38" s="773"/>
      <c r="C38" s="773"/>
      <c r="D38" s="773"/>
      <c r="E38" s="773"/>
      <c r="N38" s="1086"/>
      <c r="O38" s="1075"/>
      <c r="P38" s="1075"/>
      <c r="Q38" s="1075"/>
      <c r="R38" s="1075"/>
      <c r="S38" s="1075"/>
      <c r="T38" s="1075"/>
      <c r="U38" s="1075"/>
      <c r="V38" s="1075"/>
      <c r="W38" s="1075"/>
      <c r="X38" s="1075"/>
      <c r="Y38" s="1075"/>
      <c r="Z38" s="1075"/>
      <c r="AA38" s="1075"/>
      <c r="AB38" s="1075"/>
      <c r="AC38" s="1075"/>
      <c r="AD38" s="1075"/>
      <c r="AE38" s="1075"/>
      <c r="AF38" s="1075"/>
      <c r="AG38" s="1075"/>
      <c r="AH38" s="1075"/>
      <c r="AI38" s="1075"/>
      <c r="AJ38" s="1075"/>
      <c r="AK38" s="1075"/>
      <c r="AL38" s="1075"/>
      <c r="AM38" s="1094"/>
      <c r="AN38" s="1075"/>
      <c r="AO38" s="1075"/>
      <c r="AP38" s="1075"/>
      <c r="AQ38" s="1075"/>
      <c r="AR38" s="1075"/>
      <c r="AS38" s="1075"/>
      <c r="AT38" s="1075"/>
      <c r="AU38" s="1075"/>
      <c r="AV38" s="1075"/>
      <c r="AW38" s="865"/>
      <c r="AX38" s="1075"/>
      <c r="AY38" s="1075"/>
      <c r="AZ38" s="1075"/>
      <c r="BA38" s="1075"/>
    </row>
    <row r="39" spans="2:53" s="864" customFormat="1">
      <c r="B39" s="773"/>
      <c r="C39" s="772"/>
      <c r="D39" s="772"/>
      <c r="E39" s="772"/>
      <c r="N39" s="1086"/>
      <c r="O39" s="1075"/>
      <c r="P39" s="1075"/>
      <c r="Q39" s="1075"/>
      <c r="R39" s="1075"/>
      <c r="S39" s="1075"/>
      <c r="T39" s="1075"/>
      <c r="U39" s="1075"/>
      <c r="V39" s="1075"/>
      <c r="W39" s="1075"/>
      <c r="X39" s="1075"/>
      <c r="Y39" s="1075"/>
      <c r="Z39" s="1075"/>
      <c r="AA39" s="1075"/>
      <c r="AB39" s="1075"/>
      <c r="AC39" s="1075"/>
      <c r="AD39" s="1075"/>
      <c r="AE39" s="1075"/>
      <c r="AF39" s="1075"/>
      <c r="AG39" s="1075"/>
      <c r="AH39" s="1075"/>
      <c r="AI39" s="1075"/>
      <c r="AJ39" s="1075"/>
      <c r="AK39" s="1075"/>
      <c r="AL39" s="1075"/>
      <c r="AM39" s="1094"/>
      <c r="AN39" s="1075"/>
      <c r="AO39" s="1075"/>
      <c r="AP39" s="1075"/>
      <c r="AQ39" s="1075"/>
      <c r="AR39" s="1075"/>
      <c r="AS39" s="1075"/>
      <c r="AT39" s="1075"/>
      <c r="AU39" s="1075"/>
      <c r="AV39" s="1075"/>
      <c r="AW39" s="865"/>
      <c r="AX39" s="1075"/>
      <c r="AY39" s="1075"/>
      <c r="AZ39" s="1075"/>
      <c r="BA39" s="1075"/>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T50"/>
  <sheetViews>
    <sheetView topLeftCell="C1" workbookViewId="0">
      <selection activeCell="G7" sqref="G7"/>
    </sheetView>
  </sheetViews>
  <sheetFormatPr defaultColWidth="9.140625" defaultRowHeight="15"/>
  <cols>
    <col min="4" max="4" width="29" bestFit="1" customWidth="1"/>
    <col min="5" max="5" width="16.7109375" customWidth="1"/>
    <col min="6" max="6" width="12.28515625" bestFit="1" customWidth="1"/>
    <col min="7" max="7" width="13" bestFit="1" customWidth="1"/>
    <col min="9" max="10" width="16.7109375" customWidth="1"/>
    <col min="11" max="11" width="10.5703125" bestFit="1" customWidth="1"/>
    <col min="12" max="12" width="13.42578125" bestFit="1" customWidth="1"/>
    <col min="13" max="13" width="10.7109375" bestFit="1" customWidth="1"/>
    <col min="14" max="14" width="10.85546875" bestFit="1" customWidth="1"/>
    <col min="15" max="15" width="10.7109375" bestFit="1" customWidth="1"/>
    <col min="16" max="16" width="10.7109375" customWidth="1"/>
  </cols>
  <sheetData>
    <row r="2" spans="1:20">
      <c r="D2" s="359"/>
      <c r="E2" s="692"/>
      <c r="F2" s="805"/>
      <c r="G2" s="1181"/>
      <c r="H2" s="1182"/>
      <c r="I2" s="692"/>
      <c r="J2" s="1183" t="s">
        <v>959</v>
      </c>
      <c r="K2" s="692"/>
      <c r="Q2" s="1180"/>
    </row>
    <row r="3" spans="1:20">
      <c r="D3" s="1183" t="s">
        <v>960</v>
      </c>
      <c r="E3" s="1183" t="s">
        <v>870</v>
      </c>
      <c r="F3" s="1183" t="s">
        <v>874</v>
      </c>
      <c r="G3" s="1185" t="s">
        <v>961</v>
      </c>
      <c r="H3" s="1187" t="s">
        <v>962</v>
      </c>
      <c r="I3" s="1183"/>
      <c r="J3" s="1183" t="s">
        <v>963</v>
      </c>
      <c r="K3" s="1183" t="s">
        <v>964</v>
      </c>
      <c r="L3" s="1184" t="s">
        <v>86</v>
      </c>
      <c r="M3" s="1184" t="s">
        <v>87</v>
      </c>
      <c r="N3" s="1184" t="s">
        <v>965</v>
      </c>
      <c r="O3" s="1184" t="s">
        <v>89</v>
      </c>
      <c r="P3" s="1184" t="s">
        <v>966</v>
      </c>
      <c r="Q3" s="1186"/>
    </row>
    <row r="4" spans="1:20" s="359" customFormat="1">
      <c r="D4" s="648" t="s">
        <v>967</v>
      </c>
      <c r="E4" s="1196">
        <f>+FAT!CG26</f>
        <v>3390509</v>
      </c>
      <c r="F4" s="1197"/>
      <c r="G4" s="2064">
        <f>+F4/J4-1</f>
        <v>-1</v>
      </c>
      <c r="H4" s="2064">
        <f>+F4/K4-1</f>
        <v>-1</v>
      </c>
      <c r="I4" s="1196"/>
      <c r="J4" s="1196">
        <f>+FAT!CT26</f>
        <v>4827817.3924581651</v>
      </c>
      <c r="K4" s="1196">
        <f>+AVERAGE(L4:P4)</f>
        <v>3648000</v>
      </c>
      <c r="L4" s="652">
        <v>3648000</v>
      </c>
      <c r="M4" s="652"/>
      <c r="N4" s="652"/>
      <c r="O4" s="652"/>
      <c r="P4" s="652"/>
      <c r="Q4" s="1186"/>
      <c r="S4"/>
    </row>
    <row r="5" spans="1:20">
      <c r="D5" s="1190" t="s">
        <v>120</v>
      </c>
      <c r="E5" s="1191">
        <f>+FAT!CG27</f>
        <v>9.4738103048791489E-2</v>
      </c>
      <c r="F5" s="1193"/>
      <c r="G5" s="2065"/>
      <c r="H5" s="2064"/>
      <c r="I5" s="1191"/>
      <c r="J5" s="1191">
        <f>+J4/E4-1</f>
        <v>0.42392112584221575</v>
      </c>
      <c r="K5" s="1191"/>
      <c r="L5" s="2160"/>
      <c r="M5" s="2160"/>
      <c r="N5" s="2160"/>
      <c r="O5" s="2160"/>
      <c r="P5" s="2160"/>
      <c r="Q5" s="1192"/>
    </row>
    <row r="6" spans="1:20">
      <c r="D6" s="1195" t="s">
        <v>968</v>
      </c>
      <c r="E6" s="1188">
        <f>+FAT!CG30</f>
        <v>2955952</v>
      </c>
      <c r="F6" s="1189">
        <v>3079000</v>
      </c>
      <c r="G6" s="2064">
        <f>+F6/J6-1</f>
        <v>-0.29574818943862125</v>
      </c>
      <c r="H6" s="2064">
        <f>+F6/K6-1</f>
        <v>-2.1607880521131273E-2</v>
      </c>
      <c r="I6" s="1188"/>
      <c r="J6" s="1188">
        <f>+FAT!CT30</f>
        <v>4372015.7390090954</v>
      </c>
      <c r="K6" s="1196">
        <f>+AVERAGE(L6:P6)</f>
        <v>3147000</v>
      </c>
      <c r="L6" s="652"/>
      <c r="M6" s="652">
        <v>3128000</v>
      </c>
      <c r="N6" s="652">
        <v>3158000</v>
      </c>
      <c r="O6" s="652">
        <v>3155000</v>
      </c>
      <c r="P6" s="652"/>
      <c r="Q6" s="1180"/>
    </row>
    <row r="7" spans="1:20" s="359" customFormat="1">
      <c r="D7" s="648" t="s">
        <v>969</v>
      </c>
      <c r="E7" s="1196">
        <f>+FAT!CG160</f>
        <v>576756</v>
      </c>
      <c r="F7" s="1197">
        <v>593000</v>
      </c>
      <c r="G7" s="2064">
        <f>+F7/J7-1</f>
        <v>-0.45509956310129751</v>
      </c>
      <c r="H7" s="2064">
        <f>+F7/K7-1</f>
        <v>-4.6623794212218628E-2</v>
      </c>
      <c r="I7" s="1196"/>
      <c r="J7" s="1196">
        <f>+FAT!CT160</f>
        <v>1088272.2050564978</v>
      </c>
      <c r="K7" s="1196">
        <f>+AVERAGE(L7:P7)</f>
        <v>622000</v>
      </c>
      <c r="L7" s="652">
        <v>607000</v>
      </c>
      <c r="M7" s="652"/>
      <c r="N7" s="652"/>
      <c r="O7" s="652">
        <v>637000</v>
      </c>
      <c r="P7" s="652"/>
      <c r="Q7" s="1186"/>
      <c r="R7" s="658"/>
      <c r="S7"/>
    </row>
    <row r="8" spans="1:20">
      <c r="D8" s="1190" t="s">
        <v>970</v>
      </c>
      <c r="E8" s="1191">
        <f>+E7/E4</f>
        <v>0.17010897183874163</v>
      </c>
      <c r="F8" s="1193"/>
      <c r="G8" s="2065">
        <f>+F8-J8</f>
        <v>-0.22541701903567352</v>
      </c>
      <c r="H8" s="2065">
        <f>+F8-K8</f>
        <v>-0.17050438596491227</v>
      </c>
      <c r="I8" s="1191"/>
      <c r="J8" s="1191">
        <f>+J7/J4</f>
        <v>0.22541701903567352</v>
      </c>
      <c r="K8" s="1191">
        <f>+K7/K4</f>
        <v>0.17050438596491227</v>
      </c>
      <c r="L8" s="2160">
        <f>+L7/L4</f>
        <v>0.16639254385964913</v>
      </c>
      <c r="M8" s="2160"/>
      <c r="N8" s="2160"/>
      <c r="O8" s="2160"/>
      <c r="P8" s="2160"/>
      <c r="Q8" s="1192"/>
      <c r="R8" s="582"/>
      <c r="S8" s="582"/>
    </row>
    <row r="9" spans="1:20">
      <c r="D9" s="2063" t="s">
        <v>971</v>
      </c>
      <c r="E9" s="1196">
        <f>+FAT!CG167</f>
        <v>538660</v>
      </c>
      <c r="F9" s="2066"/>
      <c r="G9" s="2064">
        <f>+F9/J9-1</f>
        <v>-1</v>
      </c>
      <c r="H9" s="2064" t="e">
        <f>+F9/K9-1</f>
        <v>#DIV/0!</v>
      </c>
      <c r="I9" s="1196"/>
      <c r="J9" s="1196">
        <f>+FAT!CT167</f>
        <v>1064133.118094207</v>
      </c>
      <c r="K9" s="1196" t="e">
        <f>+AVERAGE(L9:P9)</f>
        <v>#DIV/0!</v>
      </c>
      <c r="L9" s="652"/>
      <c r="M9" s="652"/>
      <c r="N9" s="652"/>
      <c r="O9" s="652"/>
      <c r="P9" s="652"/>
      <c r="Q9" s="1192"/>
    </row>
    <row r="10" spans="1:20">
      <c r="D10" s="1190" t="s">
        <v>122</v>
      </c>
      <c r="E10" s="1191">
        <f>+E9/E6</f>
        <v>0.18222894011810747</v>
      </c>
      <c r="F10" s="1193"/>
      <c r="G10" s="2065">
        <f>+F10-J10</f>
        <v>-0.24339645180128966</v>
      </c>
      <c r="H10" s="2065" t="e">
        <f>+F10-K10</f>
        <v>#DIV/0!</v>
      </c>
      <c r="I10" s="1191"/>
      <c r="J10" s="1191">
        <f>+J9/J6</f>
        <v>0.24339645180128966</v>
      </c>
      <c r="K10" s="1191" t="e">
        <f>+K9/K6</f>
        <v>#DIV/0!</v>
      </c>
      <c r="L10" s="2160"/>
      <c r="M10" s="2160"/>
      <c r="N10" s="2160"/>
      <c r="O10" s="2160"/>
      <c r="P10" s="2160"/>
      <c r="Q10" s="1192"/>
    </row>
    <row r="11" spans="1:20">
      <c r="A11" s="359"/>
      <c r="B11" s="359"/>
      <c r="C11" s="359"/>
      <c r="D11" s="2063" t="s">
        <v>972</v>
      </c>
      <c r="E11" s="1196">
        <f>+FAT!CG214</f>
        <v>58311.002329999865</v>
      </c>
      <c r="F11" s="1197"/>
      <c r="G11" s="2064">
        <f>+F11/J11-1</f>
        <v>-1</v>
      </c>
      <c r="H11" s="2064">
        <f>+F11/K11-1</f>
        <v>-1</v>
      </c>
      <c r="I11" s="1196"/>
      <c r="J11" s="1196">
        <f>+FAT!CT214</f>
        <v>75457.194738675302</v>
      </c>
      <c r="K11" s="1196">
        <f>+AVERAGE(L11:P11)</f>
        <v>70000</v>
      </c>
      <c r="L11" s="652"/>
      <c r="M11" s="652">
        <v>70000</v>
      </c>
      <c r="N11" s="652"/>
      <c r="O11" s="652"/>
      <c r="P11" s="652"/>
      <c r="Q11" s="1186"/>
      <c r="R11" s="658"/>
      <c r="T11" s="359"/>
    </row>
    <row r="12" spans="1:20">
      <c r="A12" s="359"/>
      <c r="B12" s="359"/>
      <c r="C12" s="359"/>
      <c r="D12" s="2063"/>
      <c r="E12" s="1196"/>
      <c r="F12" s="1197"/>
      <c r="G12" s="2064"/>
      <c r="H12" s="2064"/>
      <c r="I12" s="1196"/>
      <c r="J12" s="1196"/>
      <c r="K12" s="1196"/>
      <c r="L12" s="652"/>
      <c r="M12" s="652"/>
      <c r="N12" s="652"/>
      <c r="O12" s="652"/>
      <c r="P12" s="652"/>
      <c r="Q12" s="1186"/>
      <c r="R12" s="658"/>
      <c r="T12" s="359"/>
    </row>
    <row r="13" spans="1:20">
      <c r="A13" s="359"/>
      <c r="B13" s="359"/>
      <c r="C13" s="359"/>
      <c r="D13" s="648" t="s">
        <v>973</v>
      </c>
      <c r="E13" s="1196">
        <f>+FAT!CG195</f>
        <v>404855</v>
      </c>
      <c r="F13" s="1197"/>
      <c r="G13" s="2064"/>
      <c r="H13" s="2064"/>
      <c r="I13" s="1196"/>
      <c r="J13" s="1196">
        <f>+FAT!CT195</f>
        <v>893471.2092499315</v>
      </c>
      <c r="K13" s="1196">
        <f>+AVERAGE(L13:P13)</f>
        <v>448000</v>
      </c>
      <c r="L13" s="652"/>
      <c r="M13" s="652"/>
      <c r="N13" s="652"/>
      <c r="O13" s="652">
        <v>448000</v>
      </c>
      <c r="P13" s="652"/>
      <c r="Q13" s="1186"/>
      <c r="R13" s="658"/>
      <c r="T13" s="359"/>
    </row>
    <row r="14" spans="1:20" s="359" customFormat="1">
      <c r="D14" s="2063" t="s">
        <v>974</v>
      </c>
      <c r="E14" s="1196">
        <f>+FAT!CG205</f>
        <v>345803</v>
      </c>
      <c r="F14" s="1197"/>
      <c r="G14" s="2064">
        <f>+F14/J14-1</f>
        <v>-1</v>
      </c>
      <c r="H14" s="2064">
        <f>+F14/K14-1</f>
        <v>-1</v>
      </c>
      <c r="I14" s="1196"/>
      <c r="J14" s="1196">
        <f>+FAT!CT205</f>
        <v>818014.01451125625</v>
      </c>
      <c r="K14" s="1196">
        <f>+AVERAGE(L14:P14)</f>
        <v>353000</v>
      </c>
      <c r="L14" s="652"/>
      <c r="M14" s="652">
        <v>318000</v>
      </c>
      <c r="N14" s="652">
        <v>388000</v>
      </c>
      <c r="P14" s="652"/>
      <c r="Q14" s="1186"/>
      <c r="R14" s="658"/>
      <c r="S14"/>
    </row>
    <row r="15" spans="1:20">
      <c r="D15" s="1190" t="s">
        <v>970</v>
      </c>
      <c r="E15" s="1191">
        <f>+E14/E4</f>
        <v>0.10199147089714258</v>
      </c>
      <c r="F15" s="1193"/>
      <c r="G15" s="2065">
        <f>+F15-J15</f>
        <v>-0.16943764604459294</v>
      </c>
      <c r="H15" s="2065">
        <f>+F15-K15</f>
        <v>-9.6765350877192985E-2</v>
      </c>
      <c r="I15" s="1191"/>
      <c r="J15" s="1191">
        <f>+J14/J4</f>
        <v>0.16943764604459294</v>
      </c>
      <c r="K15" s="1191">
        <f>+K14/K4</f>
        <v>9.6765350877192985E-2</v>
      </c>
      <c r="L15" s="2160"/>
      <c r="M15" s="2160"/>
      <c r="N15" s="2160"/>
      <c r="O15" s="2160"/>
      <c r="P15" s="2160"/>
      <c r="Q15" s="1192"/>
      <c r="R15" s="582"/>
      <c r="S15" s="582"/>
    </row>
    <row r="16" spans="1:20" s="359" customFormat="1">
      <c r="D16" s="648" t="s">
        <v>111</v>
      </c>
      <c r="E16" s="1196">
        <f>+PROJ!CG25</f>
        <v>255266</v>
      </c>
      <c r="F16" s="1197">
        <v>279000</v>
      </c>
      <c r="G16" s="2064">
        <f>+F16/J16-1</f>
        <v>-0.4210764530310207</v>
      </c>
      <c r="H16" s="2064">
        <f>+F16/K16-1</f>
        <v>0.10934393638170969</v>
      </c>
      <c r="I16" s="1196"/>
      <c r="J16" s="1196">
        <f>+PROJ!CR35</f>
        <v>481928.92042608478</v>
      </c>
      <c r="K16" s="1196">
        <f>+AVERAGE(L16:P16)</f>
        <v>251500</v>
      </c>
      <c r="L16" s="652">
        <v>248000</v>
      </c>
      <c r="M16" s="652">
        <v>261000</v>
      </c>
      <c r="N16" s="652">
        <v>243000</v>
      </c>
      <c r="O16" s="652">
        <v>254000</v>
      </c>
      <c r="P16" s="652"/>
      <c r="Q16" s="1198"/>
      <c r="S16"/>
    </row>
    <row r="17" spans="4:17">
      <c r="D17" s="2067"/>
      <c r="E17" s="2067"/>
      <c r="F17" s="2067"/>
      <c r="G17" s="2068"/>
      <c r="H17" s="2069"/>
      <c r="I17" s="2067"/>
      <c r="J17" s="2067"/>
      <c r="K17" s="2067"/>
      <c r="L17" s="2067"/>
      <c r="M17" s="2067"/>
      <c r="N17" s="2067"/>
      <c r="O17" s="2067"/>
      <c r="P17" s="2067"/>
      <c r="Q17" s="1180"/>
    </row>
    <row r="18" spans="4:17">
      <c r="D18" s="1192"/>
      <c r="E18" s="2070"/>
      <c r="F18" s="2070"/>
      <c r="G18" s="1192"/>
      <c r="H18" s="2071"/>
      <c r="I18" s="2070"/>
      <c r="J18" s="2070"/>
      <c r="K18" s="2070"/>
      <c r="L18" s="2070"/>
      <c r="M18" s="2070"/>
      <c r="N18" s="2070"/>
      <c r="O18" s="2070"/>
      <c r="P18" s="2070"/>
      <c r="Q18" s="1192"/>
    </row>
    <row r="19" spans="4:17">
      <c r="D19" s="2067"/>
      <c r="E19" s="2067"/>
      <c r="F19" s="2067"/>
      <c r="G19" s="2068"/>
      <c r="H19" s="2069"/>
      <c r="I19" s="2067"/>
      <c r="J19" s="2067"/>
      <c r="K19" s="2067"/>
      <c r="L19" s="2067"/>
      <c r="M19" s="2067"/>
      <c r="N19" s="2067"/>
      <c r="O19" s="2067"/>
      <c r="P19" s="2067"/>
      <c r="Q19" s="1180"/>
    </row>
    <row r="20" spans="4:17">
      <c r="D20" s="1192"/>
      <c r="E20" s="2070"/>
      <c r="F20" s="2070"/>
      <c r="G20" s="1192"/>
      <c r="H20" s="2071"/>
      <c r="I20" s="2070"/>
      <c r="J20" s="2070"/>
      <c r="K20" s="2070"/>
      <c r="L20" s="2070"/>
      <c r="M20" s="2070"/>
      <c r="N20" s="2070"/>
      <c r="O20" s="2070"/>
      <c r="P20" s="2070"/>
      <c r="Q20" s="1192"/>
    </row>
    <row r="21" spans="4:17">
      <c r="D21" s="2067"/>
      <c r="E21" s="2067"/>
      <c r="F21" s="2067"/>
      <c r="G21" s="2068"/>
      <c r="H21" s="2069"/>
      <c r="I21" s="2067"/>
      <c r="J21" s="2067"/>
      <c r="K21" s="2067"/>
      <c r="L21" s="2067"/>
      <c r="M21" s="2067"/>
      <c r="N21" s="2067"/>
      <c r="O21" s="2067"/>
      <c r="P21" s="2067"/>
      <c r="Q21" s="1180"/>
    </row>
    <row r="22" spans="4:17">
      <c r="D22" s="1192"/>
      <c r="E22" s="2070"/>
      <c r="F22" s="2070"/>
      <c r="G22" s="1192"/>
      <c r="H22" s="2071"/>
      <c r="I22" s="2070"/>
      <c r="J22" s="2070"/>
      <c r="K22" s="2070"/>
      <c r="L22" s="2070"/>
      <c r="M22" s="2070"/>
      <c r="N22" s="2070"/>
      <c r="O22" s="2070"/>
      <c r="P22" s="2070"/>
      <c r="Q22" s="1192"/>
    </row>
    <row r="23" spans="4:17">
      <c r="D23" s="359"/>
      <c r="G23" s="1186"/>
      <c r="H23" s="2069"/>
      <c r="Q23" s="1180"/>
    </row>
    <row r="24" spans="4:17">
      <c r="D24" s="2067"/>
      <c r="E24" s="2067"/>
      <c r="F24" s="2067"/>
      <c r="G24" s="2068"/>
      <c r="H24" s="2069"/>
      <c r="I24" s="2067"/>
      <c r="J24" s="2067"/>
      <c r="K24" s="2067"/>
      <c r="L24" s="2067"/>
      <c r="M24" s="2067"/>
      <c r="N24" s="2067"/>
      <c r="O24" s="2067"/>
      <c r="P24" s="2067"/>
      <c r="Q24" s="1180"/>
    </row>
    <row r="25" spans="4:17">
      <c r="D25" s="1192"/>
      <c r="E25" s="2070"/>
      <c r="F25" s="2070"/>
      <c r="G25" s="1192"/>
      <c r="H25" s="2071"/>
      <c r="I25" s="2070"/>
      <c r="J25" s="2070"/>
      <c r="K25" s="2070"/>
      <c r="L25" s="2070"/>
      <c r="M25" s="2070"/>
      <c r="N25" s="2070"/>
      <c r="O25" s="2070"/>
      <c r="P25" s="2070"/>
      <c r="Q25" s="1192"/>
    </row>
    <row r="26" spans="4:17">
      <c r="D26" s="2067"/>
      <c r="E26" s="2067"/>
      <c r="F26" s="2067"/>
      <c r="G26" s="2068"/>
      <c r="H26" s="2069"/>
      <c r="I26" s="2067"/>
      <c r="J26" s="2067"/>
      <c r="K26" s="2067"/>
      <c r="L26" s="2067"/>
      <c r="M26" s="2067"/>
      <c r="N26" s="2067"/>
      <c r="O26" s="2067"/>
      <c r="P26" s="2067"/>
      <c r="Q26" s="1180"/>
    </row>
    <row r="27" spans="4:17">
      <c r="D27" s="1192"/>
      <c r="E27" s="2070"/>
      <c r="F27" s="2070"/>
      <c r="G27" s="1192"/>
      <c r="H27" s="2071"/>
      <c r="I27" s="2070"/>
      <c r="J27" s="2070"/>
      <c r="K27" s="2070"/>
      <c r="L27" s="2070"/>
      <c r="M27" s="2070"/>
      <c r="N27" s="2070"/>
      <c r="O27" s="2070"/>
      <c r="P27" s="2070"/>
      <c r="Q27" s="1192"/>
    </row>
    <row r="28" spans="4:17">
      <c r="D28" s="2067"/>
      <c r="E28" s="2067"/>
      <c r="F28" s="2067"/>
      <c r="G28" s="2068"/>
      <c r="H28" s="2069"/>
      <c r="I28" s="2067"/>
      <c r="J28" s="2067"/>
      <c r="K28" s="2067"/>
      <c r="L28" s="2067"/>
      <c r="M28" s="2067"/>
      <c r="N28" s="2067"/>
      <c r="O28" s="2067"/>
      <c r="P28" s="2067"/>
      <c r="Q28" s="1180"/>
    </row>
    <row r="29" spans="4:17">
      <c r="D29" s="1192"/>
      <c r="E29" s="2070"/>
      <c r="F29" s="2070"/>
      <c r="G29" s="1192"/>
      <c r="H29" s="2071"/>
      <c r="I29" s="2070"/>
      <c r="J29" s="2070"/>
      <c r="K29" s="2070"/>
      <c r="L29" s="2070"/>
      <c r="M29" s="2070"/>
      <c r="N29" s="2070"/>
      <c r="O29" s="2070"/>
      <c r="P29" s="2070"/>
      <c r="Q29" s="1192"/>
    </row>
    <row r="30" spans="4:17">
      <c r="D30" s="359"/>
      <c r="G30" s="1186"/>
      <c r="H30" s="2069"/>
      <c r="Q30" s="1180"/>
    </row>
    <row r="31" spans="4:17">
      <c r="D31" s="2067"/>
      <c r="E31" s="2067"/>
      <c r="F31" s="2067"/>
      <c r="G31" s="2068"/>
      <c r="H31" s="2069"/>
      <c r="I31" s="2067"/>
      <c r="J31" s="2067"/>
      <c r="K31" s="2067"/>
      <c r="L31" s="2067"/>
      <c r="M31" s="2067"/>
      <c r="N31" s="2067"/>
      <c r="O31" s="2067"/>
      <c r="P31" s="2067"/>
      <c r="Q31" s="1180"/>
    </row>
    <row r="32" spans="4:17">
      <c r="D32" s="1192"/>
      <c r="E32" s="2070"/>
      <c r="F32" s="2070"/>
      <c r="G32" s="1192"/>
      <c r="H32" s="2071"/>
      <c r="I32" s="2070"/>
      <c r="J32" s="2070"/>
      <c r="K32" s="2070"/>
      <c r="L32" s="2070"/>
      <c r="M32" s="2070"/>
      <c r="N32" s="2070"/>
      <c r="O32" s="2070"/>
      <c r="P32" s="2070"/>
      <c r="Q32" s="1192"/>
    </row>
    <row r="33" spans="4:17">
      <c r="D33" s="2067"/>
      <c r="E33" s="2067"/>
      <c r="F33" s="2067"/>
      <c r="G33" s="2068"/>
      <c r="H33" s="2069"/>
      <c r="I33" s="2067"/>
      <c r="J33" s="2067"/>
      <c r="K33" s="2067"/>
      <c r="L33" s="2067"/>
      <c r="M33" s="2067"/>
      <c r="N33" s="2067"/>
      <c r="O33" s="2067"/>
      <c r="P33" s="2067"/>
      <c r="Q33" s="1180"/>
    </row>
    <row r="34" spans="4:17">
      <c r="D34" s="1192"/>
      <c r="E34" s="2070"/>
      <c r="F34" s="2070"/>
      <c r="G34" s="1192"/>
      <c r="H34" s="2071"/>
      <c r="I34" s="2070"/>
      <c r="J34" s="2070"/>
      <c r="K34" s="2070"/>
      <c r="L34" s="2070"/>
      <c r="M34" s="2070"/>
      <c r="N34" s="2070"/>
      <c r="O34" s="2070"/>
      <c r="P34" s="2070"/>
      <c r="Q34" s="1192"/>
    </row>
    <row r="35" spans="4:17">
      <c r="D35" s="2067"/>
      <c r="E35" s="2067"/>
      <c r="F35" s="2067"/>
      <c r="G35" s="2068"/>
      <c r="H35" s="2069"/>
      <c r="I35" s="2067"/>
      <c r="J35" s="2067"/>
      <c r="K35" s="2067"/>
      <c r="L35" s="2067"/>
      <c r="M35" s="2067"/>
      <c r="N35" s="2067"/>
      <c r="O35" s="2067"/>
      <c r="P35" s="2067"/>
      <c r="Q35" s="1180"/>
    </row>
    <row r="36" spans="4:17">
      <c r="D36" s="1192"/>
      <c r="E36" s="2070"/>
      <c r="F36" s="2070"/>
      <c r="G36" s="1192"/>
      <c r="H36" s="2071"/>
      <c r="I36" s="2070"/>
      <c r="J36" s="2070"/>
      <c r="K36" s="2070"/>
      <c r="L36" s="2070"/>
      <c r="M36" s="2070"/>
      <c r="N36" s="2070"/>
      <c r="O36" s="2070"/>
      <c r="P36" s="2070"/>
      <c r="Q36" s="1192"/>
    </row>
    <row r="37" spans="4:17">
      <c r="D37" s="359"/>
      <c r="G37" s="1186"/>
      <c r="H37" s="2069"/>
      <c r="Q37" s="1180"/>
    </row>
    <row r="38" spans="4:17">
      <c r="D38" s="2067"/>
      <c r="E38" s="2067"/>
      <c r="F38" s="2067"/>
      <c r="G38" s="2068"/>
      <c r="H38" s="2069"/>
      <c r="I38" s="2067"/>
      <c r="J38" s="2067"/>
      <c r="K38" s="2067"/>
      <c r="L38" s="2067"/>
      <c r="M38" s="2067"/>
      <c r="N38" s="2067"/>
      <c r="O38" s="2067"/>
      <c r="P38" s="2067"/>
      <c r="Q38" s="1180"/>
    </row>
    <row r="39" spans="4:17">
      <c r="D39" s="1192"/>
      <c r="E39" s="2070"/>
      <c r="F39" s="2070"/>
      <c r="G39" s="1192"/>
      <c r="H39" s="2071"/>
      <c r="I39" s="2070"/>
      <c r="J39" s="2070"/>
      <c r="K39" s="2070"/>
      <c r="L39" s="2070"/>
      <c r="M39" s="2070"/>
      <c r="N39" s="2070"/>
      <c r="O39" s="2070"/>
      <c r="P39" s="2070"/>
      <c r="Q39" s="1192"/>
    </row>
    <row r="40" spans="4:17">
      <c r="D40" s="2067"/>
      <c r="E40" s="2067"/>
      <c r="F40" s="2067"/>
      <c r="G40" s="2068"/>
      <c r="H40" s="2069"/>
      <c r="I40" s="2067"/>
      <c r="J40" s="2067"/>
      <c r="K40" s="2067"/>
      <c r="L40" s="2067"/>
      <c r="M40" s="2067"/>
      <c r="N40" s="2067"/>
      <c r="O40" s="2067"/>
      <c r="P40" s="2067"/>
      <c r="Q40" s="1180"/>
    </row>
    <row r="41" spans="4:17">
      <c r="D41" s="1192"/>
      <c r="E41" s="2070"/>
      <c r="F41" s="2070"/>
      <c r="G41" s="1192"/>
      <c r="H41" s="2071"/>
      <c r="I41" s="2070"/>
      <c r="J41" s="2070"/>
      <c r="K41" s="2070"/>
      <c r="L41" s="2070"/>
      <c r="M41" s="2070"/>
      <c r="N41" s="2070"/>
      <c r="O41" s="2070"/>
      <c r="P41" s="2070"/>
      <c r="Q41" s="1192"/>
    </row>
    <row r="42" spans="4:17">
      <c r="D42" s="2067"/>
      <c r="E42" s="2067"/>
      <c r="F42" s="2067"/>
      <c r="G42" s="2068"/>
      <c r="H42" s="2069"/>
      <c r="I42" s="2067"/>
      <c r="J42" s="2067"/>
      <c r="K42" s="2067"/>
      <c r="L42" s="2067"/>
      <c r="M42" s="2067"/>
      <c r="N42" s="2067"/>
      <c r="O42" s="2067"/>
      <c r="P42" s="2067"/>
      <c r="Q42" s="1180"/>
    </row>
    <row r="43" spans="4:17">
      <c r="D43" s="1192"/>
      <c r="E43" s="2070"/>
      <c r="F43" s="2070"/>
      <c r="G43" s="1192"/>
      <c r="H43" s="2071"/>
      <c r="I43" s="2070"/>
      <c r="J43" s="2070"/>
      <c r="K43" s="2070"/>
      <c r="L43" s="2070"/>
      <c r="M43" s="2070"/>
      <c r="N43" s="2070"/>
      <c r="O43" s="2070"/>
      <c r="P43" s="2070"/>
      <c r="Q43" s="1192"/>
    </row>
    <row r="44" spans="4:17">
      <c r="D44" s="359"/>
      <c r="G44" s="1186"/>
      <c r="H44" s="2069"/>
      <c r="Q44" s="1180"/>
    </row>
    <row r="45" spans="4:17">
      <c r="D45" s="2067"/>
      <c r="E45" s="2067"/>
      <c r="F45" s="2067"/>
      <c r="G45" s="2068"/>
      <c r="H45" s="2069"/>
      <c r="I45" s="2067"/>
      <c r="J45" s="2067"/>
      <c r="K45" s="2067"/>
      <c r="L45" s="2067"/>
      <c r="M45" s="2067"/>
      <c r="N45" s="2067"/>
      <c r="O45" s="2067"/>
      <c r="P45" s="2067"/>
      <c r="Q45" s="1180"/>
    </row>
    <row r="46" spans="4:17">
      <c r="D46" s="1192"/>
      <c r="E46" s="2070"/>
      <c r="F46" s="2070"/>
      <c r="G46" s="1192"/>
      <c r="H46" s="2071"/>
      <c r="I46" s="2070"/>
      <c r="J46" s="2070"/>
      <c r="K46" s="2070"/>
      <c r="L46" s="2070"/>
      <c r="M46" s="2070"/>
      <c r="N46" s="2070"/>
      <c r="O46" s="2070"/>
      <c r="P46" s="2070"/>
      <c r="Q46" s="1192"/>
    </row>
    <row r="47" spans="4:17">
      <c r="D47" s="2067"/>
      <c r="E47" s="2067"/>
      <c r="F47" s="2067"/>
      <c r="G47" s="2068"/>
      <c r="H47" s="2069"/>
      <c r="I47" s="2067"/>
      <c r="J47" s="2067"/>
      <c r="K47" s="2067"/>
      <c r="L47" s="2067"/>
      <c r="M47" s="2067"/>
      <c r="N47" s="2067"/>
      <c r="O47" s="2067"/>
      <c r="P47" s="2067"/>
      <c r="Q47" s="1180"/>
    </row>
    <row r="48" spans="4:17">
      <c r="D48" s="1192"/>
      <c r="E48" s="2070"/>
      <c r="F48" s="2070"/>
      <c r="G48" s="1192"/>
      <c r="H48" s="2071"/>
      <c r="I48" s="2070"/>
      <c r="J48" s="2070"/>
      <c r="K48" s="2070"/>
      <c r="L48" s="2070"/>
      <c r="M48" s="2070"/>
      <c r="N48" s="2070"/>
      <c r="O48" s="2070"/>
      <c r="P48" s="2070"/>
      <c r="Q48" s="1192"/>
    </row>
    <row r="49" spans="4:17">
      <c r="D49" s="2067"/>
      <c r="E49" s="2067"/>
      <c r="F49" s="2067"/>
      <c r="G49" s="2068"/>
      <c r="H49" s="2069"/>
      <c r="I49" s="2067"/>
      <c r="J49" s="2067"/>
      <c r="K49" s="2067"/>
      <c r="L49" s="2067"/>
      <c r="M49" s="2067"/>
      <c r="N49" s="2067"/>
      <c r="O49" s="2067"/>
      <c r="P49" s="2067"/>
      <c r="Q49" s="1180"/>
    </row>
    <row r="50" spans="4:17">
      <c r="D50" s="1192"/>
      <c r="E50" s="2070"/>
      <c r="F50" s="2070"/>
      <c r="G50" s="1192"/>
      <c r="H50" s="2071"/>
      <c r="I50" s="2070"/>
      <c r="J50" s="2070"/>
      <c r="K50" s="2070"/>
      <c r="L50" s="2070"/>
      <c r="M50" s="2070"/>
      <c r="N50" s="2070"/>
      <c r="O50" s="2070"/>
      <c r="P50" s="2070"/>
      <c r="Q50" s="1192"/>
    </row>
  </sheetData>
  <pageMargins left="0.7" right="0.7"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F6CD7-3461-4F1D-9D72-EB2394C6A320}">
  <dimension ref="A2:U39"/>
  <sheetViews>
    <sheetView showGridLines="0" workbookViewId="0">
      <selection activeCell="A32" sqref="A30:A32"/>
    </sheetView>
  </sheetViews>
  <sheetFormatPr defaultColWidth="9.140625" defaultRowHeight="12.75"/>
  <cols>
    <col min="1" max="1" width="27.28515625" style="1598" customWidth="1"/>
    <col min="2" max="9" width="11.5703125" style="1598" bestFit="1" customWidth="1"/>
    <col min="10" max="12" width="13.28515625" style="1598" bestFit="1" customWidth="1"/>
    <col min="13" max="13" width="11.5703125" style="1598" bestFit="1" customWidth="1"/>
    <col min="14" max="15" width="13.28515625" style="1598" bestFit="1" customWidth="1"/>
    <col min="16" max="17" width="9.140625" style="1598"/>
    <col min="18" max="18" width="14.140625" style="1598" customWidth="1"/>
    <col min="19" max="19" width="9.140625" style="1598"/>
    <col min="20" max="20" width="14.5703125" style="1598" bestFit="1" customWidth="1"/>
    <col min="21" max="21" width="10.28515625" style="1598" customWidth="1"/>
    <col min="22" max="16384" width="9.140625" style="1598"/>
  </cols>
  <sheetData>
    <row r="2" spans="1:20">
      <c r="G2" s="1598" t="s">
        <v>975</v>
      </c>
    </row>
    <row r="3" spans="1:20">
      <c r="B3" s="1628">
        <v>2010</v>
      </c>
      <c r="C3" s="1628">
        <v>2011</v>
      </c>
      <c r="D3" s="1628">
        <v>2012</v>
      </c>
      <c r="E3" s="1628">
        <v>2013</v>
      </c>
      <c r="F3" s="1628">
        <v>2014</v>
      </c>
      <c r="G3" s="1628">
        <v>2015</v>
      </c>
      <c r="H3" s="1628">
        <v>2016</v>
      </c>
      <c r="I3" s="1628">
        <v>2017</v>
      </c>
      <c r="J3" s="1628">
        <v>2018</v>
      </c>
      <c r="K3" s="1628">
        <v>2019</v>
      </c>
      <c r="L3" s="1628">
        <v>2020</v>
      </c>
      <c r="M3" s="1628">
        <v>2021</v>
      </c>
      <c r="N3" s="1628">
        <v>2022</v>
      </c>
      <c r="O3" s="1628">
        <v>2023</v>
      </c>
      <c r="P3" s="1628">
        <v>2024</v>
      </c>
      <c r="Q3" s="1628">
        <v>2025</v>
      </c>
      <c r="R3" s="1628">
        <v>2026</v>
      </c>
      <c r="S3" s="1628">
        <v>2027</v>
      </c>
      <c r="T3" s="1599"/>
    </row>
    <row r="4" spans="1:20" ht="15" hidden="1">
      <c r="A4" s="1598" t="s">
        <v>976</v>
      </c>
      <c r="B4" s="649">
        <f>+PROJ!DA35/1000</f>
        <v>304.322</v>
      </c>
      <c r="C4" s="649">
        <f>+PROJ!DB35/1000</f>
        <v>343.68200000000013</v>
      </c>
      <c r="D4" s="649">
        <f>+PROJ!DC35/1000</f>
        <v>355.40000000000009</v>
      </c>
      <c r="E4" s="649">
        <f>+PROJ!DD35/1000</f>
        <v>407.40000000000009</v>
      </c>
      <c r="F4" s="649">
        <f>+PROJ!DE35/1000</f>
        <v>660.25278900000023</v>
      </c>
      <c r="G4" s="649">
        <f>+PROJ!DF35/1000</f>
        <v>556.13625790000015</v>
      </c>
      <c r="H4" s="649">
        <f>+PROJ!DG35/1000</f>
        <v>603.68100000000004</v>
      </c>
      <c r="I4" s="649">
        <f>+PROJ!DH35/1000</f>
        <v>700.779</v>
      </c>
      <c r="J4" s="649">
        <f>+PROJ!DI35/1000</f>
        <v>1014.0060639499998</v>
      </c>
      <c r="K4" s="649">
        <f>+PROJ!DJ35/1000</f>
        <v>1056.58</v>
      </c>
      <c r="L4" s="649">
        <f>+PROJ!DK35/1000-700</f>
        <v>376.779</v>
      </c>
      <c r="M4" s="649">
        <f>+PROJ!DL35/1000</f>
        <v>617.65115302000197</v>
      </c>
      <c r="N4" s="649">
        <f>+PROJ!DM35/1000</f>
        <v>1291.703</v>
      </c>
      <c r="O4" s="649">
        <f>+PROJ!DN35/1000</f>
        <v>976.25900000000001</v>
      </c>
      <c r="P4" s="649">
        <f>+PROJ!DO35/1000</f>
        <v>1196.6679999999999</v>
      </c>
      <c r="Q4" s="649">
        <f>+PROJ!DP35/1000</f>
        <v>1386.8179204260855</v>
      </c>
      <c r="R4" s="649">
        <f>+PROJ!DQ35/1000</f>
        <v>1334.4639423803451</v>
      </c>
      <c r="S4" s="649">
        <f>+PROJ!DR35/1000</f>
        <v>1794.7572848678944</v>
      </c>
      <c r="T4" s="649"/>
    </row>
    <row r="5" spans="1:20" s="1621" customFormat="1" ht="12" hidden="1">
      <c r="A5" s="1621" t="s">
        <v>92</v>
      </c>
      <c r="C5" s="1621">
        <f>+C4/B4-1</f>
        <v>0.1293366894276462</v>
      </c>
      <c r="D5" s="1621">
        <f t="shared" ref="D5:O5" si="0">+D4/C4-1</f>
        <v>3.4095471977001912E-2</v>
      </c>
      <c r="E5" s="1621">
        <f t="shared" si="0"/>
        <v>0.1463140123804163</v>
      </c>
      <c r="F5" s="1621">
        <f t="shared" si="0"/>
        <v>0.62064994845360855</v>
      </c>
      <c r="G5" s="1621">
        <f t="shared" si="0"/>
        <v>-0.15769192169213242</v>
      </c>
      <c r="H5" s="1621">
        <f t="shared" si="0"/>
        <v>8.549117491373659E-2</v>
      </c>
      <c r="I5" s="1621">
        <f t="shared" si="0"/>
        <v>0.16084322680356</v>
      </c>
      <c r="J5" s="1621">
        <f t="shared" si="0"/>
        <v>0.44696982065672608</v>
      </c>
      <c r="K5" s="1621">
        <f t="shared" si="0"/>
        <v>4.1985879141744009E-2</v>
      </c>
      <c r="L5" s="1621">
        <f t="shared" si="0"/>
        <v>-0.6433975657309432</v>
      </c>
      <c r="M5" s="1621">
        <f t="shared" si="0"/>
        <v>0.63929293569971257</v>
      </c>
      <c r="N5" s="1621">
        <f t="shared" si="0"/>
        <v>1.0913148039702105</v>
      </c>
      <c r="O5" s="1624">
        <f t="shared" si="0"/>
        <v>-0.24420784034720056</v>
      </c>
      <c r="P5" s="1621">
        <f t="shared" ref="P5" si="1">+P4/O4-1</f>
        <v>0.22576898138711132</v>
      </c>
      <c r="Q5" s="1621">
        <f t="shared" ref="Q5" si="2">+Q4/P4-1</f>
        <v>0.15889947790538872</v>
      </c>
      <c r="R5" s="1621">
        <f t="shared" ref="R5" si="3">+R4/Q4-1</f>
        <v>-3.7751154837727507E-2</v>
      </c>
      <c r="S5" s="1621">
        <f t="shared" ref="S5" si="4">+S4/R4-1</f>
        <v>0.34492752323191489</v>
      </c>
    </row>
    <row r="6" spans="1:20" ht="15" hidden="1">
      <c r="A6" s="1598" t="s">
        <v>977</v>
      </c>
      <c r="B6" s="1600">
        <f t="shared" ref="B6:I6" ca="1" si="5">+C6</f>
        <v>619.85485964073484</v>
      </c>
      <c r="C6" s="1600">
        <f ca="1">+D6</f>
        <v>619.85485964073484</v>
      </c>
      <c r="D6" s="1600">
        <f t="shared" ca="1" si="5"/>
        <v>619.85485964073484</v>
      </c>
      <c r="E6" s="1600">
        <f t="shared" ca="1" si="5"/>
        <v>619.85485964073484</v>
      </c>
      <c r="F6" s="1600">
        <f t="shared" ca="1" si="5"/>
        <v>619.85485964073484</v>
      </c>
      <c r="G6" s="1600">
        <f ca="1">+H6</f>
        <v>619.85485964073484</v>
      </c>
      <c r="H6" s="1600">
        <f ca="1">+I6/(1+I10)</f>
        <v>619.85485964073484</v>
      </c>
      <c r="I6" s="1600">
        <f t="shared" ca="1" si="5"/>
        <v>681.84034560480836</v>
      </c>
      <c r="J6" s="1600">
        <f ca="1">+K6/(1+K10)</f>
        <v>681.84034560480836</v>
      </c>
      <c r="K6" s="1600">
        <f ca="1">+L6</f>
        <v>750.02438016528924</v>
      </c>
      <c r="L6" s="1600">
        <f ca="1">+M6/(1+M10)</f>
        <v>750.02438016528924</v>
      </c>
      <c r="M6" s="1600">
        <f ca="1">+N6-M12/22</f>
        <v>825.02681818181827</v>
      </c>
      <c r="N6" s="1600">
        <f ca="1">+O6</f>
        <v>1006.845</v>
      </c>
      <c r="O6" s="1600">
        <f ca="1">+VP!$C$16/1000</f>
        <v>1006.845</v>
      </c>
      <c r="P6" s="1600">
        <f ca="1">+O6</f>
        <v>1006.845</v>
      </c>
      <c r="Q6" s="1600">
        <f t="shared" ref="Q6:S6" ca="1" si="6">+P6</f>
        <v>1006.845</v>
      </c>
      <c r="R6" s="1600">
        <f t="shared" ca="1" si="6"/>
        <v>1006.845</v>
      </c>
      <c r="S6" s="1600">
        <f t="shared" ca="1" si="6"/>
        <v>1006.845</v>
      </c>
      <c r="T6" s="1600"/>
    </row>
    <row r="7" spans="1:20" ht="15" hidden="1">
      <c r="A7" s="1598" t="s">
        <v>132</v>
      </c>
      <c r="B7" s="1618">
        <f ca="1">+B4/B6</f>
        <v>0.49095686718723752</v>
      </c>
      <c r="C7" s="1618">
        <f ca="1">+C4/C6</f>
        <v>0.55445560304100339</v>
      </c>
      <c r="D7" s="1618">
        <f t="shared" ref="D7:O7" ca="1" si="7">+D4/D6</f>
        <v>0.57336002851697954</v>
      </c>
      <c r="E7" s="1618">
        <f t="shared" ca="1" si="7"/>
        <v>0.65725063482784885</v>
      </c>
      <c r="F7" s="1618">
        <f t="shared" ca="1" si="7"/>
        <v>1.0651732074548546</v>
      </c>
      <c r="G7" s="1618">
        <f t="shared" ca="1" si="7"/>
        <v>0.89720399743632606</v>
      </c>
      <c r="H7" s="1618">
        <f t="shared" ca="1" si="7"/>
        <v>0.97390702131445883</v>
      </c>
      <c r="I7" s="1618">
        <f t="shared" ca="1" si="7"/>
        <v>1.0277757902084725</v>
      </c>
      <c r="J7" s="1618">
        <f t="shared" ca="1" si="7"/>
        <v>1.4871605508332786</v>
      </c>
      <c r="K7" s="1618">
        <f t="shared" ca="1" si="7"/>
        <v>1.4087275399863033</v>
      </c>
      <c r="L7" s="1618">
        <f t="shared" ca="1" si="7"/>
        <v>0.50235566998097581</v>
      </c>
      <c r="M7" s="1618">
        <f t="shared" ca="1" si="7"/>
        <v>0.74864372818955427</v>
      </c>
      <c r="N7" s="1618">
        <f t="shared" ca="1" si="7"/>
        <v>1.282921402996489</v>
      </c>
      <c r="O7" s="1618">
        <f t="shared" ca="1" si="7"/>
        <v>0.96962193783551587</v>
      </c>
      <c r="P7" s="1618">
        <f t="shared" ref="P7" ca="1" si="8">+P4/P6</f>
        <v>1.1885324950712373</v>
      </c>
      <c r="Q7" s="1618">
        <f t="shared" ref="Q7" ca="1" si="9">+Q4/Q6</f>
        <v>1.3773896880116456</v>
      </c>
      <c r="R7" s="1618">
        <f t="shared" ref="R7" ca="1" si="10">+R4/R6</f>
        <v>1.3253916366276288</v>
      </c>
      <c r="S7" s="1618">
        <f t="shared" ref="S7" ca="1" si="11">+S4/S6</f>
        <v>1.7825556911618912</v>
      </c>
      <c r="T7" s="1618"/>
    </row>
    <row r="8" spans="1:20" ht="15" hidden="1">
      <c r="H8" s="1601"/>
      <c r="J8" s="1600"/>
      <c r="K8" s="1600"/>
      <c r="L8" s="1600"/>
      <c r="M8" s="1600"/>
      <c r="N8" s="1600"/>
      <c r="O8" s="1600"/>
    </row>
    <row r="9" spans="1:20" ht="15" hidden="1">
      <c r="J9" s="1600"/>
      <c r="K9" s="1600">
        <f ca="1">+K6/J6-1</f>
        <v>0.10000000000000009</v>
      </c>
      <c r="L9" s="1600"/>
      <c r="M9" s="1600"/>
      <c r="N9" s="1600"/>
      <c r="O9" s="1600"/>
    </row>
    <row r="10" spans="1:20" ht="15" hidden="1">
      <c r="A10" s="1598" t="s">
        <v>978</v>
      </c>
      <c r="E10" s="1601"/>
      <c r="F10" s="1602"/>
      <c r="H10" s="1602"/>
      <c r="I10" s="1619">
        <v>0.1</v>
      </c>
      <c r="J10" s="1600"/>
      <c r="K10" s="1619">
        <v>0.1</v>
      </c>
      <c r="L10" s="1600"/>
      <c r="M10" s="1619">
        <v>0.1</v>
      </c>
      <c r="N10" s="1600"/>
      <c r="O10" s="1600"/>
    </row>
    <row r="11" spans="1:20" ht="15" hidden="1">
      <c r="J11" s="1600"/>
      <c r="K11" s="1600"/>
      <c r="L11" s="1600"/>
      <c r="M11" s="1600"/>
      <c r="N11" s="1600"/>
      <c r="O11" s="1600"/>
    </row>
    <row r="12" spans="1:20" ht="15" hidden="1">
      <c r="A12" s="1598" t="s">
        <v>979</v>
      </c>
      <c r="J12" s="1600"/>
      <c r="K12" s="1600"/>
      <c r="L12" s="1620"/>
      <c r="M12" s="1620">
        <v>4000</v>
      </c>
      <c r="N12" s="1600"/>
      <c r="O12" s="1600"/>
    </row>
    <row r="13" spans="1:20" ht="15" hidden="1">
      <c r="J13" s="1600"/>
      <c r="K13" s="1600"/>
      <c r="L13" s="1600"/>
      <c r="M13" s="1600"/>
      <c r="N13" s="1600"/>
      <c r="O13" s="1600"/>
    </row>
    <row r="14" spans="1:20" ht="15">
      <c r="A14" s="1598" t="s">
        <v>132</v>
      </c>
      <c r="B14" s="1618">
        <f ca="1">+B7</f>
        <v>0.49095686718723752</v>
      </c>
      <c r="C14" s="1618">
        <f t="shared" ref="C14:O14" ca="1" si="12">+C7</f>
        <v>0.55445560304100339</v>
      </c>
      <c r="D14" s="1618">
        <f t="shared" ca="1" si="12"/>
        <v>0.57336002851697954</v>
      </c>
      <c r="E14" s="1618">
        <f t="shared" ca="1" si="12"/>
        <v>0.65725063482784885</v>
      </c>
      <c r="F14" s="1618">
        <f t="shared" ca="1" si="12"/>
        <v>1.0651732074548546</v>
      </c>
      <c r="G14" s="1618">
        <f t="shared" ca="1" si="12"/>
        <v>0.89720399743632606</v>
      </c>
      <c r="H14" s="1618">
        <f ca="1">+H7</f>
        <v>0.97390702131445883</v>
      </c>
      <c r="I14" s="1618">
        <f t="shared" ca="1" si="12"/>
        <v>1.0277757902084725</v>
      </c>
      <c r="J14" s="1618">
        <f t="shared" ca="1" si="12"/>
        <v>1.4871605508332786</v>
      </c>
      <c r="K14" s="1618">
        <f t="shared" ca="1" si="12"/>
        <v>1.4087275399863033</v>
      </c>
      <c r="L14" s="1618">
        <f t="shared" ca="1" si="12"/>
        <v>0.50235566998097581</v>
      </c>
      <c r="M14" s="1618">
        <f t="shared" ca="1" si="12"/>
        <v>0.74864372818955427</v>
      </c>
      <c r="N14" s="1618">
        <f t="shared" ca="1" si="12"/>
        <v>1.282921402996489</v>
      </c>
      <c r="O14" s="1618">
        <f t="shared" ca="1" si="12"/>
        <v>0.96962193783551587</v>
      </c>
      <c r="P14" s="1618">
        <f t="shared" ref="P14:S14" ca="1" si="13">+P7</f>
        <v>1.1885324950712373</v>
      </c>
      <c r="Q14" s="1618">
        <f t="shared" ca="1" si="13"/>
        <v>1.3773896880116456</v>
      </c>
      <c r="R14" s="1618">
        <f t="shared" ca="1" si="13"/>
        <v>1.3253916366276288</v>
      </c>
      <c r="S14" s="1618">
        <f t="shared" ca="1" si="13"/>
        <v>1.7825556911618912</v>
      </c>
    </row>
    <row r="15" spans="1:20" ht="15">
      <c r="A15" s="1598" t="s">
        <v>136</v>
      </c>
      <c r="B15" s="1603">
        <f>+PROJ!DA254</f>
        <v>0.33833329256876798</v>
      </c>
      <c r="C15" s="1603">
        <f>+PROJ!DB254</f>
        <v>0.31583977620794146</v>
      </c>
      <c r="D15" s="1603">
        <f>+PROJ!DC254</f>
        <v>0.28886312366373385</v>
      </c>
      <c r="E15" s="1603">
        <f>+PROJ!DD254</f>
        <v>0.29111062203637389</v>
      </c>
      <c r="F15" s="1603">
        <f>+PROJ!DE254</f>
        <v>0.39435487428628951</v>
      </c>
      <c r="G15" s="1603">
        <f>+PROJ!DF254</f>
        <v>0.27787597481040122</v>
      </c>
      <c r="H15" s="1603">
        <f>+PROJ!DG254</f>
        <v>0.25266730427035472</v>
      </c>
      <c r="I15" s="1603">
        <f>+PROJ!DH254</f>
        <v>0.25005110710445061</v>
      </c>
      <c r="J15" s="1603">
        <f>+PROJ!DI254</f>
        <v>0.2842414701618482</v>
      </c>
      <c r="K15" s="1603">
        <f>+PROJ!DJ254</f>
        <v>0.2508805161167536</v>
      </c>
      <c r="L15" s="1603">
        <f>+PROJ!DK254</f>
        <v>0.21482393079317613</v>
      </c>
      <c r="M15" s="1603">
        <f>+PROJ!DL254</f>
        <v>8.2754345411795452E-2</v>
      </c>
      <c r="N15" s="1603">
        <f>+PROJ!DM254</f>
        <v>0.12985766257956616</v>
      </c>
      <c r="O15" s="1603">
        <f>+PROJ!DN254</f>
        <v>9.6972614888022377E-2</v>
      </c>
      <c r="P15" s="1603">
        <f>+PROJ!DO254</f>
        <v>0.1149527487092806</v>
      </c>
      <c r="Q15" s="1603">
        <f>+PROJ!DP254</f>
        <v>0.13081964394770618</v>
      </c>
      <c r="R15" s="1603">
        <f>+PROJ!DQ254</f>
        <v>0.12466611570587094</v>
      </c>
      <c r="S15" s="1603">
        <f>+PROJ!DR254</f>
        <v>0.1564213616617087</v>
      </c>
    </row>
    <row r="16" spans="1:20" ht="15">
      <c r="J16" s="1600"/>
      <c r="K16" s="1600"/>
      <c r="L16" s="1600"/>
      <c r="M16" s="1600"/>
      <c r="N16" s="1600"/>
      <c r="O16" s="1600"/>
    </row>
    <row r="17" spans="1:21" ht="15">
      <c r="H17" s="1601"/>
      <c r="J17" s="1600"/>
      <c r="K17" s="1601"/>
      <c r="L17" s="1600"/>
      <c r="M17" s="1600"/>
      <c r="N17" s="1600"/>
      <c r="S17" s="1601"/>
    </row>
    <row r="18" spans="1:21" ht="15">
      <c r="A18" s="1598" t="s">
        <v>350</v>
      </c>
      <c r="H18" s="1622"/>
      <c r="J18" s="1600"/>
      <c r="K18" s="1604">
        <f ca="1">+((K14/B14)^(1/9))-1</f>
        <v>0.12425506224936989</v>
      </c>
      <c r="L18" s="1600"/>
      <c r="M18" s="1600"/>
      <c r="N18" s="1600"/>
      <c r="S18" s="1604">
        <f ca="1">+((S14/K14)^(1/8))-1</f>
        <v>2.985720749958376E-2</v>
      </c>
    </row>
    <row r="19" spans="1:21">
      <c r="S19" s="1605">
        <f>+AVERAGE(B15:S15)</f>
        <v>0.22197147138466899</v>
      </c>
    </row>
    <row r="21" spans="1:21" ht="15">
      <c r="Q21" s="1606" t="s">
        <v>980</v>
      </c>
      <c r="R21" s="1607"/>
      <c r="T21" s="1606" t="s">
        <v>981</v>
      </c>
      <c r="U21" s="1607"/>
    </row>
    <row r="22" spans="1:21" ht="15">
      <c r="Q22" s="1598" t="s">
        <v>19</v>
      </c>
      <c r="R22" s="1607">
        <v>0.25</v>
      </c>
      <c r="T22" s="1598" t="s">
        <v>19</v>
      </c>
      <c r="U22" s="1629">
        <v>0.15</v>
      </c>
    </row>
    <row r="23" spans="1:21">
      <c r="Q23" s="1598" t="s">
        <v>22</v>
      </c>
      <c r="R23" s="1608">
        <v>0.2</v>
      </c>
      <c r="T23" s="1598" t="s">
        <v>22</v>
      </c>
      <c r="U23" s="1608">
        <v>0.15</v>
      </c>
    </row>
    <row r="24" spans="1:21">
      <c r="Q24" s="1598" t="s">
        <v>24</v>
      </c>
      <c r="R24" s="1608">
        <f>5%+R29</f>
        <v>0.1</v>
      </c>
      <c r="T24" s="1598" t="s">
        <v>24</v>
      </c>
      <c r="U24" s="1608">
        <f>U30+5%+U31</f>
        <v>8.5000000000000006E-2</v>
      </c>
    </row>
    <row r="25" spans="1:21" ht="15">
      <c r="Q25" s="1598" t="s">
        <v>28</v>
      </c>
      <c r="R25" s="1609">
        <f>+R29+R30+R31</f>
        <v>8.5000000000000006E-2</v>
      </c>
      <c r="T25" s="1598" t="s">
        <v>28</v>
      </c>
      <c r="U25" s="1609">
        <f>+U24</f>
        <v>8.5000000000000006E-2</v>
      </c>
    </row>
    <row r="26" spans="1:21" ht="15">
      <c r="Q26" s="1598" t="s">
        <v>30</v>
      </c>
      <c r="R26" s="1602">
        <f>+(R32+R29)+(R34*R33)</f>
        <v>0.13500000000000001</v>
      </c>
      <c r="T26" s="1598" t="s">
        <v>30</v>
      </c>
      <c r="U26" s="1602">
        <f>+(U32+U29)+(U34*U33)</f>
        <v>0.15024999999999999</v>
      </c>
    </row>
    <row r="27" spans="1:21">
      <c r="Q27" s="1598" t="s">
        <v>33</v>
      </c>
      <c r="R27" s="1610">
        <v>10</v>
      </c>
      <c r="T27" s="1598" t="s">
        <v>33</v>
      </c>
      <c r="U27" s="1610">
        <f>+R27</f>
        <v>10</v>
      </c>
    </row>
    <row r="28" spans="1:21" ht="15">
      <c r="R28" s="1607"/>
      <c r="U28" s="1607"/>
    </row>
    <row r="29" spans="1:21" ht="15">
      <c r="Q29" s="1598" t="s">
        <v>36</v>
      </c>
      <c r="R29" s="1607">
        <v>0.05</v>
      </c>
      <c r="T29" s="1598" t="s">
        <v>36</v>
      </c>
      <c r="U29" s="1607">
        <f>+R29</f>
        <v>0.05</v>
      </c>
    </row>
    <row r="30" spans="1:21" ht="15">
      <c r="Q30" s="1598" t="s">
        <v>38</v>
      </c>
      <c r="R30" s="1611">
        <v>2.5000000000000001E-2</v>
      </c>
      <c r="T30" s="1598" t="s">
        <v>38</v>
      </c>
      <c r="U30" s="1611">
        <f>+R30</f>
        <v>2.5000000000000001E-2</v>
      </c>
    </row>
    <row r="31" spans="1:21" ht="15">
      <c r="Q31" s="1598" t="s">
        <v>40</v>
      </c>
      <c r="R31" s="1612">
        <v>0.01</v>
      </c>
      <c r="T31" s="1598" t="s">
        <v>40</v>
      </c>
      <c r="U31" s="1612">
        <f>+R31</f>
        <v>0.01</v>
      </c>
    </row>
    <row r="32" spans="1:21" ht="15">
      <c r="Q32" s="1627" t="s">
        <v>42</v>
      </c>
      <c r="R32" s="1623">
        <v>0.04</v>
      </c>
      <c r="T32" s="1627" t="s">
        <v>42</v>
      </c>
      <c r="U32" s="1623">
        <v>6.2E-2</v>
      </c>
    </row>
    <row r="33" spans="17:21" ht="15">
      <c r="Q33" s="1598" t="s">
        <v>44</v>
      </c>
      <c r="R33" s="1613">
        <v>4.4999999999999998E-2</v>
      </c>
      <c r="T33" s="1598" t="s">
        <v>44</v>
      </c>
      <c r="U33" s="1613">
        <v>4.4999999999999998E-2</v>
      </c>
    </row>
    <row r="34" spans="17:21" ht="15">
      <c r="Q34" s="1598" t="s">
        <v>46</v>
      </c>
      <c r="R34" s="1614">
        <v>1</v>
      </c>
      <c r="T34" s="1598" t="s">
        <v>46</v>
      </c>
      <c r="U34" s="1614">
        <v>0.85</v>
      </c>
    </row>
    <row r="35" spans="17:21" ht="15">
      <c r="R35" s="1607"/>
      <c r="U35" s="1607"/>
    </row>
    <row r="36" spans="17:21" ht="15">
      <c r="R36" s="1607"/>
      <c r="U36" s="1607"/>
    </row>
    <row r="37" spans="17:21">
      <c r="Q37" s="1625" t="s">
        <v>982</v>
      </c>
      <c r="R37" s="1626">
        <f>+(((1-R24/R22)*(1+R24)*(1-(((1+R24)^R27)/((1+R26)^R27))))/(R26-R24))+(((1-R25/R23)*((1+R24)^R27)*(1+R25))/((R26-R25)*((1+R26)^R27)))</f>
        <v>14.193077761487839</v>
      </c>
      <c r="T37" s="1625" t="s">
        <v>49</v>
      </c>
      <c r="U37" s="1626">
        <f>+(((1-U24/U22)*(1+U24)*(1-(((1+U24)^U27)/((1+U26)^U27))))/(U26-U24))+(((1-U25/U23)*((1+U24)^U27)*(1+U25))/((U26-U25)*((1+U26)^U27)))</f>
        <v>7.2056194125159649</v>
      </c>
    </row>
    <row r="38" spans="17:21" ht="15">
      <c r="Q38" s="1615"/>
      <c r="R38" s="1607"/>
      <c r="T38" s="1615"/>
      <c r="U38" s="1607"/>
    </row>
    <row r="39" spans="17:21">
      <c r="Q39" s="1616"/>
      <c r="R39" s="1617"/>
    </row>
  </sheetData>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214AAC60D01E84E99F2B81F67E36546" ma:contentTypeVersion="13" ma:contentTypeDescription="Create a new document." ma:contentTypeScope="" ma:versionID="3d13cc96096dee18a0a722c15f705a00">
  <xsd:schema xmlns:xsd="http://www.w3.org/2001/XMLSchema" xmlns:xs="http://www.w3.org/2001/XMLSchema" xmlns:p="http://schemas.microsoft.com/office/2006/metadata/properties" xmlns:ns3="efca2dfc-ed96-4e65-8080-bcad811dc6f3" xmlns:ns4="a31328f4-1add-4fa9-ad71-037c93618862" targetNamespace="http://schemas.microsoft.com/office/2006/metadata/properties" ma:root="true" ma:fieldsID="b95ce9a2eba5b1f9e1bec1628a48087e" ns3:_="" ns4:_="">
    <xsd:import namespace="efca2dfc-ed96-4e65-8080-bcad811dc6f3"/>
    <xsd:import namespace="a31328f4-1add-4fa9-ad71-037c93618862"/>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Location" minOccurs="0"/>
                <xsd:element ref="ns4:MediaServiceOCR" minOccurs="0"/>
                <xsd:element ref="ns4:MediaServiceEventHashCode" minOccurs="0"/>
                <xsd:element ref="ns4:MediaServiceGenerationTime"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ca2dfc-ed96-4e65-8080-bcad811dc6f3"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1328f4-1add-4fa9-ad71-037c93618862"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ServiceAutoTags" ma:index="14" nillable="true" ma:displayName="MediaServiceAutoTags" ma:description="" ma:internalName="MediaServiceAutoTags" ma:readOnly="true">
      <xsd:simpleType>
        <xsd:restriction base="dms:Text"/>
      </xsd:simpleType>
    </xsd:element>
    <xsd:element name="MediaServiceLocation" ma:index="15" nillable="true" ma:displayName="MediaServiceLocation" ma:description="" ma:internalName="MediaServiceLocation" ma:readOnly="true">
      <xsd:simpleType>
        <xsd:restriction base="dms:Text"/>
      </xsd:simpleType>
    </xsd:element>
    <xsd:element name="MediaServiceOCR" ma:index="16" nillable="true" ma:displayName="MediaServiceOCR" ma:internalName="MediaServiceOCR" ma:readOnly="true">
      <xsd:simpleType>
        <xsd:restriction base="dms:Note">
          <xsd:maxLength value="255"/>
        </xsd:restriction>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0595016-F688-42FE-8642-D5F9CE784517}"/>
</file>

<file path=customXml/itemProps2.xml><?xml version="1.0" encoding="utf-8"?>
<ds:datastoreItem xmlns:ds="http://schemas.openxmlformats.org/officeDocument/2006/customXml" ds:itemID="{B5EDDFDB-3EE3-4C30-A0C3-45C09D611CF9}"/>
</file>

<file path=customXml/itemProps3.xml><?xml version="1.0" encoding="utf-8"?>
<ds:datastoreItem xmlns:ds="http://schemas.openxmlformats.org/officeDocument/2006/customXml" ds:itemID="{ACDDCC10-4ED6-4C9C-8223-8702126AE52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NICOLAS</dc:creator>
  <cp:keywords/>
  <dc:description/>
  <cp:lastModifiedBy>Camila Rivilli</cp:lastModifiedBy>
  <cp:revision/>
  <dcterms:created xsi:type="dcterms:W3CDTF">2018-03-05T17:34:06Z</dcterms:created>
  <dcterms:modified xsi:type="dcterms:W3CDTF">2026-03-24T18:45:57Z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0x010100F214AAC60D01E84E99F2B81F67E36546</vt:lpwstr>
  </property>
</Properties>
</file>